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\\psf\Google Drive\Teaching\ISB Forecasting\2015 Slides and Files\"/>
    </mc:Choice>
  </mc:AlternateContent>
  <bookViews>
    <workbookView xWindow="0" yWindow="0" windowWidth="19170" windowHeight="9890"/>
  </bookViews>
  <sheets>
    <sheet name="data" sheetId="1" r:id="rId1"/>
    <sheet name="MASmoothingOutput1" sheetId="10" r:id="rId2"/>
    <sheet name="MASmoothing_Stored1" sheetId="9" r:id="rId3"/>
    <sheet name="MASmoothingOutput" sheetId="8" r:id="rId4"/>
    <sheet name="MASmoothing_Stored" sheetId="7" r:id="rId5"/>
    <sheet name="LR_Output" sheetId="6" r:id="rId6"/>
    <sheet name="LR_ValidationScore" sheetId="5" r:id="rId7"/>
    <sheet name="LR_Stored" sheetId="4" r:id="rId8"/>
    <sheet name="MLR_Output" sheetId="3" r:id="rId9"/>
    <sheet name="MLR_Stored" sheetId="2" r:id="rId10"/>
  </sheets>
  <externalReferences>
    <externalReference r:id="rId11"/>
  </externalReferences>
  <definedNames>
    <definedName name="xlm_52_1" localSheetId="0">"{""wkbk"":""MelbourneRainfallNew.xlsx"",""wksheet"":""data"",""data_range"":""$A$1:$O$3654"",""has_header"":true,""input_cols"":[{""varName"":""Year""},{""varName"":""Month""},{""varName"":""Day""},{""varName"":""Date""},{""varName"":""Rainfall amount (millimetres)""},{""varName"":""Rainf"</definedName>
    <definedName name="xlm_52_2" localSheetId="0">"all lag-1""},{""varName"":""Lag1""},{""varName"":""t""},{""varName"":""Seasonal_sine""},{""varName"":""Seasonal_cosine""},{""varName"":""lag-SOI""},{""varName"":""t_sin""},{""varName"":""t_cos""},{""varName"":""partition""}],""firstRow"":1,""rows"":3653,""tsSelectedVar"":{""varId"":6,""varNa"</definedName>
    <definedName name="xlm_52_3" localSheetId="0">"me"":""Rain?"",""colDescr"":{""dataRowCount"":3653,""flags"":32,""uniqueValsCount"":2,""varId"":6}},""isPartitionSheet"":false,""interval"":1,""giveForecast"":true,""numForecasts"":100}"</definedName>
    <definedName name="xlm_603_1" localSheetId="0">"{""wkbk"":""MelbourneRainfallNew.xlsx"",""wksheet"":""data"",""data_range"":""$A$1:$O$4323"",""has_header"":true,""cat_cols"":[],""firstRow"":1,""rows"":4322,""train_rows"":3653,""validation_rows"":669,""test_rows"":0,""isPartitionSheet"":false,""numOutputClasses"":2,""useSuccessC"</definedName>
    <definedName name="xlm_603_2" localSheetId="0">"lass"":true,""successClass"":""1"",""successCutoffProb"":0.5,""partitionData"":true,""usePartitionVar"":true,""partitionVar"":{""varId"":14,""varName"":""partition""},""newDataDatabase"":false,""newDataWorksheet"":false,""varSelectionOnly"":false,""forceConstTermToZero"":false"</definedName>
    <definedName name="xlm_603_3" localSheetId="0">",""setOddsConfidenceLevel"":false,""maxNumIterations"":50,""initialMarquardtFactor"":1,""performCollinearityDiags"":false,""perfBestSubsetSel"":false,""outputTrainDataCovarMatrixOfCoeffs"":false,""outputTrainDataResiduals"":false,""trainDetailRpt"":false,""trainSumma"</definedName>
    <definedName name="xlm_603_4" localSheetId="0">"ryRpt"":true,""trainLiftChart"":false,""trainROCCurve"":true,""validationDetailRpt"":true,""validationSummaryRpt"":true,""validationLiftChart"":false,""validROCCurve"":false,""testDetailRpt"":false,""testSummaryRpt"":false,""testLiftChart"":false,""testROCCurve"":false}"</definedName>
    <definedName name="xlm_701_1" localSheetId="0">"{""wkbk"":""MelbourneRainfallNew.xlsx"",""wksheet"":""Sheet1"",""data_range"":""$A$1:$O$4323"",""has_header"":true,""cat_cols"":[],""firstRow"":1,""rows"":4322,""train_rows"":3653,""validation_rows"":669,""test_rows"":0,""isPartitionSheet"":false,""partitionData"":true,""usePartit"</definedName>
    <definedName name="xlm_701_2" localSheetId="0">"ionVar"":true,""partitionVar"":{""varId"":14,""varName"":""partition""},""varSelectionOnly"":false,""forceConstTermToZero"":false,""fittedValues"":false,""standardizedResids"":false,""unstandardizedResids"":false,""ANOVA"":false,""varCovarMatrix"":false,""trainDetailRpt"":fa"</definedName>
    <definedName name="xlm_701_3" localSheetId="0">"lse,""trainSummaryRpt"":true,""trainLiftChart"":false,""trainROCCurve"":false,""validationDetailRpt"":false,""validationSummaryRpt"":true,""validationLiftChart"":false,""validROCCurve"":false,""testDetailRpt"":false,""testSummaryRpt"":false,""testLiftChart"":false,""test"</definedName>
    <definedName name="xlm_701_4" localSheetId="0">"ROCCurve"":false,""newDataDatabase"":false,""newDataWorksheet"":false,""studentizedResiduals"":false,""deletedResiduals"":false,""cooksDistance"":false,""DFfits"":false,""covarianceRatiosStats"":false,""hatMatrixDiagonalsStats"":false,""performCollinearityDiagnostics"""</definedName>
    <definedName name="xlm_701_5" localSheetId="0">":false,""perfBestSubsetSel"":false}"</definedName>
    <definedName name="xlm_clnc_1" localSheetId="0">"{""input_cols"":[{""varName"":""Lag1""},{""varName"":""Seasonal_sine""},{""varName"":""Seasonal_cosine""}],""output_var"":{""varName"":""Rain?""}}"</definedName>
    <definedName name="xlm_pdnc_1" localSheetId="0">"{""input_cols"":[{""varName"":""Lag1""},{""varName"":""Seasonal_sine""},{""varName"":""Seasonal_cosine""}],""output_var"":{""varName"":""Rain?""}}"</definedName>
    <definedName name="XLMFullModelDefinition" localSheetId="7" hidden="1">"A2:H12"</definedName>
    <definedName name="XLMFullModelDefinition" localSheetId="4" hidden="1">"B3:C12"</definedName>
    <definedName name="XLMFullModelDefinition" localSheetId="2" hidden="1">"B3:C12"</definedName>
    <definedName name="XLMFullModelDefinition" localSheetId="9" hidden="1">"A2:H10"</definedName>
    <definedName name="XLMModelDefinition" localSheetId="7" hidden="1">"A2:B12"</definedName>
    <definedName name="XLMModelDefinition" localSheetId="4" hidden="1">"B3:C12"</definedName>
    <definedName name="XLMModelDefinition" localSheetId="2" hidden="1">"B3:C12"</definedName>
    <definedName name="XLMModelDefinition" localSheetId="9" hidden="1">"A2:B9"</definedName>
    <definedName name="XLMModelInputVars" localSheetId="7" hidden="1">"E5:G5"</definedName>
    <definedName name="XLMModelInputVars" localSheetId="4" hidden="1">"C12:C12"</definedName>
    <definedName name="XLMModelInputVars" localSheetId="2" hidden="1">"C12:C12"</definedName>
    <definedName name="XLMModelInputVars" localSheetId="9" hidden="1">"E5:G5"</definedName>
    <definedName name="XLMModelInputVarsRole" localSheetId="7" hidden="1">"E7:H7"</definedName>
    <definedName name="XLMModelInputVarsRole" localSheetId="9" hidden="1">"E7:H7"</definedName>
    <definedName name="XLMModelInputVarsType" localSheetId="7" hidden="1">"E8:H8"</definedName>
    <definedName name="XLMModelInputVarsType" localSheetId="9" hidden="1">"E8:H8"</definedName>
    <definedName name="XLMModelTypeId" localSheetId="7" hidden="1">9</definedName>
    <definedName name="XLMModelTypeId" localSheetId="4" hidden="1">4</definedName>
    <definedName name="XLMModelTypeId" localSheetId="2" hidden="1">4</definedName>
    <definedName name="XLMModelTypeId" localSheetId="9" hidden="1">14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678" i="10" l="1"/>
  <c r="E3677" i="10"/>
  <c r="E3676" i="10"/>
  <c r="E3675" i="10"/>
  <c r="E3674" i="10"/>
  <c r="E3673" i="10"/>
  <c r="E3672" i="10"/>
  <c r="E3671" i="10"/>
  <c r="E3670" i="10"/>
  <c r="E3669" i="10"/>
  <c r="E3668" i="10"/>
  <c r="E3667" i="10"/>
  <c r="E3666" i="10"/>
  <c r="E3665" i="10"/>
  <c r="E3664" i="10"/>
  <c r="E3663" i="10"/>
  <c r="E3662" i="10"/>
  <c r="E3661" i="10"/>
  <c r="E3660" i="10"/>
  <c r="E3659" i="10"/>
  <c r="E3658" i="10"/>
  <c r="E3657" i="10"/>
  <c r="E3656" i="10"/>
  <c r="E3655" i="10"/>
  <c r="E3654" i="10"/>
  <c r="E3653" i="10"/>
  <c r="E3652" i="10"/>
  <c r="E3651" i="10"/>
  <c r="E3650" i="10"/>
  <c r="E3649" i="10"/>
  <c r="E3648" i="10"/>
  <c r="E3647" i="10"/>
  <c r="E3646" i="10"/>
  <c r="E3645" i="10"/>
  <c r="E3644" i="10"/>
  <c r="E3643" i="10"/>
  <c r="E3642" i="10"/>
  <c r="E3641" i="10"/>
  <c r="E3640" i="10"/>
  <c r="E3639" i="10"/>
  <c r="E3638" i="10"/>
  <c r="E3637" i="10"/>
  <c r="E3636" i="10"/>
  <c r="E3635" i="10"/>
  <c r="E3634" i="10"/>
  <c r="E3633" i="10"/>
  <c r="E3632" i="10"/>
  <c r="E3631" i="10"/>
  <c r="E3630" i="10"/>
  <c r="E3629" i="10"/>
  <c r="E3628" i="10"/>
  <c r="E3627" i="10"/>
  <c r="E3626" i="10"/>
  <c r="E3625" i="10"/>
  <c r="E3624" i="10"/>
  <c r="E3623" i="10"/>
  <c r="E3622" i="10"/>
  <c r="E3621" i="10"/>
  <c r="E3620" i="10"/>
  <c r="E3619" i="10"/>
  <c r="E3618" i="10"/>
  <c r="E3617" i="10"/>
  <c r="E3616" i="10"/>
  <c r="E3615" i="10"/>
  <c r="E3614" i="10"/>
  <c r="E3613" i="10"/>
  <c r="E3612" i="10"/>
  <c r="E3611" i="10"/>
  <c r="E3610" i="10"/>
  <c r="E3609" i="10"/>
  <c r="E3608" i="10"/>
  <c r="E3607" i="10"/>
  <c r="E3606" i="10"/>
  <c r="E3605" i="10"/>
  <c r="E3604" i="10"/>
  <c r="E3603" i="10"/>
  <c r="E3602" i="10"/>
  <c r="E3601" i="10"/>
  <c r="E3600" i="10"/>
  <c r="E3599" i="10"/>
  <c r="E3598" i="10"/>
  <c r="E3597" i="10"/>
  <c r="E3596" i="10"/>
  <c r="E3595" i="10"/>
  <c r="E3594" i="10"/>
  <c r="E3593" i="10"/>
  <c r="E3592" i="10"/>
  <c r="E3591" i="10"/>
  <c r="E3590" i="10"/>
  <c r="E3589" i="10"/>
  <c r="E3588" i="10"/>
  <c r="E3587" i="10"/>
  <c r="E3586" i="10"/>
  <c r="E3585" i="10"/>
  <c r="E3584" i="10"/>
  <c r="E3583" i="10"/>
  <c r="E3582" i="10"/>
  <c r="E3581" i="10"/>
  <c r="E3580" i="10"/>
  <c r="E3579" i="10"/>
  <c r="E3578" i="10"/>
  <c r="E3577" i="10"/>
  <c r="E3576" i="10"/>
  <c r="E3575" i="10"/>
  <c r="E3574" i="10"/>
  <c r="E3573" i="10"/>
  <c r="E3572" i="10"/>
  <c r="E3571" i="10"/>
  <c r="E3570" i="10"/>
  <c r="E3569" i="10"/>
  <c r="E3568" i="10"/>
  <c r="E3567" i="10"/>
  <c r="E3566" i="10"/>
  <c r="E3565" i="10"/>
  <c r="E3564" i="10"/>
  <c r="E3563" i="10"/>
  <c r="E3562" i="10"/>
  <c r="E3561" i="10"/>
  <c r="E3560" i="10"/>
  <c r="E3559" i="10"/>
  <c r="E3558" i="10"/>
  <c r="E3557" i="10"/>
  <c r="E3556" i="10"/>
  <c r="E3555" i="10"/>
  <c r="E3554" i="10"/>
  <c r="E3553" i="10"/>
  <c r="E3552" i="10"/>
  <c r="E3551" i="10"/>
  <c r="E3550" i="10"/>
  <c r="E3549" i="10"/>
  <c r="E3548" i="10"/>
  <c r="E3547" i="10"/>
  <c r="E3546" i="10"/>
  <c r="E3545" i="10"/>
  <c r="E3544" i="10"/>
  <c r="E3543" i="10"/>
  <c r="E3542" i="10"/>
  <c r="E3541" i="10"/>
  <c r="E3540" i="10"/>
  <c r="E3539" i="10"/>
  <c r="E3538" i="10"/>
  <c r="E3537" i="10"/>
  <c r="E3536" i="10"/>
  <c r="E3535" i="10"/>
  <c r="E3534" i="10"/>
  <c r="E3533" i="10"/>
  <c r="E3532" i="10"/>
  <c r="E3531" i="10"/>
  <c r="E3530" i="10"/>
  <c r="E3529" i="10"/>
  <c r="E3528" i="10"/>
  <c r="E3527" i="10"/>
  <c r="E3526" i="10"/>
  <c r="E3525" i="10"/>
  <c r="E3524" i="10"/>
  <c r="E3523" i="10"/>
  <c r="E3522" i="10"/>
  <c r="E3521" i="10"/>
  <c r="E3520" i="10"/>
  <c r="E3519" i="10"/>
  <c r="E3518" i="10"/>
  <c r="E3517" i="10"/>
  <c r="E3516" i="10"/>
  <c r="E3515" i="10"/>
  <c r="E3514" i="10"/>
  <c r="E3513" i="10"/>
  <c r="E3512" i="10"/>
  <c r="E3511" i="10"/>
  <c r="E3510" i="10"/>
  <c r="E3509" i="10"/>
  <c r="E3508" i="10"/>
  <c r="E3507" i="10"/>
  <c r="E3506" i="10"/>
  <c r="E3505" i="10"/>
  <c r="E3504" i="10"/>
  <c r="E3503" i="10"/>
  <c r="E3502" i="10"/>
  <c r="E3501" i="10"/>
  <c r="E3500" i="10"/>
  <c r="E3499" i="10"/>
  <c r="E3498" i="10"/>
  <c r="E3497" i="10"/>
  <c r="E3496" i="10"/>
  <c r="E3495" i="10"/>
  <c r="E3494" i="10"/>
  <c r="E3493" i="10"/>
  <c r="E3492" i="10"/>
  <c r="E3491" i="10"/>
  <c r="E3490" i="10"/>
  <c r="E3489" i="10"/>
  <c r="E3488" i="10"/>
  <c r="E3487" i="10"/>
  <c r="E3486" i="10"/>
  <c r="E3485" i="10"/>
  <c r="E3484" i="10"/>
  <c r="E3483" i="10"/>
  <c r="E3482" i="10"/>
  <c r="E3481" i="10"/>
  <c r="E3480" i="10"/>
  <c r="E3479" i="10"/>
  <c r="E3478" i="10"/>
  <c r="E3477" i="10"/>
  <c r="E3476" i="10"/>
  <c r="E3475" i="10"/>
  <c r="E3474" i="10"/>
  <c r="E3473" i="10"/>
  <c r="E3472" i="10"/>
  <c r="E3471" i="10"/>
  <c r="E3470" i="10"/>
  <c r="E3469" i="10"/>
  <c r="E3468" i="10"/>
  <c r="E3467" i="10"/>
  <c r="E3466" i="10"/>
  <c r="E3465" i="10"/>
  <c r="E3464" i="10"/>
  <c r="E3463" i="10"/>
  <c r="E3462" i="10"/>
  <c r="E3461" i="10"/>
  <c r="E3460" i="10"/>
  <c r="E3459" i="10"/>
  <c r="E3458" i="10"/>
  <c r="E3457" i="10"/>
  <c r="E3456" i="10"/>
  <c r="E3455" i="10"/>
  <c r="E3454" i="10"/>
  <c r="E3453" i="10"/>
  <c r="E3452" i="10"/>
  <c r="E3451" i="10"/>
  <c r="E3450" i="10"/>
  <c r="E3449" i="10"/>
  <c r="E3448" i="10"/>
  <c r="E3447" i="10"/>
  <c r="E3446" i="10"/>
  <c r="E3445" i="10"/>
  <c r="E3444" i="10"/>
  <c r="E3443" i="10"/>
  <c r="E3442" i="10"/>
  <c r="E3441" i="10"/>
  <c r="E3440" i="10"/>
  <c r="E3439" i="10"/>
  <c r="E3438" i="10"/>
  <c r="E3437" i="10"/>
  <c r="E3436" i="10"/>
  <c r="E3435" i="10"/>
  <c r="E3434" i="10"/>
  <c r="E3433" i="10"/>
  <c r="E3432" i="10"/>
  <c r="E3431" i="10"/>
  <c r="E3430" i="10"/>
  <c r="E3429" i="10"/>
  <c r="E3428" i="10"/>
  <c r="E3427" i="10"/>
  <c r="E3426" i="10"/>
  <c r="E3425" i="10"/>
  <c r="E3424" i="10"/>
  <c r="E3423" i="10"/>
  <c r="E3422" i="10"/>
  <c r="E3421" i="10"/>
  <c r="E3420" i="10"/>
  <c r="E3419" i="10"/>
  <c r="E3418" i="10"/>
  <c r="E3417" i="10"/>
  <c r="E3416" i="10"/>
  <c r="E3415" i="10"/>
  <c r="E3414" i="10"/>
  <c r="E3413" i="10"/>
  <c r="E3412" i="10"/>
  <c r="E3411" i="10"/>
  <c r="E3410" i="10"/>
  <c r="E3409" i="10"/>
  <c r="E3408" i="10"/>
  <c r="E3407" i="10"/>
  <c r="E3406" i="10"/>
  <c r="E3405" i="10"/>
  <c r="E3404" i="10"/>
  <c r="E3403" i="10"/>
  <c r="E3402" i="10"/>
  <c r="E3401" i="10"/>
  <c r="E3400" i="10"/>
  <c r="E3399" i="10"/>
  <c r="E3398" i="10"/>
  <c r="E3397" i="10"/>
  <c r="E3396" i="10"/>
  <c r="E3395" i="10"/>
  <c r="E3394" i="10"/>
  <c r="E3393" i="10"/>
  <c r="E3392" i="10"/>
  <c r="E3391" i="10"/>
  <c r="E3390" i="10"/>
  <c r="E3389" i="10"/>
  <c r="E3388" i="10"/>
  <c r="E3387" i="10"/>
  <c r="E3386" i="10"/>
  <c r="E3385" i="10"/>
  <c r="E3384" i="10"/>
  <c r="E3383" i="10"/>
  <c r="E3382" i="10"/>
  <c r="E3381" i="10"/>
  <c r="E3380" i="10"/>
  <c r="E3379" i="10"/>
  <c r="E3378" i="10"/>
  <c r="E3377" i="10"/>
  <c r="E3376" i="10"/>
  <c r="E3375" i="10"/>
  <c r="E3374" i="10"/>
  <c r="E3373" i="10"/>
  <c r="E3372" i="10"/>
  <c r="E3371" i="10"/>
  <c r="E3370" i="10"/>
  <c r="E3369" i="10"/>
  <c r="E3368" i="10"/>
  <c r="E3367" i="10"/>
  <c r="E3366" i="10"/>
  <c r="E3365" i="10"/>
  <c r="E3364" i="10"/>
  <c r="E3363" i="10"/>
  <c r="E3362" i="10"/>
  <c r="E3361" i="10"/>
  <c r="E3360" i="10"/>
  <c r="E3359" i="10"/>
  <c r="E3358" i="10"/>
  <c r="E3357" i="10"/>
  <c r="E3356" i="10"/>
  <c r="E3355" i="10"/>
  <c r="E3354" i="10"/>
  <c r="E3353" i="10"/>
  <c r="E3352" i="10"/>
  <c r="E3351" i="10"/>
  <c r="E3350" i="10"/>
  <c r="E3349" i="10"/>
  <c r="E3348" i="10"/>
  <c r="E3347" i="10"/>
  <c r="E3346" i="10"/>
  <c r="E3345" i="10"/>
  <c r="E3344" i="10"/>
  <c r="E3343" i="10"/>
  <c r="E3342" i="10"/>
  <c r="E3341" i="10"/>
  <c r="E3340" i="10"/>
  <c r="E3339" i="10"/>
  <c r="E3338" i="10"/>
  <c r="E3337" i="10"/>
  <c r="E3336" i="10"/>
  <c r="E3335" i="10"/>
  <c r="E3334" i="10"/>
  <c r="E3333" i="10"/>
  <c r="E3332" i="10"/>
  <c r="E3331" i="10"/>
  <c r="E3330" i="10"/>
  <c r="E3329" i="10"/>
  <c r="E3328" i="10"/>
  <c r="E3327" i="10"/>
  <c r="E3326" i="10"/>
  <c r="E3325" i="10"/>
  <c r="E3324" i="10"/>
  <c r="E3323" i="10"/>
  <c r="E3322" i="10"/>
  <c r="E3321" i="10"/>
  <c r="E3320" i="10"/>
  <c r="E3319" i="10"/>
  <c r="E3318" i="10"/>
  <c r="E3317" i="10"/>
  <c r="E3316" i="10"/>
  <c r="E3315" i="10"/>
  <c r="E3314" i="10"/>
  <c r="E3313" i="10"/>
  <c r="E3312" i="10"/>
  <c r="E3311" i="10"/>
  <c r="E3310" i="10"/>
  <c r="E3309" i="10"/>
  <c r="E3308" i="10"/>
  <c r="E3307" i="10"/>
  <c r="E3306" i="10"/>
  <c r="E3305" i="10"/>
  <c r="E3304" i="10"/>
  <c r="E3303" i="10"/>
  <c r="E3302" i="10"/>
  <c r="E3301" i="10"/>
  <c r="E3300" i="10"/>
  <c r="E3299" i="10"/>
  <c r="E3298" i="10"/>
  <c r="E3297" i="10"/>
  <c r="E3296" i="10"/>
  <c r="E3295" i="10"/>
  <c r="E3294" i="10"/>
  <c r="E3293" i="10"/>
  <c r="E3292" i="10"/>
  <c r="E3291" i="10"/>
  <c r="E3290" i="10"/>
  <c r="E3289" i="10"/>
  <c r="E3288" i="10"/>
  <c r="E3287" i="10"/>
  <c r="E3286" i="10"/>
  <c r="E3285" i="10"/>
  <c r="E3284" i="10"/>
  <c r="E3283" i="10"/>
  <c r="E3282" i="10"/>
  <c r="E3281" i="10"/>
  <c r="E3280" i="10"/>
  <c r="E3279" i="10"/>
  <c r="E3278" i="10"/>
  <c r="E3277" i="10"/>
  <c r="E3276" i="10"/>
  <c r="E3275" i="10"/>
  <c r="E3274" i="10"/>
  <c r="E3273" i="10"/>
  <c r="E3272" i="10"/>
  <c r="E3271" i="10"/>
  <c r="E3270" i="10"/>
  <c r="E3269" i="10"/>
  <c r="E3268" i="10"/>
  <c r="E3267" i="10"/>
  <c r="E3266" i="10"/>
  <c r="E3265" i="10"/>
  <c r="E3264" i="10"/>
  <c r="E3263" i="10"/>
  <c r="E3262" i="10"/>
  <c r="E3261" i="10"/>
  <c r="E3260" i="10"/>
  <c r="E3259" i="10"/>
  <c r="E3258" i="10"/>
  <c r="E3257" i="10"/>
  <c r="E3256" i="10"/>
  <c r="E3255" i="10"/>
  <c r="E3254" i="10"/>
  <c r="E3253" i="10"/>
  <c r="E3252" i="10"/>
  <c r="E3251" i="10"/>
  <c r="E3250" i="10"/>
  <c r="E3249" i="10"/>
  <c r="E3248" i="10"/>
  <c r="E3247" i="10"/>
  <c r="E3246" i="10"/>
  <c r="E3245" i="10"/>
  <c r="E3244" i="10"/>
  <c r="E3243" i="10"/>
  <c r="E3242" i="10"/>
  <c r="E3241" i="10"/>
  <c r="E3240" i="10"/>
  <c r="E3239" i="10"/>
  <c r="E3238" i="10"/>
  <c r="E3237" i="10"/>
  <c r="E3236" i="10"/>
  <c r="E3235" i="10"/>
  <c r="E3234" i="10"/>
  <c r="E3233" i="10"/>
  <c r="E3232" i="10"/>
  <c r="E3231" i="10"/>
  <c r="E3230" i="10"/>
  <c r="E3229" i="10"/>
  <c r="E3228" i="10"/>
  <c r="E3227" i="10"/>
  <c r="E3226" i="10"/>
  <c r="E3225" i="10"/>
  <c r="E3224" i="10"/>
  <c r="E3223" i="10"/>
  <c r="E3222" i="10"/>
  <c r="E3221" i="10"/>
  <c r="E3220" i="10"/>
  <c r="E3219" i="10"/>
  <c r="E3218" i="10"/>
  <c r="E3217" i="10"/>
  <c r="E3216" i="10"/>
  <c r="E3215" i="10"/>
  <c r="E3214" i="10"/>
  <c r="E3213" i="10"/>
  <c r="E3212" i="10"/>
  <c r="E3211" i="10"/>
  <c r="E3210" i="10"/>
  <c r="E3209" i="10"/>
  <c r="E3208" i="10"/>
  <c r="E3207" i="10"/>
  <c r="E3206" i="10"/>
  <c r="E3205" i="10"/>
  <c r="E3204" i="10"/>
  <c r="E3203" i="10"/>
  <c r="E3202" i="10"/>
  <c r="E3201" i="10"/>
  <c r="E3200" i="10"/>
  <c r="E3199" i="10"/>
  <c r="E3198" i="10"/>
  <c r="E3197" i="10"/>
  <c r="E3196" i="10"/>
  <c r="E3195" i="10"/>
  <c r="E3194" i="10"/>
  <c r="E3193" i="10"/>
  <c r="E3192" i="10"/>
  <c r="E3191" i="10"/>
  <c r="E3190" i="10"/>
  <c r="E3189" i="10"/>
  <c r="E3188" i="10"/>
  <c r="E3187" i="10"/>
  <c r="E3186" i="10"/>
  <c r="E3185" i="10"/>
  <c r="E3184" i="10"/>
  <c r="E3183" i="10"/>
  <c r="E3182" i="10"/>
  <c r="E3181" i="10"/>
  <c r="E3180" i="10"/>
  <c r="E3179" i="10"/>
  <c r="E3178" i="10"/>
  <c r="E3177" i="10"/>
  <c r="E3176" i="10"/>
  <c r="E3175" i="10"/>
  <c r="E3174" i="10"/>
  <c r="E3173" i="10"/>
  <c r="E3172" i="10"/>
  <c r="E3171" i="10"/>
  <c r="E3170" i="10"/>
  <c r="E3169" i="10"/>
  <c r="E3168" i="10"/>
  <c r="E3167" i="10"/>
  <c r="E3166" i="10"/>
  <c r="E3165" i="10"/>
  <c r="E3164" i="10"/>
  <c r="E3163" i="10"/>
  <c r="E3162" i="10"/>
  <c r="E3161" i="10"/>
  <c r="E3160" i="10"/>
  <c r="E3159" i="10"/>
  <c r="E3158" i="10"/>
  <c r="E3157" i="10"/>
  <c r="E3156" i="10"/>
  <c r="E3155" i="10"/>
  <c r="E3154" i="10"/>
  <c r="E3153" i="10"/>
  <c r="E3152" i="10"/>
  <c r="E3151" i="10"/>
  <c r="E3150" i="10"/>
  <c r="E3149" i="10"/>
  <c r="E3148" i="10"/>
  <c r="E3147" i="10"/>
  <c r="E3146" i="10"/>
  <c r="E3145" i="10"/>
  <c r="E3144" i="10"/>
  <c r="E3143" i="10"/>
  <c r="E3142" i="10"/>
  <c r="E3141" i="10"/>
  <c r="E3140" i="10"/>
  <c r="E3139" i="10"/>
  <c r="E3138" i="10"/>
  <c r="E3137" i="10"/>
  <c r="E3136" i="10"/>
  <c r="E3135" i="10"/>
  <c r="E3134" i="10"/>
  <c r="E3133" i="10"/>
  <c r="E3132" i="10"/>
  <c r="E3131" i="10"/>
  <c r="E3130" i="10"/>
  <c r="E3129" i="10"/>
  <c r="E3128" i="10"/>
  <c r="E3127" i="10"/>
  <c r="E3126" i="10"/>
  <c r="E3125" i="10"/>
  <c r="E3124" i="10"/>
  <c r="E3123" i="10"/>
  <c r="E3122" i="10"/>
  <c r="E3121" i="10"/>
  <c r="E3120" i="10"/>
  <c r="E3119" i="10"/>
  <c r="E3118" i="10"/>
  <c r="E3117" i="10"/>
  <c r="E3116" i="10"/>
  <c r="E3115" i="10"/>
  <c r="E3114" i="10"/>
  <c r="E3113" i="10"/>
  <c r="E3112" i="10"/>
  <c r="E3111" i="10"/>
  <c r="E3110" i="10"/>
  <c r="E3109" i="10"/>
  <c r="E3108" i="10"/>
  <c r="E3107" i="10"/>
  <c r="E3106" i="10"/>
  <c r="E3105" i="10"/>
  <c r="E3104" i="10"/>
  <c r="E3103" i="10"/>
  <c r="E3102" i="10"/>
  <c r="E3101" i="10"/>
  <c r="E3100" i="10"/>
  <c r="E3099" i="10"/>
  <c r="E3098" i="10"/>
  <c r="E3097" i="10"/>
  <c r="E3096" i="10"/>
  <c r="E3095" i="10"/>
  <c r="E3094" i="10"/>
  <c r="E3093" i="10"/>
  <c r="E3092" i="10"/>
  <c r="E3091" i="10"/>
  <c r="E3090" i="10"/>
  <c r="E3089" i="10"/>
  <c r="E3088" i="10"/>
  <c r="E3087" i="10"/>
  <c r="E3086" i="10"/>
  <c r="E3085" i="10"/>
  <c r="E3084" i="10"/>
  <c r="E3083" i="10"/>
  <c r="E3082" i="10"/>
  <c r="E3081" i="10"/>
  <c r="E3080" i="10"/>
  <c r="E3079" i="10"/>
  <c r="E3078" i="10"/>
  <c r="E3077" i="10"/>
  <c r="E3076" i="10"/>
  <c r="E3075" i="10"/>
  <c r="E3074" i="10"/>
  <c r="E3073" i="10"/>
  <c r="E3072" i="10"/>
  <c r="E3071" i="10"/>
  <c r="E3070" i="10"/>
  <c r="E3069" i="10"/>
  <c r="E3068" i="10"/>
  <c r="E3067" i="10"/>
  <c r="E3066" i="10"/>
  <c r="E3065" i="10"/>
  <c r="E3064" i="10"/>
  <c r="E3063" i="10"/>
  <c r="E3062" i="10"/>
  <c r="E3061" i="10"/>
  <c r="E3060" i="10"/>
  <c r="E3059" i="10"/>
  <c r="E3058" i="10"/>
  <c r="E3057" i="10"/>
  <c r="E3056" i="10"/>
  <c r="E3055" i="10"/>
  <c r="E3054" i="10"/>
  <c r="E3053" i="10"/>
  <c r="E3052" i="10"/>
  <c r="E3051" i="10"/>
  <c r="E3050" i="10"/>
  <c r="E3049" i="10"/>
  <c r="E3048" i="10"/>
  <c r="E3047" i="10"/>
  <c r="E3046" i="10"/>
  <c r="E3045" i="10"/>
  <c r="E3044" i="10"/>
  <c r="E3043" i="10"/>
  <c r="E3042" i="10"/>
  <c r="E3041" i="10"/>
  <c r="E3040" i="10"/>
  <c r="E3039" i="10"/>
  <c r="E3038" i="10"/>
  <c r="E3037" i="10"/>
  <c r="E3036" i="10"/>
  <c r="E3035" i="10"/>
  <c r="E3034" i="10"/>
  <c r="E3033" i="10"/>
  <c r="E3032" i="10"/>
  <c r="E3031" i="10"/>
  <c r="E3030" i="10"/>
  <c r="E3029" i="10"/>
  <c r="E3028" i="10"/>
  <c r="E3027" i="10"/>
  <c r="E3026" i="10"/>
  <c r="E3025" i="10"/>
  <c r="E3024" i="10"/>
  <c r="E3023" i="10"/>
  <c r="E3022" i="10"/>
  <c r="E3021" i="10"/>
  <c r="E3020" i="10"/>
  <c r="E3019" i="10"/>
  <c r="E3018" i="10"/>
  <c r="E3017" i="10"/>
  <c r="E3016" i="10"/>
  <c r="E3015" i="10"/>
  <c r="E3014" i="10"/>
  <c r="E3013" i="10"/>
  <c r="E3012" i="10"/>
  <c r="E3011" i="10"/>
  <c r="E3010" i="10"/>
  <c r="E3009" i="10"/>
  <c r="E3008" i="10"/>
  <c r="E3007" i="10"/>
  <c r="E3006" i="10"/>
  <c r="E3005" i="10"/>
  <c r="E3004" i="10"/>
  <c r="E3003" i="10"/>
  <c r="E3002" i="10"/>
  <c r="E3001" i="10"/>
  <c r="E3000" i="10"/>
  <c r="E2999" i="10"/>
  <c r="E2998" i="10"/>
  <c r="E2997" i="10"/>
  <c r="E2996" i="10"/>
  <c r="E2995" i="10"/>
  <c r="E2994" i="10"/>
  <c r="E2993" i="10"/>
  <c r="E2992" i="10"/>
  <c r="E2991" i="10"/>
  <c r="E2990" i="10"/>
  <c r="E2989" i="10"/>
  <c r="E2988" i="10"/>
  <c r="E2987" i="10"/>
  <c r="E2986" i="10"/>
  <c r="E2985" i="10"/>
  <c r="E2984" i="10"/>
  <c r="E2983" i="10"/>
  <c r="E2982" i="10"/>
  <c r="E2981" i="10"/>
  <c r="E2980" i="10"/>
  <c r="E2979" i="10"/>
  <c r="E2978" i="10"/>
  <c r="E2977" i="10"/>
  <c r="E2976" i="10"/>
  <c r="E2975" i="10"/>
  <c r="E2974" i="10"/>
  <c r="E2973" i="10"/>
  <c r="E2972" i="10"/>
  <c r="E2971" i="10"/>
  <c r="E2970" i="10"/>
  <c r="E2969" i="10"/>
  <c r="E2968" i="10"/>
  <c r="E2967" i="10"/>
  <c r="E2966" i="10"/>
  <c r="E2965" i="10"/>
  <c r="E2964" i="10"/>
  <c r="E2963" i="10"/>
  <c r="E2962" i="10"/>
  <c r="E2961" i="10"/>
  <c r="E2960" i="10"/>
  <c r="E2959" i="10"/>
  <c r="E2958" i="10"/>
  <c r="E2957" i="10"/>
  <c r="E2956" i="10"/>
  <c r="E2955" i="10"/>
  <c r="E2954" i="10"/>
  <c r="E2953" i="10"/>
  <c r="E2952" i="10"/>
  <c r="E2951" i="10"/>
  <c r="E2950" i="10"/>
  <c r="E2949" i="10"/>
  <c r="E2948" i="10"/>
  <c r="E2947" i="10"/>
  <c r="E2946" i="10"/>
  <c r="E2945" i="10"/>
  <c r="E2944" i="10"/>
  <c r="E2943" i="10"/>
  <c r="E2942" i="10"/>
  <c r="E2941" i="10"/>
  <c r="E2940" i="10"/>
  <c r="E2939" i="10"/>
  <c r="E2938" i="10"/>
  <c r="E2937" i="10"/>
  <c r="E2936" i="10"/>
  <c r="E2935" i="10"/>
  <c r="E2934" i="10"/>
  <c r="E2933" i="10"/>
  <c r="E2932" i="10"/>
  <c r="E2931" i="10"/>
  <c r="E2930" i="10"/>
  <c r="E2929" i="10"/>
  <c r="E2928" i="10"/>
  <c r="E2927" i="10"/>
  <c r="E2926" i="10"/>
  <c r="E2925" i="10"/>
  <c r="E2924" i="10"/>
  <c r="E2923" i="10"/>
  <c r="E2922" i="10"/>
  <c r="E2921" i="10"/>
  <c r="E2920" i="10"/>
  <c r="E2919" i="10"/>
  <c r="E2918" i="10"/>
  <c r="E2917" i="10"/>
  <c r="E2916" i="10"/>
  <c r="E2915" i="10"/>
  <c r="E2914" i="10"/>
  <c r="E2913" i="10"/>
  <c r="E2912" i="10"/>
  <c r="E2911" i="10"/>
  <c r="E2910" i="10"/>
  <c r="E2909" i="10"/>
  <c r="E2908" i="10"/>
  <c r="E2907" i="10"/>
  <c r="E2906" i="10"/>
  <c r="E2905" i="10"/>
  <c r="E2904" i="10"/>
  <c r="E2903" i="10"/>
  <c r="E2902" i="10"/>
  <c r="E2901" i="10"/>
  <c r="E2900" i="10"/>
  <c r="E2899" i="10"/>
  <c r="E2898" i="10"/>
  <c r="E2897" i="10"/>
  <c r="E2896" i="10"/>
  <c r="E2895" i="10"/>
  <c r="E2894" i="10"/>
  <c r="E2893" i="10"/>
  <c r="E2892" i="10"/>
  <c r="E2891" i="10"/>
  <c r="E2890" i="10"/>
  <c r="E2889" i="10"/>
  <c r="E2888" i="10"/>
  <c r="E2887" i="10"/>
  <c r="E2886" i="10"/>
  <c r="E2885" i="10"/>
  <c r="E2884" i="10"/>
  <c r="E2883" i="10"/>
  <c r="E2882" i="10"/>
  <c r="E2881" i="10"/>
  <c r="E2880" i="10"/>
  <c r="E2879" i="10"/>
  <c r="E2878" i="10"/>
  <c r="E2877" i="10"/>
  <c r="E2876" i="10"/>
  <c r="E2875" i="10"/>
  <c r="E2874" i="10"/>
  <c r="E2873" i="10"/>
  <c r="E2872" i="10"/>
  <c r="E2871" i="10"/>
  <c r="E2870" i="10"/>
  <c r="E2869" i="10"/>
  <c r="E2868" i="10"/>
  <c r="E2867" i="10"/>
  <c r="E2866" i="10"/>
  <c r="E2865" i="10"/>
  <c r="E2864" i="10"/>
  <c r="E2863" i="10"/>
  <c r="E2862" i="10"/>
  <c r="E2861" i="10"/>
  <c r="E2860" i="10"/>
  <c r="E2859" i="10"/>
  <c r="E2858" i="10"/>
  <c r="E2857" i="10"/>
  <c r="E2856" i="10"/>
  <c r="E2855" i="10"/>
  <c r="E2854" i="10"/>
  <c r="E2853" i="10"/>
  <c r="E2852" i="10"/>
  <c r="E2851" i="10"/>
  <c r="E2850" i="10"/>
  <c r="E2849" i="10"/>
  <c r="E2848" i="10"/>
  <c r="E2847" i="10"/>
  <c r="E2846" i="10"/>
  <c r="E2845" i="10"/>
  <c r="E2844" i="10"/>
  <c r="E2843" i="10"/>
  <c r="E2842" i="10"/>
  <c r="E2841" i="10"/>
  <c r="E2840" i="10"/>
  <c r="E2839" i="10"/>
  <c r="E2838" i="10"/>
  <c r="E2837" i="10"/>
  <c r="E2836" i="10"/>
  <c r="E2835" i="10"/>
  <c r="E2834" i="10"/>
  <c r="E2833" i="10"/>
  <c r="E2832" i="10"/>
  <c r="E2831" i="10"/>
  <c r="E2830" i="10"/>
  <c r="E2829" i="10"/>
  <c r="E2828" i="10"/>
  <c r="E2827" i="10"/>
  <c r="E2826" i="10"/>
  <c r="E2825" i="10"/>
  <c r="E2824" i="10"/>
  <c r="E2823" i="10"/>
  <c r="E2822" i="10"/>
  <c r="E2821" i="10"/>
  <c r="E2820" i="10"/>
  <c r="E2819" i="10"/>
  <c r="E2818" i="10"/>
  <c r="E2817" i="10"/>
  <c r="E2816" i="10"/>
  <c r="E2815" i="10"/>
  <c r="E2814" i="10"/>
  <c r="E2813" i="10"/>
  <c r="E2812" i="10"/>
  <c r="E2811" i="10"/>
  <c r="E2810" i="10"/>
  <c r="E2809" i="10"/>
  <c r="E2808" i="10"/>
  <c r="E2807" i="10"/>
  <c r="E2806" i="10"/>
  <c r="E2805" i="10"/>
  <c r="E2804" i="10"/>
  <c r="E2803" i="10"/>
  <c r="E2802" i="10"/>
  <c r="E2801" i="10"/>
  <c r="E2800" i="10"/>
  <c r="E2799" i="10"/>
  <c r="E2798" i="10"/>
  <c r="E2797" i="10"/>
  <c r="E2796" i="10"/>
  <c r="E2795" i="10"/>
  <c r="E2794" i="10"/>
  <c r="E2793" i="10"/>
  <c r="E2792" i="10"/>
  <c r="E2791" i="10"/>
  <c r="E2790" i="10"/>
  <c r="E2789" i="10"/>
  <c r="E2788" i="10"/>
  <c r="E2787" i="10"/>
  <c r="E2786" i="10"/>
  <c r="E2785" i="10"/>
  <c r="E2784" i="10"/>
  <c r="E2783" i="10"/>
  <c r="E2782" i="10"/>
  <c r="E2781" i="10"/>
  <c r="E2780" i="10"/>
  <c r="E2779" i="10"/>
  <c r="E2778" i="10"/>
  <c r="E2777" i="10"/>
  <c r="E2776" i="10"/>
  <c r="E2775" i="10"/>
  <c r="E2774" i="10"/>
  <c r="E2773" i="10"/>
  <c r="E2772" i="10"/>
  <c r="E2771" i="10"/>
  <c r="E2770" i="10"/>
  <c r="E2769" i="10"/>
  <c r="E2768" i="10"/>
  <c r="E2767" i="10"/>
  <c r="E2766" i="10"/>
  <c r="E2765" i="10"/>
  <c r="E2764" i="10"/>
  <c r="E2763" i="10"/>
  <c r="E2762" i="10"/>
  <c r="E2761" i="10"/>
  <c r="E2760" i="10"/>
  <c r="E2759" i="10"/>
  <c r="E2758" i="10"/>
  <c r="E2757" i="10"/>
  <c r="E2756" i="10"/>
  <c r="E2755" i="10"/>
  <c r="E2754" i="10"/>
  <c r="E2753" i="10"/>
  <c r="E2752" i="10"/>
  <c r="E2751" i="10"/>
  <c r="E2750" i="10"/>
  <c r="E2749" i="10"/>
  <c r="E2748" i="10"/>
  <c r="E2747" i="10"/>
  <c r="E2746" i="10"/>
  <c r="E2745" i="10"/>
  <c r="E2744" i="10"/>
  <c r="E2743" i="10"/>
  <c r="E2742" i="10"/>
  <c r="E2741" i="10"/>
  <c r="E2740" i="10"/>
  <c r="E2739" i="10"/>
  <c r="E2738" i="10"/>
  <c r="E2737" i="10"/>
  <c r="E2736" i="10"/>
  <c r="E2735" i="10"/>
  <c r="E2734" i="10"/>
  <c r="E2733" i="10"/>
  <c r="E2732" i="10"/>
  <c r="E2731" i="10"/>
  <c r="E2730" i="10"/>
  <c r="E2729" i="10"/>
  <c r="E2728" i="10"/>
  <c r="E2727" i="10"/>
  <c r="E2726" i="10"/>
  <c r="E2725" i="10"/>
  <c r="E2724" i="10"/>
  <c r="E2723" i="10"/>
  <c r="E2722" i="10"/>
  <c r="E2721" i="10"/>
  <c r="E2720" i="10"/>
  <c r="E2719" i="10"/>
  <c r="E2718" i="10"/>
  <c r="E2717" i="10"/>
  <c r="E2716" i="10"/>
  <c r="E2715" i="10"/>
  <c r="E2714" i="10"/>
  <c r="E2713" i="10"/>
  <c r="E2712" i="10"/>
  <c r="E2711" i="10"/>
  <c r="E2710" i="10"/>
  <c r="E2709" i="10"/>
  <c r="E2708" i="10"/>
  <c r="E2707" i="10"/>
  <c r="E2706" i="10"/>
  <c r="E2705" i="10"/>
  <c r="E2704" i="10"/>
  <c r="E2703" i="10"/>
  <c r="E2702" i="10"/>
  <c r="E2701" i="10"/>
  <c r="E2700" i="10"/>
  <c r="E2699" i="10"/>
  <c r="E2698" i="10"/>
  <c r="E2697" i="10"/>
  <c r="E2696" i="10"/>
  <c r="E2695" i="10"/>
  <c r="E2694" i="10"/>
  <c r="E2693" i="10"/>
  <c r="E2692" i="10"/>
  <c r="E2691" i="10"/>
  <c r="E2690" i="10"/>
  <c r="E2689" i="10"/>
  <c r="E2688" i="10"/>
  <c r="E2687" i="10"/>
  <c r="E2686" i="10"/>
  <c r="E2685" i="10"/>
  <c r="E2684" i="10"/>
  <c r="E2683" i="10"/>
  <c r="E2682" i="10"/>
  <c r="E2681" i="10"/>
  <c r="E2680" i="10"/>
  <c r="E2679" i="10"/>
  <c r="E2678" i="10"/>
  <c r="E2677" i="10"/>
  <c r="E2676" i="10"/>
  <c r="E2675" i="10"/>
  <c r="E2674" i="10"/>
  <c r="E2673" i="10"/>
  <c r="E2672" i="10"/>
  <c r="E2671" i="10"/>
  <c r="E2670" i="10"/>
  <c r="E2669" i="10"/>
  <c r="E2668" i="10"/>
  <c r="E2667" i="10"/>
  <c r="E2666" i="10"/>
  <c r="E2665" i="10"/>
  <c r="E2664" i="10"/>
  <c r="E2663" i="10"/>
  <c r="E2662" i="10"/>
  <c r="E2661" i="10"/>
  <c r="E2660" i="10"/>
  <c r="E2659" i="10"/>
  <c r="E2658" i="10"/>
  <c r="E2657" i="10"/>
  <c r="E2656" i="10"/>
  <c r="E2655" i="10"/>
  <c r="E2654" i="10"/>
  <c r="E2653" i="10"/>
  <c r="E2652" i="10"/>
  <c r="E2651" i="10"/>
  <c r="E2650" i="10"/>
  <c r="E2649" i="10"/>
  <c r="E2648" i="10"/>
  <c r="E2647" i="10"/>
  <c r="E2646" i="10"/>
  <c r="E2645" i="10"/>
  <c r="E2644" i="10"/>
  <c r="E2643" i="10"/>
  <c r="E2642" i="10"/>
  <c r="E2641" i="10"/>
  <c r="E2640" i="10"/>
  <c r="E2639" i="10"/>
  <c r="E2638" i="10"/>
  <c r="E2637" i="10"/>
  <c r="E2636" i="10"/>
  <c r="E2635" i="10"/>
  <c r="E2634" i="10"/>
  <c r="E2633" i="10"/>
  <c r="E2632" i="10"/>
  <c r="E2631" i="10"/>
  <c r="E2630" i="10"/>
  <c r="E2629" i="10"/>
  <c r="E2628" i="10"/>
  <c r="E2627" i="10"/>
  <c r="E2626" i="10"/>
  <c r="E2625" i="10"/>
  <c r="E2624" i="10"/>
  <c r="E2623" i="10"/>
  <c r="E2622" i="10"/>
  <c r="E2621" i="10"/>
  <c r="E2620" i="10"/>
  <c r="E2619" i="10"/>
  <c r="E2618" i="10"/>
  <c r="E2617" i="10"/>
  <c r="E2616" i="10"/>
  <c r="E2615" i="10"/>
  <c r="E2614" i="10"/>
  <c r="E2613" i="10"/>
  <c r="E2612" i="10"/>
  <c r="E2611" i="10"/>
  <c r="E2610" i="10"/>
  <c r="E2609" i="10"/>
  <c r="E2608" i="10"/>
  <c r="E2607" i="10"/>
  <c r="E2606" i="10"/>
  <c r="E2605" i="10"/>
  <c r="E2604" i="10"/>
  <c r="E2603" i="10"/>
  <c r="E2602" i="10"/>
  <c r="E2601" i="10"/>
  <c r="E2600" i="10"/>
  <c r="E2599" i="10"/>
  <c r="E2598" i="10"/>
  <c r="E2597" i="10"/>
  <c r="E2596" i="10"/>
  <c r="E2595" i="10"/>
  <c r="E2594" i="10"/>
  <c r="E2593" i="10"/>
  <c r="E2592" i="10"/>
  <c r="E2591" i="10"/>
  <c r="E2590" i="10"/>
  <c r="E2589" i="10"/>
  <c r="E2588" i="10"/>
  <c r="E2587" i="10"/>
  <c r="E2586" i="10"/>
  <c r="E2585" i="10"/>
  <c r="E2584" i="10"/>
  <c r="E2583" i="10"/>
  <c r="E2582" i="10"/>
  <c r="E2581" i="10"/>
  <c r="E2580" i="10"/>
  <c r="E2579" i="10"/>
  <c r="E2578" i="10"/>
  <c r="E2577" i="10"/>
  <c r="E2576" i="10"/>
  <c r="E2575" i="10"/>
  <c r="E2574" i="10"/>
  <c r="E2573" i="10"/>
  <c r="E2572" i="10"/>
  <c r="E2571" i="10"/>
  <c r="E2570" i="10"/>
  <c r="E2569" i="10"/>
  <c r="E2568" i="10"/>
  <c r="E2567" i="10"/>
  <c r="E2566" i="10"/>
  <c r="E2565" i="10"/>
  <c r="E2564" i="10"/>
  <c r="E2563" i="10"/>
  <c r="E2562" i="10"/>
  <c r="E2561" i="10"/>
  <c r="E2560" i="10"/>
  <c r="E2559" i="10"/>
  <c r="E2558" i="10"/>
  <c r="E2557" i="10"/>
  <c r="E2556" i="10"/>
  <c r="E2555" i="10"/>
  <c r="E2554" i="10"/>
  <c r="E2553" i="10"/>
  <c r="E2552" i="10"/>
  <c r="E2551" i="10"/>
  <c r="E2550" i="10"/>
  <c r="E2549" i="10"/>
  <c r="E2548" i="10"/>
  <c r="E2547" i="10"/>
  <c r="E2546" i="10"/>
  <c r="E2545" i="10"/>
  <c r="E2544" i="10"/>
  <c r="E2543" i="10"/>
  <c r="E2542" i="10"/>
  <c r="E2541" i="10"/>
  <c r="E2540" i="10"/>
  <c r="E2539" i="10"/>
  <c r="E2538" i="10"/>
  <c r="E2537" i="10"/>
  <c r="E2536" i="10"/>
  <c r="E2535" i="10"/>
  <c r="E2534" i="10"/>
  <c r="E2533" i="10"/>
  <c r="E2532" i="10"/>
  <c r="E2531" i="10"/>
  <c r="E2530" i="10"/>
  <c r="E2529" i="10"/>
  <c r="E2528" i="10"/>
  <c r="E2527" i="10"/>
  <c r="E2526" i="10"/>
  <c r="E2525" i="10"/>
  <c r="E2524" i="10"/>
  <c r="E2523" i="10"/>
  <c r="E2522" i="10"/>
  <c r="E2521" i="10"/>
  <c r="E2520" i="10"/>
  <c r="E2519" i="10"/>
  <c r="E2518" i="10"/>
  <c r="E2517" i="10"/>
  <c r="E2516" i="10"/>
  <c r="E2515" i="10"/>
  <c r="E2514" i="10"/>
  <c r="E2513" i="10"/>
  <c r="E2512" i="10"/>
  <c r="E2511" i="10"/>
  <c r="E2510" i="10"/>
  <c r="E2509" i="10"/>
  <c r="E2508" i="10"/>
  <c r="E2507" i="10"/>
  <c r="E2506" i="10"/>
  <c r="E2505" i="10"/>
  <c r="E2504" i="10"/>
  <c r="E2503" i="10"/>
  <c r="E2502" i="10"/>
  <c r="E2501" i="10"/>
  <c r="E2500" i="10"/>
  <c r="E2499" i="10"/>
  <c r="E2498" i="10"/>
  <c r="E2497" i="10"/>
  <c r="E2496" i="10"/>
  <c r="E2495" i="10"/>
  <c r="E2494" i="10"/>
  <c r="E2493" i="10"/>
  <c r="E2492" i="10"/>
  <c r="E2491" i="10"/>
  <c r="E2490" i="10"/>
  <c r="E2489" i="10"/>
  <c r="E2488" i="10"/>
  <c r="E2487" i="10"/>
  <c r="E2486" i="10"/>
  <c r="E2485" i="10"/>
  <c r="E2484" i="10"/>
  <c r="E2483" i="10"/>
  <c r="E2482" i="10"/>
  <c r="E2481" i="10"/>
  <c r="E2480" i="10"/>
  <c r="E2479" i="10"/>
  <c r="E2478" i="10"/>
  <c r="E2477" i="10"/>
  <c r="E2476" i="10"/>
  <c r="E2475" i="10"/>
  <c r="E2474" i="10"/>
  <c r="E2473" i="10"/>
  <c r="E2472" i="10"/>
  <c r="E2471" i="10"/>
  <c r="E2470" i="10"/>
  <c r="E2469" i="10"/>
  <c r="E2468" i="10"/>
  <c r="E2467" i="10"/>
  <c r="E2466" i="10"/>
  <c r="E2465" i="10"/>
  <c r="E2464" i="10"/>
  <c r="E2463" i="10"/>
  <c r="E2462" i="10"/>
  <c r="E2461" i="10"/>
  <c r="E2460" i="10"/>
  <c r="E2459" i="10"/>
  <c r="E2458" i="10"/>
  <c r="E2457" i="10"/>
  <c r="E2456" i="10"/>
  <c r="E2455" i="10"/>
  <c r="E2454" i="10"/>
  <c r="E2453" i="10"/>
  <c r="E2452" i="10"/>
  <c r="E2451" i="10"/>
  <c r="E2450" i="10"/>
  <c r="E2449" i="10"/>
  <c r="E2448" i="10"/>
  <c r="E2447" i="10"/>
  <c r="E2446" i="10"/>
  <c r="E2445" i="10"/>
  <c r="E2444" i="10"/>
  <c r="E2443" i="10"/>
  <c r="E2442" i="10"/>
  <c r="E2441" i="10"/>
  <c r="E2440" i="10"/>
  <c r="E2439" i="10"/>
  <c r="E2438" i="10"/>
  <c r="E2437" i="10"/>
  <c r="E2436" i="10"/>
  <c r="E2435" i="10"/>
  <c r="E2434" i="10"/>
  <c r="E2433" i="10"/>
  <c r="E2432" i="10"/>
  <c r="E2431" i="10"/>
  <c r="E2430" i="10"/>
  <c r="E2429" i="10"/>
  <c r="E2428" i="10"/>
  <c r="E2427" i="10"/>
  <c r="E2426" i="10"/>
  <c r="E2425" i="10"/>
  <c r="E2424" i="10"/>
  <c r="E2423" i="10"/>
  <c r="E2422" i="10"/>
  <c r="E2421" i="10"/>
  <c r="E2420" i="10"/>
  <c r="E2419" i="10"/>
  <c r="E2418" i="10"/>
  <c r="E2417" i="10"/>
  <c r="E2416" i="10"/>
  <c r="E2415" i="10"/>
  <c r="E2414" i="10"/>
  <c r="E2413" i="10"/>
  <c r="E2412" i="10"/>
  <c r="E2411" i="10"/>
  <c r="E2410" i="10"/>
  <c r="E2409" i="10"/>
  <c r="E2408" i="10"/>
  <c r="E2407" i="10"/>
  <c r="E2406" i="10"/>
  <c r="E2405" i="10"/>
  <c r="E2404" i="10"/>
  <c r="E2403" i="10"/>
  <c r="E2402" i="10"/>
  <c r="E2401" i="10"/>
  <c r="E2400" i="10"/>
  <c r="E2399" i="10"/>
  <c r="E2398" i="10"/>
  <c r="E2397" i="10"/>
  <c r="E2396" i="10"/>
  <c r="E2395" i="10"/>
  <c r="E2394" i="10"/>
  <c r="E2393" i="10"/>
  <c r="E2392" i="10"/>
  <c r="E2391" i="10"/>
  <c r="E2390" i="10"/>
  <c r="E2389" i="10"/>
  <c r="E2388" i="10"/>
  <c r="E2387" i="10"/>
  <c r="E2386" i="10"/>
  <c r="E2385" i="10"/>
  <c r="E2384" i="10"/>
  <c r="E2383" i="10"/>
  <c r="E2382" i="10"/>
  <c r="E2381" i="10"/>
  <c r="E2380" i="10"/>
  <c r="E2379" i="10"/>
  <c r="E2378" i="10"/>
  <c r="E2377" i="10"/>
  <c r="E2376" i="10"/>
  <c r="E2375" i="10"/>
  <c r="E2374" i="10"/>
  <c r="E2373" i="10"/>
  <c r="E2372" i="10"/>
  <c r="E2371" i="10"/>
  <c r="E2370" i="10"/>
  <c r="E2369" i="10"/>
  <c r="E2368" i="10"/>
  <c r="E2367" i="10"/>
  <c r="E2366" i="10"/>
  <c r="E2365" i="10"/>
  <c r="E2364" i="10"/>
  <c r="E2363" i="10"/>
  <c r="E2362" i="10"/>
  <c r="E2361" i="10"/>
  <c r="E2360" i="10"/>
  <c r="E2359" i="10"/>
  <c r="E2358" i="10"/>
  <c r="E2357" i="10"/>
  <c r="E2356" i="10"/>
  <c r="E2355" i="10"/>
  <c r="E2354" i="10"/>
  <c r="E2353" i="10"/>
  <c r="E2352" i="10"/>
  <c r="E2351" i="10"/>
  <c r="E2350" i="10"/>
  <c r="E2349" i="10"/>
  <c r="E2348" i="10"/>
  <c r="E2347" i="10"/>
  <c r="E2346" i="10"/>
  <c r="E2345" i="10"/>
  <c r="E2344" i="10"/>
  <c r="E2343" i="10"/>
  <c r="E2342" i="10"/>
  <c r="E2341" i="10"/>
  <c r="E2340" i="10"/>
  <c r="E2339" i="10"/>
  <c r="E2338" i="10"/>
  <c r="E2337" i="10"/>
  <c r="E2336" i="10"/>
  <c r="E2335" i="10"/>
  <c r="E2334" i="10"/>
  <c r="E2333" i="10"/>
  <c r="E2332" i="10"/>
  <c r="E2331" i="10"/>
  <c r="E2330" i="10"/>
  <c r="E2329" i="10"/>
  <c r="E2328" i="10"/>
  <c r="E2327" i="10"/>
  <c r="E2326" i="10"/>
  <c r="E2325" i="10"/>
  <c r="E2324" i="10"/>
  <c r="E2323" i="10"/>
  <c r="E2322" i="10"/>
  <c r="E2321" i="10"/>
  <c r="E2320" i="10"/>
  <c r="E2319" i="10"/>
  <c r="E2318" i="10"/>
  <c r="E2317" i="10"/>
  <c r="E2316" i="10"/>
  <c r="E2315" i="10"/>
  <c r="E2314" i="10"/>
  <c r="E2313" i="10"/>
  <c r="E2312" i="10"/>
  <c r="E2311" i="10"/>
  <c r="E2310" i="10"/>
  <c r="E2309" i="10"/>
  <c r="E2308" i="10"/>
  <c r="E2307" i="10"/>
  <c r="E2306" i="10"/>
  <c r="E2305" i="10"/>
  <c r="E2304" i="10"/>
  <c r="E2303" i="10"/>
  <c r="E2302" i="10"/>
  <c r="E2301" i="10"/>
  <c r="E2300" i="10"/>
  <c r="E2299" i="10"/>
  <c r="E2298" i="10"/>
  <c r="E2297" i="10"/>
  <c r="E2296" i="10"/>
  <c r="E2295" i="10"/>
  <c r="E2294" i="10"/>
  <c r="E2293" i="10"/>
  <c r="E2292" i="10"/>
  <c r="E2291" i="10"/>
  <c r="E2290" i="10"/>
  <c r="E2289" i="10"/>
  <c r="E2288" i="10"/>
  <c r="E2287" i="10"/>
  <c r="E2286" i="10"/>
  <c r="E2285" i="10"/>
  <c r="E2284" i="10"/>
  <c r="E2283" i="10"/>
  <c r="E2282" i="10"/>
  <c r="E2281" i="10"/>
  <c r="E2280" i="10"/>
  <c r="E2279" i="10"/>
  <c r="E2278" i="10"/>
  <c r="E2277" i="10"/>
  <c r="E2276" i="10"/>
  <c r="E2275" i="10"/>
  <c r="E2274" i="10"/>
  <c r="E2273" i="10"/>
  <c r="E2272" i="10"/>
  <c r="E2271" i="10"/>
  <c r="E2270" i="10"/>
  <c r="E2269" i="10"/>
  <c r="E2268" i="10"/>
  <c r="E2267" i="10"/>
  <c r="E2266" i="10"/>
  <c r="E2265" i="10"/>
  <c r="E2264" i="10"/>
  <c r="E2263" i="10"/>
  <c r="E2262" i="10"/>
  <c r="E2261" i="10"/>
  <c r="E2260" i="10"/>
  <c r="E2259" i="10"/>
  <c r="E2258" i="10"/>
  <c r="E2257" i="10"/>
  <c r="E2256" i="10"/>
  <c r="E2255" i="10"/>
  <c r="E2254" i="10"/>
  <c r="E2253" i="10"/>
  <c r="E2252" i="10"/>
  <c r="E2251" i="10"/>
  <c r="E2250" i="10"/>
  <c r="E2249" i="10"/>
  <c r="E2248" i="10"/>
  <c r="E2247" i="10"/>
  <c r="E2246" i="10"/>
  <c r="E2245" i="10"/>
  <c r="E2244" i="10"/>
  <c r="E2243" i="10"/>
  <c r="E2242" i="10"/>
  <c r="E2241" i="10"/>
  <c r="E2240" i="10"/>
  <c r="E2239" i="10"/>
  <c r="E2238" i="10"/>
  <c r="E2237" i="10"/>
  <c r="E2236" i="10"/>
  <c r="E2235" i="10"/>
  <c r="E2234" i="10"/>
  <c r="E2233" i="10"/>
  <c r="E2232" i="10"/>
  <c r="E2231" i="10"/>
  <c r="E2230" i="10"/>
  <c r="E2229" i="10"/>
  <c r="E2228" i="10"/>
  <c r="E2227" i="10"/>
  <c r="E2226" i="10"/>
  <c r="E2225" i="10"/>
  <c r="E2224" i="10"/>
  <c r="E2223" i="10"/>
  <c r="E2222" i="10"/>
  <c r="E2221" i="10"/>
  <c r="E2220" i="10"/>
  <c r="E2219" i="10"/>
  <c r="E2218" i="10"/>
  <c r="E2217" i="10"/>
  <c r="E2216" i="10"/>
  <c r="E2215" i="10"/>
  <c r="E2214" i="10"/>
  <c r="E2213" i="10"/>
  <c r="E2212" i="10"/>
  <c r="E2211" i="10"/>
  <c r="E2210" i="10"/>
  <c r="E2209" i="10"/>
  <c r="E2208" i="10"/>
  <c r="E2207" i="10"/>
  <c r="E2206" i="10"/>
  <c r="E2205" i="10"/>
  <c r="E2204" i="10"/>
  <c r="E2203" i="10"/>
  <c r="E2202" i="10"/>
  <c r="E2201" i="10"/>
  <c r="E2200" i="10"/>
  <c r="E2199" i="10"/>
  <c r="E2198" i="10"/>
  <c r="E2197" i="10"/>
  <c r="E2196" i="10"/>
  <c r="E2195" i="10"/>
  <c r="E2194" i="10"/>
  <c r="E2193" i="10"/>
  <c r="E2192" i="10"/>
  <c r="E2191" i="10"/>
  <c r="E2190" i="10"/>
  <c r="E2189" i="10"/>
  <c r="E2188" i="10"/>
  <c r="E2187" i="10"/>
  <c r="E2186" i="10"/>
  <c r="E2185" i="10"/>
  <c r="E2184" i="10"/>
  <c r="E2183" i="10"/>
  <c r="E2182" i="10"/>
  <c r="E2181" i="10"/>
  <c r="E2180" i="10"/>
  <c r="E2179" i="10"/>
  <c r="E2178" i="10"/>
  <c r="E2177" i="10"/>
  <c r="E2176" i="10"/>
  <c r="E2175" i="10"/>
  <c r="E2174" i="10"/>
  <c r="E2173" i="10"/>
  <c r="E2172" i="10"/>
  <c r="E2171" i="10"/>
  <c r="E2170" i="10"/>
  <c r="E2169" i="10"/>
  <c r="E2168" i="10"/>
  <c r="E2167" i="10"/>
  <c r="E2166" i="10"/>
  <c r="E2165" i="10"/>
  <c r="E2164" i="10"/>
  <c r="E2163" i="10"/>
  <c r="E2162" i="10"/>
  <c r="E2161" i="10"/>
  <c r="E2160" i="10"/>
  <c r="E2159" i="10"/>
  <c r="E2158" i="10"/>
  <c r="E2157" i="10"/>
  <c r="E2156" i="10"/>
  <c r="E2155" i="10"/>
  <c r="E2154" i="10"/>
  <c r="E2153" i="10"/>
  <c r="E2152" i="10"/>
  <c r="E2151" i="10"/>
  <c r="E2150" i="10"/>
  <c r="E2149" i="10"/>
  <c r="E2148" i="10"/>
  <c r="E2147" i="10"/>
  <c r="E2146" i="10"/>
  <c r="E2145" i="10"/>
  <c r="E2144" i="10"/>
  <c r="E2143" i="10"/>
  <c r="E2142" i="10"/>
  <c r="E2141" i="10"/>
  <c r="E2140" i="10"/>
  <c r="E2139" i="10"/>
  <c r="E2138" i="10"/>
  <c r="E2137" i="10"/>
  <c r="E2136" i="10"/>
  <c r="E2135" i="10"/>
  <c r="E2134" i="10"/>
  <c r="E2133" i="10"/>
  <c r="E2132" i="10"/>
  <c r="E2131" i="10"/>
  <c r="E2130" i="10"/>
  <c r="E2129" i="10"/>
  <c r="E2128" i="10"/>
  <c r="E2127" i="10"/>
  <c r="E2126" i="10"/>
  <c r="E2125" i="10"/>
  <c r="E2124" i="10"/>
  <c r="E2123" i="10"/>
  <c r="E2122" i="10"/>
  <c r="E2121" i="10"/>
  <c r="E2120" i="10"/>
  <c r="E2119" i="10"/>
  <c r="E2118" i="10"/>
  <c r="E2117" i="10"/>
  <c r="E2116" i="10"/>
  <c r="E2115" i="10"/>
  <c r="E2114" i="10"/>
  <c r="E2113" i="10"/>
  <c r="E2112" i="10"/>
  <c r="E2111" i="10"/>
  <c r="E2110" i="10"/>
  <c r="E2109" i="10"/>
  <c r="E2108" i="10"/>
  <c r="E2107" i="10"/>
  <c r="E2106" i="10"/>
  <c r="E2105" i="10"/>
  <c r="E2104" i="10"/>
  <c r="E2103" i="10"/>
  <c r="E2102" i="10"/>
  <c r="E2101" i="10"/>
  <c r="E2100" i="10"/>
  <c r="E2099" i="10"/>
  <c r="E2098" i="10"/>
  <c r="E2097" i="10"/>
  <c r="E2096" i="10"/>
  <c r="E2095" i="10"/>
  <c r="E2094" i="10"/>
  <c r="E2093" i="10"/>
  <c r="E2092" i="10"/>
  <c r="E2091" i="10"/>
  <c r="E2090" i="10"/>
  <c r="E2089" i="10"/>
  <c r="E2088" i="10"/>
  <c r="E2087" i="10"/>
  <c r="E2086" i="10"/>
  <c r="E2085" i="10"/>
  <c r="E2084" i="10"/>
  <c r="E2083" i="10"/>
  <c r="E2082" i="10"/>
  <c r="E2081" i="10"/>
  <c r="E2080" i="10"/>
  <c r="E2079" i="10"/>
  <c r="E2078" i="10"/>
  <c r="E2077" i="10"/>
  <c r="E2076" i="10"/>
  <c r="E2075" i="10"/>
  <c r="E2074" i="10"/>
  <c r="E2073" i="10"/>
  <c r="E2072" i="10"/>
  <c r="E2071" i="10"/>
  <c r="E2070" i="10"/>
  <c r="E2069" i="10"/>
  <c r="E2068" i="10"/>
  <c r="E2067" i="10"/>
  <c r="E2066" i="10"/>
  <c r="E2065" i="10"/>
  <c r="E2064" i="10"/>
  <c r="E2063" i="10"/>
  <c r="E2062" i="10"/>
  <c r="E2061" i="10"/>
  <c r="E2060" i="10"/>
  <c r="E2059" i="10"/>
  <c r="E2058" i="10"/>
  <c r="E2057" i="10"/>
  <c r="E2056" i="10"/>
  <c r="E2055" i="10"/>
  <c r="E2054" i="10"/>
  <c r="E2053" i="10"/>
  <c r="E2052" i="10"/>
  <c r="E2051" i="10"/>
  <c r="E2050" i="10"/>
  <c r="E2049" i="10"/>
  <c r="E2048" i="10"/>
  <c r="E2047" i="10"/>
  <c r="E2046" i="10"/>
  <c r="E2045" i="10"/>
  <c r="E2044" i="10"/>
  <c r="E2043" i="10"/>
  <c r="E2042" i="10"/>
  <c r="E2041" i="10"/>
  <c r="E2040" i="10"/>
  <c r="E2039" i="10"/>
  <c r="E2038" i="10"/>
  <c r="E2037" i="10"/>
  <c r="E2036" i="10"/>
  <c r="E2035" i="10"/>
  <c r="E2034" i="10"/>
  <c r="E2033" i="10"/>
  <c r="E2032" i="10"/>
  <c r="E2031" i="10"/>
  <c r="E2030" i="10"/>
  <c r="E2029" i="10"/>
  <c r="E2028" i="10"/>
  <c r="E2027" i="10"/>
  <c r="E2026" i="10"/>
  <c r="E2025" i="10"/>
  <c r="E2024" i="10"/>
  <c r="E2023" i="10"/>
  <c r="E2022" i="10"/>
  <c r="E2021" i="10"/>
  <c r="E2020" i="10"/>
  <c r="E2019" i="10"/>
  <c r="E2018" i="10"/>
  <c r="E2017" i="10"/>
  <c r="E2016" i="10"/>
  <c r="E2015" i="10"/>
  <c r="E2014" i="10"/>
  <c r="E2013" i="10"/>
  <c r="E2012" i="10"/>
  <c r="E2011" i="10"/>
  <c r="E2010" i="10"/>
  <c r="E2009" i="10"/>
  <c r="E2008" i="10"/>
  <c r="E2007" i="10"/>
  <c r="E2006" i="10"/>
  <c r="E2005" i="10"/>
  <c r="E2004" i="10"/>
  <c r="E2003" i="10"/>
  <c r="E2002" i="10"/>
  <c r="E2001" i="10"/>
  <c r="E2000" i="10"/>
  <c r="E1999" i="10"/>
  <c r="E1998" i="10"/>
  <c r="E1997" i="10"/>
  <c r="E1996" i="10"/>
  <c r="E1995" i="10"/>
  <c r="E1994" i="10"/>
  <c r="E1993" i="10"/>
  <c r="E1992" i="10"/>
  <c r="E1991" i="10"/>
  <c r="E1990" i="10"/>
  <c r="E1989" i="10"/>
  <c r="E1988" i="10"/>
  <c r="E1987" i="10"/>
  <c r="E1986" i="10"/>
  <c r="E1985" i="10"/>
  <c r="E1984" i="10"/>
  <c r="E1983" i="10"/>
  <c r="E1982" i="10"/>
  <c r="E1981" i="10"/>
  <c r="E1980" i="10"/>
  <c r="E1979" i="10"/>
  <c r="E1978" i="10"/>
  <c r="E1977" i="10"/>
  <c r="E1976" i="10"/>
  <c r="E1975" i="10"/>
  <c r="E1974" i="10"/>
  <c r="E1973" i="10"/>
  <c r="E1972" i="10"/>
  <c r="E1971" i="10"/>
  <c r="E1970" i="10"/>
  <c r="E1969" i="10"/>
  <c r="E1968" i="10"/>
  <c r="E1967" i="10"/>
  <c r="E1966" i="10"/>
  <c r="E1965" i="10"/>
  <c r="E1964" i="10"/>
  <c r="E1963" i="10"/>
  <c r="E1962" i="10"/>
  <c r="E1961" i="10"/>
  <c r="E1960" i="10"/>
  <c r="E1959" i="10"/>
  <c r="E1958" i="10"/>
  <c r="E1957" i="10"/>
  <c r="E1956" i="10"/>
  <c r="E1955" i="10"/>
  <c r="E1954" i="10"/>
  <c r="E1953" i="10"/>
  <c r="E1952" i="10"/>
  <c r="E1951" i="10"/>
  <c r="E1950" i="10"/>
  <c r="E1949" i="10"/>
  <c r="E1948" i="10"/>
  <c r="E1947" i="10"/>
  <c r="E1946" i="10"/>
  <c r="E1945" i="10"/>
  <c r="E1944" i="10"/>
  <c r="E1943" i="10"/>
  <c r="E1942" i="10"/>
  <c r="E1941" i="10"/>
  <c r="E1940" i="10"/>
  <c r="E1939" i="10"/>
  <c r="E1938" i="10"/>
  <c r="E1937" i="10"/>
  <c r="E1936" i="10"/>
  <c r="E1935" i="10"/>
  <c r="E1934" i="10"/>
  <c r="E1933" i="10"/>
  <c r="E1932" i="10"/>
  <c r="E1931" i="10"/>
  <c r="E1930" i="10"/>
  <c r="E1929" i="10"/>
  <c r="E1928" i="10"/>
  <c r="E1927" i="10"/>
  <c r="E1926" i="10"/>
  <c r="E1925" i="10"/>
  <c r="E1924" i="10"/>
  <c r="E1923" i="10"/>
  <c r="E1922" i="10"/>
  <c r="E1921" i="10"/>
  <c r="E1920" i="10"/>
  <c r="E1919" i="10"/>
  <c r="E1918" i="10"/>
  <c r="E1917" i="10"/>
  <c r="E1916" i="10"/>
  <c r="E1915" i="10"/>
  <c r="E1914" i="10"/>
  <c r="E1913" i="10"/>
  <c r="E1912" i="10"/>
  <c r="E1911" i="10"/>
  <c r="E1910" i="10"/>
  <c r="E1909" i="10"/>
  <c r="E1908" i="10"/>
  <c r="E1907" i="10"/>
  <c r="E1906" i="10"/>
  <c r="E1905" i="10"/>
  <c r="E1904" i="10"/>
  <c r="E1903" i="10"/>
  <c r="E1902" i="10"/>
  <c r="E1901" i="10"/>
  <c r="E1900" i="10"/>
  <c r="E1899" i="10"/>
  <c r="E1898" i="10"/>
  <c r="E1897" i="10"/>
  <c r="E1896" i="10"/>
  <c r="E1895" i="10"/>
  <c r="E1894" i="10"/>
  <c r="E1893" i="10"/>
  <c r="E1892" i="10"/>
  <c r="E1891" i="10"/>
  <c r="E1890" i="10"/>
  <c r="E1889" i="10"/>
  <c r="E1888" i="10"/>
  <c r="E1887" i="10"/>
  <c r="E1886" i="10"/>
  <c r="E1885" i="10"/>
  <c r="E1884" i="10"/>
  <c r="E1883" i="10"/>
  <c r="E1882" i="10"/>
  <c r="E1881" i="10"/>
  <c r="E1880" i="10"/>
  <c r="E1879" i="10"/>
  <c r="E1878" i="10"/>
  <c r="E1877" i="10"/>
  <c r="E1876" i="10"/>
  <c r="E1875" i="10"/>
  <c r="E1874" i="10"/>
  <c r="E1873" i="10"/>
  <c r="E1872" i="10"/>
  <c r="E1871" i="10"/>
  <c r="E1870" i="10"/>
  <c r="E1869" i="10"/>
  <c r="E1868" i="10"/>
  <c r="E1867" i="10"/>
  <c r="E1866" i="10"/>
  <c r="E1865" i="10"/>
  <c r="E1864" i="10"/>
  <c r="E1863" i="10"/>
  <c r="E1862" i="10"/>
  <c r="E1861" i="10"/>
  <c r="E1860" i="10"/>
  <c r="E1859" i="10"/>
  <c r="E1858" i="10"/>
  <c r="E1857" i="10"/>
  <c r="E1856" i="10"/>
  <c r="E1855" i="10"/>
  <c r="E1854" i="10"/>
  <c r="E1853" i="10"/>
  <c r="E1852" i="10"/>
  <c r="E1851" i="10"/>
  <c r="E1850" i="10"/>
  <c r="E1849" i="10"/>
  <c r="E1848" i="10"/>
  <c r="E1847" i="10"/>
  <c r="E1846" i="10"/>
  <c r="E1845" i="10"/>
  <c r="E1844" i="10"/>
  <c r="E1843" i="10"/>
  <c r="E1842" i="10"/>
  <c r="E1841" i="10"/>
  <c r="E1840" i="10"/>
  <c r="E1839" i="10"/>
  <c r="E1838" i="10"/>
  <c r="E1837" i="10"/>
  <c r="E1836" i="10"/>
  <c r="E1835" i="10"/>
  <c r="E1834" i="10"/>
  <c r="E1833" i="10"/>
  <c r="E1832" i="10"/>
  <c r="E1831" i="10"/>
  <c r="E1830" i="10"/>
  <c r="E1829" i="10"/>
  <c r="E1828" i="10"/>
  <c r="E1827" i="10"/>
  <c r="E1826" i="10"/>
  <c r="E1825" i="10"/>
  <c r="E1824" i="10"/>
  <c r="E1823" i="10"/>
  <c r="E1822" i="10"/>
  <c r="E1821" i="10"/>
  <c r="E1820" i="10"/>
  <c r="E1819" i="10"/>
  <c r="E1818" i="10"/>
  <c r="E1817" i="10"/>
  <c r="E1816" i="10"/>
  <c r="E1815" i="10"/>
  <c r="E1814" i="10"/>
  <c r="E1813" i="10"/>
  <c r="E1812" i="10"/>
  <c r="E1811" i="10"/>
  <c r="E1810" i="10"/>
  <c r="E1809" i="10"/>
  <c r="E1808" i="10"/>
  <c r="E1807" i="10"/>
  <c r="E1806" i="10"/>
  <c r="E1805" i="10"/>
  <c r="E1804" i="10"/>
  <c r="E1803" i="10"/>
  <c r="E1802" i="10"/>
  <c r="E1801" i="10"/>
  <c r="E1800" i="10"/>
  <c r="E1799" i="10"/>
  <c r="E1798" i="10"/>
  <c r="E1797" i="10"/>
  <c r="E1796" i="10"/>
  <c r="E1795" i="10"/>
  <c r="E1794" i="10"/>
  <c r="E1793" i="10"/>
  <c r="E1792" i="10"/>
  <c r="E1791" i="10"/>
  <c r="E1790" i="10"/>
  <c r="E1789" i="10"/>
  <c r="E1788" i="10"/>
  <c r="E1787" i="10"/>
  <c r="E1786" i="10"/>
  <c r="E1785" i="10"/>
  <c r="E1784" i="10"/>
  <c r="E1783" i="10"/>
  <c r="E1782" i="10"/>
  <c r="E1781" i="10"/>
  <c r="E1780" i="10"/>
  <c r="E1779" i="10"/>
  <c r="E1778" i="10"/>
  <c r="E1777" i="10"/>
  <c r="E1776" i="10"/>
  <c r="E1775" i="10"/>
  <c r="E1774" i="10"/>
  <c r="E1773" i="10"/>
  <c r="E1772" i="10"/>
  <c r="E1771" i="10"/>
  <c r="E1770" i="10"/>
  <c r="E1769" i="10"/>
  <c r="E1768" i="10"/>
  <c r="E1767" i="10"/>
  <c r="E1766" i="10"/>
  <c r="E1765" i="10"/>
  <c r="E1764" i="10"/>
  <c r="E1763" i="10"/>
  <c r="E1762" i="10"/>
  <c r="E1761" i="10"/>
  <c r="E1760" i="10"/>
  <c r="E1759" i="10"/>
  <c r="E1758" i="10"/>
  <c r="E1757" i="10"/>
  <c r="E1756" i="10"/>
  <c r="E1755" i="10"/>
  <c r="E1754" i="10"/>
  <c r="E1753" i="10"/>
  <c r="E1752" i="10"/>
  <c r="E1751" i="10"/>
  <c r="E1750" i="10"/>
  <c r="E1749" i="10"/>
  <c r="E1748" i="10"/>
  <c r="E1747" i="10"/>
  <c r="E1746" i="10"/>
  <c r="E1745" i="10"/>
  <c r="E1744" i="10"/>
  <c r="E1743" i="10"/>
  <c r="E1742" i="10"/>
  <c r="E1741" i="10"/>
  <c r="E1740" i="10"/>
  <c r="E1739" i="10"/>
  <c r="E1738" i="10"/>
  <c r="E1737" i="10"/>
  <c r="E1736" i="10"/>
  <c r="E1735" i="10"/>
  <c r="E1734" i="10"/>
  <c r="E1733" i="10"/>
  <c r="E1732" i="10"/>
  <c r="E1731" i="10"/>
  <c r="E1730" i="10"/>
  <c r="E1729" i="10"/>
  <c r="E1728" i="10"/>
  <c r="E1727" i="10"/>
  <c r="E1726" i="10"/>
  <c r="E1725" i="10"/>
  <c r="E1724" i="10"/>
  <c r="E1723" i="10"/>
  <c r="E1722" i="10"/>
  <c r="E1721" i="10"/>
  <c r="E1720" i="10"/>
  <c r="E1719" i="10"/>
  <c r="E1718" i="10"/>
  <c r="E1717" i="10"/>
  <c r="E1716" i="10"/>
  <c r="E1715" i="10"/>
  <c r="E1714" i="10"/>
  <c r="E1713" i="10"/>
  <c r="E1712" i="10"/>
  <c r="E1711" i="10"/>
  <c r="E1710" i="10"/>
  <c r="E1709" i="10"/>
  <c r="E1708" i="10"/>
  <c r="E1707" i="10"/>
  <c r="E1706" i="10"/>
  <c r="E1705" i="10"/>
  <c r="E1704" i="10"/>
  <c r="E1703" i="10"/>
  <c r="E1702" i="10"/>
  <c r="E1701" i="10"/>
  <c r="E1700" i="10"/>
  <c r="E1699" i="10"/>
  <c r="E1698" i="10"/>
  <c r="E1697" i="10"/>
  <c r="E1696" i="10"/>
  <c r="E1695" i="10"/>
  <c r="E1694" i="10"/>
  <c r="E1693" i="10"/>
  <c r="E1692" i="10"/>
  <c r="E1691" i="10"/>
  <c r="E1690" i="10"/>
  <c r="E1689" i="10"/>
  <c r="E1688" i="10"/>
  <c r="E1687" i="10"/>
  <c r="E1686" i="10"/>
  <c r="E1685" i="10"/>
  <c r="E1684" i="10"/>
  <c r="E1683" i="10"/>
  <c r="E1682" i="10"/>
  <c r="E1681" i="10"/>
  <c r="E1680" i="10"/>
  <c r="E1679" i="10"/>
  <c r="E1678" i="10"/>
  <c r="E1677" i="10"/>
  <c r="E1676" i="10"/>
  <c r="E1675" i="10"/>
  <c r="E1674" i="10"/>
  <c r="E1673" i="10"/>
  <c r="E1672" i="10"/>
  <c r="E1671" i="10"/>
  <c r="E1670" i="10"/>
  <c r="E1669" i="10"/>
  <c r="E1668" i="10"/>
  <c r="E1667" i="10"/>
  <c r="E1666" i="10"/>
  <c r="E1665" i="10"/>
  <c r="E1664" i="10"/>
  <c r="E1663" i="10"/>
  <c r="E1662" i="10"/>
  <c r="E1661" i="10"/>
  <c r="E1660" i="10"/>
  <c r="E1659" i="10"/>
  <c r="E1658" i="10"/>
  <c r="E1657" i="10"/>
  <c r="E1656" i="10"/>
  <c r="E1655" i="10"/>
  <c r="E1654" i="10"/>
  <c r="E1653" i="10"/>
  <c r="E1652" i="10"/>
  <c r="E1651" i="10"/>
  <c r="E1650" i="10"/>
  <c r="E1649" i="10"/>
  <c r="E1648" i="10"/>
  <c r="E1647" i="10"/>
  <c r="E1646" i="10"/>
  <c r="E1645" i="10"/>
  <c r="E1644" i="10"/>
  <c r="E1643" i="10"/>
  <c r="E1642" i="10"/>
  <c r="E1641" i="10"/>
  <c r="E1640" i="10"/>
  <c r="E1639" i="10"/>
  <c r="E1638" i="10"/>
  <c r="E1637" i="10"/>
  <c r="E1636" i="10"/>
  <c r="E1635" i="10"/>
  <c r="E1634" i="10"/>
  <c r="E1633" i="10"/>
  <c r="E1632" i="10"/>
  <c r="E1631" i="10"/>
  <c r="E1630" i="10"/>
  <c r="E1629" i="10"/>
  <c r="E1628" i="10"/>
  <c r="E1627" i="10"/>
  <c r="E1626" i="10"/>
  <c r="E1625" i="10"/>
  <c r="E1624" i="10"/>
  <c r="E1623" i="10"/>
  <c r="E1622" i="10"/>
  <c r="E1621" i="10"/>
  <c r="E1620" i="10"/>
  <c r="E1619" i="10"/>
  <c r="E1618" i="10"/>
  <c r="E1617" i="10"/>
  <c r="E1616" i="10"/>
  <c r="E1615" i="10"/>
  <c r="E1614" i="10"/>
  <c r="E1613" i="10"/>
  <c r="E1612" i="10"/>
  <c r="E1611" i="10"/>
  <c r="E1610" i="10"/>
  <c r="E1609" i="10"/>
  <c r="E1608" i="10"/>
  <c r="E1607" i="10"/>
  <c r="E1606" i="10"/>
  <c r="E1605" i="10"/>
  <c r="E1604" i="10"/>
  <c r="E1603" i="10"/>
  <c r="E1602" i="10"/>
  <c r="E1601" i="10"/>
  <c r="E1600" i="10"/>
  <c r="E1599" i="10"/>
  <c r="E1598" i="10"/>
  <c r="E1597" i="10"/>
  <c r="E1596" i="10"/>
  <c r="E1595" i="10"/>
  <c r="E1594" i="10"/>
  <c r="E1593" i="10"/>
  <c r="E1592" i="10"/>
  <c r="E1591" i="10"/>
  <c r="E1590" i="10"/>
  <c r="E1589" i="10"/>
  <c r="E1588" i="10"/>
  <c r="E1587" i="10"/>
  <c r="E1586" i="10"/>
  <c r="E1585" i="10"/>
  <c r="E1584" i="10"/>
  <c r="E1583" i="10"/>
  <c r="E1582" i="10"/>
  <c r="E1581" i="10"/>
  <c r="E1580" i="10"/>
  <c r="E1579" i="10"/>
  <c r="E1578" i="10"/>
  <c r="E1577" i="10"/>
  <c r="E1576" i="10"/>
  <c r="E1575" i="10"/>
  <c r="E1574" i="10"/>
  <c r="E1573" i="10"/>
  <c r="E1572" i="10"/>
  <c r="E1571" i="10"/>
  <c r="E1570" i="10"/>
  <c r="E1569" i="10"/>
  <c r="E1568" i="10"/>
  <c r="E1567" i="10"/>
  <c r="E1566" i="10"/>
  <c r="E1565" i="10"/>
  <c r="E1564" i="10"/>
  <c r="E1563" i="10"/>
  <c r="E1562" i="10"/>
  <c r="E1561" i="10"/>
  <c r="E1560" i="10"/>
  <c r="E1559" i="10"/>
  <c r="E1558" i="10"/>
  <c r="E1557" i="10"/>
  <c r="E1556" i="10"/>
  <c r="E1555" i="10"/>
  <c r="E1554" i="10"/>
  <c r="E1553" i="10"/>
  <c r="E1552" i="10"/>
  <c r="E1551" i="10"/>
  <c r="E1550" i="10"/>
  <c r="E1549" i="10"/>
  <c r="E1548" i="10"/>
  <c r="E1547" i="10"/>
  <c r="E1546" i="10"/>
  <c r="E1545" i="10"/>
  <c r="E1544" i="10"/>
  <c r="E1543" i="10"/>
  <c r="E1542" i="10"/>
  <c r="E1541" i="10"/>
  <c r="E1540" i="10"/>
  <c r="E1539" i="10"/>
  <c r="E1538" i="10"/>
  <c r="E1537" i="10"/>
  <c r="E1536" i="10"/>
  <c r="E1535" i="10"/>
  <c r="E1534" i="10"/>
  <c r="E1533" i="10"/>
  <c r="E1532" i="10"/>
  <c r="E1531" i="10"/>
  <c r="E1530" i="10"/>
  <c r="E1529" i="10"/>
  <c r="E1528" i="10"/>
  <c r="E1527" i="10"/>
  <c r="E1526" i="10"/>
  <c r="E1525" i="10"/>
  <c r="E1524" i="10"/>
  <c r="E1523" i="10"/>
  <c r="E1522" i="10"/>
  <c r="E1521" i="10"/>
  <c r="E1520" i="10"/>
  <c r="E1519" i="10"/>
  <c r="E1518" i="10"/>
  <c r="E1517" i="10"/>
  <c r="E1516" i="10"/>
  <c r="E1515" i="10"/>
  <c r="E1514" i="10"/>
  <c r="E1513" i="10"/>
  <c r="E1512" i="10"/>
  <c r="E1511" i="10"/>
  <c r="E1510" i="10"/>
  <c r="E1509" i="10"/>
  <c r="E1508" i="10"/>
  <c r="E1507" i="10"/>
  <c r="E1506" i="10"/>
  <c r="E1505" i="10"/>
  <c r="E1504" i="10"/>
  <c r="E1503" i="10"/>
  <c r="E1502" i="10"/>
  <c r="E1501" i="10"/>
  <c r="E1500" i="10"/>
  <c r="E1499" i="10"/>
  <c r="E1498" i="10"/>
  <c r="E1497" i="10"/>
  <c r="E1496" i="10"/>
  <c r="E1495" i="10"/>
  <c r="E1494" i="10"/>
  <c r="E1493" i="10"/>
  <c r="E1492" i="10"/>
  <c r="E1491" i="10"/>
  <c r="E1490" i="10"/>
  <c r="E1489" i="10"/>
  <c r="E1488" i="10"/>
  <c r="E1487" i="10"/>
  <c r="E1486" i="10"/>
  <c r="E1485" i="10"/>
  <c r="E1484" i="10"/>
  <c r="E1483" i="10"/>
  <c r="E1482" i="10"/>
  <c r="E1481" i="10"/>
  <c r="E1480" i="10"/>
  <c r="E1479" i="10"/>
  <c r="E1478" i="10"/>
  <c r="E1477" i="10"/>
  <c r="E1476" i="10"/>
  <c r="E1475" i="10"/>
  <c r="E1474" i="10"/>
  <c r="E1473" i="10"/>
  <c r="E1472" i="10"/>
  <c r="E1471" i="10"/>
  <c r="E1470" i="10"/>
  <c r="E1469" i="10"/>
  <c r="E1468" i="10"/>
  <c r="E1467" i="10"/>
  <c r="E1466" i="10"/>
  <c r="E1465" i="10"/>
  <c r="E1464" i="10"/>
  <c r="E1463" i="10"/>
  <c r="E1462" i="10"/>
  <c r="E1461" i="10"/>
  <c r="E1460" i="10"/>
  <c r="E1459" i="10"/>
  <c r="E1458" i="10"/>
  <c r="E1457" i="10"/>
  <c r="E1456" i="10"/>
  <c r="E1455" i="10"/>
  <c r="E1454" i="10"/>
  <c r="E1453" i="10"/>
  <c r="E1452" i="10"/>
  <c r="E1451" i="10"/>
  <c r="E1450" i="10"/>
  <c r="E1449" i="10"/>
  <c r="E1448" i="10"/>
  <c r="E1447" i="10"/>
  <c r="E1446" i="10"/>
  <c r="E1445" i="10"/>
  <c r="E1444" i="10"/>
  <c r="E1443" i="10"/>
  <c r="E1442" i="10"/>
  <c r="E1441" i="10"/>
  <c r="E1440" i="10"/>
  <c r="E1439" i="10"/>
  <c r="E1438" i="10"/>
  <c r="E1437" i="10"/>
  <c r="E1436" i="10"/>
  <c r="E1435" i="10"/>
  <c r="E1434" i="10"/>
  <c r="E1433" i="10"/>
  <c r="E1432" i="10"/>
  <c r="E1431" i="10"/>
  <c r="E1430" i="10"/>
  <c r="E1429" i="10"/>
  <c r="E1428" i="10"/>
  <c r="E1427" i="10"/>
  <c r="E1426" i="10"/>
  <c r="E1425" i="10"/>
  <c r="E1424" i="10"/>
  <c r="E1423" i="10"/>
  <c r="E1422" i="10"/>
  <c r="E1421" i="10"/>
  <c r="E1420" i="10"/>
  <c r="E1419" i="10"/>
  <c r="E1418" i="10"/>
  <c r="E1417" i="10"/>
  <c r="E1416" i="10"/>
  <c r="E1415" i="10"/>
  <c r="E1414" i="10"/>
  <c r="E1413" i="10"/>
  <c r="E1412" i="10"/>
  <c r="E1411" i="10"/>
  <c r="E1410" i="10"/>
  <c r="E1409" i="10"/>
  <c r="E1408" i="10"/>
  <c r="E1407" i="10"/>
  <c r="E1406" i="10"/>
  <c r="E1405" i="10"/>
  <c r="E1404" i="10"/>
  <c r="E1403" i="10"/>
  <c r="E1402" i="10"/>
  <c r="E1401" i="10"/>
  <c r="E1400" i="10"/>
  <c r="E1399" i="10"/>
  <c r="E1398" i="10"/>
  <c r="E1397" i="10"/>
  <c r="E1396" i="10"/>
  <c r="E1395" i="10"/>
  <c r="E1394" i="10"/>
  <c r="E1393" i="10"/>
  <c r="E1392" i="10"/>
  <c r="E1391" i="10"/>
  <c r="E1390" i="10"/>
  <c r="E1389" i="10"/>
  <c r="E1388" i="10"/>
  <c r="E1387" i="10"/>
  <c r="E1386" i="10"/>
  <c r="E1385" i="10"/>
  <c r="E1384" i="10"/>
  <c r="E1383" i="10"/>
  <c r="E1382" i="10"/>
  <c r="E1381" i="10"/>
  <c r="E1380" i="10"/>
  <c r="E1379" i="10"/>
  <c r="E1378" i="10"/>
  <c r="E1377" i="10"/>
  <c r="E1376" i="10"/>
  <c r="E1375" i="10"/>
  <c r="E1374" i="10"/>
  <c r="E1373" i="10"/>
  <c r="E1372" i="10"/>
  <c r="E1371" i="10"/>
  <c r="E1370" i="10"/>
  <c r="E1369" i="10"/>
  <c r="E1368" i="10"/>
  <c r="E1367" i="10"/>
  <c r="E1366" i="10"/>
  <c r="E1365" i="10"/>
  <c r="E1364" i="10"/>
  <c r="E1363" i="10"/>
  <c r="E1362" i="10"/>
  <c r="E1361" i="10"/>
  <c r="E1360" i="10"/>
  <c r="E1359" i="10"/>
  <c r="E1358" i="10"/>
  <c r="E1357" i="10"/>
  <c r="E1356" i="10"/>
  <c r="E1355" i="10"/>
  <c r="E1354" i="10"/>
  <c r="E1353" i="10"/>
  <c r="E1352" i="10"/>
  <c r="E1351" i="10"/>
  <c r="E1350" i="10"/>
  <c r="E1349" i="10"/>
  <c r="E1348" i="10"/>
  <c r="E1347" i="10"/>
  <c r="E1346" i="10"/>
  <c r="E1345" i="10"/>
  <c r="E1344" i="10"/>
  <c r="E1343" i="10"/>
  <c r="E1342" i="10"/>
  <c r="E1341" i="10"/>
  <c r="E1340" i="10"/>
  <c r="E1339" i="10"/>
  <c r="E1338" i="10"/>
  <c r="E1337" i="10"/>
  <c r="E1336" i="10"/>
  <c r="E1335" i="10"/>
  <c r="E1334" i="10"/>
  <c r="E1333" i="10"/>
  <c r="E1332" i="10"/>
  <c r="E1331" i="10"/>
  <c r="E1330" i="10"/>
  <c r="E1329" i="10"/>
  <c r="E1328" i="10"/>
  <c r="E1327" i="10"/>
  <c r="E1326" i="10"/>
  <c r="E1325" i="10"/>
  <c r="E1324" i="10"/>
  <c r="E1323" i="10"/>
  <c r="E1322" i="10"/>
  <c r="E1321" i="10"/>
  <c r="E1320" i="10"/>
  <c r="E1319" i="10"/>
  <c r="E1318" i="10"/>
  <c r="E1317" i="10"/>
  <c r="E1316" i="10"/>
  <c r="E1315" i="10"/>
  <c r="E1314" i="10"/>
  <c r="E1313" i="10"/>
  <c r="E1312" i="10"/>
  <c r="E1311" i="10"/>
  <c r="E1310" i="10"/>
  <c r="E1309" i="10"/>
  <c r="E1308" i="10"/>
  <c r="E1307" i="10"/>
  <c r="E1306" i="10"/>
  <c r="E1305" i="10"/>
  <c r="E1304" i="10"/>
  <c r="E1303" i="10"/>
  <c r="E1302" i="10"/>
  <c r="E1301" i="10"/>
  <c r="E1300" i="10"/>
  <c r="E1299" i="10"/>
  <c r="E1298" i="10"/>
  <c r="E1297" i="10"/>
  <c r="E1296" i="10"/>
  <c r="E1295" i="10"/>
  <c r="E1294" i="10"/>
  <c r="E1293" i="10"/>
  <c r="E1292" i="10"/>
  <c r="E1291" i="10"/>
  <c r="E1290" i="10"/>
  <c r="E1289" i="10"/>
  <c r="E1288" i="10"/>
  <c r="E1287" i="10"/>
  <c r="E1286" i="10"/>
  <c r="E1285" i="10"/>
  <c r="E1284" i="10"/>
  <c r="E1283" i="10"/>
  <c r="E1282" i="10"/>
  <c r="E1281" i="10"/>
  <c r="E1280" i="10"/>
  <c r="E1279" i="10"/>
  <c r="E1278" i="10"/>
  <c r="E1277" i="10"/>
  <c r="E1276" i="10"/>
  <c r="E1275" i="10"/>
  <c r="E1274" i="10"/>
  <c r="E1273" i="10"/>
  <c r="E1272" i="10"/>
  <c r="E1271" i="10"/>
  <c r="E1270" i="10"/>
  <c r="E1269" i="10"/>
  <c r="E1268" i="10"/>
  <c r="E1267" i="10"/>
  <c r="E1266" i="10"/>
  <c r="E1265" i="10"/>
  <c r="E1264" i="10"/>
  <c r="E1263" i="10"/>
  <c r="E1262" i="10"/>
  <c r="E1261" i="10"/>
  <c r="E1260" i="10"/>
  <c r="E1259" i="10"/>
  <c r="E1258" i="10"/>
  <c r="E1257" i="10"/>
  <c r="E1256" i="10"/>
  <c r="E1255" i="10"/>
  <c r="E1254" i="10"/>
  <c r="E1253" i="10"/>
  <c r="E1252" i="10"/>
  <c r="E1251" i="10"/>
  <c r="E1250" i="10"/>
  <c r="E1249" i="10"/>
  <c r="E1248" i="10"/>
  <c r="E1247" i="10"/>
  <c r="E1246" i="10"/>
  <c r="E1245" i="10"/>
  <c r="E1244" i="10"/>
  <c r="E1243" i="10"/>
  <c r="E1242" i="10"/>
  <c r="E1241" i="10"/>
  <c r="E1240" i="10"/>
  <c r="E1239" i="10"/>
  <c r="E1238" i="10"/>
  <c r="E1237" i="10"/>
  <c r="E1236" i="10"/>
  <c r="E1235" i="10"/>
  <c r="E1234" i="10"/>
  <c r="E1233" i="10"/>
  <c r="E1232" i="10"/>
  <c r="E1231" i="10"/>
  <c r="E1230" i="10"/>
  <c r="E1229" i="10"/>
  <c r="E1228" i="10"/>
  <c r="E1227" i="10"/>
  <c r="E1226" i="10"/>
  <c r="E1225" i="10"/>
  <c r="E1224" i="10"/>
  <c r="E1223" i="10"/>
  <c r="E1222" i="10"/>
  <c r="E1221" i="10"/>
  <c r="E1220" i="10"/>
  <c r="E1219" i="10"/>
  <c r="E1218" i="10"/>
  <c r="E1217" i="10"/>
  <c r="E1216" i="10"/>
  <c r="E1215" i="10"/>
  <c r="E1214" i="10"/>
  <c r="E1213" i="10"/>
  <c r="E1212" i="10"/>
  <c r="E1211" i="10"/>
  <c r="E1210" i="10"/>
  <c r="E1209" i="10"/>
  <c r="E1208" i="10"/>
  <c r="E1207" i="10"/>
  <c r="E1206" i="10"/>
  <c r="E1205" i="10"/>
  <c r="E1204" i="10"/>
  <c r="E1203" i="10"/>
  <c r="E1202" i="10"/>
  <c r="E1201" i="10"/>
  <c r="E1200" i="10"/>
  <c r="E1199" i="10"/>
  <c r="E1198" i="10"/>
  <c r="E1197" i="10"/>
  <c r="E1196" i="10"/>
  <c r="E1195" i="10"/>
  <c r="E1194" i="10"/>
  <c r="E1193" i="10"/>
  <c r="E1192" i="10"/>
  <c r="E1191" i="10"/>
  <c r="E1190" i="10"/>
  <c r="E1189" i="10"/>
  <c r="E1188" i="10"/>
  <c r="E1187" i="10"/>
  <c r="E1186" i="10"/>
  <c r="E1185" i="10"/>
  <c r="E1184" i="10"/>
  <c r="E1183" i="10"/>
  <c r="E1182" i="10"/>
  <c r="E1181" i="10"/>
  <c r="E1180" i="10"/>
  <c r="E1179" i="10"/>
  <c r="E1178" i="10"/>
  <c r="E1177" i="10"/>
  <c r="E1176" i="10"/>
  <c r="E1175" i="10"/>
  <c r="E1174" i="10"/>
  <c r="E1173" i="10"/>
  <c r="E1172" i="10"/>
  <c r="E1171" i="10"/>
  <c r="E1170" i="10"/>
  <c r="E1169" i="10"/>
  <c r="E1168" i="10"/>
  <c r="E1167" i="10"/>
  <c r="E1166" i="10"/>
  <c r="E1165" i="10"/>
  <c r="E1164" i="10"/>
  <c r="E1163" i="10"/>
  <c r="E1162" i="10"/>
  <c r="E1161" i="10"/>
  <c r="E1160" i="10"/>
  <c r="E1159" i="10"/>
  <c r="E1158" i="10"/>
  <c r="E1157" i="10"/>
  <c r="E1156" i="10"/>
  <c r="E1155" i="10"/>
  <c r="E1154" i="10"/>
  <c r="E1153" i="10"/>
  <c r="E1152" i="10"/>
  <c r="E1151" i="10"/>
  <c r="E1150" i="10"/>
  <c r="E1149" i="10"/>
  <c r="E1148" i="10"/>
  <c r="E1147" i="10"/>
  <c r="E1146" i="10"/>
  <c r="E1145" i="10"/>
  <c r="E1144" i="10"/>
  <c r="E1143" i="10"/>
  <c r="E1142" i="10"/>
  <c r="E1141" i="10"/>
  <c r="E1140" i="10"/>
  <c r="E1139" i="10"/>
  <c r="E1138" i="10"/>
  <c r="E1137" i="10"/>
  <c r="E1136" i="10"/>
  <c r="E1135" i="10"/>
  <c r="E1134" i="10"/>
  <c r="E1133" i="10"/>
  <c r="E1132" i="10"/>
  <c r="E1131" i="10"/>
  <c r="E1130" i="10"/>
  <c r="E1129" i="10"/>
  <c r="E1128" i="10"/>
  <c r="E1127" i="10"/>
  <c r="E1126" i="10"/>
  <c r="E1125" i="10"/>
  <c r="E1124" i="10"/>
  <c r="E1123" i="10"/>
  <c r="E1122" i="10"/>
  <c r="E1121" i="10"/>
  <c r="E1120" i="10"/>
  <c r="E1119" i="10"/>
  <c r="E1118" i="10"/>
  <c r="E1117" i="10"/>
  <c r="E1116" i="10"/>
  <c r="E1115" i="10"/>
  <c r="E1114" i="10"/>
  <c r="E1113" i="10"/>
  <c r="E1112" i="10"/>
  <c r="E1111" i="10"/>
  <c r="E1110" i="10"/>
  <c r="E1109" i="10"/>
  <c r="E1108" i="10"/>
  <c r="E1107" i="10"/>
  <c r="E1106" i="10"/>
  <c r="E1105" i="10"/>
  <c r="E1104" i="10"/>
  <c r="E1103" i="10"/>
  <c r="E1102" i="10"/>
  <c r="E1101" i="10"/>
  <c r="E1100" i="10"/>
  <c r="E1099" i="10"/>
  <c r="E1098" i="10"/>
  <c r="E1097" i="10"/>
  <c r="E1096" i="10"/>
  <c r="E1095" i="10"/>
  <c r="E1094" i="10"/>
  <c r="E1093" i="10"/>
  <c r="E1092" i="10"/>
  <c r="E1091" i="10"/>
  <c r="E1090" i="10"/>
  <c r="E1089" i="10"/>
  <c r="E1088" i="10"/>
  <c r="E1087" i="10"/>
  <c r="E1086" i="10"/>
  <c r="E1085" i="10"/>
  <c r="E1084" i="10"/>
  <c r="E1083" i="10"/>
  <c r="E1082" i="10"/>
  <c r="E1081" i="10"/>
  <c r="E1080" i="10"/>
  <c r="E1079" i="10"/>
  <c r="E1078" i="10"/>
  <c r="E1077" i="10"/>
  <c r="E1076" i="10"/>
  <c r="E1075" i="10"/>
  <c r="E1074" i="10"/>
  <c r="E1073" i="10"/>
  <c r="E1072" i="10"/>
  <c r="E1071" i="10"/>
  <c r="E1070" i="10"/>
  <c r="E1069" i="10"/>
  <c r="E1068" i="10"/>
  <c r="E1067" i="10"/>
  <c r="E1066" i="10"/>
  <c r="E1065" i="10"/>
  <c r="E1064" i="10"/>
  <c r="E1063" i="10"/>
  <c r="E1062" i="10"/>
  <c r="E1061" i="10"/>
  <c r="E1060" i="10"/>
  <c r="E1059" i="10"/>
  <c r="E1058" i="10"/>
  <c r="E1057" i="10"/>
  <c r="E1056" i="10"/>
  <c r="E1055" i="10"/>
  <c r="E1054" i="10"/>
  <c r="E1053" i="10"/>
  <c r="E1052" i="10"/>
  <c r="E1051" i="10"/>
  <c r="E1050" i="10"/>
  <c r="E1049" i="10"/>
  <c r="E1048" i="10"/>
  <c r="E1047" i="10"/>
  <c r="E1046" i="10"/>
  <c r="E1045" i="10"/>
  <c r="E1044" i="10"/>
  <c r="E1043" i="10"/>
  <c r="E1042" i="10"/>
  <c r="E1041" i="10"/>
  <c r="E1040" i="10"/>
  <c r="E1039" i="10"/>
  <c r="E1038" i="10"/>
  <c r="E1037" i="10"/>
  <c r="E1036" i="10"/>
  <c r="E1035" i="10"/>
  <c r="E1034" i="10"/>
  <c r="E1033" i="10"/>
  <c r="E1032" i="10"/>
  <c r="E1031" i="10"/>
  <c r="E1030" i="10"/>
  <c r="E1029" i="10"/>
  <c r="E1028" i="10"/>
  <c r="E1027" i="10"/>
  <c r="E1026" i="10"/>
  <c r="E1025" i="10"/>
  <c r="E1024" i="10"/>
  <c r="E1023" i="10"/>
  <c r="E1022" i="10"/>
  <c r="E1021" i="10"/>
  <c r="E1020" i="10"/>
  <c r="E1019" i="10"/>
  <c r="E1018" i="10"/>
  <c r="E1017" i="10"/>
  <c r="E1016" i="10"/>
  <c r="E1015" i="10"/>
  <c r="E1014" i="10"/>
  <c r="E1013" i="10"/>
  <c r="E1012" i="10"/>
  <c r="E1011" i="10"/>
  <c r="E1010" i="10"/>
  <c r="E1009" i="10"/>
  <c r="E1008" i="10"/>
  <c r="E1007" i="10"/>
  <c r="E1006" i="10"/>
  <c r="E1005" i="10"/>
  <c r="E1004" i="10"/>
  <c r="E1003" i="10"/>
  <c r="E1002" i="10"/>
  <c r="E1001" i="10"/>
  <c r="E1000" i="10"/>
  <c r="E999" i="10"/>
  <c r="E998" i="10"/>
  <c r="E997" i="10"/>
  <c r="E996" i="10"/>
  <c r="E995" i="10"/>
  <c r="E994" i="10"/>
  <c r="E993" i="10"/>
  <c r="E992" i="10"/>
  <c r="E991" i="10"/>
  <c r="E990" i="10"/>
  <c r="E989" i="10"/>
  <c r="E988" i="10"/>
  <c r="E987" i="10"/>
  <c r="E986" i="10"/>
  <c r="E985" i="10"/>
  <c r="E984" i="10"/>
  <c r="E983" i="10"/>
  <c r="E982" i="10"/>
  <c r="E981" i="10"/>
  <c r="E980" i="10"/>
  <c r="E979" i="10"/>
  <c r="E978" i="10"/>
  <c r="E977" i="10"/>
  <c r="E976" i="10"/>
  <c r="E975" i="10"/>
  <c r="E974" i="10"/>
  <c r="E973" i="10"/>
  <c r="E972" i="10"/>
  <c r="E971" i="10"/>
  <c r="E970" i="10"/>
  <c r="E969" i="10"/>
  <c r="E968" i="10"/>
  <c r="E967" i="10"/>
  <c r="E966" i="10"/>
  <c r="E965" i="10"/>
  <c r="E964" i="10"/>
  <c r="E963" i="10"/>
  <c r="E962" i="10"/>
  <c r="E961" i="10"/>
  <c r="E960" i="10"/>
  <c r="E959" i="10"/>
  <c r="E958" i="10"/>
  <c r="E957" i="10"/>
  <c r="E956" i="10"/>
  <c r="E955" i="10"/>
  <c r="E954" i="10"/>
  <c r="E953" i="10"/>
  <c r="E952" i="10"/>
  <c r="E951" i="10"/>
  <c r="E950" i="10"/>
  <c r="E949" i="10"/>
  <c r="E948" i="10"/>
  <c r="E947" i="10"/>
  <c r="E946" i="10"/>
  <c r="E945" i="10"/>
  <c r="E944" i="10"/>
  <c r="E943" i="10"/>
  <c r="E942" i="10"/>
  <c r="E941" i="10"/>
  <c r="E940" i="10"/>
  <c r="E939" i="10"/>
  <c r="E938" i="10"/>
  <c r="E937" i="10"/>
  <c r="E936" i="10"/>
  <c r="E935" i="10"/>
  <c r="E934" i="10"/>
  <c r="E933" i="10"/>
  <c r="E932" i="10"/>
  <c r="E931" i="10"/>
  <c r="E930" i="10"/>
  <c r="E929" i="10"/>
  <c r="E928" i="10"/>
  <c r="E927" i="10"/>
  <c r="E926" i="10"/>
  <c r="E925" i="10"/>
  <c r="E924" i="10"/>
  <c r="E923" i="10"/>
  <c r="E922" i="10"/>
  <c r="E921" i="10"/>
  <c r="E920" i="10"/>
  <c r="E919" i="10"/>
  <c r="E918" i="10"/>
  <c r="E917" i="10"/>
  <c r="E916" i="10"/>
  <c r="E915" i="10"/>
  <c r="E914" i="10"/>
  <c r="E913" i="10"/>
  <c r="E912" i="10"/>
  <c r="E911" i="10"/>
  <c r="E910" i="10"/>
  <c r="E909" i="10"/>
  <c r="E908" i="10"/>
  <c r="E907" i="10"/>
  <c r="E906" i="10"/>
  <c r="E905" i="10"/>
  <c r="E904" i="10"/>
  <c r="E903" i="10"/>
  <c r="E902" i="10"/>
  <c r="E901" i="10"/>
  <c r="E900" i="10"/>
  <c r="E899" i="10"/>
  <c r="E898" i="10"/>
  <c r="E897" i="10"/>
  <c r="E896" i="10"/>
  <c r="E895" i="10"/>
  <c r="E894" i="10"/>
  <c r="E893" i="10"/>
  <c r="E892" i="10"/>
  <c r="E891" i="10"/>
  <c r="E890" i="10"/>
  <c r="E889" i="10"/>
  <c r="E888" i="10"/>
  <c r="E887" i="10"/>
  <c r="E886" i="10"/>
  <c r="E885" i="10"/>
  <c r="E884" i="10"/>
  <c r="E883" i="10"/>
  <c r="E882" i="10"/>
  <c r="E881" i="10"/>
  <c r="E880" i="10"/>
  <c r="E879" i="10"/>
  <c r="E878" i="10"/>
  <c r="E877" i="10"/>
  <c r="E876" i="10"/>
  <c r="E875" i="10"/>
  <c r="E874" i="10"/>
  <c r="E873" i="10"/>
  <c r="E872" i="10"/>
  <c r="E871" i="10"/>
  <c r="E870" i="10"/>
  <c r="E869" i="10"/>
  <c r="E868" i="10"/>
  <c r="E867" i="10"/>
  <c r="E866" i="10"/>
  <c r="E865" i="10"/>
  <c r="E864" i="10"/>
  <c r="E863" i="10"/>
  <c r="E862" i="10"/>
  <c r="E861" i="10"/>
  <c r="E860" i="10"/>
  <c r="E859" i="10"/>
  <c r="E858" i="10"/>
  <c r="E857" i="10"/>
  <c r="E856" i="10"/>
  <c r="E855" i="10"/>
  <c r="E854" i="10"/>
  <c r="E853" i="10"/>
  <c r="E852" i="10"/>
  <c r="E851" i="10"/>
  <c r="E850" i="10"/>
  <c r="E849" i="10"/>
  <c r="E848" i="10"/>
  <c r="E847" i="10"/>
  <c r="E846" i="10"/>
  <c r="E845" i="10"/>
  <c r="E844" i="10"/>
  <c r="E843" i="10"/>
  <c r="E842" i="10"/>
  <c r="E841" i="10"/>
  <c r="E840" i="10"/>
  <c r="E839" i="10"/>
  <c r="E838" i="10"/>
  <c r="E837" i="10"/>
  <c r="E836" i="10"/>
  <c r="E835" i="10"/>
  <c r="E834" i="10"/>
  <c r="E833" i="10"/>
  <c r="E832" i="10"/>
  <c r="E831" i="10"/>
  <c r="E830" i="10"/>
  <c r="E829" i="10"/>
  <c r="E828" i="10"/>
  <c r="E827" i="10"/>
  <c r="E826" i="10"/>
  <c r="E825" i="10"/>
  <c r="E824" i="10"/>
  <c r="E823" i="10"/>
  <c r="E822" i="10"/>
  <c r="E821" i="10"/>
  <c r="E820" i="10"/>
  <c r="E819" i="10"/>
  <c r="E818" i="10"/>
  <c r="E817" i="10"/>
  <c r="E816" i="10"/>
  <c r="E815" i="10"/>
  <c r="E814" i="10"/>
  <c r="E813" i="10"/>
  <c r="E812" i="10"/>
  <c r="E811" i="10"/>
  <c r="E810" i="10"/>
  <c r="E809" i="10"/>
  <c r="E808" i="10"/>
  <c r="E807" i="10"/>
  <c r="E806" i="10"/>
  <c r="E805" i="10"/>
  <c r="E804" i="10"/>
  <c r="E803" i="10"/>
  <c r="E802" i="10"/>
  <c r="E801" i="10"/>
  <c r="E800" i="10"/>
  <c r="E799" i="10"/>
  <c r="E798" i="10"/>
  <c r="E797" i="10"/>
  <c r="E796" i="10"/>
  <c r="E795" i="10"/>
  <c r="E794" i="10"/>
  <c r="E793" i="10"/>
  <c r="E792" i="10"/>
  <c r="E791" i="10"/>
  <c r="E790" i="10"/>
  <c r="E789" i="10"/>
  <c r="E788" i="10"/>
  <c r="E787" i="10"/>
  <c r="E786" i="10"/>
  <c r="E785" i="10"/>
  <c r="E784" i="10"/>
  <c r="E783" i="10"/>
  <c r="E782" i="10"/>
  <c r="E781" i="10"/>
  <c r="E780" i="10"/>
  <c r="E779" i="10"/>
  <c r="E778" i="10"/>
  <c r="E777" i="10"/>
  <c r="E776" i="10"/>
  <c r="E775" i="10"/>
  <c r="E774" i="10"/>
  <c r="E773" i="10"/>
  <c r="E772" i="10"/>
  <c r="E771" i="10"/>
  <c r="E770" i="10"/>
  <c r="E769" i="10"/>
  <c r="E768" i="10"/>
  <c r="E767" i="10"/>
  <c r="E766" i="10"/>
  <c r="E765" i="10"/>
  <c r="E764" i="10"/>
  <c r="E763" i="10"/>
  <c r="E762" i="10"/>
  <c r="E761" i="10"/>
  <c r="E760" i="10"/>
  <c r="E759" i="10"/>
  <c r="E758" i="10"/>
  <c r="E757" i="10"/>
  <c r="E756" i="10"/>
  <c r="E755" i="10"/>
  <c r="E754" i="10"/>
  <c r="E753" i="10"/>
  <c r="E752" i="10"/>
  <c r="E751" i="10"/>
  <c r="E750" i="10"/>
  <c r="E749" i="10"/>
  <c r="E748" i="10"/>
  <c r="E747" i="10"/>
  <c r="E746" i="10"/>
  <c r="E745" i="10"/>
  <c r="E744" i="10"/>
  <c r="E743" i="10"/>
  <c r="E742" i="10"/>
  <c r="E741" i="10"/>
  <c r="E740" i="10"/>
  <c r="E739" i="10"/>
  <c r="E738" i="10"/>
  <c r="E737" i="10"/>
  <c r="E736" i="10"/>
  <c r="E735" i="10"/>
  <c r="E734" i="10"/>
  <c r="E733" i="10"/>
  <c r="E732" i="10"/>
  <c r="E731" i="10"/>
  <c r="E730" i="10"/>
  <c r="E729" i="10"/>
  <c r="E728" i="10"/>
  <c r="E727" i="10"/>
  <c r="E726" i="10"/>
  <c r="E725" i="10"/>
  <c r="E724" i="10"/>
  <c r="E723" i="10"/>
  <c r="E722" i="10"/>
  <c r="E721" i="10"/>
  <c r="E720" i="10"/>
  <c r="E719" i="10"/>
  <c r="E718" i="10"/>
  <c r="E717" i="10"/>
  <c r="E716" i="10"/>
  <c r="E715" i="10"/>
  <c r="E714" i="10"/>
  <c r="E713" i="10"/>
  <c r="E712" i="10"/>
  <c r="E711" i="10"/>
  <c r="E710" i="10"/>
  <c r="E709" i="10"/>
  <c r="E708" i="10"/>
  <c r="E707" i="10"/>
  <c r="E706" i="10"/>
  <c r="E705" i="10"/>
  <c r="E704" i="10"/>
  <c r="E703" i="10"/>
  <c r="E702" i="10"/>
  <c r="E701" i="10"/>
  <c r="E700" i="10"/>
  <c r="E699" i="10"/>
  <c r="E698" i="10"/>
  <c r="E697" i="10"/>
  <c r="E696" i="10"/>
  <c r="E695" i="10"/>
  <c r="E694" i="10"/>
  <c r="E693" i="10"/>
  <c r="E692" i="10"/>
  <c r="E691" i="10"/>
  <c r="E690" i="10"/>
  <c r="E689" i="10"/>
  <c r="E688" i="10"/>
  <c r="E687" i="10"/>
  <c r="E686" i="10"/>
  <c r="E685" i="10"/>
  <c r="E684" i="10"/>
  <c r="E683" i="10"/>
  <c r="E682" i="10"/>
  <c r="E681" i="10"/>
  <c r="E680" i="10"/>
  <c r="E679" i="10"/>
  <c r="E678" i="10"/>
  <c r="E677" i="10"/>
  <c r="E676" i="10"/>
  <c r="E675" i="10"/>
  <c r="E674" i="10"/>
  <c r="E673" i="10"/>
  <c r="E672" i="10"/>
  <c r="E671" i="10"/>
  <c r="E670" i="10"/>
  <c r="E669" i="10"/>
  <c r="E668" i="10"/>
  <c r="E667" i="10"/>
  <c r="E666" i="10"/>
  <c r="E665" i="10"/>
  <c r="E664" i="10"/>
  <c r="E663" i="10"/>
  <c r="E662" i="10"/>
  <c r="E661" i="10"/>
  <c r="E660" i="10"/>
  <c r="E659" i="10"/>
  <c r="E658" i="10"/>
  <c r="E657" i="10"/>
  <c r="E656" i="10"/>
  <c r="E655" i="10"/>
  <c r="E654" i="10"/>
  <c r="E653" i="10"/>
  <c r="E652" i="10"/>
  <c r="E651" i="10"/>
  <c r="E650" i="10"/>
  <c r="E649" i="10"/>
  <c r="E648" i="10"/>
  <c r="E647" i="10"/>
  <c r="E646" i="10"/>
  <c r="E645" i="10"/>
  <c r="E644" i="10"/>
  <c r="E643" i="10"/>
  <c r="E642" i="10"/>
  <c r="E641" i="10"/>
  <c r="E640" i="10"/>
  <c r="E639" i="10"/>
  <c r="E638" i="10"/>
  <c r="E637" i="10"/>
  <c r="E636" i="10"/>
  <c r="E635" i="10"/>
  <c r="E634" i="10"/>
  <c r="E633" i="10"/>
  <c r="E632" i="10"/>
  <c r="E631" i="10"/>
  <c r="E630" i="10"/>
  <c r="E629" i="10"/>
  <c r="E628" i="10"/>
  <c r="E627" i="10"/>
  <c r="E626" i="10"/>
  <c r="E625" i="10"/>
  <c r="E624" i="10"/>
  <c r="E623" i="10"/>
  <c r="E622" i="10"/>
  <c r="E621" i="10"/>
  <c r="E620" i="10"/>
  <c r="E619" i="10"/>
  <c r="E618" i="10"/>
  <c r="E617" i="10"/>
  <c r="E616" i="10"/>
  <c r="E615" i="10"/>
  <c r="E614" i="10"/>
  <c r="E613" i="10"/>
  <c r="E612" i="10"/>
  <c r="E611" i="10"/>
  <c r="E610" i="10"/>
  <c r="E609" i="10"/>
  <c r="E608" i="10"/>
  <c r="E607" i="10"/>
  <c r="E606" i="10"/>
  <c r="E605" i="10"/>
  <c r="E604" i="10"/>
  <c r="E603" i="10"/>
  <c r="E602" i="10"/>
  <c r="E601" i="10"/>
  <c r="E600" i="10"/>
  <c r="E599" i="10"/>
  <c r="E598" i="10"/>
  <c r="E597" i="10"/>
  <c r="E596" i="10"/>
  <c r="E595" i="10"/>
  <c r="E594" i="10"/>
  <c r="E593" i="10"/>
  <c r="E592" i="10"/>
  <c r="E591" i="10"/>
  <c r="E590" i="10"/>
  <c r="E589" i="10"/>
  <c r="E588" i="10"/>
  <c r="E587" i="10"/>
  <c r="E586" i="10"/>
  <c r="E585" i="10"/>
  <c r="E584" i="10"/>
  <c r="E583" i="10"/>
  <c r="E582" i="10"/>
  <c r="E581" i="10"/>
  <c r="E580" i="10"/>
  <c r="E579" i="10"/>
  <c r="E578" i="10"/>
  <c r="E577" i="10"/>
  <c r="E576" i="10"/>
  <c r="E575" i="10"/>
  <c r="E574" i="10"/>
  <c r="E573" i="10"/>
  <c r="E572" i="10"/>
  <c r="E571" i="10"/>
  <c r="E570" i="10"/>
  <c r="E569" i="10"/>
  <c r="E568" i="10"/>
  <c r="E567" i="10"/>
  <c r="E566" i="10"/>
  <c r="E565" i="10"/>
  <c r="E564" i="10"/>
  <c r="E563" i="10"/>
  <c r="E562" i="10"/>
  <c r="E561" i="10"/>
  <c r="E560" i="10"/>
  <c r="E559" i="10"/>
  <c r="E558" i="10"/>
  <c r="E557" i="10"/>
  <c r="E556" i="10"/>
  <c r="E555" i="10"/>
  <c r="E554" i="10"/>
  <c r="E553" i="10"/>
  <c r="E552" i="10"/>
  <c r="E551" i="10"/>
  <c r="E550" i="10"/>
  <c r="E549" i="10"/>
  <c r="E548" i="10"/>
  <c r="E547" i="10"/>
  <c r="E546" i="10"/>
  <c r="E545" i="10"/>
  <c r="E544" i="10"/>
  <c r="E543" i="10"/>
  <c r="E542" i="10"/>
  <c r="E541" i="10"/>
  <c r="E540" i="10"/>
  <c r="E539" i="10"/>
  <c r="E538" i="10"/>
  <c r="E537" i="10"/>
  <c r="E536" i="10"/>
  <c r="E535" i="10"/>
  <c r="E534" i="10"/>
  <c r="E533" i="10"/>
  <c r="E532" i="10"/>
  <c r="E531" i="10"/>
  <c r="E530" i="10"/>
  <c r="E529" i="10"/>
  <c r="E528" i="10"/>
  <c r="E527" i="10"/>
  <c r="E526" i="10"/>
  <c r="E525" i="10"/>
  <c r="E524" i="10"/>
  <c r="E523" i="10"/>
  <c r="E522" i="10"/>
  <c r="E521" i="10"/>
  <c r="E520" i="10"/>
  <c r="E519" i="10"/>
  <c r="E518" i="10"/>
  <c r="E517" i="10"/>
  <c r="E516" i="10"/>
  <c r="E515" i="10"/>
  <c r="E514" i="10"/>
  <c r="E513" i="10"/>
  <c r="E512" i="10"/>
  <c r="E511" i="10"/>
  <c r="E510" i="10"/>
  <c r="E509" i="10"/>
  <c r="E508" i="10"/>
  <c r="E507" i="10"/>
  <c r="E506" i="10"/>
  <c r="E505" i="10"/>
  <c r="E504" i="10"/>
  <c r="E503" i="10"/>
  <c r="E502" i="10"/>
  <c r="E501" i="10"/>
  <c r="E500" i="10"/>
  <c r="E499" i="10"/>
  <c r="E498" i="10"/>
  <c r="E497" i="10"/>
  <c r="E496" i="10"/>
  <c r="E495" i="10"/>
  <c r="E494" i="10"/>
  <c r="E493" i="10"/>
  <c r="E492" i="10"/>
  <c r="E491" i="10"/>
  <c r="E490" i="10"/>
  <c r="E489" i="10"/>
  <c r="E488" i="10"/>
  <c r="E487" i="10"/>
  <c r="E486" i="10"/>
  <c r="E485" i="10"/>
  <c r="E484" i="10"/>
  <c r="E483" i="10"/>
  <c r="E482" i="10"/>
  <c r="E481" i="10"/>
  <c r="E480" i="10"/>
  <c r="E479" i="10"/>
  <c r="E478" i="10"/>
  <c r="E477" i="10"/>
  <c r="E476" i="10"/>
  <c r="E475" i="10"/>
  <c r="E474" i="10"/>
  <c r="E473" i="10"/>
  <c r="E472" i="10"/>
  <c r="E471" i="10"/>
  <c r="E470" i="10"/>
  <c r="E469" i="10"/>
  <c r="E468" i="10"/>
  <c r="E467" i="10"/>
  <c r="E466" i="10"/>
  <c r="E465" i="10"/>
  <c r="E464" i="10"/>
  <c r="E463" i="10"/>
  <c r="E462" i="10"/>
  <c r="E461" i="10"/>
  <c r="E460" i="10"/>
  <c r="E459" i="10"/>
  <c r="E458" i="10"/>
  <c r="E457" i="10"/>
  <c r="E456" i="10"/>
  <c r="E455" i="10"/>
  <c r="E454" i="10"/>
  <c r="E453" i="10"/>
  <c r="E452" i="10"/>
  <c r="E451" i="10"/>
  <c r="E450" i="10"/>
  <c r="E449" i="10"/>
  <c r="E448" i="10"/>
  <c r="E447" i="10"/>
  <c r="E446" i="10"/>
  <c r="E445" i="10"/>
  <c r="E444" i="10"/>
  <c r="E443" i="10"/>
  <c r="E442" i="10"/>
  <c r="E441" i="10"/>
  <c r="E440" i="10"/>
  <c r="E439" i="10"/>
  <c r="E438" i="10"/>
  <c r="E437" i="10"/>
  <c r="E436" i="10"/>
  <c r="E435" i="10"/>
  <c r="E434" i="10"/>
  <c r="E433" i="10"/>
  <c r="E432" i="10"/>
  <c r="E431" i="10"/>
  <c r="E430" i="10"/>
  <c r="E429" i="10"/>
  <c r="E428" i="10"/>
  <c r="E427" i="10"/>
  <c r="E426" i="10"/>
  <c r="E425" i="10"/>
  <c r="E424" i="10"/>
  <c r="E423" i="10"/>
  <c r="E422" i="10"/>
  <c r="E421" i="10"/>
  <c r="E420" i="10"/>
  <c r="E419" i="10"/>
  <c r="E418" i="10"/>
  <c r="E417" i="10"/>
  <c r="E416" i="10"/>
  <c r="E415" i="10"/>
  <c r="E414" i="10"/>
  <c r="E413" i="10"/>
  <c r="E412" i="10"/>
  <c r="E411" i="10"/>
  <c r="E410" i="10"/>
  <c r="E409" i="10"/>
  <c r="E408" i="10"/>
  <c r="E407" i="10"/>
  <c r="E406" i="10"/>
  <c r="E405" i="10"/>
  <c r="E404" i="10"/>
  <c r="E403" i="10"/>
  <c r="E402" i="10"/>
  <c r="E401" i="10"/>
  <c r="E400" i="10"/>
  <c r="E399" i="10"/>
  <c r="E398" i="10"/>
  <c r="E397" i="10"/>
  <c r="E396" i="10"/>
  <c r="E395" i="10"/>
  <c r="E394" i="10"/>
  <c r="E393" i="10"/>
  <c r="E392" i="10"/>
  <c r="E391" i="10"/>
  <c r="E390" i="10"/>
  <c r="E389" i="10"/>
  <c r="E388" i="10"/>
  <c r="E387" i="10"/>
  <c r="E386" i="10"/>
  <c r="E385" i="10"/>
  <c r="E384" i="10"/>
  <c r="E383" i="10"/>
  <c r="E382" i="10"/>
  <c r="E381" i="10"/>
  <c r="E380" i="10"/>
  <c r="E379" i="10"/>
  <c r="E378" i="10"/>
  <c r="E377" i="10"/>
  <c r="E376" i="10"/>
  <c r="E375" i="10"/>
  <c r="E374" i="10"/>
  <c r="E373" i="10"/>
  <c r="E372" i="10"/>
  <c r="E371" i="10"/>
  <c r="E370" i="10"/>
  <c r="E369" i="10"/>
  <c r="E368" i="10"/>
  <c r="E367" i="10"/>
  <c r="E366" i="10"/>
  <c r="E365" i="10"/>
  <c r="E364" i="10"/>
  <c r="E363" i="10"/>
  <c r="E362" i="10"/>
  <c r="E361" i="10"/>
  <c r="E360" i="10"/>
  <c r="E359" i="10"/>
  <c r="E358" i="10"/>
  <c r="E357" i="10"/>
  <c r="E356" i="10"/>
  <c r="E355" i="10"/>
  <c r="E354" i="10"/>
  <c r="E353" i="10"/>
  <c r="E352" i="10"/>
  <c r="E351" i="10"/>
  <c r="E350" i="10"/>
  <c r="E349" i="10"/>
  <c r="E348" i="10"/>
  <c r="E347" i="10"/>
  <c r="E346" i="10"/>
  <c r="E345" i="10"/>
  <c r="E344" i="10"/>
  <c r="E343" i="10"/>
  <c r="E342" i="10"/>
  <c r="E341" i="10"/>
  <c r="E340" i="10"/>
  <c r="E339" i="10"/>
  <c r="E338" i="10"/>
  <c r="E337" i="10"/>
  <c r="E336" i="10"/>
  <c r="E335" i="10"/>
  <c r="E334" i="10"/>
  <c r="E333" i="10"/>
  <c r="E332" i="10"/>
  <c r="E331" i="10"/>
  <c r="E330" i="10"/>
  <c r="E329" i="10"/>
  <c r="E328" i="10"/>
  <c r="E327" i="10"/>
  <c r="E326" i="10"/>
  <c r="E325" i="10"/>
  <c r="E324" i="10"/>
  <c r="E323" i="10"/>
  <c r="E322" i="10"/>
  <c r="E321" i="10"/>
  <c r="E320" i="10"/>
  <c r="E319" i="10"/>
  <c r="E318" i="10"/>
  <c r="E317" i="10"/>
  <c r="E316" i="10"/>
  <c r="E315" i="10"/>
  <c r="E314" i="10"/>
  <c r="E313" i="10"/>
  <c r="E312" i="10"/>
  <c r="E311" i="10"/>
  <c r="E310" i="10"/>
  <c r="E309" i="10"/>
  <c r="E308" i="10"/>
  <c r="E307" i="10"/>
  <c r="E306" i="10"/>
  <c r="E305" i="10"/>
  <c r="E304" i="10"/>
  <c r="E303" i="10"/>
  <c r="E302" i="10"/>
  <c r="E301" i="10"/>
  <c r="E300" i="10"/>
  <c r="E299" i="10"/>
  <c r="E298" i="10"/>
  <c r="E297" i="10"/>
  <c r="E296" i="10"/>
  <c r="E295" i="10"/>
  <c r="E294" i="10"/>
  <c r="E293" i="10"/>
  <c r="E292" i="10"/>
  <c r="E291" i="10"/>
  <c r="E290" i="10"/>
  <c r="E289" i="10"/>
  <c r="E288" i="10"/>
  <c r="E287" i="10"/>
  <c r="E286" i="10"/>
  <c r="E285" i="10"/>
  <c r="E284" i="10"/>
  <c r="E283" i="10"/>
  <c r="E282" i="10"/>
  <c r="E281" i="10"/>
  <c r="E280" i="10"/>
  <c r="E279" i="10"/>
  <c r="E278" i="10"/>
  <c r="E277" i="10"/>
  <c r="E276" i="10"/>
  <c r="E275" i="10"/>
  <c r="E274" i="10"/>
  <c r="E273" i="10"/>
  <c r="E272" i="10"/>
  <c r="E271" i="10"/>
  <c r="E270" i="10"/>
  <c r="E269" i="10"/>
  <c r="E268" i="10"/>
  <c r="E267" i="10"/>
  <c r="E266" i="10"/>
  <c r="E265" i="10"/>
  <c r="E264" i="10"/>
  <c r="E263" i="10"/>
  <c r="E262" i="10"/>
  <c r="E261" i="10"/>
  <c r="E260" i="10"/>
  <c r="E259" i="10"/>
  <c r="E258" i="10"/>
  <c r="E257" i="10"/>
  <c r="E256" i="10"/>
  <c r="E255" i="10"/>
  <c r="E254" i="10"/>
  <c r="E253" i="10"/>
  <c r="E252" i="10"/>
  <c r="E251" i="10"/>
  <c r="E250" i="10"/>
  <c r="E249" i="10"/>
  <c r="E248" i="10"/>
  <c r="E247" i="10"/>
  <c r="E246" i="10"/>
  <c r="E245" i="10"/>
  <c r="E244" i="10"/>
  <c r="E243" i="10"/>
  <c r="E242" i="10"/>
  <c r="E241" i="10"/>
  <c r="E240" i="10"/>
  <c r="E239" i="10"/>
  <c r="E238" i="10"/>
  <c r="E237" i="10"/>
  <c r="E236" i="10"/>
  <c r="E235" i="10"/>
  <c r="E234" i="10"/>
  <c r="E233" i="10"/>
  <c r="E232" i="10"/>
  <c r="E231" i="10"/>
  <c r="E230" i="10"/>
  <c r="E229" i="10"/>
  <c r="E228" i="10"/>
  <c r="E227" i="10"/>
  <c r="E226" i="10"/>
  <c r="E225" i="10"/>
  <c r="E224" i="10"/>
  <c r="E223" i="10"/>
  <c r="E222" i="10"/>
  <c r="E221" i="10"/>
  <c r="E220" i="10"/>
  <c r="E219" i="10"/>
  <c r="E218" i="10"/>
  <c r="E217" i="10"/>
  <c r="E216" i="10"/>
  <c r="E215" i="10"/>
  <c r="E214" i="10"/>
  <c r="E213" i="10"/>
  <c r="E212" i="10"/>
  <c r="E211" i="10"/>
  <c r="E210" i="10"/>
  <c r="E209" i="10"/>
  <c r="E208" i="10"/>
  <c r="E207" i="10"/>
  <c r="E206" i="10"/>
  <c r="E205" i="10"/>
  <c r="E204" i="10"/>
  <c r="E203" i="10"/>
  <c r="E202" i="10"/>
  <c r="E201" i="10"/>
  <c r="E200" i="10"/>
  <c r="E199" i="10"/>
  <c r="E198" i="10"/>
  <c r="E197" i="10"/>
  <c r="E196" i="10"/>
  <c r="E195" i="10"/>
  <c r="E194" i="10"/>
  <c r="E193" i="10"/>
  <c r="E192" i="10"/>
  <c r="E191" i="10"/>
  <c r="E190" i="10"/>
  <c r="E189" i="10"/>
  <c r="E188" i="10"/>
  <c r="E187" i="10"/>
  <c r="E186" i="10"/>
  <c r="E185" i="10"/>
  <c r="E184" i="10"/>
  <c r="E183" i="10"/>
  <c r="E182" i="10"/>
  <c r="E181" i="10"/>
  <c r="E180" i="10"/>
  <c r="E179" i="10"/>
  <c r="E178" i="10"/>
  <c r="E177" i="10"/>
  <c r="E176" i="10"/>
  <c r="E175" i="10"/>
  <c r="E174" i="10"/>
  <c r="E173" i="10"/>
  <c r="E172" i="10"/>
  <c r="E171" i="10"/>
  <c r="E170" i="10"/>
  <c r="E169" i="10"/>
  <c r="E168" i="10"/>
  <c r="E167" i="10"/>
  <c r="E166" i="10"/>
  <c r="E165" i="10"/>
  <c r="E164" i="10"/>
  <c r="E163" i="10"/>
  <c r="E162" i="10"/>
  <c r="E161" i="10"/>
  <c r="E160" i="10"/>
  <c r="E159" i="10"/>
  <c r="E158" i="10"/>
  <c r="E157" i="10"/>
  <c r="E156" i="10"/>
  <c r="E155" i="10"/>
  <c r="E154" i="10"/>
  <c r="E153" i="10"/>
  <c r="E152" i="10"/>
  <c r="E151" i="10"/>
  <c r="E150" i="10"/>
  <c r="E149" i="10"/>
  <c r="E148" i="10"/>
  <c r="E147" i="10"/>
  <c r="E146" i="10"/>
  <c r="E145" i="10"/>
  <c r="E144" i="10"/>
  <c r="E143" i="10"/>
  <c r="E142" i="10"/>
  <c r="E141" i="10"/>
  <c r="E140" i="10"/>
  <c r="E139" i="10"/>
  <c r="E138" i="10"/>
  <c r="E137" i="10"/>
  <c r="E136" i="10"/>
  <c r="E135" i="10"/>
  <c r="E134" i="10"/>
  <c r="E133" i="10"/>
  <c r="E132" i="10"/>
  <c r="E131" i="10"/>
  <c r="E130" i="10"/>
  <c r="E129" i="10"/>
  <c r="E128" i="10"/>
  <c r="E127" i="10"/>
  <c r="E126" i="10"/>
  <c r="E125" i="10"/>
  <c r="E124" i="10"/>
  <c r="E123" i="10"/>
  <c r="E122" i="10"/>
  <c r="E121" i="10"/>
  <c r="E120" i="10"/>
  <c r="E119" i="10"/>
  <c r="E118" i="10"/>
  <c r="E117" i="10"/>
  <c r="E116" i="10"/>
  <c r="E115" i="10"/>
  <c r="E114" i="10"/>
  <c r="E113" i="10"/>
  <c r="E112" i="10"/>
  <c r="E111" i="10"/>
  <c r="E110" i="10"/>
  <c r="E109" i="10"/>
  <c r="E108" i="10"/>
  <c r="E107" i="10"/>
  <c r="E106" i="10"/>
  <c r="E105" i="10"/>
  <c r="E104" i="10"/>
  <c r="E103" i="10"/>
  <c r="E102" i="10"/>
  <c r="E101" i="10"/>
  <c r="E100" i="10"/>
  <c r="E99" i="10"/>
  <c r="E98" i="10"/>
  <c r="E97" i="10"/>
  <c r="E96" i="10"/>
  <c r="E95" i="10"/>
  <c r="E94" i="10"/>
  <c r="E93" i="10"/>
  <c r="E92" i="10"/>
  <c r="E91" i="10"/>
  <c r="E90" i="10"/>
  <c r="E89" i="10"/>
  <c r="E88" i="10"/>
  <c r="E87" i="10"/>
  <c r="E86" i="10"/>
  <c r="E85" i="10"/>
  <c r="E84" i="10"/>
  <c r="E83" i="10"/>
  <c r="E82" i="10"/>
  <c r="E81" i="10"/>
  <c r="E80" i="10"/>
  <c r="E79" i="10"/>
  <c r="E78" i="10"/>
  <c r="E77" i="10"/>
  <c r="E76" i="10"/>
  <c r="E75" i="10"/>
  <c r="E74" i="10"/>
  <c r="E73" i="10"/>
  <c r="E72" i="10"/>
  <c r="E71" i="10"/>
  <c r="E70" i="10"/>
  <c r="E69" i="10"/>
  <c r="E68" i="10"/>
  <c r="E67" i="10"/>
  <c r="E66" i="10"/>
  <c r="E65" i="10"/>
  <c r="E64" i="10"/>
  <c r="E63" i="10"/>
  <c r="E62" i="10"/>
  <c r="E61" i="10"/>
  <c r="E60" i="10"/>
  <c r="E59" i="10"/>
  <c r="E58" i="10"/>
  <c r="E57" i="10"/>
  <c r="E56" i="10"/>
  <c r="E55" i="10"/>
  <c r="E54" i="10"/>
  <c r="E53" i="10"/>
  <c r="E52" i="10"/>
  <c r="E51" i="10"/>
  <c r="E50" i="10"/>
  <c r="E49" i="10"/>
  <c r="E48" i="10"/>
  <c r="E47" i="10"/>
  <c r="E46" i="10"/>
  <c r="E45" i="10"/>
  <c r="E44" i="10"/>
  <c r="E43" i="10"/>
  <c r="E42" i="10"/>
  <c r="E41" i="10"/>
  <c r="E40" i="10"/>
  <c r="E39" i="10"/>
  <c r="E38" i="10"/>
  <c r="E37" i="10"/>
  <c r="E36" i="10"/>
  <c r="E35" i="10"/>
  <c r="E34" i="10"/>
  <c r="E33" i="10"/>
  <c r="E32" i="10"/>
  <c r="E31" i="10"/>
  <c r="E30" i="10"/>
  <c r="E29" i="10"/>
  <c r="E28" i="10"/>
  <c r="E27" i="10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BC3653" i="6"/>
  <c r="BC3652" i="6"/>
  <c r="BC3651" i="6"/>
  <c r="BC3650" i="6"/>
  <c r="BC3649" i="6"/>
  <c r="BC3648" i="6"/>
  <c r="BC3647" i="6"/>
  <c r="BC3646" i="6"/>
  <c r="BC3645" i="6"/>
  <c r="BC3644" i="6"/>
  <c r="BC3643" i="6"/>
  <c r="BC3642" i="6"/>
  <c r="BC3641" i="6"/>
  <c r="BC3640" i="6"/>
  <c r="BC3639" i="6"/>
  <c r="BC3638" i="6"/>
  <c r="BC3637" i="6"/>
  <c r="BC3636" i="6"/>
  <c r="BC3635" i="6"/>
  <c r="BC3634" i="6"/>
  <c r="BC3633" i="6"/>
  <c r="BC3632" i="6"/>
  <c r="BC3631" i="6"/>
  <c r="BC3630" i="6"/>
  <c r="BC3629" i="6"/>
  <c r="BC3628" i="6"/>
  <c r="BC3627" i="6"/>
  <c r="BC3626" i="6"/>
  <c r="BC3625" i="6"/>
  <c r="BC3624" i="6"/>
  <c r="BC3623" i="6"/>
  <c r="BC3622" i="6"/>
  <c r="BC3621" i="6"/>
  <c r="BC3620" i="6"/>
  <c r="BC3619" i="6"/>
  <c r="BC3618" i="6"/>
  <c r="BC3617" i="6"/>
  <c r="BC3616" i="6"/>
  <c r="BC3615" i="6"/>
  <c r="BC3614" i="6"/>
  <c r="BC3613" i="6"/>
  <c r="BC3612" i="6"/>
  <c r="BC3611" i="6"/>
  <c r="BC3610" i="6"/>
  <c r="BC3609" i="6"/>
  <c r="BC3608" i="6"/>
  <c r="BC3607" i="6"/>
  <c r="BC3606" i="6"/>
  <c r="BC3605" i="6"/>
  <c r="BC3604" i="6"/>
  <c r="BC3603" i="6"/>
  <c r="BC3602" i="6"/>
  <c r="BC3601" i="6"/>
  <c r="BC3600" i="6"/>
  <c r="BC3599" i="6"/>
  <c r="BC3598" i="6"/>
  <c r="BC3597" i="6"/>
  <c r="BC3596" i="6"/>
  <c r="BC3595" i="6"/>
  <c r="BC3594" i="6"/>
  <c r="BC3593" i="6"/>
  <c r="BC3592" i="6"/>
  <c r="BC3591" i="6"/>
  <c r="BC3590" i="6"/>
  <c r="BC3589" i="6"/>
  <c r="BC3588" i="6"/>
  <c r="BC3587" i="6"/>
  <c r="BC3586" i="6"/>
  <c r="BC3585" i="6"/>
  <c r="BC3584" i="6"/>
  <c r="BC3583" i="6"/>
  <c r="BC3582" i="6"/>
  <c r="BC3581" i="6"/>
  <c r="BC3580" i="6"/>
  <c r="BC3579" i="6"/>
  <c r="BC3578" i="6"/>
  <c r="BC3577" i="6"/>
  <c r="BC3576" i="6"/>
  <c r="BC3575" i="6"/>
  <c r="BC3574" i="6"/>
  <c r="BC3573" i="6"/>
  <c r="BC3572" i="6"/>
  <c r="BC3571" i="6"/>
  <c r="BC3570" i="6"/>
  <c r="BC3569" i="6"/>
  <c r="BC3568" i="6"/>
  <c r="BC3567" i="6"/>
  <c r="BC3566" i="6"/>
  <c r="BC3565" i="6"/>
  <c r="BC3564" i="6"/>
  <c r="BC3563" i="6"/>
  <c r="BC3562" i="6"/>
  <c r="BC3561" i="6"/>
  <c r="BC3560" i="6"/>
  <c r="BC3559" i="6"/>
  <c r="BC3558" i="6"/>
  <c r="BC3557" i="6"/>
  <c r="BC3556" i="6"/>
  <c r="BC3555" i="6"/>
  <c r="BC3554" i="6"/>
  <c r="BC3553" i="6"/>
  <c r="BC3552" i="6"/>
  <c r="BC3551" i="6"/>
  <c r="BC3550" i="6"/>
  <c r="BC3549" i="6"/>
  <c r="BC3548" i="6"/>
  <c r="BC3547" i="6"/>
  <c r="BC3546" i="6"/>
  <c r="BC3545" i="6"/>
  <c r="BC3544" i="6"/>
  <c r="BC3543" i="6"/>
  <c r="BC3542" i="6"/>
  <c r="BC3541" i="6"/>
  <c r="BC3540" i="6"/>
  <c r="BC3539" i="6"/>
  <c r="BC3538" i="6"/>
  <c r="BC3537" i="6"/>
  <c r="BC3536" i="6"/>
  <c r="BC3535" i="6"/>
  <c r="BC3534" i="6"/>
  <c r="BC3533" i="6"/>
  <c r="BC3532" i="6"/>
  <c r="BC3531" i="6"/>
  <c r="BC3530" i="6"/>
  <c r="BC3529" i="6"/>
  <c r="BC3528" i="6"/>
  <c r="BC3527" i="6"/>
  <c r="BC3526" i="6"/>
  <c r="BC3525" i="6"/>
  <c r="BC3524" i="6"/>
  <c r="BC3523" i="6"/>
  <c r="BC3522" i="6"/>
  <c r="BC3521" i="6"/>
  <c r="BC3520" i="6"/>
  <c r="BC3519" i="6"/>
  <c r="BC3518" i="6"/>
  <c r="BC3517" i="6"/>
  <c r="BC3516" i="6"/>
  <c r="BC3515" i="6"/>
  <c r="BC3514" i="6"/>
  <c r="BC3513" i="6"/>
  <c r="BC3512" i="6"/>
  <c r="BC3511" i="6"/>
  <c r="BC3510" i="6"/>
  <c r="BC3509" i="6"/>
  <c r="BC3508" i="6"/>
  <c r="BC3507" i="6"/>
  <c r="BC3506" i="6"/>
  <c r="BC3505" i="6"/>
  <c r="BC3504" i="6"/>
  <c r="BC3503" i="6"/>
  <c r="BC3502" i="6"/>
  <c r="BC3501" i="6"/>
  <c r="BC3500" i="6"/>
  <c r="BC3499" i="6"/>
  <c r="BC3498" i="6"/>
  <c r="BC3497" i="6"/>
  <c r="BC3496" i="6"/>
  <c r="BC3495" i="6"/>
  <c r="BC3494" i="6"/>
  <c r="BC3493" i="6"/>
  <c r="BC3492" i="6"/>
  <c r="BC3491" i="6"/>
  <c r="BC3490" i="6"/>
  <c r="BC3489" i="6"/>
  <c r="BC3488" i="6"/>
  <c r="BC3487" i="6"/>
  <c r="BC3486" i="6"/>
  <c r="BC3485" i="6"/>
  <c r="BC3484" i="6"/>
  <c r="BC3483" i="6"/>
  <c r="BC3482" i="6"/>
  <c r="BC3481" i="6"/>
  <c r="BC3480" i="6"/>
  <c r="BC3479" i="6"/>
  <c r="BC3478" i="6"/>
  <c r="BC3477" i="6"/>
  <c r="BC3476" i="6"/>
  <c r="BC3475" i="6"/>
  <c r="BC3474" i="6"/>
  <c r="BC3473" i="6"/>
  <c r="BC3472" i="6"/>
  <c r="BC3471" i="6"/>
  <c r="BC3470" i="6"/>
  <c r="BC3469" i="6"/>
  <c r="BC3468" i="6"/>
  <c r="BC3467" i="6"/>
  <c r="BC3466" i="6"/>
  <c r="BC3465" i="6"/>
  <c r="BC3464" i="6"/>
  <c r="BC3463" i="6"/>
  <c r="BC3462" i="6"/>
  <c r="BC3461" i="6"/>
  <c r="BC3460" i="6"/>
  <c r="BC3459" i="6"/>
  <c r="BC3458" i="6"/>
  <c r="BC3457" i="6"/>
  <c r="BC3456" i="6"/>
  <c r="BC3455" i="6"/>
  <c r="BC3454" i="6"/>
  <c r="BC3453" i="6"/>
  <c r="BC3452" i="6"/>
  <c r="BC3451" i="6"/>
  <c r="BC3450" i="6"/>
  <c r="BC3449" i="6"/>
  <c r="BC3448" i="6"/>
  <c r="BC3447" i="6"/>
  <c r="BC3446" i="6"/>
  <c r="BC3445" i="6"/>
  <c r="BC3444" i="6"/>
  <c r="BC3443" i="6"/>
  <c r="BC3442" i="6"/>
  <c r="BC3441" i="6"/>
  <c r="BC3440" i="6"/>
  <c r="BC3439" i="6"/>
  <c r="BC3438" i="6"/>
  <c r="BC3437" i="6"/>
  <c r="BC3436" i="6"/>
  <c r="BC3435" i="6"/>
  <c r="BC3434" i="6"/>
  <c r="BC3433" i="6"/>
  <c r="BC3432" i="6"/>
  <c r="BC3431" i="6"/>
  <c r="BC3430" i="6"/>
  <c r="BC3429" i="6"/>
  <c r="BC3428" i="6"/>
  <c r="BC3427" i="6"/>
  <c r="BC3426" i="6"/>
  <c r="BC3425" i="6"/>
  <c r="BC3424" i="6"/>
  <c r="BC3423" i="6"/>
  <c r="BC3422" i="6"/>
  <c r="BC3421" i="6"/>
  <c r="BC3420" i="6"/>
  <c r="BC3419" i="6"/>
  <c r="BC3418" i="6"/>
  <c r="BC3417" i="6"/>
  <c r="BC3416" i="6"/>
  <c r="BC3415" i="6"/>
  <c r="BC3414" i="6"/>
  <c r="BC3413" i="6"/>
  <c r="BC3412" i="6"/>
  <c r="BC3411" i="6"/>
  <c r="BC3410" i="6"/>
  <c r="BC3409" i="6"/>
  <c r="BC3408" i="6"/>
  <c r="BC3407" i="6"/>
  <c r="BC3406" i="6"/>
  <c r="BC3405" i="6"/>
  <c r="BC3404" i="6"/>
  <c r="BC3403" i="6"/>
  <c r="BC3402" i="6"/>
  <c r="BC3401" i="6"/>
  <c r="BC3400" i="6"/>
  <c r="BC3399" i="6"/>
  <c r="BC3398" i="6"/>
  <c r="BC3397" i="6"/>
  <c r="BC3396" i="6"/>
  <c r="BC3395" i="6"/>
  <c r="BC3394" i="6"/>
  <c r="BC3393" i="6"/>
  <c r="BC3392" i="6"/>
  <c r="BC3391" i="6"/>
  <c r="BC3390" i="6"/>
  <c r="BC3389" i="6"/>
  <c r="BC3388" i="6"/>
  <c r="BC3387" i="6"/>
  <c r="BC3386" i="6"/>
  <c r="BC3385" i="6"/>
  <c r="BC3384" i="6"/>
  <c r="BC3383" i="6"/>
  <c r="BC3382" i="6"/>
  <c r="BC3381" i="6"/>
  <c r="BC3380" i="6"/>
  <c r="BC3379" i="6"/>
  <c r="BC3378" i="6"/>
  <c r="BC3377" i="6"/>
  <c r="BC3376" i="6"/>
  <c r="BC3375" i="6"/>
  <c r="BC3374" i="6"/>
  <c r="BC3373" i="6"/>
  <c r="BC3372" i="6"/>
  <c r="BC3371" i="6"/>
  <c r="BC3370" i="6"/>
  <c r="BC3369" i="6"/>
  <c r="BC3368" i="6"/>
  <c r="BC3367" i="6"/>
  <c r="BC3366" i="6"/>
  <c r="BC3365" i="6"/>
  <c r="BC3364" i="6"/>
  <c r="BC3363" i="6"/>
  <c r="BC3362" i="6"/>
  <c r="BC3361" i="6"/>
  <c r="BC3360" i="6"/>
  <c r="BC3359" i="6"/>
  <c r="BC3358" i="6"/>
  <c r="BC3357" i="6"/>
  <c r="BC3356" i="6"/>
  <c r="BC3355" i="6"/>
  <c r="BC3354" i="6"/>
  <c r="BC3353" i="6"/>
  <c r="BC3352" i="6"/>
  <c r="BC3351" i="6"/>
  <c r="BC3350" i="6"/>
  <c r="BC3349" i="6"/>
  <c r="BC3348" i="6"/>
  <c r="BC3347" i="6"/>
  <c r="BC3346" i="6"/>
  <c r="BC3345" i="6"/>
  <c r="BC3344" i="6"/>
  <c r="BC3343" i="6"/>
  <c r="BC3342" i="6"/>
  <c r="BC3341" i="6"/>
  <c r="BC3340" i="6"/>
  <c r="BC3339" i="6"/>
  <c r="BC3338" i="6"/>
  <c r="BC3337" i="6"/>
  <c r="BC3336" i="6"/>
  <c r="BC3335" i="6"/>
  <c r="BC3334" i="6"/>
  <c r="BC3333" i="6"/>
  <c r="BC3332" i="6"/>
  <c r="BC3331" i="6"/>
  <c r="BC3330" i="6"/>
  <c r="BC3329" i="6"/>
  <c r="BC3328" i="6"/>
  <c r="BC3327" i="6"/>
  <c r="BC3326" i="6"/>
  <c r="BC3325" i="6"/>
  <c r="BC3324" i="6"/>
  <c r="BC3323" i="6"/>
  <c r="BC3322" i="6"/>
  <c r="BC3321" i="6"/>
  <c r="BC3320" i="6"/>
  <c r="BC3319" i="6"/>
  <c r="BC3318" i="6"/>
  <c r="BC3317" i="6"/>
  <c r="BC3316" i="6"/>
  <c r="BC3315" i="6"/>
  <c r="BC3314" i="6"/>
  <c r="BC3313" i="6"/>
  <c r="BC3312" i="6"/>
  <c r="BC3311" i="6"/>
  <c r="BC3310" i="6"/>
  <c r="BC3309" i="6"/>
  <c r="BC3308" i="6"/>
  <c r="BC3307" i="6"/>
  <c r="BC3306" i="6"/>
  <c r="BC3305" i="6"/>
  <c r="BC3304" i="6"/>
  <c r="BC3303" i="6"/>
  <c r="BC3302" i="6"/>
  <c r="BC3301" i="6"/>
  <c r="BC3300" i="6"/>
  <c r="BC3299" i="6"/>
  <c r="BC3298" i="6"/>
  <c r="BC3297" i="6"/>
  <c r="BC3296" i="6"/>
  <c r="BC3295" i="6"/>
  <c r="BC3294" i="6"/>
  <c r="BC3293" i="6"/>
  <c r="BC3292" i="6"/>
  <c r="BC3291" i="6"/>
  <c r="BC3290" i="6"/>
  <c r="BC3289" i="6"/>
  <c r="BC3288" i="6"/>
  <c r="BC3287" i="6"/>
  <c r="BC3286" i="6"/>
  <c r="BC3285" i="6"/>
  <c r="BC3284" i="6"/>
  <c r="BC3283" i="6"/>
  <c r="BC3282" i="6"/>
  <c r="BC3281" i="6"/>
  <c r="BC3280" i="6"/>
  <c r="BC3279" i="6"/>
  <c r="BC3278" i="6"/>
  <c r="BC3277" i="6"/>
  <c r="BC3276" i="6"/>
  <c r="BC3275" i="6"/>
  <c r="BC3274" i="6"/>
  <c r="BC3273" i="6"/>
  <c r="BC3272" i="6"/>
  <c r="BC3271" i="6"/>
  <c r="BC3270" i="6"/>
  <c r="BC3269" i="6"/>
  <c r="BC3268" i="6"/>
  <c r="BC3267" i="6"/>
  <c r="BC3266" i="6"/>
  <c r="BC3265" i="6"/>
  <c r="BC3264" i="6"/>
  <c r="BC3263" i="6"/>
  <c r="BC3262" i="6"/>
  <c r="BC3261" i="6"/>
  <c r="BC3260" i="6"/>
  <c r="BC3259" i="6"/>
  <c r="BC3258" i="6"/>
  <c r="BC3257" i="6"/>
  <c r="BC3256" i="6"/>
  <c r="BC3255" i="6"/>
  <c r="BC3254" i="6"/>
  <c r="BC3253" i="6"/>
  <c r="BC3252" i="6"/>
  <c r="BC3251" i="6"/>
  <c r="BC3250" i="6"/>
  <c r="BC3249" i="6"/>
  <c r="BC3248" i="6"/>
  <c r="BC3247" i="6"/>
  <c r="BC3246" i="6"/>
  <c r="BC3245" i="6"/>
  <c r="BC3244" i="6"/>
  <c r="BC3243" i="6"/>
  <c r="BC3242" i="6"/>
  <c r="BC3241" i="6"/>
  <c r="BC3240" i="6"/>
  <c r="BC3239" i="6"/>
  <c r="BC3238" i="6"/>
  <c r="BC3237" i="6"/>
  <c r="BC3236" i="6"/>
  <c r="BC3235" i="6"/>
  <c r="BC3234" i="6"/>
  <c r="BC3233" i="6"/>
  <c r="BC3232" i="6"/>
  <c r="BC3231" i="6"/>
  <c r="BC3230" i="6"/>
  <c r="BC3229" i="6"/>
  <c r="BC3228" i="6"/>
  <c r="BC3227" i="6"/>
  <c r="BC3226" i="6"/>
  <c r="BC3225" i="6"/>
  <c r="BC3224" i="6"/>
  <c r="BC3223" i="6"/>
  <c r="BC3222" i="6"/>
  <c r="BC3221" i="6"/>
  <c r="BC3220" i="6"/>
  <c r="BC3219" i="6"/>
  <c r="BC3218" i="6"/>
  <c r="BC3217" i="6"/>
  <c r="BC3216" i="6"/>
  <c r="BC3215" i="6"/>
  <c r="BC3214" i="6"/>
  <c r="BC3213" i="6"/>
  <c r="BC3212" i="6"/>
  <c r="BC3211" i="6"/>
  <c r="BC3210" i="6"/>
  <c r="BC3209" i="6"/>
  <c r="BC3208" i="6"/>
  <c r="BC3207" i="6"/>
  <c r="BC3206" i="6"/>
  <c r="BC3205" i="6"/>
  <c r="BC3204" i="6"/>
  <c r="BC3203" i="6"/>
  <c r="BC3202" i="6"/>
  <c r="BC3201" i="6"/>
  <c r="BC3200" i="6"/>
  <c r="BC3199" i="6"/>
  <c r="BC3198" i="6"/>
  <c r="BC3197" i="6"/>
  <c r="BC3196" i="6"/>
  <c r="BC3195" i="6"/>
  <c r="BC3194" i="6"/>
  <c r="BC3193" i="6"/>
  <c r="BC3192" i="6"/>
  <c r="BC3191" i="6"/>
  <c r="BC3190" i="6"/>
  <c r="BC3189" i="6"/>
  <c r="BC3188" i="6"/>
  <c r="BC3187" i="6"/>
  <c r="BC3186" i="6"/>
  <c r="BC3185" i="6"/>
  <c r="BC3184" i="6"/>
  <c r="BC3183" i="6"/>
  <c r="BC3182" i="6"/>
  <c r="BC3181" i="6"/>
  <c r="BC3180" i="6"/>
  <c r="BC3179" i="6"/>
  <c r="BC3178" i="6"/>
  <c r="BC3177" i="6"/>
  <c r="BC3176" i="6"/>
  <c r="BC3175" i="6"/>
  <c r="BC3174" i="6"/>
  <c r="BC3173" i="6"/>
  <c r="BC3172" i="6"/>
  <c r="BC3171" i="6"/>
  <c r="BC3170" i="6"/>
  <c r="BC3169" i="6"/>
  <c r="BC3168" i="6"/>
  <c r="BC3167" i="6"/>
  <c r="BC3166" i="6"/>
  <c r="BC3165" i="6"/>
  <c r="BC3164" i="6"/>
  <c r="BC3163" i="6"/>
  <c r="BC3162" i="6"/>
  <c r="BC3161" i="6"/>
  <c r="BC3160" i="6"/>
  <c r="BC3159" i="6"/>
  <c r="BC3158" i="6"/>
  <c r="BC3157" i="6"/>
  <c r="BC3156" i="6"/>
  <c r="BC3155" i="6"/>
  <c r="BC3154" i="6"/>
  <c r="BC3153" i="6"/>
  <c r="BC3152" i="6"/>
  <c r="BC3151" i="6"/>
  <c r="BC3150" i="6"/>
  <c r="BC3149" i="6"/>
  <c r="BC3148" i="6"/>
  <c r="BC3147" i="6"/>
  <c r="BC3146" i="6"/>
  <c r="BC3145" i="6"/>
  <c r="BC3144" i="6"/>
  <c r="BC3143" i="6"/>
  <c r="BC3142" i="6"/>
  <c r="BC3141" i="6"/>
  <c r="BC3140" i="6"/>
  <c r="BC3139" i="6"/>
  <c r="BC3138" i="6"/>
  <c r="BC3137" i="6"/>
  <c r="BC3136" i="6"/>
  <c r="BC3135" i="6"/>
  <c r="BC3134" i="6"/>
  <c r="BC3133" i="6"/>
  <c r="BC3132" i="6"/>
  <c r="BC3131" i="6"/>
  <c r="BC3130" i="6"/>
  <c r="BC3129" i="6"/>
  <c r="BC3128" i="6"/>
  <c r="BC3127" i="6"/>
  <c r="BC3126" i="6"/>
  <c r="BC3125" i="6"/>
  <c r="BC3124" i="6"/>
  <c r="BC3123" i="6"/>
  <c r="BC3122" i="6"/>
  <c r="BC3121" i="6"/>
  <c r="BC3120" i="6"/>
  <c r="BC3119" i="6"/>
  <c r="BC3118" i="6"/>
  <c r="BC3117" i="6"/>
  <c r="BC3116" i="6"/>
  <c r="BC3115" i="6"/>
  <c r="BC3114" i="6"/>
  <c r="BC3113" i="6"/>
  <c r="BC3112" i="6"/>
  <c r="BC3111" i="6"/>
  <c r="BC3110" i="6"/>
  <c r="BC3109" i="6"/>
  <c r="BC3108" i="6"/>
  <c r="BC3107" i="6"/>
  <c r="BC3106" i="6"/>
  <c r="BC3105" i="6"/>
  <c r="BC3104" i="6"/>
  <c r="BC3103" i="6"/>
  <c r="BC3102" i="6"/>
  <c r="BC3101" i="6"/>
  <c r="BC3100" i="6"/>
  <c r="BC3099" i="6"/>
  <c r="BC3098" i="6"/>
  <c r="BC3097" i="6"/>
  <c r="BC3096" i="6"/>
  <c r="BC3095" i="6"/>
  <c r="BC3094" i="6"/>
  <c r="BC3093" i="6"/>
  <c r="BC3092" i="6"/>
  <c r="BC3091" i="6"/>
  <c r="BC3090" i="6"/>
  <c r="BC3089" i="6"/>
  <c r="BC3088" i="6"/>
  <c r="BC3087" i="6"/>
  <c r="BC3086" i="6"/>
  <c r="BC3085" i="6"/>
  <c r="BC3084" i="6"/>
  <c r="BC3083" i="6"/>
  <c r="BC3082" i="6"/>
  <c r="BC3081" i="6"/>
  <c r="BC3080" i="6"/>
  <c r="BC3079" i="6"/>
  <c r="BC3078" i="6"/>
  <c r="BC3077" i="6"/>
  <c r="BC3076" i="6"/>
  <c r="BC3075" i="6"/>
  <c r="BC3074" i="6"/>
  <c r="BC3073" i="6"/>
  <c r="BC3072" i="6"/>
  <c r="BC3071" i="6"/>
  <c r="BC3070" i="6"/>
  <c r="BC3069" i="6"/>
  <c r="BC3068" i="6"/>
  <c r="BC3067" i="6"/>
  <c r="BC3066" i="6"/>
  <c r="BC3065" i="6"/>
  <c r="BC3064" i="6"/>
  <c r="BC3063" i="6"/>
  <c r="BC3062" i="6"/>
  <c r="BC3061" i="6"/>
  <c r="BC3060" i="6"/>
  <c r="BC3059" i="6"/>
  <c r="BC3058" i="6"/>
  <c r="BC3057" i="6"/>
  <c r="BC3056" i="6"/>
  <c r="BC3055" i="6"/>
  <c r="BC3054" i="6"/>
  <c r="BC3053" i="6"/>
  <c r="BC3052" i="6"/>
  <c r="BC3051" i="6"/>
  <c r="BC3050" i="6"/>
  <c r="BC3049" i="6"/>
  <c r="BC3048" i="6"/>
  <c r="BC3047" i="6"/>
  <c r="BC3046" i="6"/>
  <c r="BC3045" i="6"/>
  <c r="BC3044" i="6"/>
  <c r="BC3043" i="6"/>
  <c r="BC3042" i="6"/>
  <c r="BC3041" i="6"/>
  <c r="BC3040" i="6"/>
  <c r="BC3039" i="6"/>
  <c r="BC3038" i="6"/>
  <c r="BC3037" i="6"/>
  <c r="BC3036" i="6"/>
  <c r="BC3035" i="6"/>
  <c r="BC3034" i="6"/>
  <c r="BC3033" i="6"/>
  <c r="BC3032" i="6"/>
  <c r="BC3031" i="6"/>
  <c r="BC3030" i="6"/>
  <c r="BC3029" i="6"/>
  <c r="BC3028" i="6"/>
  <c r="BC3027" i="6"/>
  <c r="BC3026" i="6"/>
  <c r="BC3025" i="6"/>
  <c r="BC3024" i="6"/>
  <c r="BC3023" i="6"/>
  <c r="BC3022" i="6"/>
  <c r="BC3021" i="6"/>
  <c r="BC3020" i="6"/>
  <c r="BC3019" i="6"/>
  <c r="BC3018" i="6"/>
  <c r="BC3017" i="6"/>
  <c r="BC3016" i="6"/>
  <c r="BC3015" i="6"/>
  <c r="BC3014" i="6"/>
  <c r="BC3013" i="6"/>
  <c r="BC3012" i="6"/>
  <c r="BC3011" i="6"/>
  <c r="BC3010" i="6"/>
  <c r="BC3009" i="6"/>
  <c r="BC3008" i="6"/>
  <c r="BC3007" i="6"/>
  <c r="BC3006" i="6"/>
  <c r="BC3005" i="6"/>
  <c r="BC3004" i="6"/>
  <c r="BC3003" i="6"/>
  <c r="BC3002" i="6"/>
  <c r="BC3001" i="6"/>
  <c r="BC3000" i="6"/>
  <c r="BC2999" i="6"/>
  <c r="BC2998" i="6"/>
  <c r="BC2997" i="6"/>
  <c r="BC2996" i="6"/>
  <c r="BC2995" i="6"/>
  <c r="BC2994" i="6"/>
  <c r="BC2993" i="6"/>
  <c r="BC2992" i="6"/>
  <c r="BC2991" i="6"/>
  <c r="BC2990" i="6"/>
  <c r="BC2989" i="6"/>
  <c r="BC2988" i="6"/>
  <c r="BC2987" i="6"/>
  <c r="BC2986" i="6"/>
  <c r="BC2985" i="6"/>
  <c r="BC2984" i="6"/>
  <c r="BC2983" i="6"/>
  <c r="BC2982" i="6"/>
  <c r="BC2981" i="6"/>
  <c r="BC2980" i="6"/>
  <c r="BC2979" i="6"/>
  <c r="BC2978" i="6"/>
  <c r="BC2977" i="6"/>
  <c r="BC2976" i="6"/>
  <c r="BC2975" i="6"/>
  <c r="BC2974" i="6"/>
  <c r="BC2973" i="6"/>
  <c r="BC2972" i="6"/>
  <c r="BC2971" i="6"/>
  <c r="BC2970" i="6"/>
  <c r="BC2969" i="6"/>
  <c r="BC2968" i="6"/>
  <c r="BC2967" i="6"/>
  <c r="BC2966" i="6"/>
  <c r="BC2965" i="6"/>
  <c r="BC2964" i="6"/>
  <c r="BC2963" i="6"/>
  <c r="BC2962" i="6"/>
  <c r="BC2961" i="6"/>
  <c r="BC2960" i="6"/>
  <c r="BC2959" i="6"/>
  <c r="BC2958" i="6"/>
  <c r="BC2957" i="6"/>
  <c r="BC2956" i="6"/>
  <c r="BC2955" i="6"/>
  <c r="BC2954" i="6"/>
  <c r="BC2953" i="6"/>
  <c r="BC2952" i="6"/>
  <c r="BC2951" i="6"/>
  <c r="BC2950" i="6"/>
  <c r="BC2949" i="6"/>
  <c r="BC2948" i="6"/>
  <c r="BC2947" i="6"/>
  <c r="BC2946" i="6"/>
  <c r="BC2945" i="6"/>
  <c r="BC2944" i="6"/>
  <c r="BC2943" i="6"/>
  <c r="BC2942" i="6"/>
  <c r="BC2941" i="6"/>
  <c r="BC2940" i="6"/>
  <c r="BC2939" i="6"/>
  <c r="BC2938" i="6"/>
  <c r="BC2937" i="6"/>
  <c r="BC2936" i="6"/>
  <c r="BC2935" i="6"/>
  <c r="BC2934" i="6"/>
  <c r="BC2933" i="6"/>
  <c r="BC2932" i="6"/>
  <c r="BC2931" i="6"/>
  <c r="BC2930" i="6"/>
  <c r="BC2929" i="6"/>
  <c r="BC2928" i="6"/>
  <c r="BC2927" i="6"/>
  <c r="BC2926" i="6"/>
  <c r="BC2925" i="6"/>
  <c r="BC2924" i="6"/>
  <c r="BC2923" i="6"/>
  <c r="BC2922" i="6"/>
  <c r="BC2921" i="6"/>
  <c r="BC2920" i="6"/>
  <c r="BC2919" i="6"/>
  <c r="BC2918" i="6"/>
  <c r="BC2917" i="6"/>
  <c r="BC2916" i="6"/>
  <c r="BC2915" i="6"/>
  <c r="BC2914" i="6"/>
  <c r="BC2913" i="6"/>
  <c r="BC2912" i="6"/>
  <c r="BC2911" i="6"/>
  <c r="BC2910" i="6"/>
  <c r="BC2909" i="6"/>
  <c r="BC2908" i="6"/>
  <c r="BC2907" i="6"/>
  <c r="BC2906" i="6"/>
  <c r="BC2905" i="6"/>
  <c r="BC2904" i="6"/>
  <c r="BC2903" i="6"/>
  <c r="BC2902" i="6"/>
  <c r="BC2901" i="6"/>
  <c r="BC2900" i="6"/>
  <c r="BC2899" i="6"/>
  <c r="BC2898" i="6"/>
  <c r="BC2897" i="6"/>
  <c r="BC2896" i="6"/>
  <c r="BC2895" i="6"/>
  <c r="BC2894" i="6"/>
  <c r="BC2893" i="6"/>
  <c r="BC2892" i="6"/>
  <c r="BC2891" i="6"/>
  <c r="BC2890" i="6"/>
  <c r="BC2889" i="6"/>
  <c r="BC2888" i="6"/>
  <c r="BC2887" i="6"/>
  <c r="BC2886" i="6"/>
  <c r="BC2885" i="6"/>
  <c r="BC2884" i="6"/>
  <c r="BC2883" i="6"/>
  <c r="BC2882" i="6"/>
  <c r="BC2881" i="6"/>
  <c r="BC2880" i="6"/>
  <c r="BC2879" i="6"/>
  <c r="BC2878" i="6"/>
  <c r="BC2877" i="6"/>
  <c r="BC2876" i="6"/>
  <c r="BC2875" i="6"/>
  <c r="BC2874" i="6"/>
  <c r="BC2873" i="6"/>
  <c r="BC2872" i="6"/>
  <c r="BC2871" i="6"/>
  <c r="BC2870" i="6"/>
  <c r="BC2869" i="6"/>
  <c r="BC2868" i="6"/>
  <c r="BC2867" i="6"/>
  <c r="BC2866" i="6"/>
  <c r="BC2865" i="6"/>
  <c r="BC2864" i="6"/>
  <c r="BC2863" i="6"/>
  <c r="BC2862" i="6"/>
  <c r="BC2861" i="6"/>
  <c r="BC2860" i="6"/>
  <c r="BC2859" i="6"/>
  <c r="BC2858" i="6"/>
  <c r="BC2857" i="6"/>
  <c r="BC2856" i="6"/>
  <c r="BC2855" i="6"/>
  <c r="BC2854" i="6"/>
  <c r="BC2853" i="6"/>
  <c r="BC2852" i="6"/>
  <c r="BC2851" i="6"/>
  <c r="BC2850" i="6"/>
  <c r="BC2849" i="6"/>
  <c r="BC2848" i="6"/>
  <c r="BC2847" i="6"/>
  <c r="BC2846" i="6"/>
  <c r="BC2845" i="6"/>
  <c r="BC2844" i="6"/>
  <c r="BC2843" i="6"/>
  <c r="BC2842" i="6"/>
  <c r="BC2841" i="6"/>
  <c r="BC2840" i="6"/>
  <c r="BC2839" i="6"/>
  <c r="BC2838" i="6"/>
  <c r="BC2837" i="6"/>
  <c r="BC2836" i="6"/>
  <c r="BC2835" i="6"/>
  <c r="BC2834" i="6"/>
  <c r="BC2833" i="6"/>
  <c r="BC2832" i="6"/>
  <c r="BC2831" i="6"/>
  <c r="BC2830" i="6"/>
  <c r="BC2829" i="6"/>
  <c r="BC2828" i="6"/>
  <c r="BC2827" i="6"/>
  <c r="BC2826" i="6"/>
  <c r="BC2825" i="6"/>
  <c r="BC2824" i="6"/>
  <c r="BC2823" i="6"/>
  <c r="BC2822" i="6"/>
  <c r="BC2821" i="6"/>
  <c r="BC2820" i="6"/>
  <c r="BC2819" i="6"/>
  <c r="BC2818" i="6"/>
  <c r="BC2817" i="6"/>
  <c r="BC2816" i="6"/>
  <c r="BC2815" i="6"/>
  <c r="BC2814" i="6"/>
  <c r="BC2813" i="6"/>
  <c r="BC2812" i="6"/>
  <c r="BC2811" i="6"/>
  <c r="BC2810" i="6"/>
  <c r="BC2809" i="6"/>
  <c r="BC2808" i="6"/>
  <c r="BC2807" i="6"/>
  <c r="BC2806" i="6"/>
  <c r="BC2805" i="6"/>
  <c r="BC2804" i="6"/>
  <c r="BC2803" i="6"/>
  <c r="BC2802" i="6"/>
  <c r="BC2801" i="6"/>
  <c r="BC2800" i="6"/>
  <c r="BC2799" i="6"/>
  <c r="BC2798" i="6"/>
  <c r="BC2797" i="6"/>
  <c r="BC2796" i="6"/>
  <c r="BC2795" i="6"/>
  <c r="BC2794" i="6"/>
  <c r="BC2793" i="6"/>
  <c r="BC2792" i="6"/>
  <c r="BC2791" i="6"/>
  <c r="BC2790" i="6"/>
  <c r="BC2789" i="6"/>
  <c r="BC2788" i="6"/>
  <c r="BC2787" i="6"/>
  <c r="BC2786" i="6"/>
  <c r="BC2785" i="6"/>
  <c r="BC2784" i="6"/>
  <c r="BC2783" i="6"/>
  <c r="BC2782" i="6"/>
  <c r="BC2781" i="6"/>
  <c r="BC2780" i="6"/>
  <c r="BC2779" i="6"/>
  <c r="BC2778" i="6"/>
  <c r="BC2777" i="6"/>
  <c r="BC2776" i="6"/>
  <c r="BC2775" i="6"/>
  <c r="BC2774" i="6"/>
  <c r="BC2773" i="6"/>
  <c r="BC2772" i="6"/>
  <c r="BC2771" i="6"/>
  <c r="BC2770" i="6"/>
  <c r="BC2769" i="6"/>
  <c r="BC2768" i="6"/>
  <c r="BC2767" i="6"/>
  <c r="BC2766" i="6"/>
  <c r="BC2765" i="6"/>
  <c r="BC2764" i="6"/>
  <c r="BC2763" i="6"/>
  <c r="BC2762" i="6"/>
  <c r="BC2761" i="6"/>
  <c r="BC2760" i="6"/>
  <c r="BC2759" i="6"/>
  <c r="BC2758" i="6"/>
  <c r="BC2757" i="6"/>
  <c r="BC2756" i="6"/>
  <c r="BC2755" i="6"/>
  <c r="BC2754" i="6"/>
  <c r="BC2753" i="6"/>
  <c r="BC2752" i="6"/>
  <c r="BC2751" i="6"/>
  <c r="BC2750" i="6"/>
  <c r="BC2749" i="6"/>
  <c r="BC2748" i="6"/>
  <c r="BC2747" i="6"/>
  <c r="BC2746" i="6"/>
  <c r="BC2745" i="6"/>
  <c r="BC2744" i="6"/>
  <c r="BC2743" i="6"/>
  <c r="BC2742" i="6"/>
  <c r="BC2741" i="6"/>
  <c r="BC2740" i="6"/>
  <c r="BC2739" i="6"/>
  <c r="BC2738" i="6"/>
  <c r="BC2737" i="6"/>
  <c r="BC2736" i="6"/>
  <c r="BC2735" i="6"/>
  <c r="BC2734" i="6"/>
  <c r="BC2733" i="6"/>
  <c r="BC2732" i="6"/>
  <c r="BC2731" i="6"/>
  <c r="BC2730" i="6"/>
  <c r="BC2729" i="6"/>
  <c r="BC2728" i="6"/>
  <c r="BC2727" i="6"/>
  <c r="BC2726" i="6"/>
  <c r="BC2725" i="6"/>
  <c r="BC2724" i="6"/>
  <c r="BC2723" i="6"/>
  <c r="BC2722" i="6"/>
  <c r="BC2721" i="6"/>
  <c r="BC2720" i="6"/>
  <c r="BC2719" i="6"/>
  <c r="BC2718" i="6"/>
  <c r="BC2717" i="6"/>
  <c r="BC2716" i="6"/>
  <c r="BC2715" i="6"/>
  <c r="BC2714" i="6"/>
  <c r="BC2713" i="6"/>
  <c r="BC2712" i="6"/>
  <c r="BC2711" i="6"/>
  <c r="BC2710" i="6"/>
  <c r="BC2709" i="6"/>
  <c r="BC2708" i="6"/>
  <c r="BC2707" i="6"/>
  <c r="BC2706" i="6"/>
  <c r="BC2705" i="6"/>
  <c r="BC2704" i="6"/>
  <c r="BC2703" i="6"/>
  <c r="BC2702" i="6"/>
  <c r="BC2701" i="6"/>
  <c r="BC2700" i="6"/>
  <c r="BC2699" i="6"/>
  <c r="BC2698" i="6"/>
  <c r="BC2697" i="6"/>
  <c r="BC2696" i="6"/>
  <c r="BC2695" i="6"/>
  <c r="BC2694" i="6"/>
  <c r="BC2693" i="6"/>
  <c r="BC2692" i="6"/>
  <c r="BC2691" i="6"/>
  <c r="BC2690" i="6"/>
  <c r="BC2689" i="6"/>
  <c r="BC2688" i="6"/>
  <c r="BC2687" i="6"/>
  <c r="BC2686" i="6"/>
  <c r="BC2685" i="6"/>
  <c r="BC2684" i="6"/>
  <c r="BC2683" i="6"/>
  <c r="BC2682" i="6"/>
  <c r="BC2681" i="6"/>
  <c r="BC2680" i="6"/>
  <c r="BC2679" i="6"/>
  <c r="BC2678" i="6"/>
  <c r="BC2677" i="6"/>
  <c r="BC2676" i="6"/>
  <c r="BC2675" i="6"/>
  <c r="BC2674" i="6"/>
  <c r="BC2673" i="6"/>
  <c r="BC2672" i="6"/>
  <c r="BC2671" i="6"/>
  <c r="BC2670" i="6"/>
  <c r="BC2669" i="6"/>
  <c r="BC2668" i="6"/>
  <c r="BC2667" i="6"/>
  <c r="BC2666" i="6"/>
  <c r="BC2665" i="6"/>
  <c r="BC2664" i="6"/>
  <c r="BC2663" i="6"/>
  <c r="BC2662" i="6"/>
  <c r="BC2661" i="6"/>
  <c r="BC2660" i="6"/>
  <c r="BC2659" i="6"/>
  <c r="BC2658" i="6"/>
  <c r="BC2657" i="6"/>
  <c r="BC2656" i="6"/>
  <c r="BC2655" i="6"/>
  <c r="BC2654" i="6"/>
  <c r="BC2653" i="6"/>
  <c r="BC2652" i="6"/>
  <c r="BC2651" i="6"/>
  <c r="BC2650" i="6"/>
  <c r="BC2649" i="6"/>
  <c r="BC2648" i="6"/>
  <c r="BC2647" i="6"/>
  <c r="BC2646" i="6"/>
  <c r="BC2645" i="6"/>
  <c r="BC2644" i="6"/>
  <c r="BC2643" i="6"/>
  <c r="BC2642" i="6"/>
  <c r="BC2641" i="6"/>
  <c r="BC2640" i="6"/>
  <c r="BC2639" i="6"/>
  <c r="BC2638" i="6"/>
  <c r="BC2637" i="6"/>
  <c r="BC2636" i="6"/>
  <c r="BC2635" i="6"/>
  <c r="BC2634" i="6"/>
  <c r="BC2633" i="6"/>
  <c r="BC2632" i="6"/>
  <c r="BC2631" i="6"/>
  <c r="BC2630" i="6"/>
  <c r="BC2629" i="6"/>
  <c r="BC2628" i="6"/>
  <c r="BC2627" i="6"/>
  <c r="BC2626" i="6"/>
  <c r="BC2625" i="6"/>
  <c r="BC2624" i="6"/>
  <c r="BC2623" i="6"/>
  <c r="BC2622" i="6"/>
  <c r="BC2621" i="6"/>
  <c r="BC2620" i="6"/>
  <c r="BC2619" i="6"/>
  <c r="BC2618" i="6"/>
  <c r="BC2617" i="6"/>
  <c r="BC2616" i="6"/>
  <c r="BC2615" i="6"/>
  <c r="BC2614" i="6"/>
  <c r="BC2613" i="6"/>
  <c r="BC2612" i="6"/>
  <c r="BC2611" i="6"/>
  <c r="BC2610" i="6"/>
  <c r="BC2609" i="6"/>
  <c r="BC2608" i="6"/>
  <c r="BC2607" i="6"/>
  <c r="BC2606" i="6"/>
  <c r="BC2605" i="6"/>
  <c r="BC2604" i="6"/>
  <c r="BC2603" i="6"/>
  <c r="BC2602" i="6"/>
  <c r="BC2601" i="6"/>
  <c r="BC2600" i="6"/>
  <c r="BC2599" i="6"/>
  <c r="BC2598" i="6"/>
  <c r="BC2597" i="6"/>
  <c r="BC2596" i="6"/>
  <c r="BC2595" i="6"/>
  <c r="BC2594" i="6"/>
  <c r="BC2593" i="6"/>
  <c r="BC2592" i="6"/>
  <c r="BC2591" i="6"/>
  <c r="BC2590" i="6"/>
  <c r="BC2589" i="6"/>
  <c r="BC2588" i="6"/>
  <c r="BC2587" i="6"/>
  <c r="BC2586" i="6"/>
  <c r="BC2585" i="6"/>
  <c r="BC2584" i="6"/>
  <c r="BC2583" i="6"/>
  <c r="BC2582" i="6"/>
  <c r="BC2581" i="6"/>
  <c r="BC2580" i="6"/>
  <c r="BC2579" i="6"/>
  <c r="BC2578" i="6"/>
  <c r="BC2577" i="6"/>
  <c r="BC2576" i="6"/>
  <c r="BC2575" i="6"/>
  <c r="BC2574" i="6"/>
  <c r="BC2573" i="6"/>
  <c r="BC2572" i="6"/>
  <c r="BC2571" i="6"/>
  <c r="BC2570" i="6"/>
  <c r="BC2569" i="6"/>
  <c r="BC2568" i="6"/>
  <c r="BC2567" i="6"/>
  <c r="BC2566" i="6"/>
  <c r="BC2565" i="6"/>
  <c r="BC2564" i="6"/>
  <c r="BC2563" i="6"/>
  <c r="BC2562" i="6"/>
  <c r="BC2561" i="6"/>
  <c r="BC2560" i="6"/>
  <c r="BC2559" i="6"/>
  <c r="BC2558" i="6"/>
  <c r="BC2557" i="6"/>
  <c r="BC2556" i="6"/>
  <c r="BC2555" i="6"/>
  <c r="BC2554" i="6"/>
  <c r="BC2553" i="6"/>
  <c r="BC2552" i="6"/>
  <c r="BC2551" i="6"/>
  <c r="BC2550" i="6"/>
  <c r="BC2549" i="6"/>
  <c r="BC2548" i="6"/>
  <c r="BC2547" i="6"/>
  <c r="BC2546" i="6"/>
  <c r="BC2545" i="6"/>
  <c r="BC2544" i="6"/>
  <c r="BC2543" i="6"/>
  <c r="BC2542" i="6"/>
  <c r="BC2541" i="6"/>
  <c r="BC2540" i="6"/>
  <c r="BC2539" i="6"/>
  <c r="BC2538" i="6"/>
  <c r="BC2537" i="6"/>
  <c r="BC2536" i="6"/>
  <c r="BC2535" i="6"/>
  <c r="BC2534" i="6"/>
  <c r="BC2533" i="6"/>
  <c r="BC2532" i="6"/>
  <c r="BC2531" i="6"/>
  <c r="BC2530" i="6"/>
  <c r="BC2529" i="6"/>
  <c r="BC2528" i="6"/>
  <c r="BC2527" i="6"/>
  <c r="BC2526" i="6"/>
  <c r="BC2525" i="6"/>
  <c r="BC2524" i="6"/>
  <c r="BC2523" i="6"/>
  <c r="BC2522" i="6"/>
  <c r="BC2521" i="6"/>
  <c r="BC2520" i="6"/>
  <c r="BC2519" i="6"/>
  <c r="BC2518" i="6"/>
  <c r="BC2517" i="6"/>
  <c r="BC2516" i="6"/>
  <c r="BC2515" i="6"/>
  <c r="BC2514" i="6"/>
  <c r="BC2513" i="6"/>
  <c r="BC2512" i="6"/>
  <c r="BC2511" i="6"/>
  <c r="BC2510" i="6"/>
  <c r="BC2509" i="6"/>
  <c r="BC2508" i="6"/>
  <c r="BC2507" i="6"/>
  <c r="BC2506" i="6"/>
  <c r="BC2505" i="6"/>
  <c r="BC2504" i="6"/>
  <c r="BC2503" i="6"/>
  <c r="BC2502" i="6"/>
  <c r="BC2501" i="6"/>
  <c r="BC2500" i="6"/>
  <c r="BC2499" i="6"/>
  <c r="BC2498" i="6"/>
  <c r="BC2497" i="6"/>
  <c r="BC2496" i="6"/>
  <c r="BC2495" i="6"/>
  <c r="BC2494" i="6"/>
  <c r="BC2493" i="6"/>
  <c r="BC2492" i="6"/>
  <c r="BC2491" i="6"/>
  <c r="BC2490" i="6"/>
  <c r="BC2489" i="6"/>
  <c r="BC2488" i="6"/>
  <c r="BC2487" i="6"/>
  <c r="BC2486" i="6"/>
  <c r="BC2485" i="6"/>
  <c r="BC2484" i="6"/>
  <c r="BC2483" i="6"/>
  <c r="BC2482" i="6"/>
  <c r="BC2481" i="6"/>
  <c r="BC2480" i="6"/>
  <c r="BC2479" i="6"/>
  <c r="BC2478" i="6"/>
  <c r="BC2477" i="6"/>
  <c r="BC2476" i="6"/>
  <c r="BC2475" i="6"/>
  <c r="BC2474" i="6"/>
  <c r="BC2473" i="6"/>
  <c r="BC2472" i="6"/>
  <c r="BC2471" i="6"/>
  <c r="BC2470" i="6"/>
  <c r="BC2469" i="6"/>
  <c r="BC2468" i="6"/>
  <c r="BC2467" i="6"/>
  <c r="BC2466" i="6"/>
  <c r="BC2465" i="6"/>
  <c r="BC2464" i="6"/>
  <c r="BC2463" i="6"/>
  <c r="BC2462" i="6"/>
  <c r="BC2461" i="6"/>
  <c r="BC2460" i="6"/>
  <c r="BC2459" i="6"/>
  <c r="BC2458" i="6"/>
  <c r="BC2457" i="6"/>
  <c r="BC2456" i="6"/>
  <c r="BC2455" i="6"/>
  <c r="BC2454" i="6"/>
  <c r="BC2453" i="6"/>
  <c r="BC2452" i="6"/>
  <c r="BC2451" i="6"/>
  <c r="BC2450" i="6"/>
  <c r="BC2449" i="6"/>
  <c r="BC2448" i="6"/>
  <c r="BC2447" i="6"/>
  <c r="BC2446" i="6"/>
  <c r="BC2445" i="6"/>
  <c r="BC2444" i="6"/>
  <c r="BC2443" i="6"/>
  <c r="BC2442" i="6"/>
  <c r="BC2441" i="6"/>
  <c r="BC2440" i="6"/>
  <c r="BC2439" i="6"/>
  <c r="BC2438" i="6"/>
  <c r="BC2437" i="6"/>
  <c r="BC2436" i="6"/>
  <c r="BC2435" i="6"/>
  <c r="BC2434" i="6"/>
  <c r="BC2433" i="6"/>
  <c r="BC2432" i="6"/>
  <c r="BC2431" i="6"/>
  <c r="BC2430" i="6"/>
  <c r="BC2429" i="6"/>
  <c r="BC2428" i="6"/>
  <c r="BC2427" i="6"/>
  <c r="BC2426" i="6"/>
  <c r="BC2425" i="6"/>
  <c r="BC2424" i="6"/>
  <c r="BC2423" i="6"/>
  <c r="BC2422" i="6"/>
  <c r="BC2421" i="6"/>
  <c r="BC2420" i="6"/>
  <c r="BC2419" i="6"/>
  <c r="BC2418" i="6"/>
  <c r="BC2417" i="6"/>
  <c r="BC2416" i="6"/>
  <c r="BC2415" i="6"/>
  <c r="BC2414" i="6"/>
  <c r="BC2413" i="6"/>
  <c r="BC2412" i="6"/>
  <c r="BC2411" i="6"/>
  <c r="BC2410" i="6"/>
  <c r="BC2409" i="6"/>
  <c r="BC2408" i="6"/>
  <c r="BC2407" i="6"/>
  <c r="BC2406" i="6"/>
  <c r="BC2405" i="6"/>
  <c r="BC2404" i="6"/>
  <c r="BC2403" i="6"/>
  <c r="BC2402" i="6"/>
  <c r="BC2401" i="6"/>
  <c r="BC2400" i="6"/>
  <c r="BC2399" i="6"/>
  <c r="BC2398" i="6"/>
  <c r="BC2397" i="6"/>
  <c r="BC2396" i="6"/>
  <c r="BC2395" i="6"/>
  <c r="BC2394" i="6"/>
  <c r="BC2393" i="6"/>
  <c r="BC2392" i="6"/>
  <c r="BC2391" i="6"/>
  <c r="BC2390" i="6"/>
  <c r="BC2389" i="6"/>
  <c r="BC2388" i="6"/>
  <c r="BC2387" i="6"/>
  <c r="BC2386" i="6"/>
  <c r="BC2385" i="6"/>
  <c r="BC2384" i="6"/>
  <c r="BC2383" i="6"/>
  <c r="BC2382" i="6"/>
  <c r="BC2381" i="6"/>
  <c r="BC2380" i="6"/>
  <c r="BC2379" i="6"/>
  <c r="BC2378" i="6"/>
  <c r="BC2377" i="6"/>
  <c r="BC2376" i="6"/>
  <c r="BC2375" i="6"/>
  <c r="BC2374" i="6"/>
  <c r="BC2373" i="6"/>
  <c r="BC2372" i="6"/>
  <c r="BC2371" i="6"/>
  <c r="BC2370" i="6"/>
  <c r="BC2369" i="6"/>
  <c r="BC2368" i="6"/>
  <c r="BC2367" i="6"/>
  <c r="BC2366" i="6"/>
  <c r="BC2365" i="6"/>
  <c r="BC2364" i="6"/>
  <c r="BC2363" i="6"/>
  <c r="BC2362" i="6"/>
  <c r="BC2361" i="6"/>
  <c r="BC2360" i="6"/>
  <c r="BC2359" i="6"/>
  <c r="BC2358" i="6"/>
  <c r="BC2357" i="6"/>
  <c r="BC2356" i="6"/>
  <c r="BC2355" i="6"/>
  <c r="BC2354" i="6"/>
  <c r="BC2353" i="6"/>
  <c r="BC2352" i="6"/>
  <c r="BC2351" i="6"/>
  <c r="BC2350" i="6"/>
  <c r="BC2349" i="6"/>
  <c r="BC2348" i="6"/>
  <c r="BC2347" i="6"/>
  <c r="BC2346" i="6"/>
  <c r="BC2345" i="6"/>
  <c r="BC2344" i="6"/>
  <c r="BC2343" i="6"/>
  <c r="BC2342" i="6"/>
  <c r="BC2341" i="6"/>
  <c r="BC2340" i="6"/>
  <c r="BC2339" i="6"/>
  <c r="BC2338" i="6"/>
  <c r="BC2337" i="6"/>
  <c r="BC2336" i="6"/>
  <c r="BC2335" i="6"/>
  <c r="BC2334" i="6"/>
  <c r="BC2333" i="6"/>
  <c r="BC2332" i="6"/>
  <c r="BC2331" i="6"/>
  <c r="BC2330" i="6"/>
  <c r="BC2329" i="6"/>
  <c r="BC2328" i="6"/>
  <c r="BC2327" i="6"/>
  <c r="BC2326" i="6"/>
  <c r="BC2325" i="6"/>
  <c r="BC2324" i="6"/>
  <c r="BC2323" i="6"/>
  <c r="BC2322" i="6"/>
  <c r="BC2321" i="6"/>
  <c r="BC2320" i="6"/>
  <c r="BC2319" i="6"/>
  <c r="BC2318" i="6"/>
  <c r="BC2317" i="6"/>
  <c r="BC2316" i="6"/>
  <c r="BC2315" i="6"/>
  <c r="BC2314" i="6"/>
  <c r="BC2313" i="6"/>
  <c r="BC2312" i="6"/>
  <c r="BC2311" i="6"/>
  <c r="BC2310" i="6"/>
  <c r="BC2309" i="6"/>
  <c r="BC2308" i="6"/>
  <c r="BC2307" i="6"/>
  <c r="BC2306" i="6"/>
  <c r="BC2305" i="6"/>
  <c r="BC2304" i="6"/>
  <c r="BC2303" i="6"/>
  <c r="BC2302" i="6"/>
  <c r="BC2301" i="6"/>
  <c r="BC2300" i="6"/>
  <c r="BC2299" i="6"/>
  <c r="BC2298" i="6"/>
  <c r="BC2297" i="6"/>
  <c r="BC2296" i="6"/>
  <c r="BC2295" i="6"/>
  <c r="BC2294" i="6"/>
  <c r="BC2293" i="6"/>
  <c r="BC2292" i="6"/>
  <c r="BC2291" i="6"/>
  <c r="BC2290" i="6"/>
  <c r="BC2289" i="6"/>
  <c r="BC2288" i="6"/>
  <c r="BC2287" i="6"/>
  <c r="BC2286" i="6"/>
  <c r="BC2285" i="6"/>
  <c r="BC2284" i="6"/>
  <c r="BC2283" i="6"/>
  <c r="BC2282" i="6"/>
  <c r="BC2281" i="6"/>
  <c r="BC2280" i="6"/>
  <c r="BC2279" i="6"/>
  <c r="BC2278" i="6"/>
  <c r="BC2277" i="6"/>
  <c r="BC2276" i="6"/>
  <c r="BC2275" i="6"/>
  <c r="BC2274" i="6"/>
  <c r="BC2273" i="6"/>
  <c r="BC2272" i="6"/>
  <c r="BC2271" i="6"/>
  <c r="BC2270" i="6"/>
  <c r="BC2269" i="6"/>
  <c r="BC2268" i="6"/>
  <c r="BC2267" i="6"/>
  <c r="BC2266" i="6"/>
  <c r="BC2265" i="6"/>
  <c r="BC2264" i="6"/>
  <c r="BC2263" i="6"/>
  <c r="BC2262" i="6"/>
  <c r="BC2261" i="6"/>
  <c r="BC2260" i="6"/>
  <c r="BC2259" i="6"/>
  <c r="BC2258" i="6"/>
  <c r="BC2257" i="6"/>
  <c r="BC2256" i="6"/>
  <c r="BC2255" i="6"/>
  <c r="BC2254" i="6"/>
  <c r="BC2253" i="6"/>
  <c r="BC2252" i="6"/>
  <c r="BC2251" i="6"/>
  <c r="BC2250" i="6"/>
  <c r="BC2249" i="6"/>
  <c r="BC2248" i="6"/>
  <c r="BC2247" i="6"/>
  <c r="BC2246" i="6"/>
  <c r="BC2245" i="6"/>
  <c r="BC2244" i="6"/>
  <c r="BC2243" i="6"/>
  <c r="BC2242" i="6"/>
  <c r="BC2241" i="6"/>
  <c r="BC2240" i="6"/>
  <c r="BC2239" i="6"/>
  <c r="BC2238" i="6"/>
  <c r="BC2237" i="6"/>
  <c r="BC2236" i="6"/>
  <c r="BC2235" i="6"/>
  <c r="BC2234" i="6"/>
  <c r="BC2233" i="6"/>
  <c r="BC2232" i="6"/>
  <c r="BC2231" i="6"/>
  <c r="BC2230" i="6"/>
  <c r="BC2229" i="6"/>
  <c r="BC2228" i="6"/>
  <c r="BC2227" i="6"/>
  <c r="BC2226" i="6"/>
  <c r="BC2225" i="6"/>
  <c r="BC2224" i="6"/>
  <c r="BC2223" i="6"/>
  <c r="BC2222" i="6"/>
  <c r="BC2221" i="6"/>
  <c r="BC2220" i="6"/>
  <c r="BC2219" i="6"/>
  <c r="BC2218" i="6"/>
  <c r="BC2217" i="6"/>
  <c r="BC2216" i="6"/>
  <c r="BC2215" i="6"/>
  <c r="BC2214" i="6"/>
  <c r="BC2213" i="6"/>
  <c r="BC2212" i="6"/>
  <c r="BC2211" i="6"/>
  <c r="BC2210" i="6"/>
  <c r="BC2209" i="6"/>
  <c r="BC2208" i="6"/>
  <c r="BC2207" i="6"/>
  <c r="BC2206" i="6"/>
  <c r="BC2205" i="6"/>
  <c r="BC2204" i="6"/>
  <c r="BC2203" i="6"/>
  <c r="BC2202" i="6"/>
  <c r="BC2201" i="6"/>
  <c r="BC2200" i="6"/>
  <c r="BC2199" i="6"/>
  <c r="BC2198" i="6"/>
  <c r="BC2197" i="6"/>
  <c r="BC2196" i="6"/>
  <c r="BC2195" i="6"/>
  <c r="BC2194" i="6"/>
  <c r="BC2193" i="6"/>
  <c r="BC2192" i="6"/>
  <c r="BC2191" i="6"/>
  <c r="BC2190" i="6"/>
  <c r="BC2189" i="6"/>
  <c r="BC2188" i="6"/>
  <c r="BC2187" i="6"/>
  <c r="BC2186" i="6"/>
  <c r="BC2185" i="6"/>
  <c r="BC2184" i="6"/>
  <c r="BC2183" i="6"/>
  <c r="BC2182" i="6"/>
  <c r="BC2181" i="6"/>
  <c r="BC2180" i="6"/>
  <c r="BC2179" i="6"/>
  <c r="BC2178" i="6"/>
  <c r="BC2177" i="6"/>
  <c r="BC2176" i="6"/>
  <c r="BC2175" i="6"/>
  <c r="BC2174" i="6"/>
  <c r="BC2173" i="6"/>
  <c r="BC2172" i="6"/>
  <c r="BC2171" i="6"/>
  <c r="BC2170" i="6"/>
  <c r="BC2169" i="6"/>
  <c r="BC2168" i="6"/>
  <c r="BC2167" i="6"/>
  <c r="BC2166" i="6"/>
  <c r="BC2165" i="6"/>
  <c r="BC2164" i="6"/>
  <c r="BC2163" i="6"/>
  <c r="BC2162" i="6"/>
  <c r="BC2161" i="6"/>
  <c r="BC2160" i="6"/>
  <c r="BC2159" i="6"/>
  <c r="BC2158" i="6"/>
  <c r="BC2157" i="6"/>
  <c r="BC2156" i="6"/>
  <c r="BC2155" i="6"/>
  <c r="BC2154" i="6"/>
  <c r="BC2153" i="6"/>
  <c r="BC2152" i="6"/>
  <c r="BC2151" i="6"/>
  <c r="BC2150" i="6"/>
  <c r="BC2149" i="6"/>
  <c r="BC2148" i="6"/>
  <c r="BC2147" i="6"/>
  <c r="BC2146" i="6"/>
  <c r="BC2145" i="6"/>
  <c r="BC2144" i="6"/>
  <c r="BC2143" i="6"/>
  <c r="BC2142" i="6"/>
  <c r="BC2141" i="6"/>
  <c r="BC2140" i="6"/>
  <c r="BC2139" i="6"/>
  <c r="BC2138" i="6"/>
  <c r="BC2137" i="6"/>
  <c r="BC2136" i="6"/>
  <c r="BC2135" i="6"/>
  <c r="BC2134" i="6"/>
  <c r="BC2133" i="6"/>
  <c r="BC2132" i="6"/>
  <c r="BC2131" i="6"/>
  <c r="BC2130" i="6"/>
  <c r="BC2129" i="6"/>
  <c r="BC2128" i="6"/>
  <c r="BC2127" i="6"/>
  <c r="BC2126" i="6"/>
  <c r="BC2125" i="6"/>
  <c r="BC2124" i="6"/>
  <c r="BC2123" i="6"/>
  <c r="BC2122" i="6"/>
  <c r="BC2121" i="6"/>
  <c r="BC2120" i="6"/>
  <c r="BC2119" i="6"/>
  <c r="BC2118" i="6"/>
  <c r="BC2117" i="6"/>
  <c r="BC2116" i="6"/>
  <c r="BC2115" i="6"/>
  <c r="BC2114" i="6"/>
  <c r="BC2113" i="6"/>
  <c r="BC2112" i="6"/>
  <c r="BC2111" i="6"/>
  <c r="BC2110" i="6"/>
  <c r="BC2109" i="6"/>
  <c r="BC2108" i="6"/>
  <c r="BC2107" i="6"/>
  <c r="BC2106" i="6"/>
  <c r="BC2105" i="6"/>
  <c r="BC2104" i="6"/>
  <c r="BC2103" i="6"/>
  <c r="BC2102" i="6"/>
  <c r="BC2101" i="6"/>
  <c r="BC2100" i="6"/>
  <c r="BC2099" i="6"/>
  <c r="BC2098" i="6"/>
  <c r="BC2097" i="6"/>
  <c r="BC2096" i="6"/>
  <c r="BC2095" i="6"/>
  <c r="BC2094" i="6"/>
  <c r="BC2093" i="6"/>
  <c r="BC2092" i="6"/>
  <c r="BC2091" i="6"/>
  <c r="BC2090" i="6"/>
  <c r="BC2089" i="6"/>
  <c r="BC2088" i="6"/>
  <c r="BC2087" i="6"/>
  <c r="BC2086" i="6"/>
  <c r="BC2085" i="6"/>
  <c r="BC2084" i="6"/>
  <c r="BC2083" i="6"/>
  <c r="BC2082" i="6"/>
  <c r="BC2081" i="6"/>
  <c r="BC2080" i="6"/>
  <c r="BC2079" i="6"/>
  <c r="BC2078" i="6"/>
  <c r="BC2077" i="6"/>
  <c r="BC2076" i="6"/>
  <c r="BC2075" i="6"/>
  <c r="BC2074" i="6"/>
  <c r="BC2073" i="6"/>
  <c r="BC2072" i="6"/>
  <c r="BC2071" i="6"/>
  <c r="BC2070" i="6"/>
  <c r="BC2069" i="6"/>
  <c r="BC2068" i="6"/>
  <c r="BC2067" i="6"/>
  <c r="BC2066" i="6"/>
  <c r="BC2065" i="6"/>
  <c r="BC2064" i="6"/>
  <c r="BC2063" i="6"/>
  <c r="BC2062" i="6"/>
  <c r="BC2061" i="6"/>
  <c r="BC2060" i="6"/>
  <c r="BC2059" i="6"/>
  <c r="BC2058" i="6"/>
  <c r="BC2057" i="6"/>
  <c r="BC2056" i="6"/>
  <c r="BC2055" i="6"/>
  <c r="BC2054" i="6"/>
  <c r="BC2053" i="6"/>
  <c r="BC2052" i="6"/>
  <c r="BC2051" i="6"/>
  <c r="BC2050" i="6"/>
  <c r="BC2049" i="6"/>
  <c r="BC2048" i="6"/>
  <c r="BC2047" i="6"/>
  <c r="BC2046" i="6"/>
  <c r="BC2045" i="6"/>
  <c r="BC2044" i="6"/>
  <c r="BC2043" i="6"/>
  <c r="BC2042" i="6"/>
  <c r="BC2041" i="6"/>
  <c r="BC2040" i="6"/>
  <c r="BC2039" i="6"/>
  <c r="BC2038" i="6"/>
  <c r="BC2037" i="6"/>
  <c r="BC2036" i="6"/>
  <c r="BC2035" i="6"/>
  <c r="BC2034" i="6"/>
  <c r="BC2033" i="6"/>
  <c r="BC2032" i="6"/>
  <c r="BC2031" i="6"/>
  <c r="BC2030" i="6"/>
  <c r="BC2029" i="6"/>
  <c r="BC2028" i="6"/>
  <c r="BC2027" i="6"/>
  <c r="BC2026" i="6"/>
  <c r="BC2025" i="6"/>
  <c r="BC2024" i="6"/>
  <c r="BC2023" i="6"/>
  <c r="BC2022" i="6"/>
  <c r="BC2021" i="6"/>
  <c r="BC2020" i="6"/>
  <c r="BC2019" i="6"/>
  <c r="BC2018" i="6"/>
  <c r="BC2017" i="6"/>
  <c r="BC2016" i="6"/>
  <c r="BC2015" i="6"/>
  <c r="BC2014" i="6"/>
  <c r="BC2013" i="6"/>
  <c r="BC2012" i="6"/>
  <c r="BC2011" i="6"/>
  <c r="BC2010" i="6"/>
  <c r="BC2009" i="6"/>
  <c r="BC2008" i="6"/>
  <c r="BC2007" i="6"/>
  <c r="BC2006" i="6"/>
  <c r="BC2005" i="6"/>
  <c r="BC2004" i="6"/>
  <c r="BC2003" i="6"/>
  <c r="BC2002" i="6"/>
  <c r="BC2001" i="6"/>
  <c r="BC2000" i="6"/>
  <c r="BC1999" i="6"/>
  <c r="BC1998" i="6"/>
  <c r="BC1997" i="6"/>
  <c r="BC1996" i="6"/>
  <c r="BC1995" i="6"/>
  <c r="BC1994" i="6"/>
  <c r="BC1993" i="6"/>
  <c r="BC1992" i="6"/>
  <c r="BC1991" i="6"/>
  <c r="BC1990" i="6"/>
  <c r="BC1989" i="6"/>
  <c r="BC1988" i="6"/>
  <c r="BC1987" i="6"/>
  <c r="BC1986" i="6"/>
  <c r="BC1985" i="6"/>
  <c r="BC1984" i="6"/>
  <c r="BC1983" i="6"/>
  <c r="BC1982" i="6"/>
  <c r="BC1981" i="6"/>
  <c r="BC1980" i="6"/>
  <c r="BC1979" i="6"/>
  <c r="BC1978" i="6"/>
  <c r="BC1977" i="6"/>
  <c r="BC1976" i="6"/>
  <c r="BC1975" i="6"/>
  <c r="BC1974" i="6"/>
  <c r="BC1973" i="6"/>
  <c r="BC1972" i="6"/>
  <c r="BC1971" i="6"/>
  <c r="BC1970" i="6"/>
  <c r="BC1969" i="6"/>
  <c r="BC1968" i="6"/>
  <c r="BC1967" i="6"/>
  <c r="BC1966" i="6"/>
  <c r="BC1965" i="6"/>
  <c r="BC1964" i="6"/>
  <c r="BC1963" i="6"/>
  <c r="BC1962" i="6"/>
  <c r="BC1961" i="6"/>
  <c r="BC1960" i="6"/>
  <c r="BC1959" i="6"/>
  <c r="BC1958" i="6"/>
  <c r="BC1957" i="6"/>
  <c r="BC1956" i="6"/>
  <c r="BC1955" i="6"/>
  <c r="BC1954" i="6"/>
  <c r="BC1953" i="6"/>
  <c r="BC1952" i="6"/>
  <c r="BC1951" i="6"/>
  <c r="BC1950" i="6"/>
  <c r="BC1949" i="6"/>
  <c r="BC1948" i="6"/>
  <c r="BC1947" i="6"/>
  <c r="BC1946" i="6"/>
  <c r="BC1945" i="6"/>
  <c r="BC1944" i="6"/>
  <c r="BC1943" i="6"/>
  <c r="BC1942" i="6"/>
  <c r="BC1941" i="6"/>
  <c r="BC1940" i="6"/>
  <c r="BC1939" i="6"/>
  <c r="BC1938" i="6"/>
  <c r="BC1937" i="6"/>
  <c r="BC1936" i="6"/>
  <c r="BC1935" i="6"/>
  <c r="BC1934" i="6"/>
  <c r="BC1933" i="6"/>
  <c r="BC1932" i="6"/>
  <c r="BC1931" i="6"/>
  <c r="BC1930" i="6"/>
  <c r="BC1929" i="6"/>
  <c r="BC1928" i="6"/>
  <c r="BC1927" i="6"/>
  <c r="BC1926" i="6"/>
  <c r="BC1925" i="6"/>
  <c r="BC1924" i="6"/>
  <c r="BC1923" i="6"/>
  <c r="BC1922" i="6"/>
  <c r="BC1921" i="6"/>
  <c r="BC1920" i="6"/>
  <c r="BC1919" i="6"/>
  <c r="BC1918" i="6"/>
  <c r="BC1917" i="6"/>
  <c r="BC1916" i="6"/>
  <c r="BC1915" i="6"/>
  <c r="BC1914" i="6"/>
  <c r="BC1913" i="6"/>
  <c r="BC1912" i="6"/>
  <c r="BC1911" i="6"/>
  <c r="BC1910" i="6"/>
  <c r="BC1909" i="6"/>
  <c r="BC1908" i="6"/>
  <c r="BC1907" i="6"/>
  <c r="BC1906" i="6"/>
  <c r="BC1905" i="6"/>
  <c r="BC1904" i="6"/>
  <c r="BC1903" i="6"/>
  <c r="BC1902" i="6"/>
  <c r="BC1901" i="6"/>
  <c r="BC1900" i="6"/>
  <c r="BC1899" i="6"/>
  <c r="BC1898" i="6"/>
  <c r="BC1897" i="6"/>
  <c r="BC1896" i="6"/>
  <c r="BC1895" i="6"/>
  <c r="BC1894" i="6"/>
  <c r="BC1893" i="6"/>
  <c r="BC1892" i="6"/>
  <c r="BC1891" i="6"/>
  <c r="BC1890" i="6"/>
  <c r="BC1889" i="6"/>
  <c r="BC1888" i="6"/>
  <c r="BC1887" i="6"/>
  <c r="BC1886" i="6"/>
  <c r="BC1885" i="6"/>
  <c r="BC1884" i="6"/>
  <c r="BC1883" i="6"/>
  <c r="BC1882" i="6"/>
  <c r="BC1881" i="6"/>
  <c r="BC1880" i="6"/>
  <c r="BC1879" i="6"/>
  <c r="BC1878" i="6"/>
  <c r="BC1877" i="6"/>
  <c r="BC1876" i="6"/>
  <c r="BC1875" i="6"/>
  <c r="BC1874" i="6"/>
  <c r="BC1873" i="6"/>
  <c r="BC1872" i="6"/>
  <c r="BC1871" i="6"/>
  <c r="BC1870" i="6"/>
  <c r="BC1869" i="6"/>
  <c r="BC1868" i="6"/>
  <c r="BC1867" i="6"/>
  <c r="BC1866" i="6"/>
  <c r="BC1865" i="6"/>
  <c r="BC1864" i="6"/>
  <c r="BC1863" i="6"/>
  <c r="BC1862" i="6"/>
  <c r="BC1861" i="6"/>
  <c r="BC1860" i="6"/>
  <c r="BC1859" i="6"/>
  <c r="BC1858" i="6"/>
  <c r="BC1857" i="6"/>
  <c r="BC1856" i="6"/>
  <c r="BC1855" i="6"/>
  <c r="BC1854" i="6"/>
  <c r="BC1853" i="6"/>
  <c r="BC1852" i="6"/>
  <c r="BC1851" i="6"/>
  <c r="BC1850" i="6"/>
  <c r="BC1849" i="6"/>
  <c r="BC1848" i="6"/>
  <c r="BC1847" i="6"/>
  <c r="BC1846" i="6"/>
  <c r="BC1845" i="6"/>
  <c r="BC1844" i="6"/>
  <c r="BC1843" i="6"/>
  <c r="BC1842" i="6"/>
  <c r="BC1841" i="6"/>
  <c r="BC1840" i="6"/>
  <c r="BC1839" i="6"/>
  <c r="BC1838" i="6"/>
  <c r="BC1837" i="6"/>
  <c r="BC1836" i="6"/>
  <c r="BC1835" i="6"/>
  <c r="BC1834" i="6"/>
  <c r="BC1833" i="6"/>
  <c r="BC1832" i="6"/>
  <c r="BC1831" i="6"/>
  <c r="BC1830" i="6"/>
  <c r="BC1829" i="6"/>
  <c r="BC1828" i="6"/>
  <c r="BC1827" i="6"/>
  <c r="BC1826" i="6"/>
  <c r="BC1825" i="6"/>
  <c r="BC1824" i="6"/>
  <c r="BC1823" i="6"/>
  <c r="BC1822" i="6"/>
  <c r="BC1821" i="6"/>
  <c r="BC1820" i="6"/>
  <c r="BC1819" i="6"/>
  <c r="BC1818" i="6"/>
  <c r="BC1817" i="6"/>
  <c r="BC1816" i="6"/>
  <c r="BC1815" i="6"/>
  <c r="BC1814" i="6"/>
  <c r="BC1813" i="6"/>
  <c r="BC1812" i="6"/>
  <c r="BC1811" i="6"/>
  <c r="BC1810" i="6"/>
  <c r="BC1809" i="6"/>
  <c r="BC1808" i="6"/>
  <c r="BC1807" i="6"/>
  <c r="BC1806" i="6"/>
  <c r="BC1805" i="6"/>
  <c r="BC1804" i="6"/>
  <c r="BC1803" i="6"/>
  <c r="BC1802" i="6"/>
  <c r="BC1801" i="6"/>
  <c r="BC1800" i="6"/>
  <c r="BC1799" i="6"/>
  <c r="BC1798" i="6"/>
  <c r="BC1797" i="6"/>
  <c r="BC1796" i="6"/>
  <c r="BC1795" i="6"/>
  <c r="BC1794" i="6"/>
  <c r="BC1793" i="6"/>
  <c r="BC1792" i="6"/>
  <c r="BC1791" i="6"/>
  <c r="BC1790" i="6"/>
  <c r="BC1789" i="6"/>
  <c r="BC1788" i="6"/>
  <c r="BC1787" i="6"/>
  <c r="BC1786" i="6"/>
  <c r="BC1785" i="6"/>
  <c r="BC1784" i="6"/>
  <c r="BC1783" i="6"/>
  <c r="BC1782" i="6"/>
  <c r="BC1781" i="6"/>
  <c r="BC1780" i="6"/>
  <c r="BC1779" i="6"/>
  <c r="BC1778" i="6"/>
  <c r="BC1777" i="6"/>
  <c r="BC1776" i="6"/>
  <c r="BC1775" i="6"/>
  <c r="BC1774" i="6"/>
  <c r="BC1773" i="6"/>
  <c r="BC1772" i="6"/>
  <c r="BC1771" i="6"/>
  <c r="BC1770" i="6"/>
  <c r="BC1769" i="6"/>
  <c r="BC1768" i="6"/>
  <c r="BC1767" i="6"/>
  <c r="BC1766" i="6"/>
  <c r="BC1765" i="6"/>
  <c r="BC1764" i="6"/>
  <c r="BC1763" i="6"/>
  <c r="BC1762" i="6"/>
  <c r="BC1761" i="6"/>
  <c r="BC1760" i="6"/>
  <c r="BC1759" i="6"/>
  <c r="BC1758" i="6"/>
  <c r="BC1757" i="6"/>
  <c r="BC1756" i="6"/>
  <c r="BC1755" i="6"/>
  <c r="BC1754" i="6"/>
  <c r="BC1753" i="6"/>
  <c r="BC1752" i="6"/>
  <c r="BC1751" i="6"/>
  <c r="BC1750" i="6"/>
  <c r="BC1749" i="6"/>
  <c r="BC1748" i="6"/>
  <c r="BC1747" i="6"/>
  <c r="BC1746" i="6"/>
  <c r="BC1745" i="6"/>
  <c r="BC1744" i="6"/>
  <c r="BC1743" i="6"/>
  <c r="BC1742" i="6"/>
  <c r="BC1741" i="6"/>
  <c r="BC1740" i="6"/>
  <c r="BC1739" i="6"/>
  <c r="BC1738" i="6"/>
  <c r="BC1737" i="6"/>
  <c r="BC1736" i="6"/>
  <c r="BC1735" i="6"/>
  <c r="BC1734" i="6"/>
  <c r="BC1733" i="6"/>
  <c r="BC1732" i="6"/>
  <c r="BC1731" i="6"/>
  <c r="BC1730" i="6"/>
  <c r="BC1729" i="6"/>
  <c r="BC1728" i="6"/>
  <c r="BC1727" i="6"/>
  <c r="BC1726" i="6"/>
  <c r="BC1725" i="6"/>
  <c r="BC1724" i="6"/>
  <c r="BC1723" i="6"/>
  <c r="BC1722" i="6"/>
  <c r="BC1721" i="6"/>
  <c r="BC1720" i="6"/>
  <c r="BC1719" i="6"/>
  <c r="BC1718" i="6"/>
  <c r="BC1717" i="6"/>
  <c r="BC1716" i="6"/>
  <c r="BC1715" i="6"/>
  <c r="BC1714" i="6"/>
  <c r="BC1713" i="6"/>
  <c r="BC1712" i="6"/>
  <c r="BC1711" i="6"/>
  <c r="BC1710" i="6"/>
  <c r="BC1709" i="6"/>
  <c r="BC1708" i="6"/>
  <c r="BC1707" i="6"/>
  <c r="BC1706" i="6"/>
  <c r="BC1705" i="6"/>
  <c r="BC1704" i="6"/>
  <c r="BC1703" i="6"/>
  <c r="BC1702" i="6"/>
  <c r="BC1701" i="6"/>
  <c r="BC1700" i="6"/>
  <c r="BC1699" i="6"/>
  <c r="BC1698" i="6"/>
  <c r="BC1697" i="6"/>
  <c r="BC1696" i="6"/>
  <c r="BC1695" i="6"/>
  <c r="BC1694" i="6"/>
  <c r="BC1693" i="6"/>
  <c r="BC1692" i="6"/>
  <c r="BC1691" i="6"/>
  <c r="BC1690" i="6"/>
  <c r="BC1689" i="6"/>
  <c r="BC1688" i="6"/>
  <c r="BC1687" i="6"/>
  <c r="BC1686" i="6"/>
  <c r="BC1685" i="6"/>
  <c r="BC1684" i="6"/>
  <c r="BC1683" i="6"/>
  <c r="BC1682" i="6"/>
  <c r="BC1681" i="6"/>
  <c r="BC1680" i="6"/>
  <c r="BC1679" i="6"/>
  <c r="BC1678" i="6"/>
  <c r="BC1677" i="6"/>
  <c r="BC1676" i="6"/>
  <c r="BC1675" i="6"/>
  <c r="BC1674" i="6"/>
  <c r="BC1673" i="6"/>
  <c r="BC1672" i="6"/>
  <c r="BC1671" i="6"/>
  <c r="BC1670" i="6"/>
  <c r="BC1669" i="6"/>
  <c r="BC1668" i="6"/>
  <c r="BC1667" i="6"/>
  <c r="BC1666" i="6"/>
  <c r="BC1665" i="6"/>
  <c r="BC1664" i="6"/>
  <c r="BC1663" i="6"/>
  <c r="BC1662" i="6"/>
  <c r="BC1661" i="6"/>
  <c r="BC1660" i="6"/>
  <c r="BC1659" i="6"/>
  <c r="BC1658" i="6"/>
  <c r="BC1657" i="6"/>
  <c r="BC1656" i="6"/>
  <c r="BC1655" i="6"/>
  <c r="BC1654" i="6"/>
  <c r="BC1653" i="6"/>
  <c r="BC1652" i="6"/>
  <c r="BC1651" i="6"/>
  <c r="BC1650" i="6"/>
  <c r="BC1649" i="6"/>
  <c r="BC1648" i="6"/>
  <c r="BC1647" i="6"/>
  <c r="BC1646" i="6"/>
  <c r="BC1645" i="6"/>
  <c r="BC1644" i="6"/>
  <c r="BC1643" i="6"/>
  <c r="BC1642" i="6"/>
  <c r="BC1641" i="6"/>
  <c r="BC1640" i="6"/>
  <c r="BC1639" i="6"/>
  <c r="BC1638" i="6"/>
  <c r="BC1637" i="6"/>
  <c r="BC1636" i="6"/>
  <c r="BC1635" i="6"/>
  <c r="BC1634" i="6"/>
  <c r="BC1633" i="6"/>
  <c r="BC1632" i="6"/>
  <c r="BC1631" i="6"/>
  <c r="BC1630" i="6"/>
  <c r="BC1629" i="6"/>
  <c r="BC1628" i="6"/>
  <c r="BC1627" i="6"/>
  <c r="BC1626" i="6"/>
  <c r="BC1625" i="6"/>
  <c r="BC1624" i="6"/>
  <c r="BC1623" i="6"/>
  <c r="BC1622" i="6"/>
  <c r="BC1621" i="6"/>
  <c r="BC1620" i="6"/>
  <c r="BC1619" i="6"/>
  <c r="BC1618" i="6"/>
  <c r="BC1617" i="6"/>
  <c r="BC1616" i="6"/>
  <c r="BC1615" i="6"/>
  <c r="BC1614" i="6"/>
  <c r="BC1613" i="6"/>
  <c r="BC1612" i="6"/>
  <c r="BC1611" i="6"/>
  <c r="BC1610" i="6"/>
  <c r="BC1609" i="6"/>
  <c r="BC1608" i="6"/>
  <c r="BC1607" i="6"/>
  <c r="BC1606" i="6"/>
  <c r="BC1605" i="6"/>
  <c r="BC1604" i="6"/>
  <c r="BC1603" i="6"/>
  <c r="BC1602" i="6"/>
  <c r="BC1601" i="6"/>
  <c r="BC1600" i="6"/>
  <c r="BC1599" i="6"/>
  <c r="BC1598" i="6"/>
  <c r="BC1597" i="6"/>
  <c r="BC1596" i="6"/>
  <c r="BC1595" i="6"/>
  <c r="BC1594" i="6"/>
  <c r="BC1593" i="6"/>
  <c r="BC1592" i="6"/>
  <c r="BC1591" i="6"/>
  <c r="BC1590" i="6"/>
  <c r="BC1589" i="6"/>
  <c r="BC1588" i="6"/>
  <c r="BC1587" i="6"/>
  <c r="BC1586" i="6"/>
  <c r="BC1585" i="6"/>
  <c r="BC1584" i="6"/>
  <c r="BC1583" i="6"/>
  <c r="BC1582" i="6"/>
  <c r="BC1581" i="6"/>
  <c r="BC1580" i="6"/>
  <c r="BC1579" i="6"/>
  <c r="BC1578" i="6"/>
  <c r="BC1577" i="6"/>
  <c r="BC1576" i="6"/>
  <c r="BC1575" i="6"/>
  <c r="BC1574" i="6"/>
  <c r="BC1573" i="6"/>
  <c r="BC1572" i="6"/>
  <c r="BC1571" i="6"/>
  <c r="BC1570" i="6"/>
  <c r="BC1569" i="6"/>
  <c r="BC1568" i="6"/>
  <c r="BC1567" i="6"/>
  <c r="BC1566" i="6"/>
  <c r="BC1565" i="6"/>
  <c r="BC1564" i="6"/>
  <c r="BC1563" i="6"/>
  <c r="BC1562" i="6"/>
  <c r="BC1561" i="6"/>
  <c r="BC1560" i="6"/>
  <c r="BC1559" i="6"/>
  <c r="BC1558" i="6"/>
  <c r="BC1557" i="6"/>
  <c r="BC1556" i="6"/>
  <c r="BC1555" i="6"/>
  <c r="BC1554" i="6"/>
  <c r="BC1553" i="6"/>
  <c r="BC1552" i="6"/>
  <c r="BC1551" i="6"/>
  <c r="BC1550" i="6"/>
  <c r="BC1549" i="6"/>
  <c r="BC1548" i="6"/>
  <c r="BC1547" i="6"/>
  <c r="BC1546" i="6"/>
  <c r="BC1545" i="6"/>
  <c r="BC1544" i="6"/>
  <c r="BC1543" i="6"/>
  <c r="BC1542" i="6"/>
  <c r="BC1541" i="6"/>
  <c r="BC1540" i="6"/>
  <c r="BC1539" i="6"/>
  <c r="BC1538" i="6"/>
  <c r="BC1537" i="6"/>
  <c r="BC1536" i="6"/>
  <c r="BC1535" i="6"/>
  <c r="BC1534" i="6"/>
  <c r="BC1533" i="6"/>
  <c r="BC1532" i="6"/>
  <c r="BC1531" i="6"/>
  <c r="BC1530" i="6"/>
  <c r="BC1529" i="6"/>
  <c r="BC1528" i="6"/>
  <c r="BC1527" i="6"/>
  <c r="BC1526" i="6"/>
  <c r="BC1525" i="6"/>
  <c r="BC1524" i="6"/>
  <c r="BC1523" i="6"/>
  <c r="BC1522" i="6"/>
  <c r="BC1521" i="6"/>
  <c r="BC1520" i="6"/>
  <c r="BC1519" i="6"/>
  <c r="BC1518" i="6"/>
  <c r="BC1517" i="6"/>
  <c r="BC1516" i="6"/>
  <c r="BC1515" i="6"/>
  <c r="BC1514" i="6"/>
  <c r="BC1513" i="6"/>
  <c r="BC1512" i="6"/>
  <c r="BC1511" i="6"/>
  <c r="BC1510" i="6"/>
  <c r="BC1509" i="6"/>
  <c r="BC1508" i="6"/>
  <c r="BC1507" i="6"/>
  <c r="BC1506" i="6"/>
  <c r="BC1505" i="6"/>
  <c r="BC1504" i="6"/>
  <c r="BC1503" i="6"/>
  <c r="BC1502" i="6"/>
  <c r="BC1501" i="6"/>
  <c r="BC1500" i="6"/>
  <c r="BC1499" i="6"/>
  <c r="BC1498" i="6"/>
  <c r="BC1497" i="6"/>
  <c r="BC1496" i="6"/>
  <c r="BC1495" i="6"/>
  <c r="BC1494" i="6"/>
  <c r="BC1493" i="6"/>
  <c r="BC1492" i="6"/>
  <c r="BC1491" i="6"/>
  <c r="BC1490" i="6"/>
  <c r="BC1489" i="6"/>
  <c r="BC1488" i="6"/>
  <c r="BC1487" i="6"/>
  <c r="BC1486" i="6"/>
  <c r="BC1485" i="6"/>
  <c r="BC1484" i="6"/>
  <c r="BC1483" i="6"/>
  <c r="BC1482" i="6"/>
  <c r="BC1481" i="6"/>
  <c r="BC1480" i="6"/>
  <c r="BC1479" i="6"/>
  <c r="BC1478" i="6"/>
  <c r="BC1477" i="6"/>
  <c r="BC1476" i="6"/>
  <c r="BC1475" i="6"/>
  <c r="BC1474" i="6"/>
  <c r="BC1473" i="6"/>
  <c r="BC1472" i="6"/>
  <c r="BC1471" i="6"/>
  <c r="BC1470" i="6"/>
  <c r="BC1469" i="6"/>
  <c r="BC1468" i="6"/>
  <c r="BC1467" i="6"/>
  <c r="BC1466" i="6"/>
  <c r="BC1465" i="6"/>
  <c r="BC1464" i="6"/>
  <c r="BC1463" i="6"/>
  <c r="BC1462" i="6"/>
  <c r="BC1461" i="6"/>
  <c r="BC1460" i="6"/>
  <c r="BC1459" i="6"/>
  <c r="BC1458" i="6"/>
  <c r="BC1457" i="6"/>
  <c r="BC1456" i="6"/>
  <c r="BC1455" i="6"/>
  <c r="BC1454" i="6"/>
  <c r="BC1453" i="6"/>
  <c r="BC1452" i="6"/>
  <c r="BC1451" i="6"/>
  <c r="BC1450" i="6"/>
  <c r="BC1449" i="6"/>
  <c r="BC1448" i="6"/>
  <c r="BC1447" i="6"/>
  <c r="BC1446" i="6"/>
  <c r="BC1445" i="6"/>
  <c r="BC1444" i="6"/>
  <c r="BC1443" i="6"/>
  <c r="BC1442" i="6"/>
  <c r="BC1441" i="6"/>
  <c r="BC1440" i="6"/>
  <c r="BC1439" i="6"/>
  <c r="BC1438" i="6"/>
  <c r="BC1437" i="6"/>
  <c r="BC1436" i="6"/>
  <c r="BC1435" i="6"/>
  <c r="BC1434" i="6"/>
  <c r="BC1433" i="6"/>
  <c r="BC1432" i="6"/>
  <c r="BC1431" i="6"/>
  <c r="BC1430" i="6"/>
  <c r="BC1429" i="6"/>
  <c r="BC1428" i="6"/>
  <c r="BC1427" i="6"/>
  <c r="BC1426" i="6"/>
  <c r="BC1425" i="6"/>
  <c r="BC1424" i="6"/>
  <c r="BC1423" i="6"/>
  <c r="BC1422" i="6"/>
  <c r="BC1421" i="6"/>
  <c r="BC1420" i="6"/>
  <c r="BC1419" i="6"/>
  <c r="BC1418" i="6"/>
  <c r="BC1417" i="6"/>
  <c r="BC1416" i="6"/>
  <c r="BC1415" i="6"/>
  <c r="BC1414" i="6"/>
  <c r="BC1413" i="6"/>
  <c r="BC1412" i="6"/>
  <c r="BC1411" i="6"/>
  <c r="BC1410" i="6"/>
  <c r="BC1409" i="6"/>
  <c r="BC1408" i="6"/>
  <c r="BC1407" i="6"/>
  <c r="BC1406" i="6"/>
  <c r="BC1405" i="6"/>
  <c r="BC1404" i="6"/>
  <c r="BC1403" i="6"/>
  <c r="BC1402" i="6"/>
  <c r="BC1401" i="6"/>
  <c r="BC1400" i="6"/>
  <c r="BC1399" i="6"/>
  <c r="BC1398" i="6"/>
  <c r="BC1397" i="6"/>
  <c r="BC1396" i="6"/>
  <c r="BC1395" i="6"/>
  <c r="BC1394" i="6"/>
  <c r="BC1393" i="6"/>
  <c r="BC1392" i="6"/>
  <c r="BC1391" i="6"/>
  <c r="BC1390" i="6"/>
  <c r="BC1389" i="6"/>
  <c r="BC1388" i="6"/>
  <c r="BC1387" i="6"/>
  <c r="BC1386" i="6"/>
  <c r="BC1385" i="6"/>
  <c r="BC1384" i="6"/>
  <c r="BC1383" i="6"/>
  <c r="BC1382" i="6"/>
  <c r="BC1381" i="6"/>
  <c r="BC1380" i="6"/>
  <c r="BC1379" i="6"/>
  <c r="BC1378" i="6"/>
  <c r="BC1377" i="6"/>
  <c r="BC1376" i="6"/>
  <c r="BC1375" i="6"/>
  <c r="BC1374" i="6"/>
  <c r="BC1373" i="6"/>
  <c r="BC1372" i="6"/>
  <c r="BC1371" i="6"/>
  <c r="BC1370" i="6"/>
  <c r="BC1369" i="6"/>
  <c r="BC1368" i="6"/>
  <c r="BC1367" i="6"/>
  <c r="BC1366" i="6"/>
  <c r="BC1365" i="6"/>
  <c r="BC1364" i="6"/>
  <c r="BC1363" i="6"/>
  <c r="BC1362" i="6"/>
  <c r="BC1361" i="6"/>
  <c r="BC1360" i="6"/>
  <c r="BC1359" i="6"/>
  <c r="BC1358" i="6"/>
  <c r="BC1357" i="6"/>
  <c r="BC1356" i="6"/>
  <c r="BC1355" i="6"/>
  <c r="BC1354" i="6"/>
  <c r="BC1353" i="6"/>
  <c r="BC1352" i="6"/>
  <c r="BC1351" i="6"/>
  <c r="BC1350" i="6"/>
  <c r="BC1349" i="6"/>
  <c r="BC1348" i="6"/>
  <c r="BC1347" i="6"/>
  <c r="BC1346" i="6"/>
  <c r="BC1345" i="6"/>
  <c r="BC1344" i="6"/>
  <c r="BC1343" i="6"/>
  <c r="BC1342" i="6"/>
  <c r="BC1341" i="6"/>
  <c r="BC1340" i="6"/>
  <c r="BC1339" i="6"/>
  <c r="BC1338" i="6"/>
  <c r="BC1337" i="6"/>
  <c r="BC1336" i="6"/>
  <c r="BC1335" i="6"/>
  <c r="BC1334" i="6"/>
  <c r="BC1333" i="6"/>
  <c r="BC1332" i="6"/>
  <c r="BC1331" i="6"/>
  <c r="BC1330" i="6"/>
  <c r="BC1329" i="6"/>
  <c r="BC1328" i="6"/>
  <c r="BC1327" i="6"/>
  <c r="BC1326" i="6"/>
  <c r="BC1325" i="6"/>
  <c r="BC1324" i="6"/>
  <c r="BC1323" i="6"/>
  <c r="BC1322" i="6"/>
  <c r="BC1321" i="6"/>
  <c r="BC1320" i="6"/>
  <c r="BC1319" i="6"/>
  <c r="BC1318" i="6"/>
  <c r="BC1317" i="6"/>
  <c r="BC1316" i="6"/>
  <c r="BC1315" i="6"/>
  <c r="BC1314" i="6"/>
  <c r="BC1313" i="6"/>
  <c r="BC1312" i="6"/>
  <c r="BC1311" i="6"/>
  <c r="BC1310" i="6"/>
  <c r="BC1309" i="6"/>
  <c r="BC1308" i="6"/>
  <c r="BC1307" i="6"/>
  <c r="BC1306" i="6"/>
  <c r="BC1305" i="6"/>
  <c r="BC1304" i="6"/>
  <c r="BC1303" i="6"/>
  <c r="BC1302" i="6"/>
  <c r="BC1301" i="6"/>
  <c r="BC1300" i="6"/>
  <c r="BC1299" i="6"/>
  <c r="BC1298" i="6"/>
  <c r="BC1297" i="6"/>
  <c r="BC1296" i="6"/>
  <c r="BC1295" i="6"/>
  <c r="BC1294" i="6"/>
  <c r="BC1293" i="6"/>
  <c r="BC1292" i="6"/>
  <c r="BC1291" i="6"/>
  <c r="BC1290" i="6"/>
  <c r="BC1289" i="6"/>
  <c r="BC1288" i="6"/>
  <c r="BC1287" i="6"/>
  <c r="BC1286" i="6"/>
  <c r="BC1285" i="6"/>
  <c r="BC1284" i="6"/>
  <c r="BC1283" i="6"/>
  <c r="BC1282" i="6"/>
  <c r="BC1281" i="6"/>
  <c r="BC1280" i="6"/>
  <c r="BC1279" i="6"/>
  <c r="BC1278" i="6"/>
  <c r="BC1277" i="6"/>
  <c r="BC1276" i="6"/>
  <c r="BC1275" i="6"/>
  <c r="BC1274" i="6"/>
  <c r="BC1273" i="6"/>
  <c r="BC1272" i="6"/>
  <c r="BC1271" i="6"/>
  <c r="BC1270" i="6"/>
  <c r="BC1269" i="6"/>
  <c r="BC1268" i="6"/>
  <c r="BC1267" i="6"/>
  <c r="BC1266" i="6"/>
  <c r="BC1265" i="6"/>
  <c r="BC1264" i="6"/>
  <c r="BC1263" i="6"/>
  <c r="BC1262" i="6"/>
  <c r="BC1261" i="6"/>
  <c r="BC1260" i="6"/>
  <c r="BC1259" i="6"/>
  <c r="BC1258" i="6"/>
  <c r="BC1257" i="6"/>
  <c r="BC1256" i="6"/>
  <c r="BC1255" i="6"/>
  <c r="BC1254" i="6"/>
  <c r="BC1253" i="6"/>
  <c r="BC1252" i="6"/>
  <c r="BC1251" i="6"/>
  <c r="BC1250" i="6"/>
  <c r="BC1249" i="6"/>
  <c r="BC1248" i="6"/>
  <c r="BC1247" i="6"/>
  <c r="BC1246" i="6"/>
  <c r="BC1245" i="6"/>
  <c r="BC1244" i="6"/>
  <c r="BC1243" i="6"/>
  <c r="BC1242" i="6"/>
  <c r="BC1241" i="6"/>
  <c r="BC1240" i="6"/>
  <c r="BC1239" i="6"/>
  <c r="BC1238" i="6"/>
  <c r="BC1237" i="6"/>
  <c r="BC1236" i="6"/>
  <c r="BC1235" i="6"/>
  <c r="BC1234" i="6"/>
  <c r="BC1233" i="6"/>
  <c r="BC1232" i="6"/>
  <c r="BC1231" i="6"/>
  <c r="BC1230" i="6"/>
  <c r="BC1229" i="6"/>
  <c r="BC1228" i="6"/>
  <c r="BC1227" i="6"/>
  <c r="BC1226" i="6"/>
  <c r="BC1225" i="6"/>
  <c r="BC1224" i="6"/>
  <c r="BC1223" i="6"/>
  <c r="BC1222" i="6"/>
  <c r="BC1221" i="6"/>
  <c r="BC1220" i="6"/>
  <c r="BC1219" i="6"/>
  <c r="BC1218" i="6"/>
  <c r="BC1217" i="6"/>
  <c r="BC1216" i="6"/>
  <c r="BC1215" i="6"/>
  <c r="BC1214" i="6"/>
  <c r="BC1213" i="6"/>
  <c r="BC1212" i="6"/>
  <c r="BC1211" i="6"/>
  <c r="BC1210" i="6"/>
  <c r="BC1209" i="6"/>
  <c r="BC1208" i="6"/>
  <c r="BC1207" i="6"/>
  <c r="BC1206" i="6"/>
  <c r="BC1205" i="6"/>
  <c r="BC1204" i="6"/>
  <c r="BC1203" i="6"/>
  <c r="BC1202" i="6"/>
  <c r="BC1201" i="6"/>
  <c r="BC1200" i="6"/>
  <c r="BC1199" i="6"/>
  <c r="BC1198" i="6"/>
  <c r="BC1197" i="6"/>
  <c r="BC1196" i="6"/>
  <c r="BC1195" i="6"/>
  <c r="BC1194" i="6"/>
  <c r="BC1193" i="6"/>
  <c r="BC1192" i="6"/>
  <c r="BC1191" i="6"/>
  <c r="BC1190" i="6"/>
  <c r="BC1189" i="6"/>
  <c r="BC1188" i="6"/>
  <c r="BC1187" i="6"/>
  <c r="BC1186" i="6"/>
  <c r="BC1185" i="6"/>
  <c r="BC1184" i="6"/>
  <c r="BC1183" i="6"/>
  <c r="BC1182" i="6"/>
  <c r="BC1181" i="6"/>
  <c r="BC1180" i="6"/>
  <c r="BC1179" i="6"/>
  <c r="BC1178" i="6"/>
  <c r="BC1177" i="6"/>
  <c r="BC1176" i="6"/>
  <c r="BC1175" i="6"/>
  <c r="BC1174" i="6"/>
  <c r="BC1173" i="6"/>
  <c r="BC1172" i="6"/>
  <c r="BC1171" i="6"/>
  <c r="BC1170" i="6"/>
  <c r="BC1169" i="6"/>
  <c r="BC1168" i="6"/>
  <c r="BC1167" i="6"/>
  <c r="BC1166" i="6"/>
  <c r="BC1165" i="6"/>
  <c r="BC1164" i="6"/>
  <c r="BC1163" i="6"/>
  <c r="BC1162" i="6"/>
  <c r="BC1161" i="6"/>
  <c r="BC1160" i="6"/>
  <c r="BC1159" i="6"/>
  <c r="BC1158" i="6"/>
  <c r="BC1157" i="6"/>
  <c r="BC1156" i="6"/>
  <c r="BC1155" i="6"/>
  <c r="BC1154" i="6"/>
  <c r="BC1153" i="6"/>
  <c r="BC1152" i="6"/>
  <c r="BC1151" i="6"/>
  <c r="BC1150" i="6"/>
  <c r="BC1149" i="6"/>
  <c r="BC1148" i="6"/>
  <c r="BC1147" i="6"/>
  <c r="BC1146" i="6"/>
  <c r="BC1145" i="6"/>
  <c r="BC1144" i="6"/>
  <c r="BC1143" i="6"/>
  <c r="BC1142" i="6"/>
  <c r="BC1141" i="6"/>
  <c r="BC1140" i="6"/>
  <c r="BC1139" i="6"/>
  <c r="BC1138" i="6"/>
  <c r="BC1137" i="6"/>
  <c r="BC1136" i="6"/>
  <c r="BC1135" i="6"/>
  <c r="BC1134" i="6"/>
  <c r="BC1133" i="6"/>
  <c r="BC1132" i="6"/>
  <c r="BC1131" i="6"/>
  <c r="BC1130" i="6"/>
  <c r="BC1129" i="6"/>
  <c r="BC1128" i="6"/>
  <c r="BC1127" i="6"/>
  <c r="BC1126" i="6"/>
  <c r="BC1125" i="6"/>
  <c r="BC1124" i="6"/>
  <c r="BC1123" i="6"/>
  <c r="BC1122" i="6"/>
  <c r="BC1121" i="6"/>
  <c r="BC1120" i="6"/>
  <c r="BC1119" i="6"/>
  <c r="BC1118" i="6"/>
  <c r="BC1117" i="6"/>
  <c r="BC1116" i="6"/>
  <c r="BC1115" i="6"/>
  <c r="BC1114" i="6"/>
  <c r="BC1113" i="6"/>
  <c r="BC1112" i="6"/>
  <c r="BC1111" i="6"/>
  <c r="BC1110" i="6"/>
  <c r="BC1109" i="6"/>
  <c r="BC1108" i="6"/>
  <c r="BC1107" i="6"/>
  <c r="BC1106" i="6"/>
  <c r="BC1105" i="6"/>
  <c r="BC1104" i="6"/>
  <c r="BC1103" i="6"/>
  <c r="BC1102" i="6"/>
  <c r="BC1101" i="6"/>
  <c r="BC1100" i="6"/>
  <c r="BC1099" i="6"/>
  <c r="BC1098" i="6"/>
  <c r="BC1097" i="6"/>
  <c r="BC1096" i="6"/>
  <c r="BC1095" i="6"/>
  <c r="BC1094" i="6"/>
  <c r="BC1093" i="6"/>
  <c r="BC1092" i="6"/>
  <c r="BC1091" i="6"/>
  <c r="BC1090" i="6"/>
  <c r="BC1089" i="6"/>
  <c r="BC1088" i="6"/>
  <c r="BC1087" i="6"/>
  <c r="BC1086" i="6"/>
  <c r="BC1085" i="6"/>
  <c r="BC1084" i="6"/>
  <c r="BC1083" i="6"/>
  <c r="BC1082" i="6"/>
  <c r="BC1081" i="6"/>
  <c r="BC1080" i="6"/>
  <c r="BC1079" i="6"/>
  <c r="BC1078" i="6"/>
  <c r="BC1077" i="6"/>
  <c r="BC1076" i="6"/>
  <c r="BC1075" i="6"/>
  <c r="BC1074" i="6"/>
  <c r="BC1073" i="6"/>
  <c r="BC1072" i="6"/>
  <c r="BC1071" i="6"/>
  <c r="BC1070" i="6"/>
  <c r="BC1069" i="6"/>
  <c r="BC1068" i="6"/>
  <c r="BC1067" i="6"/>
  <c r="BC1066" i="6"/>
  <c r="BC1065" i="6"/>
  <c r="BC1064" i="6"/>
  <c r="BC1063" i="6"/>
  <c r="BC1062" i="6"/>
  <c r="BC1061" i="6"/>
  <c r="BC1060" i="6"/>
  <c r="BC1059" i="6"/>
  <c r="BC1058" i="6"/>
  <c r="BC1057" i="6"/>
  <c r="BC1056" i="6"/>
  <c r="BC1055" i="6"/>
  <c r="BC1054" i="6"/>
  <c r="BC1053" i="6"/>
  <c r="BC1052" i="6"/>
  <c r="BC1051" i="6"/>
  <c r="BC1050" i="6"/>
  <c r="BC1049" i="6"/>
  <c r="BC1048" i="6"/>
  <c r="BC1047" i="6"/>
  <c r="BC1046" i="6"/>
  <c r="BC1045" i="6"/>
  <c r="BC1044" i="6"/>
  <c r="BC1043" i="6"/>
  <c r="BC1042" i="6"/>
  <c r="BC1041" i="6"/>
  <c r="BC1040" i="6"/>
  <c r="BC1039" i="6"/>
  <c r="BC1038" i="6"/>
  <c r="BC1037" i="6"/>
  <c r="BC1036" i="6"/>
  <c r="BC1035" i="6"/>
  <c r="BC1034" i="6"/>
  <c r="BC1033" i="6"/>
  <c r="BC1032" i="6"/>
  <c r="BC1031" i="6"/>
  <c r="BC1030" i="6"/>
  <c r="BC1029" i="6"/>
  <c r="BC1028" i="6"/>
  <c r="BC1027" i="6"/>
  <c r="BC1026" i="6"/>
  <c r="BC1025" i="6"/>
  <c r="BC1024" i="6"/>
  <c r="BC1023" i="6"/>
  <c r="BC1022" i="6"/>
  <c r="BC1021" i="6"/>
  <c r="BC1020" i="6"/>
  <c r="BC1019" i="6"/>
  <c r="BC1018" i="6"/>
  <c r="BC1017" i="6"/>
  <c r="BC1016" i="6"/>
  <c r="BC1015" i="6"/>
  <c r="BC1014" i="6"/>
  <c r="BC1013" i="6"/>
  <c r="BC1012" i="6"/>
  <c r="BC1011" i="6"/>
  <c r="BC1010" i="6"/>
  <c r="BC1009" i="6"/>
  <c r="BC1008" i="6"/>
  <c r="BC1007" i="6"/>
  <c r="BC1006" i="6"/>
  <c r="BC1005" i="6"/>
  <c r="BC1004" i="6"/>
  <c r="BC1003" i="6"/>
  <c r="BC1002" i="6"/>
  <c r="BC1001" i="6"/>
  <c r="BC1000" i="6"/>
  <c r="BC999" i="6"/>
  <c r="BC998" i="6"/>
  <c r="BC997" i="6"/>
  <c r="BC996" i="6"/>
  <c r="BC995" i="6"/>
  <c r="BC994" i="6"/>
  <c r="BC993" i="6"/>
  <c r="BC992" i="6"/>
  <c r="BC991" i="6"/>
  <c r="BC990" i="6"/>
  <c r="BC989" i="6"/>
  <c r="BC988" i="6"/>
  <c r="BC987" i="6"/>
  <c r="BC986" i="6"/>
  <c r="BC985" i="6"/>
  <c r="BC984" i="6"/>
  <c r="BC983" i="6"/>
  <c r="BC982" i="6"/>
  <c r="BC981" i="6"/>
  <c r="BC980" i="6"/>
  <c r="BC979" i="6"/>
  <c r="BC978" i="6"/>
  <c r="BC977" i="6"/>
  <c r="BC976" i="6"/>
  <c r="BC975" i="6"/>
  <c r="BC974" i="6"/>
  <c r="BC973" i="6"/>
  <c r="BC972" i="6"/>
  <c r="BC971" i="6"/>
  <c r="BC970" i="6"/>
  <c r="BC969" i="6"/>
  <c r="BC968" i="6"/>
  <c r="BC967" i="6"/>
  <c r="BC966" i="6"/>
  <c r="BC965" i="6"/>
  <c r="BC964" i="6"/>
  <c r="BC963" i="6"/>
  <c r="BC962" i="6"/>
  <c r="BC961" i="6"/>
  <c r="BC960" i="6"/>
  <c r="BC959" i="6"/>
  <c r="BC958" i="6"/>
  <c r="BC957" i="6"/>
  <c r="BC956" i="6"/>
  <c r="BC955" i="6"/>
  <c r="BC954" i="6"/>
  <c r="BC953" i="6"/>
  <c r="BC952" i="6"/>
  <c r="BC951" i="6"/>
  <c r="BC950" i="6"/>
  <c r="BC949" i="6"/>
  <c r="BC948" i="6"/>
  <c r="BC947" i="6"/>
  <c r="BC946" i="6"/>
  <c r="BC945" i="6"/>
  <c r="BC944" i="6"/>
  <c r="BC943" i="6"/>
  <c r="BC942" i="6"/>
  <c r="BC941" i="6"/>
  <c r="BC940" i="6"/>
  <c r="BC939" i="6"/>
  <c r="BC938" i="6"/>
  <c r="BC937" i="6"/>
  <c r="BC936" i="6"/>
  <c r="BC935" i="6"/>
  <c r="BC934" i="6"/>
  <c r="BC933" i="6"/>
  <c r="BC932" i="6"/>
  <c r="BC931" i="6"/>
  <c r="BC930" i="6"/>
  <c r="BC929" i="6"/>
  <c r="BC928" i="6"/>
  <c r="BC927" i="6"/>
  <c r="BC926" i="6"/>
  <c r="BC925" i="6"/>
  <c r="BC924" i="6"/>
  <c r="BC923" i="6"/>
  <c r="BC922" i="6"/>
  <c r="BC921" i="6"/>
  <c r="BC920" i="6"/>
  <c r="BC919" i="6"/>
  <c r="BC918" i="6"/>
  <c r="BC917" i="6"/>
  <c r="BC916" i="6"/>
  <c r="BC915" i="6"/>
  <c r="BC914" i="6"/>
  <c r="BC913" i="6"/>
  <c r="BC912" i="6"/>
  <c r="BC911" i="6"/>
  <c r="BC910" i="6"/>
  <c r="BC909" i="6"/>
  <c r="BC908" i="6"/>
  <c r="BC907" i="6"/>
  <c r="BC906" i="6"/>
  <c r="BC905" i="6"/>
  <c r="BC904" i="6"/>
  <c r="BC903" i="6"/>
  <c r="BC902" i="6"/>
  <c r="BC901" i="6"/>
  <c r="BC900" i="6"/>
  <c r="BC899" i="6"/>
  <c r="BC898" i="6"/>
  <c r="BC897" i="6"/>
  <c r="BC896" i="6"/>
  <c r="BC895" i="6"/>
  <c r="BC894" i="6"/>
  <c r="BC893" i="6"/>
  <c r="BC892" i="6"/>
  <c r="BC891" i="6"/>
  <c r="BC890" i="6"/>
  <c r="BC889" i="6"/>
  <c r="BC888" i="6"/>
  <c r="BC887" i="6"/>
  <c r="BC886" i="6"/>
  <c r="BC885" i="6"/>
  <c r="BC884" i="6"/>
  <c r="BC883" i="6"/>
  <c r="BC882" i="6"/>
  <c r="BC881" i="6"/>
  <c r="BC880" i="6"/>
  <c r="BC879" i="6"/>
  <c r="BC878" i="6"/>
  <c r="BC877" i="6"/>
  <c r="BC876" i="6"/>
  <c r="BC875" i="6"/>
  <c r="BC874" i="6"/>
  <c r="BC873" i="6"/>
  <c r="BC872" i="6"/>
  <c r="BC871" i="6"/>
  <c r="BC870" i="6"/>
  <c r="BC869" i="6"/>
  <c r="BC868" i="6"/>
  <c r="BC867" i="6"/>
  <c r="BC866" i="6"/>
  <c r="BC865" i="6"/>
  <c r="BC864" i="6"/>
  <c r="BC863" i="6"/>
  <c r="BC862" i="6"/>
  <c r="BC861" i="6"/>
  <c r="BC860" i="6"/>
  <c r="BC859" i="6"/>
  <c r="BC858" i="6"/>
  <c r="BC857" i="6"/>
  <c r="BC856" i="6"/>
  <c r="BC855" i="6"/>
  <c r="BC854" i="6"/>
  <c r="BC853" i="6"/>
  <c r="BC852" i="6"/>
  <c r="BC851" i="6"/>
  <c r="BC850" i="6"/>
  <c r="BC849" i="6"/>
  <c r="BC848" i="6"/>
  <c r="BC847" i="6"/>
  <c r="BC846" i="6"/>
  <c r="BC845" i="6"/>
  <c r="BC844" i="6"/>
  <c r="BC843" i="6"/>
  <c r="BC842" i="6"/>
  <c r="BC841" i="6"/>
  <c r="BC840" i="6"/>
  <c r="BC839" i="6"/>
  <c r="BC838" i="6"/>
  <c r="BC837" i="6"/>
  <c r="BC836" i="6"/>
  <c r="BC835" i="6"/>
  <c r="BC834" i="6"/>
  <c r="BC833" i="6"/>
  <c r="BC832" i="6"/>
  <c r="BC831" i="6"/>
  <c r="BC830" i="6"/>
  <c r="BC829" i="6"/>
  <c r="BC828" i="6"/>
  <c r="BC827" i="6"/>
  <c r="BC826" i="6"/>
  <c r="BC825" i="6"/>
  <c r="BC824" i="6"/>
  <c r="BC823" i="6"/>
  <c r="BC822" i="6"/>
  <c r="BC821" i="6"/>
  <c r="BC820" i="6"/>
  <c r="BC819" i="6"/>
  <c r="BC818" i="6"/>
  <c r="BC817" i="6"/>
  <c r="BC816" i="6"/>
  <c r="BC815" i="6"/>
  <c r="BC814" i="6"/>
  <c r="BC813" i="6"/>
  <c r="BC812" i="6"/>
  <c r="BC811" i="6"/>
  <c r="BC810" i="6"/>
  <c r="BC809" i="6"/>
  <c r="BC808" i="6"/>
  <c r="BC807" i="6"/>
  <c r="BC806" i="6"/>
  <c r="BC805" i="6"/>
  <c r="BC804" i="6"/>
  <c r="BC803" i="6"/>
  <c r="BC802" i="6"/>
  <c r="BC801" i="6"/>
  <c r="BC800" i="6"/>
  <c r="BC799" i="6"/>
  <c r="BC798" i="6"/>
  <c r="BC797" i="6"/>
  <c r="BC796" i="6"/>
  <c r="BC795" i="6"/>
  <c r="BC794" i="6"/>
  <c r="BC793" i="6"/>
  <c r="BC792" i="6"/>
  <c r="BC791" i="6"/>
  <c r="BC790" i="6"/>
  <c r="BC789" i="6"/>
  <c r="BC788" i="6"/>
  <c r="BC787" i="6"/>
  <c r="BC786" i="6"/>
  <c r="BC785" i="6"/>
  <c r="BC784" i="6"/>
  <c r="BC783" i="6"/>
  <c r="BC782" i="6"/>
  <c r="BC781" i="6"/>
  <c r="BC780" i="6"/>
  <c r="BC779" i="6"/>
  <c r="BC778" i="6"/>
  <c r="BC777" i="6"/>
  <c r="BC776" i="6"/>
  <c r="BC775" i="6"/>
  <c r="BC774" i="6"/>
  <c r="BC773" i="6"/>
  <c r="BC772" i="6"/>
  <c r="BC771" i="6"/>
  <c r="BC770" i="6"/>
  <c r="BC769" i="6"/>
  <c r="BC768" i="6"/>
  <c r="BC767" i="6"/>
  <c r="BC766" i="6"/>
  <c r="BC765" i="6"/>
  <c r="BC764" i="6"/>
  <c r="BC763" i="6"/>
  <c r="BC762" i="6"/>
  <c r="BC761" i="6"/>
  <c r="BC760" i="6"/>
  <c r="BC759" i="6"/>
  <c r="BC758" i="6"/>
  <c r="BC757" i="6"/>
  <c r="BC756" i="6"/>
  <c r="BC755" i="6"/>
  <c r="BC754" i="6"/>
  <c r="BC753" i="6"/>
  <c r="BC752" i="6"/>
  <c r="BC751" i="6"/>
  <c r="BC750" i="6"/>
  <c r="BC749" i="6"/>
  <c r="BC748" i="6"/>
  <c r="BC747" i="6"/>
  <c r="BC746" i="6"/>
  <c r="BC745" i="6"/>
  <c r="BC744" i="6"/>
  <c r="BC743" i="6"/>
  <c r="BC742" i="6"/>
  <c r="BC741" i="6"/>
  <c r="BC740" i="6"/>
  <c r="BC739" i="6"/>
  <c r="BC738" i="6"/>
  <c r="BC737" i="6"/>
  <c r="BC736" i="6"/>
  <c r="BC735" i="6"/>
  <c r="BC734" i="6"/>
  <c r="BC733" i="6"/>
  <c r="BC732" i="6"/>
  <c r="BC731" i="6"/>
  <c r="BC730" i="6"/>
  <c r="BC729" i="6"/>
  <c r="BC728" i="6"/>
  <c r="BC727" i="6"/>
  <c r="BC726" i="6"/>
  <c r="BC725" i="6"/>
  <c r="BC724" i="6"/>
  <c r="BC723" i="6"/>
  <c r="BC722" i="6"/>
  <c r="BC721" i="6"/>
  <c r="BC720" i="6"/>
  <c r="BC719" i="6"/>
  <c r="BC718" i="6"/>
  <c r="BC717" i="6"/>
  <c r="BC716" i="6"/>
  <c r="BC715" i="6"/>
  <c r="BC714" i="6"/>
  <c r="BC713" i="6"/>
  <c r="BC712" i="6"/>
  <c r="BC711" i="6"/>
  <c r="BC710" i="6"/>
  <c r="BC709" i="6"/>
  <c r="BC708" i="6"/>
  <c r="BC707" i="6"/>
  <c r="BC706" i="6"/>
  <c r="BC705" i="6"/>
  <c r="BC704" i="6"/>
  <c r="BC703" i="6"/>
  <c r="BC702" i="6"/>
  <c r="BC701" i="6"/>
  <c r="BC700" i="6"/>
  <c r="BC699" i="6"/>
  <c r="BC698" i="6"/>
  <c r="BC697" i="6"/>
  <c r="BC696" i="6"/>
  <c r="BC695" i="6"/>
  <c r="BC694" i="6"/>
  <c r="BC693" i="6"/>
  <c r="BC692" i="6"/>
  <c r="BC691" i="6"/>
  <c r="BC690" i="6"/>
  <c r="BC689" i="6"/>
  <c r="BC688" i="6"/>
  <c r="BC687" i="6"/>
  <c r="BC686" i="6"/>
  <c r="BC685" i="6"/>
  <c r="BC684" i="6"/>
  <c r="BC683" i="6"/>
  <c r="BC682" i="6"/>
  <c r="BC681" i="6"/>
  <c r="BC680" i="6"/>
  <c r="BC679" i="6"/>
  <c r="BC678" i="6"/>
  <c r="BC677" i="6"/>
  <c r="BC676" i="6"/>
  <c r="BC675" i="6"/>
  <c r="BC674" i="6"/>
  <c r="BC673" i="6"/>
  <c r="BC672" i="6"/>
  <c r="BC671" i="6"/>
  <c r="BC670" i="6"/>
  <c r="BH669" i="6"/>
  <c r="BC669" i="6"/>
  <c r="BH668" i="6"/>
  <c r="BC668" i="6"/>
  <c r="BH667" i="6"/>
  <c r="BC667" i="6"/>
  <c r="BH666" i="6"/>
  <c r="BC666" i="6"/>
  <c r="BH665" i="6"/>
  <c r="BC665" i="6"/>
  <c r="BH664" i="6"/>
  <c r="BC664" i="6"/>
  <c r="BH663" i="6"/>
  <c r="BC663" i="6"/>
  <c r="BH662" i="6"/>
  <c r="BC662" i="6"/>
  <c r="BH661" i="6"/>
  <c r="BC661" i="6"/>
  <c r="BH660" i="6"/>
  <c r="BC660" i="6"/>
  <c r="BH659" i="6"/>
  <c r="BC659" i="6"/>
  <c r="BH658" i="6"/>
  <c r="BC658" i="6"/>
  <c r="BH657" i="6"/>
  <c r="BC657" i="6"/>
  <c r="BH656" i="6"/>
  <c r="BC656" i="6"/>
  <c r="BH655" i="6"/>
  <c r="BC655" i="6"/>
  <c r="BH654" i="6"/>
  <c r="BC654" i="6"/>
  <c r="BH653" i="6"/>
  <c r="BC653" i="6"/>
  <c r="BH652" i="6"/>
  <c r="BC652" i="6"/>
  <c r="BH651" i="6"/>
  <c r="BC651" i="6"/>
  <c r="BH650" i="6"/>
  <c r="BC650" i="6"/>
  <c r="BH649" i="6"/>
  <c r="BC649" i="6"/>
  <c r="BH648" i="6"/>
  <c r="BC648" i="6"/>
  <c r="BH647" i="6"/>
  <c r="BC647" i="6"/>
  <c r="BH646" i="6"/>
  <c r="BC646" i="6"/>
  <c r="BH645" i="6"/>
  <c r="BC645" i="6"/>
  <c r="BH644" i="6"/>
  <c r="BC644" i="6"/>
  <c r="BH643" i="6"/>
  <c r="BC643" i="6"/>
  <c r="BH642" i="6"/>
  <c r="BC642" i="6"/>
  <c r="BH641" i="6"/>
  <c r="BC641" i="6"/>
  <c r="BH640" i="6"/>
  <c r="BC640" i="6"/>
  <c r="BH639" i="6"/>
  <c r="BC639" i="6"/>
  <c r="BH638" i="6"/>
  <c r="BC638" i="6"/>
  <c r="BH637" i="6"/>
  <c r="BC637" i="6"/>
  <c r="BH636" i="6"/>
  <c r="BC636" i="6"/>
  <c r="BH635" i="6"/>
  <c r="BC635" i="6"/>
  <c r="BH634" i="6"/>
  <c r="BC634" i="6"/>
  <c r="BH633" i="6"/>
  <c r="BC633" i="6"/>
  <c r="BH632" i="6"/>
  <c r="BC632" i="6"/>
  <c r="BH631" i="6"/>
  <c r="BC631" i="6"/>
  <c r="BH630" i="6"/>
  <c r="BC630" i="6"/>
  <c r="BH629" i="6"/>
  <c r="BC629" i="6"/>
  <c r="BH628" i="6"/>
  <c r="BC628" i="6"/>
  <c r="BH627" i="6"/>
  <c r="BC627" i="6"/>
  <c r="BH626" i="6"/>
  <c r="BC626" i="6"/>
  <c r="BH625" i="6"/>
  <c r="BC625" i="6"/>
  <c r="BH624" i="6"/>
  <c r="BC624" i="6"/>
  <c r="BH623" i="6"/>
  <c r="BC623" i="6"/>
  <c r="BH622" i="6"/>
  <c r="BC622" i="6"/>
  <c r="BH621" i="6"/>
  <c r="BC621" i="6"/>
  <c r="BH620" i="6"/>
  <c r="BC620" i="6"/>
  <c r="BH619" i="6"/>
  <c r="BC619" i="6"/>
  <c r="BH618" i="6"/>
  <c r="BC618" i="6"/>
  <c r="BH617" i="6"/>
  <c r="BC617" i="6"/>
  <c r="BH616" i="6"/>
  <c r="BC616" i="6"/>
  <c r="BH615" i="6"/>
  <c r="BC615" i="6"/>
  <c r="BH614" i="6"/>
  <c r="BC614" i="6"/>
  <c r="BH613" i="6"/>
  <c r="BC613" i="6"/>
  <c r="BH612" i="6"/>
  <c r="BC612" i="6"/>
  <c r="BH611" i="6"/>
  <c r="BC611" i="6"/>
  <c r="BH610" i="6"/>
  <c r="BC610" i="6"/>
  <c r="BH609" i="6"/>
  <c r="BC609" i="6"/>
  <c r="BH608" i="6"/>
  <c r="BC608" i="6"/>
  <c r="BH607" i="6"/>
  <c r="BC607" i="6"/>
  <c r="BH606" i="6"/>
  <c r="BC606" i="6"/>
  <c r="BH605" i="6"/>
  <c r="BC605" i="6"/>
  <c r="BH604" i="6"/>
  <c r="BC604" i="6"/>
  <c r="BH603" i="6"/>
  <c r="BC603" i="6"/>
  <c r="BH602" i="6"/>
  <c r="BC602" i="6"/>
  <c r="BH601" i="6"/>
  <c r="BC601" i="6"/>
  <c r="BH600" i="6"/>
  <c r="BC600" i="6"/>
  <c r="BH599" i="6"/>
  <c r="BC599" i="6"/>
  <c r="BH598" i="6"/>
  <c r="BC598" i="6"/>
  <c r="BH597" i="6"/>
  <c r="BC597" i="6"/>
  <c r="BH596" i="6"/>
  <c r="BC596" i="6"/>
  <c r="BH595" i="6"/>
  <c r="BC595" i="6"/>
  <c r="BH594" i="6"/>
  <c r="BC594" i="6"/>
  <c r="BH593" i="6"/>
  <c r="BC593" i="6"/>
  <c r="BH592" i="6"/>
  <c r="BC592" i="6"/>
  <c r="BH591" i="6"/>
  <c r="BC591" i="6"/>
  <c r="BH590" i="6"/>
  <c r="BC590" i="6"/>
  <c r="BH589" i="6"/>
  <c r="BC589" i="6"/>
  <c r="BH588" i="6"/>
  <c r="BC588" i="6"/>
  <c r="BH587" i="6"/>
  <c r="BC587" i="6"/>
  <c r="BH586" i="6"/>
  <c r="BC586" i="6"/>
  <c r="BH585" i="6"/>
  <c r="BC585" i="6"/>
  <c r="BH584" i="6"/>
  <c r="BC584" i="6"/>
  <c r="BH583" i="6"/>
  <c r="BC583" i="6"/>
  <c r="BH582" i="6"/>
  <c r="BC582" i="6"/>
  <c r="BH581" i="6"/>
  <c r="BC581" i="6"/>
  <c r="BH580" i="6"/>
  <c r="BC580" i="6"/>
  <c r="BH579" i="6"/>
  <c r="BC579" i="6"/>
  <c r="BH578" i="6"/>
  <c r="BC578" i="6"/>
  <c r="BH577" i="6"/>
  <c r="BC577" i="6"/>
  <c r="BH576" i="6"/>
  <c r="BC576" i="6"/>
  <c r="BH575" i="6"/>
  <c r="BC575" i="6"/>
  <c r="BH574" i="6"/>
  <c r="BC574" i="6"/>
  <c r="BH573" i="6"/>
  <c r="BC573" i="6"/>
  <c r="BH572" i="6"/>
  <c r="BC572" i="6"/>
  <c r="BH571" i="6"/>
  <c r="BC571" i="6"/>
  <c r="BH570" i="6"/>
  <c r="BC570" i="6"/>
  <c r="BH569" i="6"/>
  <c r="BC569" i="6"/>
  <c r="BH568" i="6"/>
  <c r="BC568" i="6"/>
  <c r="BH567" i="6"/>
  <c r="BC567" i="6"/>
  <c r="BH566" i="6"/>
  <c r="BC566" i="6"/>
  <c r="BH565" i="6"/>
  <c r="BC565" i="6"/>
  <c r="BH564" i="6"/>
  <c r="BC564" i="6"/>
  <c r="BH563" i="6"/>
  <c r="BC563" i="6"/>
  <c r="BH562" i="6"/>
  <c r="BC562" i="6"/>
  <c r="BH561" i="6"/>
  <c r="BC561" i="6"/>
  <c r="BH560" i="6"/>
  <c r="BC560" i="6"/>
  <c r="BH559" i="6"/>
  <c r="BC559" i="6"/>
  <c r="BH558" i="6"/>
  <c r="BC558" i="6"/>
  <c r="BH557" i="6"/>
  <c r="BC557" i="6"/>
  <c r="BH556" i="6"/>
  <c r="BC556" i="6"/>
  <c r="BH555" i="6"/>
  <c r="BC555" i="6"/>
  <c r="BH554" i="6"/>
  <c r="BC554" i="6"/>
  <c r="BH553" i="6"/>
  <c r="BC553" i="6"/>
  <c r="BH552" i="6"/>
  <c r="BC552" i="6"/>
  <c r="BH551" i="6"/>
  <c r="BC551" i="6"/>
  <c r="BH550" i="6"/>
  <c r="BC550" i="6"/>
  <c r="BH549" i="6"/>
  <c r="BC549" i="6"/>
  <c r="BH548" i="6"/>
  <c r="BC548" i="6"/>
  <c r="BH547" i="6"/>
  <c r="BC547" i="6"/>
  <c r="BH546" i="6"/>
  <c r="BC546" i="6"/>
  <c r="BH545" i="6"/>
  <c r="BC545" i="6"/>
  <c r="BH544" i="6"/>
  <c r="BC544" i="6"/>
  <c r="BH543" i="6"/>
  <c r="BC543" i="6"/>
  <c r="BH542" i="6"/>
  <c r="BC542" i="6"/>
  <c r="BH541" i="6"/>
  <c r="BC541" i="6"/>
  <c r="BH540" i="6"/>
  <c r="BC540" i="6"/>
  <c r="BH539" i="6"/>
  <c r="BC539" i="6"/>
  <c r="BH538" i="6"/>
  <c r="BC538" i="6"/>
  <c r="BH537" i="6"/>
  <c r="BC537" i="6"/>
  <c r="BH536" i="6"/>
  <c r="BC536" i="6"/>
  <c r="BH535" i="6"/>
  <c r="BC535" i="6"/>
  <c r="BH534" i="6"/>
  <c r="BC534" i="6"/>
  <c r="BH533" i="6"/>
  <c r="BC533" i="6"/>
  <c r="BH532" i="6"/>
  <c r="BC532" i="6"/>
  <c r="BH531" i="6"/>
  <c r="BC531" i="6"/>
  <c r="BH530" i="6"/>
  <c r="BC530" i="6"/>
  <c r="BH529" i="6"/>
  <c r="BC529" i="6"/>
  <c r="BH528" i="6"/>
  <c r="BC528" i="6"/>
  <c r="BH527" i="6"/>
  <c r="BC527" i="6"/>
  <c r="BH526" i="6"/>
  <c r="BC526" i="6"/>
  <c r="BH525" i="6"/>
  <c r="BC525" i="6"/>
  <c r="BH524" i="6"/>
  <c r="BC524" i="6"/>
  <c r="BH523" i="6"/>
  <c r="BC523" i="6"/>
  <c r="BH522" i="6"/>
  <c r="BC522" i="6"/>
  <c r="BH521" i="6"/>
  <c r="BC521" i="6"/>
  <c r="BH520" i="6"/>
  <c r="BC520" i="6"/>
  <c r="BH519" i="6"/>
  <c r="BC519" i="6"/>
  <c r="BH518" i="6"/>
  <c r="BC518" i="6"/>
  <c r="BH517" i="6"/>
  <c r="BC517" i="6"/>
  <c r="BH516" i="6"/>
  <c r="BC516" i="6"/>
  <c r="BH515" i="6"/>
  <c r="BC515" i="6"/>
  <c r="BH514" i="6"/>
  <c r="BC514" i="6"/>
  <c r="BH513" i="6"/>
  <c r="BC513" i="6"/>
  <c r="BH512" i="6"/>
  <c r="BC512" i="6"/>
  <c r="BH511" i="6"/>
  <c r="BC511" i="6"/>
  <c r="BH510" i="6"/>
  <c r="BC510" i="6"/>
  <c r="BH509" i="6"/>
  <c r="BC509" i="6"/>
  <c r="BH508" i="6"/>
  <c r="BC508" i="6"/>
  <c r="BH507" i="6"/>
  <c r="BC507" i="6"/>
  <c r="BH506" i="6"/>
  <c r="BC506" i="6"/>
  <c r="BH505" i="6"/>
  <c r="BC505" i="6"/>
  <c r="BH504" i="6"/>
  <c r="BC504" i="6"/>
  <c r="BH503" i="6"/>
  <c r="BC503" i="6"/>
  <c r="BH502" i="6"/>
  <c r="BC502" i="6"/>
  <c r="BH501" i="6"/>
  <c r="BC501" i="6"/>
  <c r="BH500" i="6"/>
  <c r="BC500" i="6"/>
  <c r="BH499" i="6"/>
  <c r="BC499" i="6"/>
  <c r="BH498" i="6"/>
  <c r="BC498" i="6"/>
  <c r="BH497" i="6"/>
  <c r="BC497" i="6"/>
  <c r="BH496" i="6"/>
  <c r="BC496" i="6"/>
  <c r="BH495" i="6"/>
  <c r="BC495" i="6"/>
  <c r="BH494" i="6"/>
  <c r="BC494" i="6"/>
  <c r="BH493" i="6"/>
  <c r="BC493" i="6"/>
  <c r="BH492" i="6"/>
  <c r="BC492" i="6"/>
  <c r="BH491" i="6"/>
  <c r="BC491" i="6"/>
  <c r="BH490" i="6"/>
  <c r="BC490" i="6"/>
  <c r="BH489" i="6"/>
  <c r="BC489" i="6"/>
  <c r="BH488" i="6"/>
  <c r="BC488" i="6"/>
  <c r="BH487" i="6"/>
  <c r="BC487" i="6"/>
  <c r="BH486" i="6"/>
  <c r="BC486" i="6"/>
  <c r="BH485" i="6"/>
  <c r="BC485" i="6"/>
  <c r="BH484" i="6"/>
  <c r="BC484" i="6"/>
  <c r="BH483" i="6"/>
  <c r="BC483" i="6"/>
  <c r="BH482" i="6"/>
  <c r="BC482" i="6"/>
  <c r="BH481" i="6"/>
  <c r="BC481" i="6"/>
  <c r="BH480" i="6"/>
  <c r="BC480" i="6"/>
  <c r="BH479" i="6"/>
  <c r="BC479" i="6"/>
  <c r="BH478" i="6"/>
  <c r="BC478" i="6"/>
  <c r="BH477" i="6"/>
  <c r="BC477" i="6"/>
  <c r="BH476" i="6"/>
  <c r="BC476" i="6"/>
  <c r="BH475" i="6"/>
  <c r="BC475" i="6"/>
  <c r="BH474" i="6"/>
  <c r="BC474" i="6"/>
  <c r="BH473" i="6"/>
  <c r="BC473" i="6"/>
  <c r="BH472" i="6"/>
  <c r="BC472" i="6"/>
  <c r="BH471" i="6"/>
  <c r="BC471" i="6"/>
  <c r="BH470" i="6"/>
  <c r="BC470" i="6"/>
  <c r="BH469" i="6"/>
  <c r="BC469" i="6"/>
  <c r="BH468" i="6"/>
  <c r="BC468" i="6"/>
  <c r="BH467" i="6"/>
  <c r="BC467" i="6"/>
  <c r="BH466" i="6"/>
  <c r="BC466" i="6"/>
  <c r="BH465" i="6"/>
  <c r="BC465" i="6"/>
  <c r="BH464" i="6"/>
  <c r="BC464" i="6"/>
  <c r="BH463" i="6"/>
  <c r="BC463" i="6"/>
  <c r="BH462" i="6"/>
  <c r="BC462" i="6"/>
  <c r="BH461" i="6"/>
  <c r="BC461" i="6"/>
  <c r="BH460" i="6"/>
  <c r="BC460" i="6"/>
  <c r="BH459" i="6"/>
  <c r="BC459" i="6"/>
  <c r="BH458" i="6"/>
  <c r="BC458" i="6"/>
  <c r="BH457" i="6"/>
  <c r="BC457" i="6"/>
  <c r="BH456" i="6"/>
  <c r="BC456" i="6"/>
  <c r="BH455" i="6"/>
  <c r="BC455" i="6"/>
  <c r="BH454" i="6"/>
  <c r="BC454" i="6"/>
  <c r="BH453" i="6"/>
  <c r="BC453" i="6"/>
  <c r="BH452" i="6"/>
  <c r="BC452" i="6"/>
  <c r="BH451" i="6"/>
  <c r="BC451" i="6"/>
  <c r="BH450" i="6"/>
  <c r="BC450" i="6"/>
  <c r="BH449" i="6"/>
  <c r="BC449" i="6"/>
  <c r="BH448" i="6"/>
  <c r="BC448" i="6"/>
  <c r="BH447" i="6"/>
  <c r="BC447" i="6"/>
  <c r="BH446" i="6"/>
  <c r="BC446" i="6"/>
  <c r="BH445" i="6"/>
  <c r="BC445" i="6"/>
  <c r="BH444" i="6"/>
  <c r="BC444" i="6"/>
  <c r="BH443" i="6"/>
  <c r="BC443" i="6"/>
  <c r="BH442" i="6"/>
  <c r="BC442" i="6"/>
  <c r="BH441" i="6"/>
  <c r="BC441" i="6"/>
  <c r="BH440" i="6"/>
  <c r="BC440" i="6"/>
  <c r="BH439" i="6"/>
  <c r="BC439" i="6"/>
  <c r="BH438" i="6"/>
  <c r="BC438" i="6"/>
  <c r="BH437" i="6"/>
  <c r="BC437" i="6"/>
  <c r="BH436" i="6"/>
  <c r="BC436" i="6"/>
  <c r="BH435" i="6"/>
  <c r="BC435" i="6"/>
  <c r="BH434" i="6"/>
  <c r="BC434" i="6"/>
  <c r="BH433" i="6"/>
  <c r="BC433" i="6"/>
  <c r="BH432" i="6"/>
  <c r="BC432" i="6"/>
  <c r="BH431" i="6"/>
  <c r="BC431" i="6"/>
  <c r="BH430" i="6"/>
  <c r="BC430" i="6"/>
  <c r="BH429" i="6"/>
  <c r="BC429" i="6"/>
  <c r="BH428" i="6"/>
  <c r="BC428" i="6"/>
  <c r="BH427" i="6"/>
  <c r="BC427" i="6"/>
  <c r="BH426" i="6"/>
  <c r="BC426" i="6"/>
  <c r="BH425" i="6"/>
  <c r="BC425" i="6"/>
  <c r="BH424" i="6"/>
  <c r="BC424" i="6"/>
  <c r="BH423" i="6"/>
  <c r="BC423" i="6"/>
  <c r="BH422" i="6"/>
  <c r="BC422" i="6"/>
  <c r="BH421" i="6"/>
  <c r="BC421" i="6"/>
  <c r="BH420" i="6"/>
  <c r="BC420" i="6"/>
  <c r="BH419" i="6"/>
  <c r="BC419" i="6"/>
  <c r="BH418" i="6"/>
  <c r="BC418" i="6"/>
  <c r="BH417" i="6"/>
  <c r="BC417" i="6"/>
  <c r="BH416" i="6"/>
  <c r="BC416" i="6"/>
  <c r="BH415" i="6"/>
  <c r="BC415" i="6"/>
  <c r="BH414" i="6"/>
  <c r="BC414" i="6"/>
  <c r="BH413" i="6"/>
  <c r="BC413" i="6"/>
  <c r="BH412" i="6"/>
  <c r="BC412" i="6"/>
  <c r="BH411" i="6"/>
  <c r="BC411" i="6"/>
  <c r="BH410" i="6"/>
  <c r="BC410" i="6"/>
  <c r="BH409" i="6"/>
  <c r="BC409" i="6"/>
  <c r="BH408" i="6"/>
  <c r="BC408" i="6"/>
  <c r="BH407" i="6"/>
  <c r="BC407" i="6"/>
  <c r="BH406" i="6"/>
  <c r="BC406" i="6"/>
  <c r="BH405" i="6"/>
  <c r="BC405" i="6"/>
  <c r="BH404" i="6"/>
  <c r="BC404" i="6"/>
  <c r="BH403" i="6"/>
  <c r="BC403" i="6"/>
  <c r="BH402" i="6"/>
  <c r="BC402" i="6"/>
  <c r="BH401" i="6"/>
  <c r="BC401" i="6"/>
  <c r="BH400" i="6"/>
  <c r="BC400" i="6"/>
  <c r="BH399" i="6"/>
  <c r="BC399" i="6"/>
  <c r="BH398" i="6"/>
  <c r="BC398" i="6"/>
  <c r="BH397" i="6"/>
  <c r="BC397" i="6"/>
  <c r="BH396" i="6"/>
  <c r="BC396" i="6"/>
  <c r="BH395" i="6"/>
  <c r="BC395" i="6"/>
  <c r="BH394" i="6"/>
  <c r="BC394" i="6"/>
  <c r="BH393" i="6"/>
  <c r="BC393" i="6"/>
  <c r="BH392" i="6"/>
  <c r="BC392" i="6"/>
  <c r="BH391" i="6"/>
  <c r="BC391" i="6"/>
  <c r="BH390" i="6"/>
  <c r="BC390" i="6"/>
  <c r="BH389" i="6"/>
  <c r="BC389" i="6"/>
  <c r="BH388" i="6"/>
  <c r="BC388" i="6"/>
  <c r="BH387" i="6"/>
  <c r="BC387" i="6"/>
  <c r="BH386" i="6"/>
  <c r="BC386" i="6"/>
  <c r="BH385" i="6"/>
  <c r="BC385" i="6"/>
  <c r="BH384" i="6"/>
  <c r="BC384" i="6"/>
  <c r="BH383" i="6"/>
  <c r="BC383" i="6"/>
  <c r="BH382" i="6"/>
  <c r="BC382" i="6"/>
  <c r="BH381" i="6"/>
  <c r="BC381" i="6"/>
  <c r="BH380" i="6"/>
  <c r="BC380" i="6"/>
  <c r="BH379" i="6"/>
  <c r="BC379" i="6"/>
  <c r="BH378" i="6"/>
  <c r="BC378" i="6"/>
  <c r="BH377" i="6"/>
  <c r="BC377" i="6"/>
  <c r="BH376" i="6"/>
  <c r="BC376" i="6"/>
  <c r="BH375" i="6"/>
  <c r="BC375" i="6"/>
  <c r="BH374" i="6"/>
  <c r="BC374" i="6"/>
  <c r="BH373" i="6"/>
  <c r="BC373" i="6"/>
  <c r="BH372" i="6"/>
  <c r="BC372" i="6"/>
  <c r="BH371" i="6"/>
  <c r="BC371" i="6"/>
  <c r="BH370" i="6"/>
  <c r="BC370" i="6"/>
  <c r="BH369" i="6"/>
  <c r="BC369" i="6"/>
  <c r="BH368" i="6"/>
  <c r="BC368" i="6"/>
  <c r="BH367" i="6"/>
  <c r="BC367" i="6"/>
  <c r="BH366" i="6"/>
  <c r="BC366" i="6"/>
  <c r="BH365" i="6"/>
  <c r="BC365" i="6"/>
  <c r="BH364" i="6"/>
  <c r="BC364" i="6"/>
  <c r="BH363" i="6"/>
  <c r="BC363" i="6"/>
  <c r="BH362" i="6"/>
  <c r="BC362" i="6"/>
  <c r="BH361" i="6"/>
  <c r="BC361" i="6"/>
  <c r="BH360" i="6"/>
  <c r="BC360" i="6"/>
  <c r="BH359" i="6"/>
  <c r="BC359" i="6"/>
  <c r="BH358" i="6"/>
  <c r="BC358" i="6"/>
  <c r="BH357" i="6"/>
  <c r="BC357" i="6"/>
  <c r="BH356" i="6"/>
  <c r="BC356" i="6"/>
  <c r="BH355" i="6"/>
  <c r="BC355" i="6"/>
  <c r="BH354" i="6"/>
  <c r="BC354" i="6"/>
  <c r="BH353" i="6"/>
  <c r="BC353" i="6"/>
  <c r="BH352" i="6"/>
  <c r="BC352" i="6"/>
  <c r="BH351" i="6"/>
  <c r="BC351" i="6"/>
  <c r="BH350" i="6"/>
  <c r="BC350" i="6"/>
  <c r="BH349" i="6"/>
  <c r="BC349" i="6"/>
  <c r="BH348" i="6"/>
  <c r="BC348" i="6"/>
  <c r="BH347" i="6"/>
  <c r="BC347" i="6"/>
  <c r="BH346" i="6"/>
  <c r="BC346" i="6"/>
  <c r="BH345" i="6"/>
  <c r="BC345" i="6"/>
  <c r="BH344" i="6"/>
  <c r="BC344" i="6"/>
  <c r="BH343" i="6"/>
  <c r="BC343" i="6"/>
  <c r="BH342" i="6"/>
  <c r="BC342" i="6"/>
  <c r="BH341" i="6"/>
  <c r="BC341" i="6"/>
  <c r="BH340" i="6"/>
  <c r="BC340" i="6"/>
  <c r="BH339" i="6"/>
  <c r="BC339" i="6"/>
  <c r="BH338" i="6"/>
  <c r="BC338" i="6"/>
  <c r="BH337" i="6"/>
  <c r="BC337" i="6"/>
  <c r="BH336" i="6"/>
  <c r="BC336" i="6"/>
  <c r="BH335" i="6"/>
  <c r="BC335" i="6"/>
  <c r="BH334" i="6"/>
  <c r="BC334" i="6"/>
  <c r="BH333" i="6"/>
  <c r="BC333" i="6"/>
  <c r="BH332" i="6"/>
  <c r="BC332" i="6"/>
  <c r="BH331" i="6"/>
  <c r="BC331" i="6"/>
  <c r="BH330" i="6"/>
  <c r="BC330" i="6"/>
  <c r="BH329" i="6"/>
  <c r="BC329" i="6"/>
  <c r="BH328" i="6"/>
  <c r="BC328" i="6"/>
  <c r="BH327" i="6"/>
  <c r="BC327" i="6"/>
  <c r="BH326" i="6"/>
  <c r="BC326" i="6"/>
  <c r="BH325" i="6"/>
  <c r="BC325" i="6"/>
  <c r="BH324" i="6"/>
  <c r="BC324" i="6"/>
  <c r="BH323" i="6"/>
  <c r="BC323" i="6"/>
  <c r="BH322" i="6"/>
  <c r="BC322" i="6"/>
  <c r="BH321" i="6"/>
  <c r="BC321" i="6"/>
  <c r="BH320" i="6"/>
  <c r="BC320" i="6"/>
  <c r="BH319" i="6"/>
  <c r="BC319" i="6"/>
  <c r="BH318" i="6"/>
  <c r="BC318" i="6"/>
  <c r="BH317" i="6"/>
  <c r="BC317" i="6"/>
  <c r="BH316" i="6"/>
  <c r="BC316" i="6"/>
  <c r="BH315" i="6"/>
  <c r="BC315" i="6"/>
  <c r="BH314" i="6"/>
  <c r="BC314" i="6"/>
  <c r="BH313" i="6"/>
  <c r="BC313" i="6"/>
  <c r="BH312" i="6"/>
  <c r="BC312" i="6"/>
  <c r="BH311" i="6"/>
  <c r="BC311" i="6"/>
  <c r="BH310" i="6"/>
  <c r="BC310" i="6"/>
  <c r="BH309" i="6"/>
  <c r="BC309" i="6"/>
  <c r="BH308" i="6"/>
  <c r="BC308" i="6"/>
  <c r="BH307" i="6"/>
  <c r="BC307" i="6"/>
  <c r="BH306" i="6"/>
  <c r="BC306" i="6"/>
  <c r="BH305" i="6"/>
  <c r="BC305" i="6"/>
  <c r="BH304" i="6"/>
  <c r="BC304" i="6"/>
  <c r="BH303" i="6"/>
  <c r="BC303" i="6"/>
  <c r="BH302" i="6"/>
  <c r="BC302" i="6"/>
  <c r="BH301" i="6"/>
  <c r="BC301" i="6"/>
  <c r="BH300" i="6"/>
  <c r="BC300" i="6"/>
  <c r="BH299" i="6"/>
  <c r="BC299" i="6"/>
  <c r="BH298" i="6"/>
  <c r="BC298" i="6"/>
  <c r="BH297" i="6"/>
  <c r="BC297" i="6"/>
  <c r="BH296" i="6"/>
  <c r="BC296" i="6"/>
  <c r="BH295" i="6"/>
  <c r="BC295" i="6"/>
  <c r="BH294" i="6"/>
  <c r="BC294" i="6"/>
  <c r="BH293" i="6"/>
  <c r="BC293" i="6"/>
  <c r="BH292" i="6"/>
  <c r="BC292" i="6"/>
  <c r="BH291" i="6"/>
  <c r="BC291" i="6"/>
  <c r="BH290" i="6"/>
  <c r="BC290" i="6"/>
  <c r="BH289" i="6"/>
  <c r="BC289" i="6"/>
  <c r="BH288" i="6"/>
  <c r="BC288" i="6"/>
  <c r="BH287" i="6"/>
  <c r="BC287" i="6"/>
  <c r="BH286" i="6"/>
  <c r="BC286" i="6"/>
  <c r="BH285" i="6"/>
  <c r="BC285" i="6"/>
  <c r="BH284" i="6"/>
  <c r="BC284" i="6"/>
  <c r="BH283" i="6"/>
  <c r="BC283" i="6"/>
  <c r="BH282" i="6"/>
  <c r="BC282" i="6"/>
  <c r="BH281" i="6"/>
  <c r="BC281" i="6"/>
  <c r="BH280" i="6"/>
  <c r="BC280" i="6"/>
  <c r="BH279" i="6"/>
  <c r="BC279" i="6"/>
  <c r="BH278" i="6"/>
  <c r="BC278" i="6"/>
  <c r="BH277" i="6"/>
  <c r="BC277" i="6"/>
  <c r="BH276" i="6"/>
  <c r="BC276" i="6"/>
  <c r="BH275" i="6"/>
  <c r="BC275" i="6"/>
  <c r="BH274" i="6"/>
  <c r="BC274" i="6"/>
  <c r="BH273" i="6"/>
  <c r="BC273" i="6"/>
  <c r="BH272" i="6"/>
  <c r="BC272" i="6"/>
  <c r="BH271" i="6"/>
  <c r="BC271" i="6"/>
  <c r="BH270" i="6"/>
  <c r="BC270" i="6"/>
  <c r="BH269" i="6"/>
  <c r="BC269" i="6"/>
  <c r="BH268" i="6"/>
  <c r="BC268" i="6"/>
  <c r="BH267" i="6"/>
  <c r="BC267" i="6"/>
  <c r="BH266" i="6"/>
  <c r="BC266" i="6"/>
  <c r="BH265" i="6"/>
  <c r="BC265" i="6"/>
  <c r="BH264" i="6"/>
  <c r="BC264" i="6"/>
  <c r="BH263" i="6"/>
  <c r="BC263" i="6"/>
  <c r="BH262" i="6"/>
  <c r="BC262" i="6"/>
  <c r="BH261" i="6"/>
  <c r="BC261" i="6"/>
  <c r="BH260" i="6"/>
  <c r="BC260" i="6"/>
  <c r="BH259" i="6"/>
  <c r="BC259" i="6"/>
  <c r="BH258" i="6"/>
  <c r="BC258" i="6"/>
  <c r="BH257" i="6"/>
  <c r="BC257" i="6"/>
  <c r="BH256" i="6"/>
  <c r="BC256" i="6"/>
  <c r="BH255" i="6"/>
  <c r="BC255" i="6"/>
  <c r="BH254" i="6"/>
  <c r="BC254" i="6"/>
  <c r="BH253" i="6"/>
  <c r="BC253" i="6"/>
  <c r="BH252" i="6"/>
  <c r="BC252" i="6"/>
  <c r="BH251" i="6"/>
  <c r="BC251" i="6"/>
  <c r="BH250" i="6"/>
  <c r="BC250" i="6"/>
  <c r="BH249" i="6"/>
  <c r="BC249" i="6"/>
  <c r="BH248" i="6"/>
  <c r="BC248" i="6"/>
  <c r="BH247" i="6"/>
  <c r="BC247" i="6"/>
  <c r="BH246" i="6"/>
  <c r="BC246" i="6"/>
  <c r="BH245" i="6"/>
  <c r="BC245" i="6"/>
  <c r="BH244" i="6"/>
  <c r="BC244" i="6"/>
  <c r="BH243" i="6"/>
  <c r="BC243" i="6"/>
  <c r="BH242" i="6"/>
  <c r="BC242" i="6"/>
  <c r="BH241" i="6"/>
  <c r="BC241" i="6"/>
  <c r="BH240" i="6"/>
  <c r="BC240" i="6"/>
  <c r="BH239" i="6"/>
  <c r="BC239" i="6"/>
  <c r="BH238" i="6"/>
  <c r="BC238" i="6"/>
  <c r="BH237" i="6"/>
  <c r="BC237" i="6"/>
  <c r="BH236" i="6"/>
  <c r="BC236" i="6"/>
  <c r="BH235" i="6"/>
  <c r="BC235" i="6"/>
  <c r="BH234" i="6"/>
  <c r="BC234" i="6"/>
  <c r="BH233" i="6"/>
  <c r="BC233" i="6"/>
  <c r="BH232" i="6"/>
  <c r="BC232" i="6"/>
  <c r="BH231" i="6"/>
  <c r="BC231" i="6"/>
  <c r="BH230" i="6"/>
  <c r="BC230" i="6"/>
  <c r="BH229" i="6"/>
  <c r="BC229" i="6"/>
  <c r="BH228" i="6"/>
  <c r="BC228" i="6"/>
  <c r="BH227" i="6"/>
  <c r="BC227" i="6"/>
  <c r="BH226" i="6"/>
  <c r="BC226" i="6"/>
  <c r="BH225" i="6"/>
  <c r="BC225" i="6"/>
  <c r="BH224" i="6"/>
  <c r="BC224" i="6"/>
  <c r="BH223" i="6"/>
  <c r="BC223" i="6"/>
  <c r="BH222" i="6"/>
  <c r="BC222" i="6"/>
  <c r="BH221" i="6"/>
  <c r="BC221" i="6"/>
  <c r="BH220" i="6"/>
  <c r="BC220" i="6"/>
  <c r="BH219" i="6"/>
  <c r="BC219" i="6"/>
  <c r="BH218" i="6"/>
  <c r="BC218" i="6"/>
  <c r="BH217" i="6"/>
  <c r="BC217" i="6"/>
  <c r="BH216" i="6"/>
  <c r="BC216" i="6"/>
  <c r="BH215" i="6"/>
  <c r="BC215" i="6"/>
  <c r="BH214" i="6"/>
  <c r="BC214" i="6"/>
  <c r="BH213" i="6"/>
  <c r="BC213" i="6"/>
  <c r="BH212" i="6"/>
  <c r="BC212" i="6"/>
  <c r="BH211" i="6"/>
  <c r="BC211" i="6"/>
  <c r="BH210" i="6"/>
  <c r="BC210" i="6"/>
  <c r="BH209" i="6"/>
  <c r="BC209" i="6"/>
  <c r="BH208" i="6"/>
  <c r="BC208" i="6"/>
  <c r="BH207" i="6"/>
  <c r="BC207" i="6"/>
  <c r="BH206" i="6"/>
  <c r="BC206" i="6"/>
  <c r="BH205" i="6"/>
  <c r="BC205" i="6"/>
  <c r="BH204" i="6"/>
  <c r="BC204" i="6"/>
  <c r="BH203" i="6"/>
  <c r="BC203" i="6"/>
  <c r="BH202" i="6"/>
  <c r="BC202" i="6"/>
  <c r="BH201" i="6"/>
  <c r="BC201" i="6"/>
  <c r="BH200" i="6"/>
  <c r="BC200" i="6"/>
  <c r="BH199" i="6"/>
  <c r="BC199" i="6"/>
  <c r="BH198" i="6"/>
  <c r="BC198" i="6"/>
  <c r="BH197" i="6"/>
  <c r="BC197" i="6"/>
  <c r="BH196" i="6"/>
  <c r="BC196" i="6"/>
  <c r="BH195" i="6"/>
  <c r="BC195" i="6"/>
  <c r="BH194" i="6"/>
  <c r="BC194" i="6"/>
  <c r="BH193" i="6"/>
  <c r="BC193" i="6"/>
  <c r="BH192" i="6"/>
  <c r="BC192" i="6"/>
  <c r="BH191" i="6"/>
  <c r="BC191" i="6"/>
  <c r="BH190" i="6"/>
  <c r="BC190" i="6"/>
  <c r="BH189" i="6"/>
  <c r="BC189" i="6"/>
  <c r="BH188" i="6"/>
  <c r="BC188" i="6"/>
  <c r="BH187" i="6"/>
  <c r="BC187" i="6"/>
  <c r="BH186" i="6"/>
  <c r="BC186" i="6"/>
  <c r="BH185" i="6"/>
  <c r="BC185" i="6"/>
  <c r="BH184" i="6"/>
  <c r="BC184" i="6"/>
  <c r="BH183" i="6"/>
  <c r="BC183" i="6"/>
  <c r="BH182" i="6"/>
  <c r="BC182" i="6"/>
  <c r="BH181" i="6"/>
  <c r="BC181" i="6"/>
  <c r="BH180" i="6"/>
  <c r="BC180" i="6"/>
  <c r="BH179" i="6"/>
  <c r="BC179" i="6"/>
  <c r="BH178" i="6"/>
  <c r="BC178" i="6"/>
  <c r="BH177" i="6"/>
  <c r="BC177" i="6"/>
  <c r="BH176" i="6"/>
  <c r="BC176" i="6"/>
  <c r="BH175" i="6"/>
  <c r="BC175" i="6"/>
  <c r="BH174" i="6"/>
  <c r="BC174" i="6"/>
  <c r="BH173" i="6"/>
  <c r="BC173" i="6"/>
  <c r="BH172" i="6"/>
  <c r="BC172" i="6"/>
  <c r="BH171" i="6"/>
  <c r="BC171" i="6"/>
  <c r="BH170" i="6"/>
  <c r="BC170" i="6"/>
  <c r="BH169" i="6"/>
  <c r="BC169" i="6"/>
  <c r="BH168" i="6"/>
  <c r="BC168" i="6"/>
  <c r="BH167" i="6"/>
  <c r="BC167" i="6"/>
  <c r="BH166" i="6"/>
  <c r="BC166" i="6"/>
  <c r="BH165" i="6"/>
  <c r="BC165" i="6"/>
  <c r="BH164" i="6"/>
  <c r="BC164" i="6"/>
  <c r="BH163" i="6"/>
  <c r="BC163" i="6"/>
  <c r="BH162" i="6"/>
  <c r="BC162" i="6"/>
  <c r="BH161" i="6"/>
  <c r="BC161" i="6"/>
  <c r="BH160" i="6"/>
  <c r="BC160" i="6"/>
  <c r="BH159" i="6"/>
  <c r="BC159" i="6"/>
  <c r="BH158" i="6"/>
  <c r="BC158" i="6"/>
  <c r="BH157" i="6"/>
  <c r="BC157" i="6"/>
  <c r="BH156" i="6"/>
  <c r="BC156" i="6"/>
  <c r="BH155" i="6"/>
  <c r="BC155" i="6"/>
  <c r="BH154" i="6"/>
  <c r="BC154" i="6"/>
  <c r="BH153" i="6"/>
  <c r="BC153" i="6"/>
  <c r="BH152" i="6"/>
  <c r="BC152" i="6"/>
  <c r="BH151" i="6"/>
  <c r="BC151" i="6"/>
  <c r="BH150" i="6"/>
  <c r="BC150" i="6"/>
  <c r="BH149" i="6"/>
  <c r="BC149" i="6"/>
  <c r="BH148" i="6"/>
  <c r="BC148" i="6"/>
  <c r="BH147" i="6"/>
  <c r="BC147" i="6"/>
  <c r="BH146" i="6"/>
  <c r="BC146" i="6"/>
  <c r="BH145" i="6"/>
  <c r="BC145" i="6"/>
  <c r="BH144" i="6"/>
  <c r="BC144" i="6"/>
  <c r="BH143" i="6"/>
  <c r="BC143" i="6"/>
  <c r="BH142" i="6"/>
  <c r="BC142" i="6"/>
  <c r="BH141" i="6"/>
  <c r="BC141" i="6"/>
  <c r="BH140" i="6"/>
  <c r="BC140" i="6"/>
  <c r="BH139" i="6"/>
  <c r="BC139" i="6"/>
  <c r="BH138" i="6"/>
  <c r="BC138" i="6"/>
  <c r="BH137" i="6"/>
  <c r="BC137" i="6"/>
  <c r="BH136" i="6"/>
  <c r="BC136" i="6"/>
  <c r="BH135" i="6"/>
  <c r="BC135" i="6"/>
  <c r="BH134" i="6"/>
  <c r="BC134" i="6"/>
  <c r="BH133" i="6"/>
  <c r="BC133" i="6"/>
  <c r="BH132" i="6"/>
  <c r="BC132" i="6"/>
  <c r="BH131" i="6"/>
  <c r="BC131" i="6"/>
  <c r="BH130" i="6"/>
  <c r="BC130" i="6"/>
  <c r="BH129" i="6"/>
  <c r="BC129" i="6"/>
  <c r="BH128" i="6"/>
  <c r="BC128" i="6"/>
  <c r="BH127" i="6"/>
  <c r="BC127" i="6"/>
  <c r="BH126" i="6"/>
  <c r="BC126" i="6"/>
  <c r="BH125" i="6"/>
  <c r="BC125" i="6"/>
  <c r="BH124" i="6"/>
  <c r="BC124" i="6"/>
  <c r="BH123" i="6"/>
  <c r="BC123" i="6"/>
  <c r="BH122" i="6"/>
  <c r="BC122" i="6"/>
  <c r="BH121" i="6"/>
  <c r="BC121" i="6"/>
  <c r="BH120" i="6"/>
  <c r="BC120" i="6"/>
  <c r="BH119" i="6"/>
  <c r="BC119" i="6"/>
  <c r="BH118" i="6"/>
  <c r="BC118" i="6"/>
  <c r="BH117" i="6"/>
  <c r="BC117" i="6"/>
  <c r="BH116" i="6"/>
  <c r="BC116" i="6"/>
  <c r="BH115" i="6"/>
  <c r="BC115" i="6"/>
  <c r="BH114" i="6"/>
  <c r="BC114" i="6"/>
  <c r="BH113" i="6"/>
  <c r="BC113" i="6"/>
  <c r="BH112" i="6"/>
  <c r="BC112" i="6"/>
  <c r="BH111" i="6"/>
  <c r="BC111" i="6"/>
  <c r="BH110" i="6"/>
  <c r="BC110" i="6"/>
  <c r="BH109" i="6"/>
  <c r="BC109" i="6"/>
  <c r="BH108" i="6"/>
  <c r="BC108" i="6"/>
  <c r="BH107" i="6"/>
  <c r="BC107" i="6"/>
  <c r="BH106" i="6"/>
  <c r="BC106" i="6"/>
  <c r="BH105" i="6"/>
  <c r="BC105" i="6"/>
  <c r="BH104" i="6"/>
  <c r="BC104" i="6"/>
  <c r="BH103" i="6"/>
  <c r="BC103" i="6"/>
  <c r="BH102" i="6"/>
  <c r="BC102" i="6"/>
  <c r="BH101" i="6"/>
  <c r="BC101" i="6"/>
  <c r="BH100" i="6"/>
  <c r="BC100" i="6"/>
  <c r="BH99" i="6"/>
  <c r="BC99" i="6"/>
  <c r="BH98" i="6"/>
  <c r="BC98" i="6"/>
  <c r="BH97" i="6"/>
  <c r="BC97" i="6"/>
  <c r="BH96" i="6"/>
  <c r="BC96" i="6"/>
  <c r="BH95" i="6"/>
  <c r="BC95" i="6"/>
  <c r="BH94" i="6"/>
  <c r="BC94" i="6"/>
  <c r="BH93" i="6"/>
  <c r="BC93" i="6"/>
  <c r="BH92" i="6"/>
  <c r="BC92" i="6"/>
  <c r="BH91" i="6"/>
  <c r="BC91" i="6"/>
  <c r="BH90" i="6"/>
  <c r="BC90" i="6"/>
  <c r="BH89" i="6"/>
  <c r="BC89" i="6"/>
  <c r="BH88" i="6"/>
  <c r="BC88" i="6"/>
  <c r="BH87" i="6"/>
  <c r="BC87" i="6"/>
  <c r="BH86" i="6"/>
  <c r="BC86" i="6"/>
  <c r="BH85" i="6"/>
  <c r="BC85" i="6"/>
  <c r="BH84" i="6"/>
  <c r="BC84" i="6"/>
  <c r="BH83" i="6"/>
  <c r="BC83" i="6"/>
  <c r="BH82" i="6"/>
  <c r="BC82" i="6"/>
  <c r="BH81" i="6"/>
  <c r="BC81" i="6"/>
  <c r="BH80" i="6"/>
  <c r="BC80" i="6"/>
  <c r="BH79" i="6"/>
  <c r="BC79" i="6"/>
  <c r="BH78" i="6"/>
  <c r="BC78" i="6"/>
  <c r="BH77" i="6"/>
  <c r="BC77" i="6"/>
  <c r="BH76" i="6"/>
  <c r="BC76" i="6"/>
  <c r="BH75" i="6"/>
  <c r="BC75" i="6"/>
  <c r="BH74" i="6"/>
  <c r="BC74" i="6"/>
  <c r="BH73" i="6"/>
  <c r="BC73" i="6"/>
  <c r="BH72" i="6"/>
  <c r="BC72" i="6"/>
  <c r="BH71" i="6"/>
  <c r="BC71" i="6"/>
  <c r="BH70" i="6"/>
  <c r="BC70" i="6"/>
  <c r="BH69" i="6"/>
  <c r="BC69" i="6"/>
  <c r="BH68" i="6"/>
  <c r="BC68" i="6"/>
  <c r="BH67" i="6"/>
  <c r="BC67" i="6"/>
  <c r="BH66" i="6"/>
  <c r="BC66" i="6"/>
  <c r="BH65" i="6"/>
  <c r="BC65" i="6"/>
  <c r="BH64" i="6"/>
  <c r="BC64" i="6"/>
  <c r="BH63" i="6"/>
  <c r="BC63" i="6"/>
  <c r="BH62" i="6"/>
  <c r="BC62" i="6"/>
  <c r="BH61" i="6"/>
  <c r="BC61" i="6"/>
  <c r="BH60" i="6"/>
  <c r="BC60" i="6"/>
  <c r="BH59" i="6"/>
  <c r="BC59" i="6"/>
  <c r="BH58" i="6"/>
  <c r="BC58" i="6"/>
  <c r="BH57" i="6"/>
  <c r="BC57" i="6"/>
  <c r="BH56" i="6"/>
  <c r="BC56" i="6"/>
  <c r="BH55" i="6"/>
  <c r="BC55" i="6"/>
  <c r="BH54" i="6"/>
  <c r="BC54" i="6"/>
  <c r="BH53" i="6"/>
  <c r="BC53" i="6"/>
  <c r="BH52" i="6"/>
  <c r="BC52" i="6"/>
  <c r="BH51" i="6"/>
  <c r="BC51" i="6"/>
  <c r="BH50" i="6"/>
  <c r="BC50" i="6"/>
  <c r="BH49" i="6"/>
  <c r="BC49" i="6"/>
  <c r="BH48" i="6"/>
  <c r="BC48" i="6"/>
  <c r="BH47" i="6"/>
  <c r="BC47" i="6"/>
  <c r="BH46" i="6"/>
  <c r="BC46" i="6"/>
  <c r="BH45" i="6"/>
  <c r="BC45" i="6"/>
  <c r="BH44" i="6"/>
  <c r="BC44" i="6"/>
  <c r="BH43" i="6"/>
  <c r="BC43" i="6"/>
  <c r="BH42" i="6"/>
  <c r="BC42" i="6"/>
  <c r="BH41" i="6"/>
  <c r="BC41" i="6"/>
  <c r="BH40" i="6"/>
  <c r="BC40" i="6"/>
  <c r="BH39" i="6"/>
  <c r="BC39" i="6"/>
  <c r="BH38" i="6"/>
  <c r="BC38" i="6"/>
  <c r="BH37" i="6"/>
  <c r="BC37" i="6"/>
  <c r="BH36" i="6"/>
  <c r="BC36" i="6"/>
  <c r="BH35" i="6"/>
  <c r="BC35" i="6"/>
  <c r="BH34" i="6"/>
  <c r="BC34" i="6"/>
  <c r="BH33" i="6"/>
  <c r="BC33" i="6"/>
  <c r="BH32" i="6"/>
  <c r="BC32" i="6"/>
  <c r="BH31" i="6"/>
  <c r="BC31" i="6"/>
  <c r="BH30" i="6"/>
  <c r="BC30" i="6"/>
  <c r="BH29" i="6"/>
  <c r="BC29" i="6"/>
  <c r="BH28" i="6"/>
  <c r="BC28" i="6"/>
  <c r="BH27" i="6"/>
  <c r="BC27" i="6"/>
  <c r="BH26" i="6"/>
  <c r="BC26" i="6"/>
  <c r="BH25" i="6"/>
  <c r="BC25" i="6"/>
  <c r="BH24" i="6"/>
  <c r="BC24" i="6"/>
  <c r="BH23" i="6"/>
  <c r="BC23" i="6"/>
  <c r="BH22" i="6"/>
  <c r="BC22" i="6"/>
  <c r="BH21" i="6"/>
  <c r="BC21" i="6"/>
  <c r="BH20" i="6"/>
  <c r="BC20" i="6"/>
  <c r="BH19" i="6"/>
  <c r="BC19" i="6"/>
  <c r="BH18" i="6"/>
  <c r="BC18" i="6"/>
  <c r="BH17" i="6"/>
  <c r="BC17" i="6"/>
  <c r="BH16" i="6"/>
  <c r="BC16" i="6"/>
  <c r="BH15" i="6"/>
  <c r="BC15" i="6"/>
  <c r="BH14" i="6"/>
  <c r="BC14" i="6"/>
  <c r="BH13" i="6"/>
  <c r="BC13" i="6"/>
  <c r="BH12" i="6"/>
  <c r="BC12" i="6"/>
  <c r="BH11" i="6"/>
  <c r="BC11" i="6"/>
  <c r="BH10" i="6"/>
  <c r="BC10" i="6"/>
  <c r="BH9" i="6"/>
  <c r="BC9" i="6"/>
  <c r="BH8" i="6"/>
  <c r="BC8" i="6"/>
  <c r="BH7" i="6"/>
  <c r="BC7" i="6"/>
  <c r="BH6" i="6"/>
  <c r="BC6" i="6"/>
  <c r="BH5" i="6"/>
  <c r="BC5" i="6"/>
  <c r="BH4" i="6"/>
  <c r="BC4" i="6"/>
  <c r="BH3" i="6"/>
  <c r="BC3" i="6"/>
  <c r="BH2" i="6"/>
  <c r="BC2" i="6"/>
  <c r="BH1" i="6"/>
  <c r="BC1" i="6"/>
  <c r="BB3649" i="6"/>
  <c r="BD3649" i="6" s="1"/>
  <c r="BB3650" i="6"/>
  <c r="BD3650" i="6" s="1"/>
  <c r="BB3651" i="6"/>
  <c r="BD3651" i="6" s="1"/>
  <c r="BB3652" i="6"/>
  <c r="BD3652" i="6" s="1"/>
  <c r="BB3653" i="6"/>
  <c r="BD3653" i="6" s="1"/>
  <c r="BB3617" i="6"/>
  <c r="BD3617" i="6" s="1"/>
  <c r="BB3618" i="6"/>
  <c r="BD3618" i="6" s="1"/>
  <c r="BB3619" i="6"/>
  <c r="BD3619" i="6" s="1"/>
  <c r="BB3620" i="6"/>
  <c r="BD3620" i="6" s="1"/>
  <c r="BB3621" i="6"/>
  <c r="BD3621" i="6" s="1"/>
  <c r="BB3622" i="6"/>
  <c r="BD3622" i="6" s="1"/>
  <c r="BB3623" i="6"/>
  <c r="BD3623" i="6" s="1"/>
  <c r="BB3624" i="6"/>
  <c r="BD3624" i="6" s="1"/>
  <c r="BB3625" i="6"/>
  <c r="BD3625" i="6" s="1"/>
  <c r="BB3626" i="6"/>
  <c r="BD3626" i="6" s="1"/>
  <c r="BB3627" i="6"/>
  <c r="BD3627" i="6" s="1"/>
  <c r="BB3628" i="6"/>
  <c r="BD3628" i="6" s="1"/>
  <c r="BB3629" i="6"/>
  <c r="BD3629" i="6" s="1"/>
  <c r="BB3630" i="6"/>
  <c r="BD3630" i="6" s="1"/>
  <c r="BB3631" i="6"/>
  <c r="BD3631" i="6" s="1"/>
  <c r="BB3632" i="6"/>
  <c r="BD3632" i="6" s="1"/>
  <c r="BB3633" i="6"/>
  <c r="BD3633" i="6" s="1"/>
  <c r="BB3634" i="6"/>
  <c r="BD3634" i="6" s="1"/>
  <c r="BB3635" i="6"/>
  <c r="BD3635" i="6" s="1"/>
  <c r="BB3636" i="6"/>
  <c r="BD3636" i="6" s="1"/>
  <c r="BB3637" i="6"/>
  <c r="BD3637" i="6" s="1"/>
  <c r="BB3638" i="6"/>
  <c r="BD3638" i="6" s="1"/>
  <c r="BB3639" i="6"/>
  <c r="BD3639" i="6" s="1"/>
  <c r="BB3640" i="6"/>
  <c r="BD3640" i="6" s="1"/>
  <c r="BB3641" i="6"/>
  <c r="BD3641" i="6" s="1"/>
  <c r="BB3642" i="6"/>
  <c r="BD3642" i="6" s="1"/>
  <c r="BB3643" i="6"/>
  <c r="BD3643" i="6" s="1"/>
  <c r="BB3644" i="6"/>
  <c r="BD3644" i="6" s="1"/>
  <c r="BB3645" i="6"/>
  <c r="BD3645" i="6" s="1"/>
  <c r="BB3646" i="6"/>
  <c r="BD3646" i="6" s="1"/>
  <c r="BB3647" i="6"/>
  <c r="BD3647" i="6" s="1"/>
  <c r="BB3648" i="6"/>
  <c r="BD3648" i="6" s="1"/>
  <c r="BB3585" i="6"/>
  <c r="BD3585" i="6" s="1"/>
  <c r="BB3586" i="6"/>
  <c r="BD3586" i="6" s="1"/>
  <c r="BB3587" i="6"/>
  <c r="BD3587" i="6" s="1"/>
  <c r="BB3588" i="6"/>
  <c r="BD3588" i="6" s="1"/>
  <c r="BB3589" i="6"/>
  <c r="BD3589" i="6" s="1"/>
  <c r="BB3590" i="6"/>
  <c r="BD3590" i="6" s="1"/>
  <c r="BB3591" i="6"/>
  <c r="BD3591" i="6" s="1"/>
  <c r="BB3592" i="6"/>
  <c r="BD3592" i="6" s="1"/>
  <c r="BB3593" i="6"/>
  <c r="BD3593" i="6" s="1"/>
  <c r="BB3594" i="6"/>
  <c r="BD3594" i="6" s="1"/>
  <c r="BB3595" i="6"/>
  <c r="BD3595" i="6" s="1"/>
  <c r="BB3596" i="6"/>
  <c r="BD3596" i="6" s="1"/>
  <c r="BB3597" i="6"/>
  <c r="BD3597" i="6" s="1"/>
  <c r="BB3598" i="6"/>
  <c r="BD3598" i="6" s="1"/>
  <c r="BB3599" i="6"/>
  <c r="BD3599" i="6" s="1"/>
  <c r="BB3600" i="6"/>
  <c r="BD3600" i="6" s="1"/>
  <c r="BB3601" i="6"/>
  <c r="BD3601" i="6" s="1"/>
  <c r="BB3602" i="6"/>
  <c r="BD3602" i="6" s="1"/>
  <c r="BB3603" i="6"/>
  <c r="BD3603" i="6" s="1"/>
  <c r="BB3604" i="6"/>
  <c r="BD3604" i="6" s="1"/>
  <c r="BB3605" i="6"/>
  <c r="BD3605" i="6" s="1"/>
  <c r="BB3606" i="6"/>
  <c r="BD3606" i="6" s="1"/>
  <c r="BB3607" i="6"/>
  <c r="BD3607" i="6" s="1"/>
  <c r="BB3608" i="6"/>
  <c r="BD3608" i="6" s="1"/>
  <c r="BB3609" i="6"/>
  <c r="BD3609" i="6" s="1"/>
  <c r="BB3610" i="6"/>
  <c r="BD3610" i="6" s="1"/>
  <c r="BB3611" i="6"/>
  <c r="BD3611" i="6" s="1"/>
  <c r="BB3612" i="6"/>
  <c r="BD3612" i="6" s="1"/>
  <c r="BB3613" i="6"/>
  <c r="BD3613" i="6" s="1"/>
  <c r="BB3614" i="6"/>
  <c r="BD3614" i="6" s="1"/>
  <c r="BB3615" i="6"/>
  <c r="BD3615" i="6" s="1"/>
  <c r="BB3616" i="6"/>
  <c r="BD3616" i="6" s="1"/>
  <c r="BB3553" i="6"/>
  <c r="BD3553" i="6" s="1"/>
  <c r="BB3554" i="6"/>
  <c r="BD3554" i="6" s="1"/>
  <c r="BB3555" i="6"/>
  <c r="BD3555" i="6" s="1"/>
  <c r="BB3556" i="6"/>
  <c r="BD3556" i="6" s="1"/>
  <c r="BB3557" i="6"/>
  <c r="BD3557" i="6" s="1"/>
  <c r="BB3558" i="6"/>
  <c r="BD3558" i="6" s="1"/>
  <c r="BB3559" i="6"/>
  <c r="BD3559" i="6" s="1"/>
  <c r="BB3560" i="6"/>
  <c r="BD3560" i="6" s="1"/>
  <c r="BB3561" i="6"/>
  <c r="BD3561" i="6" s="1"/>
  <c r="BB3562" i="6"/>
  <c r="BD3562" i="6" s="1"/>
  <c r="BB3563" i="6"/>
  <c r="BD3563" i="6" s="1"/>
  <c r="BB3564" i="6"/>
  <c r="BD3564" i="6" s="1"/>
  <c r="BB3565" i="6"/>
  <c r="BD3565" i="6" s="1"/>
  <c r="BB3566" i="6"/>
  <c r="BD3566" i="6" s="1"/>
  <c r="BB3567" i="6"/>
  <c r="BD3567" i="6" s="1"/>
  <c r="BB3568" i="6"/>
  <c r="BD3568" i="6" s="1"/>
  <c r="BB3569" i="6"/>
  <c r="BD3569" i="6" s="1"/>
  <c r="BB3570" i="6"/>
  <c r="BD3570" i="6" s="1"/>
  <c r="BB3571" i="6"/>
  <c r="BD3571" i="6" s="1"/>
  <c r="BB3572" i="6"/>
  <c r="BD3572" i="6" s="1"/>
  <c r="BB3573" i="6"/>
  <c r="BD3573" i="6" s="1"/>
  <c r="BB3574" i="6"/>
  <c r="BD3574" i="6" s="1"/>
  <c r="BB3575" i="6"/>
  <c r="BD3575" i="6" s="1"/>
  <c r="BB3576" i="6"/>
  <c r="BD3576" i="6" s="1"/>
  <c r="BB3577" i="6"/>
  <c r="BD3577" i="6" s="1"/>
  <c r="BB3578" i="6"/>
  <c r="BD3578" i="6" s="1"/>
  <c r="BB3579" i="6"/>
  <c r="BD3579" i="6" s="1"/>
  <c r="BB3580" i="6"/>
  <c r="BD3580" i="6" s="1"/>
  <c r="BB3581" i="6"/>
  <c r="BD3581" i="6" s="1"/>
  <c r="BB3582" i="6"/>
  <c r="BD3582" i="6" s="1"/>
  <c r="BB3583" i="6"/>
  <c r="BD3583" i="6" s="1"/>
  <c r="BB3584" i="6"/>
  <c r="BD3584" i="6" s="1"/>
  <c r="BB3521" i="6"/>
  <c r="BD3521" i="6" s="1"/>
  <c r="BB3522" i="6"/>
  <c r="BD3522" i="6" s="1"/>
  <c r="BB3523" i="6"/>
  <c r="BD3523" i="6" s="1"/>
  <c r="BB3524" i="6"/>
  <c r="BD3524" i="6" s="1"/>
  <c r="BB3525" i="6"/>
  <c r="BD3525" i="6" s="1"/>
  <c r="BB3526" i="6"/>
  <c r="BD3526" i="6" s="1"/>
  <c r="BB3527" i="6"/>
  <c r="BD3527" i="6" s="1"/>
  <c r="BB3528" i="6"/>
  <c r="BD3528" i="6" s="1"/>
  <c r="BB3529" i="6"/>
  <c r="BD3529" i="6" s="1"/>
  <c r="BB3530" i="6"/>
  <c r="BD3530" i="6" s="1"/>
  <c r="BB3531" i="6"/>
  <c r="BD3531" i="6" s="1"/>
  <c r="BB3532" i="6"/>
  <c r="BD3532" i="6" s="1"/>
  <c r="BB3533" i="6"/>
  <c r="BD3533" i="6" s="1"/>
  <c r="BB3534" i="6"/>
  <c r="BD3534" i="6" s="1"/>
  <c r="BB3535" i="6"/>
  <c r="BD3535" i="6" s="1"/>
  <c r="BB3536" i="6"/>
  <c r="BD3536" i="6" s="1"/>
  <c r="BB3537" i="6"/>
  <c r="BD3537" i="6" s="1"/>
  <c r="BB3538" i="6"/>
  <c r="BD3538" i="6" s="1"/>
  <c r="BB3539" i="6"/>
  <c r="BD3539" i="6" s="1"/>
  <c r="BB3540" i="6"/>
  <c r="BD3540" i="6" s="1"/>
  <c r="BB3541" i="6"/>
  <c r="BD3541" i="6" s="1"/>
  <c r="BB3542" i="6"/>
  <c r="BD3542" i="6" s="1"/>
  <c r="BB3543" i="6"/>
  <c r="BD3543" i="6" s="1"/>
  <c r="BB3544" i="6"/>
  <c r="BD3544" i="6" s="1"/>
  <c r="BB3545" i="6"/>
  <c r="BD3545" i="6" s="1"/>
  <c r="BB3546" i="6"/>
  <c r="BD3546" i="6" s="1"/>
  <c r="BB3547" i="6"/>
  <c r="BD3547" i="6" s="1"/>
  <c r="BB3548" i="6"/>
  <c r="BD3548" i="6" s="1"/>
  <c r="BB3549" i="6"/>
  <c r="BD3549" i="6" s="1"/>
  <c r="BB3550" i="6"/>
  <c r="BD3550" i="6" s="1"/>
  <c r="BB3551" i="6"/>
  <c r="BD3551" i="6" s="1"/>
  <c r="BB3552" i="6"/>
  <c r="BD3552" i="6" s="1"/>
  <c r="BB3489" i="6"/>
  <c r="BD3489" i="6" s="1"/>
  <c r="BB3490" i="6"/>
  <c r="BD3490" i="6" s="1"/>
  <c r="BB3491" i="6"/>
  <c r="BD3491" i="6" s="1"/>
  <c r="BB3492" i="6"/>
  <c r="BD3492" i="6" s="1"/>
  <c r="BB3493" i="6"/>
  <c r="BD3493" i="6" s="1"/>
  <c r="BB3494" i="6"/>
  <c r="BD3494" i="6" s="1"/>
  <c r="BB3495" i="6"/>
  <c r="BD3495" i="6" s="1"/>
  <c r="BB3496" i="6"/>
  <c r="BD3496" i="6" s="1"/>
  <c r="BB3497" i="6"/>
  <c r="BD3497" i="6" s="1"/>
  <c r="BB3498" i="6"/>
  <c r="BD3498" i="6" s="1"/>
  <c r="BB3499" i="6"/>
  <c r="BD3499" i="6" s="1"/>
  <c r="BB3500" i="6"/>
  <c r="BD3500" i="6" s="1"/>
  <c r="BB3501" i="6"/>
  <c r="BD3501" i="6" s="1"/>
  <c r="BB3502" i="6"/>
  <c r="BD3502" i="6" s="1"/>
  <c r="BB3503" i="6"/>
  <c r="BD3503" i="6" s="1"/>
  <c r="BB3504" i="6"/>
  <c r="BD3504" i="6" s="1"/>
  <c r="BB3505" i="6"/>
  <c r="BD3505" i="6" s="1"/>
  <c r="BB3506" i="6"/>
  <c r="BD3506" i="6" s="1"/>
  <c r="BB3507" i="6"/>
  <c r="BD3507" i="6" s="1"/>
  <c r="BB3508" i="6"/>
  <c r="BD3508" i="6" s="1"/>
  <c r="BB3509" i="6"/>
  <c r="BD3509" i="6" s="1"/>
  <c r="BB3510" i="6"/>
  <c r="BD3510" i="6" s="1"/>
  <c r="BB3511" i="6"/>
  <c r="BD3511" i="6" s="1"/>
  <c r="BB3512" i="6"/>
  <c r="BD3512" i="6" s="1"/>
  <c r="BB3513" i="6"/>
  <c r="BD3513" i="6" s="1"/>
  <c r="BB3514" i="6"/>
  <c r="BD3514" i="6" s="1"/>
  <c r="BB3515" i="6"/>
  <c r="BD3515" i="6" s="1"/>
  <c r="BB3516" i="6"/>
  <c r="BD3516" i="6" s="1"/>
  <c r="BB3517" i="6"/>
  <c r="BD3517" i="6" s="1"/>
  <c r="BB3518" i="6"/>
  <c r="BD3518" i="6" s="1"/>
  <c r="BB3519" i="6"/>
  <c r="BD3519" i="6" s="1"/>
  <c r="BB3520" i="6"/>
  <c r="BD3520" i="6" s="1"/>
  <c r="BB3457" i="6"/>
  <c r="BD3457" i="6" s="1"/>
  <c r="BB3458" i="6"/>
  <c r="BD3458" i="6" s="1"/>
  <c r="BB3459" i="6"/>
  <c r="BD3459" i="6" s="1"/>
  <c r="BB3460" i="6"/>
  <c r="BD3460" i="6" s="1"/>
  <c r="BB3461" i="6"/>
  <c r="BD3461" i="6" s="1"/>
  <c r="BB3462" i="6"/>
  <c r="BD3462" i="6" s="1"/>
  <c r="BB3463" i="6"/>
  <c r="BD3463" i="6" s="1"/>
  <c r="BB3464" i="6"/>
  <c r="BD3464" i="6" s="1"/>
  <c r="BB3465" i="6"/>
  <c r="BD3465" i="6" s="1"/>
  <c r="BB3466" i="6"/>
  <c r="BD3466" i="6" s="1"/>
  <c r="BB3467" i="6"/>
  <c r="BD3467" i="6" s="1"/>
  <c r="BB3468" i="6"/>
  <c r="BD3468" i="6" s="1"/>
  <c r="BB3469" i="6"/>
  <c r="BD3469" i="6" s="1"/>
  <c r="BB3470" i="6"/>
  <c r="BD3470" i="6" s="1"/>
  <c r="BB3471" i="6"/>
  <c r="BD3471" i="6" s="1"/>
  <c r="BB3472" i="6"/>
  <c r="BD3472" i="6" s="1"/>
  <c r="BB3473" i="6"/>
  <c r="BD3473" i="6" s="1"/>
  <c r="BB3474" i="6"/>
  <c r="BD3474" i="6" s="1"/>
  <c r="BB3475" i="6"/>
  <c r="BD3475" i="6" s="1"/>
  <c r="BB3476" i="6"/>
  <c r="BD3476" i="6" s="1"/>
  <c r="BB3477" i="6"/>
  <c r="BD3477" i="6" s="1"/>
  <c r="BB3478" i="6"/>
  <c r="BD3478" i="6" s="1"/>
  <c r="BB3479" i="6"/>
  <c r="BD3479" i="6" s="1"/>
  <c r="BB3480" i="6"/>
  <c r="BD3480" i="6" s="1"/>
  <c r="BB3481" i="6"/>
  <c r="BD3481" i="6" s="1"/>
  <c r="BB3482" i="6"/>
  <c r="BD3482" i="6" s="1"/>
  <c r="BB3483" i="6"/>
  <c r="BD3483" i="6" s="1"/>
  <c r="BB3484" i="6"/>
  <c r="BD3484" i="6" s="1"/>
  <c r="BB3485" i="6"/>
  <c r="BD3485" i="6" s="1"/>
  <c r="BB3486" i="6"/>
  <c r="BD3486" i="6" s="1"/>
  <c r="BB3487" i="6"/>
  <c r="BD3487" i="6" s="1"/>
  <c r="BB3488" i="6"/>
  <c r="BD3488" i="6" s="1"/>
  <c r="BB3425" i="6"/>
  <c r="BD3425" i="6" s="1"/>
  <c r="BB3426" i="6"/>
  <c r="BD3426" i="6" s="1"/>
  <c r="BB3427" i="6"/>
  <c r="BD3427" i="6" s="1"/>
  <c r="BB3428" i="6"/>
  <c r="BD3428" i="6" s="1"/>
  <c r="BB3429" i="6"/>
  <c r="BD3429" i="6" s="1"/>
  <c r="BB3430" i="6"/>
  <c r="BD3430" i="6" s="1"/>
  <c r="BB3431" i="6"/>
  <c r="BD3431" i="6" s="1"/>
  <c r="BB3432" i="6"/>
  <c r="BD3432" i="6" s="1"/>
  <c r="BB3433" i="6"/>
  <c r="BD3433" i="6" s="1"/>
  <c r="BB3434" i="6"/>
  <c r="BD3434" i="6" s="1"/>
  <c r="BB3435" i="6"/>
  <c r="BD3435" i="6" s="1"/>
  <c r="BB3436" i="6"/>
  <c r="BD3436" i="6" s="1"/>
  <c r="BB3437" i="6"/>
  <c r="BD3437" i="6" s="1"/>
  <c r="BB3438" i="6"/>
  <c r="BD3438" i="6" s="1"/>
  <c r="BB3439" i="6"/>
  <c r="BD3439" i="6" s="1"/>
  <c r="BB3440" i="6"/>
  <c r="BD3440" i="6" s="1"/>
  <c r="BB3441" i="6"/>
  <c r="BD3441" i="6" s="1"/>
  <c r="BB3442" i="6"/>
  <c r="BD3442" i="6" s="1"/>
  <c r="BB3443" i="6"/>
  <c r="BD3443" i="6" s="1"/>
  <c r="BB3444" i="6"/>
  <c r="BD3444" i="6" s="1"/>
  <c r="BB3445" i="6"/>
  <c r="BD3445" i="6" s="1"/>
  <c r="BB3446" i="6"/>
  <c r="BD3446" i="6" s="1"/>
  <c r="BB3447" i="6"/>
  <c r="BD3447" i="6" s="1"/>
  <c r="BB3448" i="6"/>
  <c r="BD3448" i="6" s="1"/>
  <c r="BB3449" i="6"/>
  <c r="BD3449" i="6" s="1"/>
  <c r="BB3450" i="6"/>
  <c r="BD3450" i="6" s="1"/>
  <c r="BB3451" i="6"/>
  <c r="BD3451" i="6" s="1"/>
  <c r="BB3452" i="6"/>
  <c r="BD3452" i="6" s="1"/>
  <c r="BB3453" i="6"/>
  <c r="BD3453" i="6" s="1"/>
  <c r="BB3454" i="6"/>
  <c r="BD3454" i="6" s="1"/>
  <c r="BB3455" i="6"/>
  <c r="BD3455" i="6" s="1"/>
  <c r="BB3456" i="6"/>
  <c r="BD3456" i="6" s="1"/>
  <c r="BB3393" i="6"/>
  <c r="BD3393" i="6" s="1"/>
  <c r="BB3394" i="6"/>
  <c r="BD3394" i="6" s="1"/>
  <c r="BB3395" i="6"/>
  <c r="BD3395" i="6" s="1"/>
  <c r="BB3396" i="6"/>
  <c r="BD3396" i="6" s="1"/>
  <c r="BB3397" i="6"/>
  <c r="BD3397" i="6" s="1"/>
  <c r="BB3398" i="6"/>
  <c r="BD3398" i="6" s="1"/>
  <c r="BB3399" i="6"/>
  <c r="BD3399" i="6" s="1"/>
  <c r="BB3400" i="6"/>
  <c r="BD3400" i="6" s="1"/>
  <c r="BB3401" i="6"/>
  <c r="BD3401" i="6" s="1"/>
  <c r="BB3402" i="6"/>
  <c r="BD3402" i="6" s="1"/>
  <c r="BB3403" i="6"/>
  <c r="BD3403" i="6" s="1"/>
  <c r="BB3404" i="6"/>
  <c r="BD3404" i="6" s="1"/>
  <c r="BB3405" i="6"/>
  <c r="BD3405" i="6" s="1"/>
  <c r="BB3406" i="6"/>
  <c r="BD3406" i="6" s="1"/>
  <c r="BB3407" i="6"/>
  <c r="BD3407" i="6" s="1"/>
  <c r="BB3408" i="6"/>
  <c r="BD3408" i="6" s="1"/>
  <c r="BB3409" i="6"/>
  <c r="BD3409" i="6" s="1"/>
  <c r="BB3410" i="6"/>
  <c r="BD3410" i="6" s="1"/>
  <c r="BB3411" i="6"/>
  <c r="BD3411" i="6" s="1"/>
  <c r="BB3412" i="6"/>
  <c r="BD3412" i="6" s="1"/>
  <c r="BB3413" i="6"/>
  <c r="BD3413" i="6" s="1"/>
  <c r="BB3414" i="6"/>
  <c r="BD3414" i="6" s="1"/>
  <c r="BB3415" i="6"/>
  <c r="BD3415" i="6" s="1"/>
  <c r="BB3416" i="6"/>
  <c r="BD3416" i="6" s="1"/>
  <c r="BB3417" i="6"/>
  <c r="BD3417" i="6" s="1"/>
  <c r="BB3418" i="6"/>
  <c r="BD3418" i="6" s="1"/>
  <c r="BB3419" i="6"/>
  <c r="BD3419" i="6" s="1"/>
  <c r="BB3420" i="6"/>
  <c r="BD3420" i="6" s="1"/>
  <c r="BB3421" i="6"/>
  <c r="BD3421" i="6" s="1"/>
  <c r="BB3422" i="6"/>
  <c r="BD3422" i="6" s="1"/>
  <c r="BB3423" i="6"/>
  <c r="BD3423" i="6" s="1"/>
  <c r="BB3424" i="6"/>
  <c r="BD3424" i="6" s="1"/>
  <c r="BB3361" i="6"/>
  <c r="BD3361" i="6" s="1"/>
  <c r="BB3362" i="6"/>
  <c r="BD3362" i="6" s="1"/>
  <c r="BB3363" i="6"/>
  <c r="BD3363" i="6" s="1"/>
  <c r="BB3364" i="6"/>
  <c r="BD3364" i="6" s="1"/>
  <c r="BB3365" i="6"/>
  <c r="BD3365" i="6" s="1"/>
  <c r="BB3366" i="6"/>
  <c r="BD3366" i="6" s="1"/>
  <c r="BB3367" i="6"/>
  <c r="BD3367" i="6" s="1"/>
  <c r="BB3368" i="6"/>
  <c r="BD3368" i="6" s="1"/>
  <c r="BB3369" i="6"/>
  <c r="BD3369" i="6" s="1"/>
  <c r="BB3370" i="6"/>
  <c r="BD3370" i="6" s="1"/>
  <c r="BB3371" i="6"/>
  <c r="BD3371" i="6" s="1"/>
  <c r="BB3372" i="6"/>
  <c r="BD3372" i="6" s="1"/>
  <c r="BB3373" i="6"/>
  <c r="BD3373" i="6" s="1"/>
  <c r="BB3374" i="6"/>
  <c r="BD3374" i="6" s="1"/>
  <c r="BB3375" i="6"/>
  <c r="BD3375" i="6" s="1"/>
  <c r="BB3376" i="6"/>
  <c r="BD3376" i="6" s="1"/>
  <c r="BB3377" i="6"/>
  <c r="BD3377" i="6" s="1"/>
  <c r="BB3378" i="6"/>
  <c r="BD3378" i="6" s="1"/>
  <c r="BB3379" i="6"/>
  <c r="BD3379" i="6" s="1"/>
  <c r="BB3380" i="6"/>
  <c r="BD3380" i="6" s="1"/>
  <c r="BB3381" i="6"/>
  <c r="BD3381" i="6" s="1"/>
  <c r="BB3382" i="6"/>
  <c r="BD3382" i="6" s="1"/>
  <c r="BB3383" i="6"/>
  <c r="BD3383" i="6" s="1"/>
  <c r="BB3384" i="6"/>
  <c r="BD3384" i="6" s="1"/>
  <c r="BB3385" i="6"/>
  <c r="BD3385" i="6" s="1"/>
  <c r="BB3386" i="6"/>
  <c r="BD3386" i="6" s="1"/>
  <c r="BB3387" i="6"/>
  <c r="BD3387" i="6" s="1"/>
  <c r="BB3388" i="6"/>
  <c r="BD3388" i="6" s="1"/>
  <c r="BB3389" i="6"/>
  <c r="BD3389" i="6" s="1"/>
  <c r="BB3390" i="6"/>
  <c r="BD3390" i="6" s="1"/>
  <c r="BB3391" i="6"/>
  <c r="BD3391" i="6" s="1"/>
  <c r="BB3392" i="6"/>
  <c r="BD3392" i="6" s="1"/>
  <c r="BB3329" i="6"/>
  <c r="BD3329" i="6" s="1"/>
  <c r="BB3330" i="6"/>
  <c r="BD3330" i="6" s="1"/>
  <c r="BB3331" i="6"/>
  <c r="BD3331" i="6" s="1"/>
  <c r="BB3332" i="6"/>
  <c r="BD3332" i="6" s="1"/>
  <c r="BB3333" i="6"/>
  <c r="BD3333" i="6" s="1"/>
  <c r="BB3334" i="6"/>
  <c r="BD3334" i="6" s="1"/>
  <c r="BB3335" i="6"/>
  <c r="BD3335" i="6" s="1"/>
  <c r="BB3336" i="6"/>
  <c r="BD3336" i="6" s="1"/>
  <c r="BB3337" i="6"/>
  <c r="BD3337" i="6" s="1"/>
  <c r="BB3338" i="6"/>
  <c r="BD3338" i="6" s="1"/>
  <c r="BB3339" i="6"/>
  <c r="BD3339" i="6" s="1"/>
  <c r="BB3340" i="6"/>
  <c r="BD3340" i="6" s="1"/>
  <c r="BB3341" i="6"/>
  <c r="BD3341" i="6" s="1"/>
  <c r="BB3342" i="6"/>
  <c r="BD3342" i="6" s="1"/>
  <c r="BB3343" i="6"/>
  <c r="BD3343" i="6" s="1"/>
  <c r="BB3344" i="6"/>
  <c r="BD3344" i="6" s="1"/>
  <c r="BB3345" i="6"/>
  <c r="BD3345" i="6" s="1"/>
  <c r="BB3346" i="6"/>
  <c r="BD3346" i="6" s="1"/>
  <c r="BB3347" i="6"/>
  <c r="BD3347" i="6" s="1"/>
  <c r="BB3348" i="6"/>
  <c r="BD3348" i="6" s="1"/>
  <c r="BB3349" i="6"/>
  <c r="BD3349" i="6" s="1"/>
  <c r="BB3350" i="6"/>
  <c r="BD3350" i="6" s="1"/>
  <c r="BB3351" i="6"/>
  <c r="BD3351" i="6" s="1"/>
  <c r="BB3352" i="6"/>
  <c r="BD3352" i="6" s="1"/>
  <c r="BB3353" i="6"/>
  <c r="BD3353" i="6" s="1"/>
  <c r="BB3354" i="6"/>
  <c r="BD3354" i="6" s="1"/>
  <c r="BB3355" i="6"/>
  <c r="BD3355" i="6" s="1"/>
  <c r="BB3356" i="6"/>
  <c r="BD3356" i="6" s="1"/>
  <c r="BB3357" i="6"/>
  <c r="BD3357" i="6" s="1"/>
  <c r="BB3358" i="6"/>
  <c r="BD3358" i="6" s="1"/>
  <c r="BB3359" i="6"/>
  <c r="BD3359" i="6" s="1"/>
  <c r="BB3360" i="6"/>
  <c r="BD3360" i="6" s="1"/>
  <c r="BB3297" i="6"/>
  <c r="BD3297" i="6" s="1"/>
  <c r="BB3298" i="6"/>
  <c r="BD3298" i="6" s="1"/>
  <c r="BB3299" i="6"/>
  <c r="BD3299" i="6" s="1"/>
  <c r="BB3300" i="6"/>
  <c r="BD3300" i="6" s="1"/>
  <c r="BB3301" i="6"/>
  <c r="BD3301" i="6" s="1"/>
  <c r="BB3302" i="6"/>
  <c r="BD3302" i="6" s="1"/>
  <c r="BB3303" i="6"/>
  <c r="BD3303" i="6" s="1"/>
  <c r="BB3304" i="6"/>
  <c r="BD3304" i="6" s="1"/>
  <c r="BB3305" i="6"/>
  <c r="BD3305" i="6" s="1"/>
  <c r="BB3306" i="6"/>
  <c r="BD3306" i="6" s="1"/>
  <c r="BB3307" i="6"/>
  <c r="BD3307" i="6" s="1"/>
  <c r="BB3308" i="6"/>
  <c r="BD3308" i="6" s="1"/>
  <c r="BB3309" i="6"/>
  <c r="BD3309" i="6" s="1"/>
  <c r="BB3310" i="6"/>
  <c r="BD3310" i="6" s="1"/>
  <c r="BB3311" i="6"/>
  <c r="BD3311" i="6" s="1"/>
  <c r="BB3312" i="6"/>
  <c r="BD3312" i="6" s="1"/>
  <c r="BB3313" i="6"/>
  <c r="BD3313" i="6" s="1"/>
  <c r="BB3314" i="6"/>
  <c r="BD3314" i="6" s="1"/>
  <c r="BB3315" i="6"/>
  <c r="BD3315" i="6" s="1"/>
  <c r="BB3316" i="6"/>
  <c r="BD3316" i="6" s="1"/>
  <c r="BB3317" i="6"/>
  <c r="BD3317" i="6" s="1"/>
  <c r="BB3318" i="6"/>
  <c r="BD3318" i="6" s="1"/>
  <c r="BB3319" i="6"/>
  <c r="BD3319" i="6" s="1"/>
  <c r="BB3320" i="6"/>
  <c r="BD3320" i="6" s="1"/>
  <c r="BB3321" i="6"/>
  <c r="BD3321" i="6" s="1"/>
  <c r="BB3322" i="6"/>
  <c r="BD3322" i="6" s="1"/>
  <c r="BB3323" i="6"/>
  <c r="BD3323" i="6" s="1"/>
  <c r="BB3324" i="6"/>
  <c r="BD3324" i="6" s="1"/>
  <c r="BB3325" i="6"/>
  <c r="BD3325" i="6" s="1"/>
  <c r="BB3326" i="6"/>
  <c r="BD3326" i="6" s="1"/>
  <c r="BB3327" i="6"/>
  <c r="BD3327" i="6" s="1"/>
  <c r="BB3328" i="6"/>
  <c r="BD3328" i="6" s="1"/>
  <c r="BB3265" i="6"/>
  <c r="BD3265" i="6" s="1"/>
  <c r="BB3266" i="6"/>
  <c r="BD3266" i="6" s="1"/>
  <c r="BB3267" i="6"/>
  <c r="BD3267" i="6" s="1"/>
  <c r="BB3268" i="6"/>
  <c r="BD3268" i="6" s="1"/>
  <c r="BB3269" i="6"/>
  <c r="BD3269" i="6" s="1"/>
  <c r="BB3270" i="6"/>
  <c r="BD3270" i="6" s="1"/>
  <c r="BB3271" i="6"/>
  <c r="BD3271" i="6" s="1"/>
  <c r="BB3272" i="6"/>
  <c r="BD3272" i="6" s="1"/>
  <c r="BB3273" i="6"/>
  <c r="BD3273" i="6" s="1"/>
  <c r="BB3274" i="6"/>
  <c r="BD3274" i="6" s="1"/>
  <c r="BB3275" i="6"/>
  <c r="BD3275" i="6" s="1"/>
  <c r="BB3276" i="6"/>
  <c r="BD3276" i="6" s="1"/>
  <c r="BB3277" i="6"/>
  <c r="BD3277" i="6" s="1"/>
  <c r="BB3278" i="6"/>
  <c r="BD3278" i="6" s="1"/>
  <c r="BB3279" i="6"/>
  <c r="BD3279" i="6" s="1"/>
  <c r="BB3280" i="6"/>
  <c r="BD3280" i="6" s="1"/>
  <c r="BB3281" i="6"/>
  <c r="BD3281" i="6" s="1"/>
  <c r="BB3282" i="6"/>
  <c r="BD3282" i="6" s="1"/>
  <c r="BB3283" i="6"/>
  <c r="BD3283" i="6" s="1"/>
  <c r="BB3284" i="6"/>
  <c r="BD3284" i="6" s="1"/>
  <c r="BB3285" i="6"/>
  <c r="BD3285" i="6" s="1"/>
  <c r="BB3286" i="6"/>
  <c r="BD3286" i="6" s="1"/>
  <c r="BB3287" i="6"/>
  <c r="BD3287" i="6" s="1"/>
  <c r="BB3288" i="6"/>
  <c r="BD3288" i="6" s="1"/>
  <c r="BB3289" i="6"/>
  <c r="BD3289" i="6" s="1"/>
  <c r="BB3290" i="6"/>
  <c r="BD3290" i="6" s="1"/>
  <c r="BB3291" i="6"/>
  <c r="BD3291" i="6" s="1"/>
  <c r="BB3292" i="6"/>
  <c r="BD3292" i="6" s="1"/>
  <c r="BB3293" i="6"/>
  <c r="BD3293" i="6" s="1"/>
  <c r="BB3294" i="6"/>
  <c r="BD3294" i="6" s="1"/>
  <c r="BB3295" i="6"/>
  <c r="BD3295" i="6" s="1"/>
  <c r="BB3296" i="6"/>
  <c r="BD3296" i="6" s="1"/>
  <c r="BB3233" i="6"/>
  <c r="BD3233" i="6" s="1"/>
  <c r="BB3234" i="6"/>
  <c r="BD3234" i="6" s="1"/>
  <c r="BB3235" i="6"/>
  <c r="BD3235" i="6" s="1"/>
  <c r="BB3236" i="6"/>
  <c r="BD3236" i="6" s="1"/>
  <c r="BB3237" i="6"/>
  <c r="BD3237" i="6" s="1"/>
  <c r="BB3238" i="6"/>
  <c r="BD3238" i="6" s="1"/>
  <c r="BB3239" i="6"/>
  <c r="BD3239" i="6" s="1"/>
  <c r="BB3240" i="6"/>
  <c r="BD3240" i="6" s="1"/>
  <c r="BB3241" i="6"/>
  <c r="BD3241" i="6" s="1"/>
  <c r="BB3242" i="6"/>
  <c r="BD3242" i="6" s="1"/>
  <c r="BB3243" i="6"/>
  <c r="BD3243" i="6" s="1"/>
  <c r="BB3244" i="6"/>
  <c r="BD3244" i="6" s="1"/>
  <c r="BB3245" i="6"/>
  <c r="BD3245" i="6" s="1"/>
  <c r="BB3246" i="6"/>
  <c r="BD3246" i="6" s="1"/>
  <c r="BB3247" i="6"/>
  <c r="BD3247" i="6" s="1"/>
  <c r="BB3248" i="6"/>
  <c r="BD3248" i="6" s="1"/>
  <c r="BB3249" i="6"/>
  <c r="BD3249" i="6" s="1"/>
  <c r="BB3250" i="6"/>
  <c r="BD3250" i="6" s="1"/>
  <c r="BB3251" i="6"/>
  <c r="BD3251" i="6" s="1"/>
  <c r="BB3252" i="6"/>
  <c r="BD3252" i="6" s="1"/>
  <c r="BB3253" i="6"/>
  <c r="BD3253" i="6" s="1"/>
  <c r="BB3254" i="6"/>
  <c r="BD3254" i="6" s="1"/>
  <c r="BB3255" i="6"/>
  <c r="BD3255" i="6" s="1"/>
  <c r="BB3256" i="6"/>
  <c r="BD3256" i="6" s="1"/>
  <c r="BB3257" i="6"/>
  <c r="BD3257" i="6" s="1"/>
  <c r="BB3258" i="6"/>
  <c r="BD3258" i="6" s="1"/>
  <c r="BB3259" i="6"/>
  <c r="BD3259" i="6" s="1"/>
  <c r="BB3260" i="6"/>
  <c r="BD3260" i="6" s="1"/>
  <c r="BB3261" i="6"/>
  <c r="BD3261" i="6" s="1"/>
  <c r="BB3262" i="6"/>
  <c r="BD3262" i="6" s="1"/>
  <c r="BB3263" i="6"/>
  <c r="BD3263" i="6" s="1"/>
  <c r="BB3264" i="6"/>
  <c r="BD3264" i="6" s="1"/>
  <c r="BB3201" i="6"/>
  <c r="BD3201" i="6" s="1"/>
  <c r="BB3202" i="6"/>
  <c r="BD3202" i="6" s="1"/>
  <c r="BB3203" i="6"/>
  <c r="BD3203" i="6" s="1"/>
  <c r="BB3204" i="6"/>
  <c r="BD3204" i="6" s="1"/>
  <c r="BB3205" i="6"/>
  <c r="BD3205" i="6" s="1"/>
  <c r="BB3206" i="6"/>
  <c r="BD3206" i="6" s="1"/>
  <c r="BB3207" i="6"/>
  <c r="BD3207" i="6" s="1"/>
  <c r="BB3208" i="6"/>
  <c r="BD3208" i="6" s="1"/>
  <c r="BB3209" i="6"/>
  <c r="BD3209" i="6" s="1"/>
  <c r="BB3210" i="6"/>
  <c r="BD3210" i="6" s="1"/>
  <c r="BB3211" i="6"/>
  <c r="BD3211" i="6" s="1"/>
  <c r="BB3212" i="6"/>
  <c r="BD3212" i="6" s="1"/>
  <c r="BB3213" i="6"/>
  <c r="BD3213" i="6" s="1"/>
  <c r="BB3214" i="6"/>
  <c r="BD3214" i="6" s="1"/>
  <c r="BB3215" i="6"/>
  <c r="BD3215" i="6" s="1"/>
  <c r="BB3216" i="6"/>
  <c r="BD3216" i="6" s="1"/>
  <c r="BB3217" i="6"/>
  <c r="BD3217" i="6" s="1"/>
  <c r="BB3218" i="6"/>
  <c r="BD3218" i="6" s="1"/>
  <c r="BB3219" i="6"/>
  <c r="BD3219" i="6" s="1"/>
  <c r="BB3220" i="6"/>
  <c r="BD3220" i="6" s="1"/>
  <c r="BB3221" i="6"/>
  <c r="BD3221" i="6" s="1"/>
  <c r="BB3222" i="6"/>
  <c r="BD3222" i="6" s="1"/>
  <c r="BB3223" i="6"/>
  <c r="BD3223" i="6" s="1"/>
  <c r="BB3224" i="6"/>
  <c r="BD3224" i="6" s="1"/>
  <c r="BB3225" i="6"/>
  <c r="BD3225" i="6" s="1"/>
  <c r="BB3226" i="6"/>
  <c r="BD3226" i="6" s="1"/>
  <c r="BB3227" i="6"/>
  <c r="BD3227" i="6" s="1"/>
  <c r="BB3228" i="6"/>
  <c r="BD3228" i="6" s="1"/>
  <c r="BB3229" i="6"/>
  <c r="BD3229" i="6" s="1"/>
  <c r="BB3230" i="6"/>
  <c r="BD3230" i="6" s="1"/>
  <c r="BB3231" i="6"/>
  <c r="BD3231" i="6" s="1"/>
  <c r="BB3232" i="6"/>
  <c r="BD3232" i="6" s="1"/>
  <c r="BB3169" i="6"/>
  <c r="BD3169" i="6" s="1"/>
  <c r="BB3170" i="6"/>
  <c r="BD3170" i="6" s="1"/>
  <c r="BB3171" i="6"/>
  <c r="BD3171" i="6" s="1"/>
  <c r="BB3172" i="6"/>
  <c r="BD3172" i="6" s="1"/>
  <c r="BB3173" i="6"/>
  <c r="BD3173" i="6" s="1"/>
  <c r="BB3174" i="6"/>
  <c r="BD3174" i="6" s="1"/>
  <c r="BB3175" i="6"/>
  <c r="BD3175" i="6" s="1"/>
  <c r="BB3176" i="6"/>
  <c r="BD3176" i="6" s="1"/>
  <c r="BB3177" i="6"/>
  <c r="BD3177" i="6" s="1"/>
  <c r="BB3178" i="6"/>
  <c r="BD3178" i="6" s="1"/>
  <c r="BB3179" i="6"/>
  <c r="BD3179" i="6" s="1"/>
  <c r="BB3180" i="6"/>
  <c r="BD3180" i="6" s="1"/>
  <c r="BB3181" i="6"/>
  <c r="BD3181" i="6" s="1"/>
  <c r="BB3182" i="6"/>
  <c r="BD3182" i="6" s="1"/>
  <c r="BB3183" i="6"/>
  <c r="BD3183" i="6" s="1"/>
  <c r="BB3184" i="6"/>
  <c r="BD3184" i="6" s="1"/>
  <c r="BB3185" i="6"/>
  <c r="BD3185" i="6" s="1"/>
  <c r="BB3186" i="6"/>
  <c r="BD3186" i="6" s="1"/>
  <c r="BB3187" i="6"/>
  <c r="BD3187" i="6" s="1"/>
  <c r="BB3188" i="6"/>
  <c r="BD3188" i="6" s="1"/>
  <c r="BB3189" i="6"/>
  <c r="BD3189" i="6" s="1"/>
  <c r="BB3190" i="6"/>
  <c r="BD3190" i="6" s="1"/>
  <c r="BB3191" i="6"/>
  <c r="BD3191" i="6" s="1"/>
  <c r="BB3192" i="6"/>
  <c r="BD3192" i="6" s="1"/>
  <c r="BB3193" i="6"/>
  <c r="BD3193" i="6" s="1"/>
  <c r="BB3194" i="6"/>
  <c r="BD3194" i="6" s="1"/>
  <c r="BB3195" i="6"/>
  <c r="BD3195" i="6" s="1"/>
  <c r="BB3196" i="6"/>
  <c r="BD3196" i="6" s="1"/>
  <c r="BB3197" i="6"/>
  <c r="BD3197" i="6" s="1"/>
  <c r="BB3198" i="6"/>
  <c r="BD3198" i="6" s="1"/>
  <c r="BB3199" i="6"/>
  <c r="BD3199" i="6" s="1"/>
  <c r="BB3200" i="6"/>
  <c r="BD3200" i="6" s="1"/>
  <c r="BB3137" i="6"/>
  <c r="BD3137" i="6" s="1"/>
  <c r="BB3138" i="6"/>
  <c r="BD3138" i="6" s="1"/>
  <c r="BB3139" i="6"/>
  <c r="BD3139" i="6" s="1"/>
  <c r="BB3140" i="6"/>
  <c r="BD3140" i="6" s="1"/>
  <c r="BB3141" i="6"/>
  <c r="BD3141" i="6" s="1"/>
  <c r="BB3142" i="6"/>
  <c r="BD3142" i="6" s="1"/>
  <c r="BB3143" i="6"/>
  <c r="BD3143" i="6" s="1"/>
  <c r="BB3144" i="6"/>
  <c r="BD3144" i="6" s="1"/>
  <c r="BB3145" i="6"/>
  <c r="BD3145" i="6" s="1"/>
  <c r="BB3146" i="6"/>
  <c r="BD3146" i="6" s="1"/>
  <c r="BB3147" i="6"/>
  <c r="BD3147" i="6" s="1"/>
  <c r="BB3148" i="6"/>
  <c r="BD3148" i="6" s="1"/>
  <c r="BB3149" i="6"/>
  <c r="BD3149" i="6" s="1"/>
  <c r="BB3150" i="6"/>
  <c r="BD3150" i="6" s="1"/>
  <c r="BB3151" i="6"/>
  <c r="BD3151" i="6" s="1"/>
  <c r="BB3152" i="6"/>
  <c r="BD3152" i="6" s="1"/>
  <c r="BB3153" i="6"/>
  <c r="BD3153" i="6" s="1"/>
  <c r="BB3154" i="6"/>
  <c r="BD3154" i="6" s="1"/>
  <c r="BB3155" i="6"/>
  <c r="BD3155" i="6" s="1"/>
  <c r="BB3156" i="6"/>
  <c r="BD3156" i="6" s="1"/>
  <c r="BB3157" i="6"/>
  <c r="BD3157" i="6" s="1"/>
  <c r="BB3158" i="6"/>
  <c r="BD3158" i="6" s="1"/>
  <c r="BB3159" i="6"/>
  <c r="BD3159" i="6" s="1"/>
  <c r="BB3160" i="6"/>
  <c r="BD3160" i="6" s="1"/>
  <c r="BB3161" i="6"/>
  <c r="BD3161" i="6" s="1"/>
  <c r="BB3162" i="6"/>
  <c r="BD3162" i="6" s="1"/>
  <c r="BB3163" i="6"/>
  <c r="BD3163" i="6" s="1"/>
  <c r="BB3164" i="6"/>
  <c r="BD3164" i="6" s="1"/>
  <c r="BB3165" i="6"/>
  <c r="BD3165" i="6" s="1"/>
  <c r="BB3166" i="6"/>
  <c r="BD3166" i="6" s="1"/>
  <c r="BB3167" i="6"/>
  <c r="BD3167" i="6" s="1"/>
  <c r="BB3168" i="6"/>
  <c r="BD3168" i="6" s="1"/>
  <c r="BB3105" i="6"/>
  <c r="BD3105" i="6" s="1"/>
  <c r="BB3106" i="6"/>
  <c r="BD3106" i="6" s="1"/>
  <c r="BB3107" i="6"/>
  <c r="BD3107" i="6" s="1"/>
  <c r="BB3108" i="6"/>
  <c r="BD3108" i="6" s="1"/>
  <c r="BB3109" i="6"/>
  <c r="BD3109" i="6" s="1"/>
  <c r="BB3110" i="6"/>
  <c r="BD3110" i="6" s="1"/>
  <c r="BB3111" i="6"/>
  <c r="BD3111" i="6" s="1"/>
  <c r="BB3112" i="6"/>
  <c r="BD3112" i="6" s="1"/>
  <c r="BB3113" i="6"/>
  <c r="BD3113" i="6" s="1"/>
  <c r="BB3114" i="6"/>
  <c r="BD3114" i="6" s="1"/>
  <c r="BB3115" i="6"/>
  <c r="BD3115" i="6" s="1"/>
  <c r="BB3116" i="6"/>
  <c r="BD3116" i="6" s="1"/>
  <c r="BB3117" i="6"/>
  <c r="BD3117" i="6" s="1"/>
  <c r="BB3118" i="6"/>
  <c r="BD3118" i="6" s="1"/>
  <c r="BB3119" i="6"/>
  <c r="BD3119" i="6" s="1"/>
  <c r="BB3120" i="6"/>
  <c r="BD3120" i="6" s="1"/>
  <c r="BB3121" i="6"/>
  <c r="BD3121" i="6" s="1"/>
  <c r="BB3122" i="6"/>
  <c r="BD3122" i="6" s="1"/>
  <c r="BB3123" i="6"/>
  <c r="BD3123" i="6" s="1"/>
  <c r="BB3124" i="6"/>
  <c r="BD3124" i="6" s="1"/>
  <c r="BB3125" i="6"/>
  <c r="BD3125" i="6" s="1"/>
  <c r="BB3126" i="6"/>
  <c r="BD3126" i="6" s="1"/>
  <c r="BB3127" i="6"/>
  <c r="BD3127" i="6" s="1"/>
  <c r="BB3128" i="6"/>
  <c r="BD3128" i="6" s="1"/>
  <c r="BB3129" i="6"/>
  <c r="BD3129" i="6" s="1"/>
  <c r="BB3130" i="6"/>
  <c r="BD3130" i="6" s="1"/>
  <c r="BB3131" i="6"/>
  <c r="BD3131" i="6" s="1"/>
  <c r="BB3132" i="6"/>
  <c r="BD3132" i="6" s="1"/>
  <c r="BB3133" i="6"/>
  <c r="BD3133" i="6" s="1"/>
  <c r="BB3134" i="6"/>
  <c r="BD3134" i="6" s="1"/>
  <c r="BB3135" i="6"/>
  <c r="BD3135" i="6" s="1"/>
  <c r="BB3136" i="6"/>
  <c r="BD3136" i="6" s="1"/>
  <c r="BB3073" i="6"/>
  <c r="BD3073" i="6" s="1"/>
  <c r="BB3074" i="6"/>
  <c r="BD3074" i="6" s="1"/>
  <c r="BB3075" i="6"/>
  <c r="BD3075" i="6" s="1"/>
  <c r="BB3076" i="6"/>
  <c r="BD3076" i="6" s="1"/>
  <c r="BB3077" i="6"/>
  <c r="BD3077" i="6" s="1"/>
  <c r="BB3078" i="6"/>
  <c r="BD3078" i="6" s="1"/>
  <c r="BB3079" i="6"/>
  <c r="BD3079" i="6" s="1"/>
  <c r="BB3080" i="6"/>
  <c r="BD3080" i="6" s="1"/>
  <c r="BB3081" i="6"/>
  <c r="BD3081" i="6" s="1"/>
  <c r="BB3082" i="6"/>
  <c r="BD3082" i="6" s="1"/>
  <c r="BB3083" i="6"/>
  <c r="BD3083" i="6" s="1"/>
  <c r="BB3084" i="6"/>
  <c r="BD3084" i="6" s="1"/>
  <c r="BB3085" i="6"/>
  <c r="BD3085" i="6" s="1"/>
  <c r="BB3086" i="6"/>
  <c r="BD3086" i="6" s="1"/>
  <c r="BB3087" i="6"/>
  <c r="BD3087" i="6" s="1"/>
  <c r="BB3088" i="6"/>
  <c r="BD3088" i="6" s="1"/>
  <c r="BB3089" i="6"/>
  <c r="BD3089" i="6" s="1"/>
  <c r="BB3090" i="6"/>
  <c r="BD3090" i="6" s="1"/>
  <c r="BB3091" i="6"/>
  <c r="BD3091" i="6" s="1"/>
  <c r="BB3092" i="6"/>
  <c r="BD3092" i="6" s="1"/>
  <c r="BB3093" i="6"/>
  <c r="BD3093" i="6" s="1"/>
  <c r="BB3094" i="6"/>
  <c r="BD3094" i="6" s="1"/>
  <c r="BB3095" i="6"/>
  <c r="BD3095" i="6" s="1"/>
  <c r="BB3096" i="6"/>
  <c r="BD3096" i="6" s="1"/>
  <c r="BB3097" i="6"/>
  <c r="BD3097" i="6" s="1"/>
  <c r="BB3098" i="6"/>
  <c r="BD3098" i="6" s="1"/>
  <c r="BB3099" i="6"/>
  <c r="BD3099" i="6" s="1"/>
  <c r="BB3100" i="6"/>
  <c r="BD3100" i="6" s="1"/>
  <c r="BB3101" i="6"/>
  <c r="BD3101" i="6" s="1"/>
  <c r="BB3102" i="6"/>
  <c r="BD3102" i="6" s="1"/>
  <c r="BB3103" i="6"/>
  <c r="BD3103" i="6" s="1"/>
  <c r="BB3104" i="6"/>
  <c r="BD3104" i="6" s="1"/>
  <c r="BB3041" i="6"/>
  <c r="BD3041" i="6" s="1"/>
  <c r="BB3042" i="6"/>
  <c r="BD3042" i="6" s="1"/>
  <c r="BB3043" i="6"/>
  <c r="BD3043" i="6" s="1"/>
  <c r="BB3044" i="6"/>
  <c r="BD3044" i="6" s="1"/>
  <c r="BB3045" i="6"/>
  <c r="BD3045" i="6" s="1"/>
  <c r="BB3046" i="6"/>
  <c r="BD3046" i="6" s="1"/>
  <c r="BB3047" i="6"/>
  <c r="BD3047" i="6" s="1"/>
  <c r="BB3048" i="6"/>
  <c r="BD3048" i="6" s="1"/>
  <c r="BB3049" i="6"/>
  <c r="BD3049" i="6" s="1"/>
  <c r="BB3050" i="6"/>
  <c r="BD3050" i="6" s="1"/>
  <c r="BB3051" i="6"/>
  <c r="BD3051" i="6" s="1"/>
  <c r="BB3052" i="6"/>
  <c r="BD3052" i="6" s="1"/>
  <c r="BB3053" i="6"/>
  <c r="BD3053" i="6" s="1"/>
  <c r="BB3054" i="6"/>
  <c r="BD3054" i="6" s="1"/>
  <c r="BB3055" i="6"/>
  <c r="BD3055" i="6" s="1"/>
  <c r="BB3056" i="6"/>
  <c r="BD3056" i="6" s="1"/>
  <c r="BB3057" i="6"/>
  <c r="BD3057" i="6" s="1"/>
  <c r="BB3058" i="6"/>
  <c r="BD3058" i="6" s="1"/>
  <c r="BB3059" i="6"/>
  <c r="BD3059" i="6" s="1"/>
  <c r="BB3060" i="6"/>
  <c r="BD3060" i="6" s="1"/>
  <c r="BB3061" i="6"/>
  <c r="BD3061" i="6" s="1"/>
  <c r="BB3062" i="6"/>
  <c r="BD3062" i="6" s="1"/>
  <c r="BB3063" i="6"/>
  <c r="BD3063" i="6" s="1"/>
  <c r="BB3064" i="6"/>
  <c r="BD3064" i="6" s="1"/>
  <c r="BB3065" i="6"/>
  <c r="BD3065" i="6" s="1"/>
  <c r="BB3066" i="6"/>
  <c r="BD3066" i="6" s="1"/>
  <c r="BB3067" i="6"/>
  <c r="BD3067" i="6" s="1"/>
  <c r="BB3068" i="6"/>
  <c r="BD3068" i="6" s="1"/>
  <c r="BB3069" i="6"/>
  <c r="BD3069" i="6" s="1"/>
  <c r="BB3070" i="6"/>
  <c r="BD3070" i="6" s="1"/>
  <c r="BB3071" i="6"/>
  <c r="BD3071" i="6" s="1"/>
  <c r="BB3072" i="6"/>
  <c r="BD3072" i="6" s="1"/>
  <c r="BB3009" i="6"/>
  <c r="BD3009" i="6" s="1"/>
  <c r="BB3010" i="6"/>
  <c r="BD3010" i="6" s="1"/>
  <c r="BB3011" i="6"/>
  <c r="BD3011" i="6" s="1"/>
  <c r="BB3012" i="6"/>
  <c r="BD3012" i="6" s="1"/>
  <c r="BB3013" i="6"/>
  <c r="BD3013" i="6" s="1"/>
  <c r="BB3014" i="6"/>
  <c r="BD3014" i="6" s="1"/>
  <c r="BB3015" i="6"/>
  <c r="BD3015" i="6" s="1"/>
  <c r="BB3016" i="6"/>
  <c r="BD3016" i="6" s="1"/>
  <c r="BB3017" i="6"/>
  <c r="BD3017" i="6" s="1"/>
  <c r="BB3018" i="6"/>
  <c r="BD3018" i="6" s="1"/>
  <c r="BB3019" i="6"/>
  <c r="BD3019" i="6" s="1"/>
  <c r="BB3020" i="6"/>
  <c r="BD3020" i="6" s="1"/>
  <c r="BB3021" i="6"/>
  <c r="BD3021" i="6" s="1"/>
  <c r="BB3022" i="6"/>
  <c r="BD3022" i="6" s="1"/>
  <c r="BB3023" i="6"/>
  <c r="BD3023" i="6" s="1"/>
  <c r="BB3024" i="6"/>
  <c r="BD3024" i="6" s="1"/>
  <c r="BB3025" i="6"/>
  <c r="BD3025" i="6" s="1"/>
  <c r="BB3026" i="6"/>
  <c r="BD3026" i="6" s="1"/>
  <c r="BB3027" i="6"/>
  <c r="BD3027" i="6" s="1"/>
  <c r="BB3028" i="6"/>
  <c r="BD3028" i="6" s="1"/>
  <c r="BB3029" i="6"/>
  <c r="BD3029" i="6" s="1"/>
  <c r="BB3030" i="6"/>
  <c r="BD3030" i="6" s="1"/>
  <c r="BB3031" i="6"/>
  <c r="BD3031" i="6" s="1"/>
  <c r="BB3032" i="6"/>
  <c r="BD3032" i="6" s="1"/>
  <c r="BB3033" i="6"/>
  <c r="BD3033" i="6" s="1"/>
  <c r="BB3034" i="6"/>
  <c r="BD3034" i="6" s="1"/>
  <c r="BB3035" i="6"/>
  <c r="BD3035" i="6" s="1"/>
  <c r="BB3036" i="6"/>
  <c r="BD3036" i="6" s="1"/>
  <c r="BB3037" i="6"/>
  <c r="BD3037" i="6" s="1"/>
  <c r="BB3038" i="6"/>
  <c r="BD3038" i="6" s="1"/>
  <c r="BB3039" i="6"/>
  <c r="BD3039" i="6" s="1"/>
  <c r="BB3040" i="6"/>
  <c r="BD3040" i="6" s="1"/>
  <c r="BB2977" i="6"/>
  <c r="BD2977" i="6" s="1"/>
  <c r="BB2978" i="6"/>
  <c r="BD2978" i="6" s="1"/>
  <c r="BB2979" i="6"/>
  <c r="BD2979" i="6" s="1"/>
  <c r="BB2980" i="6"/>
  <c r="BD2980" i="6" s="1"/>
  <c r="BB2981" i="6"/>
  <c r="BD2981" i="6" s="1"/>
  <c r="BB2982" i="6"/>
  <c r="BD2982" i="6" s="1"/>
  <c r="BB2983" i="6"/>
  <c r="BD2983" i="6" s="1"/>
  <c r="BB2984" i="6"/>
  <c r="BD2984" i="6" s="1"/>
  <c r="BB2985" i="6"/>
  <c r="BD2985" i="6" s="1"/>
  <c r="BB2986" i="6"/>
  <c r="BD2986" i="6" s="1"/>
  <c r="BB2987" i="6"/>
  <c r="BD2987" i="6" s="1"/>
  <c r="BB2988" i="6"/>
  <c r="BD2988" i="6" s="1"/>
  <c r="BB2989" i="6"/>
  <c r="BD2989" i="6" s="1"/>
  <c r="BB2990" i="6"/>
  <c r="BD2990" i="6" s="1"/>
  <c r="BB2991" i="6"/>
  <c r="BD2991" i="6" s="1"/>
  <c r="BB2992" i="6"/>
  <c r="BD2992" i="6" s="1"/>
  <c r="BB2993" i="6"/>
  <c r="BD2993" i="6" s="1"/>
  <c r="BB2994" i="6"/>
  <c r="BD2994" i="6" s="1"/>
  <c r="BB2995" i="6"/>
  <c r="BD2995" i="6" s="1"/>
  <c r="BB2996" i="6"/>
  <c r="BD2996" i="6" s="1"/>
  <c r="BB2997" i="6"/>
  <c r="BD2997" i="6" s="1"/>
  <c r="BB2998" i="6"/>
  <c r="BD2998" i="6" s="1"/>
  <c r="BB2999" i="6"/>
  <c r="BD2999" i="6" s="1"/>
  <c r="BB3000" i="6"/>
  <c r="BD3000" i="6" s="1"/>
  <c r="BB3001" i="6"/>
  <c r="BD3001" i="6" s="1"/>
  <c r="BB3002" i="6"/>
  <c r="BD3002" i="6" s="1"/>
  <c r="BB3003" i="6"/>
  <c r="BD3003" i="6" s="1"/>
  <c r="BB3004" i="6"/>
  <c r="BD3004" i="6" s="1"/>
  <c r="BB3005" i="6"/>
  <c r="BD3005" i="6" s="1"/>
  <c r="BB3006" i="6"/>
  <c r="BD3006" i="6" s="1"/>
  <c r="BB3007" i="6"/>
  <c r="BD3007" i="6" s="1"/>
  <c r="BB3008" i="6"/>
  <c r="BD3008" i="6" s="1"/>
  <c r="BB2945" i="6"/>
  <c r="BD2945" i="6" s="1"/>
  <c r="BB2946" i="6"/>
  <c r="BD2946" i="6" s="1"/>
  <c r="BB2947" i="6"/>
  <c r="BD2947" i="6" s="1"/>
  <c r="BB2948" i="6"/>
  <c r="BD2948" i="6" s="1"/>
  <c r="BB2949" i="6"/>
  <c r="BD2949" i="6" s="1"/>
  <c r="BB2950" i="6"/>
  <c r="BD2950" i="6" s="1"/>
  <c r="BB2951" i="6"/>
  <c r="BD2951" i="6" s="1"/>
  <c r="BB2952" i="6"/>
  <c r="BD2952" i="6" s="1"/>
  <c r="BB2953" i="6"/>
  <c r="BD2953" i="6" s="1"/>
  <c r="BB2954" i="6"/>
  <c r="BD2954" i="6" s="1"/>
  <c r="BB2955" i="6"/>
  <c r="BD2955" i="6" s="1"/>
  <c r="BB2956" i="6"/>
  <c r="BD2956" i="6" s="1"/>
  <c r="BB2957" i="6"/>
  <c r="BD2957" i="6" s="1"/>
  <c r="BB2958" i="6"/>
  <c r="BD2958" i="6" s="1"/>
  <c r="BB2959" i="6"/>
  <c r="BD2959" i="6" s="1"/>
  <c r="BB2960" i="6"/>
  <c r="BD2960" i="6" s="1"/>
  <c r="BB2961" i="6"/>
  <c r="BD2961" i="6" s="1"/>
  <c r="BB2962" i="6"/>
  <c r="BD2962" i="6" s="1"/>
  <c r="BB2963" i="6"/>
  <c r="BD2963" i="6" s="1"/>
  <c r="BB2964" i="6"/>
  <c r="BD2964" i="6" s="1"/>
  <c r="BB2965" i="6"/>
  <c r="BD2965" i="6" s="1"/>
  <c r="BB2966" i="6"/>
  <c r="BD2966" i="6" s="1"/>
  <c r="BB2967" i="6"/>
  <c r="BD2967" i="6" s="1"/>
  <c r="BB2968" i="6"/>
  <c r="BD2968" i="6" s="1"/>
  <c r="BB2969" i="6"/>
  <c r="BD2969" i="6" s="1"/>
  <c r="BB2970" i="6"/>
  <c r="BD2970" i="6" s="1"/>
  <c r="BB2971" i="6"/>
  <c r="BD2971" i="6" s="1"/>
  <c r="BB2972" i="6"/>
  <c r="BD2972" i="6" s="1"/>
  <c r="BB2973" i="6"/>
  <c r="BD2973" i="6" s="1"/>
  <c r="BB2974" i="6"/>
  <c r="BD2974" i="6" s="1"/>
  <c r="BB2975" i="6"/>
  <c r="BD2975" i="6" s="1"/>
  <c r="BB2976" i="6"/>
  <c r="BD2976" i="6" s="1"/>
  <c r="BB2913" i="6"/>
  <c r="BD2913" i="6" s="1"/>
  <c r="BB2914" i="6"/>
  <c r="BD2914" i="6" s="1"/>
  <c r="BB2915" i="6"/>
  <c r="BD2915" i="6" s="1"/>
  <c r="BB2916" i="6"/>
  <c r="BD2916" i="6" s="1"/>
  <c r="BB2917" i="6"/>
  <c r="BD2917" i="6" s="1"/>
  <c r="BB2918" i="6"/>
  <c r="BD2918" i="6" s="1"/>
  <c r="BB2919" i="6"/>
  <c r="BD2919" i="6" s="1"/>
  <c r="BB2920" i="6"/>
  <c r="BD2920" i="6" s="1"/>
  <c r="BB2921" i="6"/>
  <c r="BD2921" i="6" s="1"/>
  <c r="BB2922" i="6"/>
  <c r="BD2922" i="6" s="1"/>
  <c r="BB2923" i="6"/>
  <c r="BD2923" i="6" s="1"/>
  <c r="BB2924" i="6"/>
  <c r="BD2924" i="6" s="1"/>
  <c r="BB2925" i="6"/>
  <c r="BD2925" i="6" s="1"/>
  <c r="BB2926" i="6"/>
  <c r="BD2926" i="6" s="1"/>
  <c r="BB2927" i="6"/>
  <c r="BD2927" i="6" s="1"/>
  <c r="BB2928" i="6"/>
  <c r="BD2928" i="6" s="1"/>
  <c r="BB2929" i="6"/>
  <c r="BD2929" i="6" s="1"/>
  <c r="BB2930" i="6"/>
  <c r="BD2930" i="6" s="1"/>
  <c r="BB2931" i="6"/>
  <c r="BD2931" i="6" s="1"/>
  <c r="BB2932" i="6"/>
  <c r="BD2932" i="6" s="1"/>
  <c r="BB2933" i="6"/>
  <c r="BD2933" i="6" s="1"/>
  <c r="BB2934" i="6"/>
  <c r="BD2934" i="6" s="1"/>
  <c r="BB2935" i="6"/>
  <c r="BD2935" i="6" s="1"/>
  <c r="BB2936" i="6"/>
  <c r="BD2936" i="6" s="1"/>
  <c r="BB2937" i="6"/>
  <c r="BD2937" i="6" s="1"/>
  <c r="BB2938" i="6"/>
  <c r="BD2938" i="6" s="1"/>
  <c r="BB2939" i="6"/>
  <c r="BD2939" i="6" s="1"/>
  <c r="BB2940" i="6"/>
  <c r="BD2940" i="6" s="1"/>
  <c r="BB2941" i="6"/>
  <c r="BD2941" i="6" s="1"/>
  <c r="BB2942" i="6"/>
  <c r="BD2942" i="6" s="1"/>
  <c r="BB2943" i="6"/>
  <c r="BD2943" i="6" s="1"/>
  <c r="BB2944" i="6"/>
  <c r="BD2944" i="6" s="1"/>
  <c r="BB2881" i="6"/>
  <c r="BD2881" i="6" s="1"/>
  <c r="BB2882" i="6"/>
  <c r="BD2882" i="6" s="1"/>
  <c r="BB2883" i="6"/>
  <c r="BD2883" i="6" s="1"/>
  <c r="BB2884" i="6"/>
  <c r="BD2884" i="6" s="1"/>
  <c r="BB2885" i="6"/>
  <c r="BD2885" i="6" s="1"/>
  <c r="BB2886" i="6"/>
  <c r="BD2886" i="6" s="1"/>
  <c r="BB2887" i="6"/>
  <c r="BD2887" i="6" s="1"/>
  <c r="BB2888" i="6"/>
  <c r="BD2888" i="6" s="1"/>
  <c r="BB2889" i="6"/>
  <c r="BD2889" i="6" s="1"/>
  <c r="BB2890" i="6"/>
  <c r="BD2890" i="6" s="1"/>
  <c r="BB2891" i="6"/>
  <c r="BD2891" i="6" s="1"/>
  <c r="BB2892" i="6"/>
  <c r="BD2892" i="6" s="1"/>
  <c r="BB2893" i="6"/>
  <c r="BD2893" i="6" s="1"/>
  <c r="BB2894" i="6"/>
  <c r="BD2894" i="6" s="1"/>
  <c r="BB2895" i="6"/>
  <c r="BD2895" i="6" s="1"/>
  <c r="BB2896" i="6"/>
  <c r="BD2896" i="6" s="1"/>
  <c r="BB2897" i="6"/>
  <c r="BD2897" i="6" s="1"/>
  <c r="BB2898" i="6"/>
  <c r="BD2898" i="6" s="1"/>
  <c r="BB2899" i="6"/>
  <c r="BD2899" i="6" s="1"/>
  <c r="BB2900" i="6"/>
  <c r="BD2900" i="6" s="1"/>
  <c r="BB2901" i="6"/>
  <c r="BD2901" i="6" s="1"/>
  <c r="BB2902" i="6"/>
  <c r="BD2902" i="6" s="1"/>
  <c r="BB2903" i="6"/>
  <c r="BD2903" i="6" s="1"/>
  <c r="BB2904" i="6"/>
  <c r="BD2904" i="6" s="1"/>
  <c r="BB2905" i="6"/>
  <c r="BD2905" i="6" s="1"/>
  <c r="BB2906" i="6"/>
  <c r="BD2906" i="6" s="1"/>
  <c r="BB2907" i="6"/>
  <c r="BD2907" i="6" s="1"/>
  <c r="BB2908" i="6"/>
  <c r="BD2908" i="6" s="1"/>
  <c r="BB2909" i="6"/>
  <c r="BD2909" i="6" s="1"/>
  <c r="BB2910" i="6"/>
  <c r="BD2910" i="6" s="1"/>
  <c r="BB2911" i="6"/>
  <c r="BD2911" i="6" s="1"/>
  <c r="BB2912" i="6"/>
  <c r="BD2912" i="6" s="1"/>
  <c r="BB2849" i="6"/>
  <c r="BD2849" i="6" s="1"/>
  <c r="BB2850" i="6"/>
  <c r="BD2850" i="6" s="1"/>
  <c r="BB2851" i="6"/>
  <c r="BD2851" i="6" s="1"/>
  <c r="BB2852" i="6"/>
  <c r="BD2852" i="6" s="1"/>
  <c r="BB2853" i="6"/>
  <c r="BD2853" i="6" s="1"/>
  <c r="BB2854" i="6"/>
  <c r="BD2854" i="6" s="1"/>
  <c r="BB2855" i="6"/>
  <c r="BD2855" i="6" s="1"/>
  <c r="BB2856" i="6"/>
  <c r="BD2856" i="6" s="1"/>
  <c r="BB2857" i="6"/>
  <c r="BD2857" i="6" s="1"/>
  <c r="BB2858" i="6"/>
  <c r="BD2858" i="6" s="1"/>
  <c r="BB2859" i="6"/>
  <c r="BD2859" i="6" s="1"/>
  <c r="BB2860" i="6"/>
  <c r="BD2860" i="6" s="1"/>
  <c r="BB2861" i="6"/>
  <c r="BD2861" i="6" s="1"/>
  <c r="BB2862" i="6"/>
  <c r="BD2862" i="6" s="1"/>
  <c r="BB2863" i="6"/>
  <c r="BD2863" i="6" s="1"/>
  <c r="BB2864" i="6"/>
  <c r="BD2864" i="6" s="1"/>
  <c r="BB2865" i="6"/>
  <c r="BD2865" i="6" s="1"/>
  <c r="BB2866" i="6"/>
  <c r="BD2866" i="6" s="1"/>
  <c r="BB2867" i="6"/>
  <c r="BD2867" i="6" s="1"/>
  <c r="BB2868" i="6"/>
  <c r="BD2868" i="6" s="1"/>
  <c r="BB2869" i="6"/>
  <c r="BD2869" i="6" s="1"/>
  <c r="BB2870" i="6"/>
  <c r="BD2870" i="6" s="1"/>
  <c r="BB2871" i="6"/>
  <c r="BD2871" i="6" s="1"/>
  <c r="BB2872" i="6"/>
  <c r="BD2872" i="6" s="1"/>
  <c r="BB2873" i="6"/>
  <c r="BD2873" i="6" s="1"/>
  <c r="BB2874" i="6"/>
  <c r="BD2874" i="6" s="1"/>
  <c r="BB2875" i="6"/>
  <c r="BD2875" i="6" s="1"/>
  <c r="BB2876" i="6"/>
  <c r="BD2876" i="6" s="1"/>
  <c r="BB2877" i="6"/>
  <c r="BD2877" i="6" s="1"/>
  <c r="BB2878" i="6"/>
  <c r="BD2878" i="6" s="1"/>
  <c r="BB2879" i="6"/>
  <c r="BD2879" i="6" s="1"/>
  <c r="BB2880" i="6"/>
  <c r="BD2880" i="6" s="1"/>
  <c r="BB2817" i="6"/>
  <c r="BD2817" i="6" s="1"/>
  <c r="BB2818" i="6"/>
  <c r="BD2818" i="6" s="1"/>
  <c r="BB2819" i="6"/>
  <c r="BD2819" i="6" s="1"/>
  <c r="BB2820" i="6"/>
  <c r="BD2820" i="6" s="1"/>
  <c r="BB2821" i="6"/>
  <c r="BD2821" i="6" s="1"/>
  <c r="BB2822" i="6"/>
  <c r="BD2822" i="6" s="1"/>
  <c r="BB2823" i="6"/>
  <c r="BD2823" i="6" s="1"/>
  <c r="BB2824" i="6"/>
  <c r="BD2824" i="6" s="1"/>
  <c r="BB2825" i="6"/>
  <c r="BD2825" i="6" s="1"/>
  <c r="BB2826" i="6"/>
  <c r="BD2826" i="6" s="1"/>
  <c r="BB2827" i="6"/>
  <c r="BD2827" i="6" s="1"/>
  <c r="BB2828" i="6"/>
  <c r="BD2828" i="6" s="1"/>
  <c r="BB2829" i="6"/>
  <c r="BD2829" i="6" s="1"/>
  <c r="BB2830" i="6"/>
  <c r="BD2830" i="6" s="1"/>
  <c r="BB2831" i="6"/>
  <c r="BD2831" i="6" s="1"/>
  <c r="BB2832" i="6"/>
  <c r="BD2832" i="6" s="1"/>
  <c r="BB2833" i="6"/>
  <c r="BD2833" i="6" s="1"/>
  <c r="BB2834" i="6"/>
  <c r="BD2834" i="6" s="1"/>
  <c r="BB2835" i="6"/>
  <c r="BD2835" i="6" s="1"/>
  <c r="BB2836" i="6"/>
  <c r="BD2836" i="6" s="1"/>
  <c r="BB2837" i="6"/>
  <c r="BD2837" i="6" s="1"/>
  <c r="BB2838" i="6"/>
  <c r="BD2838" i="6" s="1"/>
  <c r="BB2839" i="6"/>
  <c r="BD2839" i="6" s="1"/>
  <c r="BB2840" i="6"/>
  <c r="BD2840" i="6" s="1"/>
  <c r="BB2841" i="6"/>
  <c r="BD2841" i="6" s="1"/>
  <c r="BB2842" i="6"/>
  <c r="BD2842" i="6" s="1"/>
  <c r="BB2843" i="6"/>
  <c r="BD2843" i="6" s="1"/>
  <c r="BB2844" i="6"/>
  <c r="BD2844" i="6" s="1"/>
  <c r="BB2845" i="6"/>
  <c r="BD2845" i="6" s="1"/>
  <c r="BB2846" i="6"/>
  <c r="BD2846" i="6" s="1"/>
  <c r="BB2847" i="6"/>
  <c r="BD2847" i="6" s="1"/>
  <c r="BB2848" i="6"/>
  <c r="BD2848" i="6" s="1"/>
  <c r="BB2785" i="6"/>
  <c r="BD2785" i="6" s="1"/>
  <c r="BB2786" i="6"/>
  <c r="BD2786" i="6" s="1"/>
  <c r="BB2787" i="6"/>
  <c r="BD2787" i="6" s="1"/>
  <c r="BB2788" i="6"/>
  <c r="BD2788" i="6" s="1"/>
  <c r="BB2789" i="6"/>
  <c r="BD2789" i="6" s="1"/>
  <c r="BB2790" i="6"/>
  <c r="BD2790" i="6" s="1"/>
  <c r="BB2791" i="6"/>
  <c r="BD2791" i="6" s="1"/>
  <c r="BB2792" i="6"/>
  <c r="BD2792" i="6" s="1"/>
  <c r="BB2793" i="6"/>
  <c r="BD2793" i="6" s="1"/>
  <c r="BB2794" i="6"/>
  <c r="BD2794" i="6" s="1"/>
  <c r="BB2795" i="6"/>
  <c r="BD2795" i="6" s="1"/>
  <c r="BB2796" i="6"/>
  <c r="BD2796" i="6" s="1"/>
  <c r="BB2797" i="6"/>
  <c r="BD2797" i="6" s="1"/>
  <c r="BB2798" i="6"/>
  <c r="BD2798" i="6" s="1"/>
  <c r="BB2799" i="6"/>
  <c r="BD2799" i="6" s="1"/>
  <c r="BB2800" i="6"/>
  <c r="BD2800" i="6" s="1"/>
  <c r="BB2801" i="6"/>
  <c r="BD2801" i="6" s="1"/>
  <c r="BB2802" i="6"/>
  <c r="BD2802" i="6" s="1"/>
  <c r="BB2803" i="6"/>
  <c r="BD2803" i="6" s="1"/>
  <c r="BB2804" i="6"/>
  <c r="BD2804" i="6" s="1"/>
  <c r="BB2805" i="6"/>
  <c r="BD2805" i="6" s="1"/>
  <c r="BB2806" i="6"/>
  <c r="BD2806" i="6" s="1"/>
  <c r="BB2807" i="6"/>
  <c r="BD2807" i="6" s="1"/>
  <c r="BB2808" i="6"/>
  <c r="BD2808" i="6" s="1"/>
  <c r="BB2809" i="6"/>
  <c r="BD2809" i="6" s="1"/>
  <c r="BB2810" i="6"/>
  <c r="BD2810" i="6" s="1"/>
  <c r="BB2811" i="6"/>
  <c r="BD2811" i="6" s="1"/>
  <c r="BB2812" i="6"/>
  <c r="BD2812" i="6" s="1"/>
  <c r="BB2813" i="6"/>
  <c r="BD2813" i="6" s="1"/>
  <c r="BB2814" i="6"/>
  <c r="BD2814" i="6" s="1"/>
  <c r="BB2815" i="6"/>
  <c r="BD2815" i="6" s="1"/>
  <c r="BB2816" i="6"/>
  <c r="BD2816" i="6" s="1"/>
  <c r="BB2753" i="6"/>
  <c r="BD2753" i="6" s="1"/>
  <c r="BB2754" i="6"/>
  <c r="BD2754" i="6" s="1"/>
  <c r="BB2755" i="6"/>
  <c r="BD2755" i="6" s="1"/>
  <c r="BB2756" i="6"/>
  <c r="BD2756" i="6" s="1"/>
  <c r="BB2757" i="6"/>
  <c r="BD2757" i="6" s="1"/>
  <c r="BB2758" i="6"/>
  <c r="BD2758" i="6" s="1"/>
  <c r="BB2759" i="6"/>
  <c r="BD2759" i="6" s="1"/>
  <c r="BB2760" i="6"/>
  <c r="BD2760" i="6" s="1"/>
  <c r="BB2761" i="6"/>
  <c r="BD2761" i="6" s="1"/>
  <c r="BB2762" i="6"/>
  <c r="BD2762" i="6" s="1"/>
  <c r="BB2763" i="6"/>
  <c r="BD2763" i="6" s="1"/>
  <c r="BB2764" i="6"/>
  <c r="BD2764" i="6" s="1"/>
  <c r="BB2765" i="6"/>
  <c r="BD2765" i="6" s="1"/>
  <c r="BB2766" i="6"/>
  <c r="BD2766" i="6" s="1"/>
  <c r="BB2767" i="6"/>
  <c r="BD2767" i="6" s="1"/>
  <c r="BB2768" i="6"/>
  <c r="BD2768" i="6" s="1"/>
  <c r="BB2769" i="6"/>
  <c r="BD2769" i="6" s="1"/>
  <c r="BB2770" i="6"/>
  <c r="BD2770" i="6" s="1"/>
  <c r="BB2771" i="6"/>
  <c r="BD2771" i="6" s="1"/>
  <c r="BB2772" i="6"/>
  <c r="BD2772" i="6" s="1"/>
  <c r="BB2773" i="6"/>
  <c r="BD2773" i="6" s="1"/>
  <c r="BB2774" i="6"/>
  <c r="BD2774" i="6" s="1"/>
  <c r="BB2775" i="6"/>
  <c r="BD2775" i="6" s="1"/>
  <c r="BB2776" i="6"/>
  <c r="BD2776" i="6" s="1"/>
  <c r="BB2777" i="6"/>
  <c r="BD2777" i="6" s="1"/>
  <c r="BB2778" i="6"/>
  <c r="BD2778" i="6" s="1"/>
  <c r="BB2779" i="6"/>
  <c r="BD2779" i="6" s="1"/>
  <c r="BB2780" i="6"/>
  <c r="BD2780" i="6" s="1"/>
  <c r="BB2781" i="6"/>
  <c r="BD2781" i="6" s="1"/>
  <c r="BB2782" i="6"/>
  <c r="BD2782" i="6" s="1"/>
  <c r="BB2783" i="6"/>
  <c r="BD2783" i="6" s="1"/>
  <c r="BB2784" i="6"/>
  <c r="BD2784" i="6" s="1"/>
  <c r="BB2721" i="6"/>
  <c r="BD2721" i="6" s="1"/>
  <c r="BB2722" i="6"/>
  <c r="BD2722" i="6" s="1"/>
  <c r="BB2723" i="6"/>
  <c r="BD2723" i="6" s="1"/>
  <c r="BB2724" i="6"/>
  <c r="BD2724" i="6" s="1"/>
  <c r="BB2725" i="6"/>
  <c r="BD2725" i="6" s="1"/>
  <c r="BB2726" i="6"/>
  <c r="BD2726" i="6" s="1"/>
  <c r="BB2727" i="6"/>
  <c r="BD2727" i="6" s="1"/>
  <c r="BB2728" i="6"/>
  <c r="BD2728" i="6" s="1"/>
  <c r="BB2729" i="6"/>
  <c r="BD2729" i="6" s="1"/>
  <c r="BB2730" i="6"/>
  <c r="BD2730" i="6" s="1"/>
  <c r="BB2731" i="6"/>
  <c r="BD2731" i="6" s="1"/>
  <c r="BB2732" i="6"/>
  <c r="BD2732" i="6" s="1"/>
  <c r="BB2733" i="6"/>
  <c r="BD2733" i="6" s="1"/>
  <c r="BB2734" i="6"/>
  <c r="BD2734" i="6" s="1"/>
  <c r="BB2735" i="6"/>
  <c r="BD2735" i="6" s="1"/>
  <c r="BB2736" i="6"/>
  <c r="BD2736" i="6" s="1"/>
  <c r="BB2737" i="6"/>
  <c r="BD2737" i="6" s="1"/>
  <c r="BB2738" i="6"/>
  <c r="BD2738" i="6" s="1"/>
  <c r="BB2739" i="6"/>
  <c r="BD2739" i="6" s="1"/>
  <c r="BB2740" i="6"/>
  <c r="BD2740" i="6" s="1"/>
  <c r="BB2741" i="6"/>
  <c r="BD2741" i="6" s="1"/>
  <c r="BB2742" i="6"/>
  <c r="BD2742" i="6" s="1"/>
  <c r="BB2743" i="6"/>
  <c r="BD2743" i="6" s="1"/>
  <c r="BB2744" i="6"/>
  <c r="BD2744" i="6" s="1"/>
  <c r="BB2745" i="6"/>
  <c r="BD2745" i="6" s="1"/>
  <c r="BB2746" i="6"/>
  <c r="BD2746" i="6" s="1"/>
  <c r="BB2747" i="6"/>
  <c r="BD2747" i="6" s="1"/>
  <c r="BB2748" i="6"/>
  <c r="BD2748" i="6" s="1"/>
  <c r="BB2749" i="6"/>
  <c r="BD2749" i="6" s="1"/>
  <c r="BB2750" i="6"/>
  <c r="BD2750" i="6" s="1"/>
  <c r="BB2751" i="6"/>
  <c r="BD2751" i="6" s="1"/>
  <c r="BB2752" i="6"/>
  <c r="BD2752" i="6" s="1"/>
  <c r="BB2689" i="6"/>
  <c r="BD2689" i="6" s="1"/>
  <c r="BB2690" i="6"/>
  <c r="BD2690" i="6" s="1"/>
  <c r="BB2691" i="6"/>
  <c r="BD2691" i="6" s="1"/>
  <c r="BB2692" i="6"/>
  <c r="BD2692" i="6" s="1"/>
  <c r="BB2693" i="6"/>
  <c r="BD2693" i="6" s="1"/>
  <c r="BB2694" i="6"/>
  <c r="BD2694" i="6" s="1"/>
  <c r="BB2695" i="6"/>
  <c r="BD2695" i="6" s="1"/>
  <c r="BB2696" i="6"/>
  <c r="BD2696" i="6" s="1"/>
  <c r="BB2697" i="6"/>
  <c r="BD2697" i="6" s="1"/>
  <c r="BB2698" i="6"/>
  <c r="BD2698" i="6" s="1"/>
  <c r="BB2699" i="6"/>
  <c r="BD2699" i="6" s="1"/>
  <c r="BB2700" i="6"/>
  <c r="BD2700" i="6" s="1"/>
  <c r="BB2701" i="6"/>
  <c r="BD2701" i="6" s="1"/>
  <c r="BB2702" i="6"/>
  <c r="BD2702" i="6" s="1"/>
  <c r="BB2703" i="6"/>
  <c r="BD2703" i="6" s="1"/>
  <c r="BB2704" i="6"/>
  <c r="BD2704" i="6" s="1"/>
  <c r="BB2705" i="6"/>
  <c r="BD2705" i="6" s="1"/>
  <c r="BB2706" i="6"/>
  <c r="BD2706" i="6" s="1"/>
  <c r="BB2707" i="6"/>
  <c r="BD2707" i="6" s="1"/>
  <c r="BB2708" i="6"/>
  <c r="BD2708" i="6" s="1"/>
  <c r="BB2709" i="6"/>
  <c r="BD2709" i="6" s="1"/>
  <c r="BB2710" i="6"/>
  <c r="BD2710" i="6" s="1"/>
  <c r="BB2711" i="6"/>
  <c r="BD2711" i="6" s="1"/>
  <c r="BB2712" i="6"/>
  <c r="BD2712" i="6" s="1"/>
  <c r="BB2713" i="6"/>
  <c r="BD2713" i="6" s="1"/>
  <c r="BB2714" i="6"/>
  <c r="BD2714" i="6" s="1"/>
  <c r="BB2715" i="6"/>
  <c r="BD2715" i="6" s="1"/>
  <c r="BB2716" i="6"/>
  <c r="BD2716" i="6" s="1"/>
  <c r="BB2717" i="6"/>
  <c r="BD2717" i="6" s="1"/>
  <c r="BB2718" i="6"/>
  <c r="BD2718" i="6" s="1"/>
  <c r="BB2719" i="6"/>
  <c r="BD2719" i="6" s="1"/>
  <c r="BB2720" i="6"/>
  <c r="BD2720" i="6" s="1"/>
  <c r="BB2657" i="6"/>
  <c r="BD2657" i="6" s="1"/>
  <c r="BB2658" i="6"/>
  <c r="BD2658" i="6" s="1"/>
  <c r="BB2659" i="6"/>
  <c r="BD2659" i="6" s="1"/>
  <c r="BB2660" i="6"/>
  <c r="BD2660" i="6" s="1"/>
  <c r="BB2661" i="6"/>
  <c r="BD2661" i="6" s="1"/>
  <c r="BB2662" i="6"/>
  <c r="BD2662" i="6" s="1"/>
  <c r="BB2663" i="6"/>
  <c r="BD2663" i="6" s="1"/>
  <c r="BB2664" i="6"/>
  <c r="BD2664" i="6" s="1"/>
  <c r="BB2665" i="6"/>
  <c r="BD2665" i="6" s="1"/>
  <c r="BB2666" i="6"/>
  <c r="BD2666" i="6" s="1"/>
  <c r="BB2667" i="6"/>
  <c r="BD2667" i="6" s="1"/>
  <c r="BB2668" i="6"/>
  <c r="BD2668" i="6" s="1"/>
  <c r="BB2669" i="6"/>
  <c r="BD2669" i="6" s="1"/>
  <c r="BB2670" i="6"/>
  <c r="BD2670" i="6" s="1"/>
  <c r="BB2671" i="6"/>
  <c r="BD2671" i="6" s="1"/>
  <c r="BB2672" i="6"/>
  <c r="BD2672" i="6" s="1"/>
  <c r="BB2673" i="6"/>
  <c r="BD2673" i="6" s="1"/>
  <c r="BB2674" i="6"/>
  <c r="BD2674" i="6" s="1"/>
  <c r="BB2675" i="6"/>
  <c r="BD2675" i="6" s="1"/>
  <c r="BB2676" i="6"/>
  <c r="BD2676" i="6" s="1"/>
  <c r="BB2677" i="6"/>
  <c r="BD2677" i="6" s="1"/>
  <c r="BB2678" i="6"/>
  <c r="BD2678" i="6" s="1"/>
  <c r="BB2679" i="6"/>
  <c r="BD2679" i="6" s="1"/>
  <c r="BB2680" i="6"/>
  <c r="BD2680" i="6" s="1"/>
  <c r="BB2681" i="6"/>
  <c r="BD2681" i="6" s="1"/>
  <c r="BB2682" i="6"/>
  <c r="BD2682" i="6" s="1"/>
  <c r="BB2683" i="6"/>
  <c r="BD2683" i="6" s="1"/>
  <c r="BB2684" i="6"/>
  <c r="BD2684" i="6" s="1"/>
  <c r="BB2685" i="6"/>
  <c r="BD2685" i="6" s="1"/>
  <c r="BB2686" i="6"/>
  <c r="BD2686" i="6" s="1"/>
  <c r="BB2687" i="6"/>
  <c r="BD2687" i="6" s="1"/>
  <c r="BB2688" i="6"/>
  <c r="BD2688" i="6" s="1"/>
  <c r="BB2625" i="6"/>
  <c r="BD2625" i="6" s="1"/>
  <c r="BB2626" i="6"/>
  <c r="BD2626" i="6" s="1"/>
  <c r="BB2627" i="6"/>
  <c r="BD2627" i="6" s="1"/>
  <c r="BB2628" i="6"/>
  <c r="BD2628" i="6" s="1"/>
  <c r="BB2629" i="6"/>
  <c r="BD2629" i="6" s="1"/>
  <c r="BB2630" i="6"/>
  <c r="BD2630" i="6" s="1"/>
  <c r="BB2631" i="6"/>
  <c r="BD2631" i="6" s="1"/>
  <c r="BB2632" i="6"/>
  <c r="BD2632" i="6" s="1"/>
  <c r="BB2633" i="6"/>
  <c r="BD2633" i="6" s="1"/>
  <c r="BB2634" i="6"/>
  <c r="BD2634" i="6" s="1"/>
  <c r="BB2635" i="6"/>
  <c r="BD2635" i="6" s="1"/>
  <c r="BB2636" i="6"/>
  <c r="BD2636" i="6" s="1"/>
  <c r="BB2637" i="6"/>
  <c r="BD2637" i="6" s="1"/>
  <c r="BB2638" i="6"/>
  <c r="BD2638" i="6" s="1"/>
  <c r="BB2639" i="6"/>
  <c r="BD2639" i="6" s="1"/>
  <c r="BB2640" i="6"/>
  <c r="BD2640" i="6" s="1"/>
  <c r="BB2641" i="6"/>
  <c r="BD2641" i="6" s="1"/>
  <c r="BB2642" i="6"/>
  <c r="BD2642" i="6" s="1"/>
  <c r="BB2643" i="6"/>
  <c r="BD2643" i="6" s="1"/>
  <c r="BB2644" i="6"/>
  <c r="BD2644" i="6" s="1"/>
  <c r="BB2645" i="6"/>
  <c r="BD2645" i="6" s="1"/>
  <c r="BB2646" i="6"/>
  <c r="BD2646" i="6" s="1"/>
  <c r="BB2647" i="6"/>
  <c r="BD2647" i="6" s="1"/>
  <c r="BB2648" i="6"/>
  <c r="BD2648" i="6" s="1"/>
  <c r="BB2649" i="6"/>
  <c r="BD2649" i="6" s="1"/>
  <c r="BB2650" i="6"/>
  <c r="BD2650" i="6" s="1"/>
  <c r="BB2651" i="6"/>
  <c r="BD2651" i="6" s="1"/>
  <c r="BB2652" i="6"/>
  <c r="BD2652" i="6" s="1"/>
  <c r="BB2653" i="6"/>
  <c r="BD2653" i="6" s="1"/>
  <c r="BB2654" i="6"/>
  <c r="BD2654" i="6" s="1"/>
  <c r="BB2655" i="6"/>
  <c r="BD2655" i="6" s="1"/>
  <c r="BB2656" i="6"/>
  <c r="BD2656" i="6" s="1"/>
  <c r="BB2593" i="6"/>
  <c r="BD2593" i="6" s="1"/>
  <c r="BB2594" i="6"/>
  <c r="BD2594" i="6" s="1"/>
  <c r="BB2595" i="6"/>
  <c r="BD2595" i="6" s="1"/>
  <c r="BB2596" i="6"/>
  <c r="BD2596" i="6" s="1"/>
  <c r="BB2597" i="6"/>
  <c r="BD2597" i="6" s="1"/>
  <c r="BB2598" i="6"/>
  <c r="BD2598" i="6" s="1"/>
  <c r="BB2599" i="6"/>
  <c r="BD2599" i="6" s="1"/>
  <c r="BB2600" i="6"/>
  <c r="BD2600" i="6" s="1"/>
  <c r="BB2601" i="6"/>
  <c r="BD2601" i="6" s="1"/>
  <c r="BB2602" i="6"/>
  <c r="BD2602" i="6" s="1"/>
  <c r="BB2603" i="6"/>
  <c r="BD2603" i="6" s="1"/>
  <c r="BB2604" i="6"/>
  <c r="BD2604" i="6" s="1"/>
  <c r="BB2605" i="6"/>
  <c r="BD2605" i="6" s="1"/>
  <c r="BB2606" i="6"/>
  <c r="BD2606" i="6" s="1"/>
  <c r="BB2607" i="6"/>
  <c r="BD2607" i="6" s="1"/>
  <c r="BB2608" i="6"/>
  <c r="BD2608" i="6" s="1"/>
  <c r="BB2609" i="6"/>
  <c r="BD2609" i="6" s="1"/>
  <c r="BB2610" i="6"/>
  <c r="BD2610" i="6" s="1"/>
  <c r="BB2611" i="6"/>
  <c r="BD2611" i="6" s="1"/>
  <c r="BB2612" i="6"/>
  <c r="BD2612" i="6" s="1"/>
  <c r="BB2613" i="6"/>
  <c r="BD2613" i="6" s="1"/>
  <c r="BB2614" i="6"/>
  <c r="BD2614" i="6" s="1"/>
  <c r="BB2615" i="6"/>
  <c r="BD2615" i="6" s="1"/>
  <c r="BB2616" i="6"/>
  <c r="BD2616" i="6" s="1"/>
  <c r="BB2617" i="6"/>
  <c r="BD2617" i="6" s="1"/>
  <c r="BB2618" i="6"/>
  <c r="BD2618" i="6" s="1"/>
  <c r="BB2619" i="6"/>
  <c r="BD2619" i="6" s="1"/>
  <c r="BB2620" i="6"/>
  <c r="BD2620" i="6" s="1"/>
  <c r="BB2621" i="6"/>
  <c r="BD2621" i="6" s="1"/>
  <c r="BB2622" i="6"/>
  <c r="BD2622" i="6" s="1"/>
  <c r="BB2623" i="6"/>
  <c r="BD2623" i="6" s="1"/>
  <c r="BB2624" i="6"/>
  <c r="BD2624" i="6" s="1"/>
  <c r="BB2561" i="6"/>
  <c r="BD2561" i="6" s="1"/>
  <c r="BB2562" i="6"/>
  <c r="BD2562" i="6" s="1"/>
  <c r="BB2563" i="6"/>
  <c r="BD2563" i="6" s="1"/>
  <c r="BB2564" i="6"/>
  <c r="BD2564" i="6" s="1"/>
  <c r="BB2565" i="6"/>
  <c r="BD2565" i="6" s="1"/>
  <c r="BB2566" i="6"/>
  <c r="BD2566" i="6" s="1"/>
  <c r="BB2567" i="6"/>
  <c r="BD2567" i="6" s="1"/>
  <c r="BB2568" i="6"/>
  <c r="BD2568" i="6" s="1"/>
  <c r="BB2569" i="6"/>
  <c r="BD2569" i="6" s="1"/>
  <c r="BB2570" i="6"/>
  <c r="BD2570" i="6" s="1"/>
  <c r="BB2571" i="6"/>
  <c r="BD2571" i="6" s="1"/>
  <c r="BB2572" i="6"/>
  <c r="BD2572" i="6" s="1"/>
  <c r="BB2573" i="6"/>
  <c r="BD2573" i="6" s="1"/>
  <c r="BB2574" i="6"/>
  <c r="BD2574" i="6" s="1"/>
  <c r="BB2575" i="6"/>
  <c r="BD2575" i="6" s="1"/>
  <c r="BB2576" i="6"/>
  <c r="BD2576" i="6" s="1"/>
  <c r="BB2577" i="6"/>
  <c r="BD2577" i="6" s="1"/>
  <c r="BB2578" i="6"/>
  <c r="BD2578" i="6" s="1"/>
  <c r="BB2579" i="6"/>
  <c r="BD2579" i="6" s="1"/>
  <c r="BB2580" i="6"/>
  <c r="BD2580" i="6" s="1"/>
  <c r="BB2581" i="6"/>
  <c r="BD2581" i="6" s="1"/>
  <c r="BB2582" i="6"/>
  <c r="BD2582" i="6" s="1"/>
  <c r="BB2583" i="6"/>
  <c r="BD2583" i="6" s="1"/>
  <c r="BB2584" i="6"/>
  <c r="BD2584" i="6" s="1"/>
  <c r="BB2585" i="6"/>
  <c r="BD2585" i="6" s="1"/>
  <c r="BB2586" i="6"/>
  <c r="BD2586" i="6" s="1"/>
  <c r="BB2587" i="6"/>
  <c r="BD2587" i="6" s="1"/>
  <c r="BB2588" i="6"/>
  <c r="BD2588" i="6" s="1"/>
  <c r="BB2589" i="6"/>
  <c r="BD2589" i="6" s="1"/>
  <c r="BB2590" i="6"/>
  <c r="BD2590" i="6" s="1"/>
  <c r="BB2591" i="6"/>
  <c r="BD2591" i="6" s="1"/>
  <c r="BB2592" i="6"/>
  <c r="BD2592" i="6" s="1"/>
  <c r="BB2529" i="6"/>
  <c r="BD2529" i="6" s="1"/>
  <c r="BB2530" i="6"/>
  <c r="BD2530" i="6" s="1"/>
  <c r="BB2531" i="6"/>
  <c r="BD2531" i="6" s="1"/>
  <c r="BB2532" i="6"/>
  <c r="BD2532" i="6" s="1"/>
  <c r="BB2533" i="6"/>
  <c r="BD2533" i="6" s="1"/>
  <c r="BB2534" i="6"/>
  <c r="BD2534" i="6" s="1"/>
  <c r="BB2535" i="6"/>
  <c r="BD2535" i="6" s="1"/>
  <c r="BB2536" i="6"/>
  <c r="BD2536" i="6" s="1"/>
  <c r="BB2537" i="6"/>
  <c r="BD2537" i="6" s="1"/>
  <c r="BB2538" i="6"/>
  <c r="BD2538" i="6" s="1"/>
  <c r="BB2539" i="6"/>
  <c r="BD2539" i="6" s="1"/>
  <c r="BB2540" i="6"/>
  <c r="BD2540" i="6" s="1"/>
  <c r="BB2541" i="6"/>
  <c r="BD2541" i="6" s="1"/>
  <c r="BB2542" i="6"/>
  <c r="BD2542" i="6" s="1"/>
  <c r="BB2543" i="6"/>
  <c r="BD2543" i="6" s="1"/>
  <c r="BB2544" i="6"/>
  <c r="BD2544" i="6" s="1"/>
  <c r="BB2545" i="6"/>
  <c r="BD2545" i="6" s="1"/>
  <c r="BB2546" i="6"/>
  <c r="BD2546" i="6" s="1"/>
  <c r="BB2547" i="6"/>
  <c r="BD2547" i="6" s="1"/>
  <c r="BB2548" i="6"/>
  <c r="BD2548" i="6" s="1"/>
  <c r="BB2549" i="6"/>
  <c r="BD2549" i="6" s="1"/>
  <c r="BB2550" i="6"/>
  <c r="BD2550" i="6" s="1"/>
  <c r="BB2551" i="6"/>
  <c r="BD2551" i="6" s="1"/>
  <c r="BB2552" i="6"/>
  <c r="BD2552" i="6" s="1"/>
  <c r="BB2553" i="6"/>
  <c r="BD2553" i="6" s="1"/>
  <c r="BB2554" i="6"/>
  <c r="BD2554" i="6" s="1"/>
  <c r="BB2555" i="6"/>
  <c r="BD2555" i="6" s="1"/>
  <c r="BB2556" i="6"/>
  <c r="BD2556" i="6" s="1"/>
  <c r="BB2557" i="6"/>
  <c r="BD2557" i="6" s="1"/>
  <c r="BB2558" i="6"/>
  <c r="BD2558" i="6" s="1"/>
  <c r="BB2559" i="6"/>
  <c r="BD2559" i="6" s="1"/>
  <c r="BB2560" i="6"/>
  <c r="BD2560" i="6" s="1"/>
  <c r="BB2497" i="6"/>
  <c r="BD2497" i="6" s="1"/>
  <c r="BB2498" i="6"/>
  <c r="BD2498" i="6" s="1"/>
  <c r="BB2499" i="6"/>
  <c r="BD2499" i="6" s="1"/>
  <c r="BB2500" i="6"/>
  <c r="BD2500" i="6" s="1"/>
  <c r="BB2501" i="6"/>
  <c r="BD2501" i="6" s="1"/>
  <c r="BB2502" i="6"/>
  <c r="BD2502" i="6" s="1"/>
  <c r="BB2503" i="6"/>
  <c r="BD2503" i="6" s="1"/>
  <c r="BB2504" i="6"/>
  <c r="BD2504" i="6" s="1"/>
  <c r="BB2505" i="6"/>
  <c r="BD2505" i="6" s="1"/>
  <c r="BB2506" i="6"/>
  <c r="BD2506" i="6" s="1"/>
  <c r="BB2507" i="6"/>
  <c r="BD2507" i="6" s="1"/>
  <c r="BB2508" i="6"/>
  <c r="BD2508" i="6" s="1"/>
  <c r="BB2509" i="6"/>
  <c r="BD2509" i="6" s="1"/>
  <c r="BB2510" i="6"/>
  <c r="BD2510" i="6" s="1"/>
  <c r="BB2511" i="6"/>
  <c r="BD2511" i="6" s="1"/>
  <c r="BB2512" i="6"/>
  <c r="BD2512" i="6" s="1"/>
  <c r="BB2513" i="6"/>
  <c r="BD2513" i="6" s="1"/>
  <c r="BB2514" i="6"/>
  <c r="BD2514" i="6" s="1"/>
  <c r="BB2515" i="6"/>
  <c r="BD2515" i="6" s="1"/>
  <c r="BB2516" i="6"/>
  <c r="BD2516" i="6" s="1"/>
  <c r="BB2517" i="6"/>
  <c r="BD2517" i="6" s="1"/>
  <c r="BB2518" i="6"/>
  <c r="BD2518" i="6" s="1"/>
  <c r="BB2519" i="6"/>
  <c r="BD2519" i="6" s="1"/>
  <c r="BB2520" i="6"/>
  <c r="BD2520" i="6" s="1"/>
  <c r="BB2521" i="6"/>
  <c r="BD2521" i="6" s="1"/>
  <c r="BB2522" i="6"/>
  <c r="BD2522" i="6" s="1"/>
  <c r="BB2523" i="6"/>
  <c r="BD2523" i="6" s="1"/>
  <c r="BB2524" i="6"/>
  <c r="BD2524" i="6" s="1"/>
  <c r="BB2525" i="6"/>
  <c r="BD2525" i="6" s="1"/>
  <c r="BB2526" i="6"/>
  <c r="BD2526" i="6" s="1"/>
  <c r="BB2527" i="6"/>
  <c r="BD2527" i="6" s="1"/>
  <c r="BB2528" i="6"/>
  <c r="BD2528" i="6" s="1"/>
  <c r="BB2465" i="6"/>
  <c r="BD2465" i="6" s="1"/>
  <c r="BB2466" i="6"/>
  <c r="BD2466" i="6" s="1"/>
  <c r="BB2467" i="6"/>
  <c r="BD2467" i="6" s="1"/>
  <c r="BB2468" i="6"/>
  <c r="BD2468" i="6" s="1"/>
  <c r="BB2469" i="6"/>
  <c r="BD2469" i="6" s="1"/>
  <c r="BB2470" i="6"/>
  <c r="BD2470" i="6" s="1"/>
  <c r="BB2471" i="6"/>
  <c r="BD2471" i="6" s="1"/>
  <c r="BB2472" i="6"/>
  <c r="BD2472" i="6" s="1"/>
  <c r="BB2473" i="6"/>
  <c r="BD2473" i="6" s="1"/>
  <c r="BB2474" i="6"/>
  <c r="BD2474" i="6" s="1"/>
  <c r="BB2475" i="6"/>
  <c r="BD2475" i="6" s="1"/>
  <c r="BB2476" i="6"/>
  <c r="BD2476" i="6" s="1"/>
  <c r="BB2477" i="6"/>
  <c r="BD2477" i="6" s="1"/>
  <c r="BB2478" i="6"/>
  <c r="BD2478" i="6" s="1"/>
  <c r="BB2479" i="6"/>
  <c r="BD2479" i="6" s="1"/>
  <c r="BB2480" i="6"/>
  <c r="BD2480" i="6" s="1"/>
  <c r="BB2481" i="6"/>
  <c r="BD2481" i="6" s="1"/>
  <c r="BB2482" i="6"/>
  <c r="BD2482" i="6" s="1"/>
  <c r="BB2483" i="6"/>
  <c r="BD2483" i="6" s="1"/>
  <c r="BB2484" i="6"/>
  <c r="BD2484" i="6" s="1"/>
  <c r="BB2485" i="6"/>
  <c r="BD2485" i="6" s="1"/>
  <c r="BB2486" i="6"/>
  <c r="BD2486" i="6" s="1"/>
  <c r="BB2487" i="6"/>
  <c r="BD2487" i="6" s="1"/>
  <c r="BB2488" i="6"/>
  <c r="BD2488" i="6" s="1"/>
  <c r="BB2489" i="6"/>
  <c r="BD2489" i="6" s="1"/>
  <c r="BB2490" i="6"/>
  <c r="BD2490" i="6" s="1"/>
  <c r="BB2491" i="6"/>
  <c r="BD2491" i="6" s="1"/>
  <c r="BB2492" i="6"/>
  <c r="BD2492" i="6" s="1"/>
  <c r="BB2493" i="6"/>
  <c r="BD2493" i="6" s="1"/>
  <c r="BB2494" i="6"/>
  <c r="BD2494" i="6" s="1"/>
  <c r="BB2495" i="6"/>
  <c r="BD2495" i="6" s="1"/>
  <c r="BB2496" i="6"/>
  <c r="BD2496" i="6" s="1"/>
  <c r="BB2433" i="6"/>
  <c r="BD2433" i="6" s="1"/>
  <c r="BB2434" i="6"/>
  <c r="BD2434" i="6" s="1"/>
  <c r="BB2435" i="6"/>
  <c r="BD2435" i="6" s="1"/>
  <c r="BB2436" i="6"/>
  <c r="BD2436" i="6" s="1"/>
  <c r="BB2437" i="6"/>
  <c r="BD2437" i="6" s="1"/>
  <c r="BB2438" i="6"/>
  <c r="BD2438" i="6" s="1"/>
  <c r="BB2439" i="6"/>
  <c r="BD2439" i="6" s="1"/>
  <c r="BB2440" i="6"/>
  <c r="BD2440" i="6" s="1"/>
  <c r="BB2441" i="6"/>
  <c r="BD2441" i="6" s="1"/>
  <c r="BB2442" i="6"/>
  <c r="BD2442" i="6" s="1"/>
  <c r="BB2443" i="6"/>
  <c r="BD2443" i="6" s="1"/>
  <c r="BB2444" i="6"/>
  <c r="BD2444" i="6" s="1"/>
  <c r="BB2445" i="6"/>
  <c r="BD2445" i="6" s="1"/>
  <c r="BB2446" i="6"/>
  <c r="BD2446" i="6" s="1"/>
  <c r="BB2447" i="6"/>
  <c r="BD2447" i="6" s="1"/>
  <c r="BB2448" i="6"/>
  <c r="BD2448" i="6" s="1"/>
  <c r="BB2449" i="6"/>
  <c r="BD2449" i="6" s="1"/>
  <c r="BB2450" i="6"/>
  <c r="BD2450" i="6" s="1"/>
  <c r="BB2451" i="6"/>
  <c r="BD2451" i="6" s="1"/>
  <c r="BB2452" i="6"/>
  <c r="BD2452" i="6" s="1"/>
  <c r="BB2453" i="6"/>
  <c r="BD2453" i="6" s="1"/>
  <c r="BB2454" i="6"/>
  <c r="BD2454" i="6" s="1"/>
  <c r="BB2455" i="6"/>
  <c r="BD2455" i="6" s="1"/>
  <c r="BB2456" i="6"/>
  <c r="BD2456" i="6" s="1"/>
  <c r="BB2457" i="6"/>
  <c r="BD2457" i="6" s="1"/>
  <c r="BB2458" i="6"/>
  <c r="BD2458" i="6" s="1"/>
  <c r="BB2459" i="6"/>
  <c r="BD2459" i="6" s="1"/>
  <c r="BB2460" i="6"/>
  <c r="BD2460" i="6" s="1"/>
  <c r="BB2461" i="6"/>
  <c r="BD2461" i="6" s="1"/>
  <c r="BB2462" i="6"/>
  <c r="BD2462" i="6" s="1"/>
  <c r="BB2463" i="6"/>
  <c r="BD2463" i="6" s="1"/>
  <c r="BB2464" i="6"/>
  <c r="BD2464" i="6" s="1"/>
  <c r="BB2401" i="6"/>
  <c r="BD2401" i="6" s="1"/>
  <c r="BB2402" i="6"/>
  <c r="BD2402" i="6" s="1"/>
  <c r="BB2403" i="6"/>
  <c r="BD2403" i="6" s="1"/>
  <c r="BB2404" i="6"/>
  <c r="BD2404" i="6" s="1"/>
  <c r="BB2405" i="6"/>
  <c r="BD2405" i="6" s="1"/>
  <c r="BB2406" i="6"/>
  <c r="BD2406" i="6" s="1"/>
  <c r="BB2407" i="6"/>
  <c r="BD2407" i="6" s="1"/>
  <c r="BB2408" i="6"/>
  <c r="BD2408" i="6" s="1"/>
  <c r="BB2409" i="6"/>
  <c r="BD2409" i="6" s="1"/>
  <c r="BB2410" i="6"/>
  <c r="BD2410" i="6" s="1"/>
  <c r="BB2411" i="6"/>
  <c r="BD2411" i="6" s="1"/>
  <c r="BB2412" i="6"/>
  <c r="BD2412" i="6" s="1"/>
  <c r="BB2413" i="6"/>
  <c r="BD2413" i="6" s="1"/>
  <c r="BB2414" i="6"/>
  <c r="BD2414" i="6" s="1"/>
  <c r="BB2415" i="6"/>
  <c r="BD2415" i="6" s="1"/>
  <c r="BB2416" i="6"/>
  <c r="BD2416" i="6" s="1"/>
  <c r="BB2417" i="6"/>
  <c r="BD2417" i="6" s="1"/>
  <c r="BB2418" i="6"/>
  <c r="BD2418" i="6" s="1"/>
  <c r="BB2419" i="6"/>
  <c r="BD2419" i="6" s="1"/>
  <c r="BB2420" i="6"/>
  <c r="BD2420" i="6" s="1"/>
  <c r="BB2421" i="6"/>
  <c r="BD2421" i="6" s="1"/>
  <c r="BB2422" i="6"/>
  <c r="BD2422" i="6" s="1"/>
  <c r="BB2423" i="6"/>
  <c r="BD2423" i="6" s="1"/>
  <c r="BB2424" i="6"/>
  <c r="BD2424" i="6" s="1"/>
  <c r="BB2425" i="6"/>
  <c r="BD2425" i="6" s="1"/>
  <c r="BB2426" i="6"/>
  <c r="BD2426" i="6" s="1"/>
  <c r="BB2427" i="6"/>
  <c r="BD2427" i="6" s="1"/>
  <c r="BB2428" i="6"/>
  <c r="BD2428" i="6" s="1"/>
  <c r="BB2429" i="6"/>
  <c r="BD2429" i="6" s="1"/>
  <c r="BB2430" i="6"/>
  <c r="BD2430" i="6" s="1"/>
  <c r="BB2431" i="6"/>
  <c r="BD2431" i="6" s="1"/>
  <c r="BB2432" i="6"/>
  <c r="BD2432" i="6" s="1"/>
  <c r="BB2369" i="6"/>
  <c r="BD2369" i="6" s="1"/>
  <c r="BB2370" i="6"/>
  <c r="BD2370" i="6" s="1"/>
  <c r="BB2371" i="6"/>
  <c r="BD2371" i="6" s="1"/>
  <c r="BB2372" i="6"/>
  <c r="BD2372" i="6" s="1"/>
  <c r="BB2373" i="6"/>
  <c r="BD2373" i="6" s="1"/>
  <c r="BB2374" i="6"/>
  <c r="BD2374" i="6" s="1"/>
  <c r="BB2375" i="6"/>
  <c r="BD2375" i="6" s="1"/>
  <c r="BB2376" i="6"/>
  <c r="BD2376" i="6" s="1"/>
  <c r="BB2377" i="6"/>
  <c r="BD2377" i="6" s="1"/>
  <c r="BB2378" i="6"/>
  <c r="BD2378" i="6" s="1"/>
  <c r="BB2379" i="6"/>
  <c r="BD2379" i="6" s="1"/>
  <c r="BB2380" i="6"/>
  <c r="BD2380" i="6" s="1"/>
  <c r="BB2381" i="6"/>
  <c r="BD2381" i="6" s="1"/>
  <c r="BB2382" i="6"/>
  <c r="BD2382" i="6" s="1"/>
  <c r="BB2383" i="6"/>
  <c r="BD2383" i="6" s="1"/>
  <c r="BB2384" i="6"/>
  <c r="BD2384" i="6" s="1"/>
  <c r="BB2385" i="6"/>
  <c r="BD2385" i="6" s="1"/>
  <c r="BB2386" i="6"/>
  <c r="BD2386" i="6" s="1"/>
  <c r="BB2387" i="6"/>
  <c r="BD2387" i="6" s="1"/>
  <c r="BB2388" i="6"/>
  <c r="BD2388" i="6" s="1"/>
  <c r="BB2389" i="6"/>
  <c r="BD2389" i="6" s="1"/>
  <c r="BB2390" i="6"/>
  <c r="BD2390" i="6" s="1"/>
  <c r="BB2391" i="6"/>
  <c r="BD2391" i="6" s="1"/>
  <c r="BB2392" i="6"/>
  <c r="BD2392" i="6" s="1"/>
  <c r="BB2393" i="6"/>
  <c r="BD2393" i="6" s="1"/>
  <c r="BB2394" i="6"/>
  <c r="BD2394" i="6" s="1"/>
  <c r="BB2395" i="6"/>
  <c r="BD2395" i="6" s="1"/>
  <c r="BB2396" i="6"/>
  <c r="BD2396" i="6" s="1"/>
  <c r="BB2397" i="6"/>
  <c r="BD2397" i="6" s="1"/>
  <c r="BB2398" i="6"/>
  <c r="BD2398" i="6" s="1"/>
  <c r="BB2399" i="6"/>
  <c r="BD2399" i="6" s="1"/>
  <c r="BB2400" i="6"/>
  <c r="BD2400" i="6" s="1"/>
  <c r="BB2337" i="6"/>
  <c r="BD2337" i="6" s="1"/>
  <c r="BB2338" i="6"/>
  <c r="BD2338" i="6" s="1"/>
  <c r="BB2339" i="6"/>
  <c r="BD2339" i="6" s="1"/>
  <c r="BB2340" i="6"/>
  <c r="BD2340" i="6" s="1"/>
  <c r="BB2341" i="6"/>
  <c r="BD2341" i="6" s="1"/>
  <c r="BB2342" i="6"/>
  <c r="BD2342" i="6" s="1"/>
  <c r="BB2343" i="6"/>
  <c r="BD2343" i="6" s="1"/>
  <c r="BB2344" i="6"/>
  <c r="BD2344" i="6" s="1"/>
  <c r="BB2345" i="6"/>
  <c r="BD2345" i="6" s="1"/>
  <c r="BB2346" i="6"/>
  <c r="BD2346" i="6" s="1"/>
  <c r="BB2347" i="6"/>
  <c r="BD2347" i="6" s="1"/>
  <c r="BB2348" i="6"/>
  <c r="BD2348" i="6" s="1"/>
  <c r="BB2349" i="6"/>
  <c r="BD2349" i="6" s="1"/>
  <c r="BB2350" i="6"/>
  <c r="BD2350" i="6" s="1"/>
  <c r="BB2351" i="6"/>
  <c r="BD2351" i="6" s="1"/>
  <c r="BB2352" i="6"/>
  <c r="BD2352" i="6" s="1"/>
  <c r="BB2353" i="6"/>
  <c r="BD2353" i="6" s="1"/>
  <c r="BB2354" i="6"/>
  <c r="BD2354" i="6" s="1"/>
  <c r="BB2355" i="6"/>
  <c r="BD2355" i="6" s="1"/>
  <c r="BB2356" i="6"/>
  <c r="BD2356" i="6" s="1"/>
  <c r="BB2357" i="6"/>
  <c r="BD2357" i="6" s="1"/>
  <c r="BB2358" i="6"/>
  <c r="BD2358" i="6" s="1"/>
  <c r="BB2359" i="6"/>
  <c r="BD2359" i="6" s="1"/>
  <c r="BB2360" i="6"/>
  <c r="BD2360" i="6" s="1"/>
  <c r="BB2361" i="6"/>
  <c r="BD2361" i="6" s="1"/>
  <c r="BB2362" i="6"/>
  <c r="BD2362" i="6" s="1"/>
  <c r="BB2363" i="6"/>
  <c r="BD2363" i="6" s="1"/>
  <c r="BB2364" i="6"/>
  <c r="BD2364" i="6" s="1"/>
  <c r="BB2365" i="6"/>
  <c r="BD2365" i="6" s="1"/>
  <c r="BB2366" i="6"/>
  <c r="BD2366" i="6" s="1"/>
  <c r="BB2367" i="6"/>
  <c r="BD2367" i="6" s="1"/>
  <c r="BB2368" i="6"/>
  <c r="BD2368" i="6" s="1"/>
  <c r="BB2305" i="6"/>
  <c r="BD2305" i="6" s="1"/>
  <c r="BB2306" i="6"/>
  <c r="BD2306" i="6" s="1"/>
  <c r="BB2307" i="6"/>
  <c r="BD2307" i="6" s="1"/>
  <c r="BB2308" i="6"/>
  <c r="BD2308" i="6" s="1"/>
  <c r="BB2309" i="6"/>
  <c r="BD2309" i="6" s="1"/>
  <c r="BB2310" i="6"/>
  <c r="BD2310" i="6" s="1"/>
  <c r="BB2311" i="6"/>
  <c r="BD2311" i="6" s="1"/>
  <c r="BB2312" i="6"/>
  <c r="BD2312" i="6" s="1"/>
  <c r="BB2313" i="6"/>
  <c r="BD2313" i="6" s="1"/>
  <c r="BB2314" i="6"/>
  <c r="BD2314" i="6" s="1"/>
  <c r="BB2315" i="6"/>
  <c r="BD2315" i="6" s="1"/>
  <c r="BB2316" i="6"/>
  <c r="BD2316" i="6" s="1"/>
  <c r="BB2317" i="6"/>
  <c r="BD2317" i="6" s="1"/>
  <c r="BB2318" i="6"/>
  <c r="BD2318" i="6" s="1"/>
  <c r="BB2319" i="6"/>
  <c r="BD2319" i="6" s="1"/>
  <c r="BB2320" i="6"/>
  <c r="BD2320" i="6" s="1"/>
  <c r="BB2321" i="6"/>
  <c r="BD2321" i="6" s="1"/>
  <c r="BB2322" i="6"/>
  <c r="BD2322" i="6" s="1"/>
  <c r="BB2323" i="6"/>
  <c r="BD2323" i="6" s="1"/>
  <c r="BB2324" i="6"/>
  <c r="BD2324" i="6" s="1"/>
  <c r="BB2325" i="6"/>
  <c r="BD2325" i="6" s="1"/>
  <c r="BB2326" i="6"/>
  <c r="BD2326" i="6" s="1"/>
  <c r="BB2327" i="6"/>
  <c r="BD2327" i="6" s="1"/>
  <c r="BB2328" i="6"/>
  <c r="BD2328" i="6" s="1"/>
  <c r="BB2329" i="6"/>
  <c r="BD2329" i="6" s="1"/>
  <c r="BB2330" i="6"/>
  <c r="BD2330" i="6" s="1"/>
  <c r="BB2331" i="6"/>
  <c r="BD2331" i="6" s="1"/>
  <c r="BB2332" i="6"/>
  <c r="BD2332" i="6" s="1"/>
  <c r="BB2333" i="6"/>
  <c r="BD2333" i="6" s="1"/>
  <c r="BB2334" i="6"/>
  <c r="BD2334" i="6" s="1"/>
  <c r="BB2335" i="6"/>
  <c r="BD2335" i="6" s="1"/>
  <c r="BB2336" i="6"/>
  <c r="BD2336" i="6" s="1"/>
  <c r="BB2273" i="6"/>
  <c r="BD2273" i="6" s="1"/>
  <c r="BB2274" i="6"/>
  <c r="BD2274" i="6" s="1"/>
  <c r="BB2275" i="6"/>
  <c r="BD2275" i="6" s="1"/>
  <c r="BB2276" i="6"/>
  <c r="BD2276" i="6" s="1"/>
  <c r="BB2277" i="6"/>
  <c r="BD2277" i="6" s="1"/>
  <c r="BB2278" i="6"/>
  <c r="BD2278" i="6" s="1"/>
  <c r="BB2279" i="6"/>
  <c r="BD2279" i="6" s="1"/>
  <c r="BB2280" i="6"/>
  <c r="BD2280" i="6" s="1"/>
  <c r="BB2281" i="6"/>
  <c r="BD2281" i="6" s="1"/>
  <c r="BB2282" i="6"/>
  <c r="BD2282" i="6" s="1"/>
  <c r="BB2283" i="6"/>
  <c r="BD2283" i="6" s="1"/>
  <c r="BB2284" i="6"/>
  <c r="BD2284" i="6" s="1"/>
  <c r="BB2285" i="6"/>
  <c r="BD2285" i="6" s="1"/>
  <c r="BB2286" i="6"/>
  <c r="BD2286" i="6" s="1"/>
  <c r="BB2287" i="6"/>
  <c r="BD2287" i="6" s="1"/>
  <c r="BB2288" i="6"/>
  <c r="BD2288" i="6" s="1"/>
  <c r="BB2289" i="6"/>
  <c r="BD2289" i="6" s="1"/>
  <c r="BB2290" i="6"/>
  <c r="BD2290" i="6" s="1"/>
  <c r="BB2291" i="6"/>
  <c r="BD2291" i="6" s="1"/>
  <c r="BB2292" i="6"/>
  <c r="BD2292" i="6" s="1"/>
  <c r="BB2293" i="6"/>
  <c r="BD2293" i="6" s="1"/>
  <c r="BB2294" i="6"/>
  <c r="BD2294" i="6" s="1"/>
  <c r="BB2295" i="6"/>
  <c r="BD2295" i="6" s="1"/>
  <c r="BB2296" i="6"/>
  <c r="BD2296" i="6" s="1"/>
  <c r="BB2297" i="6"/>
  <c r="BD2297" i="6" s="1"/>
  <c r="BB2298" i="6"/>
  <c r="BD2298" i="6" s="1"/>
  <c r="BB2299" i="6"/>
  <c r="BD2299" i="6" s="1"/>
  <c r="BB2300" i="6"/>
  <c r="BD2300" i="6" s="1"/>
  <c r="BB2301" i="6"/>
  <c r="BD2301" i="6" s="1"/>
  <c r="BB2302" i="6"/>
  <c r="BD2302" i="6" s="1"/>
  <c r="BB2303" i="6"/>
  <c r="BD2303" i="6" s="1"/>
  <c r="BB2304" i="6"/>
  <c r="BD2304" i="6" s="1"/>
  <c r="BB2241" i="6"/>
  <c r="BD2241" i="6" s="1"/>
  <c r="BB2242" i="6"/>
  <c r="BD2242" i="6" s="1"/>
  <c r="BB2243" i="6"/>
  <c r="BD2243" i="6" s="1"/>
  <c r="BB2244" i="6"/>
  <c r="BD2244" i="6" s="1"/>
  <c r="BB2245" i="6"/>
  <c r="BD2245" i="6" s="1"/>
  <c r="BB2246" i="6"/>
  <c r="BD2246" i="6" s="1"/>
  <c r="BB2247" i="6"/>
  <c r="BD2247" i="6" s="1"/>
  <c r="BB2248" i="6"/>
  <c r="BD2248" i="6" s="1"/>
  <c r="BB2249" i="6"/>
  <c r="BD2249" i="6" s="1"/>
  <c r="BB2250" i="6"/>
  <c r="BD2250" i="6" s="1"/>
  <c r="BB2251" i="6"/>
  <c r="BD2251" i="6" s="1"/>
  <c r="BB2252" i="6"/>
  <c r="BD2252" i="6" s="1"/>
  <c r="BB2253" i="6"/>
  <c r="BD2253" i="6" s="1"/>
  <c r="BB2254" i="6"/>
  <c r="BD2254" i="6" s="1"/>
  <c r="BB2255" i="6"/>
  <c r="BD2255" i="6" s="1"/>
  <c r="BB2256" i="6"/>
  <c r="BD2256" i="6" s="1"/>
  <c r="BB2257" i="6"/>
  <c r="BD2257" i="6" s="1"/>
  <c r="BB2258" i="6"/>
  <c r="BD2258" i="6" s="1"/>
  <c r="BB2259" i="6"/>
  <c r="BD2259" i="6" s="1"/>
  <c r="BB2260" i="6"/>
  <c r="BD2260" i="6" s="1"/>
  <c r="BB2261" i="6"/>
  <c r="BD2261" i="6" s="1"/>
  <c r="BB2262" i="6"/>
  <c r="BD2262" i="6" s="1"/>
  <c r="BB2263" i="6"/>
  <c r="BD2263" i="6" s="1"/>
  <c r="BB2264" i="6"/>
  <c r="BD2264" i="6" s="1"/>
  <c r="BB2265" i="6"/>
  <c r="BD2265" i="6" s="1"/>
  <c r="BB2266" i="6"/>
  <c r="BD2266" i="6" s="1"/>
  <c r="BB2267" i="6"/>
  <c r="BD2267" i="6" s="1"/>
  <c r="BB2268" i="6"/>
  <c r="BD2268" i="6" s="1"/>
  <c r="BB2269" i="6"/>
  <c r="BD2269" i="6" s="1"/>
  <c r="BB2270" i="6"/>
  <c r="BD2270" i="6" s="1"/>
  <c r="BB2271" i="6"/>
  <c r="BD2271" i="6" s="1"/>
  <c r="BB2272" i="6"/>
  <c r="BD2272" i="6" s="1"/>
  <c r="BB2209" i="6"/>
  <c r="BD2209" i="6" s="1"/>
  <c r="BB2210" i="6"/>
  <c r="BD2210" i="6" s="1"/>
  <c r="BB2211" i="6"/>
  <c r="BD2211" i="6" s="1"/>
  <c r="BB2212" i="6"/>
  <c r="BD2212" i="6" s="1"/>
  <c r="BB2213" i="6"/>
  <c r="BD2213" i="6" s="1"/>
  <c r="BB2214" i="6"/>
  <c r="BD2214" i="6" s="1"/>
  <c r="BB2215" i="6"/>
  <c r="BD2215" i="6" s="1"/>
  <c r="BB2216" i="6"/>
  <c r="BD2216" i="6" s="1"/>
  <c r="BB2217" i="6"/>
  <c r="BD2217" i="6" s="1"/>
  <c r="BB2218" i="6"/>
  <c r="BD2218" i="6" s="1"/>
  <c r="BB2219" i="6"/>
  <c r="BD2219" i="6" s="1"/>
  <c r="BB2220" i="6"/>
  <c r="BD2220" i="6" s="1"/>
  <c r="BB2221" i="6"/>
  <c r="BD2221" i="6" s="1"/>
  <c r="BB2222" i="6"/>
  <c r="BD2222" i="6" s="1"/>
  <c r="BB2223" i="6"/>
  <c r="BD2223" i="6" s="1"/>
  <c r="BB2224" i="6"/>
  <c r="BD2224" i="6" s="1"/>
  <c r="BB2225" i="6"/>
  <c r="BD2225" i="6" s="1"/>
  <c r="BB2226" i="6"/>
  <c r="BD2226" i="6" s="1"/>
  <c r="BB2227" i="6"/>
  <c r="BD2227" i="6" s="1"/>
  <c r="BB2228" i="6"/>
  <c r="BD2228" i="6" s="1"/>
  <c r="BB2229" i="6"/>
  <c r="BD2229" i="6" s="1"/>
  <c r="BB2230" i="6"/>
  <c r="BD2230" i="6" s="1"/>
  <c r="BB2231" i="6"/>
  <c r="BD2231" i="6" s="1"/>
  <c r="BB2232" i="6"/>
  <c r="BD2232" i="6" s="1"/>
  <c r="BB2233" i="6"/>
  <c r="BD2233" i="6" s="1"/>
  <c r="BB2234" i="6"/>
  <c r="BD2234" i="6" s="1"/>
  <c r="BB2235" i="6"/>
  <c r="BD2235" i="6" s="1"/>
  <c r="BB2236" i="6"/>
  <c r="BD2236" i="6" s="1"/>
  <c r="BB2237" i="6"/>
  <c r="BD2237" i="6" s="1"/>
  <c r="BB2238" i="6"/>
  <c r="BD2238" i="6" s="1"/>
  <c r="BB2239" i="6"/>
  <c r="BD2239" i="6" s="1"/>
  <c r="BB2240" i="6"/>
  <c r="BD2240" i="6" s="1"/>
  <c r="BB2177" i="6"/>
  <c r="BD2177" i="6" s="1"/>
  <c r="BB2178" i="6"/>
  <c r="BD2178" i="6" s="1"/>
  <c r="BB2179" i="6"/>
  <c r="BD2179" i="6" s="1"/>
  <c r="BB2180" i="6"/>
  <c r="BD2180" i="6" s="1"/>
  <c r="BB2181" i="6"/>
  <c r="BD2181" i="6" s="1"/>
  <c r="BB2182" i="6"/>
  <c r="BD2182" i="6" s="1"/>
  <c r="BB2183" i="6"/>
  <c r="BD2183" i="6" s="1"/>
  <c r="BB2184" i="6"/>
  <c r="BD2184" i="6" s="1"/>
  <c r="BB2185" i="6"/>
  <c r="BD2185" i="6" s="1"/>
  <c r="BB2186" i="6"/>
  <c r="BD2186" i="6" s="1"/>
  <c r="BB2187" i="6"/>
  <c r="BD2187" i="6" s="1"/>
  <c r="BB2188" i="6"/>
  <c r="BD2188" i="6" s="1"/>
  <c r="BB2189" i="6"/>
  <c r="BD2189" i="6" s="1"/>
  <c r="BB2190" i="6"/>
  <c r="BD2190" i="6" s="1"/>
  <c r="BB2191" i="6"/>
  <c r="BD2191" i="6" s="1"/>
  <c r="BB2192" i="6"/>
  <c r="BD2192" i="6" s="1"/>
  <c r="BB2193" i="6"/>
  <c r="BD2193" i="6" s="1"/>
  <c r="BB2194" i="6"/>
  <c r="BD2194" i="6" s="1"/>
  <c r="BB2195" i="6"/>
  <c r="BD2195" i="6" s="1"/>
  <c r="BB2196" i="6"/>
  <c r="BD2196" i="6" s="1"/>
  <c r="BB2197" i="6"/>
  <c r="BD2197" i="6" s="1"/>
  <c r="BB2198" i="6"/>
  <c r="BD2198" i="6" s="1"/>
  <c r="BB2199" i="6"/>
  <c r="BD2199" i="6" s="1"/>
  <c r="BB2200" i="6"/>
  <c r="BD2200" i="6" s="1"/>
  <c r="BB2201" i="6"/>
  <c r="BD2201" i="6" s="1"/>
  <c r="BB2202" i="6"/>
  <c r="BD2202" i="6" s="1"/>
  <c r="BB2203" i="6"/>
  <c r="BD2203" i="6" s="1"/>
  <c r="BB2204" i="6"/>
  <c r="BD2204" i="6" s="1"/>
  <c r="BB2205" i="6"/>
  <c r="BD2205" i="6" s="1"/>
  <c r="BB2206" i="6"/>
  <c r="BD2206" i="6" s="1"/>
  <c r="BB2207" i="6"/>
  <c r="BD2207" i="6" s="1"/>
  <c r="BB2208" i="6"/>
  <c r="BD2208" i="6" s="1"/>
  <c r="BB2145" i="6"/>
  <c r="BD2145" i="6" s="1"/>
  <c r="BB2146" i="6"/>
  <c r="BD2146" i="6" s="1"/>
  <c r="BB2147" i="6"/>
  <c r="BD2147" i="6" s="1"/>
  <c r="BB2148" i="6"/>
  <c r="BD2148" i="6" s="1"/>
  <c r="BB2149" i="6"/>
  <c r="BD2149" i="6" s="1"/>
  <c r="BB2150" i="6"/>
  <c r="BD2150" i="6" s="1"/>
  <c r="BB2151" i="6"/>
  <c r="BD2151" i="6" s="1"/>
  <c r="BB2152" i="6"/>
  <c r="BD2152" i="6" s="1"/>
  <c r="BB2153" i="6"/>
  <c r="BD2153" i="6" s="1"/>
  <c r="BB2154" i="6"/>
  <c r="BD2154" i="6" s="1"/>
  <c r="BB2155" i="6"/>
  <c r="BD2155" i="6" s="1"/>
  <c r="BB2156" i="6"/>
  <c r="BD2156" i="6" s="1"/>
  <c r="BB2157" i="6"/>
  <c r="BD2157" i="6" s="1"/>
  <c r="BB2158" i="6"/>
  <c r="BD2158" i="6" s="1"/>
  <c r="BB2159" i="6"/>
  <c r="BD2159" i="6" s="1"/>
  <c r="BB2160" i="6"/>
  <c r="BD2160" i="6" s="1"/>
  <c r="BB2161" i="6"/>
  <c r="BD2161" i="6" s="1"/>
  <c r="BB2162" i="6"/>
  <c r="BD2162" i="6" s="1"/>
  <c r="BB2163" i="6"/>
  <c r="BD2163" i="6" s="1"/>
  <c r="BB2164" i="6"/>
  <c r="BD2164" i="6" s="1"/>
  <c r="BB2165" i="6"/>
  <c r="BD2165" i="6" s="1"/>
  <c r="BB2166" i="6"/>
  <c r="BD2166" i="6" s="1"/>
  <c r="BB2167" i="6"/>
  <c r="BD2167" i="6" s="1"/>
  <c r="BB2168" i="6"/>
  <c r="BD2168" i="6" s="1"/>
  <c r="BB2169" i="6"/>
  <c r="BD2169" i="6" s="1"/>
  <c r="BB2170" i="6"/>
  <c r="BD2170" i="6" s="1"/>
  <c r="BB2171" i="6"/>
  <c r="BD2171" i="6" s="1"/>
  <c r="BB2172" i="6"/>
  <c r="BD2172" i="6" s="1"/>
  <c r="BB2173" i="6"/>
  <c r="BD2173" i="6" s="1"/>
  <c r="BB2174" i="6"/>
  <c r="BD2174" i="6" s="1"/>
  <c r="BB2175" i="6"/>
  <c r="BD2175" i="6" s="1"/>
  <c r="BB2176" i="6"/>
  <c r="BD2176" i="6" s="1"/>
  <c r="BB2113" i="6"/>
  <c r="BD2113" i="6" s="1"/>
  <c r="BB2114" i="6"/>
  <c r="BD2114" i="6" s="1"/>
  <c r="BB2115" i="6"/>
  <c r="BD2115" i="6" s="1"/>
  <c r="BB2116" i="6"/>
  <c r="BD2116" i="6" s="1"/>
  <c r="BB2117" i="6"/>
  <c r="BD2117" i="6" s="1"/>
  <c r="BB2118" i="6"/>
  <c r="BD2118" i="6" s="1"/>
  <c r="BB2119" i="6"/>
  <c r="BD2119" i="6" s="1"/>
  <c r="BB2120" i="6"/>
  <c r="BD2120" i="6" s="1"/>
  <c r="BB2121" i="6"/>
  <c r="BD2121" i="6" s="1"/>
  <c r="BB2122" i="6"/>
  <c r="BD2122" i="6" s="1"/>
  <c r="BB2123" i="6"/>
  <c r="BD2123" i="6" s="1"/>
  <c r="BB2124" i="6"/>
  <c r="BD2124" i="6" s="1"/>
  <c r="BB2125" i="6"/>
  <c r="BD2125" i="6" s="1"/>
  <c r="BB2126" i="6"/>
  <c r="BD2126" i="6" s="1"/>
  <c r="BB2127" i="6"/>
  <c r="BD2127" i="6" s="1"/>
  <c r="BB2128" i="6"/>
  <c r="BD2128" i="6" s="1"/>
  <c r="BB2129" i="6"/>
  <c r="BD2129" i="6" s="1"/>
  <c r="BB2130" i="6"/>
  <c r="BD2130" i="6" s="1"/>
  <c r="BB2131" i="6"/>
  <c r="BD2131" i="6" s="1"/>
  <c r="BB2132" i="6"/>
  <c r="BD2132" i="6" s="1"/>
  <c r="BB2133" i="6"/>
  <c r="BD2133" i="6" s="1"/>
  <c r="BB2134" i="6"/>
  <c r="BD2134" i="6" s="1"/>
  <c r="BB2135" i="6"/>
  <c r="BD2135" i="6" s="1"/>
  <c r="BB2136" i="6"/>
  <c r="BD2136" i="6" s="1"/>
  <c r="BB2137" i="6"/>
  <c r="BD2137" i="6" s="1"/>
  <c r="BB2138" i="6"/>
  <c r="BD2138" i="6" s="1"/>
  <c r="BB2139" i="6"/>
  <c r="BD2139" i="6" s="1"/>
  <c r="BB2140" i="6"/>
  <c r="BD2140" i="6" s="1"/>
  <c r="BB2141" i="6"/>
  <c r="BD2141" i="6" s="1"/>
  <c r="BB2142" i="6"/>
  <c r="BD2142" i="6" s="1"/>
  <c r="BB2143" i="6"/>
  <c r="BD2143" i="6" s="1"/>
  <c r="BB2144" i="6"/>
  <c r="BD2144" i="6" s="1"/>
  <c r="BB2081" i="6"/>
  <c r="BD2081" i="6" s="1"/>
  <c r="BB2082" i="6"/>
  <c r="BD2082" i="6" s="1"/>
  <c r="BB2083" i="6"/>
  <c r="BD2083" i="6" s="1"/>
  <c r="BB2084" i="6"/>
  <c r="BD2084" i="6" s="1"/>
  <c r="BB2085" i="6"/>
  <c r="BD2085" i="6" s="1"/>
  <c r="BB2086" i="6"/>
  <c r="BD2086" i="6" s="1"/>
  <c r="BB2087" i="6"/>
  <c r="BD2087" i="6" s="1"/>
  <c r="BB2088" i="6"/>
  <c r="BD2088" i="6" s="1"/>
  <c r="BB2089" i="6"/>
  <c r="BD2089" i="6" s="1"/>
  <c r="BB2090" i="6"/>
  <c r="BD2090" i="6" s="1"/>
  <c r="BB2091" i="6"/>
  <c r="BD2091" i="6" s="1"/>
  <c r="BB2092" i="6"/>
  <c r="BD2092" i="6" s="1"/>
  <c r="BB2093" i="6"/>
  <c r="BD2093" i="6" s="1"/>
  <c r="BB2094" i="6"/>
  <c r="BD2094" i="6" s="1"/>
  <c r="BB2095" i="6"/>
  <c r="BD2095" i="6" s="1"/>
  <c r="BB2096" i="6"/>
  <c r="BD2096" i="6" s="1"/>
  <c r="BB2097" i="6"/>
  <c r="BD2097" i="6" s="1"/>
  <c r="BB2098" i="6"/>
  <c r="BD2098" i="6" s="1"/>
  <c r="BB2099" i="6"/>
  <c r="BD2099" i="6" s="1"/>
  <c r="BB2100" i="6"/>
  <c r="BD2100" i="6" s="1"/>
  <c r="BB2101" i="6"/>
  <c r="BD2101" i="6" s="1"/>
  <c r="BB2102" i="6"/>
  <c r="BD2102" i="6" s="1"/>
  <c r="BB2103" i="6"/>
  <c r="BD2103" i="6" s="1"/>
  <c r="BB2104" i="6"/>
  <c r="BD2104" i="6" s="1"/>
  <c r="BB2105" i="6"/>
  <c r="BD2105" i="6" s="1"/>
  <c r="BB2106" i="6"/>
  <c r="BD2106" i="6" s="1"/>
  <c r="BB2107" i="6"/>
  <c r="BD2107" i="6" s="1"/>
  <c r="BB2108" i="6"/>
  <c r="BD2108" i="6" s="1"/>
  <c r="BB2109" i="6"/>
  <c r="BD2109" i="6" s="1"/>
  <c r="BB2110" i="6"/>
  <c r="BD2110" i="6" s="1"/>
  <c r="BB2111" i="6"/>
  <c r="BD2111" i="6" s="1"/>
  <c r="BB2112" i="6"/>
  <c r="BD2112" i="6" s="1"/>
  <c r="BB2049" i="6"/>
  <c r="BD2049" i="6" s="1"/>
  <c r="BB2050" i="6"/>
  <c r="BD2050" i="6" s="1"/>
  <c r="BB2051" i="6"/>
  <c r="BD2051" i="6" s="1"/>
  <c r="BB2052" i="6"/>
  <c r="BD2052" i="6" s="1"/>
  <c r="BB2053" i="6"/>
  <c r="BD2053" i="6" s="1"/>
  <c r="BB2054" i="6"/>
  <c r="BD2054" i="6" s="1"/>
  <c r="BB2055" i="6"/>
  <c r="BD2055" i="6" s="1"/>
  <c r="BB2056" i="6"/>
  <c r="BD2056" i="6" s="1"/>
  <c r="BB2057" i="6"/>
  <c r="BD2057" i="6" s="1"/>
  <c r="BB2058" i="6"/>
  <c r="BD2058" i="6" s="1"/>
  <c r="BB2059" i="6"/>
  <c r="BD2059" i="6" s="1"/>
  <c r="BB2060" i="6"/>
  <c r="BD2060" i="6" s="1"/>
  <c r="BB2061" i="6"/>
  <c r="BD2061" i="6" s="1"/>
  <c r="BB2062" i="6"/>
  <c r="BD2062" i="6" s="1"/>
  <c r="BB2063" i="6"/>
  <c r="BD2063" i="6" s="1"/>
  <c r="BB2064" i="6"/>
  <c r="BD2064" i="6" s="1"/>
  <c r="BB2065" i="6"/>
  <c r="BD2065" i="6" s="1"/>
  <c r="BB2066" i="6"/>
  <c r="BD2066" i="6" s="1"/>
  <c r="BB2067" i="6"/>
  <c r="BD2067" i="6" s="1"/>
  <c r="BB2068" i="6"/>
  <c r="BD2068" i="6" s="1"/>
  <c r="BB2069" i="6"/>
  <c r="BD2069" i="6" s="1"/>
  <c r="BB2070" i="6"/>
  <c r="BD2070" i="6" s="1"/>
  <c r="BB2071" i="6"/>
  <c r="BD2071" i="6" s="1"/>
  <c r="BB2072" i="6"/>
  <c r="BD2072" i="6" s="1"/>
  <c r="BB2073" i="6"/>
  <c r="BD2073" i="6" s="1"/>
  <c r="BB2074" i="6"/>
  <c r="BD2074" i="6" s="1"/>
  <c r="BB2075" i="6"/>
  <c r="BD2075" i="6" s="1"/>
  <c r="BB2076" i="6"/>
  <c r="BD2076" i="6" s="1"/>
  <c r="BB2077" i="6"/>
  <c r="BD2077" i="6" s="1"/>
  <c r="BB2078" i="6"/>
  <c r="BD2078" i="6" s="1"/>
  <c r="BB2079" i="6"/>
  <c r="BD2079" i="6" s="1"/>
  <c r="BB2080" i="6"/>
  <c r="BD2080" i="6" s="1"/>
  <c r="BB2017" i="6"/>
  <c r="BD2017" i="6" s="1"/>
  <c r="BB2018" i="6"/>
  <c r="BD2018" i="6" s="1"/>
  <c r="BB2019" i="6"/>
  <c r="BD2019" i="6" s="1"/>
  <c r="BB2020" i="6"/>
  <c r="BD2020" i="6" s="1"/>
  <c r="BB2021" i="6"/>
  <c r="BD2021" i="6" s="1"/>
  <c r="BB2022" i="6"/>
  <c r="BD2022" i="6" s="1"/>
  <c r="BB2023" i="6"/>
  <c r="BD2023" i="6" s="1"/>
  <c r="BB2024" i="6"/>
  <c r="BD2024" i="6" s="1"/>
  <c r="BB2025" i="6"/>
  <c r="BD2025" i="6" s="1"/>
  <c r="BB2026" i="6"/>
  <c r="BD2026" i="6" s="1"/>
  <c r="BB2027" i="6"/>
  <c r="BD2027" i="6" s="1"/>
  <c r="BB2028" i="6"/>
  <c r="BD2028" i="6" s="1"/>
  <c r="BB2029" i="6"/>
  <c r="BD2029" i="6" s="1"/>
  <c r="BB2030" i="6"/>
  <c r="BD2030" i="6" s="1"/>
  <c r="BB2031" i="6"/>
  <c r="BD2031" i="6" s="1"/>
  <c r="BB2032" i="6"/>
  <c r="BD2032" i="6" s="1"/>
  <c r="BB2033" i="6"/>
  <c r="BD2033" i="6" s="1"/>
  <c r="BB2034" i="6"/>
  <c r="BD2034" i="6" s="1"/>
  <c r="BB2035" i="6"/>
  <c r="BD2035" i="6" s="1"/>
  <c r="BB2036" i="6"/>
  <c r="BD2036" i="6" s="1"/>
  <c r="BB2037" i="6"/>
  <c r="BD2037" i="6" s="1"/>
  <c r="BB2038" i="6"/>
  <c r="BD2038" i="6" s="1"/>
  <c r="BB2039" i="6"/>
  <c r="BD2039" i="6" s="1"/>
  <c r="BB2040" i="6"/>
  <c r="BD2040" i="6" s="1"/>
  <c r="BB2041" i="6"/>
  <c r="BD2041" i="6" s="1"/>
  <c r="BB2042" i="6"/>
  <c r="BD2042" i="6" s="1"/>
  <c r="BB2043" i="6"/>
  <c r="BD2043" i="6" s="1"/>
  <c r="BB2044" i="6"/>
  <c r="BD2044" i="6" s="1"/>
  <c r="BB2045" i="6"/>
  <c r="BD2045" i="6" s="1"/>
  <c r="BB2046" i="6"/>
  <c r="BD2046" i="6" s="1"/>
  <c r="BB2047" i="6"/>
  <c r="BD2047" i="6" s="1"/>
  <c r="BB2048" i="6"/>
  <c r="BD2048" i="6" s="1"/>
  <c r="BB1985" i="6"/>
  <c r="BD1985" i="6" s="1"/>
  <c r="BB1986" i="6"/>
  <c r="BD1986" i="6" s="1"/>
  <c r="BB1987" i="6"/>
  <c r="BD1987" i="6" s="1"/>
  <c r="BB1988" i="6"/>
  <c r="BD1988" i="6" s="1"/>
  <c r="BB1989" i="6"/>
  <c r="BD1989" i="6" s="1"/>
  <c r="BB1990" i="6"/>
  <c r="BD1990" i="6" s="1"/>
  <c r="BB1991" i="6"/>
  <c r="BD1991" i="6" s="1"/>
  <c r="BB1992" i="6"/>
  <c r="BD1992" i="6" s="1"/>
  <c r="BB1993" i="6"/>
  <c r="BD1993" i="6" s="1"/>
  <c r="BB1994" i="6"/>
  <c r="BD1994" i="6" s="1"/>
  <c r="BB1995" i="6"/>
  <c r="BD1995" i="6" s="1"/>
  <c r="BB1996" i="6"/>
  <c r="BD1996" i="6" s="1"/>
  <c r="BB1997" i="6"/>
  <c r="BD1997" i="6" s="1"/>
  <c r="BB1998" i="6"/>
  <c r="BD1998" i="6" s="1"/>
  <c r="BB1999" i="6"/>
  <c r="BD1999" i="6" s="1"/>
  <c r="BB2000" i="6"/>
  <c r="BD2000" i="6" s="1"/>
  <c r="BB2001" i="6"/>
  <c r="BD2001" i="6" s="1"/>
  <c r="BB2002" i="6"/>
  <c r="BD2002" i="6" s="1"/>
  <c r="BB2003" i="6"/>
  <c r="BD2003" i="6" s="1"/>
  <c r="BB2004" i="6"/>
  <c r="BD2004" i="6" s="1"/>
  <c r="BB2005" i="6"/>
  <c r="BD2005" i="6" s="1"/>
  <c r="BB2006" i="6"/>
  <c r="BD2006" i="6" s="1"/>
  <c r="BB2007" i="6"/>
  <c r="BD2007" i="6" s="1"/>
  <c r="BB2008" i="6"/>
  <c r="BD2008" i="6" s="1"/>
  <c r="BB2009" i="6"/>
  <c r="BD2009" i="6" s="1"/>
  <c r="BB2010" i="6"/>
  <c r="BD2010" i="6" s="1"/>
  <c r="BB2011" i="6"/>
  <c r="BD2011" i="6" s="1"/>
  <c r="BB2012" i="6"/>
  <c r="BD2012" i="6" s="1"/>
  <c r="BB2013" i="6"/>
  <c r="BD2013" i="6" s="1"/>
  <c r="BB2014" i="6"/>
  <c r="BD2014" i="6" s="1"/>
  <c r="BB2015" i="6"/>
  <c r="BD2015" i="6" s="1"/>
  <c r="BB2016" i="6"/>
  <c r="BD2016" i="6" s="1"/>
  <c r="BB1953" i="6"/>
  <c r="BD1953" i="6" s="1"/>
  <c r="BB1954" i="6"/>
  <c r="BD1954" i="6" s="1"/>
  <c r="BB1955" i="6"/>
  <c r="BD1955" i="6" s="1"/>
  <c r="BB1956" i="6"/>
  <c r="BD1956" i="6" s="1"/>
  <c r="BB1957" i="6"/>
  <c r="BD1957" i="6" s="1"/>
  <c r="BB1958" i="6"/>
  <c r="BD1958" i="6" s="1"/>
  <c r="BB1959" i="6"/>
  <c r="BD1959" i="6" s="1"/>
  <c r="BB1960" i="6"/>
  <c r="BD1960" i="6" s="1"/>
  <c r="BB1961" i="6"/>
  <c r="BD1961" i="6" s="1"/>
  <c r="BB1962" i="6"/>
  <c r="BD1962" i="6" s="1"/>
  <c r="BB1963" i="6"/>
  <c r="BD1963" i="6" s="1"/>
  <c r="BB1964" i="6"/>
  <c r="BD1964" i="6" s="1"/>
  <c r="BB1965" i="6"/>
  <c r="BD1965" i="6" s="1"/>
  <c r="BB1966" i="6"/>
  <c r="BD1966" i="6" s="1"/>
  <c r="BB1967" i="6"/>
  <c r="BD1967" i="6" s="1"/>
  <c r="BB1968" i="6"/>
  <c r="BD1968" i="6" s="1"/>
  <c r="BB1969" i="6"/>
  <c r="BD1969" i="6" s="1"/>
  <c r="BB1970" i="6"/>
  <c r="BD1970" i="6" s="1"/>
  <c r="BB1971" i="6"/>
  <c r="BD1971" i="6" s="1"/>
  <c r="BB1972" i="6"/>
  <c r="BD1972" i="6" s="1"/>
  <c r="BB1973" i="6"/>
  <c r="BD1973" i="6" s="1"/>
  <c r="BB1974" i="6"/>
  <c r="BD1974" i="6" s="1"/>
  <c r="BB1975" i="6"/>
  <c r="BD1975" i="6" s="1"/>
  <c r="BB1976" i="6"/>
  <c r="BD1976" i="6" s="1"/>
  <c r="BB1977" i="6"/>
  <c r="BD1977" i="6" s="1"/>
  <c r="BB1978" i="6"/>
  <c r="BD1978" i="6" s="1"/>
  <c r="BB1979" i="6"/>
  <c r="BD1979" i="6" s="1"/>
  <c r="BB1980" i="6"/>
  <c r="BD1980" i="6" s="1"/>
  <c r="BB1981" i="6"/>
  <c r="BD1981" i="6" s="1"/>
  <c r="BB1982" i="6"/>
  <c r="BD1982" i="6" s="1"/>
  <c r="BB1983" i="6"/>
  <c r="BD1983" i="6" s="1"/>
  <c r="BB1984" i="6"/>
  <c r="BD1984" i="6" s="1"/>
  <c r="BB1921" i="6"/>
  <c r="BD1921" i="6" s="1"/>
  <c r="BB1922" i="6"/>
  <c r="BD1922" i="6" s="1"/>
  <c r="BB1923" i="6"/>
  <c r="BD1923" i="6" s="1"/>
  <c r="BB1924" i="6"/>
  <c r="BD1924" i="6" s="1"/>
  <c r="BB1925" i="6"/>
  <c r="BD1925" i="6" s="1"/>
  <c r="BB1926" i="6"/>
  <c r="BD1926" i="6" s="1"/>
  <c r="BB1927" i="6"/>
  <c r="BD1927" i="6" s="1"/>
  <c r="BB1928" i="6"/>
  <c r="BD1928" i="6" s="1"/>
  <c r="BB1929" i="6"/>
  <c r="BD1929" i="6" s="1"/>
  <c r="BB1930" i="6"/>
  <c r="BD1930" i="6" s="1"/>
  <c r="BB1931" i="6"/>
  <c r="BD1931" i="6" s="1"/>
  <c r="BB1932" i="6"/>
  <c r="BD1932" i="6" s="1"/>
  <c r="BB1933" i="6"/>
  <c r="BD1933" i="6" s="1"/>
  <c r="BB1934" i="6"/>
  <c r="BD1934" i="6" s="1"/>
  <c r="BB1935" i="6"/>
  <c r="BD1935" i="6" s="1"/>
  <c r="BB1936" i="6"/>
  <c r="BD1936" i="6" s="1"/>
  <c r="BB1937" i="6"/>
  <c r="BD1937" i="6" s="1"/>
  <c r="BB1938" i="6"/>
  <c r="BD1938" i="6" s="1"/>
  <c r="BB1939" i="6"/>
  <c r="BD1939" i="6" s="1"/>
  <c r="BB1940" i="6"/>
  <c r="BD1940" i="6" s="1"/>
  <c r="BB1941" i="6"/>
  <c r="BD1941" i="6" s="1"/>
  <c r="BB1942" i="6"/>
  <c r="BD1942" i="6" s="1"/>
  <c r="BB1943" i="6"/>
  <c r="BD1943" i="6" s="1"/>
  <c r="BB1944" i="6"/>
  <c r="BD1944" i="6" s="1"/>
  <c r="BB1945" i="6"/>
  <c r="BD1945" i="6" s="1"/>
  <c r="BB1946" i="6"/>
  <c r="BD1946" i="6" s="1"/>
  <c r="BB1947" i="6"/>
  <c r="BD1947" i="6" s="1"/>
  <c r="BB1948" i="6"/>
  <c r="BD1948" i="6" s="1"/>
  <c r="BB1949" i="6"/>
  <c r="BD1949" i="6" s="1"/>
  <c r="BB1950" i="6"/>
  <c r="BD1950" i="6" s="1"/>
  <c r="BB1951" i="6"/>
  <c r="BD1951" i="6" s="1"/>
  <c r="BB1952" i="6"/>
  <c r="BD1952" i="6" s="1"/>
  <c r="BB1889" i="6"/>
  <c r="BD1889" i="6" s="1"/>
  <c r="BB1890" i="6"/>
  <c r="BD1890" i="6" s="1"/>
  <c r="BB1891" i="6"/>
  <c r="BD1891" i="6" s="1"/>
  <c r="BB1892" i="6"/>
  <c r="BD1892" i="6" s="1"/>
  <c r="BB1893" i="6"/>
  <c r="BD1893" i="6" s="1"/>
  <c r="BB1894" i="6"/>
  <c r="BD1894" i="6" s="1"/>
  <c r="BB1895" i="6"/>
  <c r="BD1895" i="6" s="1"/>
  <c r="BB1896" i="6"/>
  <c r="BD1896" i="6" s="1"/>
  <c r="BB1897" i="6"/>
  <c r="BD1897" i="6" s="1"/>
  <c r="BB1898" i="6"/>
  <c r="BD1898" i="6" s="1"/>
  <c r="BB1899" i="6"/>
  <c r="BD1899" i="6" s="1"/>
  <c r="BB1900" i="6"/>
  <c r="BD1900" i="6" s="1"/>
  <c r="BB1901" i="6"/>
  <c r="BD1901" i="6" s="1"/>
  <c r="BB1902" i="6"/>
  <c r="BD1902" i="6" s="1"/>
  <c r="BB1903" i="6"/>
  <c r="BD1903" i="6" s="1"/>
  <c r="BB1904" i="6"/>
  <c r="BD1904" i="6" s="1"/>
  <c r="BB1905" i="6"/>
  <c r="BD1905" i="6" s="1"/>
  <c r="BB1906" i="6"/>
  <c r="BD1906" i="6" s="1"/>
  <c r="BB1907" i="6"/>
  <c r="BD1907" i="6" s="1"/>
  <c r="BB1908" i="6"/>
  <c r="BD1908" i="6" s="1"/>
  <c r="BB1909" i="6"/>
  <c r="BD1909" i="6" s="1"/>
  <c r="BB1910" i="6"/>
  <c r="BD1910" i="6" s="1"/>
  <c r="BB1911" i="6"/>
  <c r="BD1911" i="6" s="1"/>
  <c r="BB1912" i="6"/>
  <c r="BD1912" i="6" s="1"/>
  <c r="BB1913" i="6"/>
  <c r="BD1913" i="6" s="1"/>
  <c r="BB1914" i="6"/>
  <c r="BD1914" i="6" s="1"/>
  <c r="BB1915" i="6"/>
  <c r="BD1915" i="6" s="1"/>
  <c r="BB1916" i="6"/>
  <c r="BD1916" i="6" s="1"/>
  <c r="BB1917" i="6"/>
  <c r="BD1917" i="6" s="1"/>
  <c r="BB1918" i="6"/>
  <c r="BD1918" i="6" s="1"/>
  <c r="BB1919" i="6"/>
  <c r="BD1919" i="6" s="1"/>
  <c r="BB1920" i="6"/>
  <c r="BD1920" i="6" s="1"/>
  <c r="BB1857" i="6"/>
  <c r="BD1857" i="6" s="1"/>
  <c r="BB1858" i="6"/>
  <c r="BD1858" i="6" s="1"/>
  <c r="BB1859" i="6"/>
  <c r="BD1859" i="6" s="1"/>
  <c r="BB1860" i="6"/>
  <c r="BD1860" i="6" s="1"/>
  <c r="BB1861" i="6"/>
  <c r="BD1861" i="6" s="1"/>
  <c r="BB1862" i="6"/>
  <c r="BD1862" i="6" s="1"/>
  <c r="BB1863" i="6"/>
  <c r="BD1863" i="6" s="1"/>
  <c r="BB1864" i="6"/>
  <c r="BD1864" i="6" s="1"/>
  <c r="BB1865" i="6"/>
  <c r="BD1865" i="6" s="1"/>
  <c r="BB1866" i="6"/>
  <c r="BD1866" i="6" s="1"/>
  <c r="BB1867" i="6"/>
  <c r="BD1867" i="6" s="1"/>
  <c r="BB1868" i="6"/>
  <c r="BD1868" i="6" s="1"/>
  <c r="BB1869" i="6"/>
  <c r="BD1869" i="6" s="1"/>
  <c r="BB1870" i="6"/>
  <c r="BD1870" i="6" s="1"/>
  <c r="BB1871" i="6"/>
  <c r="BD1871" i="6" s="1"/>
  <c r="BB1872" i="6"/>
  <c r="BD1872" i="6" s="1"/>
  <c r="BB1873" i="6"/>
  <c r="BD1873" i="6" s="1"/>
  <c r="BB1874" i="6"/>
  <c r="BD1874" i="6" s="1"/>
  <c r="BB1875" i="6"/>
  <c r="BD1875" i="6" s="1"/>
  <c r="BB1876" i="6"/>
  <c r="BD1876" i="6" s="1"/>
  <c r="BB1877" i="6"/>
  <c r="BD1877" i="6" s="1"/>
  <c r="BB1878" i="6"/>
  <c r="BD1878" i="6" s="1"/>
  <c r="BB1879" i="6"/>
  <c r="BD1879" i="6" s="1"/>
  <c r="BB1880" i="6"/>
  <c r="BD1880" i="6" s="1"/>
  <c r="BB1881" i="6"/>
  <c r="BD1881" i="6" s="1"/>
  <c r="BB1882" i="6"/>
  <c r="BD1882" i="6" s="1"/>
  <c r="BB1883" i="6"/>
  <c r="BD1883" i="6" s="1"/>
  <c r="BB1884" i="6"/>
  <c r="BD1884" i="6" s="1"/>
  <c r="BB1885" i="6"/>
  <c r="BD1885" i="6" s="1"/>
  <c r="BB1886" i="6"/>
  <c r="BD1886" i="6" s="1"/>
  <c r="BB1887" i="6"/>
  <c r="BD1887" i="6" s="1"/>
  <c r="BB1888" i="6"/>
  <c r="BD1888" i="6" s="1"/>
  <c r="BB1825" i="6"/>
  <c r="BD1825" i="6" s="1"/>
  <c r="BB1826" i="6"/>
  <c r="BD1826" i="6" s="1"/>
  <c r="BB1827" i="6"/>
  <c r="BD1827" i="6" s="1"/>
  <c r="BB1828" i="6"/>
  <c r="BD1828" i="6" s="1"/>
  <c r="BB1829" i="6"/>
  <c r="BD1829" i="6" s="1"/>
  <c r="BB1830" i="6"/>
  <c r="BD1830" i="6" s="1"/>
  <c r="BB1831" i="6"/>
  <c r="BD1831" i="6" s="1"/>
  <c r="BB1832" i="6"/>
  <c r="BD1832" i="6" s="1"/>
  <c r="BB1833" i="6"/>
  <c r="BD1833" i="6" s="1"/>
  <c r="BB1834" i="6"/>
  <c r="BD1834" i="6" s="1"/>
  <c r="BB1835" i="6"/>
  <c r="BD1835" i="6" s="1"/>
  <c r="BB1836" i="6"/>
  <c r="BD1836" i="6" s="1"/>
  <c r="BB1837" i="6"/>
  <c r="BD1837" i="6" s="1"/>
  <c r="BB1838" i="6"/>
  <c r="BD1838" i="6" s="1"/>
  <c r="BB1839" i="6"/>
  <c r="BD1839" i="6" s="1"/>
  <c r="BB1840" i="6"/>
  <c r="BD1840" i="6" s="1"/>
  <c r="BB1841" i="6"/>
  <c r="BD1841" i="6" s="1"/>
  <c r="BB1842" i="6"/>
  <c r="BD1842" i="6" s="1"/>
  <c r="BB1843" i="6"/>
  <c r="BD1843" i="6" s="1"/>
  <c r="BB1844" i="6"/>
  <c r="BD1844" i="6" s="1"/>
  <c r="BB1845" i="6"/>
  <c r="BD1845" i="6" s="1"/>
  <c r="BB1846" i="6"/>
  <c r="BD1846" i="6" s="1"/>
  <c r="BB1847" i="6"/>
  <c r="BD1847" i="6" s="1"/>
  <c r="BB1848" i="6"/>
  <c r="BD1848" i="6" s="1"/>
  <c r="BB1849" i="6"/>
  <c r="BD1849" i="6" s="1"/>
  <c r="BB1850" i="6"/>
  <c r="BD1850" i="6" s="1"/>
  <c r="BB1851" i="6"/>
  <c r="BD1851" i="6" s="1"/>
  <c r="BB1852" i="6"/>
  <c r="BD1852" i="6" s="1"/>
  <c r="BB1853" i="6"/>
  <c r="BD1853" i="6" s="1"/>
  <c r="BB1854" i="6"/>
  <c r="BD1854" i="6" s="1"/>
  <c r="BB1855" i="6"/>
  <c r="BD1855" i="6" s="1"/>
  <c r="BB1856" i="6"/>
  <c r="BD1856" i="6" s="1"/>
  <c r="BB1793" i="6"/>
  <c r="BD1793" i="6" s="1"/>
  <c r="BB1794" i="6"/>
  <c r="BD1794" i="6" s="1"/>
  <c r="BB1795" i="6"/>
  <c r="BD1795" i="6" s="1"/>
  <c r="BB1796" i="6"/>
  <c r="BD1796" i="6" s="1"/>
  <c r="BB1797" i="6"/>
  <c r="BD1797" i="6" s="1"/>
  <c r="BB1798" i="6"/>
  <c r="BD1798" i="6" s="1"/>
  <c r="BB1799" i="6"/>
  <c r="BD1799" i="6" s="1"/>
  <c r="BB1800" i="6"/>
  <c r="BD1800" i="6" s="1"/>
  <c r="BB1801" i="6"/>
  <c r="BD1801" i="6" s="1"/>
  <c r="BB1802" i="6"/>
  <c r="BD1802" i="6" s="1"/>
  <c r="BB1803" i="6"/>
  <c r="BD1803" i="6" s="1"/>
  <c r="BB1804" i="6"/>
  <c r="BD1804" i="6" s="1"/>
  <c r="BB1805" i="6"/>
  <c r="BD1805" i="6" s="1"/>
  <c r="BB1806" i="6"/>
  <c r="BD1806" i="6" s="1"/>
  <c r="BB1807" i="6"/>
  <c r="BD1807" i="6" s="1"/>
  <c r="BB1808" i="6"/>
  <c r="BD1808" i="6" s="1"/>
  <c r="BB1809" i="6"/>
  <c r="BD1809" i="6" s="1"/>
  <c r="BB1810" i="6"/>
  <c r="BD1810" i="6" s="1"/>
  <c r="BB1811" i="6"/>
  <c r="BD1811" i="6" s="1"/>
  <c r="BB1812" i="6"/>
  <c r="BD1812" i="6" s="1"/>
  <c r="BB1813" i="6"/>
  <c r="BD1813" i="6" s="1"/>
  <c r="BB1814" i="6"/>
  <c r="BD1814" i="6" s="1"/>
  <c r="BB1815" i="6"/>
  <c r="BD1815" i="6" s="1"/>
  <c r="BB1816" i="6"/>
  <c r="BD1816" i="6" s="1"/>
  <c r="BB1817" i="6"/>
  <c r="BD1817" i="6" s="1"/>
  <c r="BB1818" i="6"/>
  <c r="BD1818" i="6" s="1"/>
  <c r="BB1819" i="6"/>
  <c r="BD1819" i="6" s="1"/>
  <c r="BB1820" i="6"/>
  <c r="BD1820" i="6" s="1"/>
  <c r="BB1821" i="6"/>
  <c r="BD1821" i="6" s="1"/>
  <c r="BB1822" i="6"/>
  <c r="BD1822" i="6" s="1"/>
  <c r="BB1823" i="6"/>
  <c r="BD1823" i="6" s="1"/>
  <c r="BB1824" i="6"/>
  <c r="BD1824" i="6" s="1"/>
  <c r="BB1761" i="6"/>
  <c r="BD1761" i="6" s="1"/>
  <c r="BB1762" i="6"/>
  <c r="BD1762" i="6" s="1"/>
  <c r="BB1763" i="6"/>
  <c r="BD1763" i="6" s="1"/>
  <c r="BB1764" i="6"/>
  <c r="BD1764" i="6" s="1"/>
  <c r="BB1765" i="6"/>
  <c r="BD1765" i="6" s="1"/>
  <c r="BB1766" i="6"/>
  <c r="BD1766" i="6" s="1"/>
  <c r="BB1767" i="6"/>
  <c r="BD1767" i="6" s="1"/>
  <c r="BB1768" i="6"/>
  <c r="BD1768" i="6" s="1"/>
  <c r="BB1769" i="6"/>
  <c r="BD1769" i="6" s="1"/>
  <c r="BB1770" i="6"/>
  <c r="BD1770" i="6" s="1"/>
  <c r="BB1771" i="6"/>
  <c r="BD1771" i="6" s="1"/>
  <c r="BB1772" i="6"/>
  <c r="BD1772" i="6" s="1"/>
  <c r="BB1773" i="6"/>
  <c r="BD1773" i="6" s="1"/>
  <c r="BB1774" i="6"/>
  <c r="BD1774" i="6" s="1"/>
  <c r="BB1775" i="6"/>
  <c r="BD1775" i="6" s="1"/>
  <c r="BB1776" i="6"/>
  <c r="BD1776" i="6" s="1"/>
  <c r="BB1777" i="6"/>
  <c r="BD1777" i="6" s="1"/>
  <c r="BB1778" i="6"/>
  <c r="BD1778" i="6" s="1"/>
  <c r="BB1779" i="6"/>
  <c r="BD1779" i="6" s="1"/>
  <c r="BB1780" i="6"/>
  <c r="BD1780" i="6" s="1"/>
  <c r="BB1781" i="6"/>
  <c r="BD1781" i="6" s="1"/>
  <c r="BB1782" i="6"/>
  <c r="BD1782" i="6" s="1"/>
  <c r="BB1783" i="6"/>
  <c r="BD1783" i="6" s="1"/>
  <c r="BB1784" i="6"/>
  <c r="BD1784" i="6" s="1"/>
  <c r="BB1785" i="6"/>
  <c r="BD1785" i="6" s="1"/>
  <c r="BB1786" i="6"/>
  <c r="BD1786" i="6" s="1"/>
  <c r="BB1787" i="6"/>
  <c r="BD1787" i="6" s="1"/>
  <c r="BB1788" i="6"/>
  <c r="BD1788" i="6" s="1"/>
  <c r="BB1789" i="6"/>
  <c r="BD1789" i="6" s="1"/>
  <c r="BB1790" i="6"/>
  <c r="BD1790" i="6" s="1"/>
  <c r="BB1791" i="6"/>
  <c r="BD1791" i="6" s="1"/>
  <c r="BB1792" i="6"/>
  <c r="BD1792" i="6" s="1"/>
  <c r="BB1729" i="6"/>
  <c r="BD1729" i="6" s="1"/>
  <c r="BB1730" i="6"/>
  <c r="BD1730" i="6" s="1"/>
  <c r="BB1731" i="6"/>
  <c r="BD1731" i="6" s="1"/>
  <c r="BB1732" i="6"/>
  <c r="BD1732" i="6" s="1"/>
  <c r="BB1733" i="6"/>
  <c r="BD1733" i="6" s="1"/>
  <c r="BB1734" i="6"/>
  <c r="BD1734" i="6" s="1"/>
  <c r="BB1735" i="6"/>
  <c r="BD1735" i="6" s="1"/>
  <c r="BB1736" i="6"/>
  <c r="BD1736" i="6" s="1"/>
  <c r="BB1737" i="6"/>
  <c r="BD1737" i="6" s="1"/>
  <c r="BB1738" i="6"/>
  <c r="BD1738" i="6" s="1"/>
  <c r="BB1739" i="6"/>
  <c r="BD1739" i="6" s="1"/>
  <c r="BB1740" i="6"/>
  <c r="BD1740" i="6" s="1"/>
  <c r="BB1741" i="6"/>
  <c r="BD1741" i="6" s="1"/>
  <c r="BB1742" i="6"/>
  <c r="BD1742" i="6" s="1"/>
  <c r="BB1743" i="6"/>
  <c r="BD1743" i="6" s="1"/>
  <c r="BB1744" i="6"/>
  <c r="BD1744" i="6" s="1"/>
  <c r="BB1745" i="6"/>
  <c r="BD1745" i="6" s="1"/>
  <c r="BB1746" i="6"/>
  <c r="BD1746" i="6" s="1"/>
  <c r="BB1747" i="6"/>
  <c r="BD1747" i="6" s="1"/>
  <c r="BB1748" i="6"/>
  <c r="BD1748" i="6" s="1"/>
  <c r="BB1749" i="6"/>
  <c r="BD1749" i="6" s="1"/>
  <c r="BB1750" i="6"/>
  <c r="BD1750" i="6" s="1"/>
  <c r="BB1751" i="6"/>
  <c r="BD1751" i="6" s="1"/>
  <c r="BB1752" i="6"/>
  <c r="BD1752" i="6" s="1"/>
  <c r="BB1753" i="6"/>
  <c r="BD1753" i="6" s="1"/>
  <c r="BB1754" i="6"/>
  <c r="BD1754" i="6" s="1"/>
  <c r="BB1755" i="6"/>
  <c r="BD1755" i="6" s="1"/>
  <c r="BB1756" i="6"/>
  <c r="BD1756" i="6" s="1"/>
  <c r="BB1757" i="6"/>
  <c r="BD1757" i="6" s="1"/>
  <c r="BB1758" i="6"/>
  <c r="BD1758" i="6" s="1"/>
  <c r="BB1759" i="6"/>
  <c r="BD1759" i="6" s="1"/>
  <c r="BB1760" i="6"/>
  <c r="BD1760" i="6" s="1"/>
  <c r="BB1697" i="6"/>
  <c r="BD1697" i="6" s="1"/>
  <c r="BB1698" i="6"/>
  <c r="BD1698" i="6" s="1"/>
  <c r="BB1699" i="6"/>
  <c r="BD1699" i="6" s="1"/>
  <c r="BB1700" i="6"/>
  <c r="BD1700" i="6" s="1"/>
  <c r="BB1701" i="6"/>
  <c r="BD1701" i="6" s="1"/>
  <c r="BB1702" i="6"/>
  <c r="BD1702" i="6" s="1"/>
  <c r="BB1703" i="6"/>
  <c r="BD1703" i="6" s="1"/>
  <c r="BB1704" i="6"/>
  <c r="BD1704" i="6" s="1"/>
  <c r="BB1705" i="6"/>
  <c r="BD1705" i="6" s="1"/>
  <c r="BB1706" i="6"/>
  <c r="BD1706" i="6" s="1"/>
  <c r="BB1707" i="6"/>
  <c r="BD1707" i="6" s="1"/>
  <c r="BB1708" i="6"/>
  <c r="BD1708" i="6" s="1"/>
  <c r="BB1709" i="6"/>
  <c r="BD1709" i="6" s="1"/>
  <c r="BB1710" i="6"/>
  <c r="BD1710" i="6" s="1"/>
  <c r="BB1711" i="6"/>
  <c r="BD1711" i="6" s="1"/>
  <c r="BB1712" i="6"/>
  <c r="BD1712" i="6" s="1"/>
  <c r="BB1713" i="6"/>
  <c r="BD1713" i="6" s="1"/>
  <c r="BB1714" i="6"/>
  <c r="BD1714" i="6" s="1"/>
  <c r="BB1715" i="6"/>
  <c r="BD1715" i="6" s="1"/>
  <c r="BB1716" i="6"/>
  <c r="BD1716" i="6" s="1"/>
  <c r="BB1717" i="6"/>
  <c r="BD1717" i="6" s="1"/>
  <c r="BB1718" i="6"/>
  <c r="BD1718" i="6" s="1"/>
  <c r="BB1719" i="6"/>
  <c r="BD1719" i="6" s="1"/>
  <c r="BB1720" i="6"/>
  <c r="BD1720" i="6" s="1"/>
  <c r="BB1721" i="6"/>
  <c r="BD1721" i="6" s="1"/>
  <c r="BB1722" i="6"/>
  <c r="BD1722" i="6" s="1"/>
  <c r="BB1723" i="6"/>
  <c r="BD1723" i="6" s="1"/>
  <c r="BB1724" i="6"/>
  <c r="BD1724" i="6" s="1"/>
  <c r="BB1725" i="6"/>
  <c r="BD1725" i="6" s="1"/>
  <c r="BB1726" i="6"/>
  <c r="BD1726" i="6" s="1"/>
  <c r="BB1727" i="6"/>
  <c r="BD1727" i="6" s="1"/>
  <c r="BB1728" i="6"/>
  <c r="BD1728" i="6" s="1"/>
  <c r="BB1665" i="6"/>
  <c r="BD1665" i="6" s="1"/>
  <c r="BB1666" i="6"/>
  <c r="BD1666" i="6" s="1"/>
  <c r="BB1667" i="6"/>
  <c r="BD1667" i="6" s="1"/>
  <c r="BB1668" i="6"/>
  <c r="BD1668" i="6" s="1"/>
  <c r="BB1669" i="6"/>
  <c r="BD1669" i="6" s="1"/>
  <c r="BB1670" i="6"/>
  <c r="BD1670" i="6" s="1"/>
  <c r="BB1671" i="6"/>
  <c r="BD1671" i="6" s="1"/>
  <c r="BB1672" i="6"/>
  <c r="BD1672" i="6" s="1"/>
  <c r="BB1673" i="6"/>
  <c r="BD1673" i="6" s="1"/>
  <c r="BB1674" i="6"/>
  <c r="BD1674" i="6" s="1"/>
  <c r="BB1675" i="6"/>
  <c r="BD1675" i="6" s="1"/>
  <c r="BB1676" i="6"/>
  <c r="BD1676" i="6" s="1"/>
  <c r="BB1677" i="6"/>
  <c r="BD1677" i="6" s="1"/>
  <c r="BB1678" i="6"/>
  <c r="BD1678" i="6" s="1"/>
  <c r="BB1679" i="6"/>
  <c r="BD1679" i="6" s="1"/>
  <c r="BB1680" i="6"/>
  <c r="BD1680" i="6" s="1"/>
  <c r="BB1681" i="6"/>
  <c r="BD1681" i="6" s="1"/>
  <c r="BB1682" i="6"/>
  <c r="BD1682" i="6" s="1"/>
  <c r="BB1683" i="6"/>
  <c r="BD1683" i="6" s="1"/>
  <c r="BB1684" i="6"/>
  <c r="BD1684" i="6" s="1"/>
  <c r="BB1685" i="6"/>
  <c r="BD1685" i="6" s="1"/>
  <c r="BB1686" i="6"/>
  <c r="BD1686" i="6" s="1"/>
  <c r="BB1687" i="6"/>
  <c r="BD1687" i="6" s="1"/>
  <c r="BB1688" i="6"/>
  <c r="BD1688" i="6" s="1"/>
  <c r="BB1689" i="6"/>
  <c r="BD1689" i="6" s="1"/>
  <c r="BB1690" i="6"/>
  <c r="BD1690" i="6" s="1"/>
  <c r="BB1691" i="6"/>
  <c r="BD1691" i="6" s="1"/>
  <c r="BB1692" i="6"/>
  <c r="BD1692" i="6" s="1"/>
  <c r="BB1693" i="6"/>
  <c r="BD1693" i="6" s="1"/>
  <c r="BB1694" i="6"/>
  <c r="BD1694" i="6" s="1"/>
  <c r="BB1695" i="6"/>
  <c r="BD1695" i="6" s="1"/>
  <c r="BB1696" i="6"/>
  <c r="BD1696" i="6" s="1"/>
  <c r="BB1633" i="6"/>
  <c r="BD1633" i="6" s="1"/>
  <c r="BB1634" i="6"/>
  <c r="BD1634" i="6" s="1"/>
  <c r="BB1635" i="6"/>
  <c r="BD1635" i="6" s="1"/>
  <c r="BB1636" i="6"/>
  <c r="BD1636" i="6" s="1"/>
  <c r="BB1637" i="6"/>
  <c r="BD1637" i="6" s="1"/>
  <c r="BB1638" i="6"/>
  <c r="BD1638" i="6" s="1"/>
  <c r="BB1639" i="6"/>
  <c r="BD1639" i="6" s="1"/>
  <c r="BB1640" i="6"/>
  <c r="BD1640" i="6" s="1"/>
  <c r="BB1641" i="6"/>
  <c r="BD1641" i="6" s="1"/>
  <c r="BB1642" i="6"/>
  <c r="BD1642" i="6" s="1"/>
  <c r="BB1643" i="6"/>
  <c r="BD1643" i="6" s="1"/>
  <c r="BB1644" i="6"/>
  <c r="BD1644" i="6" s="1"/>
  <c r="BB1645" i="6"/>
  <c r="BD1645" i="6" s="1"/>
  <c r="BB1646" i="6"/>
  <c r="BD1646" i="6" s="1"/>
  <c r="BB1647" i="6"/>
  <c r="BD1647" i="6" s="1"/>
  <c r="BB1648" i="6"/>
  <c r="BD1648" i="6" s="1"/>
  <c r="BB1649" i="6"/>
  <c r="BD1649" i="6" s="1"/>
  <c r="BB1650" i="6"/>
  <c r="BD1650" i="6" s="1"/>
  <c r="BB1651" i="6"/>
  <c r="BD1651" i="6" s="1"/>
  <c r="BB1652" i="6"/>
  <c r="BD1652" i="6" s="1"/>
  <c r="BB1653" i="6"/>
  <c r="BD1653" i="6" s="1"/>
  <c r="BB1654" i="6"/>
  <c r="BD1654" i="6" s="1"/>
  <c r="BB1655" i="6"/>
  <c r="BD1655" i="6" s="1"/>
  <c r="BB1656" i="6"/>
  <c r="BD1656" i="6" s="1"/>
  <c r="BB1657" i="6"/>
  <c r="BD1657" i="6" s="1"/>
  <c r="BB1658" i="6"/>
  <c r="BD1658" i="6" s="1"/>
  <c r="BB1659" i="6"/>
  <c r="BD1659" i="6" s="1"/>
  <c r="BB1660" i="6"/>
  <c r="BD1660" i="6" s="1"/>
  <c r="BB1661" i="6"/>
  <c r="BD1661" i="6" s="1"/>
  <c r="BB1662" i="6"/>
  <c r="BD1662" i="6" s="1"/>
  <c r="BB1663" i="6"/>
  <c r="BD1663" i="6" s="1"/>
  <c r="BB1664" i="6"/>
  <c r="BD1664" i="6" s="1"/>
  <c r="BB1601" i="6"/>
  <c r="BD1601" i="6" s="1"/>
  <c r="BB1602" i="6"/>
  <c r="BD1602" i="6" s="1"/>
  <c r="BB1603" i="6"/>
  <c r="BD1603" i="6" s="1"/>
  <c r="BB1604" i="6"/>
  <c r="BD1604" i="6" s="1"/>
  <c r="BB1605" i="6"/>
  <c r="BD1605" i="6" s="1"/>
  <c r="BB1606" i="6"/>
  <c r="BD1606" i="6" s="1"/>
  <c r="BB1607" i="6"/>
  <c r="BD1607" i="6" s="1"/>
  <c r="BB1608" i="6"/>
  <c r="BD1608" i="6" s="1"/>
  <c r="BB1609" i="6"/>
  <c r="BD1609" i="6" s="1"/>
  <c r="BB1610" i="6"/>
  <c r="BD1610" i="6" s="1"/>
  <c r="BB1611" i="6"/>
  <c r="BD1611" i="6" s="1"/>
  <c r="BB1612" i="6"/>
  <c r="BD1612" i="6" s="1"/>
  <c r="BB1613" i="6"/>
  <c r="BD1613" i="6" s="1"/>
  <c r="BB1614" i="6"/>
  <c r="BD1614" i="6" s="1"/>
  <c r="BB1615" i="6"/>
  <c r="BD1615" i="6" s="1"/>
  <c r="BB1616" i="6"/>
  <c r="BD1616" i="6" s="1"/>
  <c r="BB1617" i="6"/>
  <c r="BD1617" i="6" s="1"/>
  <c r="BB1618" i="6"/>
  <c r="BD1618" i="6" s="1"/>
  <c r="BB1619" i="6"/>
  <c r="BD1619" i="6" s="1"/>
  <c r="BB1620" i="6"/>
  <c r="BD1620" i="6" s="1"/>
  <c r="BB1621" i="6"/>
  <c r="BD1621" i="6" s="1"/>
  <c r="BB1622" i="6"/>
  <c r="BD1622" i="6" s="1"/>
  <c r="BB1623" i="6"/>
  <c r="BD1623" i="6" s="1"/>
  <c r="BB1624" i="6"/>
  <c r="BD1624" i="6" s="1"/>
  <c r="BB1625" i="6"/>
  <c r="BD1625" i="6" s="1"/>
  <c r="BB1626" i="6"/>
  <c r="BD1626" i="6" s="1"/>
  <c r="BB1627" i="6"/>
  <c r="BD1627" i="6" s="1"/>
  <c r="BB1628" i="6"/>
  <c r="BD1628" i="6" s="1"/>
  <c r="BB1629" i="6"/>
  <c r="BD1629" i="6" s="1"/>
  <c r="BB1630" i="6"/>
  <c r="BD1630" i="6" s="1"/>
  <c r="BB1631" i="6"/>
  <c r="BD1631" i="6" s="1"/>
  <c r="BB1632" i="6"/>
  <c r="BD1632" i="6" s="1"/>
  <c r="BB1569" i="6"/>
  <c r="BD1569" i="6" s="1"/>
  <c r="BB1570" i="6"/>
  <c r="BD1570" i="6" s="1"/>
  <c r="BB1571" i="6"/>
  <c r="BD1571" i="6" s="1"/>
  <c r="BB1572" i="6"/>
  <c r="BD1572" i="6" s="1"/>
  <c r="BB1573" i="6"/>
  <c r="BD1573" i="6" s="1"/>
  <c r="BB1574" i="6"/>
  <c r="BD1574" i="6" s="1"/>
  <c r="BB1575" i="6"/>
  <c r="BD1575" i="6" s="1"/>
  <c r="BB1576" i="6"/>
  <c r="BD1576" i="6" s="1"/>
  <c r="BB1577" i="6"/>
  <c r="BD1577" i="6" s="1"/>
  <c r="BB1578" i="6"/>
  <c r="BD1578" i="6" s="1"/>
  <c r="BB1579" i="6"/>
  <c r="BD1579" i="6" s="1"/>
  <c r="BB1580" i="6"/>
  <c r="BD1580" i="6" s="1"/>
  <c r="BB1581" i="6"/>
  <c r="BD1581" i="6" s="1"/>
  <c r="BB1582" i="6"/>
  <c r="BD1582" i="6" s="1"/>
  <c r="BB1583" i="6"/>
  <c r="BD1583" i="6" s="1"/>
  <c r="BB1584" i="6"/>
  <c r="BD1584" i="6" s="1"/>
  <c r="BB1585" i="6"/>
  <c r="BD1585" i="6" s="1"/>
  <c r="BB1586" i="6"/>
  <c r="BD1586" i="6" s="1"/>
  <c r="BB1587" i="6"/>
  <c r="BD1587" i="6" s="1"/>
  <c r="BB1588" i="6"/>
  <c r="BD1588" i="6" s="1"/>
  <c r="BB1589" i="6"/>
  <c r="BD1589" i="6" s="1"/>
  <c r="BB1590" i="6"/>
  <c r="BD1590" i="6" s="1"/>
  <c r="BB1591" i="6"/>
  <c r="BD1591" i="6" s="1"/>
  <c r="BB1592" i="6"/>
  <c r="BD1592" i="6" s="1"/>
  <c r="BB1593" i="6"/>
  <c r="BD1593" i="6" s="1"/>
  <c r="BB1594" i="6"/>
  <c r="BD1594" i="6" s="1"/>
  <c r="BB1595" i="6"/>
  <c r="BD1595" i="6" s="1"/>
  <c r="BB1596" i="6"/>
  <c r="BD1596" i="6" s="1"/>
  <c r="BB1597" i="6"/>
  <c r="BD1597" i="6" s="1"/>
  <c r="BB1598" i="6"/>
  <c r="BD1598" i="6" s="1"/>
  <c r="BB1599" i="6"/>
  <c r="BD1599" i="6" s="1"/>
  <c r="BB1600" i="6"/>
  <c r="BD1600" i="6" s="1"/>
  <c r="BB1537" i="6"/>
  <c r="BD1537" i="6" s="1"/>
  <c r="BB1538" i="6"/>
  <c r="BD1538" i="6" s="1"/>
  <c r="BB1539" i="6"/>
  <c r="BD1539" i="6" s="1"/>
  <c r="BB1540" i="6"/>
  <c r="BD1540" i="6" s="1"/>
  <c r="BB1541" i="6"/>
  <c r="BD1541" i="6" s="1"/>
  <c r="BB1542" i="6"/>
  <c r="BD1542" i="6" s="1"/>
  <c r="BB1543" i="6"/>
  <c r="BD1543" i="6" s="1"/>
  <c r="BB1544" i="6"/>
  <c r="BD1544" i="6" s="1"/>
  <c r="BB1545" i="6"/>
  <c r="BD1545" i="6" s="1"/>
  <c r="BB1546" i="6"/>
  <c r="BD1546" i="6" s="1"/>
  <c r="BB1547" i="6"/>
  <c r="BD1547" i="6" s="1"/>
  <c r="BB1548" i="6"/>
  <c r="BD1548" i="6" s="1"/>
  <c r="BB1549" i="6"/>
  <c r="BD1549" i="6" s="1"/>
  <c r="BB1550" i="6"/>
  <c r="BD1550" i="6" s="1"/>
  <c r="BB1551" i="6"/>
  <c r="BD1551" i="6" s="1"/>
  <c r="BB1552" i="6"/>
  <c r="BD1552" i="6" s="1"/>
  <c r="BB1553" i="6"/>
  <c r="BD1553" i="6" s="1"/>
  <c r="BB1554" i="6"/>
  <c r="BD1554" i="6" s="1"/>
  <c r="BB1555" i="6"/>
  <c r="BD1555" i="6" s="1"/>
  <c r="BB1556" i="6"/>
  <c r="BD1556" i="6" s="1"/>
  <c r="BB1557" i="6"/>
  <c r="BD1557" i="6" s="1"/>
  <c r="BB1558" i="6"/>
  <c r="BD1558" i="6" s="1"/>
  <c r="BB1559" i="6"/>
  <c r="BD1559" i="6" s="1"/>
  <c r="BB1560" i="6"/>
  <c r="BD1560" i="6" s="1"/>
  <c r="BB1561" i="6"/>
  <c r="BD1561" i="6" s="1"/>
  <c r="BB1562" i="6"/>
  <c r="BD1562" i="6" s="1"/>
  <c r="BB1563" i="6"/>
  <c r="BD1563" i="6" s="1"/>
  <c r="BB1564" i="6"/>
  <c r="BD1564" i="6" s="1"/>
  <c r="BB1565" i="6"/>
  <c r="BD1565" i="6" s="1"/>
  <c r="BB1566" i="6"/>
  <c r="BD1566" i="6" s="1"/>
  <c r="BB1567" i="6"/>
  <c r="BD1567" i="6" s="1"/>
  <c r="BB1568" i="6"/>
  <c r="BD1568" i="6" s="1"/>
  <c r="BB1505" i="6"/>
  <c r="BD1505" i="6" s="1"/>
  <c r="BB1506" i="6"/>
  <c r="BD1506" i="6" s="1"/>
  <c r="BB1507" i="6"/>
  <c r="BD1507" i="6" s="1"/>
  <c r="BB1508" i="6"/>
  <c r="BD1508" i="6" s="1"/>
  <c r="BB1509" i="6"/>
  <c r="BD1509" i="6" s="1"/>
  <c r="BB1510" i="6"/>
  <c r="BD1510" i="6" s="1"/>
  <c r="BB1511" i="6"/>
  <c r="BD1511" i="6" s="1"/>
  <c r="BB1512" i="6"/>
  <c r="BD1512" i="6" s="1"/>
  <c r="BB1513" i="6"/>
  <c r="BD1513" i="6" s="1"/>
  <c r="BB1514" i="6"/>
  <c r="BD1514" i="6" s="1"/>
  <c r="BB1515" i="6"/>
  <c r="BD1515" i="6" s="1"/>
  <c r="BB1516" i="6"/>
  <c r="BD1516" i="6" s="1"/>
  <c r="BB1517" i="6"/>
  <c r="BD1517" i="6" s="1"/>
  <c r="BB1518" i="6"/>
  <c r="BD1518" i="6" s="1"/>
  <c r="BB1519" i="6"/>
  <c r="BD1519" i="6" s="1"/>
  <c r="BB1520" i="6"/>
  <c r="BD1520" i="6" s="1"/>
  <c r="BB1521" i="6"/>
  <c r="BD1521" i="6" s="1"/>
  <c r="BB1522" i="6"/>
  <c r="BD1522" i="6" s="1"/>
  <c r="BB1523" i="6"/>
  <c r="BD1523" i="6" s="1"/>
  <c r="BB1524" i="6"/>
  <c r="BD1524" i="6" s="1"/>
  <c r="BB1525" i="6"/>
  <c r="BD1525" i="6" s="1"/>
  <c r="BB1526" i="6"/>
  <c r="BD1526" i="6" s="1"/>
  <c r="BB1527" i="6"/>
  <c r="BD1527" i="6" s="1"/>
  <c r="BB1528" i="6"/>
  <c r="BD1528" i="6" s="1"/>
  <c r="BB1529" i="6"/>
  <c r="BD1529" i="6" s="1"/>
  <c r="BB1530" i="6"/>
  <c r="BD1530" i="6" s="1"/>
  <c r="BB1531" i="6"/>
  <c r="BD1531" i="6" s="1"/>
  <c r="BB1532" i="6"/>
  <c r="BD1532" i="6" s="1"/>
  <c r="BB1533" i="6"/>
  <c r="BD1533" i="6" s="1"/>
  <c r="BB1534" i="6"/>
  <c r="BD1534" i="6" s="1"/>
  <c r="BB1535" i="6"/>
  <c r="BD1535" i="6" s="1"/>
  <c r="BB1536" i="6"/>
  <c r="BD1536" i="6" s="1"/>
  <c r="BB1473" i="6"/>
  <c r="BD1473" i="6" s="1"/>
  <c r="BB1474" i="6"/>
  <c r="BD1474" i="6" s="1"/>
  <c r="BB1475" i="6"/>
  <c r="BD1475" i="6" s="1"/>
  <c r="BB1476" i="6"/>
  <c r="BD1476" i="6" s="1"/>
  <c r="BB1477" i="6"/>
  <c r="BD1477" i="6" s="1"/>
  <c r="BB1478" i="6"/>
  <c r="BD1478" i="6" s="1"/>
  <c r="BB1479" i="6"/>
  <c r="BD1479" i="6" s="1"/>
  <c r="BB1480" i="6"/>
  <c r="BD1480" i="6" s="1"/>
  <c r="BB1481" i="6"/>
  <c r="BD1481" i="6" s="1"/>
  <c r="BB1482" i="6"/>
  <c r="BD1482" i="6" s="1"/>
  <c r="BB1483" i="6"/>
  <c r="BD1483" i="6" s="1"/>
  <c r="BB1484" i="6"/>
  <c r="BD1484" i="6" s="1"/>
  <c r="BB1485" i="6"/>
  <c r="BD1485" i="6" s="1"/>
  <c r="BB1486" i="6"/>
  <c r="BD1486" i="6" s="1"/>
  <c r="BB1487" i="6"/>
  <c r="BD1487" i="6" s="1"/>
  <c r="BB1488" i="6"/>
  <c r="BD1488" i="6" s="1"/>
  <c r="BB1489" i="6"/>
  <c r="BD1489" i="6" s="1"/>
  <c r="BB1490" i="6"/>
  <c r="BD1490" i="6" s="1"/>
  <c r="BB1491" i="6"/>
  <c r="BD1491" i="6" s="1"/>
  <c r="BB1492" i="6"/>
  <c r="BD1492" i="6" s="1"/>
  <c r="BB1493" i="6"/>
  <c r="BD1493" i="6" s="1"/>
  <c r="BB1494" i="6"/>
  <c r="BD1494" i="6" s="1"/>
  <c r="BB1495" i="6"/>
  <c r="BD1495" i="6" s="1"/>
  <c r="BB1496" i="6"/>
  <c r="BD1496" i="6" s="1"/>
  <c r="BB1497" i="6"/>
  <c r="BD1497" i="6" s="1"/>
  <c r="BB1498" i="6"/>
  <c r="BD1498" i="6" s="1"/>
  <c r="BB1499" i="6"/>
  <c r="BD1499" i="6" s="1"/>
  <c r="BB1500" i="6"/>
  <c r="BD1500" i="6" s="1"/>
  <c r="BB1501" i="6"/>
  <c r="BD1501" i="6" s="1"/>
  <c r="BB1502" i="6"/>
  <c r="BD1502" i="6" s="1"/>
  <c r="BB1503" i="6"/>
  <c r="BD1503" i="6" s="1"/>
  <c r="BB1504" i="6"/>
  <c r="BD1504" i="6" s="1"/>
  <c r="BB1441" i="6"/>
  <c r="BD1441" i="6" s="1"/>
  <c r="BB1442" i="6"/>
  <c r="BD1442" i="6" s="1"/>
  <c r="BB1443" i="6"/>
  <c r="BD1443" i="6" s="1"/>
  <c r="BB1444" i="6"/>
  <c r="BD1444" i="6" s="1"/>
  <c r="BB1445" i="6"/>
  <c r="BD1445" i="6" s="1"/>
  <c r="BB1446" i="6"/>
  <c r="BD1446" i="6" s="1"/>
  <c r="BB1447" i="6"/>
  <c r="BD1447" i="6" s="1"/>
  <c r="BB1448" i="6"/>
  <c r="BD1448" i="6" s="1"/>
  <c r="BB1449" i="6"/>
  <c r="BD1449" i="6" s="1"/>
  <c r="BB1450" i="6"/>
  <c r="BD1450" i="6" s="1"/>
  <c r="BB1451" i="6"/>
  <c r="BD1451" i="6" s="1"/>
  <c r="BB1452" i="6"/>
  <c r="BD1452" i="6" s="1"/>
  <c r="BB1453" i="6"/>
  <c r="BD1453" i="6" s="1"/>
  <c r="BB1454" i="6"/>
  <c r="BD1454" i="6" s="1"/>
  <c r="BB1455" i="6"/>
  <c r="BD1455" i="6" s="1"/>
  <c r="BB1456" i="6"/>
  <c r="BD1456" i="6" s="1"/>
  <c r="BB1457" i="6"/>
  <c r="BD1457" i="6" s="1"/>
  <c r="BB1458" i="6"/>
  <c r="BD1458" i="6" s="1"/>
  <c r="BB1459" i="6"/>
  <c r="BD1459" i="6" s="1"/>
  <c r="BB1460" i="6"/>
  <c r="BD1460" i="6" s="1"/>
  <c r="BB1461" i="6"/>
  <c r="BD1461" i="6" s="1"/>
  <c r="BB1462" i="6"/>
  <c r="BD1462" i="6" s="1"/>
  <c r="BB1463" i="6"/>
  <c r="BD1463" i="6" s="1"/>
  <c r="BB1464" i="6"/>
  <c r="BD1464" i="6" s="1"/>
  <c r="BB1465" i="6"/>
  <c r="BD1465" i="6" s="1"/>
  <c r="BB1466" i="6"/>
  <c r="BD1466" i="6" s="1"/>
  <c r="BB1467" i="6"/>
  <c r="BD1467" i="6" s="1"/>
  <c r="BB1468" i="6"/>
  <c r="BD1468" i="6" s="1"/>
  <c r="BB1469" i="6"/>
  <c r="BD1469" i="6" s="1"/>
  <c r="BB1470" i="6"/>
  <c r="BD1470" i="6" s="1"/>
  <c r="BB1471" i="6"/>
  <c r="BD1471" i="6" s="1"/>
  <c r="BB1472" i="6"/>
  <c r="BD1472" i="6" s="1"/>
  <c r="BB1409" i="6"/>
  <c r="BD1409" i="6" s="1"/>
  <c r="BB1410" i="6"/>
  <c r="BD1410" i="6" s="1"/>
  <c r="BB1411" i="6"/>
  <c r="BD1411" i="6" s="1"/>
  <c r="BB1412" i="6"/>
  <c r="BD1412" i="6" s="1"/>
  <c r="BB1413" i="6"/>
  <c r="BD1413" i="6" s="1"/>
  <c r="BB1414" i="6"/>
  <c r="BD1414" i="6" s="1"/>
  <c r="BB1415" i="6"/>
  <c r="BD1415" i="6" s="1"/>
  <c r="BB1416" i="6"/>
  <c r="BD1416" i="6" s="1"/>
  <c r="BB1417" i="6"/>
  <c r="BD1417" i="6" s="1"/>
  <c r="BB1418" i="6"/>
  <c r="BD1418" i="6" s="1"/>
  <c r="BB1419" i="6"/>
  <c r="BD1419" i="6" s="1"/>
  <c r="BB1420" i="6"/>
  <c r="BD1420" i="6" s="1"/>
  <c r="BB1421" i="6"/>
  <c r="BD1421" i="6" s="1"/>
  <c r="BB1422" i="6"/>
  <c r="BD1422" i="6" s="1"/>
  <c r="BB1423" i="6"/>
  <c r="BD1423" i="6" s="1"/>
  <c r="BB1424" i="6"/>
  <c r="BD1424" i="6" s="1"/>
  <c r="BB1425" i="6"/>
  <c r="BD1425" i="6" s="1"/>
  <c r="BB1426" i="6"/>
  <c r="BD1426" i="6" s="1"/>
  <c r="BB1427" i="6"/>
  <c r="BD1427" i="6" s="1"/>
  <c r="BB1428" i="6"/>
  <c r="BD1428" i="6" s="1"/>
  <c r="BB1429" i="6"/>
  <c r="BD1429" i="6" s="1"/>
  <c r="BB1430" i="6"/>
  <c r="BD1430" i="6" s="1"/>
  <c r="BB1431" i="6"/>
  <c r="BD1431" i="6" s="1"/>
  <c r="BB1432" i="6"/>
  <c r="BD1432" i="6" s="1"/>
  <c r="BB1433" i="6"/>
  <c r="BD1433" i="6" s="1"/>
  <c r="BB1434" i="6"/>
  <c r="BD1434" i="6" s="1"/>
  <c r="BB1435" i="6"/>
  <c r="BD1435" i="6" s="1"/>
  <c r="BB1436" i="6"/>
  <c r="BD1436" i="6" s="1"/>
  <c r="BB1437" i="6"/>
  <c r="BD1437" i="6" s="1"/>
  <c r="BB1438" i="6"/>
  <c r="BD1438" i="6" s="1"/>
  <c r="BB1439" i="6"/>
  <c r="BD1439" i="6" s="1"/>
  <c r="BB1440" i="6"/>
  <c r="BD1440" i="6" s="1"/>
  <c r="BB1377" i="6"/>
  <c r="BD1377" i="6" s="1"/>
  <c r="BB1378" i="6"/>
  <c r="BD1378" i="6" s="1"/>
  <c r="BB1379" i="6"/>
  <c r="BD1379" i="6" s="1"/>
  <c r="BB1380" i="6"/>
  <c r="BD1380" i="6" s="1"/>
  <c r="BB1381" i="6"/>
  <c r="BD1381" i="6" s="1"/>
  <c r="BB1382" i="6"/>
  <c r="BD1382" i="6" s="1"/>
  <c r="BB1383" i="6"/>
  <c r="BD1383" i="6" s="1"/>
  <c r="BB1384" i="6"/>
  <c r="BD1384" i="6" s="1"/>
  <c r="BB1385" i="6"/>
  <c r="BD1385" i="6" s="1"/>
  <c r="BB1386" i="6"/>
  <c r="BD1386" i="6" s="1"/>
  <c r="BB1387" i="6"/>
  <c r="BD1387" i="6" s="1"/>
  <c r="BB1388" i="6"/>
  <c r="BD1388" i="6" s="1"/>
  <c r="BB1389" i="6"/>
  <c r="BD1389" i="6" s="1"/>
  <c r="BB1390" i="6"/>
  <c r="BD1390" i="6" s="1"/>
  <c r="BB1391" i="6"/>
  <c r="BD1391" i="6" s="1"/>
  <c r="BB1392" i="6"/>
  <c r="BD1392" i="6" s="1"/>
  <c r="BB1393" i="6"/>
  <c r="BD1393" i="6" s="1"/>
  <c r="BB1394" i="6"/>
  <c r="BD1394" i="6" s="1"/>
  <c r="BB1395" i="6"/>
  <c r="BD1395" i="6" s="1"/>
  <c r="BB1396" i="6"/>
  <c r="BD1396" i="6" s="1"/>
  <c r="BB1397" i="6"/>
  <c r="BD1397" i="6" s="1"/>
  <c r="BB1398" i="6"/>
  <c r="BD1398" i="6" s="1"/>
  <c r="BB1399" i="6"/>
  <c r="BD1399" i="6" s="1"/>
  <c r="BB1400" i="6"/>
  <c r="BD1400" i="6" s="1"/>
  <c r="BB1401" i="6"/>
  <c r="BD1401" i="6" s="1"/>
  <c r="BB1402" i="6"/>
  <c r="BD1402" i="6" s="1"/>
  <c r="BB1403" i="6"/>
  <c r="BD1403" i="6" s="1"/>
  <c r="BB1404" i="6"/>
  <c r="BD1404" i="6" s="1"/>
  <c r="BB1405" i="6"/>
  <c r="BD1405" i="6" s="1"/>
  <c r="BB1406" i="6"/>
  <c r="BD1406" i="6" s="1"/>
  <c r="BB1407" i="6"/>
  <c r="BD1407" i="6" s="1"/>
  <c r="BB1408" i="6"/>
  <c r="BD1408" i="6" s="1"/>
  <c r="BB1345" i="6"/>
  <c r="BD1345" i="6" s="1"/>
  <c r="BB1346" i="6"/>
  <c r="BD1346" i="6" s="1"/>
  <c r="BB1347" i="6"/>
  <c r="BD1347" i="6" s="1"/>
  <c r="BB1348" i="6"/>
  <c r="BD1348" i="6" s="1"/>
  <c r="BB1349" i="6"/>
  <c r="BD1349" i="6" s="1"/>
  <c r="BB1350" i="6"/>
  <c r="BD1350" i="6" s="1"/>
  <c r="BB1351" i="6"/>
  <c r="BD1351" i="6" s="1"/>
  <c r="BB1352" i="6"/>
  <c r="BD1352" i="6" s="1"/>
  <c r="BB1353" i="6"/>
  <c r="BD1353" i="6" s="1"/>
  <c r="BB1354" i="6"/>
  <c r="BD1354" i="6" s="1"/>
  <c r="BB1355" i="6"/>
  <c r="BD1355" i="6" s="1"/>
  <c r="BB1356" i="6"/>
  <c r="BD1356" i="6" s="1"/>
  <c r="BB1357" i="6"/>
  <c r="BD1357" i="6" s="1"/>
  <c r="BB1358" i="6"/>
  <c r="BD1358" i="6" s="1"/>
  <c r="BB1359" i="6"/>
  <c r="BD1359" i="6" s="1"/>
  <c r="BB1360" i="6"/>
  <c r="BD1360" i="6" s="1"/>
  <c r="BB1361" i="6"/>
  <c r="BD1361" i="6" s="1"/>
  <c r="BB1362" i="6"/>
  <c r="BD1362" i="6" s="1"/>
  <c r="BB1363" i="6"/>
  <c r="BD1363" i="6" s="1"/>
  <c r="BB1364" i="6"/>
  <c r="BD1364" i="6" s="1"/>
  <c r="BB1365" i="6"/>
  <c r="BD1365" i="6" s="1"/>
  <c r="BB1366" i="6"/>
  <c r="BD1366" i="6" s="1"/>
  <c r="BB1367" i="6"/>
  <c r="BD1367" i="6" s="1"/>
  <c r="BB1368" i="6"/>
  <c r="BD1368" i="6" s="1"/>
  <c r="BB1369" i="6"/>
  <c r="BD1369" i="6" s="1"/>
  <c r="BB1370" i="6"/>
  <c r="BD1370" i="6" s="1"/>
  <c r="BB1371" i="6"/>
  <c r="BD1371" i="6" s="1"/>
  <c r="BB1372" i="6"/>
  <c r="BD1372" i="6" s="1"/>
  <c r="BB1373" i="6"/>
  <c r="BD1373" i="6" s="1"/>
  <c r="BB1374" i="6"/>
  <c r="BD1374" i="6" s="1"/>
  <c r="BB1375" i="6"/>
  <c r="BD1375" i="6" s="1"/>
  <c r="BB1376" i="6"/>
  <c r="BD1376" i="6" s="1"/>
  <c r="BB1313" i="6"/>
  <c r="BD1313" i="6" s="1"/>
  <c r="BB1314" i="6"/>
  <c r="BD1314" i="6" s="1"/>
  <c r="BB1315" i="6"/>
  <c r="BD1315" i="6" s="1"/>
  <c r="BB1316" i="6"/>
  <c r="BD1316" i="6" s="1"/>
  <c r="BB1317" i="6"/>
  <c r="BD1317" i="6" s="1"/>
  <c r="BB1318" i="6"/>
  <c r="BD1318" i="6" s="1"/>
  <c r="BB1319" i="6"/>
  <c r="BD1319" i="6" s="1"/>
  <c r="BB1320" i="6"/>
  <c r="BD1320" i="6" s="1"/>
  <c r="BB1321" i="6"/>
  <c r="BD1321" i="6" s="1"/>
  <c r="BB1322" i="6"/>
  <c r="BD1322" i="6" s="1"/>
  <c r="BB1323" i="6"/>
  <c r="BD1323" i="6" s="1"/>
  <c r="BB1324" i="6"/>
  <c r="BD1324" i="6" s="1"/>
  <c r="BB1325" i="6"/>
  <c r="BD1325" i="6" s="1"/>
  <c r="BB1326" i="6"/>
  <c r="BD1326" i="6" s="1"/>
  <c r="BB1327" i="6"/>
  <c r="BD1327" i="6" s="1"/>
  <c r="BB1328" i="6"/>
  <c r="BD1328" i="6" s="1"/>
  <c r="BB1329" i="6"/>
  <c r="BD1329" i="6" s="1"/>
  <c r="BB1330" i="6"/>
  <c r="BD1330" i="6" s="1"/>
  <c r="BB1331" i="6"/>
  <c r="BD1331" i="6" s="1"/>
  <c r="BB1332" i="6"/>
  <c r="BD1332" i="6" s="1"/>
  <c r="BB1333" i="6"/>
  <c r="BD1333" i="6" s="1"/>
  <c r="BB1334" i="6"/>
  <c r="BD1334" i="6" s="1"/>
  <c r="BB1335" i="6"/>
  <c r="BD1335" i="6" s="1"/>
  <c r="BB1336" i="6"/>
  <c r="BD1336" i="6" s="1"/>
  <c r="BB1337" i="6"/>
  <c r="BD1337" i="6" s="1"/>
  <c r="BB1338" i="6"/>
  <c r="BD1338" i="6" s="1"/>
  <c r="BB1339" i="6"/>
  <c r="BD1339" i="6" s="1"/>
  <c r="BB1340" i="6"/>
  <c r="BD1340" i="6" s="1"/>
  <c r="BB1341" i="6"/>
  <c r="BD1341" i="6" s="1"/>
  <c r="BB1342" i="6"/>
  <c r="BD1342" i="6" s="1"/>
  <c r="BB1343" i="6"/>
  <c r="BD1343" i="6" s="1"/>
  <c r="BB1344" i="6"/>
  <c r="BD1344" i="6" s="1"/>
  <c r="BB1281" i="6"/>
  <c r="BD1281" i="6" s="1"/>
  <c r="BB1282" i="6"/>
  <c r="BD1282" i="6" s="1"/>
  <c r="BB1283" i="6"/>
  <c r="BD1283" i="6" s="1"/>
  <c r="BB1284" i="6"/>
  <c r="BD1284" i="6" s="1"/>
  <c r="BB1285" i="6"/>
  <c r="BD1285" i="6" s="1"/>
  <c r="BB1286" i="6"/>
  <c r="BD1286" i="6" s="1"/>
  <c r="BB1287" i="6"/>
  <c r="BD1287" i="6" s="1"/>
  <c r="BB1288" i="6"/>
  <c r="BD1288" i="6" s="1"/>
  <c r="BB1289" i="6"/>
  <c r="BD1289" i="6" s="1"/>
  <c r="BB1290" i="6"/>
  <c r="BD1290" i="6" s="1"/>
  <c r="BB1291" i="6"/>
  <c r="BD1291" i="6" s="1"/>
  <c r="BB1292" i="6"/>
  <c r="BD1292" i="6" s="1"/>
  <c r="BB1293" i="6"/>
  <c r="BD1293" i="6" s="1"/>
  <c r="BB1294" i="6"/>
  <c r="BD1294" i="6" s="1"/>
  <c r="BB1295" i="6"/>
  <c r="BD1295" i="6" s="1"/>
  <c r="BB1296" i="6"/>
  <c r="BD1296" i="6" s="1"/>
  <c r="BB1297" i="6"/>
  <c r="BD1297" i="6" s="1"/>
  <c r="BB1298" i="6"/>
  <c r="BD1298" i="6" s="1"/>
  <c r="BB1299" i="6"/>
  <c r="BD1299" i="6" s="1"/>
  <c r="BB1300" i="6"/>
  <c r="BD1300" i="6" s="1"/>
  <c r="BB1301" i="6"/>
  <c r="BD1301" i="6" s="1"/>
  <c r="BB1302" i="6"/>
  <c r="BD1302" i="6" s="1"/>
  <c r="BB1303" i="6"/>
  <c r="BD1303" i="6" s="1"/>
  <c r="BB1304" i="6"/>
  <c r="BD1304" i="6" s="1"/>
  <c r="BB1305" i="6"/>
  <c r="BD1305" i="6" s="1"/>
  <c r="BB1306" i="6"/>
  <c r="BD1306" i="6" s="1"/>
  <c r="BB1307" i="6"/>
  <c r="BD1307" i="6" s="1"/>
  <c r="BB1308" i="6"/>
  <c r="BD1308" i="6" s="1"/>
  <c r="BB1309" i="6"/>
  <c r="BD1309" i="6" s="1"/>
  <c r="BB1310" i="6"/>
  <c r="BD1310" i="6" s="1"/>
  <c r="BB1311" i="6"/>
  <c r="BD1311" i="6" s="1"/>
  <c r="BB1312" i="6"/>
  <c r="BD1312" i="6" s="1"/>
  <c r="BB1249" i="6"/>
  <c r="BD1249" i="6" s="1"/>
  <c r="BB1250" i="6"/>
  <c r="BD1250" i="6" s="1"/>
  <c r="BB1251" i="6"/>
  <c r="BD1251" i="6" s="1"/>
  <c r="BB1252" i="6"/>
  <c r="BD1252" i="6" s="1"/>
  <c r="BB1253" i="6"/>
  <c r="BD1253" i="6" s="1"/>
  <c r="BB1254" i="6"/>
  <c r="BD1254" i="6" s="1"/>
  <c r="BB1255" i="6"/>
  <c r="BD1255" i="6" s="1"/>
  <c r="BB1256" i="6"/>
  <c r="BD1256" i="6" s="1"/>
  <c r="BB1257" i="6"/>
  <c r="BD1257" i="6" s="1"/>
  <c r="BB1258" i="6"/>
  <c r="BD1258" i="6" s="1"/>
  <c r="BB1259" i="6"/>
  <c r="BD1259" i="6" s="1"/>
  <c r="BB1260" i="6"/>
  <c r="BD1260" i="6" s="1"/>
  <c r="BB1261" i="6"/>
  <c r="BD1261" i="6" s="1"/>
  <c r="BB1262" i="6"/>
  <c r="BD1262" i="6" s="1"/>
  <c r="BB1263" i="6"/>
  <c r="BD1263" i="6" s="1"/>
  <c r="BB1264" i="6"/>
  <c r="BD1264" i="6" s="1"/>
  <c r="BB1265" i="6"/>
  <c r="BD1265" i="6" s="1"/>
  <c r="BB1266" i="6"/>
  <c r="BD1266" i="6" s="1"/>
  <c r="BB1267" i="6"/>
  <c r="BD1267" i="6" s="1"/>
  <c r="BB1268" i="6"/>
  <c r="BD1268" i="6" s="1"/>
  <c r="BB1269" i="6"/>
  <c r="BD1269" i="6" s="1"/>
  <c r="BB1270" i="6"/>
  <c r="BD1270" i="6" s="1"/>
  <c r="BB1271" i="6"/>
  <c r="BD1271" i="6" s="1"/>
  <c r="BB1272" i="6"/>
  <c r="BD1272" i="6" s="1"/>
  <c r="BB1273" i="6"/>
  <c r="BD1273" i="6" s="1"/>
  <c r="BB1274" i="6"/>
  <c r="BD1274" i="6" s="1"/>
  <c r="BB1275" i="6"/>
  <c r="BD1275" i="6" s="1"/>
  <c r="BB1276" i="6"/>
  <c r="BD1276" i="6" s="1"/>
  <c r="BB1277" i="6"/>
  <c r="BD1277" i="6" s="1"/>
  <c r="BB1278" i="6"/>
  <c r="BD1278" i="6" s="1"/>
  <c r="BB1279" i="6"/>
  <c r="BD1279" i="6" s="1"/>
  <c r="BB1280" i="6"/>
  <c r="BD1280" i="6" s="1"/>
  <c r="BB1217" i="6"/>
  <c r="BD1217" i="6" s="1"/>
  <c r="BB1218" i="6"/>
  <c r="BD1218" i="6" s="1"/>
  <c r="BB1219" i="6"/>
  <c r="BD1219" i="6" s="1"/>
  <c r="BB1220" i="6"/>
  <c r="BD1220" i="6" s="1"/>
  <c r="BB1221" i="6"/>
  <c r="BD1221" i="6" s="1"/>
  <c r="BB1222" i="6"/>
  <c r="BD1222" i="6" s="1"/>
  <c r="BB1223" i="6"/>
  <c r="BD1223" i="6" s="1"/>
  <c r="BB1224" i="6"/>
  <c r="BD1224" i="6" s="1"/>
  <c r="BB1225" i="6"/>
  <c r="BD1225" i="6" s="1"/>
  <c r="BB1226" i="6"/>
  <c r="BD1226" i="6" s="1"/>
  <c r="BB1227" i="6"/>
  <c r="BD1227" i="6" s="1"/>
  <c r="BB1228" i="6"/>
  <c r="BD1228" i="6" s="1"/>
  <c r="BB1229" i="6"/>
  <c r="BD1229" i="6" s="1"/>
  <c r="BB1230" i="6"/>
  <c r="BD1230" i="6" s="1"/>
  <c r="BB1231" i="6"/>
  <c r="BD1231" i="6" s="1"/>
  <c r="BB1232" i="6"/>
  <c r="BD1232" i="6" s="1"/>
  <c r="BB1233" i="6"/>
  <c r="BD1233" i="6" s="1"/>
  <c r="BB1234" i="6"/>
  <c r="BD1234" i="6" s="1"/>
  <c r="BB1235" i="6"/>
  <c r="BD1235" i="6" s="1"/>
  <c r="BB1236" i="6"/>
  <c r="BD1236" i="6" s="1"/>
  <c r="BB1237" i="6"/>
  <c r="BD1237" i="6" s="1"/>
  <c r="BB1238" i="6"/>
  <c r="BD1238" i="6" s="1"/>
  <c r="BB1239" i="6"/>
  <c r="BD1239" i="6" s="1"/>
  <c r="BB1240" i="6"/>
  <c r="BD1240" i="6" s="1"/>
  <c r="BB1241" i="6"/>
  <c r="BD1241" i="6" s="1"/>
  <c r="BB1242" i="6"/>
  <c r="BD1242" i="6" s="1"/>
  <c r="BB1243" i="6"/>
  <c r="BD1243" i="6" s="1"/>
  <c r="BB1244" i="6"/>
  <c r="BD1244" i="6" s="1"/>
  <c r="BB1245" i="6"/>
  <c r="BD1245" i="6" s="1"/>
  <c r="BB1246" i="6"/>
  <c r="BD1246" i="6" s="1"/>
  <c r="BB1247" i="6"/>
  <c r="BD1247" i="6" s="1"/>
  <c r="BB1248" i="6"/>
  <c r="BD1248" i="6" s="1"/>
  <c r="BB1185" i="6"/>
  <c r="BD1185" i="6" s="1"/>
  <c r="BB1186" i="6"/>
  <c r="BD1186" i="6" s="1"/>
  <c r="BB1187" i="6"/>
  <c r="BD1187" i="6" s="1"/>
  <c r="BB1188" i="6"/>
  <c r="BD1188" i="6" s="1"/>
  <c r="BB1189" i="6"/>
  <c r="BD1189" i="6" s="1"/>
  <c r="BB1190" i="6"/>
  <c r="BD1190" i="6" s="1"/>
  <c r="BB1191" i="6"/>
  <c r="BD1191" i="6" s="1"/>
  <c r="BB1192" i="6"/>
  <c r="BD1192" i="6" s="1"/>
  <c r="BB1193" i="6"/>
  <c r="BD1193" i="6" s="1"/>
  <c r="BB1194" i="6"/>
  <c r="BD1194" i="6" s="1"/>
  <c r="BB1195" i="6"/>
  <c r="BD1195" i="6" s="1"/>
  <c r="BB1196" i="6"/>
  <c r="BD1196" i="6" s="1"/>
  <c r="BB1197" i="6"/>
  <c r="BD1197" i="6" s="1"/>
  <c r="BB1198" i="6"/>
  <c r="BD1198" i="6" s="1"/>
  <c r="BB1199" i="6"/>
  <c r="BD1199" i="6" s="1"/>
  <c r="BB1200" i="6"/>
  <c r="BD1200" i="6" s="1"/>
  <c r="BB1201" i="6"/>
  <c r="BD1201" i="6" s="1"/>
  <c r="BB1202" i="6"/>
  <c r="BD1202" i="6" s="1"/>
  <c r="BB1203" i="6"/>
  <c r="BD1203" i="6" s="1"/>
  <c r="BB1204" i="6"/>
  <c r="BD1204" i="6" s="1"/>
  <c r="BB1205" i="6"/>
  <c r="BD1205" i="6" s="1"/>
  <c r="BB1206" i="6"/>
  <c r="BD1206" i="6" s="1"/>
  <c r="BB1207" i="6"/>
  <c r="BD1207" i="6" s="1"/>
  <c r="BB1208" i="6"/>
  <c r="BD1208" i="6" s="1"/>
  <c r="BB1209" i="6"/>
  <c r="BD1209" i="6" s="1"/>
  <c r="BB1210" i="6"/>
  <c r="BD1210" i="6" s="1"/>
  <c r="BB1211" i="6"/>
  <c r="BD1211" i="6" s="1"/>
  <c r="BB1212" i="6"/>
  <c r="BD1212" i="6" s="1"/>
  <c r="BB1213" i="6"/>
  <c r="BD1213" i="6" s="1"/>
  <c r="BB1214" i="6"/>
  <c r="BD1214" i="6" s="1"/>
  <c r="BB1215" i="6"/>
  <c r="BD1215" i="6" s="1"/>
  <c r="BB1216" i="6"/>
  <c r="BD1216" i="6" s="1"/>
  <c r="BB1153" i="6"/>
  <c r="BD1153" i="6" s="1"/>
  <c r="BB1154" i="6"/>
  <c r="BD1154" i="6" s="1"/>
  <c r="BB1155" i="6"/>
  <c r="BD1155" i="6" s="1"/>
  <c r="BB1156" i="6"/>
  <c r="BD1156" i="6" s="1"/>
  <c r="BB1157" i="6"/>
  <c r="BD1157" i="6" s="1"/>
  <c r="BB1158" i="6"/>
  <c r="BD1158" i="6" s="1"/>
  <c r="BB1159" i="6"/>
  <c r="BD1159" i="6" s="1"/>
  <c r="BB1160" i="6"/>
  <c r="BD1160" i="6" s="1"/>
  <c r="BB1161" i="6"/>
  <c r="BD1161" i="6" s="1"/>
  <c r="BB1162" i="6"/>
  <c r="BD1162" i="6" s="1"/>
  <c r="BB1163" i="6"/>
  <c r="BD1163" i="6" s="1"/>
  <c r="BB1164" i="6"/>
  <c r="BD1164" i="6" s="1"/>
  <c r="BB1165" i="6"/>
  <c r="BD1165" i="6" s="1"/>
  <c r="BB1166" i="6"/>
  <c r="BD1166" i="6" s="1"/>
  <c r="BB1167" i="6"/>
  <c r="BD1167" i="6" s="1"/>
  <c r="BB1168" i="6"/>
  <c r="BD1168" i="6" s="1"/>
  <c r="BB1169" i="6"/>
  <c r="BD1169" i="6" s="1"/>
  <c r="BB1170" i="6"/>
  <c r="BD1170" i="6" s="1"/>
  <c r="BB1171" i="6"/>
  <c r="BD1171" i="6" s="1"/>
  <c r="BB1172" i="6"/>
  <c r="BD1172" i="6" s="1"/>
  <c r="BB1173" i="6"/>
  <c r="BD1173" i="6" s="1"/>
  <c r="BB1174" i="6"/>
  <c r="BD1174" i="6" s="1"/>
  <c r="BB1175" i="6"/>
  <c r="BD1175" i="6" s="1"/>
  <c r="BB1176" i="6"/>
  <c r="BD1176" i="6" s="1"/>
  <c r="BB1177" i="6"/>
  <c r="BD1177" i="6" s="1"/>
  <c r="BB1178" i="6"/>
  <c r="BD1178" i="6" s="1"/>
  <c r="BB1179" i="6"/>
  <c r="BD1179" i="6" s="1"/>
  <c r="BB1180" i="6"/>
  <c r="BD1180" i="6" s="1"/>
  <c r="BB1181" i="6"/>
  <c r="BD1181" i="6" s="1"/>
  <c r="BB1182" i="6"/>
  <c r="BD1182" i="6" s="1"/>
  <c r="BB1183" i="6"/>
  <c r="BD1183" i="6" s="1"/>
  <c r="BB1184" i="6"/>
  <c r="BD1184" i="6" s="1"/>
  <c r="BB1121" i="6"/>
  <c r="BD1121" i="6" s="1"/>
  <c r="BB1122" i="6"/>
  <c r="BD1122" i="6" s="1"/>
  <c r="BB1123" i="6"/>
  <c r="BD1123" i="6" s="1"/>
  <c r="BB1124" i="6"/>
  <c r="BD1124" i="6" s="1"/>
  <c r="BB1125" i="6"/>
  <c r="BD1125" i="6" s="1"/>
  <c r="BB1126" i="6"/>
  <c r="BD1126" i="6" s="1"/>
  <c r="BB1127" i="6"/>
  <c r="BD1127" i="6" s="1"/>
  <c r="BB1128" i="6"/>
  <c r="BD1128" i="6" s="1"/>
  <c r="BB1129" i="6"/>
  <c r="BD1129" i="6" s="1"/>
  <c r="BB1130" i="6"/>
  <c r="BD1130" i="6" s="1"/>
  <c r="BB1131" i="6"/>
  <c r="BD1131" i="6" s="1"/>
  <c r="BB1132" i="6"/>
  <c r="BD1132" i="6" s="1"/>
  <c r="BB1133" i="6"/>
  <c r="BD1133" i="6" s="1"/>
  <c r="BB1134" i="6"/>
  <c r="BD1134" i="6" s="1"/>
  <c r="BB1135" i="6"/>
  <c r="BD1135" i="6" s="1"/>
  <c r="BB1136" i="6"/>
  <c r="BD1136" i="6" s="1"/>
  <c r="BB1137" i="6"/>
  <c r="BD1137" i="6" s="1"/>
  <c r="BB1138" i="6"/>
  <c r="BD1138" i="6" s="1"/>
  <c r="BB1139" i="6"/>
  <c r="BD1139" i="6" s="1"/>
  <c r="BB1140" i="6"/>
  <c r="BD1140" i="6" s="1"/>
  <c r="BB1141" i="6"/>
  <c r="BD1141" i="6" s="1"/>
  <c r="BB1142" i="6"/>
  <c r="BD1142" i="6" s="1"/>
  <c r="BB1143" i="6"/>
  <c r="BD1143" i="6" s="1"/>
  <c r="BB1144" i="6"/>
  <c r="BD1144" i="6" s="1"/>
  <c r="BB1145" i="6"/>
  <c r="BD1145" i="6" s="1"/>
  <c r="BB1146" i="6"/>
  <c r="BD1146" i="6" s="1"/>
  <c r="BB1147" i="6"/>
  <c r="BD1147" i="6" s="1"/>
  <c r="BB1148" i="6"/>
  <c r="BD1148" i="6" s="1"/>
  <c r="BB1149" i="6"/>
  <c r="BD1149" i="6" s="1"/>
  <c r="BB1150" i="6"/>
  <c r="BD1150" i="6" s="1"/>
  <c r="BB1151" i="6"/>
  <c r="BD1151" i="6" s="1"/>
  <c r="BB1152" i="6"/>
  <c r="BD1152" i="6" s="1"/>
  <c r="BB1089" i="6"/>
  <c r="BD1089" i="6" s="1"/>
  <c r="BB1090" i="6"/>
  <c r="BD1090" i="6" s="1"/>
  <c r="BB1091" i="6"/>
  <c r="BD1091" i="6" s="1"/>
  <c r="BB1092" i="6"/>
  <c r="BD1092" i="6" s="1"/>
  <c r="BB1093" i="6"/>
  <c r="BD1093" i="6" s="1"/>
  <c r="BB1094" i="6"/>
  <c r="BD1094" i="6" s="1"/>
  <c r="BB1095" i="6"/>
  <c r="BD1095" i="6" s="1"/>
  <c r="BB1096" i="6"/>
  <c r="BD1096" i="6" s="1"/>
  <c r="BB1097" i="6"/>
  <c r="BD1097" i="6" s="1"/>
  <c r="BB1098" i="6"/>
  <c r="BD1098" i="6" s="1"/>
  <c r="BB1099" i="6"/>
  <c r="BD1099" i="6" s="1"/>
  <c r="BB1100" i="6"/>
  <c r="BD1100" i="6" s="1"/>
  <c r="BB1101" i="6"/>
  <c r="BD1101" i="6" s="1"/>
  <c r="BB1102" i="6"/>
  <c r="BD1102" i="6" s="1"/>
  <c r="BB1103" i="6"/>
  <c r="BD1103" i="6" s="1"/>
  <c r="BB1104" i="6"/>
  <c r="BD1104" i="6" s="1"/>
  <c r="BB1105" i="6"/>
  <c r="BD1105" i="6" s="1"/>
  <c r="BB1106" i="6"/>
  <c r="BD1106" i="6" s="1"/>
  <c r="BB1107" i="6"/>
  <c r="BD1107" i="6" s="1"/>
  <c r="BB1108" i="6"/>
  <c r="BD1108" i="6" s="1"/>
  <c r="BB1109" i="6"/>
  <c r="BD1109" i="6" s="1"/>
  <c r="BB1110" i="6"/>
  <c r="BD1110" i="6" s="1"/>
  <c r="BB1111" i="6"/>
  <c r="BD1111" i="6" s="1"/>
  <c r="BB1112" i="6"/>
  <c r="BD1112" i="6" s="1"/>
  <c r="BB1113" i="6"/>
  <c r="BD1113" i="6" s="1"/>
  <c r="BB1114" i="6"/>
  <c r="BD1114" i="6" s="1"/>
  <c r="BB1115" i="6"/>
  <c r="BD1115" i="6" s="1"/>
  <c r="BB1116" i="6"/>
  <c r="BD1116" i="6" s="1"/>
  <c r="BB1117" i="6"/>
  <c r="BD1117" i="6" s="1"/>
  <c r="BB1118" i="6"/>
  <c r="BD1118" i="6" s="1"/>
  <c r="BB1119" i="6"/>
  <c r="BD1119" i="6" s="1"/>
  <c r="BB1120" i="6"/>
  <c r="BD1120" i="6" s="1"/>
  <c r="BB1057" i="6"/>
  <c r="BD1057" i="6" s="1"/>
  <c r="BB1058" i="6"/>
  <c r="BD1058" i="6" s="1"/>
  <c r="BB1059" i="6"/>
  <c r="BD1059" i="6" s="1"/>
  <c r="BB1060" i="6"/>
  <c r="BD1060" i="6" s="1"/>
  <c r="BB1061" i="6"/>
  <c r="BD1061" i="6" s="1"/>
  <c r="BB1062" i="6"/>
  <c r="BD1062" i="6" s="1"/>
  <c r="BB1063" i="6"/>
  <c r="BD1063" i="6" s="1"/>
  <c r="BB1064" i="6"/>
  <c r="BD1064" i="6" s="1"/>
  <c r="BB1065" i="6"/>
  <c r="BD1065" i="6" s="1"/>
  <c r="BB1066" i="6"/>
  <c r="BD1066" i="6" s="1"/>
  <c r="BB1067" i="6"/>
  <c r="BD1067" i="6" s="1"/>
  <c r="BB1068" i="6"/>
  <c r="BD1068" i="6" s="1"/>
  <c r="BB1069" i="6"/>
  <c r="BD1069" i="6" s="1"/>
  <c r="BB1070" i="6"/>
  <c r="BD1070" i="6" s="1"/>
  <c r="BB1071" i="6"/>
  <c r="BD1071" i="6" s="1"/>
  <c r="BB1072" i="6"/>
  <c r="BD1072" i="6" s="1"/>
  <c r="BB1073" i="6"/>
  <c r="BD1073" i="6" s="1"/>
  <c r="BB1074" i="6"/>
  <c r="BD1074" i="6" s="1"/>
  <c r="BB1075" i="6"/>
  <c r="BD1075" i="6" s="1"/>
  <c r="BB1076" i="6"/>
  <c r="BD1076" i="6" s="1"/>
  <c r="BB1077" i="6"/>
  <c r="BD1077" i="6" s="1"/>
  <c r="BB1078" i="6"/>
  <c r="BD1078" i="6" s="1"/>
  <c r="BB1079" i="6"/>
  <c r="BD1079" i="6" s="1"/>
  <c r="BB1080" i="6"/>
  <c r="BD1080" i="6" s="1"/>
  <c r="BB1081" i="6"/>
  <c r="BD1081" i="6" s="1"/>
  <c r="BB1082" i="6"/>
  <c r="BD1082" i="6" s="1"/>
  <c r="BB1083" i="6"/>
  <c r="BD1083" i="6" s="1"/>
  <c r="BB1084" i="6"/>
  <c r="BD1084" i="6" s="1"/>
  <c r="BB1085" i="6"/>
  <c r="BD1085" i="6" s="1"/>
  <c r="BB1086" i="6"/>
  <c r="BD1086" i="6" s="1"/>
  <c r="BB1087" i="6"/>
  <c r="BD1087" i="6" s="1"/>
  <c r="BB1088" i="6"/>
  <c r="BD1088" i="6" s="1"/>
  <c r="BB1025" i="6"/>
  <c r="BD1025" i="6" s="1"/>
  <c r="BB1026" i="6"/>
  <c r="BD1026" i="6" s="1"/>
  <c r="BB1027" i="6"/>
  <c r="BD1027" i="6" s="1"/>
  <c r="BB1028" i="6"/>
  <c r="BD1028" i="6" s="1"/>
  <c r="BB1029" i="6"/>
  <c r="BD1029" i="6" s="1"/>
  <c r="BB1030" i="6"/>
  <c r="BD1030" i="6" s="1"/>
  <c r="BB1031" i="6"/>
  <c r="BD1031" i="6" s="1"/>
  <c r="BB1032" i="6"/>
  <c r="BD1032" i="6" s="1"/>
  <c r="BB1033" i="6"/>
  <c r="BD1033" i="6" s="1"/>
  <c r="BB1034" i="6"/>
  <c r="BD1034" i="6" s="1"/>
  <c r="BB1035" i="6"/>
  <c r="BD1035" i="6" s="1"/>
  <c r="BB1036" i="6"/>
  <c r="BD1036" i="6" s="1"/>
  <c r="BB1037" i="6"/>
  <c r="BD1037" i="6" s="1"/>
  <c r="BB1038" i="6"/>
  <c r="BD1038" i="6" s="1"/>
  <c r="BB1039" i="6"/>
  <c r="BD1039" i="6" s="1"/>
  <c r="BB1040" i="6"/>
  <c r="BD1040" i="6" s="1"/>
  <c r="BB1041" i="6"/>
  <c r="BD1041" i="6" s="1"/>
  <c r="BB1042" i="6"/>
  <c r="BD1042" i="6" s="1"/>
  <c r="BB1043" i="6"/>
  <c r="BD1043" i="6" s="1"/>
  <c r="BB1044" i="6"/>
  <c r="BD1044" i="6" s="1"/>
  <c r="BB1045" i="6"/>
  <c r="BD1045" i="6" s="1"/>
  <c r="BB1046" i="6"/>
  <c r="BD1046" i="6" s="1"/>
  <c r="BB1047" i="6"/>
  <c r="BD1047" i="6" s="1"/>
  <c r="BB1048" i="6"/>
  <c r="BD1048" i="6" s="1"/>
  <c r="BB1049" i="6"/>
  <c r="BD1049" i="6" s="1"/>
  <c r="BB1050" i="6"/>
  <c r="BD1050" i="6" s="1"/>
  <c r="BB1051" i="6"/>
  <c r="BD1051" i="6" s="1"/>
  <c r="BB1052" i="6"/>
  <c r="BD1052" i="6" s="1"/>
  <c r="BB1053" i="6"/>
  <c r="BD1053" i="6" s="1"/>
  <c r="BB1054" i="6"/>
  <c r="BD1054" i="6" s="1"/>
  <c r="BB1055" i="6"/>
  <c r="BD1055" i="6" s="1"/>
  <c r="BB1056" i="6"/>
  <c r="BD1056" i="6" s="1"/>
  <c r="BB993" i="6"/>
  <c r="BD993" i="6" s="1"/>
  <c r="BB994" i="6"/>
  <c r="BD994" i="6" s="1"/>
  <c r="BB995" i="6"/>
  <c r="BD995" i="6" s="1"/>
  <c r="BB996" i="6"/>
  <c r="BD996" i="6" s="1"/>
  <c r="BB997" i="6"/>
  <c r="BD997" i="6" s="1"/>
  <c r="BB998" i="6"/>
  <c r="BD998" i="6" s="1"/>
  <c r="BB999" i="6"/>
  <c r="BD999" i="6" s="1"/>
  <c r="BB1000" i="6"/>
  <c r="BD1000" i="6" s="1"/>
  <c r="BB1001" i="6"/>
  <c r="BD1001" i="6" s="1"/>
  <c r="BB1002" i="6"/>
  <c r="BD1002" i="6" s="1"/>
  <c r="BB1003" i="6"/>
  <c r="BD1003" i="6" s="1"/>
  <c r="BB1004" i="6"/>
  <c r="BD1004" i="6" s="1"/>
  <c r="BB1005" i="6"/>
  <c r="BD1005" i="6" s="1"/>
  <c r="BB1006" i="6"/>
  <c r="BD1006" i="6" s="1"/>
  <c r="BB1007" i="6"/>
  <c r="BD1007" i="6" s="1"/>
  <c r="BB1008" i="6"/>
  <c r="BD1008" i="6" s="1"/>
  <c r="BB1009" i="6"/>
  <c r="BD1009" i="6" s="1"/>
  <c r="BB1010" i="6"/>
  <c r="BD1010" i="6" s="1"/>
  <c r="BB1011" i="6"/>
  <c r="BD1011" i="6" s="1"/>
  <c r="BB1012" i="6"/>
  <c r="BD1012" i="6" s="1"/>
  <c r="BB1013" i="6"/>
  <c r="BD1013" i="6" s="1"/>
  <c r="BB1014" i="6"/>
  <c r="BD1014" i="6" s="1"/>
  <c r="BB1015" i="6"/>
  <c r="BD1015" i="6" s="1"/>
  <c r="BB1016" i="6"/>
  <c r="BD1016" i="6" s="1"/>
  <c r="BB1017" i="6"/>
  <c r="BD1017" i="6" s="1"/>
  <c r="BB1018" i="6"/>
  <c r="BD1018" i="6" s="1"/>
  <c r="BB1019" i="6"/>
  <c r="BD1019" i="6" s="1"/>
  <c r="BB1020" i="6"/>
  <c r="BD1020" i="6" s="1"/>
  <c r="BB1021" i="6"/>
  <c r="BD1021" i="6" s="1"/>
  <c r="BB1022" i="6"/>
  <c r="BD1022" i="6" s="1"/>
  <c r="BB1023" i="6"/>
  <c r="BD1023" i="6" s="1"/>
  <c r="BB1024" i="6"/>
  <c r="BD1024" i="6" s="1"/>
  <c r="BB961" i="6"/>
  <c r="BD961" i="6" s="1"/>
  <c r="BB962" i="6"/>
  <c r="BD962" i="6" s="1"/>
  <c r="BB963" i="6"/>
  <c r="BD963" i="6" s="1"/>
  <c r="BB964" i="6"/>
  <c r="BD964" i="6" s="1"/>
  <c r="BB965" i="6"/>
  <c r="BD965" i="6" s="1"/>
  <c r="BB966" i="6"/>
  <c r="BD966" i="6" s="1"/>
  <c r="BB967" i="6"/>
  <c r="BD967" i="6" s="1"/>
  <c r="BB968" i="6"/>
  <c r="BD968" i="6" s="1"/>
  <c r="BB969" i="6"/>
  <c r="BD969" i="6" s="1"/>
  <c r="BB970" i="6"/>
  <c r="BD970" i="6" s="1"/>
  <c r="BB971" i="6"/>
  <c r="BD971" i="6" s="1"/>
  <c r="BB972" i="6"/>
  <c r="BD972" i="6" s="1"/>
  <c r="BB973" i="6"/>
  <c r="BD973" i="6" s="1"/>
  <c r="BB974" i="6"/>
  <c r="BD974" i="6" s="1"/>
  <c r="BB975" i="6"/>
  <c r="BD975" i="6" s="1"/>
  <c r="BB976" i="6"/>
  <c r="BD976" i="6" s="1"/>
  <c r="BB977" i="6"/>
  <c r="BD977" i="6" s="1"/>
  <c r="BB978" i="6"/>
  <c r="BD978" i="6" s="1"/>
  <c r="BB979" i="6"/>
  <c r="BD979" i="6" s="1"/>
  <c r="BB980" i="6"/>
  <c r="BD980" i="6" s="1"/>
  <c r="BB981" i="6"/>
  <c r="BD981" i="6" s="1"/>
  <c r="BB982" i="6"/>
  <c r="BD982" i="6" s="1"/>
  <c r="BB983" i="6"/>
  <c r="BD983" i="6" s="1"/>
  <c r="BB984" i="6"/>
  <c r="BD984" i="6" s="1"/>
  <c r="BB985" i="6"/>
  <c r="BD985" i="6" s="1"/>
  <c r="BB986" i="6"/>
  <c r="BD986" i="6" s="1"/>
  <c r="BB987" i="6"/>
  <c r="BD987" i="6" s="1"/>
  <c r="BB988" i="6"/>
  <c r="BD988" i="6" s="1"/>
  <c r="BB989" i="6"/>
  <c r="BD989" i="6" s="1"/>
  <c r="BB990" i="6"/>
  <c r="BD990" i="6" s="1"/>
  <c r="BB991" i="6"/>
  <c r="BD991" i="6" s="1"/>
  <c r="BB992" i="6"/>
  <c r="BD992" i="6" s="1"/>
  <c r="BB929" i="6"/>
  <c r="BD929" i="6" s="1"/>
  <c r="BB930" i="6"/>
  <c r="BD930" i="6" s="1"/>
  <c r="BB931" i="6"/>
  <c r="BD931" i="6" s="1"/>
  <c r="BB932" i="6"/>
  <c r="BD932" i="6" s="1"/>
  <c r="BB933" i="6"/>
  <c r="BD933" i="6" s="1"/>
  <c r="BB934" i="6"/>
  <c r="BD934" i="6" s="1"/>
  <c r="BB935" i="6"/>
  <c r="BD935" i="6" s="1"/>
  <c r="BB936" i="6"/>
  <c r="BD936" i="6" s="1"/>
  <c r="BB937" i="6"/>
  <c r="BD937" i="6" s="1"/>
  <c r="BB938" i="6"/>
  <c r="BD938" i="6" s="1"/>
  <c r="BB939" i="6"/>
  <c r="BD939" i="6" s="1"/>
  <c r="BB940" i="6"/>
  <c r="BD940" i="6" s="1"/>
  <c r="BB941" i="6"/>
  <c r="BD941" i="6" s="1"/>
  <c r="BB942" i="6"/>
  <c r="BD942" i="6" s="1"/>
  <c r="BB943" i="6"/>
  <c r="BD943" i="6" s="1"/>
  <c r="BB944" i="6"/>
  <c r="BD944" i="6" s="1"/>
  <c r="BB945" i="6"/>
  <c r="BD945" i="6" s="1"/>
  <c r="BB946" i="6"/>
  <c r="BD946" i="6" s="1"/>
  <c r="BB947" i="6"/>
  <c r="BD947" i="6" s="1"/>
  <c r="BB948" i="6"/>
  <c r="BD948" i="6" s="1"/>
  <c r="BB949" i="6"/>
  <c r="BD949" i="6" s="1"/>
  <c r="BB950" i="6"/>
  <c r="BD950" i="6" s="1"/>
  <c r="BB951" i="6"/>
  <c r="BD951" i="6" s="1"/>
  <c r="BB952" i="6"/>
  <c r="BD952" i="6" s="1"/>
  <c r="BB953" i="6"/>
  <c r="BD953" i="6" s="1"/>
  <c r="BB954" i="6"/>
  <c r="BD954" i="6" s="1"/>
  <c r="BB955" i="6"/>
  <c r="BD955" i="6" s="1"/>
  <c r="BB956" i="6"/>
  <c r="BD956" i="6" s="1"/>
  <c r="BB957" i="6"/>
  <c r="BD957" i="6" s="1"/>
  <c r="BB958" i="6"/>
  <c r="BD958" i="6" s="1"/>
  <c r="BB959" i="6"/>
  <c r="BD959" i="6" s="1"/>
  <c r="BB960" i="6"/>
  <c r="BD960" i="6" s="1"/>
  <c r="BB897" i="6"/>
  <c r="BD897" i="6" s="1"/>
  <c r="BB898" i="6"/>
  <c r="BD898" i="6" s="1"/>
  <c r="BB899" i="6"/>
  <c r="BD899" i="6" s="1"/>
  <c r="BB900" i="6"/>
  <c r="BD900" i="6" s="1"/>
  <c r="BB901" i="6"/>
  <c r="BD901" i="6" s="1"/>
  <c r="BB902" i="6"/>
  <c r="BD902" i="6" s="1"/>
  <c r="BB903" i="6"/>
  <c r="BD903" i="6" s="1"/>
  <c r="BB904" i="6"/>
  <c r="BD904" i="6" s="1"/>
  <c r="BB905" i="6"/>
  <c r="BD905" i="6" s="1"/>
  <c r="BB906" i="6"/>
  <c r="BD906" i="6" s="1"/>
  <c r="BB907" i="6"/>
  <c r="BD907" i="6" s="1"/>
  <c r="BB908" i="6"/>
  <c r="BD908" i="6" s="1"/>
  <c r="BB909" i="6"/>
  <c r="BD909" i="6" s="1"/>
  <c r="BB910" i="6"/>
  <c r="BD910" i="6" s="1"/>
  <c r="BB911" i="6"/>
  <c r="BD911" i="6" s="1"/>
  <c r="BB912" i="6"/>
  <c r="BD912" i="6" s="1"/>
  <c r="BB913" i="6"/>
  <c r="BD913" i="6" s="1"/>
  <c r="BB914" i="6"/>
  <c r="BD914" i="6" s="1"/>
  <c r="BB915" i="6"/>
  <c r="BD915" i="6" s="1"/>
  <c r="BB916" i="6"/>
  <c r="BD916" i="6" s="1"/>
  <c r="BB917" i="6"/>
  <c r="BD917" i="6" s="1"/>
  <c r="BB918" i="6"/>
  <c r="BD918" i="6" s="1"/>
  <c r="BB919" i="6"/>
  <c r="BD919" i="6" s="1"/>
  <c r="BB920" i="6"/>
  <c r="BD920" i="6" s="1"/>
  <c r="BB921" i="6"/>
  <c r="BD921" i="6" s="1"/>
  <c r="BB922" i="6"/>
  <c r="BD922" i="6" s="1"/>
  <c r="BB923" i="6"/>
  <c r="BD923" i="6" s="1"/>
  <c r="BB924" i="6"/>
  <c r="BD924" i="6" s="1"/>
  <c r="BB925" i="6"/>
  <c r="BD925" i="6" s="1"/>
  <c r="BB926" i="6"/>
  <c r="BD926" i="6" s="1"/>
  <c r="BB927" i="6"/>
  <c r="BD927" i="6" s="1"/>
  <c r="BB928" i="6"/>
  <c r="BD928" i="6" s="1"/>
  <c r="BB865" i="6"/>
  <c r="BD865" i="6" s="1"/>
  <c r="BB866" i="6"/>
  <c r="BD866" i="6" s="1"/>
  <c r="BB867" i="6"/>
  <c r="BD867" i="6" s="1"/>
  <c r="BB868" i="6"/>
  <c r="BD868" i="6" s="1"/>
  <c r="BB869" i="6"/>
  <c r="BD869" i="6" s="1"/>
  <c r="BB870" i="6"/>
  <c r="BD870" i="6" s="1"/>
  <c r="BB871" i="6"/>
  <c r="BD871" i="6" s="1"/>
  <c r="BB872" i="6"/>
  <c r="BD872" i="6" s="1"/>
  <c r="BB873" i="6"/>
  <c r="BD873" i="6" s="1"/>
  <c r="BB874" i="6"/>
  <c r="BD874" i="6" s="1"/>
  <c r="BB875" i="6"/>
  <c r="BD875" i="6" s="1"/>
  <c r="BB876" i="6"/>
  <c r="BD876" i="6" s="1"/>
  <c r="BB877" i="6"/>
  <c r="BD877" i="6" s="1"/>
  <c r="BB878" i="6"/>
  <c r="BD878" i="6" s="1"/>
  <c r="BB879" i="6"/>
  <c r="BD879" i="6" s="1"/>
  <c r="BB880" i="6"/>
  <c r="BD880" i="6" s="1"/>
  <c r="BB881" i="6"/>
  <c r="BD881" i="6" s="1"/>
  <c r="BB882" i="6"/>
  <c r="BD882" i="6" s="1"/>
  <c r="BB883" i="6"/>
  <c r="BD883" i="6" s="1"/>
  <c r="BB884" i="6"/>
  <c r="BD884" i="6" s="1"/>
  <c r="BB885" i="6"/>
  <c r="BD885" i="6" s="1"/>
  <c r="BB886" i="6"/>
  <c r="BD886" i="6" s="1"/>
  <c r="BB887" i="6"/>
  <c r="BD887" i="6" s="1"/>
  <c r="BB888" i="6"/>
  <c r="BD888" i="6" s="1"/>
  <c r="BB889" i="6"/>
  <c r="BD889" i="6" s="1"/>
  <c r="BB890" i="6"/>
  <c r="BD890" i="6" s="1"/>
  <c r="BB891" i="6"/>
  <c r="BD891" i="6" s="1"/>
  <c r="BB892" i="6"/>
  <c r="BD892" i="6" s="1"/>
  <c r="BB893" i="6"/>
  <c r="BD893" i="6" s="1"/>
  <c r="BB894" i="6"/>
  <c r="BD894" i="6" s="1"/>
  <c r="BB895" i="6"/>
  <c r="BD895" i="6" s="1"/>
  <c r="BB896" i="6"/>
  <c r="BD896" i="6" s="1"/>
  <c r="BB833" i="6"/>
  <c r="BD833" i="6" s="1"/>
  <c r="BB834" i="6"/>
  <c r="BD834" i="6" s="1"/>
  <c r="BB835" i="6"/>
  <c r="BD835" i="6" s="1"/>
  <c r="BB836" i="6"/>
  <c r="BD836" i="6" s="1"/>
  <c r="BB837" i="6"/>
  <c r="BD837" i="6" s="1"/>
  <c r="BB838" i="6"/>
  <c r="BD838" i="6" s="1"/>
  <c r="BB839" i="6"/>
  <c r="BD839" i="6" s="1"/>
  <c r="BB840" i="6"/>
  <c r="BD840" i="6" s="1"/>
  <c r="BB841" i="6"/>
  <c r="BD841" i="6" s="1"/>
  <c r="BB842" i="6"/>
  <c r="BD842" i="6" s="1"/>
  <c r="BB843" i="6"/>
  <c r="BD843" i="6" s="1"/>
  <c r="BB844" i="6"/>
  <c r="BD844" i="6" s="1"/>
  <c r="BB845" i="6"/>
  <c r="BD845" i="6" s="1"/>
  <c r="BB846" i="6"/>
  <c r="BD846" i="6" s="1"/>
  <c r="BB847" i="6"/>
  <c r="BD847" i="6" s="1"/>
  <c r="BB848" i="6"/>
  <c r="BD848" i="6" s="1"/>
  <c r="BB849" i="6"/>
  <c r="BD849" i="6" s="1"/>
  <c r="BB850" i="6"/>
  <c r="BD850" i="6" s="1"/>
  <c r="BB851" i="6"/>
  <c r="BD851" i="6" s="1"/>
  <c r="BB852" i="6"/>
  <c r="BD852" i="6" s="1"/>
  <c r="BB853" i="6"/>
  <c r="BD853" i="6" s="1"/>
  <c r="BB854" i="6"/>
  <c r="BD854" i="6" s="1"/>
  <c r="BB855" i="6"/>
  <c r="BD855" i="6" s="1"/>
  <c r="BB856" i="6"/>
  <c r="BD856" i="6" s="1"/>
  <c r="BB857" i="6"/>
  <c r="BD857" i="6" s="1"/>
  <c r="BB858" i="6"/>
  <c r="BD858" i="6" s="1"/>
  <c r="BB859" i="6"/>
  <c r="BD859" i="6" s="1"/>
  <c r="BB860" i="6"/>
  <c r="BD860" i="6" s="1"/>
  <c r="BB861" i="6"/>
  <c r="BD861" i="6" s="1"/>
  <c r="BB862" i="6"/>
  <c r="BD862" i="6" s="1"/>
  <c r="BB863" i="6"/>
  <c r="BD863" i="6" s="1"/>
  <c r="BB864" i="6"/>
  <c r="BD864" i="6" s="1"/>
  <c r="BB801" i="6"/>
  <c r="BD801" i="6" s="1"/>
  <c r="BB802" i="6"/>
  <c r="BD802" i="6" s="1"/>
  <c r="BB803" i="6"/>
  <c r="BD803" i="6" s="1"/>
  <c r="BB804" i="6"/>
  <c r="BD804" i="6" s="1"/>
  <c r="BB805" i="6"/>
  <c r="BD805" i="6" s="1"/>
  <c r="BB806" i="6"/>
  <c r="BD806" i="6" s="1"/>
  <c r="BB807" i="6"/>
  <c r="BD807" i="6" s="1"/>
  <c r="BB808" i="6"/>
  <c r="BD808" i="6" s="1"/>
  <c r="BB809" i="6"/>
  <c r="BD809" i="6" s="1"/>
  <c r="BB810" i="6"/>
  <c r="BD810" i="6" s="1"/>
  <c r="BB811" i="6"/>
  <c r="BD811" i="6" s="1"/>
  <c r="BB812" i="6"/>
  <c r="BD812" i="6" s="1"/>
  <c r="BB813" i="6"/>
  <c r="BD813" i="6" s="1"/>
  <c r="BB814" i="6"/>
  <c r="BD814" i="6" s="1"/>
  <c r="BB815" i="6"/>
  <c r="BD815" i="6" s="1"/>
  <c r="BB816" i="6"/>
  <c r="BD816" i="6" s="1"/>
  <c r="BB817" i="6"/>
  <c r="BD817" i="6" s="1"/>
  <c r="BB818" i="6"/>
  <c r="BD818" i="6" s="1"/>
  <c r="BB819" i="6"/>
  <c r="BD819" i="6" s="1"/>
  <c r="BB820" i="6"/>
  <c r="BD820" i="6" s="1"/>
  <c r="BB821" i="6"/>
  <c r="BD821" i="6" s="1"/>
  <c r="BB822" i="6"/>
  <c r="BD822" i="6" s="1"/>
  <c r="BB823" i="6"/>
  <c r="BD823" i="6" s="1"/>
  <c r="BB824" i="6"/>
  <c r="BD824" i="6" s="1"/>
  <c r="BB825" i="6"/>
  <c r="BD825" i="6" s="1"/>
  <c r="BB826" i="6"/>
  <c r="BD826" i="6" s="1"/>
  <c r="BB827" i="6"/>
  <c r="BD827" i="6" s="1"/>
  <c r="BB828" i="6"/>
  <c r="BD828" i="6" s="1"/>
  <c r="BB829" i="6"/>
  <c r="BD829" i="6" s="1"/>
  <c r="BB830" i="6"/>
  <c r="BD830" i="6" s="1"/>
  <c r="BB831" i="6"/>
  <c r="BD831" i="6" s="1"/>
  <c r="BB832" i="6"/>
  <c r="BD832" i="6" s="1"/>
  <c r="BB769" i="6"/>
  <c r="BD769" i="6" s="1"/>
  <c r="BB770" i="6"/>
  <c r="BD770" i="6" s="1"/>
  <c r="BB771" i="6"/>
  <c r="BD771" i="6" s="1"/>
  <c r="BB772" i="6"/>
  <c r="BD772" i="6" s="1"/>
  <c r="BB773" i="6"/>
  <c r="BD773" i="6" s="1"/>
  <c r="BB774" i="6"/>
  <c r="BD774" i="6" s="1"/>
  <c r="BB775" i="6"/>
  <c r="BD775" i="6" s="1"/>
  <c r="BB776" i="6"/>
  <c r="BD776" i="6" s="1"/>
  <c r="BB777" i="6"/>
  <c r="BD777" i="6" s="1"/>
  <c r="BB778" i="6"/>
  <c r="BD778" i="6" s="1"/>
  <c r="BB779" i="6"/>
  <c r="BD779" i="6" s="1"/>
  <c r="BB780" i="6"/>
  <c r="BD780" i="6" s="1"/>
  <c r="BB781" i="6"/>
  <c r="BD781" i="6" s="1"/>
  <c r="BB782" i="6"/>
  <c r="BD782" i="6" s="1"/>
  <c r="BB783" i="6"/>
  <c r="BD783" i="6" s="1"/>
  <c r="BB784" i="6"/>
  <c r="BD784" i="6" s="1"/>
  <c r="BB785" i="6"/>
  <c r="BD785" i="6" s="1"/>
  <c r="BB786" i="6"/>
  <c r="BD786" i="6" s="1"/>
  <c r="BB787" i="6"/>
  <c r="BD787" i="6" s="1"/>
  <c r="BB788" i="6"/>
  <c r="BD788" i="6" s="1"/>
  <c r="BB789" i="6"/>
  <c r="BD789" i="6" s="1"/>
  <c r="BB790" i="6"/>
  <c r="BD790" i="6" s="1"/>
  <c r="BB791" i="6"/>
  <c r="BD791" i="6" s="1"/>
  <c r="BB792" i="6"/>
  <c r="BD792" i="6" s="1"/>
  <c r="BB793" i="6"/>
  <c r="BD793" i="6" s="1"/>
  <c r="BB794" i="6"/>
  <c r="BD794" i="6" s="1"/>
  <c r="BB795" i="6"/>
  <c r="BD795" i="6" s="1"/>
  <c r="BB796" i="6"/>
  <c r="BD796" i="6" s="1"/>
  <c r="BB797" i="6"/>
  <c r="BD797" i="6" s="1"/>
  <c r="BB798" i="6"/>
  <c r="BD798" i="6" s="1"/>
  <c r="BB799" i="6"/>
  <c r="BD799" i="6" s="1"/>
  <c r="BB800" i="6"/>
  <c r="BD800" i="6" s="1"/>
  <c r="BB737" i="6"/>
  <c r="BD737" i="6" s="1"/>
  <c r="BB738" i="6"/>
  <c r="BD738" i="6" s="1"/>
  <c r="BB739" i="6"/>
  <c r="BD739" i="6" s="1"/>
  <c r="BB740" i="6"/>
  <c r="BD740" i="6" s="1"/>
  <c r="BB741" i="6"/>
  <c r="BD741" i="6" s="1"/>
  <c r="BB742" i="6"/>
  <c r="BD742" i="6" s="1"/>
  <c r="BB743" i="6"/>
  <c r="BD743" i="6" s="1"/>
  <c r="BB744" i="6"/>
  <c r="BD744" i="6" s="1"/>
  <c r="BB745" i="6"/>
  <c r="BD745" i="6" s="1"/>
  <c r="BB746" i="6"/>
  <c r="BD746" i="6" s="1"/>
  <c r="BB747" i="6"/>
  <c r="BD747" i="6" s="1"/>
  <c r="BB748" i="6"/>
  <c r="BD748" i="6" s="1"/>
  <c r="BB749" i="6"/>
  <c r="BD749" i="6" s="1"/>
  <c r="BB750" i="6"/>
  <c r="BD750" i="6" s="1"/>
  <c r="BB751" i="6"/>
  <c r="BD751" i="6" s="1"/>
  <c r="BB752" i="6"/>
  <c r="BD752" i="6" s="1"/>
  <c r="BB753" i="6"/>
  <c r="BD753" i="6" s="1"/>
  <c r="BB754" i="6"/>
  <c r="BD754" i="6" s="1"/>
  <c r="BB755" i="6"/>
  <c r="BD755" i="6" s="1"/>
  <c r="BB756" i="6"/>
  <c r="BD756" i="6" s="1"/>
  <c r="BB757" i="6"/>
  <c r="BD757" i="6" s="1"/>
  <c r="BB758" i="6"/>
  <c r="BD758" i="6" s="1"/>
  <c r="BB759" i="6"/>
  <c r="BD759" i="6" s="1"/>
  <c r="BB760" i="6"/>
  <c r="BD760" i="6" s="1"/>
  <c r="BB761" i="6"/>
  <c r="BD761" i="6" s="1"/>
  <c r="BB762" i="6"/>
  <c r="BD762" i="6" s="1"/>
  <c r="BB763" i="6"/>
  <c r="BD763" i="6" s="1"/>
  <c r="BB764" i="6"/>
  <c r="BD764" i="6" s="1"/>
  <c r="BB765" i="6"/>
  <c r="BD765" i="6" s="1"/>
  <c r="BB766" i="6"/>
  <c r="BD766" i="6" s="1"/>
  <c r="BB767" i="6"/>
  <c r="BD767" i="6" s="1"/>
  <c r="BB768" i="6"/>
  <c r="BD768" i="6" s="1"/>
  <c r="BB705" i="6"/>
  <c r="BD705" i="6" s="1"/>
  <c r="BB706" i="6"/>
  <c r="BD706" i="6" s="1"/>
  <c r="BB707" i="6"/>
  <c r="BD707" i="6" s="1"/>
  <c r="BB708" i="6"/>
  <c r="BD708" i="6" s="1"/>
  <c r="BB709" i="6"/>
  <c r="BD709" i="6" s="1"/>
  <c r="BB710" i="6"/>
  <c r="BD710" i="6" s="1"/>
  <c r="BB711" i="6"/>
  <c r="BD711" i="6" s="1"/>
  <c r="BB712" i="6"/>
  <c r="BD712" i="6" s="1"/>
  <c r="BB713" i="6"/>
  <c r="BD713" i="6" s="1"/>
  <c r="BB714" i="6"/>
  <c r="BD714" i="6" s="1"/>
  <c r="BB715" i="6"/>
  <c r="BD715" i="6" s="1"/>
  <c r="BB716" i="6"/>
  <c r="BD716" i="6" s="1"/>
  <c r="BB717" i="6"/>
  <c r="BD717" i="6" s="1"/>
  <c r="BB718" i="6"/>
  <c r="BD718" i="6" s="1"/>
  <c r="BB719" i="6"/>
  <c r="BD719" i="6" s="1"/>
  <c r="BB720" i="6"/>
  <c r="BD720" i="6" s="1"/>
  <c r="BB721" i="6"/>
  <c r="BD721" i="6" s="1"/>
  <c r="BB722" i="6"/>
  <c r="BD722" i="6" s="1"/>
  <c r="BB723" i="6"/>
  <c r="BD723" i="6" s="1"/>
  <c r="BB724" i="6"/>
  <c r="BD724" i="6" s="1"/>
  <c r="BB725" i="6"/>
  <c r="BD725" i="6" s="1"/>
  <c r="BB726" i="6"/>
  <c r="BD726" i="6" s="1"/>
  <c r="BB727" i="6"/>
  <c r="BD727" i="6" s="1"/>
  <c r="BB728" i="6"/>
  <c r="BD728" i="6" s="1"/>
  <c r="BB729" i="6"/>
  <c r="BD729" i="6" s="1"/>
  <c r="BB730" i="6"/>
  <c r="BD730" i="6" s="1"/>
  <c r="BB731" i="6"/>
  <c r="BD731" i="6" s="1"/>
  <c r="BB732" i="6"/>
  <c r="BD732" i="6" s="1"/>
  <c r="BB733" i="6"/>
  <c r="BD733" i="6" s="1"/>
  <c r="BB734" i="6"/>
  <c r="BD734" i="6" s="1"/>
  <c r="BB735" i="6"/>
  <c r="BD735" i="6" s="1"/>
  <c r="BB736" i="6"/>
  <c r="BD736" i="6" s="1"/>
  <c r="BB673" i="6"/>
  <c r="BD673" i="6" s="1"/>
  <c r="BB674" i="6"/>
  <c r="BD674" i="6" s="1"/>
  <c r="BB675" i="6"/>
  <c r="BD675" i="6" s="1"/>
  <c r="BB676" i="6"/>
  <c r="BD676" i="6" s="1"/>
  <c r="BB677" i="6"/>
  <c r="BD677" i="6" s="1"/>
  <c r="BB678" i="6"/>
  <c r="BD678" i="6" s="1"/>
  <c r="BB679" i="6"/>
  <c r="BD679" i="6" s="1"/>
  <c r="BB680" i="6"/>
  <c r="BD680" i="6" s="1"/>
  <c r="BB681" i="6"/>
  <c r="BD681" i="6" s="1"/>
  <c r="BB682" i="6"/>
  <c r="BD682" i="6" s="1"/>
  <c r="BB683" i="6"/>
  <c r="BD683" i="6" s="1"/>
  <c r="BB684" i="6"/>
  <c r="BD684" i="6" s="1"/>
  <c r="BB685" i="6"/>
  <c r="BD685" i="6" s="1"/>
  <c r="BB686" i="6"/>
  <c r="BD686" i="6" s="1"/>
  <c r="BB687" i="6"/>
  <c r="BD687" i="6" s="1"/>
  <c r="BB688" i="6"/>
  <c r="BD688" i="6" s="1"/>
  <c r="BB689" i="6"/>
  <c r="BD689" i="6" s="1"/>
  <c r="BB690" i="6"/>
  <c r="BD690" i="6" s="1"/>
  <c r="BB691" i="6"/>
  <c r="BD691" i="6" s="1"/>
  <c r="BB692" i="6"/>
  <c r="BD692" i="6" s="1"/>
  <c r="BB693" i="6"/>
  <c r="BD693" i="6" s="1"/>
  <c r="BB694" i="6"/>
  <c r="BD694" i="6" s="1"/>
  <c r="BB695" i="6"/>
  <c r="BD695" i="6" s="1"/>
  <c r="BB696" i="6"/>
  <c r="BD696" i="6" s="1"/>
  <c r="BB697" i="6"/>
  <c r="BD697" i="6" s="1"/>
  <c r="BB698" i="6"/>
  <c r="BD698" i="6" s="1"/>
  <c r="BB699" i="6"/>
  <c r="BD699" i="6" s="1"/>
  <c r="BB700" i="6"/>
  <c r="BD700" i="6" s="1"/>
  <c r="BB701" i="6"/>
  <c r="BD701" i="6" s="1"/>
  <c r="BB702" i="6"/>
  <c r="BD702" i="6" s="1"/>
  <c r="BB703" i="6"/>
  <c r="BD703" i="6" s="1"/>
  <c r="BB704" i="6"/>
  <c r="BD704" i="6" s="1"/>
  <c r="BB641" i="6"/>
  <c r="BD641" i="6" s="1"/>
  <c r="BG641" i="6"/>
  <c r="BI641" i="6" s="1"/>
  <c r="BB642" i="6"/>
  <c r="BD642" i="6" s="1"/>
  <c r="BG642" i="6"/>
  <c r="BI642" i="6" s="1"/>
  <c r="BB643" i="6"/>
  <c r="BD643" i="6" s="1"/>
  <c r="BG643" i="6"/>
  <c r="BI643" i="6" s="1"/>
  <c r="BB644" i="6"/>
  <c r="BD644" i="6" s="1"/>
  <c r="BG644" i="6"/>
  <c r="BI644" i="6" s="1"/>
  <c r="BB645" i="6"/>
  <c r="BD645" i="6" s="1"/>
  <c r="BG645" i="6"/>
  <c r="BI645" i="6" s="1"/>
  <c r="BB646" i="6"/>
  <c r="BD646" i="6" s="1"/>
  <c r="BG646" i="6"/>
  <c r="BI646" i="6" s="1"/>
  <c r="BB647" i="6"/>
  <c r="BD647" i="6" s="1"/>
  <c r="BG647" i="6"/>
  <c r="BI647" i="6" s="1"/>
  <c r="BB648" i="6"/>
  <c r="BD648" i="6" s="1"/>
  <c r="BG648" i="6"/>
  <c r="BI648" i="6" s="1"/>
  <c r="BB649" i="6"/>
  <c r="BD649" i="6" s="1"/>
  <c r="BG649" i="6"/>
  <c r="BI649" i="6" s="1"/>
  <c r="BB650" i="6"/>
  <c r="BD650" i="6" s="1"/>
  <c r="BG650" i="6"/>
  <c r="BI650" i="6" s="1"/>
  <c r="BB651" i="6"/>
  <c r="BD651" i="6" s="1"/>
  <c r="BG651" i="6"/>
  <c r="BI651" i="6" s="1"/>
  <c r="BB652" i="6"/>
  <c r="BD652" i="6" s="1"/>
  <c r="BG652" i="6"/>
  <c r="BI652" i="6" s="1"/>
  <c r="BB653" i="6"/>
  <c r="BD653" i="6" s="1"/>
  <c r="BG653" i="6"/>
  <c r="BI653" i="6" s="1"/>
  <c r="BB654" i="6"/>
  <c r="BD654" i="6" s="1"/>
  <c r="BG654" i="6"/>
  <c r="BI654" i="6" s="1"/>
  <c r="BB655" i="6"/>
  <c r="BD655" i="6" s="1"/>
  <c r="BG655" i="6"/>
  <c r="BI655" i="6" s="1"/>
  <c r="BB656" i="6"/>
  <c r="BD656" i="6" s="1"/>
  <c r="BG656" i="6"/>
  <c r="BI656" i="6" s="1"/>
  <c r="BB657" i="6"/>
  <c r="BD657" i="6" s="1"/>
  <c r="BG657" i="6"/>
  <c r="BI657" i="6" s="1"/>
  <c r="BB658" i="6"/>
  <c r="BD658" i="6" s="1"/>
  <c r="BG658" i="6"/>
  <c r="BI658" i="6" s="1"/>
  <c r="BB659" i="6"/>
  <c r="BD659" i="6" s="1"/>
  <c r="BG659" i="6"/>
  <c r="BI659" i="6" s="1"/>
  <c r="BB660" i="6"/>
  <c r="BD660" i="6" s="1"/>
  <c r="BG660" i="6"/>
  <c r="BI660" i="6" s="1"/>
  <c r="BB661" i="6"/>
  <c r="BD661" i="6" s="1"/>
  <c r="BG661" i="6"/>
  <c r="BI661" i="6" s="1"/>
  <c r="BB662" i="6"/>
  <c r="BD662" i="6" s="1"/>
  <c r="BG662" i="6"/>
  <c r="BI662" i="6" s="1"/>
  <c r="BB663" i="6"/>
  <c r="BD663" i="6" s="1"/>
  <c r="BG663" i="6"/>
  <c r="BI663" i="6" s="1"/>
  <c r="BB664" i="6"/>
  <c r="BD664" i="6" s="1"/>
  <c r="BG664" i="6"/>
  <c r="BI664" i="6" s="1"/>
  <c r="BB665" i="6"/>
  <c r="BD665" i="6" s="1"/>
  <c r="BG665" i="6"/>
  <c r="BI665" i="6" s="1"/>
  <c r="BB666" i="6"/>
  <c r="BD666" i="6" s="1"/>
  <c r="BG666" i="6"/>
  <c r="BI666" i="6" s="1"/>
  <c r="BB667" i="6"/>
  <c r="BD667" i="6" s="1"/>
  <c r="BG667" i="6"/>
  <c r="BI667" i="6" s="1"/>
  <c r="BB668" i="6"/>
  <c r="BD668" i="6" s="1"/>
  <c r="BG668" i="6"/>
  <c r="BI668" i="6" s="1"/>
  <c r="BB669" i="6"/>
  <c r="BD669" i="6" s="1"/>
  <c r="BG669" i="6"/>
  <c r="BI669" i="6" s="1"/>
  <c r="BB670" i="6"/>
  <c r="BD670" i="6" s="1"/>
  <c r="BB671" i="6"/>
  <c r="BD671" i="6" s="1"/>
  <c r="BB672" i="6"/>
  <c r="BD672" i="6" s="1"/>
  <c r="BB609" i="6"/>
  <c r="BD609" i="6" s="1"/>
  <c r="BG609" i="6"/>
  <c r="BI609" i="6" s="1"/>
  <c r="BB610" i="6"/>
  <c r="BD610" i="6" s="1"/>
  <c r="BG610" i="6"/>
  <c r="BI610" i="6" s="1"/>
  <c r="BB611" i="6"/>
  <c r="BD611" i="6" s="1"/>
  <c r="BG611" i="6"/>
  <c r="BI611" i="6" s="1"/>
  <c r="BB612" i="6"/>
  <c r="BD612" i="6" s="1"/>
  <c r="BG612" i="6"/>
  <c r="BI612" i="6" s="1"/>
  <c r="BB613" i="6"/>
  <c r="BD613" i="6" s="1"/>
  <c r="BG613" i="6"/>
  <c r="BI613" i="6" s="1"/>
  <c r="BB614" i="6"/>
  <c r="BD614" i="6" s="1"/>
  <c r="BG614" i="6"/>
  <c r="BI614" i="6" s="1"/>
  <c r="BB615" i="6"/>
  <c r="BD615" i="6" s="1"/>
  <c r="BG615" i="6"/>
  <c r="BI615" i="6" s="1"/>
  <c r="BB616" i="6"/>
  <c r="BD616" i="6" s="1"/>
  <c r="BG616" i="6"/>
  <c r="BI616" i="6" s="1"/>
  <c r="BB617" i="6"/>
  <c r="BD617" i="6" s="1"/>
  <c r="BG617" i="6"/>
  <c r="BI617" i="6" s="1"/>
  <c r="BB618" i="6"/>
  <c r="BD618" i="6" s="1"/>
  <c r="BG618" i="6"/>
  <c r="BI618" i="6" s="1"/>
  <c r="BB619" i="6"/>
  <c r="BD619" i="6" s="1"/>
  <c r="BG619" i="6"/>
  <c r="BI619" i="6" s="1"/>
  <c r="BB620" i="6"/>
  <c r="BD620" i="6" s="1"/>
  <c r="BG620" i="6"/>
  <c r="BI620" i="6" s="1"/>
  <c r="BB621" i="6"/>
  <c r="BD621" i="6" s="1"/>
  <c r="BG621" i="6"/>
  <c r="BI621" i="6" s="1"/>
  <c r="BB622" i="6"/>
  <c r="BD622" i="6" s="1"/>
  <c r="BG622" i="6"/>
  <c r="BI622" i="6" s="1"/>
  <c r="BB623" i="6"/>
  <c r="BD623" i="6" s="1"/>
  <c r="BG623" i="6"/>
  <c r="BI623" i="6" s="1"/>
  <c r="BB624" i="6"/>
  <c r="BD624" i="6" s="1"/>
  <c r="BG624" i="6"/>
  <c r="BI624" i="6" s="1"/>
  <c r="BB625" i="6"/>
  <c r="BD625" i="6" s="1"/>
  <c r="BG625" i="6"/>
  <c r="BI625" i="6" s="1"/>
  <c r="BB626" i="6"/>
  <c r="BD626" i="6" s="1"/>
  <c r="BG626" i="6"/>
  <c r="BI626" i="6" s="1"/>
  <c r="BB627" i="6"/>
  <c r="BD627" i="6" s="1"/>
  <c r="BG627" i="6"/>
  <c r="BI627" i="6" s="1"/>
  <c r="BB628" i="6"/>
  <c r="BD628" i="6" s="1"/>
  <c r="BG628" i="6"/>
  <c r="BI628" i="6" s="1"/>
  <c r="BB629" i="6"/>
  <c r="BD629" i="6" s="1"/>
  <c r="BG629" i="6"/>
  <c r="BI629" i="6" s="1"/>
  <c r="BB630" i="6"/>
  <c r="BD630" i="6" s="1"/>
  <c r="BG630" i="6"/>
  <c r="BI630" i="6" s="1"/>
  <c r="BB631" i="6"/>
  <c r="BD631" i="6" s="1"/>
  <c r="BG631" i="6"/>
  <c r="BI631" i="6" s="1"/>
  <c r="BB632" i="6"/>
  <c r="BD632" i="6" s="1"/>
  <c r="BG632" i="6"/>
  <c r="BI632" i="6" s="1"/>
  <c r="BB633" i="6"/>
  <c r="BD633" i="6" s="1"/>
  <c r="BG633" i="6"/>
  <c r="BI633" i="6" s="1"/>
  <c r="BB634" i="6"/>
  <c r="BD634" i="6" s="1"/>
  <c r="BG634" i="6"/>
  <c r="BI634" i="6" s="1"/>
  <c r="BB635" i="6"/>
  <c r="BD635" i="6" s="1"/>
  <c r="BG635" i="6"/>
  <c r="BI635" i="6" s="1"/>
  <c r="BB636" i="6"/>
  <c r="BD636" i="6" s="1"/>
  <c r="BG636" i="6"/>
  <c r="BI636" i="6" s="1"/>
  <c r="BB637" i="6"/>
  <c r="BD637" i="6" s="1"/>
  <c r="BG637" i="6"/>
  <c r="BI637" i="6" s="1"/>
  <c r="BB638" i="6"/>
  <c r="BD638" i="6" s="1"/>
  <c r="BG638" i="6"/>
  <c r="BI638" i="6" s="1"/>
  <c r="BB639" i="6"/>
  <c r="BD639" i="6" s="1"/>
  <c r="BG639" i="6"/>
  <c r="BI639" i="6" s="1"/>
  <c r="BB640" i="6"/>
  <c r="BD640" i="6" s="1"/>
  <c r="BG640" i="6"/>
  <c r="BI640" i="6" s="1"/>
  <c r="BB577" i="6"/>
  <c r="BD577" i="6" s="1"/>
  <c r="BG577" i="6"/>
  <c r="BI577" i="6" s="1"/>
  <c r="BB578" i="6"/>
  <c r="BD578" i="6" s="1"/>
  <c r="BG578" i="6"/>
  <c r="BI578" i="6" s="1"/>
  <c r="BB579" i="6"/>
  <c r="BD579" i="6" s="1"/>
  <c r="BG579" i="6"/>
  <c r="BI579" i="6" s="1"/>
  <c r="BB580" i="6"/>
  <c r="BD580" i="6" s="1"/>
  <c r="BG580" i="6"/>
  <c r="BI580" i="6" s="1"/>
  <c r="BB581" i="6"/>
  <c r="BD581" i="6" s="1"/>
  <c r="BG581" i="6"/>
  <c r="BI581" i="6" s="1"/>
  <c r="BB582" i="6"/>
  <c r="BD582" i="6" s="1"/>
  <c r="BG582" i="6"/>
  <c r="BI582" i="6" s="1"/>
  <c r="BB583" i="6"/>
  <c r="BD583" i="6" s="1"/>
  <c r="BG583" i="6"/>
  <c r="BI583" i="6" s="1"/>
  <c r="BB584" i="6"/>
  <c r="BD584" i="6" s="1"/>
  <c r="BG584" i="6"/>
  <c r="BI584" i="6" s="1"/>
  <c r="BB585" i="6"/>
  <c r="BD585" i="6" s="1"/>
  <c r="BG585" i="6"/>
  <c r="BI585" i="6" s="1"/>
  <c r="BB586" i="6"/>
  <c r="BD586" i="6" s="1"/>
  <c r="BG586" i="6"/>
  <c r="BI586" i="6" s="1"/>
  <c r="BB587" i="6"/>
  <c r="BD587" i="6" s="1"/>
  <c r="BG587" i="6"/>
  <c r="BI587" i="6" s="1"/>
  <c r="BB588" i="6"/>
  <c r="BD588" i="6" s="1"/>
  <c r="BG588" i="6"/>
  <c r="BI588" i="6" s="1"/>
  <c r="BB589" i="6"/>
  <c r="BD589" i="6" s="1"/>
  <c r="BG589" i="6"/>
  <c r="BI589" i="6" s="1"/>
  <c r="BB590" i="6"/>
  <c r="BD590" i="6" s="1"/>
  <c r="BG590" i="6"/>
  <c r="BI590" i="6" s="1"/>
  <c r="BB591" i="6"/>
  <c r="BD591" i="6" s="1"/>
  <c r="BG591" i="6"/>
  <c r="BI591" i="6" s="1"/>
  <c r="BB592" i="6"/>
  <c r="BD592" i="6" s="1"/>
  <c r="BG592" i="6"/>
  <c r="BI592" i="6" s="1"/>
  <c r="BB593" i="6"/>
  <c r="BD593" i="6" s="1"/>
  <c r="BG593" i="6"/>
  <c r="BI593" i="6" s="1"/>
  <c r="BB594" i="6"/>
  <c r="BD594" i="6" s="1"/>
  <c r="BG594" i="6"/>
  <c r="BI594" i="6" s="1"/>
  <c r="BB595" i="6"/>
  <c r="BD595" i="6" s="1"/>
  <c r="BG595" i="6"/>
  <c r="BI595" i="6" s="1"/>
  <c r="BB596" i="6"/>
  <c r="BD596" i="6" s="1"/>
  <c r="BG596" i="6"/>
  <c r="BI596" i="6" s="1"/>
  <c r="BB597" i="6"/>
  <c r="BD597" i="6" s="1"/>
  <c r="BG597" i="6"/>
  <c r="BI597" i="6" s="1"/>
  <c r="BB598" i="6"/>
  <c r="BD598" i="6" s="1"/>
  <c r="BG598" i="6"/>
  <c r="BI598" i="6" s="1"/>
  <c r="BB599" i="6"/>
  <c r="BD599" i="6" s="1"/>
  <c r="BG599" i="6"/>
  <c r="BI599" i="6" s="1"/>
  <c r="BB600" i="6"/>
  <c r="BD600" i="6" s="1"/>
  <c r="BG600" i="6"/>
  <c r="BI600" i="6" s="1"/>
  <c r="BB601" i="6"/>
  <c r="BD601" i="6" s="1"/>
  <c r="BG601" i="6"/>
  <c r="BI601" i="6" s="1"/>
  <c r="BB602" i="6"/>
  <c r="BD602" i="6" s="1"/>
  <c r="BG602" i="6"/>
  <c r="BI602" i="6" s="1"/>
  <c r="BB603" i="6"/>
  <c r="BD603" i="6" s="1"/>
  <c r="BG603" i="6"/>
  <c r="BI603" i="6" s="1"/>
  <c r="BB604" i="6"/>
  <c r="BD604" i="6" s="1"/>
  <c r="BG604" i="6"/>
  <c r="BI604" i="6" s="1"/>
  <c r="BB605" i="6"/>
  <c r="BD605" i="6" s="1"/>
  <c r="BG605" i="6"/>
  <c r="BI605" i="6" s="1"/>
  <c r="BB606" i="6"/>
  <c r="BD606" i="6" s="1"/>
  <c r="BG606" i="6"/>
  <c r="BI606" i="6" s="1"/>
  <c r="BB607" i="6"/>
  <c r="BD607" i="6" s="1"/>
  <c r="BG607" i="6"/>
  <c r="BI607" i="6" s="1"/>
  <c r="BB608" i="6"/>
  <c r="BD608" i="6" s="1"/>
  <c r="BG608" i="6"/>
  <c r="BI608" i="6" s="1"/>
  <c r="BB545" i="6"/>
  <c r="BD545" i="6" s="1"/>
  <c r="BG545" i="6"/>
  <c r="BI545" i="6" s="1"/>
  <c r="BB546" i="6"/>
  <c r="BD546" i="6" s="1"/>
  <c r="BG546" i="6"/>
  <c r="BI546" i="6" s="1"/>
  <c r="BB547" i="6"/>
  <c r="BD547" i="6" s="1"/>
  <c r="BG547" i="6"/>
  <c r="BI547" i="6" s="1"/>
  <c r="BB548" i="6"/>
  <c r="BD548" i="6" s="1"/>
  <c r="BG548" i="6"/>
  <c r="BI548" i="6" s="1"/>
  <c r="BB549" i="6"/>
  <c r="BD549" i="6" s="1"/>
  <c r="BG549" i="6"/>
  <c r="BI549" i="6" s="1"/>
  <c r="BB550" i="6"/>
  <c r="BD550" i="6" s="1"/>
  <c r="BG550" i="6"/>
  <c r="BI550" i="6" s="1"/>
  <c r="BB551" i="6"/>
  <c r="BD551" i="6" s="1"/>
  <c r="BG551" i="6"/>
  <c r="BI551" i="6" s="1"/>
  <c r="BB552" i="6"/>
  <c r="BD552" i="6" s="1"/>
  <c r="BG552" i="6"/>
  <c r="BI552" i="6" s="1"/>
  <c r="BB553" i="6"/>
  <c r="BD553" i="6" s="1"/>
  <c r="BG553" i="6"/>
  <c r="BI553" i="6" s="1"/>
  <c r="BB554" i="6"/>
  <c r="BD554" i="6" s="1"/>
  <c r="BG554" i="6"/>
  <c r="BI554" i="6" s="1"/>
  <c r="BB555" i="6"/>
  <c r="BD555" i="6" s="1"/>
  <c r="BG555" i="6"/>
  <c r="BI555" i="6" s="1"/>
  <c r="BB556" i="6"/>
  <c r="BD556" i="6" s="1"/>
  <c r="BG556" i="6"/>
  <c r="BI556" i="6" s="1"/>
  <c r="BB557" i="6"/>
  <c r="BD557" i="6" s="1"/>
  <c r="BG557" i="6"/>
  <c r="BI557" i="6" s="1"/>
  <c r="BB558" i="6"/>
  <c r="BD558" i="6" s="1"/>
  <c r="BG558" i="6"/>
  <c r="BI558" i="6" s="1"/>
  <c r="BB559" i="6"/>
  <c r="BD559" i="6" s="1"/>
  <c r="BG559" i="6"/>
  <c r="BI559" i="6" s="1"/>
  <c r="BB560" i="6"/>
  <c r="BD560" i="6" s="1"/>
  <c r="BG560" i="6"/>
  <c r="BI560" i="6" s="1"/>
  <c r="BB561" i="6"/>
  <c r="BD561" i="6" s="1"/>
  <c r="BG561" i="6"/>
  <c r="BI561" i="6" s="1"/>
  <c r="BB562" i="6"/>
  <c r="BD562" i="6" s="1"/>
  <c r="BG562" i="6"/>
  <c r="BI562" i="6" s="1"/>
  <c r="BB563" i="6"/>
  <c r="BD563" i="6" s="1"/>
  <c r="BG563" i="6"/>
  <c r="BI563" i="6" s="1"/>
  <c r="BB564" i="6"/>
  <c r="BD564" i="6" s="1"/>
  <c r="BG564" i="6"/>
  <c r="BI564" i="6" s="1"/>
  <c r="BB565" i="6"/>
  <c r="BD565" i="6" s="1"/>
  <c r="BG565" i="6"/>
  <c r="BI565" i="6" s="1"/>
  <c r="BB566" i="6"/>
  <c r="BD566" i="6" s="1"/>
  <c r="BG566" i="6"/>
  <c r="BI566" i="6" s="1"/>
  <c r="BB567" i="6"/>
  <c r="BD567" i="6" s="1"/>
  <c r="BG567" i="6"/>
  <c r="BI567" i="6" s="1"/>
  <c r="BB568" i="6"/>
  <c r="BD568" i="6" s="1"/>
  <c r="BG568" i="6"/>
  <c r="BI568" i="6" s="1"/>
  <c r="BB569" i="6"/>
  <c r="BD569" i="6" s="1"/>
  <c r="BG569" i="6"/>
  <c r="BI569" i="6" s="1"/>
  <c r="BB570" i="6"/>
  <c r="BD570" i="6" s="1"/>
  <c r="BG570" i="6"/>
  <c r="BI570" i="6" s="1"/>
  <c r="BB571" i="6"/>
  <c r="BD571" i="6" s="1"/>
  <c r="BG571" i="6"/>
  <c r="BI571" i="6" s="1"/>
  <c r="BB572" i="6"/>
  <c r="BD572" i="6" s="1"/>
  <c r="BG572" i="6"/>
  <c r="BI572" i="6" s="1"/>
  <c r="BB573" i="6"/>
  <c r="BD573" i="6" s="1"/>
  <c r="BG573" i="6"/>
  <c r="BI573" i="6" s="1"/>
  <c r="BB574" i="6"/>
  <c r="BD574" i="6" s="1"/>
  <c r="BG574" i="6"/>
  <c r="BI574" i="6" s="1"/>
  <c r="BB575" i="6"/>
  <c r="BD575" i="6" s="1"/>
  <c r="BG575" i="6"/>
  <c r="BI575" i="6" s="1"/>
  <c r="BB576" i="6"/>
  <c r="BD576" i="6" s="1"/>
  <c r="BG576" i="6"/>
  <c r="BI576" i="6" s="1"/>
  <c r="BB513" i="6"/>
  <c r="BD513" i="6" s="1"/>
  <c r="BG513" i="6"/>
  <c r="BI513" i="6" s="1"/>
  <c r="BB514" i="6"/>
  <c r="BD514" i="6" s="1"/>
  <c r="BG514" i="6"/>
  <c r="BI514" i="6" s="1"/>
  <c r="BB515" i="6"/>
  <c r="BD515" i="6" s="1"/>
  <c r="BG515" i="6"/>
  <c r="BI515" i="6" s="1"/>
  <c r="BB516" i="6"/>
  <c r="BD516" i="6" s="1"/>
  <c r="BG516" i="6"/>
  <c r="BI516" i="6" s="1"/>
  <c r="BB517" i="6"/>
  <c r="BD517" i="6" s="1"/>
  <c r="BG517" i="6"/>
  <c r="BI517" i="6" s="1"/>
  <c r="BB518" i="6"/>
  <c r="BD518" i="6" s="1"/>
  <c r="BG518" i="6"/>
  <c r="BI518" i="6" s="1"/>
  <c r="BB519" i="6"/>
  <c r="BD519" i="6" s="1"/>
  <c r="BG519" i="6"/>
  <c r="BI519" i="6" s="1"/>
  <c r="BB520" i="6"/>
  <c r="BD520" i="6" s="1"/>
  <c r="BG520" i="6"/>
  <c r="BI520" i="6" s="1"/>
  <c r="BB521" i="6"/>
  <c r="BD521" i="6" s="1"/>
  <c r="BG521" i="6"/>
  <c r="BI521" i="6" s="1"/>
  <c r="BB522" i="6"/>
  <c r="BD522" i="6" s="1"/>
  <c r="BG522" i="6"/>
  <c r="BI522" i="6" s="1"/>
  <c r="BB523" i="6"/>
  <c r="BD523" i="6" s="1"/>
  <c r="BG523" i="6"/>
  <c r="BI523" i="6" s="1"/>
  <c r="BB524" i="6"/>
  <c r="BD524" i="6" s="1"/>
  <c r="BG524" i="6"/>
  <c r="BI524" i="6" s="1"/>
  <c r="BB525" i="6"/>
  <c r="BD525" i="6" s="1"/>
  <c r="BG525" i="6"/>
  <c r="BI525" i="6" s="1"/>
  <c r="BB526" i="6"/>
  <c r="BD526" i="6" s="1"/>
  <c r="BG526" i="6"/>
  <c r="BI526" i="6" s="1"/>
  <c r="BB527" i="6"/>
  <c r="BD527" i="6" s="1"/>
  <c r="BG527" i="6"/>
  <c r="BI527" i="6" s="1"/>
  <c r="BB528" i="6"/>
  <c r="BD528" i="6" s="1"/>
  <c r="BG528" i="6"/>
  <c r="BI528" i="6" s="1"/>
  <c r="BB529" i="6"/>
  <c r="BD529" i="6" s="1"/>
  <c r="BG529" i="6"/>
  <c r="BI529" i="6" s="1"/>
  <c r="BB530" i="6"/>
  <c r="BD530" i="6" s="1"/>
  <c r="BG530" i="6"/>
  <c r="BI530" i="6" s="1"/>
  <c r="BB531" i="6"/>
  <c r="BD531" i="6" s="1"/>
  <c r="BG531" i="6"/>
  <c r="BI531" i="6" s="1"/>
  <c r="BB532" i="6"/>
  <c r="BD532" i="6" s="1"/>
  <c r="BG532" i="6"/>
  <c r="BI532" i="6" s="1"/>
  <c r="BB533" i="6"/>
  <c r="BD533" i="6" s="1"/>
  <c r="BG533" i="6"/>
  <c r="BI533" i="6" s="1"/>
  <c r="BB534" i="6"/>
  <c r="BD534" i="6" s="1"/>
  <c r="BG534" i="6"/>
  <c r="BI534" i="6" s="1"/>
  <c r="BB535" i="6"/>
  <c r="BD535" i="6" s="1"/>
  <c r="BG535" i="6"/>
  <c r="BI535" i="6" s="1"/>
  <c r="BB536" i="6"/>
  <c r="BD536" i="6" s="1"/>
  <c r="BG536" i="6"/>
  <c r="BI536" i="6" s="1"/>
  <c r="BB537" i="6"/>
  <c r="BD537" i="6" s="1"/>
  <c r="BG537" i="6"/>
  <c r="BI537" i="6" s="1"/>
  <c r="BB538" i="6"/>
  <c r="BD538" i="6" s="1"/>
  <c r="BG538" i="6"/>
  <c r="BI538" i="6" s="1"/>
  <c r="BB539" i="6"/>
  <c r="BD539" i="6" s="1"/>
  <c r="BG539" i="6"/>
  <c r="BI539" i="6" s="1"/>
  <c r="BB540" i="6"/>
  <c r="BD540" i="6" s="1"/>
  <c r="BG540" i="6"/>
  <c r="BI540" i="6" s="1"/>
  <c r="BB541" i="6"/>
  <c r="BD541" i="6" s="1"/>
  <c r="BG541" i="6"/>
  <c r="BI541" i="6" s="1"/>
  <c r="BB542" i="6"/>
  <c r="BD542" i="6" s="1"/>
  <c r="BG542" i="6"/>
  <c r="BI542" i="6" s="1"/>
  <c r="BB543" i="6"/>
  <c r="BD543" i="6" s="1"/>
  <c r="BG543" i="6"/>
  <c r="BI543" i="6" s="1"/>
  <c r="BB544" i="6"/>
  <c r="BD544" i="6" s="1"/>
  <c r="BG544" i="6"/>
  <c r="BI544" i="6" s="1"/>
  <c r="BB481" i="6"/>
  <c r="BD481" i="6" s="1"/>
  <c r="BG481" i="6"/>
  <c r="BI481" i="6" s="1"/>
  <c r="BB482" i="6"/>
  <c r="BD482" i="6" s="1"/>
  <c r="BG482" i="6"/>
  <c r="BI482" i="6" s="1"/>
  <c r="BB483" i="6"/>
  <c r="BD483" i="6" s="1"/>
  <c r="BG483" i="6"/>
  <c r="BI483" i="6" s="1"/>
  <c r="BB484" i="6"/>
  <c r="BD484" i="6" s="1"/>
  <c r="BG484" i="6"/>
  <c r="BI484" i="6" s="1"/>
  <c r="BB485" i="6"/>
  <c r="BD485" i="6" s="1"/>
  <c r="BG485" i="6"/>
  <c r="BI485" i="6" s="1"/>
  <c r="BB486" i="6"/>
  <c r="BD486" i="6" s="1"/>
  <c r="BG486" i="6"/>
  <c r="BI486" i="6" s="1"/>
  <c r="BB487" i="6"/>
  <c r="BD487" i="6" s="1"/>
  <c r="BG487" i="6"/>
  <c r="BI487" i="6" s="1"/>
  <c r="BB488" i="6"/>
  <c r="BD488" i="6" s="1"/>
  <c r="BG488" i="6"/>
  <c r="BI488" i="6" s="1"/>
  <c r="BB489" i="6"/>
  <c r="BD489" i="6" s="1"/>
  <c r="BG489" i="6"/>
  <c r="BI489" i="6" s="1"/>
  <c r="BB490" i="6"/>
  <c r="BD490" i="6" s="1"/>
  <c r="BG490" i="6"/>
  <c r="BI490" i="6" s="1"/>
  <c r="BB491" i="6"/>
  <c r="BD491" i="6" s="1"/>
  <c r="BG491" i="6"/>
  <c r="BI491" i="6" s="1"/>
  <c r="BB492" i="6"/>
  <c r="BD492" i="6" s="1"/>
  <c r="BG492" i="6"/>
  <c r="BI492" i="6" s="1"/>
  <c r="BB493" i="6"/>
  <c r="BD493" i="6" s="1"/>
  <c r="BG493" i="6"/>
  <c r="BI493" i="6" s="1"/>
  <c r="BB494" i="6"/>
  <c r="BD494" i="6" s="1"/>
  <c r="BG494" i="6"/>
  <c r="BI494" i="6" s="1"/>
  <c r="BB495" i="6"/>
  <c r="BD495" i="6" s="1"/>
  <c r="BG495" i="6"/>
  <c r="BI495" i="6" s="1"/>
  <c r="BB496" i="6"/>
  <c r="BD496" i="6" s="1"/>
  <c r="BG496" i="6"/>
  <c r="BI496" i="6" s="1"/>
  <c r="BB497" i="6"/>
  <c r="BD497" i="6" s="1"/>
  <c r="BG497" i="6"/>
  <c r="BI497" i="6" s="1"/>
  <c r="BB498" i="6"/>
  <c r="BD498" i="6" s="1"/>
  <c r="BG498" i="6"/>
  <c r="BI498" i="6" s="1"/>
  <c r="BB499" i="6"/>
  <c r="BD499" i="6" s="1"/>
  <c r="BG499" i="6"/>
  <c r="BI499" i="6" s="1"/>
  <c r="BB500" i="6"/>
  <c r="BD500" i="6" s="1"/>
  <c r="BG500" i="6"/>
  <c r="BI500" i="6" s="1"/>
  <c r="BB501" i="6"/>
  <c r="BD501" i="6" s="1"/>
  <c r="BG501" i="6"/>
  <c r="BI501" i="6" s="1"/>
  <c r="BB502" i="6"/>
  <c r="BD502" i="6" s="1"/>
  <c r="BG502" i="6"/>
  <c r="BI502" i="6" s="1"/>
  <c r="BB503" i="6"/>
  <c r="BD503" i="6" s="1"/>
  <c r="BG503" i="6"/>
  <c r="BI503" i="6" s="1"/>
  <c r="BB504" i="6"/>
  <c r="BD504" i="6" s="1"/>
  <c r="BG504" i="6"/>
  <c r="BI504" i="6" s="1"/>
  <c r="BB505" i="6"/>
  <c r="BD505" i="6" s="1"/>
  <c r="BG505" i="6"/>
  <c r="BI505" i="6" s="1"/>
  <c r="BB506" i="6"/>
  <c r="BD506" i="6" s="1"/>
  <c r="BG506" i="6"/>
  <c r="BI506" i="6" s="1"/>
  <c r="BB507" i="6"/>
  <c r="BD507" i="6" s="1"/>
  <c r="BG507" i="6"/>
  <c r="BI507" i="6" s="1"/>
  <c r="BB508" i="6"/>
  <c r="BD508" i="6" s="1"/>
  <c r="BG508" i="6"/>
  <c r="BI508" i="6" s="1"/>
  <c r="BB509" i="6"/>
  <c r="BD509" i="6" s="1"/>
  <c r="BG509" i="6"/>
  <c r="BI509" i="6" s="1"/>
  <c r="BB510" i="6"/>
  <c r="BD510" i="6" s="1"/>
  <c r="BG510" i="6"/>
  <c r="BI510" i="6" s="1"/>
  <c r="BB511" i="6"/>
  <c r="BD511" i="6" s="1"/>
  <c r="BG511" i="6"/>
  <c r="BI511" i="6" s="1"/>
  <c r="BB512" i="6"/>
  <c r="BD512" i="6" s="1"/>
  <c r="BG512" i="6"/>
  <c r="BI512" i="6" s="1"/>
  <c r="BB449" i="6"/>
  <c r="BD449" i="6" s="1"/>
  <c r="BG449" i="6"/>
  <c r="BI449" i="6" s="1"/>
  <c r="BB450" i="6"/>
  <c r="BD450" i="6" s="1"/>
  <c r="BG450" i="6"/>
  <c r="BI450" i="6" s="1"/>
  <c r="BB451" i="6"/>
  <c r="BD451" i="6" s="1"/>
  <c r="BG451" i="6"/>
  <c r="BI451" i="6" s="1"/>
  <c r="BB452" i="6"/>
  <c r="BD452" i="6" s="1"/>
  <c r="BG452" i="6"/>
  <c r="BI452" i="6" s="1"/>
  <c r="BB453" i="6"/>
  <c r="BD453" i="6" s="1"/>
  <c r="BG453" i="6"/>
  <c r="BI453" i="6" s="1"/>
  <c r="BB454" i="6"/>
  <c r="BD454" i="6" s="1"/>
  <c r="BG454" i="6"/>
  <c r="BI454" i="6" s="1"/>
  <c r="BB455" i="6"/>
  <c r="BD455" i="6" s="1"/>
  <c r="BG455" i="6"/>
  <c r="BI455" i="6" s="1"/>
  <c r="BB456" i="6"/>
  <c r="BD456" i="6" s="1"/>
  <c r="BG456" i="6"/>
  <c r="BI456" i="6" s="1"/>
  <c r="BB457" i="6"/>
  <c r="BD457" i="6" s="1"/>
  <c r="BG457" i="6"/>
  <c r="BI457" i="6" s="1"/>
  <c r="BB458" i="6"/>
  <c r="BD458" i="6" s="1"/>
  <c r="BG458" i="6"/>
  <c r="BI458" i="6" s="1"/>
  <c r="BB459" i="6"/>
  <c r="BD459" i="6" s="1"/>
  <c r="BG459" i="6"/>
  <c r="BI459" i="6" s="1"/>
  <c r="BB460" i="6"/>
  <c r="BD460" i="6" s="1"/>
  <c r="BG460" i="6"/>
  <c r="BI460" i="6" s="1"/>
  <c r="BB461" i="6"/>
  <c r="BD461" i="6" s="1"/>
  <c r="BG461" i="6"/>
  <c r="BI461" i="6" s="1"/>
  <c r="BB462" i="6"/>
  <c r="BD462" i="6" s="1"/>
  <c r="BG462" i="6"/>
  <c r="BI462" i="6" s="1"/>
  <c r="BB463" i="6"/>
  <c r="BD463" i="6" s="1"/>
  <c r="BG463" i="6"/>
  <c r="BI463" i="6" s="1"/>
  <c r="BB464" i="6"/>
  <c r="BD464" i="6" s="1"/>
  <c r="BG464" i="6"/>
  <c r="BI464" i="6" s="1"/>
  <c r="BB465" i="6"/>
  <c r="BD465" i="6" s="1"/>
  <c r="BG465" i="6"/>
  <c r="BI465" i="6" s="1"/>
  <c r="BB466" i="6"/>
  <c r="BD466" i="6" s="1"/>
  <c r="BG466" i="6"/>
  <c r="BI466" i="6" s="1"/>
  <c r="BB467" i="6"/>
  <c r="BD467" i="6" s="1"/>
  <c r="BG467" i="6"/>
  <c r="BI467" i="6" s="1"/>
  <c r="BB468" i="6"/>
  <c r="BD468" i="6" s="1"/>
  <c r="BG468" i="6"/>
  <c r="BI468" i="6" s="1"/>
  <c r="BB469" i="6"/>
  <c r="BD469" i="6" s="1"/>
  <c r="BG469" i="6"/>
  <c r="BI469" i="6" s="1"/>
  <c r="BB470" i="6"/>
  <c r="BD470" i="6" s="1"/>
  <c r="BG470" i="6"/>
  <c r="BI470" i="6" s="1"/>
  <c r="BB471" i="6"/>
  <c r="BD471" i="6" s="1"/>
  <c r="BG471" i="6"/>
  <c r="BI471" i="6" s="1"/>
  <c r="BB472" i="6"/>
  <c r="BD472" i="6" s="1"/>
  <c r="BG472" i="6"/>
  <c r="BI472" i="6" s="1"/>
  <c r="BB473" i="6"/>
  <c r="BD473" i="6" s="1"/>
  <c r="BG473" i="6"/>
  <c r="BI473" i="6" s="1"/>
  <c r="BB474" i="6"/>
  <c r="BD474" i="6" s="1"/>
  <c r="BG474" i="6"/>
  <c r="BI474" i="6" s="1"/>
  <c r="BB475" i="6"/>
  <c r="BD475" i="6" s="1"/>
  <c r="BG475" i="6"/>
  <c r="BI475" i="6" s="1"/>
  <c r="BB476" i="6"/>
  <c r="BD476" i="6" s="1"/>
  <c r="BG476" i="6"/>
  <c r="BI476" i="6" s="1"/>
  <c r="BB477" i="6"/>
  <c r="BD477" i="6" s="1"/>
  <c r="BG477" i="6"/>
  <c r="BI477" i="6" s="1"/>
  <c r="BB478" i="6"/>
  <c r="BD478" i="6" s="1"/>
  <c r="BG478" i="6"/>
  <c r="BI478" i="6" s="1"/>
  <c r="BB479" i="6"/>
  <c r="BD479" i="6" s="1"/>
  <c r="BG479" i="6"/>
  <c r="BI479" i="6" s="1"/>
  <c r="BB480" i="6"/>
  <c r="BD480" i="6" s="1"/>
  <c r="BG480" i="6"/>
  <c r="BI480" i="6" s="1"/>
  <c r="BB417" i="6"/>
  <c r="BD417" i="6" s="1"/>
  <c r="BG417" i="6"/>
  <c r="BI417" i="6" s="1"/>
  <c r="BB418" i="6"/>
  <c r="BD418" i="6" s="1"/>
  <c r="BG418" i="6"/>
  <c r="BI418" i="6" s="1"/>
  <c r="BB419" i="6"/>
  <c r="BD419" i="6" s="1"/>
  <c r="BG419" i="6"/>
  <c r="BI419" i="6" s="1"/>
  <c r="BB420" i="6"/>
  <c r="BD420" i="6" s="1"/>
  <c r="BG420" i="6"/>
  <c r="BI420" i="6" s="1"/>
  <c r="BB421" i="6"/>
  <c r="BD421" i="6" s="1"/>
  <c r="BG421" i="6"/>
  <c r="BI421" i="6" s="1"/>
  <c r="BB422" i="6"/>
  <c r="BD422" i="6" s="1"/>
  <c r="BG422" i="6"/>
  <c r="BI422" i="6" s="1"/>
  <c r="BB423" i="6"/>
  <c r="BD423" i="6" s="1"/>
  <c r="BG423" i="6"/>
  <c r="BI423" i="6" s="1"/>
  <c r="BB424" i="6"/>
  <c r="BD424" i="6" s="1"/>
  <c r="BG424" i="6"/>
  <c r="BI424" i="6" s="1"/>
  <c r="BB425" i="6"/>
  <c r="BD425" i="6" s="1"/>
  <c r="BG425" i="6"/>
  <c r="BI425" i="6" s="1"/>
  <c r="BB426" i="6"/>
  <c r="BD426" i="6" s="1"/>
  <c r="BG426" i="6"/>
  <c r="BI426" i="6" s="1"/>
  <c r="BB427" i="6"/>
  <c r="BD427" i="6" s="1"/>
  <c r="BG427" i="6"/>
  <c r="BI427" i="6" s="1"/>
  <c r="BB428" i="6"/>
  <c r="BD428" i="6" s="1"/>
  <c r="BG428" i="6"/>
  <c r="BI428" i="6" s="1"/>
  <c r="BB429" i="6"/>
  <c r="BD429" i="6" s="1"/>
  <c r="BG429" i="6"/>
  <c r="BI429" i="6" s="1"/>
  <c r="BB430" i="6"/>
  <c r="BD430" i="6" s="1"/>
  <c r="BG430" i="6"/>
  <c r="BI430" i="6" s="1"/>
  <c r="BB431" i="6"/>
  <c r="BD431" i="6" s="1"/>
  <c r="BG431" i="6"/>
  <c r="BI431" i="6" s="1"/>
  <c r="BB432" i="6"/>
  <c r="BD432" i="6" s="1"/>
  <c r="BG432" i="6"/>
  <c r="BI432" i="6" s="1"/>
  <c r="BB433" i="6"/>
  <c r="BD433" i="6" s="1"/>
  <c r="BG433" i="6"/>
  <c r="BI433" i="6" s="1"/>
  <c r="BB434" i="6"/>
  <c r="BD434" i="6" s="1"/>
  <c r="BG434" i="6"/>
  <c r="BI434" i="6" s="1"/>
  <c r="BB435" i="6"/>
  <c r="BD435" i="6" s="1"/>
  <c r="BG435" i="6"/>
  <c r="BI435" i="6" s="1"/>
  <c r="BB436" i="6"/>
  <c r="BD436" i="6" s="1"/>
  <c r="BG436" i="6"/>
  <c r="BI436" i="6" s="1"/>
  <c r="BB437" i="6"/>
  <c r="BD437" i="6" s="1"/>
  <c r="BG437" i="6"/>
  <c r="BI437" i="6" s="1"/>
  <c r="BB438" i="6"/>
  <c r="BD438" i="6" s="1"/>
  <c r="BG438" i="6"/>
  <c r="BI438" i="6" s="1"/>
  <c r="BB439" i="6"/>
  <c r="BD439" i="6" s="1"/>
  <c r="BG439" i="6"/>
  <c r="BI439" i="6" s="1"/>
  <c r="BB440" i="6"/>
  <c r="BD440" i="6" s="1"/>
  <c r="BG440" i="6"/>
  <c r="BI440" i="6" s="1"/>
  <c r="BB441" i="6"/>
  <c r="BD441" i="6" s="1"/>
  <c r="BG441" i="6"/>
  <c r="BI441" i="6" s="1"/>
  <c r="BB442" i="6"/>
  <c r="BD442" i="6" s="1"/>
  <c r="BG442" i="6"/>
  <c r="BI442" i="6" s="1"/>
  <c r="BB443" i="6"/>
  <c r="BD443" i="6" s="1"/>
  <c r="BG443" i="6"/>
  <c r="BI443" i="6" s="1"/>
  <c r="BB444" i="6"/>
  <c r="BD444" i="6" s="1"/>
  <c r="BG444" i="6"/>
  <c r="BI444" i="6" s="1"/>
  <c r="BB445" i="6"/>
  <c r="BD445" i="6" s="1"/>
  <c r="BG445" i="6"/>
  <c r="BI445" i="6" s="1"/>
  <c r="BB446" i="6"/>
  <c r="BD446" i="6" s="1"/>
  <c r="BG446" i="6"/>
  <c r="BI446" i="6" s="1"/>
  <c r="BB447" i="6"/>
  <c r="BD447" i="6" s="1"/>
  <c r="BG447" i="6"/>
  <c r="BI447" i="6" s="1"/>
  <c r="BB448" i="6"/>
  <c r="BD448" i="6" s="1"/>
  <c r="BG448" i="6"/>
  <c r="BI448" i="6" s="1"/>
  <c r="BB385" i="6"/>
  <c r="BD385" i="6" s="1"/>
  <c r="BG385" i="6"/>
  <c r="BI385" i="6" s="1"/>
  <c r="BB386" i="6"/>
  <c r="BD386" i="6" s="1"/>
  <c r="BG386" i="6"/>
  <c r="BI386" i="6" s="1"/>
  <c r="BB387" i="6"/>
  <c r="BD387" i="6" s="1"/>
  <c r="BG387" i="6"/>
  <c r="BI387" i="6" s="1"/>
  <c r="BB388" i="6"/>
  <c r="BD388" i="6" s="1"/>
  <c r="BG388" i="6"/>
  <c r="BI388" i="6" s="1"/>
  <c r="BB389" i="6"/>
  <c r="BD389" i="6" s="1"/>
  <c r="BG389" i="6"/>
  <c r="BI389" i="6" s="1"/>
  <c r="BB390" i="6"/>
  <c r="BD390" i="6" s="1"/>
  <c r="BG390" i="6"/>
  <c r="BI390" i="6" s="1"/>
  <c r="BB391" i="6"/>
  <c r="BD391" i="6" s="1"/>
  <c r="BG391" i="6"/>
  <c r="BI391" i="6" s="1"/>
  <c r="BB392" i="6"/>
  <c r="BD392" i="6" s="1"/>
  <c r="BG392" i="6"/>
  <c r="BI392" i="6" s="1"/>
  <c r="BB393" i="6"/>
  <c r="BD393" i="6" s="1"/>
  <c r="BG393" i="6"/>
  <c r="BI393" i="6" s="1"/>
  <c r="BB394" i="6"/>
  <c r="BD394" i="6" s="1"/>
  <c r="BG394" i="6"/>
  <c r="BI394" i="6" s="1"/>
  <c r="BB395" i="6"/>
  <c r="BD395" i="6" s="1"/>
  <c r="BG395" i="6"/>
  <c r="BI395" i="6" s="1"/>
  <c r="BB396" i="6"/>
  <c r="BD396" i="6" s="1"/>
  <c r="BG396" i="6"/>
  <c r="BI396" i="6" s="1"/>
  <c r="BB397" i="6"/>
  <c r="BD397" i="6" s="1"/>
  <c r="BG397" i="6"/>
  <c r="BI397" i="6" s="1"/>
  <c r="BB398" i="6"/>
  <c r="BD398" i="6" s="1"/>
  <c r="BG398" i="6"/>
  <c r="BI398" i="6" s="1"/>
  <c r="BB399" i="6"/>
  <c r="BD399" i="6" s="1"/>
  <c r="BG399" i="6"/>
  <c r="BI399" i="6" s="1"/>
  <c r="BB400" i="6"/>
  <c r="BD400" i="6" s="1"/>
  <c r="BG400" i="6"/>
  <c r="BI400" i="6" s="1"/>
  <c r="BB401" i="6"/>
  <c r="BD401" i="6" s="1"/>
  <c r="BG401" i="6"/>
  <c r="BI401" i="6" s="1"/>
  <c r="BB402" i="6"/>
  <c r="BD402" i="6" s="1"/>
  <c r="BG402" i="6"/>
  <c r="BI402" i="6" s="1"/>
  <c r="BB403" i="6"/>
  <c r="BD403" i="6" s="1"/>
  <c r="BG403" i="6"/>
  <c r="BI403" i="6" s="1"/>
  <c r="BB404" i="6"/>
  <c r="BD404" i="6" s="1"/>
  <c r="BG404" i="6"/>
  <c r="BI404" i="6" s="1"/>
  <c r="BB405" i="6"/>
  <c r="BD405" i="6" s="1"/>
  <c r="BG405" i="6"/>
  <c r="BI405" i="6" s="1"/>
  <c r="BB406" i="6"/>
  <c r="BD406" i="6" s="1"/>
  <c r="BG406" i="6"/>
  <c r="BI406" i="6" s="1"/>
  <c r="BB407" i="6"/>
  <c r="BD407" i="6" s="1"/>
  <c r="BG407" i="6"/>
  <c r="BI407" i="6" s="1"/>
  <c r="BB408" i="6"/>
  <c r="BD408" i="6" s="1"/>
  <c r="BG408" i="6"/>
  <c r="BI408" i="6" s="1"/>
  <c r="BB409" i="6"/>
  <c r="BD409" i="6" s="1"/>
  <c r="BG409" i="6"/>
  <c r="BI409" i="6" s="1"/>
  <c r="BB410" i="6"/>
  <c r="BD410" i="6" s="1"/>
  <c r="BG410" i="6"/>
  <c r="BI410" i="6" s="1"/>
  <c r="BB411" i="6"/>
  <c r="BD411" i="6" s="1"/>
  <c r="BG411" i="6"/>
  <c r="BI411" i="6" s="1"/>
  <c r="BB412" i="6"/>
  <c r="BD412" i="6" s="1"/>
  <c r="BG412" i="6"/>
  <c r="BI412" i="6" s="1"/>
  <c r="BB413" i="6"/>
  <c r="BD413" i="6" s="1"/>
  <c r="BG413" i="6"/>
  <c r="BI413" i="6" s="1"/>
  <c r="BB414" i="6"/>
  <c r="BD414" i="6" s="1"/>
  <c r="BG414" i="6"/>
  <c r="BI414" i="6" s="1"/>
  <c r="BB415" i="6"/>
  <c r="BD415" i="6" s="1"/>
  <c r="BG415" i="6"/>
  <c r="BI415" i="6" s="1"/>
  <c r="BB416" i="6"/>
  <c r="BD416" i="6" s="1"/>
  <c r="BG416" i="6"/>
  <c r="BI416" i="6" s="1"/>
  <c r="BB353" i="6"/>
  <c r="BD353" i="6" s="1"/>
  <c r="BG353" i="6"/>
  <c r="BI353" i="6" s="1"/>
  <c r="BB354" i="6"/>
  <c r="BD354" i="6" s="1"/>
  <c r="BG354" i="6"/>
  <c r="BI354" i="6" s="1"/>
  <c r="BB355" i="6"/>
  <c r="BD355" i="6" s="1"/>
  <c r="BG355" i="6"/>
  <c r="BI355" i="6" s="1"/>
  <c r="BB356" i="6"/>
  <c r="BD356" i="6" s="1"/>
  <c r="BG356" i="6"/>
  <c r="BI356" i="6" s="1"/>
  <c r="BB357" i="6"/>
  <c r="BD357" i="6" s="1"/>
  <c r="BG357" i="6"/>
  <c r="BI357" i="6" s="1"/>
  <c r="BB358" i="6"/>
  <c r="BD358" i="6" s="1"/>
  <c r="BG358" i="6"/>
  <c r="BI358" i="6" s="1"/>
  <c r="BB359" i="6"/>
  <c r="BD359" i="6" s="1"/>
  <c r="BG359" i="6"/>
  <c r="BI359" i="6" s="1"/>
  <c r="BB360" i="6"/>
  <c r="BD360" i="6" s="1"/>
  <c r="BG360" i="6"/>
  <c r="BI360" i="6" s="1"/>
  <c r="BB361" i="6"/>
  <c r="BD361" i="6" s="1"/>
  <c r="BG361" i="6"/>
  <c r="BI361" i="6" s="1"/>
  <c r="BB362" i="6"/>
  <c r="BD362" i="6" s="1"/>
  <c r="BG362" i="6"/>
  <c r="BI362" i="6" s="1"/>
  <c r="BB363" i="6"/>
  <c r="BD363" i="6" s="1"/>
  <c r="BG363" i="6"/>
  <c r="BI363" i="6" s="1"/>
  <c r="BB364" i="6"/>
  <c r="BD364" i="6" s="1"/>
  <c r="BG364" i="6"/>
  <c r="BI364" i="6" s="1"/>
  <c r="BB365" i="6"/>
  <c r="BD365" i="6" s="1"/>
  <c r="BG365" i="6"/>
  <c r="BI365" i="6" s="1"/>
  <c r="BB366" i="6"/>
  <c r="BD366" i="6" s="1"/>
  <c r="BG366" i="6"/>
  <c r="BI366" i="6" s="1"/>
  <c r="BB367" i="6"/>
  <c r="BD367" i="6" s="1"/>
  <c r="BG367" i="6"/>
  <c r="BI367" i="6" s="1"/>
  <c r="BB368" i="6"/>
  <c r="BD368" i="6" s="1"/>
  <c r="BG368" i="6"/>
  <c r="BI368" i="6" s="1"/>
  <c r="BB369" i="6"/>
  <c r="BD369" i="6" s="1"/>
  <c r="BG369" i="6"/>
  <c r="BI369" i="6" s="1"/>
  <c r="BB370" i="6"/>
  <c r="BD370" i="6" s="1"/>
  <c r="BG370" i="6"/>
  <c r="BI370" i="6" s="1"/>
  <c r="BB371" i="6"/>
  <c r="BD371" i="6" s="1"/>
  <c r="BG371" i="6"/>
  <c r="BI371" i="6" s="1"/>
  <c r="BB372" i="6"/>
  <c r="BD372" i="6" s="1"/>
  <c r="BG372" i="6"/>
  <c r="BI372" i="6" s="1"/>
  <c r="BB373" i="6"/>
  <c r="BD373" i="6" s="1"/>
  <c r="BG373" i="6"/>
  <c r="BI373" i="6" s="1"/>
  <c r="BB374" i="6"/>
  <c r="BD374" i="6" s="1"/>
  <c r="BG374" i="6"/>
  <c r="BI374" i="6" s="1"/>
  <c r="BB375" i="6"/>
  <c r="BD375" i="6" s="1"/>
  <c r="BG375" i="6"/>
  <c r="BI375" i="6" s="1"/>
  <c r="BB376" i="6"/>
  <c r="BD376" i="6" s="1"/>
  <c r="BG376" i="6"/>
  <c r="BI376" i="6" s="1"/>
  <c r="BB377" i="6"/>
  <c r="BD377" i="6" s="1"/>
  <c r="BG377" i="6"/>
  <c r="BI377" i="6" s="1"/>
  <c r="BB378" i="6"/>
  <c r="BD378" i="6" s="1"/>
  <c r="BG378" i="6"/>
  <c r="BI378" i="6" s="1"/>
  <c r="BB379" i="6"/>
  <c r="BD379" i="6" s="1"/>
  <c r="BG379" i="6"/>
  <c r="BI379" i="6" s="1"/>
  <c r="BB380" i="6"/>
  <c r="BD380" i="6" s="1"/>
  <c r="BG380" i="6"/>
  <c r="BI380" i="6" s="1"/>
  <c r="BB381" i="6"/>
  <c r="BD381" i="6" s="1"/>
  <c r="BG381" i="6"/>
  <c r="BI381" i="6" s="1"/>
  <c r="BB382" i="6"/>
  <c r="BD382" i="6" s="1"/>
  <c r="BG382" i="6"/>
  <c r="BI382" i="6" s="1"/>
  <c r="BB383" i="6"/>
  <c r="BD383" i="6" s="1"/>
  <c r="BG383" i="6"/>
  <c r="BI383" i="6" s="1"/>
  <c r="BB384" i="6"/>
  <c r="BD384" i="6" s="1"/>
  <c r="BG384" i="6"/>
  <c r="BI384" i="6" s="1"/>
  <c r="BB321" i="6"/>
  <c r="BD321" i="6" s="1"/>
  <c r="BG321" i="6"/>
  <c r="BI321" i="6" s="1"/>
  <c r="BB322" i="6"/>
  <c r="BD322" i="6" s="1"/>
  <c r="BG322" i="6"/>
  <c r="BI322" i="6" s="1"/>
  <c r="BB323" i="6"/>
  <c r="BD323" i="6" s="1"/>
  <c r="BG323" i="6"/>
  <c r="BI323" i="6" s="1"/>
  <c r="BB324" i="6"/>
  <c r="BD324" i="6" s="1"/>
  <c r="BG324" i="6"/>
  <c r="BI324" i="6" s="1"/>
  <c r="BB325" i="6"/>
  <c r="BD325" i="6" s="1"/>
  <c r="BG325" i="6"/>
  <c r="BI325" i="6" s="1"/>
  <c r="BB326" i="6"/>
  <c r="BD326" i="6" s="1"/>
  <c r="BG326" i="6"/>
  <c r="BI326" i="6" s="1"/>
  <c r="BB327" i="6"/>
  <c r="BD327" i="6" s="1"/>
  <c r="BG327" i="6"/>
  <c r="BI327" i="6" s="1"/>
  <c r="BB328" i="6"/>
  <c r="BD328" i="6" s="1"/>
  <c r="BG328" i="6"/>
  <c r="BI328" i="6" s="1"/>
  <c r="BB329" i="6"/>
  <c r="BD329" i="6" s="1"/>
  <c r="BG329" i="6"/>
  <c r="BI329" i="6" s="1"/>
  <c r="BB330" i="6"/>
  <c r="BD330" i="6" s="1"/>
  <c r="BG330" i="6"/>
  <c r="BI330" i="6" s="1"/>
  <c r="BB331" i="6"/>
  <c r="BD331" i="6" s="1"/>
  <c r="BG331" i="6"/>
  <c r="BI331" i="6" s="1"/>
  <c r="BB332" i="6"/>
  <c r="BD332" i="6" s="1"/>
  <c r="BG332" i="6"/>
  <c r="BI332" i="6" s="1"/>
  <c r="BB333" i="6"/>
  <c r="BD333" i="6" s="1"/>
  <c r="BG333" i="6"/>
  <c r="BI333" i="6" s="1"/>
  <c r="BB334" i="6"/>
  <c r="BD334" i="6" s="1"/>
  <c r="BG334" i="6"/>
  <c r="BI334" i="6" s="1"/>
  <c r="BB335" i="6"/>
  <c r="BD335" i="6" s="1"/>
  <c r="BG335" i="6"/>
  <c r="BI335" i="6" s="1"/>
  <c r="BB336" i="6"/>
  <c r="BD336" i="6" s="1"/>
  <c r="BG336" i="6"/>
  <c r="BI336" i="6" s="1"/>
  <c r="BB337" i="6"/>
  <c r="BD337" i="6" s="1"/>
  <c r="BG337" i="6"/>
  <c r="BI337" i="6" s="1"/>
  <c r="BB338" i="6"/>
  <c r="BD338" i="6" s="1"/>
  <c r="BG338" i="6"/>
  <c r="BI338" i="6" s="1"/>
  <c r="BB339" i="6"/>
  <c r="BD339" i="6" s="1"/>
  <c r="BG339" i="6"/>
  <c r="BI339" i="6" s="1"/>
  <c r="BB340" i="6"/>
  <c r="BD340" i="6" s="1"/>
  <c r="BG340" i="6"/>
  <c r="BI340" i="6" s="1"/>
  <c r="BB341" i="6"/>
  <c r="BD341" i="6" s="1"/>
  <c r="BG341" i="6"/>
  <c r="BI341" i="6" s="1"/>
  <c r="BB342" i="6"/>
  <c r="BD342" i="6" s="1"/>
  <c r="BG342" i="6"/>
  <c r="BI342" i="6" s="1"/>
  <c r="BB343" i="6"/>
  <c r="BD343" i="6" s="1"/>
  <c r="BG343" i="6"/>
  <c r="BI343" i="6" s="1"/>
  <c r="BB344" i="6"/>
  <c r="BD344" i="6" s="1"/>
  <c r="BG344" i="6"/>
  <c r="BI344" i="6" s="1"/>
  <c r="BB345" i="6"/>
  <c r="BD345" i="6" s="1"/>
  <c r="BG345" i="6"/>
  <c r="BI345" i="6" s="1"/>
  <c r="BB346" i="6"/>
  <c r="BD346" i="6" s="1"/>
  <c r="BG346" i="6"/>
  <c r="BI346" i="6" s="1"/>
  <c r="BB347" i="6"/>
  <c r="BD347" i="6" s="1"/>
  <c r="BG347" i="6"/>
  <c r="BI347" i="6" s="1"/>
  <c r="BB348" i="6"/>
  <c r="BD348" i="6" s="1"/>
  <c r="BG348" i="6"/>
  <c r="BI348" i="6" s="1"/>
  <c r="BB349" i="6"/>
  <c r="BD349" i="6" s="1"/>
  <c r="BG349" i="6"/>
  <c r="BI349" i="6" s="1"/>
  <c r="BB350" i="6"/>
  <c r="BD350" i="6" s="1"/>
  <c r="BG350" i="6"/>
  <c r="BI350" i="6" s="1"/>
  <c r="BB351" i="6"/>
  <c r="BD351" i="6" s="1"/>
  <c r="BG351" i="6"/>
  <c r="BI351" i="6" s="1"/>
  <c r="BB352" i="6"/>
  <c r="BD352" i="6" s="1"/>
  <c r="BG352" i="6"/>
  <c r="BI352" i="6" s="1"/>
  <c r="BB289" i="6"/>
  <c r="BD289" i="6" s="1"/>
  <c r="BG289" i="6"/>
  <c r="BI289" i="6" s="1"/>
  <c r="BB290" i="6"/>
  <c r="BD290" i="6" s="1"/>
  <c r="BG290" i="6"/>
  <c r="BI290" i="6" s="1"/>
  <c r="BB291" i="6"/>
  <c r="BD291" i="6" s="1"/>
  <c r="BG291" i="6"/>
  <c r="BI291" i="6" s="1"/>
  <c r="BB292" i="6"/>
  <c r="BD292" i="6" s="1"/>
  <c r="BG292" i="6"/>
  <c r="BI292" i="6" s="1"/>
  <c r="BB293" i="6"/>
  <c r="BD293" i="6" s="1"/>
  <c r="BG293" i="6"/>
  <c r="BI293" i="6" s="1"/>
  <c r="BB294" i="6"/>
  <c r="BD294" i="6" s="1"/>
  <c r="BG294" i="6"/>
  <c r="BI294" i="6" s="1"/>
  <c r="BB295" i="6"/>
  <c r="BD295" i="6" s="1"/>
  <c r="BG295" i="6"/>
  <c r="BI295" i="6" s="1"/>
  <c r="BB296" i="6"/>
  <c r="BD296" i="6" s="1"/>
  <c r="BG296" i="6"/>
  <c r="BI296" i="6" s="1"/>
  <c r="BB297" i="6"/>
  <c r="BD297" i="6" s="1"/>
  <c r="BG297" i="6"/>
  <c r="BI297" i="6" s="1"/>
  <c r="BB298" i="6"/>
  <c r="BD298" i="6" s="1"/>
  <c r="BG298" i="6"/>
  <c r="BI298" i="6" s="1"/>
  <c r="BB299" i="6"/>
  <c r="BD299" i="6" s="1"/>
  <c r="BG299" i="6"/>
  <c r="BI299" i="6" s="1"/>
  <c r="BB300" i="6"/>
  <c r="BD300" i="6" s="1"/>
  <c r="BG300" i="6"/>
  <c r="BI300" i="6" s="1"/>
  <c r="BB301" i="6"/>
  <c r="BD301" i="6" s="1"/>
  <c r="BG301" i="6"/>
  <c r="BI301" i="6" s="1"/>
  <c r="BB302" i="6"/>
  <c r="BD302" i="6" s="1"/>
  <c r="BG302" i="6"/>
  <c r="BI302" i="6" s="1"/>
  <c r="BB303" i="6"/>
  <c r="BD303" i="6" s="1"/>
  <c r="BG303" i="6"/>
  <c r="BI303" i="6" s="1"/>
  <c r="BB304" i="6"/>
  <c r="BD304" i="6" s="1"/>
  <c r="BG304" i="6"/>
  <c r="BI304" i="6" s="1"/>
  <c r="BB305" i="6"/>
  <c r="BD305" i="6" s="1"/>
  <c r="BG305" i="6"/>
  <c r="BI305" i="6" s="1"/>
  <c r="BB306" i="6"/>
  <c r="BD306" i="6" s="1"/>
  <c r="BG306" i="6"/>
  <c r="BI306" i="6" s="1"/>
  <c r="BB307" i="6"/>
  <c r="BD307" i="6" s="1"/>
  <c r="BG307" i="6"/>
  <c r="BI307" i="6" s="1"/>
  <c r="BB308" i="6"/>
  <c r="BD308" i="6" s="1"/>
  <c r="BG308" i="6"/>
  <c r="BI308" i="6" s="1"/>
  <c r="BB309" i="6"/>
  <c r="BD309" i="6" s="1"/>
  <c r="BG309" i="6"/>
  <c r="BI309" i="6" s="1"/>
  <c r="BB310" i="6"/>
  <c r="BD310" i="6" s="1"/>
  <c r="BG310" i="6"/>
  <c r="BI310" i="6" s="1"/>
  <c r="BB311" i="6"/>
  <c r="BD311" i="6" s="1"/>
  <c r="BG311" i="6"/>
  <c r="BI311" i="6" s="1"/>
  <c r="BB312" i="6"/>
  <c r="BD312" i="6" s="1"/>
  <c r="BG312" i="6"/>
  <c r="BI312" i="6" s="1"/>
  <c r="BB313" i="6"/>
  <c r="BD313" i="6" s="1"/>
  <c r="BG313" i="6"/>
  <c r="BI313" i="6" s="1"/>
  <c r="BB314" i="6"/>
  <c r="BD314" i="6" s="1"/>
  <c r="BG314" i="6"/>
  <c r="BI314" i="6" s="1"/>
  <c r="BB315" i="6"/>
  <c r="BD315" i="6" s="1"/>
  <c r="BG315" i="6"/>
  <c r="BI315" i="6" s="1"/>
  <c r="BB316" i="6"/>
  <c r="BD316" i="6" s="1"/>
  <c r="BG316" i="6"/>
  <c r="BI316" i="6" s="1"/>
  <c r="BB317" i="6"/>
  <c r="BD317" i="6" s="1"/>
  <c r="BG317" i="6"/>
  <c r="BI317" i="6" s="1"/>
  <c r="BB318" i="6"/>
  <c r="BD318" i="6" s="1"/>
  <c r="BG318" i="6"/>
  <c r="BI318" i="6" s="1"/>
  <c r="BB319" i="6"/>
  <c r="BD319" i="6" s="1"/>
  <c r="BG319" i="6"/>
  <c r="BI319" i="6" s="1"/>
  <c r="BB320" i="6"/>
  <c r="BD320" i="6" s="1"/>
  <c r="BG320" i="6"/>
  <c r="BI320" i="6" s="1"/>
  <c r="BB257" i="6"/>
  <c r="BD257" i="6" s="1"/>
  <c r="BG257" i="6"/>
  <c r="BI257" i="6" s="1"/>
  <c r="BB258" i="6"/>
  <c r="BD258" i="6" s="1"/>
  <c r="BG258" i="6"/>
  <c r="BI258" i="6" s="1"/>
  <c r="BB259" i="6"/>
  <c r="BD259" i="6" s="1"/>
  <c r="BG259" i="6"/>
  <c r="BI259" i="6" s="1"/>
  <c r="BB260" i="6"/>
  <c r="BD260" i="6" s="1"/>
  <c r="BG260" i="6"/>
  <c r="BI260" i="6" s="1"/>
  <c r="BB261" i="6"/>
  <c r="BD261" i="6" s="1"/>
  <c r="BG261" i="6"/>
  <c r="BI261" i="6" s="1"/>
  <c r="BB262" i="6"/>
  <c r="BD262" i="6" s="1"/>
  <c r="BG262" i="6"/>
  <c r="BI262" i="6" s="1"/>
  <c r="BB263" i="6"/>
  <c r="BD263" i="6" s="1"/>
  <c r="BG263" i="6"/>
  <c r="BI263" i="6" s="1"/>
  <c r="BB264" i="6"/>
  <c r="BD264" i="6" s="1"/>
  <c r="BG264" i="6"/>
  <c r="BI264" i="6" s="1"/>
  <c r="BB265" i="6"/>
  <c r="BD265" i="6" s="1"/>
  <c r="BG265" i="6"/>
  <c r="BI265" i="6" s="1"/>
  <c r="BB266" i="6"/>
  <c r="BD266" i="6" s="1"/>
  <c r="BG266" i="6"/>
  <c r="BI266" i="6" s="1"/>
  <c r="BB267" i="6"/>
  <c r="BD267" i="6" s="1"/>
  <c r="BG267" i="6"/>
  <c r="BI267" i="6" s="1"/>
  <c r="BB268" i="6"/>
  <c r="BD268" i="6" s="1"/>
  <c r="BG268" i="6"/>
  <c r="BI268" i="6" s="1"/>
  <c r="BB269" i="6"/>
  <c r="BD269" i="6" s="1"/>
  <c r="BG269" i="6"/>
  <c r="BI269" i="6" s="1"/>
  <c r="BB270" i="6"/>
  <c r="BD270" i="6" s="1"/>
  <c r="BG270" i="6"/>
  <c r="BI270" i="6" s="1"/>
  <c r="BB271" i="6"/>
  <c r="BD271" i="6" s="1"/>
  <c r="BG271" i="6"/>
  <c r="BI271" i="6" s="1"/>
  <c r="BB272" i="6"/>
  <c r="BD272" i="6" s="1"/>
  <c r="BG272" i="6"/>
  <c r="BI272" i="6" s="1"/>
  <c r="BB273" i="6"/>
  <c r="BD273" i="6" s="1"/>
  <c r="BG273" i="6"/>
  <c r="BI273" i="6" s="1"/>
  <c r="BB274" i="6"/>
  <c r="BD274" i="6" s="1"/>
  <c r="BG274" i="6"/>
  <c r="BI274" i="6" s="1"/>
  <c r="BB275" i="6"/>
  <c r="BD275" i="6" s="1"/>
  <c r="BG275" i="6"/>
  <c r="BI275" i="6" s="1"/>
  <c r="BB276" i="6"/>
  <c r="BD276" i="6" s="1"/>
  <c r="BG276" i="6"/>
  <c r="BI276" i="6" s="1"/>
  <c r="BB277" i="6"/>
  <c r="BD277" i="6" s="1"/>
  <c r="BG277" i="6"/>
  <c r="BI277" i="6" s="1"/>
  <c r="BB278" i="6"/>
  <c r="BD278" i="6" s="1"/>
  <c r="BG278" i="6"/>
  <c r="BI278" i="6" s="1"/>
  <c r="BB279" i="6"/>
  <c r="BD279" i="6" s="1"/>
  <c r="BG279" i="6"/>
  <c r="BI279" i="6" s="1"/>
  <c r="BB280" i="6"/>
  <c r="BD280" i="6" s="1"/>
  <c r="BG280" i="6"/>
  <c r="BI280" i="6" s="1"/>
  <c r="BB281" i="6"/>
  <c r="BD281" i="6" s="1"/>
  <c r="BG281" i="6"/>
  <c r="BI281" i="6" s="1"/>
  <c r="BB282" i="6"/>
  <c r="BD282" i="6" s="1"/>
  <c r="BG282" i="6"/>
  <c r="BI282" i="6" s="1"/>
  <c r="BB283" i="6"/>
  <c r="BD283" i="6" s="1"/>
  <c r="BG283" i="6"/>
  <c r="BI283" i="6" s="1"/>
  <c r="BB284" i="6"/>
  <c r="BD284" i="6" s="1"/>
  <c r="BG284" i="6"/>
  <c r="BI284" i="6" s="1"/>
  <c r="BB285" i="6"/>
  <c r="BD285" i="6" s="1"/>
  <c r="BG285" i="6"/>
  <c r="BI285" i="6" s="1"/>
  <c r="BB286" i="6"/>
  <c r="BD286" i="6" s="1"/>
  <c r="BG286" i="6"/>
  <c r="BI286" i="6" s="1"/>
  <c r="BB287" i="6"/>
  <c r="BD287" i="6" s="1"/>
  <c r="BG287" i="6"/>
  <c r="BI287" i="6" s="1"/>
  <c r="BB288" i="6"/>
  <c r="BD288" i="6" s="1"/>
  <c r="BG288" i="6"/>
  <c r="BI288" i="6" s="1"/>
  <c r="BB225" i="6"/>
  <c r="BD225" i="6" s="1"/>
  <c r="BG225" i="6"/>
  <c r="BI225" i="6" s="1"/>
  <c r="BB226" i="6"/>
  <c r="BD226" i="6" s="1"/>
  <c r="BG226" i="6"/>
  <c r="BI226" i="6" s="1"/>
  <c r="BB227" i="6"/>
  <c r="BD227" i="6" s="1"/>
  <c r="BG227" i="6"/>
  <c r="BI227" i="6" s="1"/>
  <c r="BB228" i="6"/>
  <c r="BD228" i="6" s="1"/>
  <c r="BG228" i="6"/>
  <c r="BI228" i="6" s="1"/>
  <c r="BB229" i="6"/>
  <c r="BD229" i="6" s="1"/>
  <c r="BG229" i="6"/>
  <c r="BI229" i="6" s="1"/>
  <c r="BB230" i="6"/>
  <c r="BD230" i="6" s="1"/>
  <c r="BG230" i="6"/>
  <c r="BI230" i="6" s="1"/>
  <c r="BB231" i="6"/>
  <c r="BD231" i="6" s="1"/>
  <c r="BG231" i="6"/>
  <c r="BI231" i="6" s="1"/>
  <c r="BB232" i="6"/>
  <c r="BD232" i="6" s="1"/>
  <c r="BG232" i="6"/>
  <c r="BI232" i="6" s="1"/>
  <c r="BB233" i="6"/>
  <c r="BD233" i="6" s="1"/>
  <c r="BG233" i="6"/>
  <c r="BI233" i="6" s="1"/>
  <c r="BB234" i="6"/>
  <c r="BD234" i="6" s="1"/>
  <c r="BG234" i="6"/>
  <c r="BI234" i="6" s="1"/>
  <c r="BB235" i="6"/>
  <c r="BD235" i="6" s="1"/>
  <c r="BG235" i="6"/>
  <c r="BI235" i="6" s="1"/>
  <c r="BB236" i="6"/>
  <c r="BD236" i="6" s="1"/>
  <c r="BG236" i="6"/>
  <c r="BI236" i="6" s="1"/>
  <c r="BB237" i="6"/>
  <c r="BD237" i="6" s="1"/>
  <c r="BG237" i="6"/>
  <c r="BI237" i="6" s="1"/>
  <c r="BB238" i="6"/>
  <c r="BD238" i="6" s="1"/>
  <c r="BG238" i="6"/>
  <c r="BI238" i="6" s="1"/>
  <c r="BB239" i="6"/>
  <c r="BD239" i="6" s="1"/>
  <c r="BG239" i="6"/>
  <c r="BI239" i="6" s="1"/>
  <c r="BB240" i="6"/>
  <c r="BD240" i="6" s="1"/>
  <c r="BG240" i="6"/>
  <c r="BI240" i="6" s="1"/>
  <c r="BB241" i="6"/>
  <c r="BD241" i="6" s="1"/>
  <c r="BG241" i="6"/>
  <c r="BI241" i="6" s="1"/>
  <c r="BB242" i="6"/>
  <c r="BD242" i="6" s="1"/>
  <c r="BG242" i="6"/>
  <c r="BI242" i="6" s="1"/>
  <c r="BB243" i="6"/>
  <c r="BD243" i="6" s="1"/>
  <c r="BG243" i="6"/>
  <c r="BI243" i="6" s="1"/>
  <c r="BB244" i="6"/>
  <c r="BD244" i="6" s="1"/>
  <c r="BG244" i="6"/>
  <c r="BI244" i="6" s="1"/>
  <c r="BB245" i="6"/>
  <c r="BD245" i="6" s="1"/>
  <c r="BG245" i="6"/>
  <c r="BI245" i="6" s="1"/>
  <c r="BB246" i="6"/>
  <c r="BD246" i="6" s="1"/>
  <c r="BG246" i="6"/>
  <c r="BI246" i="6" s="1"/>
  <c r="BB247" i="6"/>
  <c r="BD247" i="6" s="1"/>
  <c r="BG247" i="6"/>
  <c r="BI247" i="6" s="1"/>
  <c r="BB248" i="6"/>
  <c r="BD248" i="6" s="1"/>
  <c r="BG248" i="6"/>
  <c r="BI248" i="6" s="1"/>
  <c r="BB249" i="6"/>
  <c r="BD249" i="6" s="1"/>
  <c r="BG249" i="6"/>
  <c r="BI249" i="6" s="1"/>
  <c r="BB250" i="6"/>
  <c r="BD250" i="6" s="1"/>
  <c r="BG250" i="6"/>
  <c r="BI250" i="6" s="1"/>
  <c r="BB251" i="6"/>
  <c r="BD251" i="6" s="1"/>
  <c r="BG251" i="6"/>
  <c r="BI251" i="6" s="1"/>
  <c r="BB252" i="6"/>
  <c r="BD252" i="6" s="1"/>
  <c r="BG252" i="6"/>
  <c r="BI252" i="6" s="1"/>
  <c r="BB253" i="6"/>
  <c r="BD253" i="6" s="1"/>
  <c r="BG253" i="6"/>
  <c r="BI253" i="6" s="1"/>
  <c r="BB254" i="6"/>
  <c r="BD254" i="6" s="1"/>
  <c r="BG254" i="6"/>
  <c r="BI254" i="6" s="1"/>
  <c r="BB255" i="6"/>
  <c r="BD255" i="6" s="1"/>
  <c r="BG255" i="6"/>
  <c r="BI255" i="6" s="1"/>
  <c r="BB256" i="6"/>
  <c r="BD256" i="6" s="1"/>
  <c r="BG256" i="6"/>
  <c r="BI256" i="6" s="1"/>
  <c r="BB193" i="6"/>
  <c r="BD193" i="6" s="1"/>
  <c r="BG193" i="6"/>
  <c r="BI193" i="6" s="1"/>
  <c r="BB194" i="6"/>
  <c r="BD194" i="6" s="1"/>
  <c r="BG194" i="6"/>
  <c r="BI194" i="6" s="1"/>
  <c r="BB195" i="6"/>
  <c r="BD195" i="6" s="1"/>
  <c r="BG195" i="6"/>
  <c r="BI195" i="6" s="1"/>
  <c r="BB196" i="6"/>
  <c r="BD196" i="6" s="1"/>
  <c r="BG196" i="6"/>
  <c r="BI196" i="6" s="1"/>
  <c r="BB197" i="6"/>
  <c r="BD197" i="6" s="1"/>
  <c r="BG197" i="6"/>
  <c r="BI197" i="6" s="1"/>
  <c r="BB198" i="6"/>
  <c r="BD198" i="6" s="1"/>
  <c r="BG198" i="6"/>
  <c r="BI198" i="6" s="1"/>
  <c r="BB199" i="6"/>
  <c r="BD199" i="6" s="1"/>
  <c r="BG199" i="6"/>
  <c r="BI199" i="6" s="1"/>
  <c r="BB200" i="6"/>
  <c r="BD200" i="6" s="1"/>
  <c r="BG200" i="6"/>
  <c r="BI200" i="6" s="1"/>
  <c r="BB201" i="6"/>
  <c r="BD201" i="6" s="1"/>
  <c r="BG201" i="6"/>
  <c r="BI201" i="6" s="1"/>
  <c r="BB202" i="6"/>
  <c r="BD202" i="6" s="1"/>
  <c r="BG202" i="6"/>
  <c r="BI202" i="6" s="1"/>
  <c r="BB203" i="6"/>
  <c r="BD203" i="6" s="1"/>
  <c r="BG203" i="6"/>
  <c r="BI203" i="6" s="1"/>
  <c r="BB204" i="6"/>
  <c r="BD204" i="6" s="1"/>
  <c r="BG204" i="6"/>
  <c r="BI204" i="6" s="1"/>
  <c r="BB205" i="6"/>
  <c r="BD205" i="6" s="1"/>
  <c r="BG205" i="6"/>
  <c r="BI205" i="6" s="1"/>
  <c r="BB206" i="6"/>
  <c r="BD206" i="6" s="1"/>
  <c r="BG206" i="6"/>
  <c r="BI206" i="6" s="1"/>
  <c r="BB207" i="6"/>
  <c r="BD207" i="6" s="1"/>
  <c r="BG207" i="6"/>
  <c r="BI207" i="6" s="1"/>
  <c r="BB208" i="6"/>
  <c r="BD208" i="6" s="1"/>
  <c r="BG208" i="6"/>
  <c r="BI208" i="6" s="1"/>
  <c r="BB209" i="6"/>
  <c r="BD209" i="6" s="1"/>
  <c r="BG209" i="6"/>
  <c r="BI209" i="6" s="1"/>
  <c r="BB210" i="6"/>
  <c r="BD210" i="6" s="1"/>
  <c r="BG210" i="6"/>
  <c r="BI210" i="6" s="1"/>
  <c r="BB211" i="6"/>
  <c r="BD211" i="6" s="1"/>
  <c r="BG211" i="6"/>
  <c r="BI211" i="6" s="1"/>
  <c r="BB212" i="6"/>
  <c r="BD212" i="6" s="1"/>
  <c r="BG212" i="6"/>
  <c r="BI212" i="6" s="1"/>
  <c r="BB213" i="6"/>
  <c r="BD213" i="6" s="1"/>
  <c r="BG213" i="6"/>
  <c r="BI213" i="6" s="1"/>
  <c r="BB214" i="6"/>
  <c r="BD214" i="6" s="1"/>
  <c r="BG214" i="6"/>
  <c r="BI214" i="6" s="1"/>
  <c r="BB215" i="6"/>
  <c r="BD215" i="6" s="1"/>
  <c r="BG215" i="6"/>
  <c r="BI215" i="6" s="1"/>
  <c r="BB216" i="6"/>
  <c r="BD216" i="6" s="1"/>
  <c r="BG216" i="6"/>
  <c r="BI216" i="6" s="1"/>
  <c r="BB217" i="6"/>
  <c r="BD217" i="6" s="1"/>
  <c r="BG217" i="6"/>
  <c r="BI217" i="6" s="1"/>
  <c r="BB218" i="6"/>
  <c r="BD218" i="6" s="1"/>
  <c r="BG218" i="6"/>
  <c r="BI218" i="6" s="1"/>
  <c r="BB219" i="6"/>
  <c r="BD219" i="6" s="1"/>
  <c r="BG219" i="6"/>
  <c r="BI219" i="6" s="1"/>
  <c r="BB220" i="6"/>
  <c r="BD220" i="6" s="1"/>
  <c r="BG220" i="6"/>
  <c r="BI220" i="6" s="1"/>
  <c r="BB221" i="6"/>
  <c r="BD221" i="6" s="1"/>
  <c r="BG221" i="6"/>
  <c r="BI221" i="6" s="1"/>
  <c r="BB222" i="6"/>
  <c r="BD222" i="6" s="1"/>
  <c r="BG222" i="6"/>
  <c r="BI222" i="6" s="1"/>
  <c r="BB223" i="6"/>
  <c r="BD223" i="6" s="1"/>
  <c r="BG223" i="6"/>
  <c r="BI223" i="6" s="1"/>
  <c r="BB224" i="6"/>
  <c r="BD224" i="6" s="1"/>
  <c r="BG224" i="6"/>
  <c r="BI224" i="6" s="1"/>
  <c r="BB161" i="6"/>
  <c r="BD161" i="6" s="1"/>
  <c r="BG161" i="6"/>
  <c r="BI161" i="6" s="1"/>
  <c r="BB162" i="6"/>
  <c r="BD162" i="6" s="1"/>
  <c r="BG162" i="6"/>
  <c r="BI162" i="6" s="1"/>
  <c r="BB163" i="6"/>
  <c r="BD163" i="6" s="1"/>
  <c r="BG163" i="6"/>
  <c r="BI163" i="6" s="1"/>
  <c r="BB164" i="6"/>
  <c r="BD164" i="6" s="1"/>
  <c r="BG164" i="6"/>
  <c r="BI164" i="6" s="1"/>
  <c r="BB165" i="6"/>
  <c r="BD165" i="6" s="1"/>
  <c r="BG165" i="6"/>
  <c r="BI165" i="6" s="1"/>
  <c r="BB166" i="6"/>
  <c r="BD166" i="6" s="1"/>
  <c r="BG166" i="6"/>
  <c r="BI166" i="6" s="1"/>
  <c r="BB167" i="6"/>
  <c r="BD167" i="6" s="1"/>
  <c r="BG167" i="6"/>
  <c r="BI167" i="6" s="1"/>
  <c r="BB168" i="6"/>
  <c r="BD168" i="6" s="1"/>
  <c r="BG168" i="6"/>
  <c r="BI168" i="6" s="1"/>
  <c r="BB169" i="6"/>
  <c r="BD169" i="6" s="1"/>
  <c r="BG169" i="6"/>
  <c r="BI169" i="6" s="1"/>
  <c r="BB170" i="6"/>
  <c r="BD170" i="6" s="1"/>
  <c r="BG170" i="6"/>
  <c r="BI170" i="6" s="1"/>
  <c r="BB171" i="6"/>
  <c r="BD171" i="6" s="1"/>
  <c r="BG171" i="6"/>
  <c r="BI171" i="6" s="1"/>
  <c r="BB172" i="6"/>
  <c r="BD172" i="6" s="1"/>
  <c r="BG172" i="6"/>
  <c r="BI172" i="6" s="1"/>
  <c r="BB173" i="6"/>
  <c r="BD173" i="6" s="1"/>
  <c r="BG173" i="6"/>
  <c r="BI173" i="6" s="1"/>
  <c r="BB174" i="6"/>
  <c r="BD174" i="6" s="1"/>
  <c r="BG174" i="6"/>
  <c r="BI174" i="6" s="1"/>
  <c r="BB175" i="6"/>
  <c r="BD175" i="6" s="1"/>
  <c r="BG175" i="6"/>
  <c r="BI175" i="6" s="1"/>
  <c r="BB176" i="6"/>
  <c r="BD176" i="6" s="1"/>
  <c r="BG176" i="6"/>
  <c r="BI176" i="6" s="1"/>
  <c r="BB177" i="6"/>
  <c r="BD177" i="6" s="1"/>
  <c r="BG177" i="6"/>
  <c r="BI177" i="6" s="1"/>
  <c r="BB178" i="6"/>
  <c r="BD178" i="6" s="1"/>
  <c r="BG178" i="6"/>
  <c r="BI178" i="6" s="1"/>
  <c r="BB179" i="6"/>
  <c r="BD179" i="6" s="1"/>
  <c r="BG179" i="6"/>
  <c r="BI179" i="6" s="1"/>
  <c r="BB180" i="6"/>
  <c r="BD180" i="6" s="1"/>
  <c r="BG180" i="6"/>
  <c r="BI180" i="6" s="1"/>
  <c r="BB181" i="6"/>
  <c r="BD181" i="6" s="1"/>
  <c r="BG181" i="6"/>
  <c r="BI181" i="6" s="1"/>
  <c r="BB182" i="6"/>
  <c r="BD182" i="6" s="1"/>
  <c r="BG182" i="6"/>
  <c r="BI182" i="6" s="1"/>
  <c r="BB183" i="6"/>
  <c r="BD183" i="6" s="1"/>
  <c r="BG183" i="6"/>
  <c r="BI183" i="6" s="1"/>
  <c r="BB184" i="6"/>
  <c r="BD184" i="6" s="1"/>
  <c r="BG184" i="6"/>
  <c r="BI184" i="6" s="1"/>
  <c r="BB185" i="6"/>
  <c r="BD185" i="6" s="1"/>
  <c r="BG185" i="6"/>
  <c r="BI185" i="6" s="1"/>
  <c r="BB186" i="6"/>
  <c r="BD186" i="6" s="1"/>
  <c r="BG186" i="6"/>
  <c r="BI186" i="6" s="1"/>
  <c r="BB187" i="6"/>
  <c r="BD187" i="6" s="1"/>
  <c r="BG187" i="6"/>
  <c r="BI187" i="6" s="1"/>
  <c r="BB188" i="6"/>
  <c r="BD188" i="6" s="1"/>
  <c r="BG188" i="6"/>
  <c r="BI188" i="6" s="1"/>
  <c r="BB189" i="6"/>
  <c r="BD189" i="6" s="1"/>
  <c r="BG189" i="6"/>
  <c r="BI189" i="6" s="1"/>
  <c r="BB190" i="6"/>
  <c r="BD190" i="6" s="1"/>
  <c r="BG190" i="6"/>
  <c r="BI190" i="6" s="1"/>
  <c r="BB191" i="6"/>
  <c r="BD191" i="6" s="1"/>
  <c r="BG191" i="6"/>
  <c r="BI191" i="6" s="1"/>
  <c r="BB192" i="6"/>
  <c r="BD192" i="6" s="1"/>
  <c r="BG192" i="6"/>
  <c r="BI192" i="6" s="1"/>
  <c r="BB129" i="6"/>
  <c r="BD129" i="6" s="1"/>
  <c r="BG129" i="6"/>
  <c r="BI129" i="6" s="1"/>
  <c r="BB130" i="6"/>
  <c r="BD130" i="6" s="1"/>
  <c r="BG130" i="6"/>
  <c r="BI130" i="6" s="1"/>
  <c r="BB131" i="6"/>
  <c r="BD131" i="6" s="1"/>
  <c r="BG131" i="6"/>
  <c r="BI131" i="6" s="1"/>
  <c r="BB132" i="6"/>
  <c r="BD132" i="6" s="1"/>
  <c r="BG132" i="6"/>
  <c r="BI132" i="6" s="1"/>
  <c r="BB133" i="6"/>
  <c r="BD133" i="6" s="1"/>
  <c r="BG133" i="6"/>
  <c r="BI133" i="6" s="1"/>
  <c r="BB134" i="6"/>
  <c r="BD134" i="6" s="1"/>
  <c r="BG134" i="6"/>
  <c r="BI134" i="6" s="1"/>
  <c r="BB135" i="6"/>
  <c r="BD135" i="6" s="1"/>
  <c r="BG135" i="6"/>
  <c r="BI135" i="6" s="1"/>
  <c r="BB136" i="6"/>
  <c r="BD136" i="6" s="1"/>
  <c r="BG136" i="6"/>
  <c r="BI136" i="6" s="1"/>
  <c r="BB137" i="6"/>
  <c r="BD137" i="6" s="1"/>
  <c r="BG137" i="6"/>
  <c r="BI137" i="6" s="1"/>
  <c r="BB138" i="6"/>
  <c r="BD138" i="6" s="1"/>
  <c r="BG138" i="6"/>
  <c r="BI138" i="6" s="1"/>
  <c r="BB139" i="6"/>
  <c r="BD139" i="6" s="1"/>
  <c r="BG139" i="6"/>
  <c r="BI139" i="6" s="1"/>
  <c r="BB140" i="6"/>
  <c r="BD140" i="6" s="1"/>
  <c r="BG140" i="6"/>
  <c r="BI140" i="6" s="1"/>
  <c r="BB141" i="6"/>
  <c r="BD141" i="6" s="1"/>
  <c r="BG141" i="6"/>
  <c r="BI141" i="6" s="1"/>
  <c r="BB142" i="6"/>
  <c r="BD142" i="6" s="1"/>
  <c r="BG142" i="6"/>
  <c r="BI142" i="6" s="1"/>
  <c r="BB143" i="6"/>
  <c r="BD143" i="6" s="1"/>
  <c r="BG143" i="6"/>
  <c r="BI143" i="6" s="1"/>
  <c r="BB144" i="6"/>
  <c r="BD144" i="6" s="1"/>
  <c r="BG144" i="6"/>
  <c r="BI144" i="6" s="1"/>
  <c r="BB145" i="6"/>
  <c r="BD145" i="6" s="1"/>
  <c r="BG145" i="6"/>
  <c r="BI145" i="6" s="1"/>
  <c r="BB146" i="6"/>
  <c r="BD146" i="6" s="1"/>
  <c r="BG146" i="6"/>
  <c r="BI146" i="6" s="1"/>
  <c r="BB147" i="6"/>
  <c r="BD147" i="6" s="1"/>
  <c r="BG147" i="6"/>
  <c r="BI147" i="6" s="1"/>
  <c r="BB148" i="6"/>
  <c r="BD148" i="6" s="1"/>
  <c r="BG148" i="6"/>
  <c r="BI148" i="6" s="1"/>
  <c r="BB149" i="6"/>
  <c r="BD149" i="6" s="1"/>
  <c r="BG149" i="6"/>
  <c r="BI149" i="6" s="1"/>
  <c r="BB150" i="6"/>
  <c r="BD150" i="6" s="1"/>
  <c r="BG150" i="6"/>
  <c r="BI150" i="6" s="1"/>
  <c r="BB151" i="6"/>
  <c r="BD151" i="6" s="1"/>
  <c r="BG151" i="6"/>
  <c r="BI151" i="6" s="1"/>
  <c r="BB152" i="6"/>
  <c r="BD152" i="6" s="1"/>
  <c r="BG152" i="6"/>
  <c r="BI152" i="6" s="1"/>
  <c r="BB153" i="6"/>
  <c r="BD153" i="6" s="1"/>
  <c r="BG153" i="6"/>
  <c r="BI153" i="6" s="1"/>
  <c r="BB154" i="6"/>
  <c r="BD154" i="6" s="1"/>
  <c r="BG154" i="6"/>
  <c r="BI154" i="6" s="1"/>
  <c r="BB155" i="6"/>
  <c r="BD155" i="6" s="1"/>
  <c r="BG155" i="6"/>
  <c r="BI155" i="6" s="1"/>
  <c r="BB156" i="6"/>
  <c r="BD156" i="6" s="1"/>
  <c r="BG156" i="6"/>
  <c r="BI156" i="6" s="1"/>
  <c r="BB157" i="6"/>
  <c r="BD157" i="6" s="1"/>
  <c r="BG157" i="6"/>
  <c r="BI157" i="6" s="1"/>
  <c r="BB158" i="6"/>
  <c r="BD158" i="6" s="1"/>
  <c r="BG158" i="6"/>
  <c r="BI158" i="6" s="1"/>
  <c r="BB159" i="6"/>
  <c r="BD159" i="6" s="1"/>
  <c r="BG159" i="6"/>
  <c r="BI159" i="6" s="1"/>
  <c r="BB160" i="6"/>
  <c r="BD160" i="6" s="1"/>
  <c r="BG160" i="6"/>
  <c r="BI160" i="6" s="1"/>
  <c r="BB97" i="6"/>
  <c r="BD97" i="6" s="1"/>
  <c r="BG97" i="6"/>
  <c r="BI97" i="6" s="1"/>
  <c r="BB98" i="6"/>
  <c r="BD98" i="6" s="1"/>
  <c r="BG98" i="6"/>
  <c r="BI98" i="6" s="1"/>
  <c r="BB99" i="6"/>
  <c r="BD99" i="6" s="1"/>
  <c r="BG99" i="6"/>
  <c r="BI99" i="6" s="1"/>
  <c r="BB100" i="6"/>
  <c r="BD100" i="6" s="1"/>
  <c r="BG100" i="6"/>
  <c r="BI100" i="6" s="1"/>
  <c r="BB101" i="6"/>
  <c r="BD101" i="6" s="1"/>
  <c r="BG101" i="6"/>
  <c r="BI101" i="6" s="1"/>
  <c r="BB102" i="6"/>
  <c r="BD102" i="6" s="1"/>
  <c r="BG102" i="6"/>
  <c r="BI102" i="6" s="1"/>
  <c r="BB103" i="6"/>
  <c r="BD103" i="6" s="1"/>
  <c r="BG103" i="6"/>
  <c r="BI103" i="6" s="1"/>
  <c r="BB104" i="6"/>
  <c r="BD104" i="6" s="1"/>
  <c r="BG104" i="6"/>
  <c r="BI104" i="6" s="1"/>
  <c r="BB105" i="6"/>
  <c r="BD105" i="6" s="1"/>
  <c r="BG105" i="6"/>
  <c r="BI105" i="6" s="1"/>
  <c r="BB106" i="6"/>
  <c r="BD106" i="6" s="1"/>
  <c r="BG106" i="6"/>
  <c r="BI106" i="6" s="1"/>
  <c r="BB107" i="6"/>
  <c r="BD107" i="6" s="1"/>
  <c r="BG107" i="6"/>
  <c r="BI107" i="6" s="1"/>
  <c r="BB108" i="6"/>
  <c r="BD108" i="6" s="1"/>
  <c r="BG108" i="6"/>
  <c r="BI108" i="6" s="1"/>
  <c r="BB109" i="6"/>
  <c r="BD109" i="6" s="1"/>
  <c r="BG109" i="6"/>
  <c r="BI109" i="6" s="1"/>
  <c r="BB110" i="6"/>
  <c r="BD110" i="6" s="1"/>
  <c r="BG110" i="6"/>
  <c r="BI110" i="6" s="1"/>
  <c r="BB111" i="6"/>
  <c r="BD111" i="6" s="1"/>
  <c r="BG111" i="6"/>
  <c r="BI111" i="6" s="1"/>
  <c r="BB112" i="6"/>
  <c r="BD112" i="6" s="1"/>
  <c r="BG112" i="6"/>
  <c r="BI112" i="6" s="1"/>
  <c r="BB113" i="6"/>
  <c r="BD113" i="6" s="1"/>
  <c r="BG113" i="6"/>
  <c r="BI113" i="6" s="1"/>
  <c r="BB114" i="6"/>
  <c r="BD114" i="6" s="1"/>
  <c r="BG114" i="6"/>
  <c r="BI114" i="6" s="1"/>
  <c r="BB115" i="6"/>
  <c r="BD115" i="6" s="1"/>
  <c r="BG115" i="6"/>
  <c r="BI115" i="6" s="1"/>
  <c r="BB116" i="6"/>
  <c r="BD116" i="6" s="1"/>
  <c r="BG116" i="6"/>
  <c r="BI116" i="6" s="1"/>
  <c r="BB117" i="6"/>
  <c r="BD117" i="6" s="1"/>
  <c r="BG117" i="6"/>
  <c r="BI117" i="6" s="1"/>
  <c r="BB118" i="6"/>
  <c r="BD118" i="6" s="1"/>
  <c r="BG118" i="6"/>
  <c r="BI118" i="6" s="1"/>
  <c r="BB119" i="6"/>
  <c r="BD119" i="6" s="1"/>
  <c r="BG119" i="6"/>
  <c r="BI119" i="6" s="1"/>
  <c r="BB120" i="6"/>
  <c r="BD120" i="6" s="1"/>
  <c r="BG120" i="6"/>
  <c r="BI120" i="6" s="1"/>
  <c r="BB121" i="6"/>
  <c r="BD121" i="6" s="1"/>
  <c r="BG121" i="6"/>
  <c r="BI121" i="6" s="1"/>
  <c r="BB122" i="6"/>
  <c r="BD122" i="6" s="1"/>
  <c r="BG122" i="6"/>
  <c r="BI122" i="6" s="1"/>
  <c r="BB123" i="6"/>
  <c r="BD123" i="6" s="1"/>
  <c r="BG123" i="6"/>
  <c r="BI123" i="6" s="1"/>
  <c r="BB124" i="6"/>
  <c r="BD124" i="6" s="1"/>
  <c r="BG124" i="6"/>
  <c r="BI124" i="6" s="1"/>
  <c r="BB125" i="6"/>
  <c r="BD125" i="6" s="1"/>
  <c r="BG125" i="6"/>
  <c r="BI125" i="6" s="1"/>
  <c r="BB126" i="6"/>
  <c r="BD126" i="6" s="1"/>
  <c r="BG126" i="6"/>
  <c r="BI126" i="6" s="1"/>
  <c r="BB127" i="6"/>
  <c r="BD127" i="6" s="1"/>
  <c r="BG127" i="6"/>
  <c r="BI127" i="6" s="1"/>
  <c r="BB128" i="6"/>
  <c r="BD128" i="6" s="1"/>
  <c r="BG128" i="6"/>
  <c r="BI128" i="6" s="1"/>
  <c r="BB65" i="6"/>
  <c r="BD65" i="6" s="1"/>
  <c r="BG65" i="6"/>
  <c r="BI65" i="6" s="1"/>
  <c r="BB66" i="6"/>
  <c r="BD66" i="6" s="1"/>
  <c r="BG66" i="6"/>
  <c r="BI66" i="6" s="1"/>
  <c r="BB67" i="6"/>
  <c r="BD67" i="6" s="1"/>
  <c r="BG67" i="6"/>
  <c r="BI67" i="6" s="1"/>
  <c r="BB68" i="6"/>
  <c r="BD68" i="6" s="1"/>
  <c r="BG68" i="6"/>
  <c r="BI68" i="6" s="1"/>
  <c r="BB69" i="6"/>
  <c r="BD69" i="6" s="1"/>
  <c r="BG69" i="6"/>
  <c r="BI69" i="6" s="1"/>
  <c r="BB70" i="6"/>
  <c r="BD70" i="6" s="1"/>
  <c r="BG70" i="6"/>
  <c r="BI70" i="6" s="1"/>
  <c r="BB71" i="6"/>
  <c r="BD71" i="6" s="1"/>
  <c r="BG71" i="6"/>
  <c r="BI71" i="6" s="1"/>
  <c r="BB72" i="6"/>
  <c r="BD72" i="6" s="1"/>
  <c r="BG72" i="6"/>
  <c r="BI72" i="6" s="1"/>
  <c r="BB73" i="6"/>
  <c r="BD73" i="6" s="1"/>
  <c r="BG73" i="6"/>
  <c r="BI73" i="6" s="1"/>
  <c r="BB74" i="6"/>
  <c r="BD74" i="6" s="1"/>
  <c r="BG74" i="6"/>
  <c r="BI74" i="6" s="1"/>
  <c r="BB75" i="6"/>
  <c r="BD75" i="6" s="1"/>
  <c r="BG75" i="6"/>
  <c r="BI75" i="6" s="1"/>
  <c r="BB76" i="6"/>
  <c r="BD76" i="6" s="1"/>
  <c r="BG76" i="6"/>
  <c r="BI76" i="6" s="1"/>
  <c r="BB77" i="6"/>
  <c r="BD77" i="6" s="1"/>
  <c r="BG77" i="6"/>
  <c r="BI77" i="6" s="1"/>
  <c r="BB78" i="6"/>
  <c r="BD78" i="6" s="1"/>
  <c r="BG78" i="6"/>
  <c r="BI78" i="6" s="1"/>
  <c r="BB79" i="6"/>
  <c r="BD79" i="6" s="1"/>
  <c r="BG79" i="6"/>
  <c r="BI79" i="6" s="1"/>
  <c r="BB80" i="6"/>
  <c r="BD80" i="6" s="1"/>
  <c r="BG80" i="6"/>
  <c r="BI80" i="6" s="1"/>
  <c r="BB81" i="6"/>
  <c r="BD81" i="6" s="1"/>
  <c r="BG81" i="6"/>
  <c r="BI81" i="6" s="1"/>
  <c r="BB82" i="6"/>
  <c r="BD82" i="6" s="1"/>
  <c r="BG82" i="6"/>
  <c r="BI82" i="6" s="1"/>
  <c r="BB83" i="6"/>
  <c r="BD83" i="6" s="1"/>
  <c r="BG83" i="6"/>
  <c r="BI83" i="6" s="1"/>
  <c r="BB84" i="6"/>
  <c r="BD84" i="6" s="1"/>
  <c r="BG84" i="6"/>
  <c r="BI84" i="6" s="1"/>
  <c r="BB85" i="6"/>
  <c r="BD85" i="6" s="1"/>
  <c r="BG85" i="6"/>
  <c r="BI85" i="6" s="1"/>
  <c r="BB86" i="6"/>
  <c r="BD86" i="6" s="1"/>
  <c r="BG86" i="6"/>
  <c r="BI86" i="6" s="1"/>
  <c r="BB87" i="6"/>
  <c r="BD87" i="6" s="1"/>
  <c r="BG87" i="6"/>
  <c r="BI87" i="6" s="1"/>
  <c r="BB88" i="6"/>
  <c r="BD88" i="6" s="1"/>
  <c r="BG88" i="6"/>
  <c r="BI88" i="6" s="1"/>
  <c r="BB89" i="6"/>
  <c r="BD89" i="6" s="1"/>
  <c r="BG89" i="6"/>
  <c r="BI89" i="6" s="1"/>
  <c r="BB90" i="6"/>
  <c r="BD90" i="6" s="1"/>
  <c r="BG90" i="6"/>
  <c r="BI90" i="6" s="1"/>
  <c r="BB91" i="6"/>
  <c r="BD91" i="6" s="1"/>
  <c r="BG91" i="6"/>
  <c r="BI91" i="6" s="1"/>
  <c r="BB92" i="6"/>
  <c r="BD92" i="6" s="1"/>
  <c r="BG92" i="6"/>
  <c r="BI92" i="6" s="1"/>
  <c r="BB93" i="6"/>
  <c r="BD93" i="6" s="1"/>
  <c r="BG93" i="6"/>
  <c r="BI93" i="6" s="1"/>
  <c r="BB94" i="6"/>
  <c r="BD94" i="6" s="1"/>
  <c r="BG94" i="6"/>
  <c r="BI94" i="6" s="1"/>
  <c r="BB95" i="6"/>
  <c r="BD95" i="6" s="1"/>
  <c r="BG95" i="6"/>
  <c r="BI95" i="6" s="1"/>
  <c r="BB96" i="6"/>
  <c r="BD96" i="6" s="1"/>
  <c r="BG96" i="6"/>
  <c r="BI96" i="6" s="1"/>
  <c r="BB33" i="6"/>
  <c r="BD33" i="6" s="1"/>
  <c r="BG33" i="6"/>
  <c r="BI33" i="6" s="1"/>
  <c r="BB34" i="6"/>
  <c r="BD34" i="6" s="1"/>
  <c r="BG34" i="6"/>
  <c r="BI34" i="6" s="1"/>
  <c r="BB35" i="6"/>
  <c r="BD35" i="6" s="1"/>
  <c r="BG35" i="6"/>
  <c r="BI35" i="6" s="1"/>
  <c r="BB36" i="6"/>
  <c r="BD36" i="6" s="1"/>
  <c r="BG36" i="6"/>
  <c r="BI36" i="6" s="1"/>
  <c r="BB37" i="6"/>
  <c r="BD37" i="6" s="1"/>
  <c r="BG37" i="6"/>
  <c r="BI37" i="6" s="1"/>
  <c r="BB38" i="6"/>
  <c r="BD38" i="6" s="1"/>
  <c r="BG38" i="6"/>
  <c r="BI38" i="6" s="1"/>
  <c r="BB39" i="6"/>
  <c r="BD39" i="6" s="1"/>
  <c r="BG39" i="6"/>
  <c r="BI39" i="6" s="1"/>
  <c r="BB40" i="6"/>
  <c r="BD40" i="6" s="1"/>
  <c r="BG40" i="6"/>
  <c r="BI40" i="6" s="1"/>
  <c r="BB41" i="6"/>
  <c r="BD41" i="6" s="1"/>
  <c r="BG41" i="6"/>
  <c r="BI41" i="6" s="1"/>
  <c r="BB42" i="6"/>
  <c r="BD42" i="6" s="1"/>
  <c r="BG42" i="6"/>
  <c r="BI42" i="6" s="1"/>
  <c r="BB43" i="6"/>
  <c r="BD43" i="6" s="1"/>
  <c r="BG43" i="6"/>
  <c r="BI43" i="6" s="1"/>
  <c r="BB44" i="6"/>
  <c r="BD44" i="6" s="1"/>
  <c r="BG44" i="6"/>
  <c r="BI44" i="6" s="1"/>
  <c r="BB45" i="6"/>
  <c r="BD45" i="6" s="1"/>
  <c r="BG45" i="6"/>
  <c r="BI45" i="6" s="1"/>
  <c r="BB46" i="6"/>
  <c r="BD46" i="6" s="1"/>
  <c r="BG46" i="6"/>
  <c r="BI46" i="6" s="1"/>
  <c r="BB47" i="6"/>
  <c r="BD47" i="6" s="1"/>
  <c r="BG47" i="6"/>
  <c r="BI47" i="6" s="1"/>
  <c r="BB48" i="6"/>
  <c r="BD48" i="6" s="1"/>
  <c r="BG48" i="6"/>
  <c r="BI48" i="6" s="1"/>
  <c r="BB49" i="6"/>
  <c r="BD49" i="6" s="1"/>
  <c r="BG49" i="6"/>
  <c r="BI49" i="6" s="1"/>
  <c r="BB50" i="6"/>
  <c r="BD50" i="6" s="1"/>
  <c r="BG50" i="6"/>
  <c r="BI50" i="6" s="1"/>
  <c r="BB51" i="6"/>
  <c r="BD51" i="6" s="1"/>
  <c r="BG51" i="6"/>
  <c r="BI51" i="6" s="1"/>
  <c r="BB52" i="6"/>
  <c r="BD52" i="6" s="1"/>
  <c r="BG52" i="6"/>
  <c r="BI52" i="6" s="1"/>
  <c r="BB53" i="6"/>
  <c r="BD53" i="6" s="1"/>
  <c r="BG53" i="6"/>
  <c r="BI53" i="6" s="1"/>
  <c r="BB54" i="6"/>
  <c r="BD54" i="6" s="1"/>
  <c r="BG54" i="6"/>
  <c r="BI54" i="6" s="1"/>
  <c r="BB55" i="6"/>
  <c r="BD55" i="6" s="1"/>
  <c r="BG55" i="6"/>
  <c r="BI55" i="6" s="1"/>
  <c r="BB56" i="6"/>
  <c r="BD56" i="6" s="1"/>
  <c r="BG56" i="6"/>
  <c r="BI56" i="6" s="1"/>
  <c r="BB57" i="6"/>
  <c r="BD57" i="6" s="1"/>
  <c r="BG57" i="6"/>
  <c r="BI57" i="6" s="1"/>
  <c r="BB58" i="6"/>
  <c r="BD58" i="6" s="1"/>
  <c r="BG58" i="6"/>
  <c r="BI58" i="6" s="1"/>
  <c r="BB59" i="6"/>
  <c r="BD59" i="6" s="1"/>
  <c r="BG59" i="6"/>
  <c r="BI59" i="6" s="1"/>
  <c r="BB60" i="6"/>
  <c r="BD60" i="6" s="1"/>
  <c r="BG60" i="6"/>
  <c r="BI60" i="6" s="1"/>
  <c r="BB61" i="6"/>
  <c r="BD61" i="6" s="1"/>
  <c r="BG61" i="6"/>
  <c r="BI61" i="6" s="1"/>
  <c r="BB62" i="6"/>
  <c r="BD62" i="6" s="1"/>
  <c r="BG62" i="6"/>
  <c r="BI62" i="6" s="1"/>
  <c r="BB63" i="6"/>
  <c r="BD63" i="6" s="1"/>
  <c r="BG63" i="6"/>
  <c r="BI63" i="6" s="1"/>
  <c r="BB64" i="6"/>
  <c r="BD64" i="6" s="1"/>
  <c r="BG64" i="6"/>
  <c r="BI64" i="6" s="1"/>
  <c r="BB1" i="6"/>
  <c r="BD1" i="6" s="1"/>
  <c r="BG1" i="6"/>
  <c r="BI1" i="6" s="1"/>
  <c r="BB2" i="6"/>
  <c r="BD2" i="6" s="1"/>
  <c r="BG2" i="6"/>
  <c r="BI2" i="6" s="1"/>
  <c r="BB3" i="6"/>
  <c r="BD3" i="6" s="1"/>
  <c r="BG3" i="6"/>
  <c r="BI3" i="6" s="1"/>
  <c r="BB4" i="6"/>
  <c r="BD4" i="6" s="1"/>
  <c r="BG4" i="6"/>
  <c r="BI4" i="6" s="1"/>
  <c r="BB5" i="6"/>
  <c r="BD5" i="6" s="1"/>
  <c r="BG5" i="6"/>
  <c r="BI5" i="6" s="1"/>
  <c r="BB6" i="6"/>
  <c r="BD6" i="6" s="1"/>
  <c r="BG6" i="6"/>
  <c r="BI6" i="6" s="1"/>
  <c r="BB7" i="6"/>
  <c r="BD7" i="6" s="1"/>
  <c r="BG7" i="6"/>
  <c r="BI7" i="6" s="1"/>
  <c r="BB8" i="6"/>
  <c r="BD8" i="6" s="1"/>
  <c r="BG8" i="6"/>
  <c r="BI8" i="6" s="1"/>
  <c r="BB9" i="6"/>
  <c r="BD9" i="6" s="1"/>
  <c r="BG9" i="6"/>
  <c r="BI9" i="6" s="1"/>
  <c r="BB10" i="6"/>
  <c r="BD10" i="6" s="1"/>
  <c r="BG10" i="6"/>
  <c r="BI10" i="6" s="1"/>
  <c r="BB11" i="6"/>
  <c r="BD11" i="6" s="1"/>
  <c r="BG11" i="6"/>
  <c r="BI11" i="6" s="1"/>
  <c r="BB12" i="6"/>
  <c r="BD12" i="6" s="1"/>
  <c r="BG12" i="6"/>
  <c r="BI12" i="6" s="1"/>
  <c r="BB13" i="6"/>
  <c r="BD13" i="6" s="1"/>
  <c r="BG13" i="6"/>
  <c r="BI13" i="6" s="1"/>
  <c r="BB14" i="6"/>
  <c r="BD14" i="6" s="1"/>
  <c r="BG14" i="6"/>
  <c r="BI14" i="6" s="1"/>
  <c r="BB15" i="6"/>
  <c r="BD15" i="6" s="1"/>
  <c r="BG15" i="6"/>
  <c r="BI15" i="6" s="1"/>
  <c r="BB16" i="6"/>
  <c r="BD16" i="6" s="1"/>
  <c r="BG16" i="6"/>
  <c r="BI16" i="6" s="1"/>
  <c r="BB17" i="6"/>
  <c r="BD17" i="6" s="1"/>
  <c r="BG17" i="6"/>
  <c r="BI17" i="6" s="1"/>
  <c r="BB18" i="6"/>
  <c r="BD18" i="6" s="1"/>
  <c r="BG18" i="6"/>
  <c r="BI18" i="6" s="1"/>
  <c r="BB19" i="6"/>
  <c r="BD19" i="6" s="1"/>
  <c r="BG19" i="6"/>
  <c r="BI19" i="6" s="1"/>
  <c r="BB20" i="6"/>
  <c r="BD20" i="6" s="1"/>
  <c r="BG20" i="6"/>
  <c r="BI20" i="6" s="1"/>
  <c r="BB21" i="6"/>
  <c r="BD21" i="6" s="1"/>
  <c r="BG21" i="6"/>
  <c r="BI21" i="6" s="1"/>
  <c r="BB22" i="6"/>
  <c r="BD22" i="6" s="1"/>
  <c r="BG22" i="6"/>
  <c r="BI22" i="6" s="1"/>
  <c r="BB23" i="6"/>
  <c r="BD23" i="6" s="1"/>
  <c r="BG23" i="6"/>
  <c r="BI23" i="6" s="1"/>
  <c r="BB24" i="6"/>
  <c r="BD24" i="6" s="1"/>
  <c r="BG24" i="6"/>
  <c r="BI24" i="6" s="1"/>
  <c r="BB25" i="6"/>
  <c r="BD25" i="6" s="1"/>
  <c r="BG25" i="6"/>
  <c r="BI25" i="6" s="1"/>
  <c r="BB26" i="6"/>
  <c r="BD26" i="6" s="1"/>
  <c r="BG26" i="6"/>
  <c r="BI26" i="6" s="1"/>
  <c r="BB27" i="6"/>
  <c r="BD27" i="6" s="1"/>
  <c r="BG27" i="6"/>
  <c r="BI27" i="6" s="1"/>
  <c r="BB28" i="6"/>
  <c r="BD28" i="6" s="1"/>
  <c r="BG28" i="6"/>
  <c r="BI28" i="6" s="1"/>
  <c r="BB29" i="6"/>
  <c r="BD29" i="6" s="1"/>
  <c r="BG29" i="6"/>
  <c r="BI29" i="6" s="1"/>
  <c r="BB30" i="6"/>
  <c r="BD30" i="6" s="1"/>
  <c r="BG30" i="6"/>
  <c r="BI30" i="6" s="1"/>
  <c r="BB31" i="6"/>
  <c r="BD31" i="6" s="1"/>
  <c r="BG31" i="6"/>
  <c r="BI31" i="6" s="1"/>
  <c r="BB32" i="6"/>
  <c r="BD32" i="6" s="1"/>
  <c r="BG32" i="6"/>
  <c r="BI32" i="6" s="1"/>
  <c r="K4323" i="1"/>
  <c r="N4323" i="1" s="1"/>
  <c r="J4323" i="1"/>
  <c r="M4323" i="1" s="1"/>
  <c r="G4323" i="1"/>
  <c r="F4323" i="1"/>
  <c r="D4323" i="1"/>
  <c r="L4323" i="1" s="1"/>
  <c r="K4322" i="1"/>
  <c r="N4322" i="1" s="1"/>
  <c r="J4322" i="1"/>
  <c r="M4322" i="1" s="1"/>
  <c r="G4322" i="1"/>
  <c r="H4323" i="1" s="1"/>
  <c r="F4322" i="1"/>
  <c r="D4322" i="1"/>
  <c r="L4322" i="1" s="1"/>
  <c r="K4321" i="1"/>
  <c r="N4321" i="1" s="1"/>
  <c r="J4321" i="1"/>
  <c r="M4321" i="1" s="1"/>
  <c r="G4321" i="1"/>
  <c r="H4322" i="1" s="1"/>
  <c r="F4321" i="1"/>
  <c r="D4321" i="1"/>
  <c r="L4321" i="1" s="1"/>
  <c r="K4320" i="1"/>
  <c r="N4320" i="1" s="1"/>
  <c r="J4320" i="1"/>
  <c r="M4320" i="1" s="1"/>
  <c r="G4320" i="1"/>
  <c r="H4321" i="1" s="1"/>
  <c r="F4320" i="1"/>
  <c r="D4320" i="1"/>
  <c r="L4320" i="1" s="1"/>
  <c r="K4319" i="1"/>
  <c r="N4319" i="1" s="1"/>
  <c r="J4319" i="1"/>
  <c r="M4319" i="1" s="1"/>
  <c r="G4319" i="1"/>
  <c r="H4320" i="1" s="1"/>
  <c r="F4319" i="1"/>
  <c r="D4319" i="1"/>
  <c r="L4319" i="1" s="1"/>
  <c r="K4318" i="1"/>
  <c r="N4318" i="1" s="1"/>
  <c r="J4318" i="1"/>
  <c r="M4318" i="1" s="1"/>
  <c r="G4318" i="1"/>
  <c r="H4319" i="1" s="1"/>
  <c r="F4318" i="1"/>
  <c r="D4318" i="1"/>
  <c r="L4318" i="1" s="1"/>
  <c r="K4317" i="1"/>
  <c r="N4317" i="1" s="1"/>
  <c r="J4317" i="1"/>
  <c r="M4317" i="1" s="1"/>
  <c r="G4317" i="1"/>
  <c r="H4318" i="1" s="1"/>
  <c r="F4317" i="1"/>
  <c r="D4317" i="1"/>
  <c r="L4317" i="1" s="1"/>
  <c r="K4316" i="1"/>
  <c r="N4316" i="1" s="1"/>
  <c r="J4316" i="1"/>
  <c r="M4316" i="1" s="1"/>
  <c r="G4316" i="1"/>
  <c r="H4317" i="1" s="1"/>
  <c r="F4316" i="1"/>
  <c r="D4316" i="1"/>
  <c r="L4316" i="1" s="1"/>
  <c r="K4315" i="1"/>
  <c r="N4315" i="1" s="1"/>
  <c r="J4315" i="1"/>
  <c r="M4315" i="1" s="1"/>
  <c r="G4315" i="1"/>
  <c r="H4316" i="1" s="1"/>
  <c r="F4315" i="1"/>
  <c r="D4315" i="1"/>
  <c r="L4315" i="1" s="1"/>
  <c r="K4314" i="1"/>
  <c r="N4314" i="1" s="1"/>
  <c r="J4314" i="1"/>
  <c r="M4314" i="1" s="1"/>
  <c r="G4314" i="1"/>
  <c r="H4315" i="1" s="1"/>
  <c r="F4314" i="1"/>
  <c r="D4314" i="1"/>
  <c r="L4314" i="1" s="1"/>
  <c r="K4313" i="1"/>
  <c r="N4313" i="1" s="1"/>
  <c r="J4313" i="1"/>
  <c r="M4313" i="1" s="1"/>
  <c r="G4313" i="1"/>
  <c r="H4314" i="1" s="1"/>
  <c r="F4313" i="1"/>
  <c r="D4313" i="1"/>
  <c r="L4313" i="1" s="1"/>
  <c r="K4312" i="1"/>
  <c r="N4312" i="1" s="1"/>
  <c r="J4312" i="1"/>
  <c r="M4312" i="1" s="1"/>
  <c r="G4312" i="1"/>
  <c r="H4313" i="1" s="1"/>
  <c r="F4312" i="1"/>
  <c r="D4312" i="1"/>
  <c r="L4312" i="1" s="1"/>
  <c r="K4311" i="1"/>
  <c r="N4311" i="1" s="1"/>
  <c r="J4311" i="1"/>
  <c r="M4311" i="1" s="1"/>
  <c r="G4311" i="1"/>
  <c r="H4312" i="1" s="1"/>
  <c r="F4311" i="1"/>
  <c r="D4311" i="1"/>
  <c r="L4311" i="1" s="1"/>
  <c r="K4310" i="1"/>
  <c r="N4310" i="1" s="1"/>
  <c r="J4310" i="1"/>
  <c r="M4310" i="1" s="1"/>
  <c r="G4310" i="1"/>
  <c r="H4311" i="1" s="1"/>
  <c r="F4310" i="1"/>
  <c r="D4310" i="1"/>
  <c r="L4310" i="1" s="1"/>
  <c r="K4309" i="1"/>
  <c r="N4309" i="1" s="1"/>
  <c r="J4309" i="1"/>
  <c r="M4309" i="1" s="1"/>
  <c r="G4309" i="1"/>
  <c r="H4310" i="1" s="1"/>
  <c r="F4309" i="1"/>
  <c r="D4309" i="1"/>
  <c r="L4309" i="1" s="1"/>
  <c r="K4308" i="1"/>
  <c r="N4308" i="1" s="1"/>
  <c r="J4308" i="1"/>
  <c r="M4308" i="1" s="1"/>
  <c r="G4308" i="1"/>
  <c r="H4309" i="1" s="1"/>
  <c r="F4308" i="1"/>
  <c r="D4308" i="1"/>
  <c r="L4308" i="1" s="1"/>
  <c r="K4307" i="1"/>
  <c r="N4307" i="1" s="1"/>
  <c r="J4307" i="1"/>
  <c r="M4307" i="1" s="1"/>
  <c r="G4307" i="1"/>
  <c r="H4308" i="1" s="1"/>
  <c r="F4307" i="1"/>
  <c r="D4307" i="1"/>
  <c r="L4307" i="1" s="1"/>
  <c r="K4306" i="1"/>
  <c r="N4306" i="1" s="1"/>
  <c r="J4306" i="1"/>
  <c r="M4306" i="1" s="1"/>
  <c r="G4306" i="1"/>
  <c r="H4307" i="1" s="1"/>
  <c r="F4306" i="1"/>
  <c r="D4306" i="1"/>
  <c r="L4306" i="1" s="1"/>
  <c r="K4305" i="1"/>
  <c r="N4305" i="1" s="1"/>
  <c r="J4305" i="1"/>
  <c r="M4305" i="1" s="1"/>
  <c r="G4305" i="1"/>
  <c r="H4306" i="1" s="1"/>
  <c r="F4305" i="1"/>
  <c r="D4305" i="1"/>
  <c r="L4305" i="1" s="1"/>
  <c r="K4304" i="1"/>
  <c r="N4304" i="1" s="1"/>
  <c r="J4304" i="1"/>
  <c r="M4304" i="1" s="1"/>
  <c r="G4304" i="1"/>
  <c r="H4305" i="1" s="1"/>
  <c r="F4304" i="1"/>
  <c r="D4304" i="1"/>
  <c r="L4304" i="1" s="1"/>
  <c r="K4303" i="1"/>
  <c r="N4303" i="1" s="1"/>
  <c r="J4303" i="1"/>
  <c r="M4303" i="1" s="1"/>
  <c r="G4303" i="1"/>
  <c r="H4304" i="1" s="1"/>
  <c r="F4303" i="1"/>
  <c r="D4303" i="1"/>
  <c r="L4303" i="1" s="1"/>
  <c r="K4302" i="1"/>
  <c r="N4302" i="1" s="1"/>
  <c r="J4302" i="1"/>
  <c r="M4302" i="1" s="1"/>
  <c r="G4302" i="1"/>
  <c r="H4303" i="1" s="1"/>
  <c r="F4302" i="1"/>
  <c r="D4302" i="1"/>
  <c r="L4302" i="1" s="1"/>
  <c r="K4301" i="1"/>
  <c r="N4301" i="1" s="1"/>
  <c r="J4301" i="1"/>
  <c r="M4301" i="1" s="1"/>
  <c r="G4301" i="1"/>
  <c r="H4302" i="1" s="1"/>
  <c r="F4301" i="1"/>
  <c r="D4301" i="1"/>
  <c r="L4301" i="1" s="1"/>
  <c r="K4300" i="1"/>
  <c r="N4300" i="1" s="1"/>
  <c r="J4300" i="1"/>
  <c r="M4300" i="1" s="1"/>
  <c r="G4300" i="1"/>
  <c r="H4301" i="1" s="1"/>
  <c r="F4300" i="1"/>
  <c r="D4300" i="1"/>
  <c r="L4300" i="1" s="1"/>
  <c r="K4299" i="1"/>
  <c r="N4299" i="1" s="1"/>
  <c r="J4299" i="1"/>
  <c r="M4299" i="1" s="1"/>
  <c r="G4299" i="1"/>
  <c r="H4300" i="1" s="1"/>
  <c r="F4299" i="1"/>
  <c r="D4299" i="1"/>
  <c r="L4299" i="1" s="1"/>
  <c r="K4298" i="1"/>
  <c r="N4298" i="1" s="1"/>
  <c r="J4298" i="1"/>
  <c r="M4298" i="1" s="1"/>
  <c r="G4298" i="1"/>
  <c r="H4299" i="1" s="1"/>
  <c r="F4298" i="1"/>
  <c r="D4298" i="1"/>
  <c r="L4298" i="1" s="1"/>
  <c r="K4297" i="1"/>
  <c r="N4297" i="1" s="1"/>
  <c r="J4297" i="1"/>
  <c r="M4297" i="1" s="1"/>
  <c r="G4297" i="1"/>
  <c r="H4298" i="1" s="1"/>
  <c r="F4297" i="1"/>
  <c r="D4297" i="1"/>
  <c r="L4297" i="1" s="1"/>
  <c r="K4296" i="1"/>
  <c r="N4296" i="1" s="1"/>
  <c r="J4296" i="1"/>
  <c r="M4296" i="1" s="1"/>
  <c r="G4296" i="1"/>
  <c r="H4297" i="1" s="1"/>
  <c r="F4296" i="1"/>
  <c r="D4296" i="1"/>
  <c r="L4296" i="1" s="1"/>
  <c r="K4295" i="1"/>
  <c r="N4295" i="1" s="1"/>
  <c r="J4295" i="1"/>
  <c r="M4295" i="1" s="1"/>
  <c r="G4295" i="1"/>
  <c r="H4296" i="1" s="1"/>
  <c r="F4295" i="1"/>
  <c r="D4295" i="1"/>
  <c r="L4295" i="1" s="1"/>
  <c r="K4294" i="1"/>
  <c r="N4294" i="1" s="1"/>
  <c r="J4294" i="1"/>
  <c r="M4294" i="1" s="1"/>
  <c r="G4294" i="1"/>
  <c r="H4295" i="1" s="1"/>
  <c r="F4294" i="1"/>
  <c r="D4294" i="1"/>
  <c r="L4294" i="1" s="1"/>
  <c r="K4293" i="1"/>
  <c r="N4293" i="1" s="1"/>
  <c r="J4293" i="1"/>
  <c r="M4293" i="1" s="1"/>
  <c r="G4293" i="1"/>
  <c r="H4294" i="1" s="1"/>
  <c r="F4293" i="1"/>
  <c r="D4293" i="1"/>
  <c r="L4293" i="1" s="1"/>
  <c r="K4292" i="1"/>
  <c r="N4292" i="1" s="1"/>
  <c r="J4292" i="1"/>
  <c r="M4292" i="1" s="1"/>
  <c r="G4292" i="1"/>
  <c r="H4293" i="1" s="1"/>
  <c r="F4292" i="1"/>
  <c r="D4292" i="1"/>
  <c r="L4292" i="1" s="1"/>
  <c r="K4291" i="1"/>
  <c r="N4291" i="1" s="1"/>
  <c r="J4291" i="1"/>
  <c r="M4291" i="1" s="1"/>
  <c r="G4291" i="1"/>
  <c r="H4292" i="1" s="1"/>
  <c r="F4291" i="1"/>
  <c r="D4291" i="1"/>
  <c r="L4291" i="1" s="1"/>
  <c r="K4290" i="1"/>
  <c r="N4290" i="1" s="1"/>
  <c r="J4290" i="1"/>
  <c r="M4290" i="1" s="1"/>
  <c r="G4290" i="1"/>
  <c r="H4291" i="1" s="1"/>
  <c r="F4290" i="1"/>
  <c r="D4290" i="1"/>
  <c r="L4290" i="1" s="1"/>
  <c r="K4289" i="1"/>
  <c r="N4289" i="1" s="1"/>
  <c r="J4289" i="1"/>
  <c r="M4289" i="1" s="1"/>
  <c r="G4289" i="1"/>
  <c r="H4290" i="1" s="1"/>
  <c r="F4289" i="1"/>
  <c r="D4289" i="1"/>
  <c r="L4289" i="1" s="1"/>
  <c r="K4288" i="1"/>
  <c r="N4288" i="1" s="1"/>
  <c r="J4288" i="1"/>
  <c r="M4288" i="1" s="1"/>
  <c r="G4288" i="1"/>
  <c r="H4289" i="1" s="1"/>
  <c r="F4288" i="1"/>
  <c r="D4288" i="1"/>
  <c r="L4288" i="1" s="1"/>
  <c r="K4287" i="1"/>
  <c r="N4287" i="1" s="1"/>
  <c r="J4287" i="1"/>
  <c r="M4287" i="1" s="1"/>
  <c r="G4287" i="1"/>
  <c r="H4288" i="1" s="1"/>
  <c r="F4287" i="1"/>
  <c r="D4287" i="1"/>
  <c r="L4287" i="1" s="1"/>
  <c r="K4286" i="1"/>
  <c r="N4286" i="1" s="1"/>
  <c r="J4286" i="1"/>
  <c r="M4286" i="1" s="1"/>
  <c r="G4286" i="1"/>
  <c r="H4287" i="1" s="1"/>
  <c r="F4286" i="1"/>
  <c r="D4286" i="1"/>
  <c r="L4286" i="1" s="1"/>
  <c r="K4285" i="1"/>
  <c r="N4285" i="1" s="1"/>
  <c r="J4285" i="1"/>
  <c r="M4285" i="1" s="1"/>
  <c r="G4285" i="1"/>
  <c r="H4286" i="1" s="1"/>
  <c r="F4285" i="1"/>
  <c r="D4285" i="1"/>
  <c r="L4285" i="1" s="1"/>
  <c r="K4284" i="1"/>
  <c r="N4284" i="1" s="1"/>
  <c r="J4284" i="1"/>
  <c r="M4284" i="1" s="1"/>
  <c r="G4284" i="1"/>
  <c r="H4285" i="1" s="1"/>
  <c r="F4284" i="1"/>
  <c r="D4284" i="1"/>
  <c r="L4284" i="1" s="1"/>
  <c r="K4283" i="1"/>
  <c r="N4283" i="1" s="1"/>
  <c r="J4283" i="1"/>
  <c r="M4283" i="1" s="1"/>
  <c r="G4283" i="1"/>
  <c r="H4284" i="1" s="1"/>
  <c r="F4283" i="1"/>
  <c r="D4283" i="1"/>
  <c r="L4283" i="1" s="1"/>
  <c r="K4282" i="1"/>
  <c r="N4282" i="1" s="1"/>
  <c r="J4282" i="1"/>
  <c r="M4282" i="1" s="1"/>
  <c r="G4282" i="1"/>
  <c r="H4283" i="1" s="1"/>
  <c r="F4282" i="1"/>
  <c r="D4282" i="1"/>
  <c r="L4282" i="1" s="1"/>
  <c r="K4281" i="1"/>
  <c r="N4281" i="1" s="1"/>
  <c r="J4281" i="1"/>
  <c r="M4281" i="1" s="1"/>
  <c r="G4281" i="1"/>
  <c r="H4282" i="1" s="1"/>
  <c r="F4281" i="1"/>
  <c r="D4281" i="1"/>
  <c r="L4281" i="1" s="1"/>
  <c r="K4280" i="1"/>
  <c r="N4280" i="1" s="1"/>
  <c r="J4280" i="1"/>
  <c r="M4280" i="1" s="1"/>
  <c r="G4280" i="1"/>
  <c r="H4281" i="1" s="1"/>
  <c r="F4280" i="1"/>
  <c r="D4280" i="1"/>
  <c r="L4280" i="1" s="1"/>
  <c r="K4279" i="1"/>
  <c r="N4279" i="1" s="1"/>
  <c r="J4279" i="1"/>
  <c r="M4279" i="1" s="1"/>
  <c r="G4279" i="1"/>
  <c r="H4280" i="1" s="1"/>
  <c r="F4279" i="1"/>
  <c r="D4279" i="1"/>
  <c r="L4279" i="1" s="1"/>
  <c r="K4278" i="1"/>
  <c r="N4278" i="1" s="1"/>
  <c r="J4278" i="1"/>
  <c r="M4278" i="1" s="1"/>
  <c r="G4278" i="1"/>
  <c r="H4279" i="1" s="1"/>
  <c r="F4278" i="1"/>
  <c r="D4278" i="1"/>
  <c r="L4278" i="1" s="1"/>
  <c r="K4277" i="1"/>
  <c r="N4277" i="1" s="1"/>
  <c r="J4277" i="1"/>
  <c r="M4277" i="1" s="1"/>
  <c r="G4277" i="1"/>
  <c r="H4278" i="1" s="1"/>
  <c r="F4277" i="1"/>
  <c r="D4277" i="1"/>
  <c r="L4277" i="1" s="1"/>
  <c r="K4276" i="1"/>
  <c r="N4276" i="1" s="1"/>
  <c r="J4276" i="1"/>
  <c r="M4276" i="1" s="1"/>
  <c r="G4276" i="1"/>
  <c r="H4277" i="1" s="1"/>
  <c r="F4276" i="1"/>
  <c r="D4276" i="1"/>
  <c r="L4276" i="1" s="1"/>
  <c r="K4275" i="1"/>
  <c r="N4275" i="1" s="1"/>
  <c r="J4275" i="1"/>
  <c r="M4275" i="1" s="1"/>
  <c r="G4275" i="1"/>
  <c r="H4276" i="1" s="1"/>
  <c r="F4275" i="1"/>
  <c r="D4275" i="1"/>
  <c r="L4275" i="1" s="1"/>
  <c r="K4274" i="1"/>
  <c r="N4274" i="1" s="1"/>
  <c r="J4274" i="1"/>
  <c r="M4274" i="1" s="1"/>
  <c r="G4274" i="1"/>
  <c r="H4275" i="1" s="1"/>
  <c r="F4274" i="1"/>
  <c r="D4274" i="1"/>
  <c r="L4274" i="1" s="1"/>
  <c r="K4273" i="1"/>
  <c r="N4273" i="1" s="1"/>
  <c r="J4273" i="1"/>
  <c r="M4273" i="1" s="1"/>
  <c r="G4273" i="1"/>
  <c r="H4274" i="1" s="1"/>
  <c r="F4273" i="1"/>
  <c r="D4273" i="1"/>
  <c r="L4273" i="1" s="1"/>
  <c r="K4272" i="1"/>
  <c r="N4272" i="1" s="1"/>
  <c r="J4272" i="1"/>
  <c r="M4272" i="1" s="1"/>
  <c r="G4272" i="1"/>
  <c r="H4273" i="1" s="1"/>
  <c r="F4272" i="1"/>
  <c r="D4272" i="1"/>
  <c r="L4272" i="1" s="1"/>
  <c r="K4271" i="1"/>
  <c r="N4271" i="1" s="1"/>
  <c r="J4271" i="1"/>
  <c r="M4271" i="1" s="1"/>
  <c r="G4271" i="1"/>
  <c r="H4272" i="1" s="1"/>
  <c r="F4271" i="1"/>
  <c r="D4271" i="1"/>
  <c r="L4271" i="1" s="1"/>
  <c r="K4270" i="1"/>
  <c r="N4270" i="1" s="1"/>
  <c r="J4270" i="1"/>
  <c r="M4270" i="1" s="1"/>
  <c r="G4270" i="1"/>
  <c r="H4271" i="1" s="1"/>
  <c r="F4270" i="1"/>
  <c r="D4270" i="1"/>
  <c r="L4270" i="1" s="1"/>
  <c r="K4269" i="1"/>
  <c r="N4269" i="1" s="1"/>
  <c r="J4269" i="1"/>
  <c r="M4269" i="1" s="1"/>
  <c r="G4269" i="1"/>
  <c r="H4270" i="1" s="1"/>
  <c r="F4269" i="1"/>
  <c r="D4269" i="1"/>
  <c r="L4269" i="1" s="1"/>
  <c r="K4268" i="1"/>
  <c r="N4268" i="1" s="1"/>
  <c r="J4268" i="1"/>
  <c r="M4268" i="1" s="1"/>
  <c r="G4268" i="1"/>
  <c r="H4269" i="1" s="1"/>
  <c r="F4268" i="1"/>
  <c r="D4268" i="1"/>
  <c r="L4268" i="1" s="1"/>
  <c r="K4267" i="1"/>
  <c r="N4267" i="1" s="1"/>
  <c r="J4267" i="1"/>
  <c r="M4267" i="1" s="1"/>
  <c r="G4267" i="1"/>
  <c r="H4268" i="1" s="1"/>
  <c r="F4267" i="1"/>
  <c r="D4267" i="1"/>
  <c r="L4267" i="1" s="1"/>
  <c r="K4266" i="1"/>
  <c r="N4266" i="1" s="1"/>
  <c r="J4266" i="1"/>
  <c r="M4266" i="1" s="1"/>
  <c r="G4266" i="1"/>
  <c r="H4267" i="1" s="1"/>
  <c r="F4266" i="1"/>
  <c r="D4266" i="1"/>
  <c r="L4266" i="1" s="1"/>
  <c r="K4265" i="1"/>
  <c r="N4265" i="1" s="1"/>
  <c r="J4265" i="1"/>
  <c r="M4265" i="1" s="1"/>
  <c r="G4265" i="1"/>
  <c r="H4266" i="1" s="1"/>
  <c r="F4265" i="1"/>
  <c r="D4265" i="1"/>
  <c r="L4265" i="1" s="1"/>
  <c r="K4264" i="1"/>
  <c r="N4264" i="1" s="1"/>
  <c r="J4264" i="1"/>
  <c r="M4264" i="1" s="1"/>
  <c r="G4264" i="1"/>
  <c r="H4265" i="1" s="1"/>
  <c r="F4264" i="1"/>
  <c r="D4264" i="1"/>
  <c r="L4264" i="1" s="1"/>
  <c r="K4263" i="1"/>
  <c r="N4263" i="1" s="1"/>
  <c r="J4263" i="1"/>
  <c r="M4263" i="1" s="1"/>
  <c r="G4263" i="1"/>
  <c r="H4264" i="1" s="1"/>
  <c r="F4263" i="1"/>
  <c r="D4263" i="1"/>
  <c r="L4263" i="1" s="1"/>
  <c r="K4262" i="1"/>
  <c r="N4262" i="1" s="1"/>
  <c r="J4262" i="1"/>
  <c r="M4262" i="1" s="1"/>
  <c r="G4262" i="1"/>
  <c r="H4263" i="1" s="1"/>
  <c r="F4262" i="1"/>
  <c r="D4262" i="1"/>
  <c r="L4262" i="1" s="1"/>
  <c r="K4261" i="1"/>
  <c r="N4261" i="1" s="1"/>
  <c r="J4261" i="1"/>
  <c r="M4261" i="1" s="1"/>
  <c r="G4261" i="1"/>
  <c r="H4262" i="1" s="1"/>
  <c r="F4261" i="1"/>
  <c r="D4261" i="1"/>
  <c r="L4261" i="1" s="1"/>
  <c r="K4260" i="1"/>
  <c r="N4260" i="1" s="1"/>
  <c r="J4260" i="1"/>
  <c r="M4260" i="1" s="1"/>
  <c r="G4260" i="1"/>
  <c r="H4261" i="1" s="1"/>
  <c r="F4260" i="1"/>
  <c r="D4260" i="1"/>
  <c r="L4260" i="1" s="1"/>
  <c r="K4259" i="1"/>
  <c r="N4259" i="1" s="1"/>
  <c r="J4259" i="1"/>
  <c r="M4259" i="1" s="1"/>
  <c r="G4259" i="1"/>
  <c r="H4260" i="1" s="1"/>
  <c r="F4259" i="1"/>
  <c r="D4259" i="1"/>
  <c r="L4259" i="1" s="1"/>
  <c r="K4258" i="1"/>
  <c r="N4258" i="1" s="1"/>
  <c r="J4258" i="1"/>
  <c r="M4258" i="1" s="1"/>
  <c r="G4258" i="1"/>
  <c r="H4259" i="1" s="1"/>
  <c r="F4258" i="1"/>
  <c r="D4258" i="1"/>
  <c r="L4258" i="1" s="1"/>
  <c r="K4257" i="1"/>
  <c r="N4257" i="1" s="1"/>
  <c r="J4257" i="1"/>
  <c r="M4257" i="1" s="1"/>
  <c r="G4257" i="1"/>
  <c r="H4258" i="1" s="1"/>
  <c r="F4257" i="1"/>
  <c r="D4257" i="1"/>
  <c r="L4257" i="1" s="1"/>
  <c r="K4256" i="1"/>
  <c r="N4256" i="1" s="1"/>
  <c r="J4256" i="1"/>
  <c r="M4256" i="1" s="1"/>
  <c r="G4256" i="1"/>
  <c r="H4257" i="1" s="1"/>
  <c r="F4256" i="1"/>
  <c r="D4256" i="1"/>
  <c r="L4256" i="1" s="1"/>
  <c r="K4255" i="1"/>
  <c r="N4255" i="1" s="1"/>
  <c r="J4255" i="1"/>
  <c r="M4255" i="1" s="1"/>
  <c r="G4255" i="1"/>
  <c r="H4256" i="1" s="1"/>
  <c r="F4255" i="1"/>
  <c r="D4255" i="1"/>
  <c r="L4255" i="1" s="1"/>
  <c r="K4254" i="1"/>
  <c r="N4254" i="1" s="1"/>
  <c r="J4254" i="1"/>
  <c r="M4254" i="1" s="1"/>
  <c r="G4254" i="1"/>
  <c r="H4255" i="1" s="1"/>
  <c r="F4254" i="1"/>
  <c r="D4254" i="1"/>
  <c r="L4254" i="1" s="1"/>
  <c r="K4253" i="1"/>
  <c r="N4253" i="1" s="1"/>
  <c r="J4253" i="1"/>
  <c r="M4253" i="1" s="1"/>
  <c r="G4253" i="1"/>
  <c r="H4254" i="1" s="1"/>
  <c r="F4253" i="1"/>
  <c r="D4253" i="1"/>
  <c r="L4253" i="1" s="1"/>
  <c r="K4252" i="1"/>
  <c r="N4252" i="1" s="1"/>
  <c r="J4252" i="1"/>
  <c r="M4252" i="1" s="1"/>
  <c r="G4252" i="1"/>
  <c r="H4253" i="1" s="1"/>
  <c r="F4252" i="1"/>
  <c r="D4252" i="1"/>
  <c r="L4252" i="1" s="1"/>
  <c r="K4251" i="1"/>
  <c r="N4251" i="1" s="1"/>
  <c r="J4251" i="1"/>
  <c r="M4251" i="1" s="1"/>
  <c r="G4251" i="1"/>
  <c r="H4252" i="1" s="1"/>
  <c r="F4251" i="1"/>
  <c r="D4251" i="1"/>
  <c r="L4251" i="1" s="1"/>
  <c r="K4250" i="1"/>
  <c r="N4250" i="1" s="1"/>
  <c r="J4250" i="1"/>
  <c r="M4250" i="1" s="1"/>
  <c r="G4250" i="1"/>
  <c r="H4251" i="1" s="1"/>
  <c r="F4250" i="1"/>
  <c r="D4250" i="1"/>
  <c r="L4250" i="1" s="1"/>
  <c r="K4249" i="1"/>
  <c r="N4249" i="1" s="1"/>
  <c r="J4249" i="1"/>
  <c r="M4249" i="1" s="1"/>
  <c r="G4249" i="1"/>
  <c r="H4250" i="1" s="1"/>
  <c r="F4249" i="1"/>
  <c r="D4249" i="1"/>
  <c r="L4249" i="1" s="1"/>
  <c r="K4248" i="1"/>
  <c r="N4248" i="1" s="1"/>
  <c r="J4248" i="1"/>
  <c r="M4248" i="1" s="1"/>
  <c r="G4248" i="1"/>
  <c r="H4249" i="1" s="1"/>
  <c r="F4248" i="1"/>
  <c r="D4248" i="1"/>
  <c r="L4248" i="1" s="1"/>
  <c r="K4247" i="1"/>
  <c r="N4247" i="1" s="1"/>
  <c r="J4247" i="1"/>
  <c r="M4247" i="1" s="1"/>
  <c r="G4247" i="1"/>
  <c r="H4248" i="1" s="1"/>
  <c r="F4247" i="1"/>
  <c r="D4247" i="1"/>
  <c r="L4247" i="1" s="1"/>
  <c r="K4246" i="1"/>
  <c r="N4246" i="1" s="1"/>
  <c r="J4246" i="1"/>
  <c r="M4246" i="1" s="1"/>
  <c r="G4246" i="1"/>
  <c r="H4247" i="1" s="1"/>
  <c r="F4246" i="1"/>
  <c r="D4246" i="1"/>
  <c r="L4246" i="1" s="1"/>
  <c r="K4245" i="1"/>
  <c r="N4245" i="1" s="1"/>
  <c r="J4245" i="1"/>
  <c r="M4245" i="1" s="1"/>
  <c r="G4245" i="1"/>
  <c r="H4246" i="1" s="1"/>
  <c r="F4245" i="1"/>
  <c r="D4245" i="1"/>
  <c r="L4245" i="1" s="1"/>
  <c r="K4244" i="1"/>
  <c r="N4244" i="1" s="1"/>
  <c r="J4244" i="1"/>
  <c r="M4244" i="1" s="1"/>
  <c r="G4244" i="1"/>
  <c r="H4245" i="1" s="1"/>
  <c r="F4244" i="1"/>
  <c r="D4244" i="1"/>
  <c r="L4244" i="1" s="1"/>
  <c r="K4243" i="1"/>
  <c r="N4243" i="1" s="1"/>
  <c r="J4243" i="1"/>
  <c r="M4243" i="1" s="1"/>
  <c r="G4243" i="1"/>
  <c r="H4244" i="1" s="1"/>
  <c r="F4243" i="1"/>
  <c r="D4243" i="1"/>
  <c r="L4243" i="1" s="1"/>
  <c r="K4242" i="1"/>
  <c r="N4242" i="1" s="1"/>
  <c r="J4242" i="1"/>
  <c r="M4242" i="1" s="1"/>
  <c r="G4242" i="1"/>
  <c r="H4243" i="1" s="1"/>
  <c r="F4242" i="1"/>
  <c r="D4242" i="1"/>
  <c r="L4242" i="1" s="1"/>
  <c r="K4241" i="1"/>
  <c r="N4241" i="1" s="1"/>
  <c r="J4241" i="1"/>
  <c r="M4241" i="1" s="1"/>
  <c r="G4241" i="1"/>
  <c r="H4242" i="1" s="1"/>
  <c r="F4241" i="1"/>
  <c r="D4241" i="1"/>
  <c r="L4241" i="1" s="1"/>
  <c r="K4240" i="1"/>
  <c r="N4240" i="1" s="1"/>
  <c r="J4240" i="1"/>
  <c r="M4240" i="1" s="1"/>
  <c r="G4240" i="1"/>
  <c r="H4241" i="1" s="1"/>
  <c r="F4240" i="1"/>
  <c r="D4240" i="1"/>
  <c r="L4240" i="1" s="1"/>
  <c r="K4239" i="1"/>
  <c r="N4239" i="1" s="1"/>
  <c r="J4239" i="1"/>
  <c r="M4239" i="1" s="1"/>
  <c r="G4239" i="1"/>
  <c r="H4240" i="1" s="1"/>
  <c r="F4239" i="1"/>
  <c r="D4239" i="1"/>
  <c r="L4239" i="1" s="1"/>
  <c r="K4238" i="1"/>
  <c r="N4238" i="1" s="1"/>
  <c r="J4238" i="1"/>
  <c r="M4238" i="1" s="1"/>
  <c r="G4238" i="1"/>
  <c r="H4239" i="1" s="1"/>
  <c r="F4238" i="1"/>
  <c r="D4238" i="1"/>
  <c r="L4238" i="1" s="1"/>
  <c r="K4237" i="1"/>
  <c r="N4237" i="1" s="1"/>
  <c r="J4237" i="1"/>
  <c r="M4237" i="1" s="1"/>
  <c r="G4237" i="1"/>
  <c r="H4238" i="1" s="1"/>
  <c r="F4237" i="1"/>
  <c r="D4237" i="1"/>
  <c r="L4237" i="1" s="1"/>
  <c r="K4236" i="1"/>
  <c r="N4236" i="1" s="1"/>
  <c r="J4236" i="1"/>
  <c r="M4236" i="1" s="1"/>
  <c r="G4236" i="1"/>
  <c r="H4237" i="1" s="1"/>
  <c r="F4236" i="1"/>
  <c r="D4236" i="1"/>
  <c r="L4236" i="1" s="1"/>
  <c r="K4235" i="1"/>
  <c r="N4235" i="1" s="1"/>
  <c r="J4235" i="1"/>
  <c r="M4235" i="1" s="1"/>
  <c r="G4235" i="1"/>
  <c r="H4236" i="1" s="1"/>
  <c r="F4235" i="1"/>
  <c r="D4235" i="1"/>
  <c r="L4235" i="1" s="1"/>
  <c r="K4234" i="1"/>
  <c r="N4234" i="1" s="1"/>
  <c r="J4234" i="1"/>
  <c r="M4234" i="1" s="1"/>
  <c r="G4234" i="1"/>
  <c r="H4235" i="1" s="1"/>
  <c r="F4234" i="1"/>
  <c r="D4234" i="1"/>
  <c r="L4234" i="1" s="1"/>
  <c r="K4233" i="1"/>
  <c r="N4233" i="1" s="1"/>
  <c r="J4233" i="1"/>
  <c r="M4233" i="1" s="1"/>
  <c r="G4233" i="1"/>
  <c r="H4234" i="1" s="1"/>
  <c r="F4233" i="1"/>
  <c r="D4233" i="1"/>
  <c r="L4233" i="1" s="1"/>
  <c r="K4232" i="1"/>
  <c r="N4232" i="1" s="1"/>
  <c r="J4232" i="1"/>
  <c r="M4232" i="1" s="1"/>
  <c r="G4232" i="1"/>
  <c r="H4233" i="1" s="1"/>
  <c r="F4232" i="1"/>
  <c r="D4232" i="1"/>
  <c r="L4232" i="1" s="1"/>
  <c r="K4231" i="1"/>
  <c r="N4231" i="1" s="1"/>
  <c r="J4231" i="1"/>
  <c r="M4231" i="1" s="1"/>
  <c r="G4231" i="1"/>
  <c r="H4232" i="1" s="1"/>
  <c r="F4231" i="1"/>
  <c r="D4231" i="1"/>
  <c r="L4231" i="1" s="1"/>
  <c r="K4230" i="1"/>
  <c r="N4230" i="1" s="1"/>
  <c r="J4230" i="1"/>
  <c r="M4230" i="1" s="1"/>
  <c r="G4230" i="1"/>
  <c r="H4231" i="1" s="1"/>
  <c r="F4230" i="1"/>
  <c r="D4230" i="1"/>
  <c r="L4230" i="1" s="1"/>
  <c r="K4229" i="1"/>
  <c r="N4229" i="1" s="1"/>
  <c r="J4229" i="1"/>
  <c r="M4229" i="1" s="1"/>
  <c r="G4229" i="1"/>
  <c r="H4230" i="1" s="1"/>
  <c r="F4229" i="1"/>
  <c r="D4229" i="1"/>
  <c r="L4229" i="1" s="1"/>
  <c r="K4228" i="1"/>
  <c r="N4228" i="1" s="1"/>
  <c r="J4228" i="1"/>
  <c r="M4228" i="1" s="1"/>
  <c r="G4228" i="1"/>
  <c r="H4229" i="1" s="1"/>
  <c r="F4228" i="1"/>
  <c r="D4228" i="1"/>
  <c r="L4228" i="1" s="1"/>
  <c r="K4227" i="1"/>
  <c r="N4227" i="1" s="1"/>
  <c r="J4227" i="1"/>
  <c r="M4227" i="1" s="1"/>
  <c r="G4227" i="1"/>
  <c r="H4228" i="1" s="1"/>
  <c r="F4227" i="1"/>
  <c r="D4227" i="1"/>
  <c r="L4227" i="1" s="1"/>
  <c r="K4226" i="1"/>
  <c r="N4226" i="1" s="1"/>
  <c r="J4226" i="1"/>
  <c r="M4226" i="1" s="1"/>
  <c r="G4226" i="1"/>
  <c r="H4227" i="1" s="1"/>
  <c r="F4226" i="1"/>
  <c r="D4226" i="1"/>
  <c r="L4226" i="1" s="1"/>
  <c r="K4225" i="1"/>
  <c r="N4225" i="1" s="1"/>
  <c r="J4225" i="1"/>
  <c r="M4225" i="1" s="1"/>
  <c r="G4225" i="1"/>
  <c r="H4226" i="1" s="1"/>
  <c r="F4225" i="1"/>
  <c r="D4225" i="1"/>
  <c r="L4225" i="1" s="1"/>
  <c r="K4224" i="1"/>
  <c r="N4224" i="1" s="1"/>
  <c r="J4224" i="1"/>
  <c r="M4224" i="1" s="1"/>
  <c r="G4224" i="1"/>
  <c r="H4225" i="1" s="1"/>
  <c r="F4224" i="1"/>
  <c r="D4224" i="1"/>
  <c r="L4224" i="1" s="1"/>
  <c r="K4223" i="1"/>
  <c r="N4223" i="1" s="1"/>
  <c r="J4223" i="1"/>
  <c r="M4223" i="1" s="1"/>
  <c r="G4223" i="1"/>
  <c r="H4224" i="1" s="1"/>
  <c r="F4223" i="1"/>
  <c r="D4223" i="1"/>
  <c r="L4223" i="1" s="1"/>
  <c r="K4222" i="1"/>
  <c r="N4222" i="1" s="1"/>
  <c r="J4222" i="1"/>
  <c r="M4222" i="1" s="1"/>
  <c r="G4222" i="1"/>
  <c r="H4223" i="1" s="1"/>
  <c r="F4222" i="1"/>
  <c r="D4222" i="1"/>
  <c r="L4222" i="1" s="1"/>
  <c r="K4221" i="1"/>
  <c r="N4221" i="1" s="1"/>
  <c r="J4221" i="1"/>
  <c r="M4221" i="1" s="1"/>
  <c r="G4221" i="1"/>
  <c r="H4222" i="1" s="1"/>
  <c r="F4221" i="1"/>
  <c r="D4221" i="1"/>
  <c r="L4221" i="1" s="1"/>
  <c r="K4220" i="1"/>
  <c r="N4220" i="1" s="1"/>
  <c r="J4220" i="1"/>
  <c r="M4220" i="1" s="1"/>
  <c r="G4220" i="1"/>
  <c r="H4221" i="1" s="1"/>
  <c r="F4220" i="1"/>
  <c r="D4220" i="1"/>
  <c r="L4220" i="1" s="1"/>
  <c r="K4219" i="1"/>
  <c r="N4219" i="1" s="1"/>
  <c r="J4219" i="1"/>
  <c r="M4219" i="1" s="1"/>
  <c r="G4219" i="1"/>
  <c r="H4220" i="1" s="1"/>
  <c r="F4219" i="1"/>
  <c r="D4219" i="1"/>
  <c r="L4219" i="1" s="1"/>
  <c r="K4218" i="1"/>
  <c r="N4218" i="1" s="1"/>
  <c r="J4218" i="1"/>
  <c r="M4218" i="1" s="1"/>
  <c r="G4218" i="1"/>
  <c r="H4219" i="1" s="1"/>
  <c r="F4218" i="1"/>
  <c r="D4218" i="1"/>
  <c r="L4218" i="1" s="1"/>
  <c r="K4217" i="1"/>
  <c r="N4217" i="1" s="1"/>
  <c r="J4217" i="1"/>
  <c r="M4217" i="1" s="1"/>
  <c r="G4217" i="1"/>
  <c r="H4218" i="1" s="1"/>
  <c r="F4217" i="1"/>
  <c r="D4217" i="1"/>
  <c r="L4217" i="1" s="1"/>
  <c r="K4216" i="1"/>
  <c r="N4216" i="1" s="1"/>
  <c r="J4216" i="1"/>
  <c r="M4216" i="1" s="1"/>
  <c r="G4216" i="1"/>
  <c r="H4217" i="1" s="1"/>
  <c r="F4216" i="1"/>
  <c r="D4216" i="1"/>
  <c r="L4216" i="1" s="1"/>
  <c r="K4215" i="1"/>
  <c r="N4215" i="1" s="1"/>
  <c r="J4215" i="1"/>
  <c r="M4215" i="1" s="1"/>
  <c r="G4215" i="1"/>
  <c r="H4216" i="1" s="1"/>
  <c r="F4215" i="1"/>
  <c r="D4215" i="1"/>
  <c r="L4215" i="1" s="1"/>
  <c r="K4214" i="1"/>
  <c r="N4214" i="1" s="1"/>
  <c r="J4214" i="1"/>
  <c r="M4214" i="1" s="1"/>
  <c r="G4214" i="1"/>
  <c r="H4215" i="1" s="1"/>
  <c r="F4214" i="1"/>
  <c r="D4214" i="1"/>
  <c r="L4214" i="1" s="1"/>
  <c r="K4213" i="1"/>
  <c r="N4213" i="1" s="1"/>
  <c r="J4213" i="1"/>
  <c r="M4213" i="1" s="1"/>
  <c r="G4213" i="1"/>
  <c r="H4214" i="1" s="1"/>
  <c r="F4213" i="1"/>
  <c r="D4213" i="1"/>
  <c r="L4213" i="1" s="1"/>
  <c r="K4212" i="1"/>
  <c r="N4212" i="1" s="1"/>
  <c r="J4212" i="1"/>
  <c r="M4212" i="1" s="1"/>
  <c r="G4212" i="1"/>
  <c r="H4213" i="1" s="1"/>
  <c r="F4212" i="1"/>
  <c r="D4212" i="1"/>
  <c r="L4212" i="1" s="1"/>
  <c r="K4211" i="1"/>
  <c r="N4211" i="1" s="1"/>
  <c r="J4211" i="1"/>
  <c r="M4211" i="1" s="1"/>
  <c r="G4211" i="1"/>
  <c r="H4212" i="1" s="1"/>
  <c r="F4211" i="1"/>
  <c r="D4211" i="1"/>
  <c r="L4211" i="1" s="1"/>
  <c r="K4210" i="1"/>
  <c r="N4210" i="1" s="1"/>
  <c r="J4210" i="1"/>
  <c r="M4210" i="1" s="1"/>
  <c r="G4210" i="1"/>
  <c r="H4211" i="1" s="1"/>
  <c r="F4210" i="1"/>
  <c r="D4210" i="1"/>
  <c r="L4210" i="1" s="1"/>
  <c r="K4209" i="1"/>
  <c r="N4209" i="1" s="1"/>
  <c r="J4209" i="1"/>
  <c r="M4209" i="1" s="1"/>
  <c r="G4209" i="1"/>
  <c r="H4210" i="1" s="1"/>
  <c r="F4209" i="1"/>
  <c r="D4209" i="1"/>
  <c r="L4209" i="1" s="1"/>
  <c r="K4208" i="1"/>
  <c r="N4208" i="1" s="1"/>
  <c r="J4208" i="1"/>
  <c r="M4208" i="1" s="1"/>
  <c r="G4208" i="1"/>
  <c r="H4209" i="1" s="1"/>
  <c r="F4208" i="1"/>
  <c r="D4208" i="1"/>
  <c r="L4208" i="1" s="1"/>
  <c r="K4207" i="1"/>
  <c r="N4207" i="1" s="1"/>
  <c r="J4207" i="1"/>
  <c r="M4207" i="1" s="1"/>
  <c r="G4207" i="1"/>
  <c r="H4208" i="1" s="1"/>
  <c r="F4207" i="1"/>
  <c r="D4207" i="1"/>
  <c r="L4207" i="1" s="1"/>
  <c r="K4206" i="1"/>
  <c r="N4206" i="1" s="1"/>
  <c r="J4206" i="1"/>
  <c r="M4206" i="1" s="1"/>
  <c r="G4206" i="1"/>
  <c r="H4207" i="1" s="1"/>
  <c r="F4206" i="1"/>
  <c r="D4206" i="1"/>
  <c r="L4206" i="1" s="1"/>
  <c r="K4205" i="1"/>
  <c r="N4205" i="1" s="1"/>
  <c r="J4205" i="1"/>
  <c r="M4205" i="1" s="1"/>
  <c r="G4205" i="1"/>
  <c r="H4206" i="1" s="1"/>
  <c r="F4205" i="1"/>
  <c r="D4205" i="1"/>
  <c r="L4205" i="1" s="1"/>
  <c r="K4204" i="1"/>
  <c r="N4204" i="1" s="1"/>
  <c r="J4204" i="1"/>
  <c r="M4204" i="1" s="1"/>
  <c r="G4204" i="1"/>
  <c r="H4205" i="1" s="1"/>
  <c r="F4204" i="1"/>
  <c r="D4204" i="1"/>
  <c r="L4204" i="1" s="1"/>
  <c r="K4203" i="1"/>
  <c r="N4203" i="1" s="1"/>
  <c r="J4203" i="1"/>
  <c r="M4203" i="1" s="1"/>
  <c r="G4203" i="1"/>
  <c r="H4204" i="1" s="1"/>
  <c r="F4203" i="1"/>
  <c r="D4203" i="1"/>
  <c r="L4203" i="1" s="1"/>
  <c r="K4202" i="1"/>
  <c r="N4202" i="1" s="1"/>
  <c r="J4202" i="1"/>
  <c r="M4202" i="1" s="1"/>
  <c r="G4202" i="1"/>
  <c r="H4203" i="1" s="1"/>
  <c r="F4202" i="1"/>
  <c r="D4202" i="1"/>
  <c r="L4202" i="1" s="1"/>
  <c r="K4201" i="1"/>
  <c r="N4201" i="1" s="1"/>
  <c r="J4201" i="1"/>
  <c r="M4201" i="1" s="1"/>
  <c r="G4201" i="1"/>
  <c r="H4202" i="1" s="1"/>
  <c r="F4201" i="1"/>
  <c r="D4201" i="1"/>
  <c r="L4201" i="1" s="1"/>
  <c r="K4200" i="1"/>
  <c r="N4200" i="1" s="1"/>
  <c r="J4200" i="1"/>
  <c r="M4200" i="1" s="1"/>
  <c r="G4200" i="1"/>
  <c r="H4201" i="1" s="1"/>
  <c r="F4200" i="1"/>
  <c r="D4200" i="1"/>
  <c r="L4200" i="1" s="1"/>
  <c r="K4199" i="1"/>
  <c r="N4199" i="1" s="1"/>
  <c r="J4199" i="1"/>
  <c r="M4199" i="1" s="1"/>
  <c r="G4199" i="1"/>
  <c r="H4200" i="1" s="1"/>
  <c r="F4199" i="1"/>
  <c r="D4199" i="1"/>
  <c r="L4199" i="1" s="1"/>
  <c r="K4198" i="1"/>
  <c r="N4198" i="1" s="1"/>
  <c r="J4198" i="1"/>
  <c r="M4198" i="1" s="1"/>
  <c r="G4198" i="1"/>
  <c r="H4199" i="1" s="1"/>
  <c r="F4198" i="1"/>
  <c r="D4198" i="1"/>
  <c r="L4198" i="1" s="1"/>
  <c r="K4197" i="1"/>
  <c r="N4197" i="1" s="1"/>
  <c r="J4197" i="1"/>
  <c r="M4197" i="1" s="1"/>
  <c r="G4197" i="1"/>
  <c r="H4198" i="1" s="1"/>
  <c r="F4197" i="1"/>
  <c r="D4197" i="1"/>
  <c r="L4197" i="1" s="1"/>
  <c r="K4196" i="1"/>
  <c r="N4196" i="1" s="1"/>
  <c r="J4196" i="1"/>
  <c r="M4196" i="1" s="1"/>
  <c r="G4196" i="1"/>
  <c r="H4197" i="1" s="1"/>
  <c r="F4196" i="1"/>
  <c r="D4196" i="1"/>
  <c r="L4196" i="1" s="1"/>
  <c r="K4195" i="1"/>
  <c r="N4195" i="1" s="1"/>
  <c r="J4195" i="1"/>
  <c r="M4195" i="1" s="1"/>
  <c r="G4195" i="1"/>
  <c r="H4196" i="1" s="1"/>
  <c r="F4195" i="1"/>
  <c r="D4195" i="1"/>
  <c r="L4195" i="1" s="1"/>
  <c r="K4194" i="1"/>
  <c r="N4194" i="1" s="1"/>
  <c r="J4194" i="1"/>
  <c r="M4194" i="1" s="1"/>
  <c r="G4194" i="1"/>
  <c r="H4195" i="1" s="1"/>
  <c r="F4194" i="1"/>
  <c r="D4194" i="1"/>
  <c r="L4194" i="1" s="1"/>
  <c r="K4193" i="1"/>
  <c r="N4193" i="1" s="1"/>
  <c r="J4193" i="1"/>
  <c r="M4193" i="1" s="1"/>
  <c r="G4193" i="1"/>
  <c r="H4194" i="1" s="1"/>
  <c r="F4193" i="1"/>
  <c r="D4193" i="1"/>
  <c r="L4193" i="1" s="1"/>
  <c r="K4192" i="1"/>
  <c r="N4192" i="1" s="1"/>
  <c r="J4192" i="1"/>
  <c r="M4192" i="1" s="1"/>
  <c r="G4192" i="1"/>
  <c r="H4193" i="1" s="1"/>
  <c r="F4192" i="1"/>
  <c r="D4192" i="1"/>
  <c r="L4192" i="1" s="1"/>
  <c r="K4191" i="1"/>
  <c r="N4191" i="1" s="1"/>
  <c r="J4191" i="1"/>
  <c r="M4191" i="1" s="1"/>
  <c r="G4191" i="1"/>
  <c r="H4192" i="1" s="1"/>
  <c r="F4191" i="1"/>
  <c r="D4191" i="1"/>
  <c r="L4191" i="1" s="1"/>
  <c r="K4190" i="1"/>
  <c r="N4190" i="1" s="1"/>
  <c r="J4190" i="1"/>
  <c r="M4190" i="1" s="1"/>
  <c r="G4190" i="1"/>
  <c r="H4191" i="1" s="1"/>
  <c r="F4190" i="1"/>
  <c r="D4190" i="1"/>
  <c r="L4190" i="1" s="1"/>
  <c r="K4189" i="1"/>
  <c r="N4189" i="1" s="1"/>
  <c r="J4189" i="1"/>
  <c r="M4189" i="1" s="1"/>
  <c r="G4189" i="1"/>
  <c r="H4190" i="1" s="1"/>
  <c r="F4189" i="1"/>
  <c r="D4189" i="1"/>
  <c r="L4189" i="1" s="1"/>
  <c r="K4188" i="1"/>
  <c r="N4188" i="1" s="1"/>
  <c r="J4188" i="1"/>
  <c r="M4188" i="1" s="1"/>
  <c r="G4188" i="1"/>
  <c r="H4189" i="1" s="1"/>
  <c r="F4188" i="1"/>
  <c r="D4188" i="1"/>
  <c r="L4188" i="1" s="1"/>
  <c r="K4187" i="1"/>
  <c r="N4187" i="1" s="1"/>
  <c r="J4187" i="1"/>
  <c r="M4187" i="1" s="1"/>
  <c r="G4187" i="1"/>
  <c r="H4188" i="1" s="1"/>
  <c r="F4187" i="1"/>
  <c r="D4187" i="1"/>
  <c r="L4187" i="1" s="1"/>
  <c r="K4186" i="1"/>
  <c r="N4186" i="1" s="1"/>
  <c r="J4186" i="1"/>
  <c r="M4186" i="1" s="1"/>
  <c r="G4186" i="1"/>
  <c r="H4187" i="1" s="1"/>
  <c r="F4186" i="1"/>
  <c r="D4186" i="1"/>
  <c r="L4186" i="1" s="1"/>
  <c r="K4185" i="1"/>
  <c r="N4185" i="1" s="1"/>
  <c r="J4185" i="1"/>
  <c r="M4185" i="1" s="1"/>
  <c r="G4185" i="1"/>
  <c r="H4186" i="1" s="1"/>
  <c r="F4185" i="1"/>
  <c r="D4185" i="1"/>
  <c r="L4185" i="1" s="1"/>
  <c r="K4184" i="1"/>
  <c r="N4184" i="1" s="1"/>
  <c r="J4184" i="1"/>
  <c r="M4184" i="1" s="1"/>
  <c r="G4184" i="1"/>
  <c r="H4185" i="1" s="1"/>
  <c r="F4184" i="1"/>
  <c r="D4184" i="1"/>
  <c r="L4184" i="1" s="1"/>
  <c r="K4183" i="1"/>
  <c r="N4183" i="1" s="1"/>
  <c r="J4183" i="1"/>
  <c r="M4183" i="1" s="1"/>
  <c r="G4183" i="1"/>
  <c r="H4184" i="1" s="1"/>
  <c r="F4183" i="1"/>
  <c r="D4183" i="1"/>
  <c r="L4183" i="1" s="1"/>
  <c r="K4182" i="1"/>
  <c r="N4182" i="1" s="1"/>
  <c r="J4182" i="1"/>
  <c r="M4182" i="1" s="1"/>
  <c r="G4182" i="1"/>
  <c r="H4183" i="1" s="1"/>
  <c r="F4182" i="1"/>
  <c r="D4182" i="1"/>
  <c r="L4182" i="1" s="1"/>
  <c r="K4181" i="1"/>
  <c r="N4181" i="1" s="1"/>
  <c r="J4181" i="1"/>
  <c r="M4181" i="1" s="1"/>
  <c r="G4181" i="1"/>
  <c r="H4182" i="1" s="1"/>
  <c r="F4181" i="1"/>
  <c r="D4181" i="1"/>
  <c r="L4181" i="1" s="1"/>
  <c r="K4180" i="1"/>
  <c r="N4180" i="1" s="1"/>
  <c r="J4180" i="1"/>
  <c r="M4180" i="1" s="1"/>
  <c r="G4180" i="1"/>
  <c r="H4181" i="1" s="1"/>
  <c r="F4180" i="1"/>
  <c r="D4180" i="1"/>
  <c r="L4180" i="1" s="1"/>
  <c r="K4179" i="1"/>
  <c r="N4179" i="1" s="1"/>
  <c r="J4179" i="1"/>
  <c r="M4179" i="1" s="1"/>
  <c r="G4179" i="1"/>
  <c r="H4180" i="1" s="1"/>
  <c r="F4179" i="1"/>
  <c r="D4179" i="1"/>
  <c r="L4179" i="1" s="1"/>
  <c r="K4178" i="1"/>
  <c r="N4178" i="1" s="1"/>
  <c r="J4178" i="1"/>
  <c r="M4178" i="1" s="1"/>
  <c r="G4178" i="1"/>
  <c r="H4179" i="1" s="1"/>
  <c r="F4178" i="1"/>
  <c r="D4178" i="1"/>
  <c r="L4178" i="1" s="1"/>
  <c r="K4177" i="1"/>
  <c r="N4177" i="1" s="1"/>
  <c r="J4177" i="1"/>
  <c r="M4177" i="1" s="1"/>
  <c r="G4177" i="1"/>
  <c r="H4178" i="1" s="1"/>
  <c r="F4177" i="1"/>
  <c r="D4177" i="1"/>
  <c r="L4177" i="1" s="1"/>
  <c r="K4176" i="1"/>
  <c r="N4176" i="1" s="1"/>
  <c r="J4176" i="1"/>
  <c r="M4176" i="1" s="1"/>
  <c r="G4176" i="1"/>
  <c r="H4177" i="1" s="1"/>
  <c r="F4176" i="1"/>
  <c r="D4176" i="1"/>
  <c r="L4176" i="1" s="1"/>
  <c r="K4175" i="1"/>
  <c r="N4175" i="1" s="1"/>
  <c r="J4175" i="1"/>
  <c r="M4175" i="1" s="1"/>
  <c r="G4175" i="1"/>
  <c r="H4176" i="1" s="1"/>
  <c r="F4175" i="1"/>
  <c r="D4175" i="1"/>
  <c r="L4175" i="1" s="1"/>
  <c r="K4174" i="1"/>
  <c r="N4174" i="1" s="1"/>
  <c r="J4174" i="1"/>
  <c r="M4174" i="1" s="1"/>
  <c r="G4174" i="1"/>
  <c r="H4175" i="1" s="1"/>
  <c r="F4174" i="1"/>
  <c r="D4174" i="1"/>
  <c r="L4174" i="1" s="1"/>
  <c r="K4173" i="1"/>
  <c r="N4173" i="1" s="1"/>
  <c r="J4173" i="1"/>
  <c r="M4173" i="1" s="1"/>
  <c r="G4173" i="1"/>
  <c r="H4174" i="1" s="1"/>
  <c r="F4173" i="1"/>
  <c r="D4173" i="1"/>
  <c r="L4173" i="1" s="1"/>
  <c r="K4172" i="1"/>
  <c r="N4172" i="1" s="1"/>
  <c r="J4172" i="1"/>
  <c r="M4172" i="1" s="1"/>
  <c r="G4172" i="1"/>
  <c r="H4173" i="1" s="1"/>
  <c r="F4172" i="1"/>
  <c r="D4172" i="1"/>
  <c r="L4172" i="1" s="1"/>
  <c r="K4171" i="1"/>
  <c r="N4171" i="1" s="1"/>
  <c r="J4171" i="1"/>
  <c r="M4171" i="1" s="1"/>
  <c r="G4171" i="1"/>
  <c r="H4172" i="1" s="1"/>
  <c r="F4171" i="1"/>
  <c r="D4171" i="1"/>
  <c r="L4171" i="1" s="1"/>
  <c r="K4170" i="1"/>
  <c r="N4170" i="1" s="1"/>
  <c r="J4170" i="1"/>
  <c r="M4170" i="1" s="1"/>
  <c r="G4170" i="1"/>
  <c r="H4171" i="1" s="1"/>
  <c r="F4170" i="1"/>
  <c r="D4170" i="1"/>
  <c r="L4170" i="1" s="1"/>
  <c r="K4169" i="1"/>
  <c r="N4169" i="1" s="1"/>
  <c r="J4169" i="1"/>
  <c r="M4169" i="1" s="1"/>
  <c r="G4169" i="1"/>
  <c r="H4170" i="1" s="1"/>
  <c r="F4169" i="1"/>
  <c r="D4169" i="1"/>
  <c r="L4169" i="1" s="1"/>
  <c r="K4168" i="1"/>
  <c r="N4168" i="1" s="1"/>
  <c r="J4168" i="1"/>
  <c r="M4168" i="1" s="1"/>
  <c r="G4168" i="1"/>
  <c r="H4169" i="1" s="1"/>
  <c r="F4168" i="1"/>
  <c r="D4168" i="1"/>
  <c r="L4168" i="1" s="1"/>
  <c r="K4167" i="1"/>
  <c r="N4167" i="1" s="1"/>
  <c r="J4167" i="1"/>
  <c r="M4167" i="1" s="1"/>
  <c r="G4167" i="1"/>
  <c r="H4168" i="1" s="1"/>
  <c r="F4167" i="1"/>
  <c r="D4167" i="1"/>
  <c r="L4167" i="1" s="1"/>
  <c r="K4166" i="1"/>
  <c r="N4166" i="1" s="1"/>
  <c r="J4166" i="1"/>
  <c r="M4166" i="1" s="1"/>
  <c r="G4166" i="1"/>
  <c r="H4167" i="1" s="1"/>
  <c r="F4166" i="1"/>
  <c r="D4166" i="1"/>
  <c r="L4166" i="1" s="1"/>
  <c r="K4165" i="1"/>
  <c r="N4165" i="1" s="1"/>
  <c r="J4165" i="1"/>
  <c r="M4165" i="1" s="1"/>
  <c r="G4165" i="1"/>
  <c r="H4166" i="1" s="1"/>
  <c r="F4165" i="1"/>
  <c r="D4165" i="1"/>
  <c r="L4165" i="1" s="1"/>
  <c r="K4164" i="1"/>
  <c r="N4164" i="1" s="1"/>
  <c r="J4164" i="1"/>
  <c r="M4164" i="1" s="1"/>
  <c r="G4164" i="1"/>
  <c r="H4165" i="1" s="1"/>
  <c r="F4164" i="1"/>
  <c r="D4164" i="1"/>
  <c r="L4164" i="1" s="1"/>
  <c r="K4163" i="1"/>
  <c r="N4163" i="1" s="1"/>
  <c r="J4163" i="1"/>
  <c r="M4163" i="1" s="1"/>
  <c r="G4163" i="1"/>
  <c r="H4164" i="1" s="1"/>
  <c r="F4163" i="1"/>
  <c r="D4163" i="1"/>
  <c r="L4163" i="1" s="1"/>
  <c r="K4162" i="1"/>
  <c r="N4162" i="1" s="1"/>
  <c r="J4162" i="1"/>
  <c r="M4162" i="1" s="1"/>
  <c r="G4162" i="1"/>
  <c r="H4163" i="1" s="1"/>
  <c r="F4162" i="1"/>
  <c r="D4162" i="1"/>
  <c r="L4162" i="1" s="1"/>
  <c r="K4161" i="1"/>
  <c r="N4161" i="1" s="1"/>
  <c r="J4161" i="1"/>
  <c r="M4161" i="1" s="1"/>
  <c r="G4161" i="1"/>
  <c r="H4162" i="1" s="1"/>
  <c r="F4161" i="1"/>
  <c r="D4161" i="1"/>
  <c r="L4161" i="1" s="1"/>
  <c r="K4160" i="1"/>
  <c r="N4160" i="1" s="1"/>
  <c r="J4160" i="1"/>
  <c r="M4160" i="1" s="1"/>
  <c r="G4160" i="1"/>
  <c r="H4161" i="1" s="1"/>
  <c r="F4160" i="1"/>
  <c r="D4160" i="1"/>
  <c r="L4160" i="1" s="1"/>
  <c r="K4159" i="1"/>
  <c r="N4159" i="1" s="1"/>
  <c r="J4159" i="1"/>
  <c r="M4159" i="1" s="1"/>
  <c r="G4159" i="1"/>
  <c r="H4160" i="1" s="1"/>
  <c r="F4159" i="1"/>
  <c r="D4159" i="1"/>
  <c r="L4159" i="1" s="1"/>
  <c r="K4158" i="1"/>
  <c r="N4158" i="1" s="1"/>
  <c r="J4158" i="1"/>
  <c r="M4158" i="1" s="1"/>
  <c r="G4158" i="1"/>
  <c r="H4159" i="1" s="1"/>
  <c r="F4158" i="1"/>
  <c r="D4158" i="1"/>
  <c r="L4158" i="1" s="1"/>
  <c r="K4157" i="1"/>
  <c r="N4157" i="1" s="1"/>
  <c r="J4157" i="1"/>
  <c r="M4157" i="1" s="1"/>
  <c r="G4157" i="1"/>
  <c r="H4158" i="1" s="1"/>
  <c r="F4157" i="1"/>
  <c r="D4157" i="1"/>
  <c r="L4157" i="1" s="1"/>
  <c r="K4156" i="1"/>
  <c r="N4156" i="1" s="1"/>
  <c r="J4156" i="1"/>
  <c r="M4156" i="1" s="1"/>
  <c r="G4156" i="1"/>
  <c r="H4157" i="1" s="1"/>
  <c r="F4156" i="1"/>
  <c r="D4156" i="1"/>
  <c r="L4156" i="1" s="1"/>
  <c r="K4155" i="1"/>
  <c r="N4155" i="1" s="1"/>
  <c r="J4155" i="1"/>
  <c r="M4155" i="1" s="1"/>
  <c r="G4155" i="1"/>
  <c r="H4156" i="1" s="1"/>
  <c r="F4155" i="1"/>
  <c r="D4155" i="1"/>
  <c r="L4155" i="1" s="1"/>
  <c r="K4154" i="1"/>
  <c r="N4154" i="1" s="1"/>
  <c r="J4154" i="1"/>
  <c r="M4154" i="1" s="1"/>
  <c r="G4154" i="1"/>
  <c r="H4155" i="1" s="1"/>
  <c r="F4154" i="1"/>
  <c r="D4154" i="1"/>
  <c r="L4154" i="1" s="1"/>
  <c r="K4153" i="1"/>
  <c r="N4153" i="1" s="1"/>
  <c r="J4153" i="1"/>
  <c r="M4153" i="1" s="1"/>
  <c r="G4153" i="1"/>
  <c r="H4154" i="1" s="1"/>
  <c r="F4153" i="1"/>
  <c r="D4153" i="1"/>
  <c r="L4153" i="1" s="1"/>
  <c r="K4152" i="1"/>
  <c r="N4152" i="1" s="1"/>
  <c r="J4152" i="1"/>
  <c r="M4152" i="1" s="1"/>
  <c r="G4152" i="1"/>
  <c r="H4153" i="1" s="1"/>
  <c r="F4152" i="1"/>
  <c r="D4152" i="1"/>
  <c r="L4152" i="1" s="1"/>
  <c r="K4151" i="1"/>
  <c r="N4151" i="1" s="1"/>
  <c r="J4151" i="1"/>
  <c r="M4151" i="1" s="1"/>
  <c r="G4151" i="1"/>
  <c r="H4152" i="1" s="1"/>
  <c r="F4151" i="1"/>
  <c r="D4151" i="1"/>
  <c r="L4151" i="1" s="1"/>
  <c r="K4150" i="1"/>
  <c r="N4150" i="1" s="1"/>
  <c r="J4150" i="1"/>
  <c r="M4150" i="1" s="1"/>
  <c r="G4150" i="1"/>
  <c r="H4151" i="1" s="1"/>
  <c r="F4150" i="1"/>
  <c r="D4150" i="1"/>
  <c r="L4150" i="1" s="1"/>
  <c r="K4149" i="1"/>
  <c r="N4149" i="1" s="1"/>
  <c r="J4149" i="1"/>
  <c r="M4149" i="1" s="1"/>
  <c r="G4149" i="1"/>
  <c r="H4150" i="1" s="1"/>
  <c r="F4149" i="1"/>
  <c r="D4149" i="1"/>
  <c r="L4149" i="1" s="1"/>
  <c r="K4148" i="1"/>
  <c r="N4148" i="1" s="1"/>
  <c r="J4148" i="1"/>
  <c r="M4148" i="1" s="1"/>
  <c r="G4148" i="1"/>
  <c r="H4149" i="1" s="1"/>
  <c r="F4148" i="1"/>
  <c r="D4148" i="1"/>
  <c r="L4148" i="1" s="1"/>
  <c r="K4147" i="1"/>
  <c r="N4147" i="1" s="1"/>
  <c r="J4147" i="1"/>
  <c r="M4147" i="1" s="1"/>
  <c r="G4147" i="1"/>
  <c r="H4148" i="1" s="1"/>
  <c r="F4147" i="1"/>
  <c r="D4147" i="1"/>
  <c r="L4147" i="1" s="1"/>
  <c r="K4146" i="1"/>
  <c r="N4146" i="1" s="1"/>
  <c r="J4146" i="1"/>
  <c r="M4146" i="1" s="1"/>
  <c r="G4146" i="1"/>
  <c r="H4147" i="1" s="1"/>
  <c r="F4146" i="1"/>
  <c r="D4146" i="1"/>
  <c r="L4146" i="1" s="1"/>
  <c r="K4145" i="1"/>
  <c r="N4145" i="1" s="1"/>
  <c r="J4145" i="1"/>
  <c r="M4145" i="1" s="1"/>
  <c r="G4145" i="1"/>
  <c r="H4146" i="1" s="1"/>
  <c r="F4145" i="1"/>
  <c r="D4145" i="1"/>
  <c r="L4145" i="1" s="1"/>
  <c r="K4144" i="1"/>
  <c r="N4144" i="1" s="1"/>
  <c r="J4144" i="1"/>
  <c r="M4144" i="1" s="1"/>
  <c r="G4144" i="1"/>
  <c r="H4145" i="1" s="1"/>
  <c r="F4144" i="1"/>
  <c r="D4144" i="1"/>
  <c r="L4144" i="1" s="1"/>
  <c r="K4143" i="1"/>
  <c r="N4143" i="1" s="1"/>
  <c r="J4143" i="1"/>
  <c r="M4143" i="1" s="1"/>
  <c r="G4143" i="1"/>
  <c r="H4144" i="1" s="1"/>
  <c r="F4143" i="1"/>
  <c r="D4143" i="1"/>
  <c r="L4143" i="1" s="1"/>
  <c r="K4142" i="1"/>
  <c r="N4142" i="1" s="1"/>
  <c r="J4142" i="1"/>
  <c r="M4142" i="1" s="1"/>
  <c r="G4142" i="1"/>
  <c r="H4143" i="1" s="1"/>
  <c r="F4142" i="1"/>
  <c r="D4142" i="1"/>
  <c r="L4142" i="1" s="1"/>
  <c r="K4141" i="1"/>
  <c r="N4141" i="1" s="1"/>
  <c r="J4141" i="1"/>
  <c r="M4141" i="1" s="1"/>
  <c r="G4141" i="1"/>
  <c r="H4142" i="1" s="1"/>
  <c r="F4141" i="1"/>
  <c r="D4141" i="1"/>
  <c r="L4141" i="1" s="1"/>
  <c r="K4140" i="1"/>
  <c r="N4140" i="1" s="1"/>
  <c r="J4140" i="1"/>
  <c r="M4140" i="1" s="1"/>
  <c r="G4140" i="1"/>
  <c r="H4141" i="1" s="1"/>
  <c r="F4140" i="1"/>
  <c r="D4140" i="1"/>
  <c r="L4140" i="1" s="1"/>
  <c r="K4139" i="1"/>
  <c r="N4139" i="1" s="1"/>
  <c r="J4139" i="1"/>
  <c r="M4139" i="1" s="1"/>
  <c r="G4139" i="1"/>
  <c r="H4140" i="1" s="1"/>
  <c r="F4139" i="1"/>
  <c r="D4139" i="1"/>
  <c r="L4139" i="1" s="1"/>
  <c r="K4138" i="1"/>
  <c r="N4138" i="1" s="1"/>
  <c r="J4138" i="1"/>
  <c r="M4138" i="1" s="1"/>
  <c r="G4138" i="1"/>
  <c r="H4139" i="1" s="1"/>
  <c r="F4138" i="1"/>
  <c r="D4138" i="1"/>
  <c r="L4138" i="1" s="1"/>
  <c r="K4137" i="1"/>
  <c r="N4137" i="1" s="1"/>
  <c r="J4137" i="1"/>
  <c r="M4137" i="1" s="1"/>
  <c r="G4137" i="1"/>
  <c r="H4138" i="1" s="1"/>
  <c r="F4137" i="1"/>
  <c r="D4137" i="1"/>
  <c r="L4137" i="1" s="1"/>
  <c r="K4136" i="1"/>
  <c r="N4136" i="1" s="1"/>
  <c r="J4136" i="1"/>
  <c r="M4136" i="1" s="1"/>
  <c r="G4136" i="1"/>
  <c r="H4137" i="1" s="1"/>
  <c r="F4136" i="1"/>
  <c r="D4136" i="1"/>
  <c r="L4136" i="1" s="1"/>
  <c r="K4135" i="1"/>
  <c r="N4135" i="1" s="1"/>
  <c r="J4135" i="1"/>
  <c r="M4135" i="1" s="1"/>
  <c r="G4135" i="1"/>
  <c r="H4136" i="1" s="1"/>
  <c r="F4135" i="1"/>
  <c r="D4135" i="1"/>
  <c r="L4135" i="1" s="1"/>
  <c r="K4134" i="1"/>
  <c r="N4134" i="1" s="1"/>
  <c r="J4134" i="1"/>
  <c r="M4134" i="1" s="1"/>
  <c r="G4134" i="1"/>
  <c r="H4135" i="1" s="1"/>
  <c r="F4134" i="1"/>
  <c r="D4134" i="1"/>
  <c r="L4134" i="1" s="1"/>
  <c r="K4133" i="1"/>
  <c r="N4133" i="1" s="1"/>
  <c r="J4133" i="1"/>
  <c r="M4133" i="1" s="1"/>
  <c r="G4133" i="1"/>
  <c r="H4134" i="1" s="1"/>
  <c r="F4133" i="1"/>
  <c r="D4133" i="1"/>
  <c r="L4133" i="1" s="1"/>
  <c r="K4132" i="1"/>
  <c r="N4132" i="1" s="1"/>
  <c r="J4132" i="1"/>
  <c r="M4132" i="1" s="1"/>
  <c r="G4132" i="1"/>
  <c r="H4133" i="1" s="1"/>
  <c r="F4132" i="1"/>
  <c r="D4132" i="1"/>
  <c r="L4132" i="1" s="1"/>
  <c r="K4131" i="1"/>
  <c r="N4131" i="1" s="1"/>
  <c r="J4131" i="1"/>
  <c r="M4131" i="1" s="1"/>
  <c r="G4131" i="1"/>
  <c r="H4132" i="1" s="1"/>
  <c r="F4131" i="1"/>
  <c r="D4131" i="1"/>
  <c r="L4131" i="1" s="1"/>
  <c r="K4130" i="1"/>
  <c r="N4130" i="1" s="1"/>
  <c r="J4130" i="1"/>
  <c r="M4130" i="1" s="1"/>
  <c r="G4130" i="1"/>
  <c r="H4131" i="1" s="1"/>
  <c r="F4130" i="1"/>
  <c r="D4130" i="1"/>
  <c r="L4130" i="1" s="1"/>
  <c r="K4129" i="1"/>
  <c r="N4129" i="1" s="1"/>
  <c r="J4129" i="1"/>
  <c r="M4129" i="1" s="1"/>
  <c r="G4129" i="1"/>
  <c r="H4130" i="1" s="1"/>
  <c r="F4129" i="1"/>
  <c r="D4129" i="1"/>
  <c r="L4129" i="1" s="1"/>
  <c r="K4128" i="1"/>
  <c r="N4128" i="1" s="1"/>
  <c r="J4128" i="1"/>
  <c r="M4128" i="1" s="1"/>
  <c r="G4128" i="1"/>
  <c r="H4129" i="1" s="1"/>
  <c r="F4128" i="1"/>
  <c r="D4128" i="1"/>
  <c r="L4128" i="1" s="1"/>
  <c r="K4127" i="1"/>
  <c r="N4127" i="1" s="1"/>
  <c r="J4127" i="1"/>
  <c r="M4127" i="1" s="1"/>
  <c r="G4127" i="1"/>
  <c r="H4128" i="1" s="1"/>
  <c r="F4127" i="1"/>
  <c r="D4127" i="1"/>
  <c r="L4127" i="1" s="1"/>
  <c r="K4126" i="1"/>
  <c r="N4126" i="1" s="1"/>
  <c r="J4126" i="1"/>
  <c r="M4126" i="1" s="1"/>
  <c r="G4126" i="1"/>
  <c r="H4127" i="1" s="1"/>
  <c r="F4126" i="1"/>
  <c r="D4126" i="1"/>
  <c r="L4126" i="1" s="1"/>
  <c r="K4125" i="1"/>
  <c r="N4125" i="1" s="1"/>
  <c r="J4125" i="1"/>
  <c r="M4125" i="1" s="1"/>
  <c r="G4125" i="1"/>
  <c r="H4126" i="1" s="1"/>
  <c r="F4125" i="1"/>
  <c r="D4125" i="1"/>
  <c r="L4125" i="1" s="1"/>
  <c r="K4124" i="1"/>
  <c r="N4124" i="1" s="1"/>
  <c r="J4124" i="1"/>
  <c r="M4124" i="1" s="1"/>
  <c r="G4124" i="1"/>
  <c r="H4125" i="1" s="1"/>
  <c r="F4124" i="1"/>
  <c r="D4124" i="1"/>
  <c r="L4124" i="1" s="1"/>
  <c r="K4123" i="1"/>
  <c r="N4123" i="1" s="1"/>
  <c r="J4123" i="1"/>
  <c r="M4123" i="1" s="1"/>
  <c r="G4123" i="1"/>
  <c r="H4124" i="1" s="1"/>
  <c r="F4123" i="1"/>
  <c r="D4123" i="1"/>
  <c r="L4123" i="1" s="1"/>
  <c r="K4122" i="1"/>
  <c r="N4122" i="1" s="1"/>
  <c r="J4122" i="1"/>
  <c r="M4122" i="1" s="1"/>
  <c r="G4122" i="1"/>
  <c r="H4123" i="1" s="1"/>
  <c r="F4122" i="1"/>
  <c r="D4122" i="1"/>
  <c r="L4122" i="1" s="1"/>
  <c r="K4121" i="1"/>
  <c r="N4121" i="1" s="1"/>
  <c r="J4121" i="1"/>
  <c r="M4121" i="1" s="1"/>
  <c r="G4121" i="1"/>
  <c r="H4122" i="1" s="1"/>
  <c r="F4121" i="1"/>
  <c r="D4121" i="1"/>
  <c r="L4121" i="1" s="1"/>
  <c r="K4120" i="1"/>
  <c r="N4120" i="1" s="1"/>
  <c r="J4120" i="1"/>
  <c r="M4120" i="1" s="1"/>
  <c r="G4120" i="1"/>
  <c r="H4121" i="1" s="1"/>
  <c r="F4120" i="1"/>
  <c r="D4120" i="1"/>
  <c r="L4120" i="1" s="1"/>
  <c r="K4119" i="1"/>
  <c r="N4119" i="1" s="1"/>
  <c r="J4119" i="1"/>
  <c r="M4119" i="1" s="1"/>
  <c r="G4119" i="1"/>
  <c r="H4120" i="1" s="1"/>
  <c r="F4119" i="1"/>
  <c r="D4119" i="1"/>
  <c r="L4119" i="1" s="1"/>
  <c r="K4118" i="1"/>
  <c r="N4118" i="1" s="1"/>
  <c r="J4118" i="1"/>
  <c r="M4118" i="1" s="1"/>
  <c r="G4118" i="1"/>
  <c r="H4119" i="1" s="1"/>
  <c r="F4118" i="1"/>
  <c r="D4118" i="1"/>
  <c r="L4118" i="1" s="1"/>
  <c r="K4117" i="1"/>
  <c r="N4117" i="1" s="1"/>
  <c r="J4117" i="1"/>
  <c r="M4117" i="1" s="1"/>
  <c r="G4117" i="1"/>
  <c r="H4118" i="1" s="1"/>
  <c r="F4117" i="1"/>
  <c r="D4117" i="1"/>
  <c r="L4117" i="1" s="1"/>
  <c r="K4116" i="1"/>
  <c r="N4116" i="1" s="1"/>
  <c r="J4116" i="1"/>
  <c r="M4116" i="1" s="1"/>
  <c r="G4116" i="1"/>
  <c r="H4117" i="1" s="1"/>
  <c r="F4116" i="1"/>
  <c r="D4116" i="1"/>
  <c r="L4116" i="1" s="1"/>
  <c r="K4115" i="1"/>
  <c r="N4115" i="1" s="1"/>
  <c r="J4115" i="1"/>
  <c r="M4115" i="1" s="1"/>
  <c r="G4115" i="1"/>
  <c r="H4116" i="1" s="1"/>
  <c r="F4115" i="1"/>
  <c r="D4115" i="1"/>
  <c r="L4115" i="1" s="1"/>
  <c r="K4114" i="1"/>
  <c r="N4114" i="1" s="1"/>
  <c r="J4114" i="1"/>
  <c r="M4114" i="1" s="1"/>
  <c r="G4114" i="1"/>
  <c r="H4115" i="1" s="1"/>
  <c r="F4114" i="1"/>
  <c r="D4114" i="1"/>
  <c r="L4114" i="1" s="1"/>
  <c r="K4113" i="1"/>
  <c r="N4113" i="1" s="1"/>
  <c r="J4113" i="1"/>
  <c r="M4113" i="1" s="1"/>
  <c r="G4113" i="1"/>
  <c r="H4114" i="1" s="1"/>
  <c r="F4113" i="1"/>
  <c r="D4113" i="1"/>
  <c r="L4113" i="1" s="1"/>
  <c r="K4112" i="1"/>
  <c r="N4112" i="1" s="1"/>
  <c r="J4112" i="1"/>
  <c r="M4112" i="1" s="1"/>
  <c r="G4112" i="1"/>
  <c r="H4113" i="1" s="1"/>
  <c r="F4112" i="1"/>
  <c r="D4112" i="1"/>
  <c r="L4112" i="1" s="1"/>
  <c r="K4111" i="1"/>
  <c r="N4111" i="1" s="1"/>
  <c r="J4111" i="1"/>
  <c r="M4111" i="1" s="1"/>
  <c r="G4111" i="1"/>
  <c r="H4112" i="1" s="1"/>
  <c r="F4111" i="1"/>
  <c r="D4111" i="1"/>
  <c r="L4111" i="1" s="1"/>
  <c r="K4110" i="1"/>
  <c r="N4110" i="1" s="1"/>
  <c r="J4110" i="1"/>
  <c r="M4110" i="1" s="1"/>
  <c r="G4110" i="1"/>
  <c r="H4111" i="1" s="1"/>
  <c r="F4110" i="1"/>
  <c r="D4110" i="1"/>
  <c r="L4110" i="1" s="1"/>
  <c r="K4109" i="1"/>
  <c r="N4109" i="1" s="1"/>
  <c r="J4109" i="1"/>
  <c r="M4109" i="1" s="1"/>
  <c r="G4109" i="1"/>
  <c r="H4110" i="1" s="1"/>
  <c r="F4109" i="1"/>
  <c r="D4109" i="1"/>
  <c r="L4109" i="1" s="1"/>
  <c r="K4108" i="1"/>
  <c r="N4108" i="1" s="1"/>
  <c r="J4108" i="1"/>
  <c r="M4108" i="1" s="1"/>
  <c r="G4108" i="1"/>
  <c r="H4109" i="1" s="1"/>
  <c r="F4108" i="1"/>
  <c r="D4108" i="1"/>
  <c r="L4108" i="1" s="1"/>
  <c r="K4107" i="1"/>
  <c r="N4107" i="1" s="1"/>
  <c r="J4107" i="1"/>
  <c r="M4107" i="1" s="1"/>
  <c r="G4107" i="1"/>
  <c r="H4108" i="1" s="1"/>
  <c r="F4107" i="1"/>
  <c r="D4107" i="1"/>
  <c r="L4107" i="1" s="1"/>
  <c r="K4106" i="1"/>
  <c r="N4106" i="1" s="1"/>
  <c r="J4106" i="1"/>
  <c r="M4106" i="1" s="1"/>
  <c r="G4106" i="1"/>
  <c r="H4107" i="1" s="1"/>
  <c r="F4106" i="1"/>
  <c r="D4106" i="1"/>
  <c r="L4106" i="1" s="1"/>
  <c r="K4105" i="1"/>
  <c r="N4105" i="1" s="1"/>
  <c r="J4105" i="1"/>
  <c r="M4105" i="1" s="1"/>
  <c r="G4105" i="1"/>
  <c r="H4106" i="1" s="1"/>
  <c r="F4105" i="1"/>
  <c r="D4105" i="1"/>
  <c r="L4105" i="1" s="1"/>
  <c r="K4104" i="1"/>
  <c r="N4104" i="1" s="1"/>
  <c r="J4104" i="1"/>
  <c r="M4104" i="1" s="1"/>
  <c r="G4104" i="1"/>
  <c r="H4105" i="1" s="1"/>
  <c r="F4104" i="1"/>
  <c r="D4104" i="1"/>
  <c r="L4104" i="1" s="1"/>
  <c r="K4103" i="1"/>
  <c r="N4103" i="1" s="1"/>
  <c r="J4103" i="1"/>
  <c r="M4103" i="1" s="1"/>
  <c r="G4103" i="1"/>
  <c r="H4104" i="1" s="1"/>
  <c r="F4103" i="1"/>
  <c r="D4103" i="1"/>
  <c r="L4103" i="1" s="1"/>
  <c r="K4102" i="1"/>
  <c r="N4102" i="1" s="1"/>
  <c r="J4102" i="1"/>
  <c r="M4102" i="1" s="1"/>
  <c r="G4102" i="1"/>
  <c r="H4103" i="1" s="1"/>
  <c r="F4102" i="1"/>
  <c r="D4102" i="1"/>
  <c r="L4102" i="1" s="1"/>
  <c r="K4101" i="1"/>
  <c r="N4101" i="1" s="1"/>
  <c r="J4101" i="1"/>
  <c r="M4101" i="1" s="1"/>
  <c r="G4101" i="1"/>
  <c r="H4102" i="1" s="1"/>
  <c r="F4101" i="1"/>
  <c r="D4101" i="1"/>
  <c r="L4101" i="1" s="1"/>
  <c r="K4100" i="1"/>
  <c r="N4100" i="1" s="1"/>
  <c r="J4100" i="1"/>
  <c r="M4100" i="1" s="1"/>
  <c r="G4100" i="1"/>
  <c r="H4101" i="1" s="1"/>
  <c r="F4100" i="1"/>
  <c r="D4100" i="1"/>
  <c r="L4100" i="1" s="1"/>
  <c r="K4099" i="1"/>
  <c r="N4099" i="1" s="1"/>
  <c r="J4099" i="1"/>
  <c r="M4099" i="1" s="1"/>
  <c r="G4099" i="1"/>
  <c r="H4100" i="1" s="1"/>
  <c r="F4099" i="1"/>
  <c r="D4099" i="1"/>
  <c r="L4099" i="1" s="1"/>
  <c r="K4098" i="1"/>
  <c r="N4098" i="1" s="1"/>
  <c r="J4098" i="1"/>
  <c r="M4098" i="1" s="1"/>
  <c r="G4098" i="1"/>
  <c r="H4099" i="1" s="1"/>
  <c r="F4098" i="1"/>
  <c r="D4098" i="1"/>
  <c r="L4098" i="1" s="1"/>
  <c r="K4097" i="1"/>
  <c r="N4097" i="1" s="1"/>
  <c r="J4097" i="1"/>
  <c r="M4097" i="1" s="1"/>
  <c r="G4097" i="1"/>
  <c r="H4098" i="1" s="1"/>
  <c r="F4097" i="1"/>
  <c r="D4097" i="1"/>
  <c r="L4097" i="1" s="1"/>
  <c r="K4096" i="1"/>
  <c r="N4096" i="1" s="1"/>
  <c r="J4096" i="1"/>
  <c r="M4096" i="1" s="1"/>
  <c r="G4096" i="1"/>
  <c r="H4097" i="1" s="1"/>
  <c r="F4096" i="1"/>
  <c r="D4096" i="1"/>
  <c r="L4096" i="1" s="1"/>
  <c r="K4095" i="1"/>
  <c r="N4095" i="1" s="1"/>
  <c r="J4095" i="1"/>
  <c r="M4095" i="1" s="1"/>
  <c r="G4095" i="1"/>
  <c r="H4096" i="1" s="1"/>
  <c r="F4095" i="1"/>
  <c r="D4095" i="1"/>
  <c r="L4095" i="1" s="1"/>
  <c r="K4094" i="1"/>
  <c r="N4094" i="1" s="1"/>
  <c r="J4094" i="1"/>
  <c r="M4094" i="1" s="1"/>
  <c r="G4094" i="1"/>
  <c r="H4095" i="1" s="1"/>
  <c r="F4094" i="1"/>
  <c r="D4094" i="1"/>
  <c r="L4094" i="1" s="1"/>
  <c r="K4093" i="1"/>
  <c r="N4093" i="1" s="1"/>
  <c r="J4093" i="1"/>
  <c r="M4093" i="1" s="1"/>
  <c r="G4093" i="1"/>
  <c r="H4094" i="1" s="1"/>
  <c r="F4093" i="1"/>
  <c r="D4093" i="1"/>
  <c r="L4093" i="1" s="1"/>
  <c r="K4092" i="1"/>
  <c r="N4092" i="1" s="1"/>
  <c r="J4092" i="1"/>
  <c r="M4092" i="1" s="1"/>
  <c r="G4092" i="1"/>
  <c r="H4093" i="1" s="1"/>
  <c r="F4092" i="1"/>
  <c r="D4092" i="1"/>
  <c r="L4092" i="1" s="1"/>
  <c r="K4091" i="1"/>
  <c r="N4091" i="1" s="1"/>
  <c r="J4091" i="1"/>
  <c r="M4091" i="1" s="1"/>
  <c r="G4091" i="1"/>
  <c r="H4092" i="1" s="1"/>
  <c r="F4091" i="1"/>
  <c r="D4091" i="1"/>
  <c r="L4091" i="1" s="1"/>
  <c r="K4090" i="1"/>
  <c r="N4090" i="1" s="1"/>
  <c r="J4090" i="1"/>
  <c r="M4090" i="1" s="1"/>
  <c r="G4090" i="1"/>
  <c r="H4091" i="1" s="1"/>
  <c r="F4090" i="1"/>
  <c r="D4090" i="1"/>
  <c r="L4090" i="1" s="1"/>
  <c r="K4089" i="1"/>
  <c r="N4089" i="1" s="1"/>
  <c r="J4089" i="1"/>
  <c r="M4089" i="1" s="1"/>
  <c r="G4089" i="1"/>
  <c r="H4090" i="1" s="1"/>
  <c r="F4089" i="1"/>
  <c r="D4089" i="1"/>
  <c r="L4089" i="1" s="1"/>
  <c r="K4088" i="1"/>
  <c r="N4088" i="1" s="1"/>
  <c r="J4088" i="1"/>
  <c r="M4088" i="1" s="1"/>
  <c r="G4088" i="1"/>
  <c r="H4089" i="1" s="1"/>
  <c r="F4088" i="1"/>
  <c r="D4088" i="1"/>
  <c r="L4088" i="1" s="1"/>
  <c r="K4087" i="1"/>
  <c r="N4087" i="1" s="1"/>
  <c r="J4087" i="1"/>
  <c r="M4087" i="1" s="1"/>
  <c r="G4087" i="1"/>
  <c r="H4088" i="1" s="1"/>
  <c r="F4087" i="1"/>
  <c r="D4087" i="1"/>
  <c r="L4087" i="1" s="1"/>
  <c r="K4086" i="1"/>
  <c r="N4086" i="1" s="1"/>
  <c r="J4086" i="1"/>
  <c r="M4086" i="1" s="1"/>
  <c r="G4086" i="1"/>
  <c r="H4087" i="1" s="1"/>
  <c r="F4086" i="1"/>
  <c r="D4086" i="1"/>
  <c r="L4086" i="1" s="1"/>
  <c r="K4085" i="1"/>
  <c r="N4085" i="1" s="1"/>
  <c r="J4085" i="1"/>
  <c r="M4085" i="1" s="1"/>
  <c r="G4085" i="1"/>
  <c r="H4086" i="1" s="1"/>
  <c r="F4085" i="1"/>
  <c r="D4085" i="1"/>
  <c r="L4085" i="1" s="1"/>
  <c r="K4084" i="1"/>
  <c r="N4084" i="1" s="1"/>
  <c r="J4084" i="1"/>
  <c r="M4084" i="1" s="1"/>
  <c r="G4084" i="1"/>
  <c r="H4085" i="1" s="1"/>
  <c r="F4084" i="1"/>
  <c r="D4084" i="1"/>
  <c r="L4084" i="1" s="1"/>
  <c r="K4083" i="1"/>
  <c r="N4083" i="1" s="1"/>
  <c r="J4083" i="1"/>
  <c r="M4083" i="1" s="1"/>
  <c r="G4083" i="1"/>
  <c r="H4084" i="1" s="1"/>
  <c r="F4083" i="1"/>
  <c r="D4083" i="1"/>
  <c r="L4083" i="1" s="1"/>
  <c r="K4082" i="1"/>
  <c r="N4082" i="1" s="1"/>
  <c r="J4082" i="1"/>
  <c r="M4082" i="1" s="1"/>
  <c r="G4082" i="1"/>
  <c r="H4083" i="1" s="1"/>
  <c r="F4082" i="1"/>
  <c r="D4082" i="1"/>
  <c r="L4082" i="1" s="1"/>
  <c r="K4081" i="1"/>
  <c r="N4081" i="1" s="1"/>
  <c r="J4081" i="1"/>
  <c r="M4081" i="1" s="1"/>
  <c r="G4081" i="1"/>
  <c r="H4082" i="1" s="1"/>
  <c r="F4081" i="1"/>
  <c r="D4081" i="1"/>
  <c r="L4081" i="1" s="1"/>
  <c r="K4080" i="1"/>
  <c r="N4080" i="1" s="1"/>
  <c r="J4080" i="1"/>
  <c r="M4080" i="1" s="1"/>
  <c r="G4080" i="1"/>
  <c r="H4081" i="1" s="1"/>
  <c r="F4080" i="1"/>
  <c r="D4080" i="1"/>
  <c r="L4080" i="1" s="1"/>
  <c r="K4079" i="1"/>
  <c r="N4079" i="1" s="1"/>
  <c r="J4079" i="1"/>
  <c r="M4079" i="1" s="1"/>
  <c r="G4079" i="1"/>
  <c r="H4080" i="1" s="1"/>
  <c r="F4079" i="1"/>
  <c r="D4079" i="1"/>
  <c r="L4079" i="1" s="1"/>
  <c r="K4078" i="1"/>
  <c r="N4078" i="1" s="1"/>
  <c r="J4078" i="1"/>
  <c r="M4078" i="1" s="1"/>
  <c r="G4078" i="1"/>
  <c r="H4079" i="1" s="1"/>
  <c r="F4078" i="1"/>
  <c r="D4078" i="1"/>
  <c r="L4078" i="1" s="1"/>
  <c r="K4077" i="1"/>
  <c r="N4077" i="1" s="1"/>
  <c r="J4077" i="1"/>
  <c r="M4077" i="1" s="1"/>
  <c r="G4077" i="1"/>
  <c r="H4078" i="1" s="1"/>
  <c r="F4077" i="1"/>
  <c r="D4077" i="1"/>
  <c r="L4077" i="1" s="1"/>
  <c r="K4076" i="1"/>
  <c r="N4076" i="1" s="1"/>
  <c r="J4076" i="1"/>
  <c r="M4076" i="1" s="1"/>
  <c r="G4076" i="1"/>
  <c r="H4077" i="1" s="1"/>
  <c r="F4076" i="1"/>
  <c r="D4076" i="1"/>
  <c r="L4076" i="1" s="1"/>
  <c r="K4075" i="1"/>
  <c r="N4075" i="1" s="1"/>
  <c r="J4075" i="1"/>
  <c r="M4075" i="1" s="1"/>
  <c r="G4075" i="1"/>
  <c r="H4076" i="1" s="1"/>
  <c r="F4075" i="1"/>
  <c r="D4075" i="1"/>
  <c r="L4075" i="1" s="1"/>
  <c r="K4074" i="1"/>
  <c r="N4074" i="1" s="1"/>
  <c r="J4074" i="1"/>
  <c r="M4074" i="1" s="1"/>
  <c r="G4074" i="1"/>
  <c r="H4075" i="1" s="1"/>
  <c r="F4074" i="1"/>
  <c r="D4074" i="1"/>
  <c r="L4074" i="1" s="1"/>
  <c r="K4073" i="1"/>
  <c r="N4073" i="1" s="1"/>
  <c r="J4073" i="1"/>
  <c r="M4073" i="1" s="1"/>
  <c r="G4073" i="1"/>
  <c r="H4074" i="1" s="1"/>
  <c r="F4073" i="1"/>
  <c r="D4073" i="1"/>
  <c r="L4073" i="1" s="1"/>
  <c r="K4072" i="1"/>
  <c r="N4072" i="1" s="1"/>
  <c r="J4072" i="1"/>
  <c r="M4072" i="1" s="1"/>
  <c r="G4072" i="1"/>
  <c r="H4073" i="1" s="1"/>
  <c r="F4072" i="1"/>
  <c r="D4072" i="1"/>
  <c r="L4072" i="1" s="1"/>
  <c r="K4071" i="1"/>
  <c r="N4071" i="1" s="1"/>
  <c r="J4071" i="1"/>
  <c r="M4071" i="1" s="1"/>
  <c r="G4071" i="1"/>
  <c r="H4072" i="1" s="1"/>
  <c r="F4071" i="1"/>
  <c r="D4071" i="1"/>
  <c r="L4071" i="1" s="1"/>
  <c r="K4070" i="1"/>
  <c r="N4070" i="1" s="1"/>
  <c r="J4070" i="1"/>
  <c r="M4070" i="1" s="1"/>
  <c r="G4070" i="1"/>
  <c r="H4071" i="1" s="1"/>
  <c r="F4070" i="1"/>
  <c r="D4070" i="1"/>
  <c r="L4070" i="1" s="1"/>
  <c r="K4069" i="1"/>
  <c r="N4069" i="1" s="1"/>
  <c r="J4069" i="1"/>
  <c r="M4069" i="1" s="1"/>
  <c r="G4069" i="1"/>
  <c r="H4070" i="1" s="1"/>
  <c r="F4069" i="1"/>
  <c r="D4069" i="1"/>
  <c r="L4069" i="1" s="1"/>
  <c r="K4068" i="1"/>
  <c r="N4068" i="1" s="1"/>
  <c r="J4068" i="1"/>
  <c r="M4068" i="1" s="1"/>
  <c r="G4068" i="1"/>
  <c r="H4069" i="1" s="1"/>
  <c r="F4068" i="1"/>
  <c r="D4068" i="1"/>
  <c r="L4068" i="1" s="1"/>
  <c r="K4067" i="1"/>
  <c r="N4067" i="1" s="1"/>
  <c r="J4067" i="1"/>
  <c r="M4067" i="1" s="1"/>
  <c r="G4067" i="1"/>
  <c r="H4068" i="1" s="1"/>
  <c r="F4067" i="1"/>
  <c r="D4067" i="1"/>
  <c r="L4067" i="1" s="1"/>
  <c r="K4066" i="1"/>
  <c r="N4066" i="1" s="1"/>
  <c r="J4066" i="1"/>
  <c r="M4066" i="1" s="1"/>
  <c r="G4066" i="1"/>
  <c r="H4067" i="1" s="1"/>
  <c r="F4066" i="1"/>
  <c r="D4066" i="1"/>
  <c r="L4066" i="1" s="1"/>
  <c r="K4065" i="1"/>
  <c r="N4065" i="1" s="1"/>
  <c r="J4065" i="1"/>
  <c r="M4065" i="1" s="1"/>
  <c r="G4065" i="1"/>
  <c r="H4066" i="1" s="1"/>
  <c r="F4065" i="1"/>
  <c r="D4065" i="1"/>
  <c r="L4065" i="1" s="1"/>
  <c r="K4064" i="1"/>
  <c r="N4064" i="1" s="1"/>
  <c r="J4064" i="1"/>
  <c r="M4064" i="1" s="1"/>
  <c r="G4064" i="1"/>
  <c r="H4065" i="1" s="1"/>
  <c r="F4064" i="1"/>
  <c r="D4064" i="1"/>
  <c r="L4064" i="1" s="1"/>
  <c r="K4063" i="1"/>
  <c r="N4063" i="1" s="1"/>
  <c r="J4063" i="1"/>
  <c r="M4063" i="1" s="1"/>
  <c r="G4063" i="1"/>
  <c r="H4064" i="1" s="1"/>
  <c r="F4063" i="1"/>
  <c r="D4063" i="1"/>
  <c r="L4063" i="1" s="1"/>
  <c r="K4062" i="1"/>
  <c r="N4062" i="1" s="1"/>
  <c r="J4062" i="1"/>
  <c r="M4062" i="1" s="1"/>
  <c r="G4062" i="1"/>
  <c r="H4063" i="1" s="1"/>
  <c r="F4062" i="1"/>
  <c r="D4062" i="1"/>
  <c r="L4062" i="1" s="1"/>
  <c r="K4061" i="1"/>
  <c r="N4061" i="1" s="1"/>
  <c r="J4061" i="1"/>
  <c r="M4061" i="1" s="1"/>
  <c r="G4061" i="1"/>
  <c r="H4062" i="1" s="1"/>
  <c r="F4061" i="1"/>
  <c r="D4061" i="1"/>
  <c r="L4061" i="1" s="1"/>
  <c r="K4060" i="1"/>
  <c r="N4060" i="1" s="1"/>
  <c r="J4060" i="1"/>
  <c r="M4060" i="1" s="1"/>
  <c r="G4060" i="1"/>
  <c r="H4061" i="1" s="1"/>
  <c r="F4060" i="1"/>
  <c r="D4060" i="1"/>
  <c r="L4060" i="1" s="1"/>
  <c r="K4059" i="1"/>
  <c r="N4059" i="1" s="1"/>
  <c r="J4059" i="1"/>
  <c r="M4059" i="1" s="1"/>
  <c r="G4059" i="1"/>
  <c r="H4060" i="1" s="1"/>
  <c r="F4059" i="1"/>
  <c r="D4059" i="1"/>
  <c r="L4059" i="1" s="1"/>
  <c r="K4058" i="1"/>
  <c r="N4058" i="1" s="1"/>
  <c r="J4058" i="1"/>
  <c r="M4058" i="1" s="1"/>
  <c r="G4058" i="1"/>
  <c r="H4059" i="1" s="1"/>
  <c r="F4058" i="1"/>
  <c r="D4058" i="1"/>
  <c r="L4058" i="1" s="1"/>
  <c r="K4057" i="1"/>
  <c r="N4057" i="1" s="1"/>
  <c r="J4057" i="1"/>
  <c r="M4057" i="1" s="1"/>
  <c r="G4057" i="1"/>
  <c r="H4058" i="1" s="1"/>
  <c r="F4057" i="1"/>
  <c r="D4057" i="1"/>
  <c r="L4057" i="1" s="1"/>
  <c r="K4056" i="1"/>
  <c r="N4056" i="1" s="1"/>
  <c r="J4056" i="1"/>
  <c r="M4056" i="1" s="1"/>
  <c r="G4056" i="1"/>
  <c r="H4057" i="1" s="1"/>
  <c r="F4056" i="1"/>
  <c r="D4056" i="1"/>
  <c r="L4056" i="1" s="1"/>
  <c r="K4055" i="1"/>
  <c r="N4055" i="1" s="1"/>
  <c r="J4055" i="1"/>
  <c r="M4055" i="1" s="1"/>
  <c r="G4055" i="1"/>
  <c r="H4056" i="1" s="1"/>
  <c r="F4055" i="1"/>
  <c r="D4055" i="1"/>
  <c r="L4055" i="1" s="1"/>
  <c r="K4054" i="1"/>
  <c r="N4054" i="1" s="1"/>
  <c r="J4054" i="1"/>
  <c r="M4054" i="1" s="1"/>
  <c r="G4054" i="1"/>
  <c r="H4055" i="1" s="1"/>
  <c r="F4054" i="1"/>
  <c r="D4054" i="1"/>
  <c r="L4054" i="1" s="1"/>
  <c r="K4053" i="1"/>
  <c r="N4053" i="1" s="1"/>
  <c r="J4053" i="1"/>
  <c r="M4053" i="1" s="1"/>
  <c r="G4053" i="1"/>
  <c r="H4054" i="1" s="1"/>
  <c r="F4053" i="1"/>
  <c r="D4053" i="1"/>
  <c r="L4053" i="1" s="1"/>
  <c r="K4052" i="1"/>
  <c r="N4052" i="1" s="1"/>
  <c r="J4052" i="1"/>
  <c r="M4052" i="1" s="1"/>
  <c r="G4052" i="1"/>
  <c r="H4053" i="1" s="1"/>
  <c r="F4052" i="1"/>
  <c r="D4052" i="1"/>
  <c r="L4052" i="1" s="1"/>
  <c r="K4051" i="1"/>
  <c r="N4051" i="1" s="1"/>
  <c r="J4051" i="1"/>
  <c r="M4051" i="1" s="1"/>
  <c r="G4051" i="1"/>
  <c r="H4052" i="1" s="1"/>
  <c r="F4051" i="1"/>
  <c r="D4051" i="1"/>
  <c r="L4051" i="1" s="1"/>
  <c r="K4050" i="1"/>
  <c r="N4050" i="1" s="1"/>
  <c r="J4050" i="1"/>
  <c r="M4050" i="1" s="1"/>
  <c r="G4050" i="1"/>
  <c r="H4051" i="1" s="1"/>
  <c r="F4050" i="1"/>
  <c r="D4050" i="1"/>
  <c r="L4050" i="1" s="1"/>
  <c r="K4049" i="1"/>
  <c r="N4049" i="1" s="1"/>
  <c r="J4049" i="1"/>
  <c r="M4049" i="1" s="1"/>
  <c r="G4049" i="1"/>
  <c r="H4050" i="1" s="1"/>
  <c r="F4049" i="1"/>
  <c r="D4049" i="1"/>
  <c r="L4049" i="1" s="1"/>
  <c r="K4048" i="1"/>
  <c r="N4048" i="1" s="1"/>
  <c r="J4048" i="1"/>
  <c r="M4048" i="1" s="1"/>
  <c r="G4048" i="1"/>
  <c r="H4049" i="1" s="1"/>
  <c r="F4048" i="1"/>
  <c r="D4048" i="1"/>
  <c r="L4048" i="1" s="1"/>
  <c r="K4047" i="1"/>
  <c r="N4047" i="1" s="1"/>
  <c r="J4047" i="1"/>
  <c r="M4047" i="1" s="1"/>
  <c r="G4047" i="1"/>
  <c r="H4048" i="1" s="1"/>
  <c r="F4047" i="1"/>
  <c r="D4047" i="1"/>
  <c r="L4047" i="1" s="1"/>
  <c r="K4046" i="1"/>
  <c r="N4046" i="1" s="1"/>
  <c r="J4046" i="1"/>
  <c r="M4046" i="1" s="1"/>
  <c r="G4046" i="1"/>
  <c r="H4047" i="1" s="1"/>
  <c r="F4046" i="1"/>
  <c r="D4046" i="1"/>
  <c r="L4046" i="1" s="1"/>
  <c r="K4045" i="1"/>
  <c r="N4045" i="1" s="1"/>
  <c r="J4045" i="1"/>
  <c r="M4045" i="1" s="1"/>
  <c r="G4045" i="1"/>
  <c r="H4046" i="1" s="1"/>
  <c r="F4045" i="1"/>
  <c r="D4045" i="1"/>
  <c r="L4045" i="1" s="1"/>
  <c r="K4044" i="1"/>
  <c r="N4044" i="1" s="1"/>
  <c r="J4044" i="1"/>
  <c r="M4044" i="1" s="1"/>
  <c r="G4044" i="1"/>
  <c r="H4045" i="1" s="1"/>
  <c r="F4044" i="1"/>
  <c r="D4044" i="1"/>
  <c r="L4044" i="1" s="1"/>
  <c r="K4043" i="1"/>
  <c r="N4043" i="1" s="1"/>
  <c r="J4043" i="1"/>
  <c r="M4043" i="1" s="1"/>
  <c r="G4043" i="1"/>
  <c r="H4044" i="1" s="1"/>
  <c r="F4043" i="1"/>
  <c r="D4043" i="1"/>
  <c r="L4043" i="1" s="1"/>
  <c r="K4042" i="1"/>
  <c r="N4042" i="1" s="1"/>
  <c r="J4042" i="1"/>
  <c r="M4042" i="1" s="1"/>
  <c r="G4042" i="1"/>
  <c r="H4043" i="1" s="1"/>
  <c r="F4042" i="1"/>
  <c r="D4042" i="1"/>
  <c r="L4042" i="1" s="1"/>
  <c r="K4041" i="1"/>
  <c r="N4041" i="1" s="1"/>
  <c r="J4041" i="1"/>
  <c r="M4041" i="1" s="1"/>
  <c r="G4041" i="1"/>
  <c r="H4042" i="1" s="1"/>
  <c r="F4041" i="1"/>
  <c r="D4041" i="1"/>
  <c r="L4041" i="1" s="1"/>
  <c r="K4040" i="1"/>
  <c r="N4040" i="1" s="1"/>
  <c r="J4040" i="1"/>
  <c r="M4040" i="1" s="1"/>
  <c r="G4040" i="1"/>
  <c r="H4041" i="1" s="1"/>
  <c r="F4040" i="1"/>
  <c r="D4040" i="1"/>
  <c r="L4040" i="1" s="1"/>
  <c r="K4039" i="1"/>
  <c r="N4039" i="1" s="1"/>
  <c r="J4039" i="1"/>
  <c r="M4039" i="1" s="1"/>
  <c r="G4039" i="1"/>
  <c r="H4040" i="1" s="1"/>
  <c r="F4039" i="1"/>
  <c r="D4039" i="1"/>
  <c r="L4039" i="1" s="1"/>
  <c r="K4038" i="1"/>
  <c r="N4038" i="1" s="1"/>
  <c r="J4038" i="1"/>
  <c r="M4038" i="1" s="1"/>
  <c r="G4038" i="1"/>
  <c r="H4039" i="1" s="1"/>
  <c r="F4038" i="1"/>
  <c r="D4038" i="1"/>
  <c r="L4038" i="1" s="1"/>
  <c r="K4037" i="1"/>
  <c r="N4037" i="1" s="1"/>
  <c r="J4037" i="1"/>
  <c r="M4037" i="1" s="1"/>
  <c r="G4037" i="1"/>
  <c r="H4038" i="1" s="1"/>
  <c r="F4037" i="1"/>
  <c r="D4037" i="1"/>
  <c r="L4037" i="1" s="1"/>
  <c r="K4036" i="1"/>
  <c r="N4036" i="1" s="1"/>
  <c r="J4036" i="1"/>
  <c r="M4036" i="1" s="1"/>
  <c r="G4036" i="1"/>
  <c r="H4037" i="1" s="1"/>
  <c r="F4036" i="1"/>
  <c r="D4036" i="1"/>
  <c r="L4036" i="1" s="1"/>
  <c r="K4035" i="1"/>
  <c r="N4035" i="1" s="1"/>
  <c r="J4035" i="1"/>
  <c r="M4035" i="1" s="1"/>
  <c r="G4035" i="1"/>
  <c r="H4036" i="1" s="1"/>
  <c r="F4035" i="1"/>
  <c r="D4035" i="1"/>
  <c r="L4035" i="1" s="1"/>
  <c r="K4034" i="1"/>
  <c r="N4034" i="1" s="1"/>
  <c r="J4034" i="1"/>
  <c r="M4034" i="1" s="1"/>
  <c r="G4034" i="1"/>
  <c r="H4035" i="1" s="1"/>
  <c r="F4034" i="1"/>
  <c r="D4034" i="1"/>
  <c r="L4034" i="1" s="1"/>
  <c r="K4033" i="1"/>
  <c r="N4033" i="1" s="1"/>
  <c r="J4033" i="1"/>
  <c r="M4033" i="1" s="1"/>
  <c r="G4033" i="1"/>
  <c r="H4034" i="1" s="1"/>
  <c r="F4033" i="1"/>
  <c r="D4033" i="1"/>
  <c r="L4033" i="1" s="1"/>
  <c r="K4032" i="1"/>
  <c r="N4032" i="1" s="1"/>
  <c r="J4032" i="1"/>
  <c r="M4032" i="1" s="1"/>
  <c r="G4032" i="1"/>
  <c r="H4033" i="1" s="1"/>
  <c r="F4032" i="1"/>
  <c r="D4032" i="1"/>
  <c r="L4032" i="1" s="1"/>
  <c r="K4031" i="1"/>
  <c r="N4031" i="1" s="1"/>
  <c r="J4031" i="1"/>
  <c r="M4031" i="1" s="1"/>
  <c r="G4031" i="1"/>
  <c r="H4032" i="1" s="1"/>
  <c r="F4031" i="1"/>
  <c r="D4031" i="1"/>
  <c r="L4031" i="1" s="1"/>
  <c r="K4030" i="1"/>
  <c r="N4030" i="1" s="1"/>
  <c r="J4030" i="1"/>
  <c r="M4030" i="1" s="1"/>
  <c r="G4030" i="1"/>
  <c r="H4031" i="1" s="1"/>
  <c r="F4030" i="1"/>
  <c r="D4030" i="1"/>
  <c r="L4030" i="1" s="1"/>
  <c r="K4029" i="1"/>
  <c r="N4029" i="1" s="1"/>
  <c r="J4029" i="1"/>
  <c r="M4029" i="1" s="1"/>
  <c r="G4029" i="1"/>
  <c r="H4030" i="1" s="1"/>
  <c r="F4029" i="1"/>
  <c r="D4029" i="1"/>
  <c r="L4029" i="1" s="1"/>
  <c r="K4028" i="1"/>
  <c r="N4028" i="1" s="1"/>
  <c r="J4028" i="1"/>
  <c r="M4028" i="1" s="1"/>
  <c r="G4028" i="1"/>
  <c r="H4029" i="1" s="1"/>
  <c r="F4028" i="1"/>
  <c r="D4028" i="1"/>
  <c r="L4028" i="1" s="1"/>
  <c r="K4027" i="1"/>
  <c r="N4027" i="1" s="1"/>
  <c r="J4027" i="1"/>
  <c r="M4027" i="1" s="1"/>
  <c r="G4027" i="1"/>
  <c r="H4028" i="1" s="1"/>
  <c r="F4027" i="1"/>
  <c r="D4027" i="1"/>
  <c r="L4027" i="1" s="1"/>
  <c r="K4026" i="1"/>
  <c r="N4026" i="1" s="1"/>
  <c r="J4026" i="1"/>
  <c r="M4026" i="1" s="1"/>
  <c r="G4026" i="1"/>
  <c r="H4027" i="1" s="1"/>
  <c r="F4026" i="1"/>
  <c r="D4026" i="1"/>
  <c r="L4026" i="1" s="1"/>
  <c r="K4025" i="1"/>
  <c r="N4025" i="1" s="1"/>
  <c r="J4025" i="1"/>
  <c r="M4025" i="1" s="1"/>
  <c r="G4025" i="1"/>
  <c r="H4026" i="1" s="1"/>
  <c r="F4025" i="1"/>
  <c r="D4025" i="1"/>
  <c r="L4025" i="1" s="1"/>
  <c r="K4024" i="1"/>
  <c r="N4024" i="1" s="1"/>
  <c r="J4024" i="1"/>
  <c r="M4024" i="1" s="1"/>
  <c r="G4024" i="1"/>
  <c r="H4025" i="1" s="1"/>
  <c r="F4024" i="1"/>
  <c r="D4024" i="1"/>
  <c r="L4024" i="1" s="1"/>
  <c r="K4023" i="1"/>
  <c r="N4023" i="1" s="1"/>
  <c r="J4023" i="1"/>
  <c r="M4023" i="1" s="1"/>
  <c r="G4023" i="1"/>
  <c r="H4024" i="1" s="1"/>
  <c r="F4023" i="1"/>
  <c r="D4023" i="1"/>
  <c r="L4023" i="1" s="1"/>
  <c r="K4022" i="1"/>
  <c r="N4022" i="1" s="1"/>
  <c r="J4022" i="1"/>
  <c r="M4022" i="1" s="1"/>
  <c r="G4022" i="1"/>
  <c r="H4023" i="1" s="1"/>
  <c r="F4022" i="1"/>
  <c r="D4022" i="1"/>
  <c r="L4022" i="1" s="1"/>
  <c r="K4021" i="1"/>
  <c r="N4021" i="1" s="1"/>
  <c r="J4021" i="1"/>
  <c r="M4021" i="1" s="1"/>
  <c r="G4021" i="1"/>
  <c r="H4022" i="1" s="1"/>
  <c r="F4021" i="1"/>
  <c r="D4021" i="1"/>
  <c r="L4021" i="1" s="1"/>
  <c r="K4020" i="1"/>
  <c r="N4020" i="1" s="1"/>
  <c r="J4020" i="1"/>
  <c r="M4020" i="1" s="1"/>
  <c r="G4020" i="1"/>
  <c r="H4021" i="1" s="1"/>
  <c r="F4020" i="1"/>
  <c r="D4020" i="1"/>
  <c r="L4020" i="1" s="1"/>
  <c r="K4019" i="1"/>
  <c r="N4019" i="1" s="1"/>
  <c r="J4019" i="1"/>
  <c r="M4019" i="1" s="1"/>
  <c r="G4019" i="1"/>
  <c r="H4020" i="1" s="1"/>
  <c r="F4019" i="1"/>
  <c r="D4019" i="1"/>
  <c r="L4019" i="1" s="1"/>
  <c r="K4018" i="1"/>
  <c r="N4018" i="1" s="1"/>
  <c r="J4018" i="1"/>
  <c r="M4018" i="1" s="1"/>
  <c r="G4018" i="1"/>
  <c r="H4019" i="1" s="1"/>
  <c r="F4018" i="1"/>
  <c r="D4018" i="1"/>
  <c r="L4018" i="1" s="1"/>
  <c r="K4017" i="1"/>
  <c r="N4017" i="1" s="1"/>
  <c r="J4017" i="1"/>
  <c r="M4017" i="1" s="1"/>
  <c r="G4017" i="1"/>
  <c r="H4018" i="1" s="1"/>
  <c r="F4017" i="1"/>
  <c r="D4017" i="1"/>
  <c r="L4017" i="1" s="1"/>
  <c r="K4016" i="1"/>
  <c r="N4016" i="1" s="1"/>
  <c r="J4016" i="1"/>
  <c r="M4016" i="1" s="1"/>
  <c r="G4016" i="1"/>
  <c r="H4017" i="1" s="1"/>
  <c r="F4016" i="1"/>
  <c r="D4016" i="1"/>
  <c r="L4016" i="1" s="1"/>
  <c r="K4015" i="1"/>
  <c r="N4015" i="1" s="1"/>
  <c r="J4015" i="1"/>
  <c r="M4015" i="1" s="1"/>
  <c r="G4015" i="1"/>
  <c r="H4016" i="1" s="1"/>
  <c r="F4015" i="1"/>
  <c r="D4015" i="1"/>
  <c r="L4015" i="1" s="1"/>
  <c r="K4014" i="1"/>
  <c r="N4014" i="1" s="1"/>
  <c r="J4014" i="1"/>
  <c r="M4014" i="1" s="1"/>
  <c r="G4014" i="1"/>
  <c r="H4015" i="1" s="1"/>
  <c r="F4014" i="1"/>
  <c r="D4014" i="1"/>
  <c r="L4014" i="1" s="1"/>
  <c r="K4013" i="1"/>
  <c r="N4013" i="1" s="1"/>
  <c r="J4013" i="1"/>
  <c r="M4013" i="1" s="1"/>
  <c r="G4013" i="1"/>
  <c r="H4014" i="1" s="1"/>
  <c r="F4013" i="1"/>
  <c r="D4013" i="1"/>
  <c r="L4013" i="1" s="1"/>
  <c r="K4012" i="1"/>
  <c r="N4012" i="1" s="1"/>
  <c r="J4012" i="1"/>
  <c r="M4012" i="1" s="1"/>
  <c r="G4012" i="1"/>
  <c r="H4013" i="1" s="1"/>
  <c r="F4012" i="1"/>
  <c r="D4012" i="1"/>
  <c r="L4012" i="1" s="1"/>
  <c r="K4011" i="1"/>
  <c r="N4011" i="1" s="1"/>
  <c r="J4011" i="1"/>
  <c r="M4011" i="1" s="1"/>
  <c r="G4011" i="1"/>
  <c r="H4012" i="1" s="1"/>
  <c r="F4011" i="1"/>
  <c r="D4011" i="1"/>
  <c r="L4011" i="1" s="1"/>
  <c r="K4010" i="1"/>
  <c r="N4010" i="1" s="1"/>
  <c r="J4010" i="1"/>
  <c r="M4010" i="1" s="1"/>
  <c r="G4010" i="1"/>
  <c r="H4011" i="1" s="1"/>
  <c r="F4010" i="1"/>
  <c r="D4010" i="1"/>
  <c r="L4010" i="1" s="1"/>
  <c r="K4009" i="1"/>
  <c r="N4009" i="1" s="1"/>
  <c r="J4009" i="1"/>
  <c r="M4009" i="1" s="1"/>
  <c r="G4009" i="1"/>
  <c r="H4010" i="1" s="1"/>
  <c r="F4009" i="1"/>
  <c r="D4009" i="1"/>
  <c r="L4009" i="1" s="1"/>
  <c r="K4008" i="1"/>
  <c r="N4008" i="1" s="1"/>
  <c r="J4008" i="1"/>
  <c r="M4008" i="1" s="1"/>
  <c r="G4008" i="1"/>
  <c r="H4009" i="1" s="1"/>
  <c r="F4008" i="1"/>
  <c r="D4008" i="1"/>
  <c r="L4008" i="1" s="1"/>
  <c r="K4007" i="1"/>
  <c r="N4007" i="1" s="1"/>
  <c r="J4007" i="1"/>
  <c r="M4007" i="1" s="1"/>
  <c r="G4007" i="1"/>
  <c r="H4008" i="1" s="1"/>
  <c r="F4007" i="1"/>
  <c r="D4007" i="1"/>
  <c r="L4007" i="1" s="1"/>
  <c r="K4006" i="1"/>
  <c r="N4006" i="1" s="1"/>
  <c r="J4006" i="1"/>
  <c r="M4006" i="1" s="1"/>
  <c r="G4006" i="1"/>
  <c r="H4007" i="1" s="1"/>
  <c r="F4006" i="1"/>
  <c r="D4006" i="1"/>
  <c r="L4006" i="1" s="1"/>
  <c r="K4005" i="1"/>
  <c r="N4005" i="1" s="1"/>
  <c r="J4005" i="1"/>
  <c r="M4005" i="1" s="1"/>
  <c r="G4005" i="1"/>
  <c r="H4006" i="1" s="1"/>
  <c r="F4005" i="1"/>
  <c r="D4005" i="1"/>
  <c r="L4005" i="1" s="1"/>
  <c r="K4004" i="1"/>
  <c r="N4004" i="1" s="1"/>
  <c r="J4004" i="1"/>
  <c r="M4004" i="1" s="1"/>
  <c r="G4004" i="1"/>
  <c r="H4005" i="1" s="1"/>
  <c r="F4004" i="1"/>
  <c r="D4004" i="1"/>
  <c r="L4004" i="1" s="1"/>
  <c r="K4003" i="1"/>
  <c r="N4003" i="1" s="1"/>
  <c r="J4003" i="1"/>
  <c r="M4003" i="1" s="1"/>
  <c r="G4003" i="1"/>
  <c r="H4004" i="1" s="1"/>
  <c r="F4003" i="1"/>
  <c r="D4003" i="1"/>
  <c r="L4003" i="1" s="1"/>
  <c r="K4002" i="1"/>
  <c r="N4002" i="1" s="1"/>
  <c r="J4002" i="1"/>
  <c r="M4002" i="1" s="1"/>
  <c r="G4002" i="1"/>
  <c r="H4003" i="1" s="1"/>
  <c r="F4002" i="1"/>
  <c r="D4002" i="1"/>
  <c r="L4002" i="1" s="1"/>
  <c r="K4001" i="1"/>
  <c r="N4001" i="1" s="1"/>
  <c r="J4001" i="1"/>
  <c r="M4001" i="1" s="1"/>
  <c r="G4001" i="1"/>
  <c r="H4002" i="1" s="1"/>
  <c r="F4001" i="1"/>
  <c r="D4001" i="1"/>
  <c r="L4001" i="1" s="1"/>
  <c r="K4000" i="1"/>
  <c r="N4000" i="1" s="1"/>
  <c r="J4000" i="1"/>
  <c r="M4000" i="1" s="1"/>
  <c r="G4000" i="1"/>
  <c r="H4001" i="1" s="1"/>
  <c r="F4000" i="1"/>
  <c r="D4000" i="1"/>
  <c r="L4000" i="1" s="1"/>
  <c r="K3999" i="1"/>
  <c r="N3999" i="1" s="1"/>
  <c r="J3999" i="1"/>
  <c r="M3999" i="1" s="1"/>
  <c r="G3999" i="1"/>
  <c r="H4000" i="1" s="1"/>
  <c r="F3999" i="1"/>
  <c r="D3999" i="1"/>
  <c r="L3999" i="1" s="1"/>
  <c r="K3998" i="1"/>
  <c r="N3998" i="1" s="1"/>
  <c r="J3998" i="1"/>
  <c r="M3998" i="1" s="1"/>
  <c r="G3998" i="1"/>
  <c r="H3999" i="1" s="1"/>
  <c r="F3998" i="1"/>
  <c r="D3998" i="1"/>
  <c r="L3998" i="1" s="1"/>
  <c r="K3997" i="1"/>
  <c r="N3997" i="1" s="1"/>
  <c r="J3997" i="1"/>
  <c r="M3997" i="1" s="1"/>
  <c r="G3997" i="1"/>
  <c r="H3998" i="1" s="1"/>
  <c r="F3997" i="1"/>
  <c r="D3997" i="1"/>
  <c r="L3997" i="1" s="1"/>
  <c r="K3996" i="1"/>
  <c r="N3996" i="1" s="1"/>
  <c r="J3996" i="1"/>
  <c r="M3996" i="1" s="1"/>
  <c r="G3996" i="1"/>
  <c r="H3997" i="1" s="1"/>
  <c r="F3996" i="1"/>
  <c r="D3996" i="1"/>
  <c r="L3996" i="1" s="1"/>
  <c r="K3995" i="1"/>
  <c r="N3995" i="1" s="1"/>
  <c r="J3995" i="1"/>
  <c r="M3995" i="1" s="1"/>
  <c r="G3995" i="1"/>
  <c r="H3996" i="1" s="1"/>
  <c r="F3995" i="1"/>
  <c r="D3995" i="1"/>
  <c r="L3995" i="1" s="1"/>
  <c r="K3994" i="1"/>
  <c r="N3994" i="1" s="1"/>
  <c r="J3994" i="1"/>
  <c r="M3994" i="1" s="1"/>
  <c r="G3994" i="1"/>
  <c r="H3995" i="1" s="1"/>
  <c r="F3994" i="1"/>
  <c r="D3994" i="1"/>
  <c r="L3994" i="1" s="1"/>
  <c r="K3993" i="1"/>
  <c r="N3993" i="1" s="1"/>
  <c r="J3993" i="1"/>
  <c r="M3993" i="1" s="1"/>
  <c r="G3993" i="1"/>
  <c r="H3994" i="1" s="1"/>
  <c r="F3993" i="1"/>
  <c r="D3993" i="1"/>
  <c r="L3993" i="1" s="1"/>
  <c r="K3992" i="1"/>
  <c r="N3992" i="1" s="1"/>
  <c r="J3992" i="1"/>
  <c r="M3992" i="1" s="1"/>
  <c r="G3992" i="1"/>
  <c r="H3993" i="1" s="1"/>
  <c r="F3992" i="1"/>
  <c r="D3992" i="1"/>
  <c r="L3992" i="1" s="1"/>
  <c r="K3991" i="1"/>
  <c r="N3991" i="1" s="1"/>
  <c r="J3991" i="1"/>
  <c r="M3991" i="1" s="1"/>
  <c r="G3991" i="1"/>
  <c r="H3992" i="1" s="1"/>
  <c r="F3991" i="1"/>
  <c r="D3991" i="1"/>
  <c r="L3991" i="1" s="1"/>
  <c r="K3990" i="1"/>
  <c r="N3990" i="1" s="1"/>
  <c r="J3990" i="1"/>
  <c r="M3990" i="1" s="1"/>
  <c r="G3990" i="1"/>
  <c r="H3991" i="1" s="1"/>
  <c r="F3990" i="1"/>
  <c r="D3990" i="1"/>
  <c r="L3990" i="1" s="1"/>
  <c r="K3989" i="1"/>
  <c r="N3989" i="1" s="1"/>
  <c r="J3989" i="1"/>
  <c r="M3989" i="1" s="1"/>
  <c r="G3989" i="1"/>
  <c r="H3990" i="1" s="1"/>
  <c r="F3989" i="1"/>
  <c r="D3989" i="1"/>
  <c r="L3989" i="1" s="1"/>
  <c r="K3988" i="1"/>
  <c r="N3988" i="1" s="1"/>
  <c r="J3988" i="1"/>
  <c r="M3988" i="1" s="1"/>
  <c r="G3988" i="1"/>
  <c r="H3989" i="1" s="1"/>
  <c r="F3988" i="1"/>
  <c r="D3988" i="1"/>
  <c r="L3988" i="1" s="1"/>
  <c r="K3987" i="1"/>
  <c r="N3987" i="1" s="1"/>
  <c r="J3987" i="1"/>
  <c r="M3987" i="1" s="1"/>
  <c r="G3987" i="1"/>
  <c r="H3988" i="1" s="1"/>
  <c r="F3987" i="1"/>
  <c r="D3987" i="1"/>
  <c r="L3987" i="1" s="1"/>
  <c r="K3986" i="1"/>
  <c r="N3986" i="1" s="1"/>
  <c r="J3986" i="1"/>
  <c r="M3986" i="1" s="1"/>
  <c r="G3986" i="1"/>
  <c r="H3987" i="1" s="1"/>
  <c r="F3986" i="1"/>
  <c r="D3986" i="1"/>
  <c r="L3986" i="1" s="1"/>
  <c r="K3985" i="1"/>
  <c r="N3985" i="1" s="1"/>
  <c r="J3985" i="1"/>
  <c r="M3985" i="1" s="1"/>
  <c r="G3985" i="1"/>
  <c r="H3986" i="1" s="1"/>
  <c r="F3985" i="1"/>
  <c r="D3985" i="1"/>
  <c r="L3985" i="1" s="1"/>
  <c r="K3984" i="1"/>
  <c r="N3984" i="1" s="1"/>
  <c r="J3984" i="1"/>
  <c r="M3984" i="1" s="1"/>
  <c r="G3984" i="1"/>
  <c r="H3985" i="1" s="1"/>
  <c r="F3984" i="1"/>
  <c r="D3984" i="1"/>
  <c r="L3984" i="1" s="1"/>
  <c r="K3983" i="1"/>
  <c r="N3983" i="1" s="1"/>
  <c r="J3983" i="1"/>
  <c r="M3983" i="1" s="1"/>
  <c r="G3983" i="1"/>
  <c r="H3984" i="1" s="1"/>
  <c r="F3983" i="1"/>
  <c r="D3983" i="1"/>
  <c r="L3983" i="1" s="1"/>
  <c r="K3982" i="1"/>
  <c r="N3982" i="1" s="1"/>
  <c r="J3982" i="1"/>
  <c r="M3982" i="1" s="1"/>
  <c r="G3982" i="1"/>
  <c r="H3983" i="1" s="1"/>
  <c r="F3982" i="1"/>
  <c r="D3982" i="1"/>
  <c r="L3982" i="1" s="1"/>
  <c r="K3981" i="1"/>
  <c r="N3981" i="1" s="1"/>
  <c r="J3981" i="1"/>
  <c r="M3981" i="1" s="1"/>
  <c r="G3981" i="1"/>
  <c r="H3982" i="1" s="1"/>
  <c r="F3981" i="1"/>
  <c r="D3981" i="1"/>
  <c r="L3981" i="1" s="1"/>
  <c r="K3980" i="1"/>
  <c r="N3980" i="1" s="1"/>
  <c r="J3980" i="1"/>
  <c r="M3980" i="1" s="1"/>
  <c r="G3980" i="1"/>
  <c r="H3981" i="1" s="1"/>
  <c r="F3980" i="1"/>
  <c r="D3980" i="1"/>
  <c r="L3980" i="1" s="1"/>
  <c r="K3979" i="1"/>
  <c r="N3979" i="1" s="1"/>
  <c r="J3979" i="1"/>
  <c r="M3979" i="1" s="1"/>
  <c r="G3979" i="1"/>
  <c r="H3980" i="1" s="1"/>
  <c r="F3979" i="1"/>
  <c r="D3979" i="1"/>
  <c r="L3979" i="1" s="1"/>
  <c r="K3978" i="1"/>
  <c r="N3978" i="1" s="1"/>
  <c r="J3978" i="1"/>
  <c r="M3978" i="1" s="1"/>
  <c r="G3978" i="1"/>
  <c r="H3979" i="1" s="1"/>
  <c r="F3978" i="1"/>
  <c r="D3978" i="1"/>
  <c r="L3978" i="1" s="1"/>
  <c r="K3977" i="1"/>
  <c r="N3977" i="1" s="1"/>
  <c r="J3977" i="1"/>
  <c r="M3977" i="1" s="1"/>
  <c r="G3977" i="1"/>
  <c r="H3978" i="1" s="1"/>
  <c r="F3977" i="1"/>
  <c r="D3977" i="1"/>
  <c r="L3977" i="1" s="1"/>
  <c r="K3976" i="1"/>
  <c r="N3976" i="1" s="1"/>
  <c r="J3976" i="1"/>
  <c r="M3976" i="1" s="1"/>
  <c r="G3976" i="1"/>
  <c r="H3977" i="1" s="1"/>
  <c r="F3976" i="1"/>
  <c r="D3976" i="1"/>
  <c r="L3976" i="1" s="1"/>
  <c r="K3975" i="1"/>
  <c r="N3975" i="1" s="1"/>
  <c r="J3975" i="1"/>
  <c r="M3975" i="1" s="1"/>
  <c r="G3975" i="1"/>
  <c r="H3976" i="1" s="1"/>
  <c r="F3975" i="1"/>
  <c r="D3975" i="1"/>
  <c r="L3975" i="1" s="1"/>
  <c r="K3974" i="1"/>
  <c r="N3974" i="1" s="1"/>
  <c r="J3974" i="1"/>
  <c r="M3974" i="1" s="1"/>
  <c r="G3974" i="1"/>
  <c r="H3975" i="1" s="1"/>
  <c r="F3974" i="1"/>
  <c r="D3974" i="1"/>
  <c r="L3974" i="1" s="1"/>
  <c r="K3973" i="1"/>
  <c r="N3973" i="1" s="1"/>
  <c r="J3973" i="1"/>
  <c r="M3973" i="1" s="1"/>
  <c r="G3973" i="1"/>
  <c r="H3974" i="1" s="1"/>
  <c r="F3973" i="1"/>
  <c r="D3973" i="1"/>
  <c r="L3973" i="1" s="1"/>
  <c r="K3972" i="1"/>
  <c r="N3972" i="1" s="1"/>
  <c r="J3972" i="1"/>
  <c r="M3972" i="1" s="1"/>
  <c r="G3972" i="1"/>
  <c r="H3973" i="1" s="1"/>
  <c r="F3972" i="1"/>
  <c r="D3972" i="1"/>
  <c r="L3972" i="1" s="1"/>
  <c r="K3971" i="1"/>
  <c r="N3971" i="1" s="1"/>
  <c r="J3971" i="1"/>
  <c r="M3971" i="1" s="1"/>
  <c r="G3971" i="1"/>
  <c r="H3972" i="1" s="1"/>
  <c r="F3971" i="1"/>
  <c r="D3971" i="1"/>
  <c r="L3971" i="1" s="1"/>
  <c r="K3970" i="1"/>
  <c r="N3970" i="1" s="1"/>
  <c r="J3970" i="1"/>
  <c r="M3970" i="1" s="1"/>
  <c r="G3970" i="1"/>
  <c r="H3971" i="1" s="1"/>
  <c r="F3970" i="1"/>
  <c r="D3970" i="1"/>
  <c r="L3970" i="1" s="1"/>
  <c r="K3969" i="1"/>
  <c r="N3969" i="1" s="1"/>
  <c r="J3969" i="1"/>
  <c r="M3969" i="1" s="1"/>
  <c r="G3969" i="1"/>
  <c r="H3970" i="1" s="1"/>
  <c r="F3969" i="1"/>
  <c r="D3969" i="1"/>
  <c r="L3969" i="1" s="1"/>
  <c r="K3968" i="1"/>
  <c r="N3968" i="1" s="1"/>
  <c r="J3968" i="1"/>
  <c r="M3968" i="1" s="1"/>
  <c r="G3968" i="1"/>
  <c r="H3969" i="1" s="1"/>
  <c r="F3968" i="1"/>
  <c r="D3968" i="1"/>
  <c r="L3968" i="1" s="1"/>
  <c r="K3967" i="1"/>
  <c r="N3967" i="1" s="1"/>
  <c r="J3967" i="1"/>
  <c r="M3967" i="1" s="1"/>
  <c r="G3967" i="1"/>
  <c r="H3968" i="1" s="1"/>
  <c r="F3967" i="1"/>
  <c r="D3967" i="1"/>
  <c r="L3967" i="1" s="1"/>
  <c r="K3966" i="1"/>
  <c r="N3966" i="1" s="1"/>
  <c r="J3966" i="1"/>
  <c r="M3966" i="1" s="1"/>
  <c r="G3966" i="1"/>
  <c r="H3967" i="1" s="1"/>
  <c r="F3966" i="1"/>
  <c r="D3966" i="1"/>
  <c r="L3966" i="1" s="1"/>
  <c r="K3965" i="1"/>
  <c r="N3965" i="1" s="1"/>
  <c r="J3965" i="1"/>
  <c r="M3965" i="1" s="1"/>
  <c r="G3965" i="1"/>
  <c r="H3966" i="1" s="1"/>
  <c r="F3965" i="1"/>
  <c r="D3965" i="1"/>
  <c r="L3965" i="1" s="1"/>
  <c r="K3964" i="1"/>
  <c r="N3964" i="1" s="1"/>
  <c r="J3964" i="1"/>
  <c r="M3964" i="1" s="1"/>
  <c r="G3964" i="1"/>
  <c r="H3965" i="1" s="1"/>
  <c r="F3964" i="1"/>
  <c r="D3964" i="1"/>
  <c r="L3964" i="1" s="1"/>
  <c r="K3963" i="1"/>
  <c r="N3963" i="1" s="1"/>
  <c r="J3963" i="1"/>
  <c r="M3963" i="1" s="1"/>
  <c r="G3963" i="1"/>
  <c r="H3964" i="1" s="1"/>
  <c r="F3963" i="1"/>
  <c r="D3963" i="1"/>
  <c r="L3963" i="1" s="1"/>
  <c r="K3962" i="1"/>
  <c r="N3962" i="1" s="1"/>
  <c r="J3962" i="1"/>
  <c r="M3962" i="1" s="1"/>
  <c r="G3962" i="1"/>
  <c r="H3963" i="1" s="1"/>
  <c r="F3962" i="1"/>
  <c r="D3962" i="1"/>
  <c r="L3962" i="1" s="1"/>
  <c r="K3961" i="1"/>
  <c r="N3961" i="1" s="1"/>
  <c r="J3961" i="1"/>
  <c r="M3961" i="1" s="1"/>
  <c r="G3961" i="1"/>
  <c r="H3962" i="1" s="1"/>
  <c r="F3961" i="1"/>
  <c r="D3961" i="1"/>
  <c r="L3961" i="1" s="1"/>
  <c r="K3960" i="1"/>
  <c r="N3960" i="1" s="1"/>
  <c r="J3960" i="1"/>
  <c r="M3960" i="1" s="1"/>
  <c r="G3960" i="1"/>
  <c r="H3961" i="1" s="1"/>
  <c r="F3960" i="1"/>
  <c r="D3960" i="1"/>
  <c r="L3960" i="1" s="1"/>
  <c r="K3959" i="1"/>
  <c r="N3959" i="1" s="1"/>
  <c r="J3959" i="1"/>
  <c r="M3959" i="1" s="1"/>
  <c r="G3959" i="1"/>
  <c r="H3960" i="1" s="1"/>
  <c r="F3959" i="1"/>
  <c r="D3959" i="1"/>
  <c r="L3959" i="1" s="1"/>
  <c r="K3958" i="1"/>
  <c r="N3958" i="1" s="1"/>
  <c r="J3958" i="1"/>
  <c r="M3958" i="1" s="1"/>
  <c r="G3958" i="1"/>
  <c r="H3959" i="1" s="1"/>
  <c r="F3958" i="1"/>
  <c r="D3958" i="1"/>
  <c r="L3958" i="1" s="1"/>
  <c r="K3957" i="1"/>
  <c r="N3957" i="1" s="1"/>
  <c r="J3957" i="1"/>
  <c r="M3957" i="1" s="1"/>
  <c r="G3957" i="1"/>
  <c r="H3958" i="1" s="1"/>
  <c r="F3957" i="1"/>
  <c r="D3957" i="1"/>
  <c r="L3957" i="1" s="1"/>
  <c r="K3956" i="1"/>
  <c r="N3956" i="1" s="1"/>
  <c r="J3956" i="1"/>
  <c r="M3956" i="1" s="1"/>
  <c r="G3956" i="1"/>
  <c r="H3957" i="1" s="1"/>
  <c r="F3956" i="1"/>
  <c r="D3956" i="1"/>
  <c r="L3956" i="1" s="1"/>
  <c r="K3955" i="1"/>
  <c r="N3955" i="1" s="1"/>
  <c r="J3955" i="1"/>
  <c r="M3955" i="1" s="1"/>
  <c r="G3955" i="1"/>
  <c r="H3956" i="1" s="1"/>
  <c r="F3955" i="1"/>
  <c r="D3955" i="1"/>
  <c r="L3955" i="1" s="1"/>
  <c r="K3954" i="1"/>
  <c r="N3954" i="1" s="1"/>
  <c r="J3954" i="1"/>
  <c r="M3954" i="1" s="1"/>
  <c r="G3954" i="1"/>
  <c r="H3955" i="1" s="1"/>
  <c r="F3954" i="1"/>
  <c r="D3954" i="1"/>
  <c r="L3954" i="1" s="1"/>
  <c r="K3953" i="1"/>
  <c r="N3953" i="1" s="1"/>
  <c r="J3953" i="1"/>
  <c r="M3953" i="1" s="1"/>
  <c r="G3953" i="1"/>
  <c r="H3954" i="1" s="1"/>
  <c r="F3953" i="1"/>
  <c r="D3953" i="1"/>
  <c r="L3953" i="1" s="1"/>
  <c r="K3952" i="1"/>
  <c r="N3952" i="1" s="1"/>
  <c r="J3952" i="1"/>
  <c r="M3952" i="1" s="1"/>
  <c r="G3952" i="1"/>
  <c r="H3953" i="1" s="1"/>
  <c r="F3952" i="1"/>
  <c r="D3952" i="1"/>
  <c r="L3952" i="1" s="1"/>
  <c r="K3951" i="1"/>
  <c r="N3951" i="1" s="1"/>
  <c r="J3951" i="1"/>
  <c r="M3951" i="1" s="1"/>
  <c r="G3951" i="1"/>
  <c r="H3952" i="1" s="1"/>
  <c r="F3951" i="1"/>
  <c r="D3951" i="1"/>
  <c r="L3951" i="1" s="1"/>
  <c r="K3950" i="1"/>
  <c r="N3950" i="1" s="1"/>
  <c r="J3950" i="1"/>
  <c r="M3950" i="1" s="1"/>
  <c r="G3950" i="1"/>
  <c r="H3951" i="1" s="1"/>
  <c r="F3950" i="1"/>
  <c r="D3950" i="1"/>
  <c r="L3950" i="1" s="1"/>
  <c r="K3949" i="1"/>
  <c r="N3949" i="1" s="1"/>
  <c r="J3949" i="1"/>
  <c r="M3949" i="1" s="1"/>
  <c r="G3949" i="1"/>
  <c r="H3950" i="1" s="1"/>
  <c r="F3949" i="1"/>
  <c r="D3949" i="1"/>
  <c r="L3949" i="1" s="1"/>
  <c r="K3948" i="1"/>
  <c r="N3948" i="1" s="1"/>
  <c r="J3948" i="1"/>
  <c r="M3948" i="1" s="1"/>
  <c r="G3948" i="1"/>
  <c r="H3949" i="1" s="1"/>
  <c r="F3948" i="1"/>
  <c r="D3948" i="1"/>
  <c r="L3948" i="1" s="1"/>
  <c r="K3947" i="1"/>
  <c r="N3947" i="1" s="1"/>
  <c r="J3947" i="1"/>
  <c r="M3947" i="1" s="1"/>
  <c r="G3947" i="1"/>
  <c r="H3948" i="1" s="1"/>
  <c r="F3947" i="1"/>
  <c r="D3947" i="1"/>
  <c r="L3947" i="1" s="1"/>
  <c r="K3946" i="1"/>
  <c r="N3946" i="1" s="1"/>
  <c r="J3946" i="1"/>
  <c r="M3946" i="1" s="1"/>
  <c r="G3946" i="1"/>
  <c r="H3947" i="1" s="1"/>
  <c r="F3946" i="1"/>
  <c r="D3946" i="1"/>
  <c r="L3946" i="1" s="1"/>
  <c r="K3945" i="1"/>
  <c r="N3945" i="1" s="1"/>
  <c r="J3945" i="1"/>
  <c r="M3945" i="1" s="1"/>
  <c r="G3945" i="1"/>
  <c r="H3946" i="1" s="1"/>
  <c r="F3945" i="1"/>
  <c r="D3945" i="1"/>
  <c r="L3945" i="1" s="1"/>
  <c r="K3944" i="1"/>
  <c r="N3944" i="1" s="1"/>
  <c r="J3944" i="1"/>
  <c r="M3944" i="1" s="1"/>
  <c r="G3944" i="1"/>
  <c r="H3945" i="1" s="1"/>
  <c r="F3944" i="1"/>
  <c r="D3944" i="1"/>
  <c r="L3944" i="1" s="1"/>
  <c r="K3943" i="1"/>
  <c r="N3943" i="1" s="1"/>
  <c r="J3943" i="1"/>
  <c r="M3943" i="1" s="1"/>
  <c r="G3943" i="1"/>
  <c r="H3944" i="1" s="1"/>
  <c r="F3943" i="1"/>
  <c r="D3943" i="1"/>
  <c r="L3943" i="1" s="1"/>
  <c r="K3942" i="1"/>
  <c r="N3942" i="1" s="1"/>
  <c r="J3942" i="1"/>
  <c r="M3942" i="1" s="1"/>
  <c r="G3942" i="1"/>
  <c r="H3943" i="1" s="1"/>
  <c r="F3942" i="1"/>
  <c r="D3942" i="1"/>
  <c r="L3942" i="1" s="1"/>
  <c r="K3941" i="1"/>
  <c r="N3941" i="1" s="1"/>
  <c r="J3941" i="1"/>
  <c r="M3941" i="1" s="1"/>
  <c r="G3941" i="1"/>
  <c r="H3942" i="1" s="1"/>
  <c r="F3941" i="1"/>
  <c r="D3941" i="1"/>
  <c r="L3941" i="1" s="1"/>
  <c r="K3940" i="1"/>
  <c r="N3940" i="1" s="1"/>
  <c r="J3940" i="1"/>
  <c r="M3940" i="1" s="1"/>
  <c r="G3940" i="1"/>
  <c r="H3941" i="1" s="1"/>
  <c r="F3940" i="1"/>
  <c r="D3940" i="1"/>
  <c r="L3940" i="1" s="1"/>
  <c r="K3939" i="1"/>
  <c r="N3939" i="1" s="1"/>
  <c r="J3939" i="1"/>
  <c r="M3939" i="1" s="1"/>
  <c r="G3939" i="1"/>
  <c r="H3940" i="1" s="1"/>
  <c r="F3939" i="1"/>
  <c r="D3939" i="1"/>
  <c r="L3939" i="1" s="1"/>
  <c r="K3938" i="1"/>
  <c r="N3938" i="1" s="1"/>
  <c r="J3938" i="1"/>
  <c r="M3938" i="1" s="1"/>
  <c r="G3938" i="1"/>
  <c r="H3939" i="1" s="1"/>
  <c r="F3938" i="1"/>
  <c r="D3938" i="1"/>
  <c r="L3938" i="1" s="1"/>
  <c r="K3937" i="1"/>
  <c r="N3937" i="1" s="1"/>
  <c r="J3937" i="1"/>
  <c r="M3937" i="1" s="1"/>
  <c r="G3937" i="1"/>
  <c r="H3938" i="1" s="1"/>
  <c r="F3937" i="1"/>
  <c r="D3937" i="1"/>
  <c r="L3937" i="1" s="1"/>
  <c r="K3936" i="1"/>
  <c r="N3936" i="1" s="1"/>
  <c r="J3936" i="1"/>
  <c r="M3936" i="1" s="1"/>
  <c r="G3936" i="1"/>
  <c r="H3937" i="1" s="1"/>
  <c r="F3936" i="1"/>
  <c r="D3936" i="1"/>
  <c r="L3936" i="1" s="1"/>
  <c r="K3935" i="1"/>
  <c r="N3935" i="1" s="1"/>
  <c r="J3935" i="1"/>
  <c r="M3935" i="1" s="1"/>
  <c r="G3935" i="1"/>
  <c r="H3936" i="1" s="1"/>
  <c r="F3935" i="1"/>
  <c r="D3935" i="1"/>
  <c r="L3935" i="1" s="1"/>
  <c r="K3934" i="1"/>
  <c r="N3934" i="1" s="1"/>
  <c r="J3934" i="1"/>
  <c r="M3934" i="1" s="1"/>
  <c r="G3934" i="1"/>
  <c r="H3935" i="1" s="1"/>
  <c r="F3934" i="1"/>
  <c r="D3934" i="1"/>
  <c r="L3934" i="1" s="1"/>
  <c r="K3933" i="1"/>
  <c r="N3933" i="1" s="1"/>
  <c r="J3933" i="1"/>
  <c r="M3933" i="1" s="1"/>
  <c r="G3933" i="1"/>
  <c r="H3934" i="1" s="1"/>
  <c r="F3933" i="1"/>
  <c r="D3933" i="1"/>
  <c r="L3933" i="1" s="1"/>
  <c r="K3932" i="1"/>
  <c r="N3932" i="1" s="1"/>
  <c r="J3932" i="1"/>
  <c r="M3932" i="1" s="1"/>
  <c r="G3932" i="1"/>
  <c r="H3933" i="1" s="1"/>
  <c r="F3932" i="1"/>
  <c r="D3932" i="1"/>
  <c r="L3932" i="1" s="1"/>
  <c r="K3931" i="1"/>
  <c r="N3931" i="1" s="1"/>
  <c r="J3931" i="1"/>
  <c r="M3931" i="1" s="1"/>
  <c r="G3931" i="1"/>
  <c r="H3932" i="1" s="1"/>
  <c r="F3931" i="1"/>
  <c r="D3931" i="1"/>
  <c r="L3931" i="1" s="1"/>
  <c r="K3930" i="1"/>
  <c r="N3930" i="1" s="1"/>
  <c r="J3930" i="1"/>
  <c r="M3930" i="1" s="1"/>
  <c r="G3930" i="1"/>
  <c r="H3931" i="1" s="1"/>
  <c r="F3930" i="1"/>
  <c r="D3930" i="1"/>
  <c r="L3930" i="1" s="1"/>
  <c r="K3929" i="1"/>
  <c r="N3929" i="1" s="1"/>
  <c r="J3929" i="1"/>
  <c r="M3929" i="1" s="1"/>
  <c r="G3929" i="1"/>
  <c r="H3930" i="1" s="1"/>
  <c r="F3929" i="1"/>
  <c r="D3929" i="1"/>
  <c r="L3929" i="1" s="1"/>
  <c r="K3928" i="1"/>
  <c r="N3928" i="1" s="1"/>
  <c r="J3928" i="1"/>
  <c r="M3928" i="1" s="1"/>
  <c r="G3928" i="1"/>
  <c r="H3929" i="1" s="1"/>
  <c r="F3928" i="1"/>
  <c r="D3928" i="1"/>
  <c r="L3928" i="1" s="1"/>
  <c r="K3927" i="1"/>
  <c r="N3927" i="1" s="1"/>
  <c r="J3927" i="1"/>
  <c r="M3927" i="1" s="1"/>
  <c r="G3927" i="1"/>
  <c r="H3928" i="1" s="1"/>
  <c r="F3927" i="1"/>
  <c r="D3927" i="1"/>
  <c r="L3927" i="1" s="1"/>
  <c r="K3926" i="1"/>
  <c r="N3926" i="1" s="1"/>
  <c r="J3926" i="1"/>
  <c r="M3926" i="1" s="1"/>
  <c r="G3926" i="1"/>
  <c r="H3927" i="1" s="1"/>
  <c r="F3926" i="1"/>
  <c r="D3926" i="1"/>
  <c r="L3926" i="1" s="1"/>
  <c r="K3925" i="1"/>
  <c r="N3925" i="1" s="1"/>
  <c r="J3925" i="1"/>
  <c r="M3925" i="1" s="1"/>
  <c r="G3925" i="1"/>
  <c r="H3926" i="1" s="1"/>
  <c r="F3925" i="1"/>
  <c r="D3925" i="1"/>
  <c r="L3925" i="1" s="1"/>
  <c r="K3924" i="1"/>
  <c r="N3924" i="1" s="1"/>
  <c r="J3924" i="1"/>
  <c r="M3924" i="1" s="1"/>
  <c r="G3924" i="1"/>
  <c r="H3925" i="1" s="1"/>
  <c r="F3924" i="1"/>
  <c r="D3924" i="1"/>
  <c r="L3924" i="1" s="1"/>
  <c r="K3923" i="1"/>
  <c r="N3923" i="1" s="1"/>
  <c r="J3923" i="1"/>
  <c r="M3923" i="1" s="1"/>
  <c r="G3923" i="1"/>
  <c r="H3924" i="1" s="1"/>
  <c r="F3923" i="1"/>
  <c r="D3923" i="1"/>
  <c r="L3923" i="1" s="1"/>
  <c r="K3922" i="1"/>
  <c r="N3922" i="1" s="1"/>
  <c r="J3922" i="1"/>
  <c r="M3922" i="1" s="1"/>
  <c r="G3922" i="1"/>
  <c r="H3923" i="1" s="1"/>
  <c r="F3922" i="1"/>
  <c r="D3922" i="1"/>
  <c r="L3922" i="1" s="1"/>
  <c r="K3921" i="1"/>
  <c r="N3921" i="1" s="1"/>
  <c r="J3921" i="1"/>
  <c r="M3921" i="1" s="1"/>
  <c r="G3921" i="1"/>
  <c r="H3922" i="1" s="1"/>
  <c r="F3921" i="1"/>
  <c r="D3921" i="1"/>
  <c r="L3921" i="1" s="1"/>
  <c r="K3920" i="1"/>
  <c r="N3920" i="1" s="1"/>
  <c r="J3920" i="1"/>
  <c r="M3920" i="1" s="1"/>
  <c r="G3920" i="1"/>
  <c r="H3921" i="1" s="1"/>
  <c r="F3920" i="1"/>
  <c r="D3920" i="1"/>
  <c r="L3920" i="1" s="1"/>
  <c r="K3919" i="1"/>
  <c r="N3919" i="1" s="1"/>
  <c r="J3919" i="1"/>
  <c r="M3919" i="1" s="1"/>
  <c r="G3919" i="1"/>
  <c r="H3920" i="1" s="1"/>
  <c r="F3919" i="1"/>
  <c r="D3919" i="1"/>
  <c r="L3919" i="1" s="1"/>
  <c r="K3918" i="1"/>
  <c r="N3918" i="1" s="1"/>
  <c r="J3918" i="1"/>
  <c r="M3918" i="1" s="1"/>
  <c r="G3918" i="1"/>
  <c r="H3919" i="1" s="1"/>
  <c r="F3918" i="1"/>
  <c r="D3918" i="1"/>
  <c r="L3918" i="1" s="1"/>
  <c r="K3917" i="1"/>
  <c r="N3917" i="1" s="1"/>
  <c r="J3917" i="1"/>
  <c r="M3917" i="1" s="1"/>
  <c r="G3917" i="1"/>
  <c r="H3918" i="1" s="1"/>
  <c r="F3917" i="1"/>
  <c r="D3917" i="1"/>
  <c r="L3917" i="1" s="1"/>
  <c r="K3916" i="1"/>
  <c r="N3916" i="1" s="1"/>
  <c r="J3916" i="1"/>
  <c r="M3916" i="1" s="1"/>
  <c r="G3916" i="1"/>
  <c r="H3917" i="1" s="1"/>
  <c r="F3916" i="1"/>
  <c r="D3916" i="1"/>
  <c r="L3916" i="1" s="1"/>
  <c r="K3915" i="1"/>
  <c r="N3915" i="1" s="1"/>
  <c r="J3915" i="1"/>
  <c r="M3915" i="1" s="1"/>
  <c r="G3915" i="1"/>
  <c r="H3916" i="1" s="1"/>
  <c r="F3915" i="1"/>
  <c r="D3915" i="1"/>
  <c r="L3915" i="1" s="1"/>
  <c r="K3914" i="1"/>
  <c r="N3914" i="1" s="1"/>
  <c r="J3914" i="1"/>
  <c r="M3914" i="1" s="1"/>
  <c r="G3914" i="1"/>
  <c r="H3915" i="1" s="1"/>
  <c r="F3914" i="1"/>
  <c r="D3914" i="1"/>
  <c r="L3914" i="1" s="1"/>
  <c r="K3913" i="1"/>
  <c r="N3913" i="1" s="1"/>
  <c r="J3913" i="1"/>
  <c r="M3913" i="1" s="1"/>
  <c r="G3913" i="1"/>
  <c r="H3914" i="1" s="1"/>
  <c r="F3913" i="1"/>
  <c r="D3913" i="1"/>
  <c r="L3913" i="1" s="1"/>
  <c r="K3912" i="1"/>
  <c r="N3912" i="1" s="1"/>
  <c r="J3912" i="1"/>
  <c r="M3912" i="1" s="1"/>
  <c r="G3912" i="1"/>
  <c r="H3913" i="1" s="1"/>
  <c r="F3912" i="1"/>
  <c r="D3912" i="1"/>
  <c r="L3912" i="1" s="1"/>
  <c r="K3911" i="1"/>
  <c r="N3911" i="1" s="1"/>
  <c r="J3911" i="1"/>
  <c r="M3911" i="1" s="1"/>
  <c r="G3911" i="1"/>
  <c r="H3912" i="1" s="1"/>
  <c r="F3911" i="1"/>
  <c r="D3911" i="1"/>
  <c r="L3911" i="1" s="1"/>
  <c r="K3910" i="1"/>
  <c r="N3910" i="1" s="1"/>
  <c r="J3910" i="1"/>
  <c r="M3910" i="1" s="1"/>
  <c r="G3910" i="1"/>
  <c r="H3911" i="1" s="1"/>
  <c r="F3910" i="1"/>
  <c r="D3910" i="1"/>
  <c r="L3910" i="1" s="1"/>
  <c r="K3909" i="1"/>
  <c r="N3909" i="1" s="1"/>
  <c r="J3909" i="1"/>
  <c r="M3909" i="1" s="1"/>
  <c r="G3909" i="1"/>
  <c r="H3910" i="1" s="1"/>
  <c r="F3909" i="1"/>
  <c r="D3909" i="1"/>
  <c r="L3909" i="1" s="1"/>
  <c r="K3908" i="1"/>
  <c r="N3908" i="1" s="1"/>
  <c r="J3908" i="1"/>
  <c r="M3908" i="1" s="1"/>
  <c r="G3908" i="1"/>
  <c r="H3909" i="1" s="1"/>
  <c r="F3908" i="1"/>
  <c r="D3908" i="1"/>
  <c r="L3908" i="1" s="1"/>
  <c r="K3907" i="1"/>
  <c r="N3907" i="1" s="1"/>
  <c r="J3907" i="1"/>
  <c r="M3907" i="1" s="1"/>
  <c r="G3907" i="1"/>
  <c r="H3908" i="1" s="1"/>
  <c r="F3907" i="1"/>
  <c r="D3907" i="1"/>
  <c r="L3907" i="1" s="1"/>
  <c r="K3906" i="1"/>
  <c r="N3906" i="1" s="1"/>
  <c r="J3906" i="1"/>
  <c r="M3906" i="1" s="1"/>
  <c r="G3906" i="1"/>
  <c r="H3907" i="1" s="1"/>
  <c r="F3906" i="1"/>
  <c r="D3906" i="1"/>
  <c r="L3906" i="1" s="1"/>
  <c r="K3905" i="1"/>
  <c r="N3905" i="1" s="1"/>
  <c r="J3905" i="1"/>
  <c r="M3905" i="1" s="1"/>
  <c r="G3905" i="1"/>
  <c r="H3906" i="1" s="1"/>
  <c r="F3905" i="1"/>
  <c r="D3905" i="1"/>
  <c r="L3905" i="1" s="1"/>
  <c r="K3904" i="1"/>
  <c r="N3904" i="1" s="1"/>
  <c r="J3904" i="1"/>
  <c r="M3904" i="1" s="1"/>
  <c r="G3904" i="1"/>
  <c r="H3905" i="1" s="1"/>
  <c r="F3904" i="1"/>
  <c r="D3904" i="1"/>
  <c r="L3904" i="1" s="1"/>
  <c r="K3903" i="1"/>
  <c r="N3903" i="1" s="1"/>
  <c r="J3903" i="1"/>
  <c r="M3903" i="1" s="1"/>
  <c r="G3903" i="1"/>
  <c r="H3904" i="1" s="1"/>
  <c r="F3903" i="1"/>
  <c r="D3903" i="1"/>
  <c r="L3903" i="1" s="1"/>
  <c r="K3902" i="1"/>
  <c r="N3902" i="1" s="1"/>
  <c r="J3902" i="1"/>
  <c r="M3902" i="1" s="1"/>
  <c r="G3902" i="1"/>
  <c r="H3903" i="1" s="1"/>
  <c r="F3902" i="1"/>
  <c r="D3902" i="1"/>
  <c r="L3902" i="1" s="1"/>
  <c r="K3901" i="1"/>
  <c r="N3901" i="1" s="1"/>
  <c r="J3901" i="1"/>
  <c r="M3901" i="1" s="1"/>
  <c r="G3901" i="1"/>
  <c r="H3902" i="1" s="1"/>
  <c r="F3901" i="1"/>
  <c r="D3901" i="1"/>
  <c r="L3901" i="1" s="1"/>
  <c r="K3900" i="1"/>
  <c r="N3900" i="1" s="1"/>
  <c r="J3900" i="1"/>
  <c r="M3900" i="1" s="1"/>
  <c r="G3900" i="1"/>
  <c r="H3901" i="1" s="1"/>
  <c r="F3900" i="1"/>
  <c r="D3900" i="1"/>
  <c r="L3900" i="1" s="1"/>
  <c r="K3899" i="1"/>
  <c r="N3899" i="1" s="1"/>
  <c r="J3899" i="1"/>
  <c r="M3899" i="1" s="1"/>
  <c r="G3899" i="1"/>
  <c r="H3900" i="1" s="1"/>
  <c r="F3899" i="1"/>
  <c r="D3899" i="1"/>
  <c r="L3899" i="1" s="1"/>
  <c r="K3898" i="1"/>
  <c r="N3898" i="1" s="1"/>
  <c r="J3898" i="1"/>
  <c r="M3898" i="1" s="1"/>
  <c r="G3898" i="1"/>
  <c r="H3899" i="1" s="1"/>
  <c r="F3898" i="1"/>
  <c r="D3898" i="1"/>
  <c r="L3898" i="1" s="1"/>
  <c r="K3897" i="1"/>
  <c r="N3897" i="1" s="1"/>
  <c r="J3897" i="1"/>
  <c r="M3897" i="1" s="1"/>
  <c r="G3897" i="1"/>
  <c r="H3898" i="1" s="1"/>
  <c r="F3897" i="1"/>
  <c r="D3897" i="1"/>
  <c r="L3897" i="1" s="1"/>
  <c r="K3896" i="1"/>
  <c r="N3896" i="1" s="1"/>
  <c r="J3896" i="1"/>
  <c r="M3896" i="1" s="1"/>
  <c r="G3896" i="1"/>
  <c r="H3897" i="1" s="1"/>
  <c r="F3896" i="1"/>
  <c r="D3896" i="1"/>
  <c r="L3896" i="1" s="1"/>
  <c r="K3895" i="1"/>
  <c r="N3895" i="1" s="1"/>
  <c r="J3895" i="1"/>
  <c r="M3895" i="1" s="1"/>
  <c r="G3895" i="1"/>
  <c r="H3896" i="1" s="1"/>
  <c r="F3895" i="1"/>
  <c r="D3895" i="1"/>
  <c r="L3895" i="1" s="1"/>
  <c r="K3894" i="1"/>
  <c r="N3894" i="1" s="1"/>
  <c r="J3894" i="1"/>
  <c r="M3894" i="1" s="1"/>
  <c r="G3894" i="1"/>
  <c r="H3895" i="1" s="1"/>
  <c r="F3894" i="1"/>
  <c r="D3894" i="1"/>
  <c r="L3894" i="1" s="1"/>
  <c r="K3893" i="1"/>
  <c r="N3893" i="1" s="1"/>
  <c r="J3893" i="1"/>
  <c r="M3893" i="1" s="1"/>
  <c r="G3893" i="1"/>
  <c r="H3894" i="1" s="1"/>
  <c r="F3893" i="1"/>
  <c r="D3893" i="1"/>
  <c r="L3893" i="1" s="1"/>
  <c r="K3892" i="1"/>
  <c r="N3892" i="1" s="1"/>
  <c r="J3892" i="1"/>
  <c r="M3892" i="1" s="1"/>
  <c r="G3892" i="1"/>
  <c r="H3893" i="1" s="1"/>
  <c r="F3892" i="1"/>
  <c r="D3892" i="1"/>
  <c r="L3892" i="1" s="1"/>
  <c r="K3891" i="1"/>
  <c r="N3891" i="1" s="1"/>
  <c r="J3891" i="1"/>
  <c r="M3891" i="1" s="1"/>
  <c r="G3891" i="1"/>
  <c r="H3892" i="1" s="1"/>
  <c r="F3891" i="1"/>
  <c r="D3891" i="1"/>
  <c r="L3891" i="1" s="1"/>
  <c r="K3890" i="1"/>
  <c r="N3890" i="1" s="1"/>
  <c r="J3890" i="1"/>
  <c r="M3890" i="1" s="1"/>
  <c r="G3890" i="1"/>
  <c r="H3891" i="1" s="1"/>
  <c r="F3890" i="1"/>
  <c r="D3890" i="1"/>
  <c r="L3890" i="1" s="1"/>
  <c r="K3889" i="1"/>
  <c r="N3889" i="1" s="1"/>
  <c r="J3889" i="1"/>
  <c r="M3889" i="1" s="1"/>
  <c r="G3889" i="1"/>
  <c r="H3890" i="1" s="1"/>
  <c r="F3889" i="1"/>
  <c r="D3889" i="1"/>
  <c r="L3889" i="1" s="1"/>
  <c r="K3888" i="1"/>
  <c r="N3888" i="1" s="1"/>
  <c r="J3888" i="1"/>
  <c r="M3888" i="1" s="1"/>
  <c r="G3888" i="1"/>
  <c r="H3889" i="1" s="1"/>
  <c r="F3888" i="1"/>
  <c r="D3888" i="1"/>
  <c r="L3888" i="1" s="1"/>
  <c r="K3887" i="1"/>
  <c r="N3887" i="1" s="1"/>
  <c r="J3887" i="1"/>
  <c r="M3887" i="1" s="1"/>
  <c r="G3887" i="1"/>
  <c r="H3888" i="1" s="1"/>
  <c r="F3887" i="1"/>
  <c r="D3887" i="1"/>
  <c r="L3887" i="1" s="1"/>
  <c r="K3886" i="1"/>
  <c r="N3886" i="1" s="1"/>
  <c r="J3886" i="1"/>
  <c r="M3886" i="1" s="1"/>
  <c r="G3886" i="1"/>
  <c r="H3887" i="1" s="1"/>
  <c r="F3886" i="1"/>
  <c r="D3886" i="1"/>
  <c r="L3886" i="1" s="1"/>
  <c r="K3885" i="1"/>
  <c r="N3885" i="1" s="1"/>
  <c r="J3885" i="1"/>
  <c r="M3885" i="1" s="1"/>
  <c r="G3885" i="1"/>
  <c r="H3886" i="1" s="1"/>
  <c r="F3885" i="1"/>
  <c r="D3885" i="1"/>
  <c r="L3885" i="1" s="1"/>
  <c r="K3884" i="1"/>
  <c r="N3884" i="1" s="1"/>
  <c r="J3884" i="1"/>
  <c r="M3884" i="1" s="1"/>
  <c r="G3884" i="1"/>
  <c r="H3885" i="1" s="1"/>
  <c r="F3884" i="1"/>
  <c r="D3884" i="1"/>
  <c r="L3884" i="1" s="1"/>
  <c r="K3883" i="1"/>
  <c r="N3883" i="1" s="1"/>
  <c r="J3883" i="1"/>
  <c r="M3883" i="1" s="1"/>
  <c r="G3883" i="1"/>
  <c r="H3884" i="1" s="1"/>
  <c r="F3883" i="1"/>
  <c r="D3883" i="1"/>
  <c r="L3883" i="1" s="1"/>
  <c r="K3882" i="1"/>
  <c r="N3882" i="1" s="1"/>
  <c r="J3882" i="1"/>
  <c r="M3882" i="1" s="1"/>
  <c r="G3882" i="1"/>
  <c r="H3883" i="1" s="1"/>
  <c r="F3882" i="1"/>
  <c r="D3882" i="1"/>
  <c r="L3882" i="1" s="1"/>
  <c r="K3881" i="1"/>
  <c r="N3881" i="1" s="1"/>
  <c r="J3881" i="1"/>
  <c r="M3881" i="1" s="1"/>
  <c r="G3881" i="1"/>
  <c r="H3882" i="1" s="1"/>
  <c r="F3881" i="1"/>
  <c r="D3881" i="1"/>
  <c r="L3881" i="1" s="1"/>
  <c r="K3880" i="1"/>
  <c r="N3880" i="1" s="1"/>
  <c r="J3880" i="1"/>
  <c r="M3880" i="1" s="1"/>
  <c r="G3880" i="1"/>
  <c r="H3881" i="1" s="1"/>
  <c r="F3880" i="1"/>
  <c r="D3880" i="1"/>
  <c r="L3880" i="1" s="1"/>
  <c r="K3879" i="1"/>
  <c r="N3879" i="1" s="1"/>
  <c r="J3879" i="1"/>
  <c r="M3879" i="1" s="1"/>
  <c r="G3879" i="1"/>
  <c r="H3880" i="1" s="1"/>
  <c r="F3879" i="1"/>
  <c r="D3879" i="1"/>
  <c r="L3879" i="1" s="1"/>
  <c r="K3878" i="1"/>
  <c r="N3878" i="1" s="1"/>
  <c r="J3878" i="1"/>
  <c r="M3878" i="1" s="1"/>
  <c r="G3878" i="1"/>
  <c r="H3879" i="1" s="1"/>
  <c r="F3878" i="1"/>
  <c r="D3878" i="1"/>
  <c r="L3878" i="1" s="1"/>
  <c r="K3877" i="1"/>
  <c r="N3877" i="1" s="1"/>
  <c r="J3877" i="1"/>
  <c r="M3877" i="1" s="1"/>
  <c r="G3877" i="1"/>
  <c r="H3878" i="1" s="1"/>
  <c r="F3877" i="1"/>
  <c r="D3877" i="1"/>
  <c r="L3877" i="1" s="1"/>
  <c r="K3876" i="1"/>
  <c r="N3876" i="1" s="1"/>
  <c r="J3876" i="1"/>
  <c r="M3876" i="1" s="1"/>
  <c r="G3876" i="1"/>
  <c r="H3877" i="1" s="1"/>
  <c r="F3876" i="1"/>
  <c r="D3876" i="1"/>
  <c r="L3876" i="1" s="1"/>
  <c r="K3875" i="1"/>
  <c r="N3875" i="1" s="1"/>
  <c r="J3875" i="1"/>
  <c r="M3875" i="1" s="1"/>
  <c r="G3875" i="1"/>
  <c r="H3876" i="1" s="1"/>
  <c r="F3875" i="1"/>
  <c r="D3875" i="1"/>
  <c r="L3875" i="1" s="1"/>
  <c r="K3874" i="1"/>
  <c r="N3874" i="1" s="1"/>
  <c r="J3874" i="1"/>
  <c r="M3874" i="1" s="1"/>
  <c r="G3874" i="1"/>
  <c r="H3875" i="1" s="1"/>
  <c r="F3874" i="1"/>
  <c r="D3874" i="1"/>
  <c r="L3874" i="1" s="1"/>
  <c r="K3873" i="1"/>
  <c r="N3873" i="1" s="1"/>
  <c r="J3873" i="1"/>
  <c r="M3873" i="1" s="1"/>
  <c r="G3873" i="1"/>
  <c r="H3874" i="1" s="1"/>
  <c r="F3873" i="1"/>
  <c r="D3873" i="1"/>
  <c r="L3873" i="1" s="1"/>
  <c r="K3872" i="1"/>
  <c r="N3872" i="1" s="1"/>
  <c r="J3872" i="1"/>
  <c r="M3872" i="1" s="1"/>
  <c r="G3872" i="1"/>
  <c r="H3873" i="1" s="1"/>
  <c r="F3872" i="1"/>
  <c r="D3872" i="1"/>
  <c r="L3872" i="1" s="1"/>
  <c r="K3871" i="1"/>
  <c r="N3871" i="1" s="1"/>
  <c r="J3871" i="1"/>
  <c r="M3871" i="1" s="1"/>
  <c r="G3871" i="1"/>
  <c r="H3872" i="1" s="1"/>
  <c r="F3871" i="1"/>
  <c r="D3871" i="1"/>
  <c r="L3871" i="1" s="1"/>
  <c r="K3870" i="1"/>
  <c r="N3870" i="1" s="1"/>
  <c r="J3870" i="1"/>
  <c r="M3870" i="1" s="1"/>
  <c r="G3870" i="1"/>
  <c r="H3871" i="1" s="1"/>
  <c r="F3870" i="1"/>
  <c r="D3870" i="1"/>
  <c r="L3870" i="1" s="1"/>
  <c r="K3869" i="1"/>
  <c r="N3869" i="1" s="1"/>
  <c r="J3869" i="1"/>
  <c r="M3869" i="1" s="1"/>
  <c r="G3869" i="1"/>
  <c r="H3870" i="1" s="1"/>
  <c r="F3869" i="1"/>
  <c r="D3869" i="1"/>
  <c r="L3869" i="1" s="1"/>
  <c r="K3868" i="1"/>
  <c r="N3868" i="1" s="1"/>
  <c r="J3868" i="1"/>
  <c r="M3868" i="1" s="1"/>
  <c r="G3868" i="1"/>
  <c r="H3869" i="1" s="1"/>
  <c r="F3868" i="1"/>
  <c r="D3868" i="1"/>
  <c r="L3868" i="1" s="1"/>
  <c r="K3867" i="1"/>
  <c r="N3867" i="1" s="1"/>
  <c r="J3867" i="1"/>
  <c r="M3867" i="1" s="1"/>
  <c r="G3867" i="1"/>
  <c r="H3868" i="1" s="1"/>
  <c r="F3867" i="1"/>
  <c r="D3867" i="1"/>
  <c r="L3867" i="1" s="1"/>
  <c r="K3866" i="1"/>
  <c r="N3866" i="1" s="1"/>
  <c r="J3866" i="1"/>
  <c r="M3866" i="1" s="1"/>
  <c r="G3866" i="1"/>
  <c r="H3867" i="1" s="1"/>
  <c r="F3866" i="1"/>
  <c r="D3866" i="1"/>
  <c r="L3866" i="1" s="1"/>
  <c r="K3865" i="1"/>
  <c r="N3865" i="1" s="1"/>
  <c r="J3865" i="1"/>
  <c r="M3865" i="1" s="1"/>
  <c r="G3865" i="1"/>
  <c r="H3866" i="1" s="1"/>
  <c r="F3865" i="1"/>
  <c r="D3865" i="1"/>
  <c r="L3865" i="1" s="1"/>
  <c r="K3864" i="1"/>
  <c r="N3864" i="1" s="1"/>
  <c r="J3864" i="1"/>
  <c r="M3864" i="1" s="1"/>
  <c r="G3864" i="1"/>
  <c r="H3865" i="1" s="1"/>
  <c r="F3864" i="1"/>
  <c r="D3864" i="1"/>
  <c r="L3864" i="1" s="1"/>
  <c r="K3863" i="1"/>
  <c r="N3863" i="1" s="1"/>
  <c r="J3863" i="1"/>
  <c r="M3863" i="1" s="1"/>
  <c r="G3863" i="1"/>
  <c r="H3864" i="1" s="1"/>
  <c r="F3863" i="1"/>
  <c r="D3863" i="1"/>
  <c r="L3863" i="1" s="1"/>
  <c r="K3862" i="1"/>
  <c r="N3862" i="1" s="1"/>
  <c r="J3862" i="1"/>
  <c r="M3862" i="1" s="1"/>
  <c r="G3862" i="1"/>
  <c r="H3863" i="1" s="1"/>
  <c r="F3862" i="1"/>
  <c r="D3862" i="1"/>
  <c r="L3862" i="1" s="1"/>
  <c r="K3861" i="1"/>
  <c r="N3861" i="1" s="1"/>
  <c r="J3861" i="1"/>
  <c r="M3861" i="1" s="1"/>
  <c r="G3861" i="1"/>
  <c r="H3862" i="1" s="1"/>
  <c r="F3861" i="1"/>
  <c r="D3861" i="1"/>
  <c r="L3861" i="1" s="1"/>
  <c r="K3860" i="1"/>
  <c r="N3860" i="1" s="1"/>
  <c r="J3860" i="1"/>
  <c r="M3860" i="1" s="1"/>
  <c r="G3860" i="1"/>
  <c r="H3861" i="1" s="1"/>
  <c r="F3860" i="1"/>
  <c r="D3860" i="1"/>
  <c r="L3860" i="1" s="1"/>
  <c r="K3859" i="1"/>
  <c r="N3859" i="1" s="1"/>
  <c r="J3859" i="1"/>
  <c r="M3859" i="1" s="1"/>
  <c r="G3859" i="1"/>
  <c r="H3860" i="1" s="1"/>
  <c r="F3859" i="1"/>
  <c r="D3859" i="1"/>
  <c r="L3859" i="1" s="1"/>
  <c r="K3858" i="1"/>
  <c r="N3858" i="1" s="1"/>
  <c r="J3858" i="1"/>
  <c r="M3858" i="1" s="1"/>
  <c r="G3858" i="1"/>
  <c r="H3859" i="1" s="1"/>
  <c r="F3858" i="1"/>
  <c r="D3858" i="1"/>
  <c r="L3858" i="1" s="1"/>
  <c r="K3857" i="1"/>
  <c r="N3857" i="1" s="1"/>
  <c r="J3857" i="1"/>
  <c r="M3857" i="1" s="1"/>
  <c r="G3857" i="1"/>
  <c r="H3858" i="1" s="1"/>
  <c r="F3857" i="1"/>
  <c r="D3857" i="1"/>
  <c r="L3857" i="1" s="1"/>
  <c r="K3856" i="1"/>
  <c r="N3856" i="1" s="1"/>
  <c r="J3856" i="1"/>
  <c r="M3856" i="1" s="1"/>
  <c r="G3856" i="1"/>
  <c r="H3857" i="1" s="1"/>
  <c r="F3856" i="1"/>
  <c r="D3856" i="1"/>
  <c r="L3856" i="1" s="1"/>
  <c r="K3855" i="1"/>
  <c r="N3855" i="1" s="1"/>
  <c r="J3855" i="1"/>
  <c r="M3855" i="1" s="1"/>
  <c r="G3855" i="1"/>
  <c r="H3856" i="1" s="1"/>
  <c r="F3855" i="1"/>
  <c r="D3855" i="1"/>
  <c r="L3855" i="1" s="1"/>
  <c r="K3854" i="1"/>
  <c r="N3854" i="1" s="1"/>
  <c r="J3854" i="1"/>
  <c r="M3854" i="1" s="1"/>
  <c r="G3854" i="1"/>
  <c r="H3855" i="1" s="1"/>
  <c r="F3854" i="1"/>
  <c r="D3854" i="1"/>
  <c r="L3854" i="1" s="1"/>
  <c r="K3853" i="1"/>
  <c r="N3853" i="1" s="1"/>
  <c r="J3853" i="1"/>
  <c r="M3853" i="1" s="1"/>
  <c r="G3853" i="1"/>
  <c r="H3854" i="1" s="1"/>
  <c r="F3853" i="1"/>
  <c r="D3853" i="1"/>
  <c r="L3853" i="1" s="1"/>
  <c r="K3852" i="1"/>
  <c r="N3852" i="1" s="1"/>
  <c r="J3852" i="1"/>
  <c r="M3852" i="1" s="1"/>
  <c r="G3852" i="1"/>
  <c r="H3853" i="1" s="1"/>
  <c r="F3852" i="1"/>
  <c r="D3852" i="1"/>
  <c r="L3852" i="1" s="1"/>
  <c r="K3851" i="1"/>
  <c r="N3851" i="1" s="1"/>
  <c r="J3851" i="1"/>
  <c r="M3851" i="1" s="1"/>
  <c r="G3851" i="1"/>
  <c r="H3852" i="1" s="1"/>
  <c r="F3851" i="1"/>
  <c r="D3851" i="1"/>
  <c r="L3851" i="1" s="1"/>
  <c r="K3850" i="1"/>
  <c r="N3850" i="1" s="1"/>
  <c r="J3850" i="1"/>
  <c r="M3850" i="1" s="1"/>
  <c r="G3850" i="1"/>
  <c r="H3851" i="1" s="1"/>
  <c r="F3850" i="1"/>
  <c r="D3850" i="1"/>
  <c r="L3850" i="1" s="1"/>
  <c r="K3849" i="1"/>
  <c r="N3849" i="1" s="1"/>
  <c r="J3849" i="1"/>
  <c r="M3849" i="1" s="1"/>
  <c r="G3849" i="1"/>
  <c r="H3850" i="1" s="1"/>
  <c r="F3849" i="1"/>
  <c r="D3849" i="1"/>
  <c r="L3849" i="1" s="1"/>
  <c r="K3848" i="1"/>
  <c r="N3848" i="1" s="1"/>
  <c r="J3848" i="1"/>
  <c r="M3848" i="1" s="1"/>
  <c r="G3848" i="1"/>
  <c r="H3849" i="1" s="1"/>
  <c r="F3848" i="1"/>
  <c r="D3848" i="1"/>
  <c r="L3848" i="1" s="1"/>
  <c r="K3847" i="1"/>
  <c r="N3847" i="1" s="1"/>
  <c r="J3847" i="1"/>
  <c r="M3847" i="1" s="1"/>
  <c r="G3847" i="1"/>
  <c r="H3848" i="1" s="1"/>
  <c r="F3847" i="1"/>
  <c r="D3847" i="1"/>
  <c r="L3847" i="1" s="1"/>
  <c r="K3846" i="1"/>
  <c r="N3846" i="1" s="1"/>
  <c r="J3846" i="1"/>
  <c r="M3846" i="1" s="1"/>
  <c r="G3846" i="1"/>
  <c r="H3847" i="1" s="1"/>
  <c r="F3846" i="1"/>
  <c r="D3846" i="1"/>
  <c r="L3846" i="1" s="1"/>
  <c r="K3845" i="1"/>
  <c r="N3845" i="1" s="1"/>
  <c r="J3845" i="1"/>
  <c r="M3845" i="1" s="1"/>
  <c r="G3845" i="1"/>
  <c r="H3846" i="1" s="1"/>
  <c r="F3845" i="1"/>
  <c r="D3845" i="1"/>
  <c r="L3845" i="1" s="1"/>
  <c r="K3844" i="1"/>
  <c r="N3844" i="1" s="1"/>
  <c r="J3844" i="1"/>
  <c r="M3844" i="1" s="1"/>
  <c r="G3844" i="1"/>
  <c r="H3845" i="1" s="1"/>
  <c r="F3844" i="1"/>
  <c r="D3844" i="1"/>
  <c r="L3844" i="1" s="1"/>
  <c r="K3843" i="1"/>
  <c r="N3843" i="1" s="1"/>
  <c r="J3843" i="1"/>
  <c r="M3843" i="1" s="1"/>
  <c r="G3843" i="1"/>
  <c r="H3844" i="1" s="1"/>
  <c r="F3843" i="1"/>
  <c r="D3843" i="1"/>
  <c r="L3843" i="1" s="1"/>
  <c r="K3842" i="1"/>
  <c r="N3842" i="1" s="1"/>
  <c r="J3842" i="1"/>
  <c r="M3842" i="1" s="1"/>
  <c r="G3842" i="1"/>
  <c r="H3843" i="1" s="1"/>
  <c r="F3842" i="1"/>
  <c r="D3842" i="1"/>
  <c r="L3842" i="1" s="1"/>
  <c r="K3841" i="1"/>
  <c r="N3841" i="1" s="1"/>
  <c r="J3841" i="1"/>
  <c r="M3841" i="1" s="1"/>
  <c r="G3841" i="1"/>
  <c r="H3842" i="1" s="1"/>
  <c r="F3841" i="1"/>
  <c r="D3841" i="1"/>
  <c r="L3841" i="1" s="1"/>
  <c r="K3840" i="1"/>
  <c r="N3840" i="1" s="1"/>
  <c r="J3840" i="1"/>
  <c r="M3840" i="1" s="1"/>
  <c r="G3840" i="1"/>
  <c r="H3841" i="1" s="1"/>
  <c r="F3840" i="1"/>
  <c r="D3840" i="1"/>
  <c r="L3840" i="1" s="1"/>
  <c r="K3839" i="1"/>
  <c r="N3839" i="1" s="1"/>
  <c r="J3839" i="1"/>
  <c r="M3839" i="1" s="1"/>
  <c r="G3839" i="1"/>
  <c r="H3840" i="1" s="1"/>
  <c r="F3839" i="1"/>
  <c r="D3839" i="1"/>
  <c r="L3839" i="1" s="1"/>
  <c r="K3838" i="1"/>
  <c r="N3838" i="1" s="1"/>
  <c r="J3838" i="1"/>
  <c r="M3838" i="1" s="1"/>
  <c r="G3838" i="1"/>
  <c r="H3839" i="1" s="1"/>
  <c r="F3838" i="1"/>
  <c r="D3838" i="1"/>
  <c r="L3838" i="1" s="1"/>
  <c r="K3837" i="1"/>
  <c r="N3837" i="1" s="1"/>
  <c r="J3837" i="1"/>
  <c r="M3837" i="1" s="1"/>
  <c r="G3837" i="1"/>
  <c r="H3838" i="1" s="1"/>
  <c r="F3837" i="1"/>
  <c r="D3837" i="1"/>
  <c r="L3837" i="1" s="1"/>
  <c r="K3836" i="1"/>
  <c r="N3836" i="1" s="1"/>
  <c r="J3836" i="1"/>
  <c r="M3836" i="1" s="1"/>
  <c r="G3836" i="1"/>
  <c r="H3837" i="1" s="1"/>
  <c r="F3836" i="1"/>
  <c r="D3836" i="1"/>
  <c r="L3836" i="1" s="1"/>
  <c r="K3835" i="1"/>
  <c r="N3835" i="1" s="1"/>
  <c r="J3835" i="1"/>
  <c r="M3835" i="1" s="1"/>
  <c r="G3835" i="1"/>
  <c r="H3836" i="1" s="1"/>
  <c r="F3835" i="1"/>
  <c r="D3835" i="1"/>
  <c r="L3835" i="1" s="1"/>
  <c r="K3834" i="1"/>
  <c r="N3834" i="1" s="1"/>
  <c r="J3834" i="1"/>
  <c r="M3834" i="1" s="1"/>
  <c r="G3834" i="1"/>
  <c r="H3835" i="1" s="1"/>
  <c r="F3834" i="1"/>
  <c r="D3834" i="1"/>
  <c r="L3834" i="1" s="1"/>
  <c r="K3833" i="1"/>
  <c r="N3833" i="1" s="1"/>
  <c r="J3833" i="1"/>
  <c r="M3833" i="1" s="1"/>
  <c r="G3833" i="1"/>
  <c r="H3834" i="1" s="1"/>
  <c r="F3833" i="1"/>
  <c r="D3833" i="1"/>
  <c r="L3833" i="1" s="1"/>
  <c r="K3832" i="1"/>
  <c r="N3832" i="1" s="1"/>
  <c r="J3832" i="1"/>
  <c r="M3832" i="1" s="1"/>
  <c r="G3832" i="1"/>
  <c r="H3833" i="1" s="1"/>
  <c r="F3832" i="1"/>
  <c r="D3832" i="1"/>
  <c r="L3832" i="1" s="1"/>
  <c r="K3831" i="1"/>
  <c r="N3831" i="1" s="1"/>
  <c r="J3831" i="1"/>
  <c r="M3831" i="1" s="1"/>
  <c r="G3831" i="1"/>
  <c r="H3832" i="1" s="1"/>
  <c r="F3831" i="1"/>
  <c r="D3831" i="1"/>
  <c r="L3831" i="1" s="1"/>
  <c r="K3830" i="1"/>
  <c r="N3830" i="1" s="1"/>
  <c r="J3830" i="1"/>
  <c r="M3830" i="1" s="1"/>
  <c r="G3830" i="1"/>
  <c r="H3831" i="1" s="1"/>
  <c r="F3830" i="1"/>
  <c r="D3830" i="1"/>
  <c r="L3830" i="1" s="1"/>
  <c r="K3829" i="1"/>
  <c r="N3829" i="1" s="1"/>
  <c r="J3829" i="1"/>
  <c r="M3829" i="1" s="1"/>
  <c r="G3829" i="1"/>
  <c r="H3830" i="1" s="1"/>
  <c r="F3829" i="1"/>
  <c r="D3829" i="1"/>
  <c r="L3829" i="1" s="1"/>
  <c r="K3828" i="1"/>
  <c r="N3828" i="1" s="1"/>
  <c r="J3828" i="1"/>
  <c r="M3828" i="1" s="1"/>
  <c r="G3828" i="1"/>
  <c r="H3829" i="1" s="1"/>
  <c r="F3828" i="1"/>
  <c r="D3828" i="1"/>
  <c r="L3828" i="1" s="1"/>
  <c r="K3827" i="1"/>
  <c r="N3827" i="1" s="1"/>
  <c r="J3827" i="1"/>
  <c r="M3827" i="1" s="1"/>
  <c r="G3827" i="1"/>
  <c r="H3828" i="1" s="1"/>
  <c r="F3827" i="1"/>
  <c r="D3827" i="1"/>
  <c r="L3827" i="1" s="1"/>
  <c r="K3826" i="1"/>
  <c r="N3826" i="1" s="1"/>
  <c r="J3826" i="1"/>
  <c r="M3826" i="1" s="1"/>
  <c r="G3826" i="1"/>
  <c r="H3827" i="1" s="1"/>
  <c r="F3826" i="1"/>
  <c r="D3826" i="1"/>
  <c r="L3826" i="1" s="1"/>
  <c r="K3825" i="1"/>
  <c r="N3825" i="1" s="1"/>
  <c r="J3825" i="1"/>
  <c r="M3825" i="1" s="1"/>
  <c r="G3825" i="1"/>
  <c r="H3826" i="1" s="1"/>
  <c r="F3825" i="1"/>
  <c r="D3825" i="1"/>
  <c r="L3825" i="1" s="1"/>
  <c r="K3824" i="1"/>
  <c r="N3824" i="1" s="1"/>
  <c r="J3824" i="1"/>
  <c r="M3824" i="1" s="1"/>
  <c r="G3824" i="1"/>
  <c r="H3825" i="1" s="1"/>
  <c r="F3824" i="1"/>
  <c r="D3824" i="1"/>
  <c r="L3824" i="1" s="1"/>
  <c r="K3823" i="1"/>
  <c r="N3823" i="1" s="1"/>
  <c r="J3823" i="1"/>
  <c r="M3823" i="1" s="1"/>
  <c r="G3823" i="1"/>
  <c r="H3824" i="1" s="1"/>
  <c r="F3823" i="1"/>
  <c r="D3823" i="1"/>
  <c r="L3823" i="1" s="1"/>
  <c r="K3822" i="1"/>
  <c r="N3822" i="1" s="1"/>
  <c r="J3822" i="1"/>
  <c r="M3822" i="1" s="1"/>
  <c r="G3822" i="1"/>
  <c r="H3823" i="1" s="1"/>
  <c r="F3822" i="1"/>
  <c r="D3822" i="1"/>
  <c r="L3822" i="1" s="1"/>
  <c r="K3821" i="1"/>
  <c r="N3821" i="1" s="1"/>
  <c r="J3821" i="1"/>
  <c r="M3821" i="1" s="1"/>
  <c r="G3821" i="1"/>
  <c r="H3822" i="1" s="1"/>
  <c r="F3821" i="1"/>
  <c r="D3821" i="1"/>
  <c r="L3821" i="1" s="1"/>
  <c r="K3820" i="1"/>
  <c r="N3820" i="1" s="1"/>
  <c r="J3820" i="1"/>
  <c r="M3820" i="1" s="1"/>
  <c r="G3820" i="1"/>
  <c r="H3821" i="1" s="1"/>
  <c r="F3820" i="1"/>
  <c r="D3820" i="1"/>
  <c r="L3820" i="1" s="1"/>
  <c r="K3819" i="1"/>
  <c r="N3819" i="1" s="1"/>
  <c r="J3819" i="1"/>
  <c r="M3819" i="1" s="1"/>
  <c r="G3819" i="1"/>
  <c r="H3820" i="1" s="1"/>
  <c r="F3819" i="1"/>
  <c r="D3819" i="1"/>
  <c r="L3819" i="1" s="1"/>
  <c r="K3818" i="1"/>
  <c r="N3818" i="1" s="1"/>
  <c r="J3818" i="1"/>
  <c r="M3818" i="1" s="1"/>
  <c r="G3818" i="1"/>
  <c r="H3819" i="1" s="1"/>
  <c r="F3818" i="1"/>
  <c r="D3818" i="1"/>
  <c r="L3818" i="1" s="1"/>
  <c r="K3817" i="1"/>
  <c r="N3817" i="1" s="1"/>
  <c r="J3817" i="1"/>
  <c r="M3817" i="1" s="1"/>
  <c r="G3817" i="1"/>
  <c r="H3818" i="1" s="1"/>
  <c r="F3817" i="1"/>
  <c r="D3817" i="1"/>
  <c r="L3817" i="1" s="1"/>
  <c r="K3816" i="1"/>
  <c r="N3816" i="1" s="1"/>
  <c r="J3816" i="1"/>
  <c r="M3816" i="1" s="1"/>
  <c r="G3816" i="1"/>
  <c r="H3817" i="1" s="1"/>
  <c r="F3816" i="1"/>
  <c r="D3816" i="1"/>
  <c r="L3816" i="1" s="1"/>
  <c r="K3815" i="1"/>
  <c r="N3815" i="1" s="1"/>
  <c r="J3815" i="1"/>
  <c r="M3815" i="1" s="1"/>
  <c r="G3815" i="1"/>
  <c r="H3816" i="1" s="1"/>
  <c r="F3815" i="1"/>
  <c r="D3815" i="1"/>
  <c r="L3815" i="1" s="1"/>
  <c r="K3814" i="1"/>
  <c r="N3814" i="1" s="1"/>
  <c r="J3814" i="1"/>
  <c r="M3814" i="1" s="1"/>
  <c r="G3814" i="1"/>
  <c r="H3815" i="1" s="1"/>
  <c r="F3814" i="1"/>
  <c r="D3814" i="1"/>
  <c r="L3814" i="1" s="1"/>
  <c r="K3813" i="1"/>
  <c r="N3813" i="1" s="1"/>
  <c r="J3813" i="1"/>
  <c r="M3813" i="1" s="1"/>
  <c r="G3813" i="1"/>
  <c r="H3814" i="1" s="1"/>
  <c r="F3813" i="1"/>
  <c r="D3813" i="1"/>
  <c r="L3813" i="1" s="1"/>
  <c r="K3812" i="1"/>
  <c r="N3812" i="1" s="1"/>
  <c r="J3812" i="1"/>
  <c r="M3812" i="1" s="1"/>
  <c r="G3812" i="1"/>
  <c r="H3813" i="1" s="1"/>
  <c r="F3812" i="1"/>
  <c r="D3812" i="1"/>
  <c r="L3812" i="1" s="1"/>
  <c r="K3811" i="1"/>
  <c r="N3811" i="1" s="1"/>
  <c r="J3811" i="1"/>
  <c r="M3811" i="1" s="1"/>
  <c r="G3811" i="1"/>
  <c r="H3812" i="1" s="1"/>
  <c r="F3811" i="1"/>
  <c r="D3811" i="1"/>
  <c r="L3811" i="1" s="1"/>
  <c r="K3810" i="1"/>
  <c r="N3810" i="1" s="1"/>
  <c r="J3810" i="1"/>
  <c r="M3810" i="1" s="1"/>
  <c r="G3810" i="1"/>
  <c r="H3811" i="1" s="1"/>
  <c r="F3810" i="1"/>
  <c r="D3810" i="1"/>
  <c r="L3810" i="1" s="1"/>
  <c r="K3809" i="1"/>
  <c r="N3809" i="1" s="1"/>
  <c r="J3809" i="1"/>
  <c r="M3809" i="1" s="1"/>
  <c r="G3809" i="1"/>
  <c r="H3810" i="1" s="1"/>
  <c r="F3809" i="1"/>
  <c r="D3809" i="1"/>
  <c r="L3809" i="1" s="1"/>
  <c r="K3808" i="1"/>
  <c r="N3808" i="1" s="1"/>
  <c r="J3808" i="1"/>
  <c r="M3808" i="1" s="1"/>
  <c r="G3808" i="1"/>
  <c r="H3809" i="1" s="1"/>
  <c r="F3808" i="1"/>
  <c r="D3808" i="1"/>
  <c r="L3808" i="1" s="1"/>
  <c r="K3807" i="1"/>
  <c r="N3807" i="1" s="1"/>
  <c r="J3807" i="1"/>
  <c r="M3807" i="1" s="1"/>
  <c r="G3807" i="1"/>
  <c r="H3808" i="1" s="1"/>
  <c r="F3807" i="1"/>
  <c r="D3807" i="1"/>
  <c r="L3807" i="1" s="1"/>
  <c r="K3806" i="1"/>
  <c r="N3806" i="1" s="1"/>
  <c r="J3806" i="1"/>
  <c r="M3806" i="1" s="1"/>
  <c r="G3806" i="1"/>
  <c r="H3807" i="1" s="1"/>
  <c r="F3806" i="1"/>
  <c r="D3806" i="1"/>
  <c r="L3806" i="1" s="1"/>
  <c r="K3805" i="1"/>
  <c r="N3805" i="1" s="1"/>
  <c r="J3805" i="1"/>
  <c r="M3805" i="1" s="1"/>
  <c r="G3805" i="1"/>
  <c r="H3806" i="1" s="1"/>
  <c r="F3805" i="1"/>
  <c r="D3805" i="1"/>
  <c r="L3805" i="1" s="1"/>
  <c r="K3804" i="1"/>
  <c r="N3804" i="1" s="1"/>
  <c r="J3804" i="1"/>
  <c r="M3804" i="1" s="1"/>
  <c r="G3804" i="1"/>
  <c r="H3805" i="1" s="1"/>
  <c r="F3804" i="1"/>
  <c r="D3804" i="1"/>
  <c r="L3804" i="1" s="1"/>
  <c r="K3803" i="1"/>
  <c r="N3803" i="1" s="1"/>
  <c r="J3803" i="1"/>
  <c r="M3803" i="1" s="1"/>
  <c r="G3803" i="1"/>
  <c r="H3804" i="1" s="1"/>
  <c r="F3803" i="1"/>
  <c r="D3803" i="1"/>
  <c r="L3803" i="1" s="1"/>
  <c r="K3802" i="1"/>
  <c r="N3802" i="1" s="1"/>
  <c r="J3802" i="1"/>
  <c r="M3802" i="1" s="1"/>
  <c r="G3802" i="1"/>
  <c r="H3803" i="1" s="1"/>
  <c r="F3802" i="1"/>
  <c r="D3802" i="1"/>
  <c r="L3802" i="1" s="1"/>
  <c r="K3801" i="1"/>
  <c r="N3801" i="1" s="1"/>
  <c r="J3801" i="1"/>
  <c r="M3801" i="1" s="1"/>
  <c r="G3801" i="1"/>
  <c r="H3802" i="1" s="1"/>
  <c r="F3801" i="1"/>
  <c r="D3801" i="1"/>
  <c r="L3801" i="1" s="1"/>
  <c r="K3800" i="1"/>
  <c r="N3800" i="1" s="1"/>
  <c r="J3800" i="1"/>
  <c r="M3800" i="1" s="1"/>
  <c r="G3800" i="1"/>
  <c r="H3801" i="1" s="1"/>
  <c r="F3800" i="1"/>
  <c r="D3800" i="1"/>
  <c r="L3800" i="1" s="1"/>
  <c r="K3799" i="1"/>
  <c r="N3799" i="1" s="1"/>
  <c r="J3799" i="1"/>
  <c r="M3799" i="1" s="1"/>
  <c r="G3799" i="1"/>
  <c r="H3800" i="1" s="1"/>
  <c r="F3799" i="1"/>
  <c r="D3799" i="1"/>
  <c r="L3799" i="1" s="1"/>
  <c r="K3798" i="1"/>
  <c r="N3798" i="1" s="1"/>
  <c r="J3798" i="1"/>
  <c r="M3798" i="1" s="1"/>
  <c r="G3798" i="1"/>
  <c r="H3799" i="1" s="1"/>
  <c r="F3798" i="1"/>
  <c r="D3798" i="1"/>
  <c r="L3798" i="1" s="1"/>
  <c r="K3797" i="1"/>
  <c r="N3797" i="1" s="1"/>
  <c r="J3797" i="1"/>
  <c r="M3797" i="1" s="1"/>
  <c r="G3797" i="1"/>
  <c r="H3798" i="1" s="1"/>
  <c r="F3797" i="1"/>
  <c r="D3797" i="1"/>
  <c r="L3797" i="1" s="1"/>
  <c r="K3796" i="1"/>
  <c r="N3796" i="1" s="1"/>
  <c r="J3796" i="1"/>
  <c r="M3796" i="1" s="1"/>
  <c r="G3796" i="1"/>
  <c r="H3797" i="1" s="1"/>
  <c r="F3796" i="1"/>
  <c r="D3796" i="1"/>
  <c r="L3796" i="1" s="1"/>
  <c r="K3795" i="1"/>
  <c r="N3795" i="1" s="1"/>
  <c r="J3795" i="1"/>
  <c r="M3795" i="1" s="1"/>
  <c r="G3795" i="1"/>
  <c r="H3796" i="1" s="1"/>
  <c r="F3795" i="1"/>
  <c r="D3795" i="1"/>
  <c r="L3795" i="1" s="1"/>
  <c r="K3794" i="1"/>
  <c r="N3794" i="1" s="1"/>
  <c r="J3794" i="1"/>
  <c r="M3794" i="1" s="1"/>
  <c r="G3794" i="1"/>
  <c r="H3795" i="1" s="1"/>
  <c r="F3794" i="1"/>
  <c r="D3794" i="1"/>
  <c r="L3794" i="1" s="1"/>
  <c r="K3793" i="1"/>
  <c r="N3793" i="1" s="1"/>
  <c r="J3793" i="1"/>
  <c r="M3793" i="1" s="1"/>
  <c r="G3793" i="1"/>
  <c r="H3794" i="1" s="1"/>
  <c r="F3793" i="1"/>
  <c r="D3793" i="1"/>
  <c r="L3793" i="1" s="1"/>
  <c r="K3792" i="1"/>
  <c r="N3792" i="1" s="1"/>
  <c r="J3792" i="1"/>
  <c r="M3792" i="1" s="1"/>
  <c r="G3792" i="1"/>
  <c r="H3793" i="1" s="1"/>
  <c r="F3792" i="1"/>
  <c r="D3792" i="1"/>
  <c r="L3792" i="1" s="1"/>
  <c r="K3791" i="1"/>
  <c r="N3791" i="1" s="1"/>
  <c r="J3791" i="1"/>
  <c r="M3791" i="1" s="1"/>
  <c r="G3791" i="1"/>
  <c r="H3792" i="1" s="1"/>
  <c r="F3791" i="1"/>
  <c r="D3791" i="1"/>
  <c r="L3791" i="1" s="1"/>
  <c r="K3790" i="1"/>
  <c r="N3790" i="1" s="1"/>
  <c r="J3790" i="1"/>
  <c r="M3790" i="1" s="1"/>
  <c r="G3790" i="1"/>
  <c r="H3791" i="1" s="1"/>
  <c r="F3790" i="1"/>
  <c r="D3790" i="1"/>
  <c r="L3790" i="1" s="1"/>
  <c r="K3789" i="1"/>
  <c r="N3789" i="1" s="1"/>
  <c r="J3789" i="1"/>
  <c r="M3789" i="1" s="1"/>
  <c r="G3789" i="1"/>
  <c r="H3790" i="1" s="1"/>
  <c r="F3789" i="1"/>
  <c r="D3789" i="1"/>
  <c r="L3789" i="1" s="1"/>
  <c r="K3788" i="1"/>
  <c r="N3788" i="1" s="1"/>
  <c r="J3788" i="1"/>
  <c r="M3788" i="1" s="1"/>
  <c r="G3788" i="1"/>
  <c r="H3789" i="1" s="1"/>
  <c r="F3788" i="1"/>
  <c r="D3788" i="1"/>
  <c r="L3788" i="1" s="1"/>
  <c r="K3787" i="1"/>
  <c r="N3787" i="1" s="1"/>
  <c r="J3787" i="1"/>
  <c r="M3787" i="1" s="1"/>
  <c r="G3787" i="1"/>
  <c r="H3788" i="1" s="1"/>
  <c r="F3787" i="1"/>
  <c r="D3787" i="1"/>
  <c r="L3787" i="1" s="1"/>
  <c r="K3786" i="1"/>
  <c r="N3786" i="1" s="1"/>
  <c r="J3786" i="1"/>
  <c r="M3786" i="1" s="1"/>
  <c r="G3786" i="1"/>
  <c r="H3787" i="1" s="1"/>
  <c r="F3786" i="1"/>
  <c r="D3786" i="1"/>
  <c r="L3786" i="1" s="1"/>
  <c r="K3785" i="1"/>
  <c r="N3785" i="1" s="1"/>
  <c r="J3785" i="1"/>
  <c r="M3785" i="1" s="1"/>
  <c r="G3785" i="1"/>
  <c r="H3786" i="1" s="1"/>
  <c r="F3785" i="1"/>
  <c r="D3785" i="1"/>
  <c r="L3785" i="1" s="1"/>
  <c r="K3784" i="1"/>
  <c r="N3784" i="1" s="1"/>
  <c r="J3784" i="1"/>
  <c r="M3784" i="1" s="1"/>
  <c r="G3784" i="1"/>
  <c r="H3785" i="1" s="1"/>
  <c r="F3784" i="1"/>
  <c r="D3784" i="1"/>
  <c r="L3784" i="1" s="1"/>
  <c r="K3783" i="1"/>
  <c r="N3783" i="1" s="1"/>
  <c r="J3783" i="1"/>
  <c r="M3783" i="1" s="1"/>
  <c r="G3783" i="1"/>
  <c r="H3784" i="1" s="1"/>
  <c r="F3783" i="1"/>
  <c r="D3783" i="1"/>
  <c r="L3783" i="1" s="1"/>
  <c r="K3782" i="1"/>
  <c r="N3782" i="1" s="1"/>
  <c r="J3782" i="1"/>
  <c r="M3782" i="1" s="1"/>
  <c r="G3782" i="1"/>
  <c r="H3783" i="1" s="1"/>
  <c r="F3782" i="1"/>
  <c r="D3782" i="1"/>
  <c r="L3782" i="1" s="1"/>
  <c r="K3781" i="1"/>
  <c r="N3781" i="1" s="1"/>
  <c r="J3781" i="1"/>
  <c r="M3781" i="1" s="1"/>
  <c r="G3781" i="1"/>
  <c r="H3782" i="1" s="1"/>
  <c r="F3781" i="1"/>
  <c r="D3781" i="1"/>
  <c r="L3781" i="1" s="1"/>
  <c r="K3780" i="1"/>
  <c r="N3780" i="1" s="1"/>
  <c r="J3780" i="1"/>
  <c r="M3780" i="1" s="1"/>
  <c r="G3780" i="1"/>
  <c r="H3781" i="1" s="1"/>
  <c r="F3780" i="1"/>
  <c r="D3780" i="1"/>
  <c r="L3780" i="1" s="1"/>
  <c r="K3779" i="1"/>
  <c r="N3779" i="1" s="1"/>
  <c r="J3779" i="1"/>
  <c r="M3779" i="1" s="1"/>
  <c r="G3779" i="1"/>
  <c r="H3780" i="1" s="1"/>
  <c r="F3779" i="1"/>
  <c r="D3779" i="1"/>
  <c r="L3779" i="1" s="1"/>
  <c r="K3778" i="1"/>
  <c r="N3778" i="1" s="1"/>
  <c r="J3778" i="1"/>
  <c r="M3778" i="1" s="1"/>
  <c r="G3778" i="1"/>
  <c r="H3779" i="1" s="1"/>
  <c r="F3778" i="1"/>
  <c r="D3778" i="1"/>
  <c r="L3778" i="1" s="1"/>
  <c r="K3777" i="1"/>
  <c r="N3777" i="1" s="1"/>
  <c r="J3777" i="1"/>
  <c r="M3777" i="1" s="1"/>
  <c r="G3777" i="1"/>
  <c r="H3778" i="1" s="1"/>
  <c r="F3777" i="1"/>
  <c r="D3777" i="1"/>
  <c r="L3777" i="1" s="1"/>
  <c r="K3776" i="1"/>
  <c r="N3776" i="1" s="1"/>
  <c r="J3776" i="1"/>
  <c r="M3776" i="1" s="1"/>
  <c r="G3776" i="1"/>
  <c r="H3777" i="1" s="1"/>
  <c r="F3776" i="1"/>
  <c r="D3776" i="1"/>
  <c r="L3776" i="1" s="1"/>
  <c r="K3775" i="1"/>
  <c r="N3775" i="1" s="1"/>
  <c r="J3775" i="1"/>
  <c r="M3775" i="1" s="1"/>
  <c r="G3775" i="1"/>
  <c r="H3776" i="1" s="1"/>
  <c r="F3775" i="1"/>
  <c r="D3775" i="1"/>
  <c r="L3775" i="1" s="1"/>
  <c r="K3774" i="1"/>
  <c r="N3774" i="1" s="1"/>
  <c r="J3774" i="1"/>
  <c r="M3774" i="1" s="1"/>
  <c r="G3774" i="1"/>
  <c r="H3775" i="1" s="1"/>
  <c r="F3774" i="1"/>
  <c r="D3774" i="1"/>
  <c r="L3774" i="1" s="1"/>
  <c r="K3773" i="1"/>
  <c r="N3773" i="1" s="1"/>
  <c r="J3773" i="1"/>
  <c r="M3773" i="1" s="1"/>
  <c r="G3773" i="1"/>
  <c r="H3774" i="1" s="1"/>
  <c r="F3773" i="1"/>
  <c r="D3773" i="1"/>
  <c r="L3773" i="1" s="1"/>
  <c r="K3772" i="1"/>
  <c r="N3772" i="1" s="1"/>
  <c r="J3772" i="1"/>
  <c r="M3772" i="1" s="1"/>
  <c r="G3772" i="1"/>
  <c r="H3773" i="1" s="1"/>
  <c r="F3772" i="1"/>
  <c r="D3772" i="1"/>
  <c r="L3772" i="1" s="1"/>
  <c r="K3771" i="1"/>
  <c r="N3771" i="1" s="1"/>
  <c r="J3771" i="1"/>
  <c r="M3771" i="1" s="1"/>
  <c r="G3771" i="1"/>
  <c r="H3772" i="1" s="1"/>
  <c r="F3771" i="1"/>
  <c r="D3771" i="1"/>
  <c r="L3771" i="1" s="1"/>
  <c r="K3770" i="1"/>
  <c r="N3770" i="1" s="1"/>
  <c r="J3770" i="1"/>
  <c r="M3770" i="1" s="1"/>
  <c r="G3770" i="1"/>
  <c r="H3771" i="1" s="1"/>
  <c r="F3770" i="1"/>
  <c r="D3770" i="1"/>
  <c r="L3770" i="1" s="1"/>
  <c r="K3769" i="1"/>
  <c r="N3769" i="1" s="1"/>
  <c r="J3769" i="1"/>
  <c r="M3769" i="1" s="1"/>
  <c r="G3769" i="1"/>
  <c r="H3770" i="1" s="1"/>
  <c r="F3769" i="1"/>
  <c r="D3769" i="1"/>
  <c r="L3769" i="1" s="1"/>
  <c r="K3768" i="1"/>
  <c r="N3768" i="1" s="1"/>
  <c r="J3768" i="1"/>
  <c r="M3768" i="1" s="1"/>
  <c r="G3768" i="1"/>
  <c r="H3769" i="1" s="1"/>
  <c r="F3768" i="1"/>
  <c r="D3768" i="1"/>
  <c r="L3768" i="1" s="1"/>
  <c r="K3767" i="1"/>
  <c r="N3767" i="1" s="1"/>
  <c r="J3767" i="1"/>
  <c r="M3767" i="1" s="1"/>
  <c r="G3767" i="1"/>
  <c r="H3768" i="1" s="1"/>
  <c r="F3767" i="1"/>
  <c r="D3767" i="1"/>
  <c r="L3767" i="1" s="1"/>
  <c r="K3766" i="1"/>
  <c r="N3766" i="1" s="1"/>
  <c r="J3766" i="1"/>
  <c r="M3766" i="1" s="1"/>
  <c r="G3766" i="1"/>
  <c r="H3767" i="1" s="1"/>
  <c r="F3766" i="1"/>
  <c r="D3766" i="1"/>
  <c r="L3766" i="1" s="1"/>
  <c r="K3765" i="1"/>
  <c r="N3765" i="1" s="1"/>
  <c r="J3765" i="1"/>
  <c r="M3765" i="1" s="1"/>
  <c r="G3765" i="1"/>
  <c r="H3766" i="1" s="1"/>
  <c r="F3765" i="1"/>
  <c r="D3765" i="1"/>
  <c r="L3765" i="1" s="1"/>
  <c r="K3764" i="1"/>
  <c r="N3764" i="1" s="1"/>
  <c r="J3764" i="1"/>
  <c r="M3764" i="1" s="1"/>
  <c r="G3764" i="1"/>
  <c r="H3765" i="1" s="1"/>
  <c r="F3764" i="1"/>
  <c r="D3764" i="1"/>
  <c r="L3764" i="1" s="1"/>
  <c r="K3763" i="1"/>
  <c r="N3763" i="1" s="1"/>
  <c r="J3763" i="1"/>
  <c r="M3763" i="1" s="1"/>
  <c r="G3763" i="1"/>
  <c r="H3764" i="1" s="1"/>
  <c r="F3763" i="1"/>
  <c r="D3763" i="1"/>
  <c r="L3763" i="1" s="1"/>
  <c r="K3762" i="1"/>
  <c r="N3762" i="1" s="1"/>
  <c r="J3762" i="1"/>
  <c r="M3762" i="1" s="1"/>
  <c r="G3762" i="1"/>
  <c r="H3763" i="1" s="1"/>
  <c r="F3762" i="1"/>
  <c r="D3762" i="1"/>
  <c r="L3762" i="1" s="1"/>
  <c r="K3761" i="1"/>
  <c r="N3761" i="1" s="1"/>
  <c r="J3761" i="1"/>
  <c r="M3761" i="1" s="1"/>
  <c r="G3761" i="1"/>
  <c r="H3762" i="1" s="1"/>
  <c r="F3761" i="1"/>
  <c r="D3761" i="1"/>
  <c r="L3761" i="1" s="1"/>
  <c r="K3760" i="1"/>
  <c r="N3760" i="1" s="1"/>
  <c r="J3760" i="1"/>
  <c r="M3760" i="1" s="1"/>
  <c r="G3760" i="1"/>
  <c r="H3761" i="1" s="1"/>
  <c r="F3760" i="1"/>
  <c r="D3760" i="1"/>
  <c r="L3760" i="1" s="1"/>
  <c r="K3759" i="1"/>
  <c r="N3759" i="1" s="1"/>
  <c r="J3759" i="1"/>
  <c r="M3759" i="1" s="1"/>
  <c r="G3759" i="1"/>
  <c r="H3760" i="1" s="1"/>
  <c r="F3759" i="1"/>
  <c r="D3759" i="1"/>
  <c r="L3759" i="1" s="1"/>
  <c r="K3758" i="1"/>
  <c r="N3758" i="1" s="1"/>
  <c r="J3758" i="1"/>
  <c r="M3758" i="1" s="1"/>
  <c r="G3758" i="1"/>
  <c r="H3759" i="1" s="1"/>
  <c r="F3758" i="1"/>
  <c r="D3758" i="1"/>
  <c r="L3758" i="1" s="1"/>
  <c r="K3757" i="1"/>
  <c r="N3757" i="1" s="1"/>
  <c r="J3757" i="1"/>
  <c r="M3757" i="1" s="1"/>
  <c r="G3757" i="1"/>
  <c r="H3758" i="1" s="1"/>
  <c r="F3757" i="1"/>
  <c r="D3757" i="1"/>
  <c r="L3757" i="1" s="1"/>
  <c r="K3756" i="1"/>
  <c r="N3756" i="1" s="1"/>
  <c r="J3756" i="1"/>
  <c r="M3756" i="1" s="1"/>
  <c r="G3756" i="1"/>
  <c r="H3757" i="1" s="1"/>
  <c r="F3756" i="1"/>
  <c r="D3756" i="1"/>
  <c r="L3756" i="1" s="1"/>
  <c r="K3755" i="1"/>
  <c r="N3755" i="1" s="1"/>
  <c r="J3755" i="1"/>
  <c r="M3755" i="1" s="1"/>
  <c r="G3755" i="1"/>
  <c r="H3756" i="1" s="1"/>
  <c r="F3755" i="1"/>
  <c r="D3755" i="1"/>
  <c r="L3755" i="1" s="1"/>
  <c r="K3754" i="1"/>
  <c r="N3754" i="1" s="1"/>
  <c r="J3754" i="1"/>
  <c r="M3754" i="1" s="1"/>
  <c r="G3754" i="1"/>
  <c r="H3755" i="1" s="1"/>
  <c r="F3754" i="1"/>
  <c r="D3754" i="1"/>
  <c r="L3754" i="1" s="1"/>
  <c r="K3753" i="1"/>
  <c r="N3753" i="1" s="1"/>
  <c r="J3753" i="1"/>
  <c r="M3753" i="1" s="1"/>
  <c r="G3753" i="1"/>
  <c r="H3754" i="1" s="1"/>
  <c r="F3753" i="1"/>
  <c r="D3753" i="1"/>
  <c r="L3753" i="1" s="1"/>
  <c r="K3752" i="1"/>
  <c r="N3752" i="1" s="1"/>
  <c r="J3752" i="1"/>
  <c r="M3752" i="1" s="1"/>
  <c r="G3752" i="1"/>
  <c r="H3753" i="1" s="1"/>
  <c r="F3752" i="1"/>
  <c r="D3752" i="1"/>
  <c r="L3752" i="1" s="1"/>
  <c r="K3751" i="1"/>
  <c r="N3751" i="1" s="1"/>
  <c r="J3751" i="1"/>
  <c r="M3751" i="1" s="1"/>
  <c r="G3751" i="1"/>
  <c r="H3752" i="1" s="1"/>
  <c r="F3751" i="1"/>
  <c r="D3751" i="1"/>
  <c r="L3751" i="1" s="1"/>
  <c r="K3750" i="1"/>
  <c r="N3750" i="1" s="1"/>
  <c r="J3750" i="1"/>
  <c r="M3750" i="1" s="1"/>
  <c r="G3750" i="1"/>
  <c r="H3751" i="1" s="1"/>
  <c r="F3750" i="1"/>
  <c r="D3750" i="1"/>
  <c r="L3750" i="1" s="1"/>
  <c r="K3749" i="1"/>
  <c r="N3749" i="1" s="1"/>
  <c r="J3749" i="1"/>
  <c r="M3749" i="1" s="1"/>
  <c r="G3749" i="1"/>
  <c r="H3750" i="1" s="1"/>
  <c r="F3749" i="1"/>
  <c r="D3749" i="1"/>
  <c r="L3749" i="1" s="1"/>
  <c r="K3748" i="1"/>
  <c r="N3748" i="1" s="1"/>
  <c r="J3748" i="1"/>
  <c r="M3748" i="1" s="1"/>
  <c r="G3748" i="1"/>
  <c r="H3749" i="1" s="1"/>
  <c r="F3748" i="1"/>
  <c r="D3748" i="1"/>
  <c r="L3748" i="1" s="1"/>
  <c r="K3747" i="1"/>
  <c r="N3747" i="1" s="1"/>
  <c r="J3747" i="1"/>
  <c r="M3747" i="1" s="1"/>
  <c r="G3747" i="1"/>
  <c r="H3748" i="1" s="1"/>
  <c r="F3747" i="1"/>
  <c r="D3747" i="1"/>
  <c r="L3747" i="1" s="1"/>
  <c r="K3746" i="1"/>
  <c r="N3746" i="1" s="1"/>
  <c r="J3746" i="1"/>
  <c r="M3746" i="1" s="1"/>
  <c r="G3746" i="1"/>
  <c r="H3747" i="1" s="1"/>
  <c r="F3746" i="1"/>
  <c r="D3746" i="1"/>
  <c r="L3746" i="1" s="1"/>
  <c r="K3745" i="1"/>
  <c r="N3745" i="1" s="1"/>
  <c r="J3745" i="1"/>
  <c r="M3745" i="1" s="1"/>
  <c r="G3745" i="1"/>
  <c r="H3746" i="1" s="1"/>
  <c r="F3745" i="1"/>
  <c r="D3745" i="1"/>
  <c r="L3745" i="1" s="1"/>
  <c r="K3744" i="1"/>
  <c r="N3744" i="1" s="1"/>
  <c r="J3744" i="1"/>
  <c r="M3744" i="1" s="1"/>
  <c r="G3744" i="1"/>
  <c r="H3745" i="1" s="1"/>
  <c r="F3744" i="1"/>
  <c r="D3744" i="1"/>
  <c r="L3744" i="1" s="1"/>
  <c r="K3743" i="1"/>
  <c r="N3743" i="1" s="1"/>
  <c r="J3743" i="1"/>
  <c r="M3743" i="1" s="1"/>
  <c r="G3743" i="1"/>
  <c r="H3744" i="1" s="1"/>
  <c r="F3743" i="1"/>
  <c r="D3743" i="1"/>
  <c r="L3743" i="1" s="1"/>
  <c r="K3742" i="1"/>
  <c r="N3742" i="1" s="1"/>
  <c r="J3742" i="1"/>
  <c r="M3742" i="1" s="1"/>
  <c r="G3742" i="1"/>
  <c r="H3743" i="1" s="1"/>
  <c r="F3742" i="1"/>
  <c r="D3742" i="1"/>
  <c r="L3742" i="1" s="1"/>
  <c r="K3741" i="1"/>
  <c r="N3741" i="1" s="1"/>
  <c r="J3741" i="1"/>
  <c r="M3741" i="1" s="1"/>
  <c r="G3741" i="1"/>
  <c r="H3742" i="1" s="1"/>
  <c r="F3741" i="1"/>
  <c r="D3741" i="1"/>
  <c r="L3741" i="1" s="1"/>
  <c r="K3740" i="1"/>
  <c r="N3740" i="1" s="1"/>
  <c r="J3740" i="1"/>
  <c r="M3740" i="1" s="1"/>
  <c r="G3740" i="1"/>
  <c r="H3741" i="1" s="1"/>
  <c r="F3740" i="1"/>
  <c r="D3740" i="1"/>
  <c r="L3740" i="1" s="1"/>
  <c r="K3739" i="1"/>
  <c r="N3739" i="1" s="1"/>
  <c r="J3739" i="1"/>
  <c r="M3739" i="1" s="1"/>
  <c r="G3739" i="1"/>
  <c r="H3740" i="1" s="1"/>
  <c r="F3739" i="1"/>
  <c r="D3739" i="1"/>
  <c r="L3739" i="1" s="1"/>
  <c r="K3738" i="1"/>
  <c r="N3738" i="1" s="1"/>
  <c r="J3738" i="1"/>
  <c r="M3738" i="1" s="1"/>
  <c r="G3738" i="1"/>
  <c r="H3739" i="1" s="1"/>
  <c r="F3738" i="1"/>
  <c r="D3738" i="1"/>
  <c r="L3738" i="1" s="1"/>
  <c r="K3737" i="1"/>
  <c r="N3737" i="1" s="1"/>
  <c r="J3737" i="1"/>
  <c r="M3737" i="1" s="1"/>
  <c r="G3737" i="1"/>
  <c r="H3738" i="1" s="1"/>
  <c r="F3737" i="1"/>
  <c r="D3737" i="1"/>
  <c r="L3737" i="1" s="1"/>
  <c r="K3736" i="1"/>
  <c r="N3736" i="1" s="1"/>
  <c r="J3736" i="1"/>
  <c r="M3736" i="1" s="1"/>
  <c r="G3736" i="1"/>
  <c r="H3737" i="1" s="1"/>
  <c r="F3736" i="1"/>
  <c r="D3736" i="1"/>
  <c r="L3736" i="1" s="1"/>
  <c r="K3735" i="1"/>
  <c r="N3735" i="1" s="1"/>
  <c r="J3735" i="1"/>
  <c r="M3735" i="1" s="1"/>
  <c r="G3735" i="1"/>
  <c r="H3736" i="1" s="1"/>
  <c r="F3735" i="1"/>
  <c r="D3735" i="1"/>
  <c r="L3735" i="1" s="1"/>
  <c r="K3734" i="1"/>
  <c r="N3734" i="1" s="1"/>
  <c r="J3734" i="1"/>
  <c r="M3734" i="1" s="1"/>
  <c r="G3734" i="1"/>
  <c r="H3735" i="1" s="1"/>
  <c r="F3734" i="1"/>
  <c r="D3734" i="1"/>
  <c r="L3734" i="1" s="1"/>
  <c r="K3733" i="1"/>
  <c r="N3733" i="1" s="1"/>
  <c r="J3733" i="1"/>
  <c r="M3733" i="1" s="1"/>
  <c r="G3733" i="1"/>
  <c r="H3734" i="1" s="1"/>
  <c r="F3733" i="1"/>
  <c r="D3733" i="1"/>
  <c r="L3733" i="1" s="1"/>
  <c r="K3732" i="1"/>
  <c r="N3732" i="1" s="1"/>
  <c r="J3732" i="1"/>
  <c r="M3732" i="1" s="1"/>
  <c r="G3732" i="1"/>
  <c r="H3733" i="1" s="1"/>
  <c r="F3732" i="1"/>
  <c r="D3732" i="1"/>
  <c r="L3732" i="1" s="1"/>
  <c r="K3731" i="1"/>
  <c r="N3731" i="1" s="1"/>
  <c r="J3731" i="1"/>
  <c r="M3731" i="1" s="1"/>
  <c r="G3731" i="1"/>
  <c r="H3732" i="1" s="1"/>
  <c r="F3731" i="1"/>
  <c r="D3731" i="1"/>
  <c r="L3731" i="1" s="1"/>
  <c r="K3730" i="1"/>
  <c r="N3730" i="1" s="1"/>
  <c r="J3730" i="1"/>
  <c r="M3730" i="1" s="1"/>
  <c r="G3730" i="1"/>
  <c r="H3731" i="1" s="1"/>
  <c r="F3730" i="1"/>
  <c r="D3730" i="1"/>
  <c r="L3730" i="1" s="1"/>
  <c r="K3729" i="1"/>
  <c r="N3729" i="1" s="1"/>
  <c r="J3729" i="1"/>
  <c r="M3729" i="1" s="1"/>
  <c r="G3729" i="1"/>
  <c r="H3730" i="1" s="1"/>
  <c r="F3729" i="1"/>
  <c r="D3729" i="1"/>
  <c r="L3729" i="1" s="1"/>
  <c r="K3728" i="1"/>
  <c r="N3728" i="1" s="1"/>
  <c r="J3728" i="1"/>
  <c r="M3728" i="1" s="1"/>
  <c r="G3728" i="1"/>
  <c r="H3729" i="1" s="1"/>
  <c r="F3728" i="1"/>
  <c r="D3728" i="1"/>
  <c r="L3728" i="1" s="1"/>
  <c r="K3727" i="1"/>
  <c r="N3727" i="1" s="1"/>
  <c r="J3727" i="1"/>
  <c r="M3727" i="1" s="1"/>
  <c r="G3727" i="1"/>
  <c r="H3728" i="1" s="1"/>
  <c r="F3727" i="1"/>
  <c r="D3727" i="1"/>
  <c r="L3727" i="1" s="1"/>
  <c r="K3726" i="1"/>
  <c r="N3726" i="1" s="1"/>
  <c r="J3726" i="1"/>
  <c r="M3726" i="1" s="1"/>
  <c r="G3726" i="1"/>
  <c r="H3727" i="1" s="1"/>
  <c r="F3726" i="1"/>
  <c r="D3726" i="1"/>
  <c r="L3726" i="1" s="1"/>
  <c r="K3725" i="1"/>
  <c r="N3725" i="1" s="1"/>
  <c r="J3725" i="1"/>
  <c r="M3725" i="1" s="1"/>
  <c r="G3725" i="1"/>
  <c r="H3726" i="1" s="1"/>
  <c r="F3725" i="1"/>
  <c r="D3725" i="1"/>
  <c r="L3725" i="1" s="1"/>
  <c r="K3724" i="1"/>
  <c r="N3724" i="1" s="1"/>
  <c r="J3724" i="1"/>
  <c r="M3724" i="1" s="1"/>
  <c r="G3724" i="1"/>
  <c r="H3725" i="1" s="1"/>
  <c r="F3724" i="1"/>
  <c r="D3724" i="1"/>
  <c r="L3724" i="1" s="1"/>
  <c r="K3723" i="1"/>
  <c r="N3723" i="1" s="1"/>
  <c r="J3723" i="1"/>
  <c r="M3723" i="1" s="1"/>
  <c r="G3723" i="1"/>
  <c r="H3724" i="1" s="1"/>
  <c r="F3723" i="1"/>
  <c r="D3723" i="1"/>
  <c r="L3723" i="1" s="1"/>
  <c r="K3722" i="1"/>
  <c r="N3722" i="1" s="1"/>
  <c r="J3722" i="1"/>
  <c r="M3722" i="1" s="1"/>
  <c r="G3722" i="1"/>
  <c r="H3723" i="1" s="1"/>
  <c r="F3722" i="1"/>
  <c r="D3722" i="1"/>
  <c r="L3722" i="1" s="1"/>
  <c r="K3721" i="1"/>
  <c r="N3721" i="1" s="1"/>
  <c r="J3721" i="1"/>
  <c r="M3721" i="1" s="1"/>
  <c r="G3721" i="1"/>
  <c r="H3722" i="1" s="1"/>
  <c r="F3721" i="1"/>
  <c r="D3721" i="1"/>
  <c r="L3721" i="1" s="1"/>
  <c r="K3720" i="1"/>
  <c r="N3720" i="1" s="1"/>
  <c r="J3720" i="1"/>
  <c r="M3720" i="1" s="1"/>
  <c r="G3720" i="1"/>
  <c r="H3721" i="1" s="1"/>
  <c r="F3720" i="1"/>
  <c r="D3720" i="1"/>
  <c r="L3720" i="1" s="1"/>
  <c r="K3719" i="1"/>
  <c r="N3719" i="1" s="1"/>
  <c r="J3719" i="1"/>
  <c r="M3719" i="1" s="1"/>
  <c r="G3719" i="1"/>
  <c r="H3720" i="1" s="1"/>
  <c r="F3719" i="1"/>
  <c r="D3719" i="1"/>
  <c r="L3719" i="1" s="1"/>
  <c r="K3718" i="1"/>
  <c r="N3718" i="1" s="1"/>
  <c r="J3718" i="1"/>
  <c r="M3718" i="1" s="1"/>
  <c r="G3718" i="1"/>
  <c r="H3719" i="1" s="1"/>
  <c r="F3718" i="1"/>
  <c r="D3718" i="1"/>
  <c r="L3718" i="1" s="1"/>
  <c r="K3717" i="1"/>
  <c r="N3717" i="1" s="1"/>
  <c r="J3717" i="1"/>
  <c r="M3717" i="1" s="1"/>
  <c r="G3717" i="1"/>
  <c r="H3718" i="1" s="1"/>
  <c r="F3717" i="1"/>
  <c r="D3717" i="1"/>
  <c r="L3717" i="1" s="1"/>
  <c r="K3716" i="1"/>
  <c r="N3716" i="1" s="1"/>
  <c r="J3716" i="1"/>
  <c r="M3716" i="1" s="1"/>
  <c r="G3716" i="1"/>
  <c r="H3717" i="1" s="1"/>
  <c r="F3716" i="1"/>
  <c r="D3716" i="1"/>
  <c r="L3716" i="1" s="1"/>
  <c r="K3715" i="1"/>
  <c r="N3715" i="1" s="1"/>
  <c r="J3715" i="1"/>
  <c r="M3715" i="1" s="1"/>
  <c r="G3715" i="1"/>
  <c r="H3716" i="1" s="1"/>
  <c r="F3715" i="1"/>
  <c r="D3715" i="1"/>
  <c r="L3715" i="1" s="1"/>
  <c r="K3714" i="1"/>
  <c r="N3714" i="1" s="1"/>
  <c r="J3714" i="1"/>
  <c r="M3714" i="1" s="1"/>
  <c r="G3714" i="1"/>
  <c r="H3715" i="1" s="1"/>
  <c r="F3714" i="1"/>
  <c r="D3714" i="1"/>
  <c r="L3714" i="1" s="1"/>
  <c r="K3713" i="1"/>
  <c r="N3713" i="1" s="1"/>
  <c r="J3713" i="1"/>
  <c r="M3713" i="1" s="1"/>
  <c r="G3713" i="1"/>
  <c r="H3714" i="1" s="1"/>
  <c r="F3713" i="1"/>
  <c r="D3713" i="1"/>
  <c r="L3713" i="1" s="1"/>
  <c r="K3712" i="1"/>
  <c r="N3712" i="1" s="1"/>
  <c r="J3712" i="1"/>
  <c r="M3712" i="1" s="1"/>
  <c r="G3712" i="1"/>
  <c r="H3713" i="1" s="1"/>
  <c r="F3712" i="1"/>
  <c r="D3712" i="1"/>
  <c r="L3712" i="1" s="1"/>
  <c r="K3711" i="1"/>
  <c r="N3711" i="1" s="1"/>
  <c r="J3711" i="1"/>
  <c r="M3711" i="1" s="1"/>
  <c r="G3711" i="1"/>
  <c r="H3712" i="1" s="1"/>
  <c r="F3711" i="1"/>
  <c r="D3711" i="1"/>
  <c r="L3711" i="1" s="1"/>
  <c r="K3710" i="1"/>
  <c r="N3710" i="1" s="1"/>
  <c r="J3710" i="1"/>
  <c r="M3710" i="1" s="1"/>
  <c r="G3710" i="1"/>
  <c r="H3711" i="1" s="1"/>
  <c r="F3710" i="1"/>
  <c r="D3710" i="1"/>
  <c r="L3710" i="1" s="1"/>
  <c r="K3709" i="1"/>
  <c r="N3709" i="1" s="1"/>
  <c r="J3709" i="1"/>
  <c r="M3709" i="1" s="1"/>
  <c r="G3709" i="1"/>
  <c r="H3710" i="1" s="1"/>
  <c r="F3709" i="1"/>
  <c r="D3709" i="1"/>
  <c r="L3709" i="1" s="1"/>
  <c r="K3708" i="1"/>
  <c r="N3708" i="1" s="1"/>
  <c r="J3708" i="1"/>
  <c r="M3708" i="1" s="1"/>
  <c r="G3708" i="1"/>
  <c r="H3709" i="1" s="1"/>
  <c r="F3708" i="1"/>
  <c r="D3708" i="1"/>
  <c r="L3708" i="1" s="1"/>
  <c r="K3707" i="1"/>
  <c r="N3707" i="1" s="1"/>
  <c r="J3707" i="1"/>
  <c r="M3707" i="1" s="1"/>
  <c r="G3707" i="1"/>
  <c r="H3708" i="1" s="1"/>
  <c r="F3707" i="1"/>
  <c r="D3707" i="1"/>
  <c r="L3707" i="1" s="1"/>
  <c r="K3706" i="1"/>
  <c r="N3706" i="1" s="1"/>
  <c r="J3706" i="1"/>
  <c r="M3706" i="1" s="1"/>
  <c r="G3706" i="1"/>
  <c r="H3707" i="1" s="1"/>
  <c r="F3706" i="1"/>
  <c r="D3706" i="1"/>
  <c r="L3706" i="1" s="1"/>
  <c r="K3705" i="1"/>
  <c r="N3705" i="1" s="1"/>
  <c r="J3705" i="1"/>
  <c r="M3705" i="1" s="1"/>
  <c r="G3705" i="1"/>
  <c r="H3706" i="1" s="1"/>
  <c r="F3705" i="1"/>
  <c r="D3705" i="1"/>
  <c r="L3705" i="1" s="1"/>
  <c r="K3704" i="1"/>
  <c r="N3704" i="1" s="1"/>
  <c r="J3704" i="1"/>
  <c r="M3704" i="1" s="1"/>
  <c r="G3704" i="1"/>
  <c r="H3705" i="1" s="1"/>
  <c r="F3704" i="1"/>
  <c r="D3704" i="1"/>
  <c r="L3704" i="1" s="1"/>
  <c r="K3703" i="1"/>
  <c r="N3703" i="1" s="1"/>
  <c r="J3703" i="1"/>
  <c r="M3703" i="1" s="1"/>
  <c r="G3703" i="1"/>
  <c r="H3704" i="1" s="1"/>
  <c r="F3703" i="1"/>
  <c r="D3703" i="1"/>
  <c r="L3703" i="1" s="1"/>
  <c r="K3702" i="1"/>
  <c r="N3702" i="1" s="1"/>
  <c r="J3702" i="1"/>
  <c r="M3702" i="1" s="1"/>
  <c r="G3702" i="1"/>
  <c r="H3703" i="1" s="1"/>
  <c r="F3702" i="1"/>
  <c r="D3702" i="1"/>
  <c r="L3702" i="1" s="1"/>
  <c r="K3701" i="1"/>
  <c r="N3701" i="1" s="1"/>
  <c r="J3701" i="1"/>
  <c r="M3701" i="1" s="1"/>
  <c r="G3701" i="1"/>
  <c r="H3702" i="1" s="1"/>
  <c r="F3701" i="1"/>
  <c r="D3701" i="1"/>
  <c r="L3701" i="1" s="1"/>
  <c r="K3700" i="1"/>
  <c r="N3700" i="1" s="1"/>
  <c r="J3700" i="1"/>
  <c r="M3700" i="1" s="1"/>
  <c r="G3700" i="1"/>
  <c r="H3701" i="1" s="1"/>
  <c r="F3700" i="1"/>
  <c r="D3700" i="1"/>
  <c r="L3700" i="1" s="1"/>
  <c r="K3699" i="1"/>
  <c r="N3699" i="1" s="1"/>
  <c r="J3699" i="1"/>
  <c r="M3699" i="1" s="1"/>
  <c r="G3699" i="1"/>
  <c r="H3700" i="1" s="1"/>
  <c r="F3699" i="1"/>
  <c r="D3699" i="1"/>
  <c r="L3699" i="1" s="1"/>
  <c r="K3698" i="1"/>
  <c r="N3698" i="1" s="1"/>
  <c r="J3698" i="1"/>
  <c r="M3698" i="1" s="1"/>
  <c r="G3698" i="1"/>
  <c r="H3699" i="1" s="1"/>
  <c r="F3698" i="1"/>
  <c r="D3698" i="1"/>
  <c r="L3698" i="1" s="1"/>
  <c r="K3697" i="1"/>
  <c r="N3697" i="1" s="1"/>
  <c r="J3697" i="1"/>
  <c r="M3697" i="1" s="1"/>
  <c r="G3697" i="1"/>
  <c r="H3698" i="1" s="1"/>
  <c r="F3697" i="1"/>
  <c r="D3697" i="1"/>
  <c r="L3697" i="1" s="1"/>
  <c r="K3696" i="1"/>
  <c r="N3696" i="1" s="1"/>
  <c r="J3696" i="1"/>
  <c r="M3696" i="1" s="1"/>
  <c r="G3696" i="1"/>
  <c r="H3697" i="1" s="1"/>
  <c r="F3696" i="1"/>
  <c r="D3696" i="1"/>
  <c r="L3696" i="1" s="1"/>
  <c r="K3695" i="1"/>
  <c r="N3695" i="1" s="1"/>
  <c r="J3695" i="1"/>
  <c r="M3695" i="1" s="1"/>
  <c r="G3695" i="1"/>
  <c r="H3696" i="1" s="1"/>
  <c r="F3695" i="1"/>
  <c r="D3695" i="1"/>
  <c r="L3695" i="1" s="1"/>
  <c r="K3694" i="1"/>
  <c r="N3694" i="1" s="1"/>
  <c r="J3694" i="1"/>
  <c r="M3694" i="1" s="1"/>
  <c r="G3694" i="1"/>
  <c r="H3695" i="1" s="1"/>
  <c r="F3694" i="1"/>
  <c r="D3694" i="1"/>
  <c r="L3694" i="1" s="1"/>
  <c r="K3693" i="1"/>
  <c r="N3693" i="1" s="1"/>
  <c r="J3693" i="1"/>
  <c r="M3693" i="1" s="1"/>
  <c r="G3693" i="1"/>
  <c r="H3694" i="1" s="1"/>
  <c r="F3693" i="1"/>
  <c r="D3693" i="1"/>
  <c r="L3693" i="1" s="1"/>
  <c r="K3692" i="1"/>
  <c r="N3692" i="1" s="1"/>
  <c r="J3692" i="1"/>
  <c r="M3692" i="1" s="1"/>
  <c r="G3692" i="1"/>
  <c r="H3693" i="1" s="1"/>
  <c r="F3692" i="1"/>
  <c r="D3692" i="1"/>
  <c r="L3692" i="1" s="1"/>
  <c r="K3691" i="1"/>
  <c r="N3691" i="1" s="1"/>
  <c r="J3691" i="1"/>
  <c r="M3691" i="1" s="1"/>
  <c r="G3691" i="1"/>
  <c r="H3692" i="1" s="1"/>
  <c r="F3691" i="1"/>
  <c r="D3691" i="1"/>
  <c r="L3691" i="1" s="1"/>
  <c r="K3690" i="1"/>
  <c r="N3690" i="1" s="1"/>
  <c r="J3690" i="1"/>
  <c r="M3690" i="1" s="1"/>
  <c r="G3690" i="1"/>
  <c r="H3691" i="1" s="1"/>
  <c r="F3690" i="1"/>
  <c r="D3690" i="1"/>
  <c r="L3690" i="1" s="1"/>
  <c r="K3689" i="1"/>
  <c r="N3689" i="1" s="1"/>
  <c r="J3689" i="1"/>
  <c r="M3689" i="1" s="1"/>
  <c r="G3689" i="1"/>
  <c r="H3690" i="1" s="1"/>
  <c r="F3689" i="1"/>
  <c r="D3689" i="1"/>
  <c r="L3689" i="1" s="1"/>
  <c r="K3688" i="1"/>
  <c r="N3688" i="1" s="1"/>
  <c r="J3688" i="1"/>
  <c r="M3688" i="1" s="1"/>
  <c r="G3688" i="1"/>
  <c r="H3689" i="1" s="1"/>
  <c r="F3688" i="1"/>
  <c r="D3688" i="1"/>
  <c r="L3688" i="1" s="1"/>
  <c r="K3687" i="1"/>
  <c r="N3687" i="1" s="1"/>
  <c r="J3687" i="1"/>
  <c r="M3687" i="1" s="1"/>
  <c r="G3687" i="1"/>
  <c r="H3688" i="1" s="1"/>
  <c r="F3687" i="1"/>
  <c r="D3687" i="1"/>
  <c r="L3687" i="1" s="1"/>
  <c r="K3686" i="1"/>
  <c r="N3686" i="1" s="1"/>
  <c r="J3686" i="1"/>
  <c r="M3686" i="1" s="1"/>
  <c r="G3686" i="1"/>
  <c r="H3687" i="1" s="1"/>
  <c r="F3686" i="1"/>
  <c r="D3686" i="1"/>
  <c r="L3686" i="1" s="1"/>
  <c r="K3685" i="1"/>
  <c r="N3685" i="1" s="1"/>
  <c r="J3685" i="1"/>
  <c r="M3685" i="1" s="1"/>
  <c r="G3685" i="1"/>
  <c r="H3686" i="1" s="1"/>
  <c r="F3685" i="1"/>
  <c r="D3685" i="1"/>
  <c r="L3685" i="1" s="1"/>
  <c r="K3684" i="1"/>
  <c r="N3684" i="1" s="1"/>
  <c r="J3684" i="1"/>
  <c r="M3684" i="1" s="1"/>
  <c r="G3684" i="1"/>
  <c r="H3685" i="1" s="1"/>
  <c r="F3684" i="1"/>
  <c r="D3684" i="1"/>
  <c r="L3684" i="1" s="1"/>
  <c r="K3683" i="1"/>
  <c r="N3683" i="1" s="1"/>
  <c r="J3683" i="1"/>
  <c r="M3683" i="1" s="1"/>
  <c r="G3683" i="1"/>
  <c r="H3684" i="1" s="1"/>
  <c r="F3683" i="1"/>
  <c r="D3683" i="1"/>
  <c r="L3683" i="1" s="1"/>
  <c r="K3682" i="1"/>
  <c r="N3682" i="1" s="1"/>
  <c r="J3682" i="1"/>
  <c r="M3682" i="1" s="1"/>
  <c r="G3682" i="1"/>
  <c r="H3683" i="1" s="1"/>
  <c r="F3682" i="1"/>
  <c r="D3682" i="1"/>
  <c r="L3682" i="1" s="1"/>
  <c r="K3681" i="1"/>
  <c r="N3681" i="1" s="1"/>
  <c r="J3681" i="1"/>
  <c r="M3681" i="1" s="1"/>
  <c r="G3681" i="1"/>
  <c r="H3682" i="1" s="1"/>
  <c r="F3681" i="1"/>
  <c r="D3681" i="1"/>
  <c r="L3681" i="1" s="1"/>
  <c r="K3680" i="1"/>
  <c r="N3680" i="1" s="1"/>
  <c r="J3680" i="1"/>
  <c r="M3680" i="1" s="1"/>
  <c r="G3680" i="1"/>
  <c r="H3681" i="1" s="1"/>
  <c r="F3680" i="1"/>
  <c r="D3680" i="1"/>
  <c r="L3680" i="1" s="1"/>
  <c r="K3679" i="1"/>
  <c r="N3679" i="1" s="1"/>
  <c r="J3679" i="1"/>
  <c r="M3679" i="1" s="1"/>
  <c r="G3679" i="1"/>
  <c r="H3680" i="1" s="1"/>
  <c r="F3679" i="1"/>
  <c r="D3679" i="1"/>
  <c r="L3679" i="1" s="1"/>
  <c r="K3678" i="1"/>
  <c r="N3678" i="1" s="1"/>
  <c r="J3678" i="1"/>
  <c r="M3678" i="1" s="1"/>
  <c r="G3678" i="1"/>
  <c r="H3679" i="1" s="1"/>
  <c r="F3678" i="1"/>
  <c r="D3678" i="1"/>
  <c r="L3678" i="1" s="1"/>
  <c r="K3677" i="1"/>
  <c r="N3677" i="1" s="1"/>
  <c r="J3677" i="1"/>
  <c r="M3677" i="1" s="1"/>
  <c r="G3677" i="1"/>
  <c r="H3678" i="1" s="1"/>
  <c r="F3677" i="1"/>
  <c r="D3677" i="1"/>
  <c r="L3677" i="1" s="1"/>
  <c r="K3676" i="1"/>
  <c r="N3676" i="1" s="1"/>
  <c r="J3676" i="1"/>
  <c r="M3676" i="1" s="1"/>
  <c r="G3676" i="1"/>
  <c r="H3677" i="1" s="1"/>
  <c r="F3676" i="1"/>
  <c r="D3676" i="1"/>
  <c r="L3676" i="1" s="1"/>
  <c r="K3675" i="1"/>
  <c r="N3675" i="1" s="1"/>
  <c r="J3675" i="1"/>
  <c r="M3675" i="1" s="1"/>
  <c r="G3675" i="1"/>
  <c r="H3676" i="1" s="1"/>
  <c r="F3675" i="1"/>
  <c r="D3675" i="1"/>
  <c r="L3675" i="1" s="1"/>
  <c r="K3674" i="1"/>
  <c r="N3674" i="1" s="1"/>
  <c r="J3674" i="1"/>
  <c r="M3674" i="1" s="1"/>
  <c r="G3674" i="1"/>
  <c r="H3675" i="1" s="1"/>
  <c r="F3674" i="1"/>
  <c r="D3674" i="1"/>
  <c r="L3674" i="1" s="1"/>
  <c r="K3673" i="1"/>
  <c r="N3673" i="1" s="1"/>
  <c r="J3673" i="1"/>
  <c r="M3673" i="1" s="1"/>
  <c r="G3673" i="1"/>
  <c r="H3674" i="1" s="1"/>
  <c r="F3673" i="1"/>
  <c r="D3673" i="1"/>
  <c r="L3673" i="1" s="1"/>
  <c r="K3672" i="1"/>
  <c r="N3672" i="1" s="1"/>
  <c r="J3672" i="1"/>
  <c r="M3672" i="1" s="1"/>
  <c r="G3672" i="1"/>
  <c r="H3673" i="1" s="1"/>
  <c r="F3672" i="1"/>
  <c r="D3672" i="1"/>
  <c r="L3672" i="1" s="1"/>
  <c r="K3671" i="1"/>
  <c r="N3671" i="1" s="1"/>
  <c r="J3671" i="1"/>
  <c r="M3671" i="1" s="1"/>
  <c r="G3671" i="1"/>
  <c r="H3672" i="1" s="1"/>
  <c r="F3671" i="1"/>
  <c r="D3671" i="1"/>
  <c r="L3671" i="1" s="1"/>
  <c r="K3670" i="1"/>
  <c r="N3670" i="1" s="1"/>
  <c r="J3670" i="1"/>
  <c r="M3670" i="1" s="1"/>
  <c r="G3670" i="1"/>
  <c r="H3671" i="1" s="1"/>
  <c r="F3670" i="1"/>
  <c r="D3670" i="1"/>
  <c r="L3670" i="1" s="1"/>
  <c r="K3669" i="1"/>
  <c r="N3669" i="1" s="1"/>
  <c r="J3669" i="1"/>
  <c r="M3669" i="1" s="1"/>
  <c r="G3669" i="1"/>
  <c r="H3670" i="1" s="1"/>
  <c r="F3669" i="1"/>
  <c r="D3669" i="1"/>
  <c r="L3669" i="1" s="1"/>
  <c r="K3668" i="1"/>
  <c r="N3668" i="1" s="1"/>
  <c r="J3668" i="1"/>
  <c r="M3668" i="1" s="1"/>
  <c r="G3668" i="1"/>
  <c r="H3669" i="1" s="1"/>
  <c r="F3668" i="1"/>
  <c r="D3668" i="1"/>
  <c r="L3668" i="1" s="1"/>
  <c r="K3667" i="1"/>
  <c r="N3667" i="1" s="1"/>
  <c r="J3667" i="1"/>
  <c r="M3667" i="1" s="1"/>
  <c r="G3667" i="1"/>
  <c r="H3668" i="1" s="1"/>
  <c r="F3667" i="1"/>
  <c r="D3667" i="1"/>
  <c r="L3667" i="1" s="1"/>
  <c r="K3666" i="1"/>
  <c r="N3666" i="1" s="1"/>
  <c r="J3666" i="1"/>
  <c r="M3666" i="1" s="1"/>
  <c r="G3666" i="1"/>
  <c r="H3667" i="1" s="1"/>
  <c r="F3666" i="1"/>
  <c r="D3666" i="1"/>
  <c r="L3666" i="1" s="1"/>
  <c r="K3665" i="1"/>
  <c r="N3665" i="1" s="1"/>
  <c r="J3665" i="1"/>
  <c r="M3665" i="1" s="1"/>
  <c r="G3665" i="1"/>
  <c r="H3666" i="1" s="1"/>
  <c r="F3665" i="1"/>
  <c r="D3665" i="1"/>
  <c r="L3665" i="1" s="1"/>
  <c r="K3664" i="1"/>
  <c r="N3664" i="1" s="1"/>
  <c r="J3664" i="1"/>
  <c r="M3664" i="1" s="1"/>
  <c r="G3664" i="1"/>
  <c r="H3665" i="1" s="1"/>
  <c r="F3664" i="1"/>
  <c r="D3664" i="1"/>
  <c r="L3664" i="1" s="1"/>
  <c r="K3663" i="1"/>
  <c r="N3663" i="1" s="1"/>
  <c r="J3663" i="1"/>
  <c r="M3663" i="1" s="1"/>
  <c r="G3663" i="1"/>
  <c r="H3664" i="1" s="1"/>
  <c r="F3663" i="1"/>
  <c r="D3663" i="1"/>
  <c r="L3663" i="1" s="1"/>
  <c r="K3662" i="1"/>
  <c r="N3662" i="1" s="1"/>
  <c r="J3662" i="1"/>
  <c r="M3662" i="1" s="1"/>
  <c r="G3662" i="1"/>
  <c r="H3663" i="1" s="1"/>
  <c r="F3662" i="1"/>
  <c r="D3662" i="1"/>
  <c r="L3662" i="1" s="1"/>
  <c r="K3661" i="1"/>
  <c r="N3661" i="1" s="1"/>
  <c r="J3661" i="1"/>
  <c r="M3661" i="1" s="1"/>
  <c r="G3661" i="1"/>
  <c r="H3662" i="1" s="1"/>
  <c r="F3661" i="1"/>
  <c r="D3661" i="1"/>
  <c r="L3661" i="1" s="1"/>
  <c r="K3660" i="1"/>
  <c r="N3660" i="1" s="1"/>
  <c r="J3660" i="1"/>
  <c r="M3660" i="1" s="1"/>
  <c r="G3660" i="1"/>
  <c r="H3661" i="1" s="1"/>
  <c r="F3660" i="1"/>
  <c r="D3660" i="1"/>
  <c r="L3660" i="1" s="1"/>
  <c r="K3659" i="1"/>
  <c r="N3659" i="1" s="1"/>
  <c r="J3659" i="1"/>
  <c r="M3659" i="1" s="1"/>
  <c r="G3659" i="1"/>
  <c r="H3660" i="1" s="1"/>
  <c r="F3659" i="1"/>
  <c r="D3659" i="1"/>
  <c r="L3659" i="1" s="1"/>
  <c r="K3658" i="1"/>
  <c r="N3658" i="1" s="1"/>
  <c r="J3658" i="1"/>
  <c r="M3658" i="1" s="1"/>
  <c r="G3658" i="1"/>
  <c r="H3659" i="1" s="1"/>
  <c r="F3658" i="1"/>
  <c r="D3658" i="1"/>
  <c r="L3658" i="1" s="1"/>
  <c r="K3657" i="1"/>
  <c r="N3657" i="1" s="1"/>
  <c r="J3657" i="1"/>
  <c r="M3657" i="1" s="1"/>
  <c r="G3657" i="1"/>
  <c r="H3658" i="1" s="1"/>
  <c r="F3657" i="1"/>
  <c r="D3657" i="1"/>
  <c r="L3657" i="1" s="1"/>
  <c r="K3656" i="1"/>
  <c r="N3656" i="1" s="1"/>
  <c r="J3656" i="1"/>
  <c r="M3656" i="1" s="1"/>
  <c r="G3656" i="1"/>
  <c r="H3657" i="1" s="1"/>
  <c r="F3656" i="1"/>
  <c r="D3656" i="1"/>
  <c r="L3656" i="1" s="1"/>
  <c r="K3655" i="1"/>
  <c r="N3655" i="1" s="1"/>
  <c r="J3655" i="1"/>
  <c r="M3655" i="1" s="1"/>
  <c r="G3655" i="1"/>
  <c r="H3656" i="1" s="1"/>
  <c r="F3655" i="1"/>
  <c r="D3655" i="1"/>
  <c r="L3655" i="1" s="1"/>
  <c r="K3654" i="1"/>
  <c r="N3654" i="1" s="1"/>
  <c r="J3654" i="1"/>
  <c r="M3654" i="1" s="1"/>
  <c r="G3654" i="1"/>
  <c r="H3655" i="1" s="1"/>
  <c r="F3654" i="1"/>
  <c r="D3654" i="1"/>
  <c r="L3654" i="1" s="1"/>
  <c r="K3653" i="1"/>
  <c r="N3653" i="1" s="1"/>
  <c r="J3653" i="1"/>
  <c r="M3653" i="1" s="1"/>
  <c r="G3653" i="1"/>
  <c r="H3654" i="1" s="1"/>
  <c r="F3653" i="1"/>
  <c r="D3653" i="1"/>
  <c r="L3653" i="1" s="1"/>
  <c r="K3652" i="1"/>
  <c r="N3652" i="1" s="1"/>
  <c r="J3652" i="1"/>
  <c r="M3652" i="1" s="1"/>
  <c r="G3652" i="1"/>
  <c r="H3653" i="1" s="1"/>
  <c r="F3652" i="1"/>
  <c r="D3652" i="1"/>
  <c r="L3652" i="1" s="1"/>
  <c r="K3651" i="1"/>
  <c r="N3651" i="1" s="1"/>
  <c r="J3651" i="1"/>
  <c r="M3651" i="1" s="1"/>
  <c r="G3651" i="1"/>
  <c r="H3652" i="1" s="1"/>
  <c r="F3651" i="1"/>
  <c r="D3651" i="1"/>
  <c r="L3651" i="1" s="1"/>
  <c r="K3650" i="1"/>
  <c r="N3650" i="1" s="1"/>
  <c r="J3650" i="1"/>
  <c r="M3650" i="1" s="1"/>
  <c r="G3650" i="1"/>
  <c r="H3651" i="1" s="1"/>
  <c r="F3650" i="1"/>
  <c r="D3650" i="1"/>
  <c r="L3650" i="1" s="1"/>
  <c r="K3649" i="1"/>
  <c r="N3649" i="1" s="1"/>
  <c r="J3649" i="1"/>
  <c r="M3649" i="1" s="1"/>
  <c r="G3649" i="1"/>
  <c r="H3650" i="1" s="1"/>
  <c r="F3649" i="1"/>
  <c r="D3649" i="1"/>
  <c r="L3649" i="1" s="1"/>
  <c r="K3648" i="1"/>
  <c r="N3648" i="1" s="1"/>
  <c r="J3648" i="1"/>
  <c r="M3648" i="1" s="1"/>
  <c r="G3648" i="1"/>
  <c r="H3649" i="1" s="1"/>
  <c r="F3648" i="1"/>
  <c r="D3648" i="1"/>
  <c r="L3648" i="1" s="1"/>
  <c r="K3647" i="1"/>
  <c r="N3647" i="1" s="1"/>
  <c r="J3647" i="1"/>
  <c r="M3647" i="1" s="1"/>
  <c r="G3647" i="1"/>
  <c r="H3648" i="1" s="1"/>
  <c r="F3647" i="1"/>
  <c r="D3647" i="1"/>
  <c r="L3647" i="1" s="1"/>
  <c r="K3646" i="1"/>
  <c r="N3646" i="1" s="1"/>
  <c r="J3646" i="1"/>
  <c r="M3646" i="1" s="1"/>
  <c r="G3646" i="1"/>
  <c r="H3647" i="1" s="1"/>
  <c r="F3646" i="1"/>
  <c r="D3646" i="1"/>
  <c r="L3646" i="1" s="1"/>
  <c r="K3645" i="1"/>
  <c r="N3645" i="1" s="1"/>
  <c r="J3645" i="1"/>
  <c r="M3645" i="1" s="1"/>
  <c r="G3645" i="1"/>
  <c r="H3646" i="1" s="1"/>
  <c r="F3645" i="1"/>
  <c r="D3645" i="1"/>
  <c r="L3645" i="1" s="1"/>
  <c r="K3644" i="1"/>
  <c r="N3644" i="1" s="1"/>
  <c r="J3644" i="1"/>
  <c r="M3644" i="1" s="1"/>
  <c r="G3644" i="1"/>
  <c r="H3645" i="1" s="1"/>
  <c r="F3644" i="1"/>
  <c r="D3644" i="1"/>
  <c r="L3644" i="1" s="1"/>
  <c r="K3643" i="1"/>
  <c r="N3643" i="1" s="1"/>
  <c r="J3643" i="1"/>
  <c r="M3643" i="1" s="1"/>
  <c r="G3643" i="1"/>
  <c r="H3644" i="1" s="1"/>
  <c r="F3643" i="1"/>
  <c r="D3643" i="1"/>
  <c r="L3643" i="1" s="1"/>
  <c r="K3642" i="1"/>
  <c r="N3642" i="1" s="1"/>
  <c r="J3642" i="1"/>
  <c r="M3642" i="1" s="1"/>
  <c r="G3642" i="1"/>
  <c r="H3643" i="1" s="1"/>
  <c r="F3642" i="1"/>
  <c r="D3642" i="1"/>
  <c r="L3642" i="1" s="1"/>
  <c r="K3641" i="1"/>
  <c r="N3641" i="1" s="1"/>
  <c r="J3641" i="1"/>
  <c r="M3641" i="1" s="1"/>
  <c r="G3641" i="1"/>
  <c r="H3642" i="1" s="1"/>
  <c r="F3641" i="1"/>
  <c r="D3641" i="1"/>
  <c r="L3641" i="1" s="1"/>
  <c r="K3640" i="1"/>
  <c r="N3640" i="1" s="1"/>
  <c r="J3640" i="1"/>
  <c r="M3640" i="1" s="1"/>
  <c r="G3640" i="1"/>
  <c r="H3641" i="1" s="1"/>
  <c r="F3640" i="1"/>
  <c r="D3640" i="1"/>
  <c r="L3640" i="1" s="1"/>
  <c r="K3639" i="1"/>
  <c r="N3639" i="1" s="1"/>
  <c r="J3639" i="1"/>
  <c r="M3639" i="1" s="1"/>
  <c r="G3639" i="1"/>
  <c r="H3640" i="1" s="1"/>
  <c r="F3639" i="1"/>
  <c r="D3639" i="1"/>
  <c r="L3639" i="1" s="1"/>
  <c r="K3638" i="1"/>
  <c r="N3638" i="1" s="1"/>
  <c r="J3638" i="1"/>
  <c r="M3638" i="1" s="1"/>
  <c r="G3638" i="1"/>
  <c r="H3639" i="1" s="1"/>
  <c r="F3638" i="1"/>
  <c r="D3638" i="1"/>
  <c r="L3638" i="1" s="1"/>
  <c r="K3637" i="1"/>
  <c r="N3637" i="1" s="1"/>
  <c r="J3637" i="1"/>
  <c r="M3637" i="1" s="1"/>
  <c r="G3637" i="1"/>
  <c r="H3638" i="1" s="1"/>
  <c r="F3637" i="1"/>
  <c r="D3637" i="1"/>
  <c r="L3637" i="1" s="1"/>
  <c r="K3636" i="1"/>
  <c r="N3636" i="1" s="1"/>
  <c r="J3636" i="1"/>
  <c r="M3636" i="1" s="1"/>
  <c r="G3636" i="1"/>
  <c r="H3637" i="1" s="1"/>
  <c r="F3636" i="1"/>
  <c r="D3636" i="1"/>
  <c r="L3636" i="1" s="1"/>
  <c r="K3635" i="1"/>
  <c r="N3635" i="1" s="1"/>
  <c r="J3635" i="1"/>
  <c r="M3635" i="1" s="1"/>
  <c r="G3635" i="1"/>
  <c r="H3636" i="1" s="1"/>
  <c r="F3635" i="1"/>
  <c r="D3635" i="1"/>
  <c r="L3635" i="1" s="1"/>
  <c r="K3634" i="1"/>
  <c r="N3634" i="1" s="1"/>
  <c r="J3634" i="1"/>
  <c r="M3634" i="1" s="1"/>
  <c r="G3634" i="1"/>
  <c r="H3635" i="1" s="1"/>
  <c r="F3634" i="1"/>
  <c r="D3634" i="1"/>
  <c r="L3634" i="1" s="1"/>
  <c r="K3633" i="1"/>
  <c r="N3633" i="1" s="1"/>
  <c r="J3633" i="1"/>
  <c r="M3633" i="1" s="1"/>
  <c r="G3633" i="1"/>
  <c r="H3634" i="1" s="1"/>
  <c r="F3633" i="1"/>
  <c r="D3633" i="1"/>
  <c r="L3633" i="1" s="1"/>
  <c r="K3632" i="1"/>
  <c r="N3632" i="1" s="1"/>
  <c r="J3632" i="1"/>
  <c r="M3632" i="1" s="1"/>
  <c r="G3632" i="1"/>
  <c r="H3633" i="1" s="1"/>
  <c r="F3632" i="1"/>
  <c r="D3632" i="1"/>
  <c r="L3632" i="1" s="1"/>
  <c r="K3631" i="1"/>
  <c r="N3631" i="1" s="1"/>
  <c r="J3631" i="1"/>
  <c r="M3631" i="1" s="1"/>
  <c r="G3631" i="1"/>
  <c r="H3632" i="1" s="1"/>
  <c r="F3631" i="1"/>
  <c r="D3631" i="1"/>
  <c r="L3631" i="1" s="1"/>
  <c r="K3630" i="1"/>
  <c r="N3630" i="1" s="1"/>
  <c r="J3630" i="1"/>
  <c r="M3630" i="1" s="1"/>
  <c r="G3630" i="1"/>
  <c r="H3631" i="1" s="1"/>
  <c r="F3630" i="1"/>
  <c r="D3630" i="1"/>
  <c r="L3630" i="1" s="1"/>
  <c r="K3629" i="1"/>
  <c r="N3629" i="1" s="1"/>
  <c r="J3629" i="1"/>
  <c r="M3629" i="1" s="1"/>
  <c r="G3629" i="1"/>
  <c r="H3630" i="1" s="1"/>
  <c r="F3629" i="1"/>
  <c r="D3629" i="1"/>
  <c r="L3629" i="1" s="1"/>
  <c r="K3628" i="1"/>
  <c r="N3628" i="1" s="1"/>
  <c r="J3628" i="1"/>
  <c r="M3628" i="1" s="1"/>
  <c r="G3628" i="1"/>
  <c r="H3629" i="1" s="1"/>
  <c r="F3628" i="1"/>
  <c r="D3628" i="1"/>
  <c r="L3628" i="1" s="1"/>
  <c r="K3627" i="1"/>
  <c r="N3627" i="1" s="1"/>
  <c r="J3627" i="1"/>
  <c r="M3627" i="1" s="1"/>
  <c r="G3627" i="1"/>
  <c r="H3628" i="1" s="1"/>
  <c r="F3627" i="1"/>
  <c r="D3627" i="1"/>
  <c r="L3627" i="1" s="1"/>
  <c r="K3626" i="1"/>
  <c r="N3626" i="1" s="1"/>
  <c r="J3626" i="1"/>
  <c r="M3626" i="1" s="1"/>
  <c r="G3626" i="1"/>
  <c r="H3627" i="1" s="1"/>
  <c r="F3626" i="1"/>
  <c r="D3626" i="1"/>
  <c r="L3626" i="1" s="1"/>
  <c r="K3625" i="1"/>
  <c r="N3625" i="1" s="1"/>
  <c r="J3625" i="1"/>
  <c r="M3625" i="1" s="1"/>
  <c r="G3625" i="1"/>
  <c r="H3626" i="1" s="1"/>
  <c r="F3625" i="1"/>
  <c r="D3625" i="1"/>
  <c r="L3625" i="1" s="1"/>
  <c r="K3624" i="1"/>
  <c r="N3624" i="1" s="1"/>
  <c r="J3624" i="1"/>
  <c r="M3624" i="1" s="1"/>
  <c r="G3624" i="1"/>
  <c r="H3625" i="1" s="1"/>
  <c r="F3624" i="1"/>
  <c r="D3624" i="1"/>
  <c r="L3624" i="1" s="1"/>
  <c r="K3623" i="1"/>
  <c r="N3623" i="1" s="1"/>
  <c r="J3623" i="1"/>
  <c r="M3623" i="1" s="1"/>
  <c r="G3623" i="1"/>
  <c r="H3624" i="1" s="1"/>
  <c r="F3623" i="1"/>
  <c r="D3623" i="1"/>
  <c r="L3623" i="1" s="1"/>
  <c r="K3622" i="1"/>
  <c r="N3622" i="1" s="1"/>
  <c r="J3622" i="1"/>
  <c r="M3622" i="1" s="1"/>
  <c r="G3622" i="1"/>
  <c r="H3623" i="1" s="1"/>
  <c r="F3622" i="1"/>
  <c r="D3622" i="1"/>
  <c r="L3622" i="1" s="1"/>
  <c r="K3621" i="1"/>
  <c r="N3621" i="1" s="1"/>
  <c r="J3621" i="1"/>
  <c r="M3621" i="1" s="1"/>
  <c r="G3621" i="1"/>
  <c r="H3622" i="1" s="1"/>
  <c r="F3621" i="1"/>
  <c r="D3621" i="1"/>
  <c r="L3621" i="1" s="1"/>
  <c r="K3620" i="1"/>
  <c r="N3620" i="1" s="1"/>
  <c r="J3620" i="1"/>
  <c r="M3620" i="1" s="1"/>
  <c r="G3620" i="1"/>
  <c r="H3621" i="1" s="1"/>
  <c r="F3620" i="1"/>
  <c r="D3620" i="1"/>
  <c r="L3620" i="1" s="1"/>
  <c r="K3619" i="1"/>
  <c r="N3619" i="1" s="1"/>
  <c r="J3619" i="1"/>
  <c r="M3619" i="1" s="1"/>
  <c r="G3619" i="1"/>
  <c r="H3620" i="1" s="1"/>
  <c r="F3619" i="1"/>
  <c r="D3619" i="1"/>
  <c r="L3619" i="1" s="1"/>
  <c r="K3618" i="1"/>
  <c r="N3618" i="1" s="1"/>
  <c r="J3618" i="1"/>
  <c r="M3618" i="1" s="1"/>
  <c r="G3618" i="1"/>
  <c r="H3619" i="1" s="1"/>
  <c r="F3618" i="1"/>
  <c r="D3618" i="1"/>
  <c r="L3618" i="1" s="1"/>
  <c r="K3617" i="1"/>
  <c r="N3617" i="1" s="1"/>
  <c r="J3617" i="1"/>
  <c r="M3617" i="1" s="1"/>
  <c r="G3617" i="1"/>
  <c r="H3618" i="1" s="1"/>
  <c r="F3617" i="1"/>
  <c r="D3617" i="1"/>
  <c r="L3617" i="1" s="1"/>
  <c r="K3616" i="1"/>
  <c r="N3616" i="1" s="1"/>
  <c r="J3616" i="1"/>
  <c r="M3616" i="1" s="1"/>
  <c r="G3616" i="1"/>
  <c r="H3617" i="1" s="1"/>
  <c r="F3616" i="1"/>
  <c r="D3616" i="1"/>
  <c r="L3616" i="1" s="1"/>
  <c r="K3615" i="1"/>
  <c r="N3615" i="1" s="1"/>
  <c r="J3615" i="1"/>
  <c r="M3615" i="1" s="1"/>
  <c r="G3615" i="1"/>
  <c r="H3616" i="1" s="1"/>
  <c r="F3615" i="1"/>
  <c r="D3615" i="1"/>
  <c r="L3615" i="1" s="1"/>
  <c r="K3614" i="1"/>
  <c r="N3614" i="1" s="1"/>
  <c r="J3614" i="1"/>
  <c r="M3614" i="1" s="1"/>
  <c r="G3614" i="1"/>
  <c r="H3615" i="1" s="1"/>
  <c r="F3614" i="1"/>
  <c r="D3614" i="1"/>
  <c r="L3614" i="1" s="1"/>
  <c r="K3613" i="1"/>
  <c r="N3613" i="1" s="1"/>
  <c r="J3613" i="1"/>
  <c r="M3613" i="1" s="1"/>
  <c r="G3613" i="1"/>
  <c r="H3614" i="1" s="1"/>
  <c r="F3613" i="1"/>
  <c r="D3613" i="1"/>
  <c r="L3613" i="1" s="1"/>
  <c r="K3612" i="1"/>
  <c r="N3612" i="1" s="1"/>
  <c r="J3612" i="1"/>
  <c r="M3612" i="1" s="1"/>
  <c r="G3612" i="1"/>
  <c r="H3613" i="1" s="1"/>
  <c r="F3612" i="1"/>
  <c r="D3612" i="1"/>
  <c r="L3612" i="1" s="1"/>
  <c r="K3611" i="1"/>
  <c r="N3611" i="1" s="1"/>
  <c r="J3611" i="1"/>
  <c r="M3611" i="1" s="1"/>
  <c r="G3611" i="1"/>
  <c r="H3612" i="1" s="1"/>
  <c r="F3611" i="1"/>
  <c r="D3611" i="1"/>
  <c r="L3611" i="1" s="1"/>
  <c r="K3610" i="1"/>
  <c r="N3610" i="1" s="1"/>
  <c r="J3610" i="1"/>
  <c r="M3610" i="1" s="1"/>
  <c r="G3610" i="1"/>
  <c r="H3611" i="1" s="1"/>
  <c r="F3610" i="1"/>
  <c r="D3610" i="1"/>
  <c r="L3610" i="1" s="1"/>
  <c r="K3609" i="1"/>
  <c r="N3609" i="1" s="1"/>
  <c r="J3609" i="1"/>
  <c r="M3609" i="1" s="1"/>
  <c r="G3609" i="1"/>
  <c r="H3610" i="1" s="1"/>
  <c r="F3609" i="1"/>
  <c r="D3609" i="1"/>
  <c r="L3609" i="1" s="1"/>
  <c r="K3608" i="1"/>
  <c r="N3608" i="1" s="1"/>
  <c r="J3608" i="1"/>
  <c r="M3608" i="1" s="1"/>
  <c r="G3608" i="1"/>
  <c r="H3609" i="1" s="1"/>
  <c r="F3608" i="1"/>
  <c r="D3608" i="1"/>
  <c r="L3608" i="1" s="1"/>
  <c r="K3607" i="1"/>
  <c r="N3607" i="1" s="1"/>
  <c r="J3607" i="1"/>
  <c r="M3607" i="1" s="1"/>
  <c r="G3607" i="1"/>
  <c r="H3608" i="1" s="1"/>
  <c r="F3607" i="1"/>
  <c r="D3607" i="1"/>
  <c r="L3607" i="1" s="1"/>
  <c r="K3606" i="1"/>
  <c r="N3606" i="1" s="1"/>
  <c r="J3606" i="1"/>
  <c r="M3606" i="1" s="1"/>
  <c r="G3606" i="1"/>
  <c r="H3607" i="1" s="1"/>
  <c r="F3606" i="1"/>
  <c r="D3606" i="1"/>
  <c r="L3606" i="1" s="1"/>
  <c r="K3605" i="1"/>
  <c r="N3605" i="1" s="1"/>
  <c r="J3605" i="1"/>
  <c r="M3605" i="1" s="1"/>
  <c r="G3605" i="1"/>
  <c r="H3606" i="1" s="1"/>
  <c r="F3605" i="1"/>
  <c r="D3605" i="1"/>
  <c r="L3605" i="1" s="1"/>
  <c r="K3604" i="1"/>
  <c r="N3604" i="1" s="1"/>
  <c r="J3604" i="1"/>
  <c r="M3604" i="1" s="1"/>
  <c r="G3604" i="1"/>
  <c r="H3605" i="1" s="1"/>
  <c r="F3604" i="1"/>
  <c r="D3604" i="1"/>
  <c r="L3604" i="1" s="1"/>
  <c r="K3603" i="1"/>
  <c r="N3603" i="1" s="1"/>
  <c r="J3603" i="1"/>
  <c r="M3603" i="1" s="1"/>
  <c r="G3603" i="1"/>
  <c r="H3604" i="1" s="1"/>
  <c r="F3603" i="1"/>
  <c r="D3603" i="1"/>
  <c r="L3603" i="1" s="1"/>
  <c r="K3602" i="1"/>
  <c r="N3602" i="1" s="1"/>
  <c r="J3602" i="1"/>
  <c r="M3602" i="1" s="1"/>
  <c r="G3602" i="1"/>
  <c r="H3603" i="1" s="1"/>
  <c r="F3602" i="1"/>
  <c r="D3602" i="1"/>
  <c r="L3602" i="1" s="1"/>
  <c r="K3601" i="1"/>
  <c r="N3601" i="1" s="1"/>
  <c r="J3601" i="1"/>
  <c r="M3601" i="1" s="1"/>
  <c r="G3601" i="1"/>
  <c r="H3602" i="1" s="1"/>
  <c r="F3601" i="1"/>
  <c r="D3601" i="1"/>
  <c r="L3601" i="1" s="1"/>
  <c r="K3600" i="1"/>
  <c r="N3600" i="1" s="1"/>
  <c r="J3600" i="1"/>
  <c r="M3600" i="1" s="1"/>
  <c r="G3600" i="1"/>
  <c r="H3601" i="1" s="1"/>
  <c r="F3600" i="1"/>
  <c r="D3600" i="1"/>
  <c r="L3600" i="1" s="1"/>
  <c r="K3599" i="1"/>
  <c r="N3599" i="1" s="1"/>
  <c r="J3599" i="1"/>
  <c r="M3599" i="1" s="1"/>
  <c r="G3599" i="1"/>
  <c r="H3600" i="1" s="1"/>
  <c r="F3599" i="1"/>
  <c r="D3599" i="1"/>
  <c r="L3599" i="1" s="1"/>
  <c r="K3598" i="1"/>
  <c r="N3598" i="1" s="1"/>
  <c r="J3598" i="1"/>
  <c r="M3598" i="1" s="1"/>
  <c r="G3598" i="1"/>
  <c r="H3599" i="1" s="1"/>
  <c r="F3598" i="1"/>
  <c r="D3598" i="1"/>
  <c r="L3598" i="1" s="1"/>
  <c r="K3597" i="1"/>
  <c r="N3597" i="1" s="1"/>
  <c r="J3597" i="1"/>
  <c r="M3597" i="1" s="1"/>
  <c r="G3597" i="1"/>
  <c r="H3598" i="1" s="1"/>
  <c r="F3597" i="1"/>
  <c r="D3597" i="1"/>
  <c r="L3597" i="1" s="1"/>
  <c r="K3596" i="1"/>
  <c r="N3596" i="1" s="1"/>
  <c r="J3596" i="1"/>
  <c r="M3596" i="1" s="1"/>
  <c r="G3596" i="1"/>
  <c r="H3597" i="1" s="1"/>
  <c r="F3596" i="1"/>
  <c r="D3596" i="1"/>
  <c r="L3596" i="1" s="1"/>
  <c r="K3595" i="1"/>
  <c r="N3595" i="1" s="1"/>
  <c r="J3595" i="1"/>
  <c r="M3595" i="1" s="1"/>
  <c r="G3595" i="1"/>
  <c r="H3596" i="1" s="1"/>
  <c r="F3595" i="1"/>
  <c r="D3595" i="1"/>
  <c r="L3595" i="1" s="1"/>
  <c r="K3594" i="1"/>
  <c r="N3594" i="1" s="1"/>
  <c r="J3594" i="1"/>
  <c r="M3594" i="1" s="1"/>
  <c r="G3594" i="1"/>
  <c r="H3595" i="1" s="1"/>
  <c r="F3594" i="1"/>
  <c r="D3594" i="1"/>
  <c r="L3594" i="1" s="1"/>
  <c r="K3593" i="1"/>
  <c r="N3593" i="1" s="1"/>
  <c r="J3593" i="1"/>
  <c r="M3593" i="1" s="1"/>
  <c r="G3593" i="1"/>
  <c r="H3594" i="1" s="1"/>
  <c r="F3593" i="1"/>
  <c r="D3593" i="1"/>
  <c r="L3593" i="1" s="1"/>
  <c r="K3592" i="1"/>
  <c r="N3592" i="1" s="1"/>
  <c r="J3592" i="1"/>
  <c r="M3592" i="1" s="1"/>
  <c r="G3592" i="1"/>
  <c r="H3593" i="1" s="1"/>
  <c r="F3592" i="1"/>
  <c r="D3592" i="1"/>
  <c r="L3592" i="1" s="1"/>
  <c r="K3591" i="1"/>
  <c r="N3591" i="1" s="1"/>
  <c r="J3591" i="1"/>
  <c r="M3591" i="1" s="1"/>
  <c r="G3591" i="1"/>
  <c r="H3592" i="1" s="1"/>
  <c r="F3591" i="1"/>
  <c r="D3591" i="1"/>
  <c r="L3591" i="1" s="1"/>
  <c r="K3590" i="1"/>
  <c r="N3590" i="1" s="1"/>
  <c r="J3590" i="1"/>
  <c r="M3590" i="1" s="1"/>
  <c r="G3590" i="1"/>
  <c r="H3591" i="1" s="1"/>
  <c r="F3590" i="1"/>
  <c r="D3590" i="1"/>
  <c r="L3590" i="1" s="1"/>
  <c r="K3589" i="1"/>
  <c r="N3589" i="1" s="1"/>
  <c r="J3589" i="1"/>
  <c r="M3589" i="1" s="1"/>
  <c r="G3589" i="1"/>
  <c r="H3590" i="1" s="1"/>
  <c r="F3589" i="1"/>
  <c r="D3589" i="1"/>
  <c r="L3589" i="1" s="1"/>
  <c r="K3588" i="1"/>
  <c r="N3588" i="1" s="1"/>
  <c r="J3588" i="1"/>
  <c r="M3588" i="1" s="1"/>
  <c r="G3588" i="1"/>
  <c r="H3589" i="1" s="1"/>
  <c r="F3588" i="1"/>
  <c r="D3588" i="1"/>
  <c r="L3588" i="1" s="1"/>
  <c r="K3587" i="1"/>
  <c r="N3587" i="1" s="1"/>
  <c r="J3587" i="1"/>
  <c r="M3587" i="1" s="1"/>
  <c r="G3587" i="1"/>
  <c r="H3588" i="1" s="1"/>
  <c r="F3587" i="1"/>
  <c r="D3587" i="1"/>
  <c r="L3587" i="1" s="1"/>
  <c r="K3586" i="1"/>
  <c r="N3586" i="1" s="1"/>
  <c r="J3586" i="1"/>
  <c r="M3586" i="1" s="1"/>
  <c r="G3586" i="1"/>
  <c r="H3587" i="1" s="1"/>
  <c r="F3586" i="1"/>
  <c r="D3586" i="1"/>
  <c r="L3586" i="1" s="1"/>
  <c r="K3585" i="1"/>
  <c r="N3585" i="1" s="1"/>
  <c r="J3585" i="1"/>
  <c r="M3585" i="1" s="1"/>
  <c r="G3585" i="1"/>
  <c r="H3586" i="1" s="1"/>
  <c r="F3585" i="1"/>
  <c r="D3585" i="1"/>
  <c r="L3585" i="1" s="1"/>
  <c r="K3584" i="1"/>
  <c r="N3584" i="1" s="1"/>
  <c r="J3584" i="1"/>
  <c r="M3584" i="1" s="1"/>
  <c r="G3584" i="1"/>
  <c r="H3585" i="1" s="1"/>
  <c r="F3584" i="1"/>
  <c r="D3584" i="1"/>
  <c r="L3584" i="1" s="1"/>
  <c r="K3583" i="1"/>
  <c r="N3583" i="1" s="1"/>
  <c r="J3583" i="1"/>
  <c r="M3583" i="1" s="1"/>
  <c r="G3583" i="1"/>
  <c r="H3584" i="1" s="1"/>
  <c r="F3583" i="1"/>
  <c r="D3583" i="1"/>
  <c r="L3583" i="1" s="1"/>
  <c r="K3582" i="1"/>
  <c r="N3582" i="1" s="1"/>
  <c r="J3582" i="1"/>
  <c r="M3582" i="1" s="1"/>
  <c r="G3582" i="1"/>
  <c r="H3583" i="1" s="1"/>
  <c r="F3582" i="1"/>
  <c r="D3582" i="1"/>
  <c r="L3582" i="1" s="1"/>
  <c r="K3581" i="1"/>
  <c r="N3581" i="1" s="1"/>
  <c r="J3581" i="1"/>
  <c r="M3581" i="1" s="1"/>
  <c r="G3581" i="1"/>
  <c r="H3582" i="1" s="1"/>
  <c r="F3581" i="1"/>
  <c r="D3581" i="1"/>
  <c r="L3581" i="1" s="1"/>
  <c r="K3580" i="1"/>
  <c r="N3580" i="1" s="1"/>
  <c r="J3580" i="1"/>
  <c r="M3580" i="1" s="1"/>
  <c r="G3580" i="1"/>
  <c r="H3581" i="1" s="1"/>
  <c r="F3580" i="1"/>
  <c r="D3580" i="1"/>
  <c r="L3580" i="1" s="1"/>
  <c r="K3579" i="1"/>
  <c r="N3579" i="1" s="1"/>
  <c r="J3579" i="1"/>
  <c r="M3579" i="1" s="1"/>
  <c r="G3579" i="1"/>
  <c r="H3580" i="1" s="1"/>
  <c r="F3579" i="1"/>
  <c r="D3579" i="1"/>
  <c r="L3579" i="1" s="1"/>
  <c r="K3578" i="1"/>
  <c r="N3578" i="1" s="1"/>
  <c r="J3578" i="1"/>
  <c r="M3578" i="1" s="1"/>
  <c r="G3578" i="1"/>
  <c r="H3579" i="1" s="1"/>
  <c r="F3578" i="1"/>
  <c r="D3578" i="1"/>
  <c r="L3578" i="1" s="1"/>
  <c r="K3577" i="1"/>
  <c r="N3577" i="1" s="1"/>
  <c r="J3577" i="1"/>
  <c r="M3577" i="1" s="1"/>
  <c r="G3577" i="1"/>
  <c r="H3578" i="1" s="1"/>
  <c r="F3577" i="1"/>
  <c r="D3577" i="1"/>
  <c r="L3577" i="1" s="1"/>
  <c r="K3576" i="1"/>
  <c r="N3576" i="1" s="1"/>
  <c r="J3576" i="1"/>
  <c r="M3576" i="1" s="1"/>
  <c r="G3576" i="1"/>
  <c r="H3577" i="1" s="1"/>
  <c r="F3576" i="1"/>
  <c r="D3576" i="1"/>
  <c r="L3576" i="1" s="1"/>
  <c r="K3575" i="1"/>
  <c r="N3575" i="1" s="1"/>
  <c r="J3575" i="1"/>
  <c r="M3575" i="1" s="1"/>
  <c r="G3575" i="1"/>
  <c r="H3576" i="1" s="1"/>
  <c r="F3575" i="1"/>
  <c r="D3575" i="1"/>
  <c r="L3575" i="1" s="1"/>
  <c r="K3574" i="1"/>
  <c r="N3574" i="1" s="1"/>
  <c r="J3574" i="1"/>
  <c r="M3574" i="1" s="1"/>
  <c r="G3574" i="1"/>
  <c r="H3575" i="1" s="1"/>
  <c r="F3574" i="1"/>
  <c r="D3574" i="1"/>
  <c r="L3574" i="1" s="1"/>
  <c r="K3573" i="1"/>
  <c r="N3573" i="1" s="1"/>
  <c r="J3573" i="1"/>
  <c r="M3573" i="1" s="1"/>
  <c r="G3573" i="1"/>
  <c r="H3574" i="1" s="1"/>
  <c r="F3573" i="1"/>
  <c r="D3573" i="1"/>
  <c r="L3573" i="1" s="1"/>
  <c r="K3572" i="1"/>
  <c r="N3572" i="1" s="1"/>
  <c r="J3572" i="1"/>
  <c r="M3572" i="1" s="1"/>
  <c r="G3572" i="1"/>
  <c r="H3573" i="1" s="1"/>
  <c r="F3572" i="1"/>
  <c r="D3572" i="1"/>
  <c r="L3572" i="1" s="1"/>
  <c r="K3571" i="1"/>
  <c r="N3571" i="1" s="1"/>
  <c r="J3571" i="1"/>
  <c r="M3571" i="1" s="1"/>
  <c r="G3571" i="1"/>
  <c r="H3572" i="1" s="1"/>
  <c r="F3571" i="1"/>
  <c r="D3571" i="1"/>
  <c r="L3571" i="1" s="1"/>
  <c r="K3570" i="1"/>
  <c r="N3570" i="1" s="1"/>
  <c r="J3570" i="1"/>
  <c r="M3570" i="1" s="1"/>
  <c r="G3570" i="1"/>
  <c r="H3571" i="1" s="1"/>
  <c r="F3570" i="1"/>
  <c r="D3570" i="1"/>
  <c r="L3570" i="1" s="1"/>
  <c r="K3569" i="1"/>
  <c r="N3569" i="1" s="1"/>
  <c r="J3569" i="1"/>
  <c r="M3569" i="1" s="1"/>
  <c r="G3569" i="1"/>
  <c r="H3570" i="1" s="1"/>
  <c r="F3569" i="1"/>
  <c r="D3569" i="1"/>
  <c r="L3569" i="1" s="1"/>
  <c r="K3568" i="1"/>
  <c r="N3568" i="1" s="1"/>
  <c r="J3568" i="1"/>
  <c r="M3568" i="1" s="1"/>
  <c r="G3568" i="1"/>
  <c r="H3569" i="1" s="1"/>
  <c r="F3568" i="1"/>
  <c r="D3568" i="1"/>
  <c r="L3568" i="1" s="1"/>
  <c r="K3567" i="1"/>
  <c r="N3567" i="1" s="1"/>
  <c r="J3567" i="1"/>
  <c r="M3567" i="1" s="1"/>
  <c r="G3567" i="1"/>
  <c r="H3568" i="1" s="1"/>
  <c r="F3567" i="1"/>
  <c r="D3567" i="1"/>
  <c r="L3567" i="1" s="1"/>
  <c r="K3566" i="1"/>
  <c r="N3566" i="1" s="1"/>
  <c r="J3566" i="1"/>
  <c r="M3566" i="1" s="1"/>
  <c r="G3566" i="1"/>
  <c r="H3567" i="1" s="1"/>
  <c r="F3566" i="1"/>
  <c r="D3566" i="1"/>
  <c r="L3566" i="1" s="1"/>
  <c r="K3565" i="1"/>
  <c r="N3565" i="1" s="1"/>
  <c r="J3565" i="1"/>
  <c r="M3565" i="1" s="1"/>
  <c r="G3565" i="1"/>
  <c r="H3566" i="1" s="1"/>
  <c r="F3565" i="1"/>
  <c r="D3565" i="1"/>
  <c r="L3565" i="1" s="1"/>
  <c r="K3564" i="1"/>
  <c r="N3564" i="1" s="1"/>
  <c r="J3564" i="1"/>
  <c r="M3564" i="1" s="1"/>
  <c r="G3564" i="1"/>
  <c r="H3565" i="1" s="1"/>
  <c r="F3564" i="1"/>
  <c r="D3564" i="1"/>
  <c r="L3564" i="1" s="1"/>
  <c r="K3563" i="1"/>
  <c r="N3563" i="1" s="1"/>
  <c r="J3563" i="1"/>
  <c r="M3563" i="1" s="1"/>
  <c r="G3563" i="1"/>
  <c r="H3564" i="1" s="1"/>
  <c r="F3563" i="1"/>
  <c r="D3563" i="1"/>
  <c r="L3563" i="1" s="1"/>
  <c r="K3562" i="1"/>
  <c r="N3562" i="1" s="1"/>
  <c r="J3562" i="1"/>
  <c r="M3562" i="1" s="1"/>
  <c r="G3562" i="1"/>
  <c r="H3563" i="1" s="1"/>
  <c r="F3562" i="1"/>
  <c r="D3562" i="1"/>
  <c r="L3562" i="1" s="1"/>
  <c r="K3561" i="1"/>
  <c r="N3561" i="1" s="1"/>
  <c r="J3561" i="1"/>
  <c r="M3561" i="1" s="1"/>
  <c r="G3561" i="1"/>
  <c r="H3562" i="1" s="1"/>
  <c r="F3561" i="1"/>
  <c r="D3561" i="1"/>
  <c r="L3561" i="1" s="1"/>
  <c r="K3560" i="1"/>
  <c r="N3560" i="1" s="1"/>
  <c r="J3560" i="1"/>
  <c r="M3560" i="1" s="1"/>
  <c r="G3560" i="1"/>
  <c r="H3561" i="1" s="1"/>
  <c r="F3560" i="1"/>
  <c r="D3560" i="1"/>
  <c r="L3560" i="1" s="1"/>
  <c r="K3559" i="1"/>
  <c r="N3559" i="1" s="1"/>
  <c r="J3559" i="1"/>
  <c r="M3559" i="1" s="1"/>
  <c r="G3559" i="1"/>
  <c r="H3560" i="1" s="1"/>
  <c r="F3559" i="1"/>
  <c r="D3559" i="1"/>
  <c r="L3559" i="1" s="1"/>
  <c r="K3558" i="1"/>
  <c r="N3558" i="1" s="1"/>
  <c r="J3558" i="1"/>
  <c r="M3558" i="1" s="1"/>
  <c r="G3558" i="1"/>
  <c r="H3559" i="1" s="1"/>
  <c r="F3558" i="1"/>
  <c r="D3558" i="1"/>
  <c r="L3558" i="1" s="1"/>
  <c r="K3557" i="1"/>
  <c r="N3557" i="1" s="1"/>
  <c r="J3557" i="1"/>
  <c r="M3557" i="1" s="1"/>
  <c r="G3557" i="1"/>
  <c r="H3558" i="1" s="1"/>
  <c r="F3557" i="1"/>
  <c r="D3557" i="1"/>
  <c r="L3557" i="1" s="1"/>
  <c r="K3556" i="1"/>
  <c r="N3556" i="1" s="1"/>
  <c r="J3556" i="1"/>
  <c r="M3556" i="1" s="1"/>
  <c r="G3556" i="1"/>
  <c r="H3557" i="1" s="1"/>
  <c r="F3556" i="1"/>
  <c r="D3556" i="1"/>
  <c r="L3556" i="1" s="1"/>
  <c r="K3555" i="1"/>
  <c r="N3555" i="1" s="1"/>
  <c r="J3555" i="1"/>
  <c r="M3555" i="1" s="1"/>
  <c r="G3555" i="1"/>
  <c r="H3556" i="1" s="1"/>
  <c r="F3555" i="1"/>
  <c r="D3555" i="1"/>
  <c r="L3555" i="1" s="1"/>
  <c r="K3554" i="1"/>
  <c r="N3554" i="1" s="1"/>
  <c r="J3554" i="1"/>
  <c r="M3554" i="1" s="1"/>
  <c r="G3554" i="1"/>
  <c r="H3555" i="1" s="1"/>
  <c r="F3554" i="1"/>
  <c r="D3554" i="1"/>
  <c r="L3554" i="1" s="1"/>
  <c r="K3553" i="1"/>
  <c r="N3553" i="1" s="1"/>
  <c r="J3553" i="1"/>
  <c r="M3553" i="1" s="1"/>
  <c r="G3553" i="1"/>
  <c r="H3554" i="1" s="1"/>
  <c r="F3553" i="1"/>
  <c r="D3553" i="1"/>
  <c r="L3553" i="1" s="1"/>
  <c r="K3552" i="1"/>
  <c r="N3552" i="1" s="1"/>
  <c r="J3552" i="1"/>
  <c r="M3552" i="1" s="1"/>
  <c r="G3552" i="1"/>
  <c r="H3553" i="1" s="1"/>
  <c r="F3552" i="1"/>
  <c r="D3552" i="1"/>
  <c r="L3552" i="1" s="1"/>
  <c r="K3551" i="1"/>
  <c r="N3551" i="1" s="1"/>
  <c r="J3551" i="1"/>
  <c r="M3551" i="1" s="1"/>
  <c r="G3551" i="1"/>
  <c r="H3552" i="1" s="1"/>
  <c r="F3551" i="1"/>
  <c r="D3551" i="1"/>
  <c r="L3551" i="1" s="1"/>
  <c r="K3550" i="1"/>
  <c r="N3550" i="1" s="1"/>
  <c r="J3550" i="1"/>
  <c r="M3550" i="1" s="1"/>
  <c r="G3550" i="1"/>
  <c r="H3551" i="1" s="1"/>
  <c r="F3550" i="1"/>
  <c r="D3550" i="1"/>
  <c r="L3550" i="1" s="1"/>
  <c r="K3549" i="1"/>
  <c r="N3549" i="1" s="1"/>
  <c r="J3549" i="1"/>
  <c r="M3549" i="1" s="1"/>
  <c r="G3549" i="1"/>
  <c r="H3550" i="1" s="1"/>
  <c r="F3549" i="1"/>
  <c r="D3549" i="1"/>
  <c r="L3549" i="1" s="1"/>
  <c r="K3548" i="1"/>
  <c r="N3548" i="1" s="1"/>
  <c r="J3548" i="1"/>
  <c r="M3548" i="1" s="1"/>
  <c r="G3548" i="1"/>
  <c r="H3549" i="1" s="1"/>
  <c r="F3548" i="1"/>
  <c r="D3548" i="1"/>
  <c r="L3548" i="1" s="1"/>
  <c r="K3547" i="1"/>
  <c r="N3547" i="1" s="1"/>
  <c r="J3547" i="1"/>
  <c r="M3547" i="1" s="1"/>
  <c r="G3547" i="1"/>
  <c r="H3548" i="1" s="1"/>
  <c r="F3547" i="1"/>
  <c r="D3547" i="1"/>
  <c r="L3547" i="1" s="1"/>
  <c r="K3546" i="1"/>
  <c r="N3546" i="1" s="1"/>
  <c r="J3546" i="1"/>
  <c r="M3546" i="1" s="1"/>
  <c r="G3546" i="1"/>
  <c r="H3547" i="1" s="1"/>
  <c r="F3546" i="1"/>
  <c r="D3546" i="1"/>
  <c r="L3546" i="1" s="1"/>
  <c r="K3545" i="1"/>
  <c r="N3545" i="1" s="1"/>
  <c r="J3545" i="1"/>
  <c r="M3545" i="1" s="1"/>
  <c r="G3545" i="1"/>
  <c r="H3546" i="1" s="1"/>
  <c r="F3545" i="1"/>
  <c r="D3545" i="1"/>
  <c r="L3545" i="1" s="1"/>
  <c r="K3544" i="1"/>
  <c r="N3544" i="1" s="1"/>
  <c r="J3544" i="1"/>
  <c r="M3544" i="1" s="1"/>
  <c r="G3544" i="1"/>
  <c r="H3545" i="1" s="1"/>
  <c r="F3544" i="1"/>
  <c r="D3544" i="1"/>
  <c r="L3544" i="1" s="1"/>
  <c r="K3543" i="1"/>
  <c r="N3543" i="1" s="1"/>
  <c r="J3543" i="1"/>
  <c r="M3543" i="1" s="1"/>
  <c r="G3543" i="1"/>
  <c r="H3544" i="1" s="1"/>
  <c r="F3543" i="1"/>
  <c r="D3543" i="1"/>
  <c r="L3543" i="1" s="1"/>
  <c r="K3542" i="1"/>
  <c r="N3542" i="1" s="1"/>
  <c r="J3542" i="1"/>
  <c r="M3542" i="1" s="1"/>
  <c r="G3542" i="1"/>
  <c r="H3543" i="1" s="1"/>
  <c r="F3542" i="1"/>
  <c r="D3542" i="1"/>
  <c r="L3542" i="1" s="1"/>
  <c r="K3541" i="1"/>
  <c r="N3541" i="1" s="1"/>
  <c r="J3541" i="1"/>
  <c r="M3541" i="1" s="1"/>
  <c r="G3541" i="1"/>
  <c r="H3542" i="1" s="1"/>
  <c r="F3541" i="1"/>
  <c r="D3541" i="1"/>
  <c r="L3541" i="1" s="1"/>
  <c r="K3540" i="1"/>
  <c r="N3540" i="1" s="1"/>
  <c r="J3540" i="1"/>
  <c r="M3540" i="1" s="1"/>
  <c r="G3540" i="1"/>
  <c r="H3541" i="1" s="1"/>
  <c r="F3540" i="1"/>
  <c r="D3540" i="1"/>
  <c r="L3540" i="1" s="1"/>
  <c r="K3539" i="1"/>
  <c r="N3539" i="1" s="1"/>
  <c r="J3539" i="1"/>
  <c r="M3539" i="1" s="1"/>
  <c r="G3539" i="1"/>
  <c r="H3540" i="1" s="1"/>
  <c r="F3539" i="1"/>
  <c r="D3539" i="1"/>
  <c r="L3539" i="1" s="1"/>
  <c r="K3538" i="1"/>
  <c r="N3538" i="1" s="1"/>
  <c r="J3538" i="1"/>
  <c r="M3538" i="1" s="1"/>
  <c r="G3538" i="1"/>
  <c r="H3539" i="1" s="1"/>
  <c r="F3538" i="1"/>
  <c r="D3538" i="1"/>
  <c r="L3538" i="1" s="1"/>
  <c r="K3537" i="1"/>
  <c r="N3537" i="1" s="1"/>
  <c r="J3537" i="1"/>
  <c r="M3537" i="1" s="1"/>
  <c r="G3537" i="1"/>
  <c r="H3538" i="1" s="1"/>
  <c r="F3537" i="1"/>
  <c r="D3537" i="1"/>
  <c r="L3537" i="1" s="1"/>
  <c r="K3536" i="1"/>
  <c r="N3536" i="1" s="1"/>
  <c r="J3536" i="1"/>
  <c r="M3536" i="1" s="1"/>
  <c r="G3536" i="1"/>
  <c r="H3537" i="1" s="1"/>
  <c r="F3536" i="1"/>
  <c r="D3536" i="1"/>
  <c r="L3536" i="1" s="1"/>
  <c r="K3535" i="1"/>
  <c r="N3535" i="1" s="1"/>
  <c r="J3535" i="1"/>
  <c r="M3535" i="1" s="1"/>
  <c r="G3535" i="1"/>
  <c r="H3536" i="1" s="1"/>
  <c r="F3535" i="1"/>
  <c r="D3535" i="1"/>
  <c r="L3535" i="1" s="1"/>
  <c r="K3534" i="1"/>
  <c r="N3534" i="1" s="1"/>
  <c r="J3534" i="1"/>
  <c r="M3534" i="1" s="1"/>
  <c r="G3534" i="1"/>
  <c r="H3535" i="1" s="1"/>
  <c r="F3534" i="1"/>
  <c r="D3534" i="1"/>
  <c r="L3534" i="1" s="1"/>
  <c r="K3533" i="1"/>
  <c r="N3533" i="1" s="1"/>
  <c r="J3533" i="1"/>
  <c r="M3533" i="1" s="1"/>
  <c r="G3533" i="1"/>
  <c r="H3534" i="1" s="1"/>
  <c r="F3533" i="1"/>
  <c r="D3533" i="1"/>
  <c r="L3533" i="1" s="1"/>
  <c r="K3532" i="1"/>
  <c r="N3532" i="1" s="1"/>
  <c r="J3532" i="1"/>
  <c r="M3532" i="1" s="1"/>
  <c r="G3532" i="1"/>
  <c r="H3533" i="1" s="1"/>
  <c r="F3532" i="1"/>
  <c r="D3532" i="1"/>
  <c r="L3532" i="1" s="1"/>
  <c r="K3531" i="1"/>
  <c r="N3531" i="1" s="1"/>
  <c r="J3531" i="1"/>
  <c r="M3531" i="1" s="1"/>
  <c r="G3531" i="1"/>
  <c r="H3532" i="1" s="1"/>
  <c r="F3531" i="1"/>
  <c r="D3531" i="1"/>
  <c r="L3531" i="1" s="1"/>
  <c r="K3530" i="1"/>
  <c r="N3530" i="1" s="1"/>
  <c r="J3530" i="1"/>
  <c r="M3530" i="1" s="1"/>
  <c r="G3530" i="1"/>
  <c r="H3531" i="1" s="1"/>
  <c r="F3530" i="1"/>
  <c r="D3530" i="1"/>
  <c r="L3530" i="1" s="1"/>
  <c r="K3529" i="1"/>
  <c r="N3529" i="1" s="1"/>
  <c r="J3529" i="1"/>
  <c r="M3529" i="1" s="1"/>
  <c r="G3529" i="1"/>
  <c r="H3530" i="1" s="1"/>
  <c r="F3529" i="1"/>
  <c r="D3529" i="1"/>
  <c r="L3529" i="1" s="1"/>
  <c r="K3528" i="1"/>
  <c r="N3528" i="1" s="1"/>
  <c r="J3528" i="1"/>
  <c r="M3528" i="1" s="1"/>
  <c r="G3528" i="1"/>
  <c r="H3529" i="1" s="1"/>
  <c r="F3528" i="1"/>
  <c r="D3528" i="1"/>
  <c r="L3528" i="1" s="1"/>
  <c r="K3527" i="1"/>
  <c r="N3527" i="1" s="1"/>
  <c r="J3527" i="1"/>
  <c r="M3527" i="1" s="1"/>
  <c r="G3527" i="1"/>
  <c r="H3528" i="1" s="1"/>
  <c r="F3527" i="1"/>
  <c r="D3527" i="1"/>
  <c r="L3527" i="1" s="1"/>
  <c r="K3526" i="1"/>
  <c r="N3526" i="1" s="1"/>
  <c r="J3526" i="1"/>
  <c r="M3526" i="1" s="1"/>
  <c r="G3526" i="1"/>
  <c r="H3527" i="1" s="1"/>
  <c r="F3526" i="1"/>
  <c r="D3526" i="1"/>
  <c r="L3526" i="1" s="1"/>
  <c r="K3525" i="1"/>
  <c r="N3525" i="1" s="1"/>
  <c r="J3525" i="1"/>
  <c r="M3525" i="1" s="1"/>
  <c r="G3525" i="1"/>
  <c r="H3526" i="1" s="1"/>
  <c r="F3525" i="1"/>
  <c r="D3525" i="1"/>
  <c r="L3525" i="1" s="1"/>
  <c r="K3524" i="1"/>
  <c r="N3524" i="1" s="1"/>
  <c r="J3524" i="1"/>
  <c r="M3524" i="1" s="1"/>
  <c r="G3524" i="1"/>
  <c r="H3525" i="1" s="1"/>
  <c r="F3524" i="1"/>
  <c r="D3524" i="1"/>
  <c r="L3524" i="1" s="1"/>
  <c r="K3523" i="1"/>
  <c r="N3523" i="1" s="1"/>
  <c r="J3523" i="1"/>
  <c r="M3523" i="1" s="1"/>
  <c r="G3523" i="1"/>
  <c r="H3524" i="1" s="1"/>
  <c r="F3523" i="1"/>
  <c r="D3523" i="1"/>
  <c r="L3523" i="1" s="1"/>
  <c r="K3522" i="1"/>
  <c r="N3522" i="1" s="1"/>
  <c r="J3522" i="1"/>
  <c r="M3522" i="1" s="1"/>
  <c r="G3522" i="1"/>
  <c r="H3523" i="1" s="1"/>
  <c r="F3522" i="1"/>
  <c r="D3522" i="1"/>
  <c r="L3522" i="1" s="1"/>
  <c r="K3521" i="1"/>
  <c r="N3521" i="1" s="1"/>
  <c r="J3521" i="1"/>
  <c r="M3521" i="1" s="1"/>
  <c r="G3521" i="1"/>
  <c r="H3522" i="1" s="1"/>
  <c r="F3521" i="1"/>
  <c r="D3521" i="1"/>
  <c r="L3521" i="1" s="1"/>
  <c r="K3520" i="1"/>
  <c r="N3520" i="1" s="1"/>
  <c r="J3520" i="1"/>
  <c r="M3520" i="1" s="1"/>
  <c r="G3520" i="1"/>
  <c r="H3521" i="1" s="1"/>
  <c r="F3520" i="1"/>
  <c r="D3520" i="1"/>
  <c r="L3520" i="1" s="1"/>
  <c r="K3519" i="1"/>
  <c r="N3519" i="1" s="1"/>
  <c r="J3519" i="1"/>
  <c r="M3519" i="1" s="1"/>
  <c r="G3519" i="1"/>
  <c r="H3520" i="1" s="1"/>
  <c r="F3519" i="1"/>
  <c r="D3519" i="1"/>
  <c r="L3519" i="1" s="1"/>
  <c r="K3518" i="1"/>
  <c r="N3518" i="1" s="1"/>
  <c r="J3518" i="1"/>
  <c r="M3518" i="1" s="1"/>
  <c r="G3518" i="1"/>
  <c r="H3519" i="1" s="1"/>
  <c r="F3518" i="1"/>
  <c r="D3518" i="1"/>
  <c r="L3518" i="1" s="1"/>
  <c r="K3517" i="1"/>
  <c r="N3517" i="1" s="1"/>
  <c r="J3517" i="1"/>
  <c r="M3517" i="1" s="1"/>
  <c r="G3517" i="1"/>
  <c r="H3518" i="1" s="1"/>
  <c r="F3517" i="1"/>
  <c r="D3517" i="1"/>
  <c r="L3517" i="1" s="1"/>
  <c r="K3516" i="1"/>
  <c r="N3516" i="1" s="1"/>
  <c r="J3516" i="1"/>
  <c r="M3516" i="1" s="1"/>
  <c r="G3516" i="1"/>
  <c r="H3517" i="1" s="1"/>
  <c r="F3516" i="1"/>
  <c r="D3516" i="1"/>
  <c r="L3516" i="1" s="1"/>
  <c r="K3515" i="1"/>
  <c r="N3515" i="1" s="1"/>
  <c r="J3515" i="1"/>
  <c r="M3515" i="1" s="1"/>
  <c r="G3515" i="1"/>
  <c r="H3516" i="1" s="1"/>
  <c r="F3515" i="1"/>
  <c r="D3515" i="1"/>
  <c r="L3515" i="1" s="1"/>
  <c r="K3514" i="1"/>
  <c r="N3514" i="1" s="1"/>
  <c r="J3514" i="1"/>
  <c r="M3514" i="1" s="1"/>
  <c r="G3514" i="1"/>
  <c r="H3515" i="1" s="1"/>
  <c r="F3514" i="1"/>
  <c r="D3514" i="1"/>
  <c r="L3514" i="1" s="1"/>
  <c r="K3513" i="1"/>
  <c r="N3513" i="1" s="1"/>
  <c r="J3513" i="1"/>
  <c r="M3513" i="1" s="1"/>
  <c r="G3513" i="1"/>
  <c r="H3514" i="1" s="1"/>
  <c r="F3513" i="1"/>
  <c r="D3513" i="1"/>
  <c r="L3513" i="1" s="1"/>
  <c r="K3512" i="1"/>
  <c r="N3512" i="1" s="1"/>
  <c r="J3512" i="1"/>
  <c r="M3512" i="1" s="1"/>
  <c r="G3512" i="1"/>
  <c r="H3513" i="1" s="1"/>
  <c r="F3512" i="1"/>
  <c r="D3512" i="1"/>
  <c r="L3512" i="1" s="1"/>
  <c r="K3511" i="1"/>
  <c r="N3511" i="1" s="1"/>
  <c r="J3511" i="1"/>
  <c r="M3511" i="1" s="1"/>
  <c r="G3511" i="1"/>
  <c r="H3512" i="1" s="1"/>
  <c r="F3511" i="1"/>
  <c r="D3511" i="1"/>
  <c r="L3511" i="1" s="1"/>
  <c r="K3510" i="1"/>
  <c r="N3510" i="1" s="1"/>
  <c r="J3510" i="1"/>
  <c r="M3510" i="1" s="1"/>
  <c r="G3510" i="1"/>
  <c r="H3511" i="1" s="1"/>
  <c r="F3510" i="1"/>
  <c r="D3510" i="1"/>
  <c r="L3510" i="1" s="1"/>
  <c r="K3509" i="1"/>
  <c r="N3509" i="1" s="1"/>
  <c r="J3509" i="1"/>
  <c r="M3509" i="1" s="1"/>
  <c r="G3509" i="1"/>
  <c r="H3510" i="1" s="1"/>
  <c r="F3509" i="1"/>
  <c r="D3509" i="1"/>
  <c r="L3509" i="1" s="1"/>
  <c r="K3508" i="1"/>
  <c r="N3508" i="1" s="1"/>
  <c r="J3508" i="1"/>
  <c r="M3508" i="1" s="1"/>
  <c r="G3508" i="1"/>
  <c r="H3509" i="1" s="1"/>
  <c r="F3508" i="1"/>
  <c r="D3508" i="1"/>
  <c r="L3508" i="1" s="1"/>
  <c r="K3507" i="1"/>
  <c r="N3507" i="1" s="1"/>
  <c r="J3507" i="1"/>
  <c r="M3507" i="1" s="1"/>
  <c r="G3507" i="1"/>
  <c r="H3508" i="1" s="1"/>
  <c r="F3507" i="1"/>
  <c r="D3507" i="1"/>
  <c r="L3507" i="1" s="1"/>
  <c r="K3506" i="1"/>
  <c r="N3506" i="1" s="1"/>
  <c r="J3506" i="1"/>
  <c r="M3506" i="1" s="1"/>
  <c r="G3506" i="1"/>
  <c r="H3507" i="1" s="1"/>
  <c r="F3506" i="1"/>
  <c r="D3506" i="1"/>
  <c r="L3506" i="1" s="1"/>
  <c r="K3505" i="1"/>
  <c r="N3505" i="1" s="1"/>
  <c r="J3505" i="1"/>
  <c r="M3505" i="1" s="1"/>
  <c r="G3505" i="1"/>
  <c r="H3506" i="1" s="1"/>
  <c r="F3505" i="1"/>
  <c r="D3505" i="1"/>
  <c r="L3505" i="1" s="1"/>
  <c r="K3504" i="1"/>
  <c r="N3504" i="1" s="1"/>
  <c r="J3504" i="1"/>
  <c r="M3504" i="1" s="1"/>
  <c r="G3504" i="1"/>
  <c r="H3505" i="1" s="1"/>
  <c r="F3504" i="1"/>
  <c r="D3504" i="1"/>
  <c r="L3504" i="1" s="1"/>
  <c r="K3503" i="1"/>
  <c r="N3503" i="1" s="1"/>
  <c r="J3503" i="1"/>
  <c r="M3503" i="1" s="1"/>
  <c r="G3503" i="1"/>
  <c r="H3504" i="1" s="1"/>
  <c r="F3503" i="1"/>
  <c r="D3503" i="1"/>
  <c r="L3503" i="1" s="1"/>
  <c r="K3502" i="1"/>
  <c r="N3502" i="1" s="1"/>
  <c r="J3502" i="1"/>
  <c r="M3502" i="1" s="1"/>
  <c r="G3502" i="1"/>
  <c r="H3503" i="1" s="1"/>
  <c r="F3502" i="1"/>
  <c r="D3502" i="1"/>
  <c r="L3502" i="1" s="1"/>
  <c r="K3501" i="1"/>
  <c r="N3501" i="1" s="1"/>
  <c r="J3501" i="1"/>
  <c r="M3501" i="1" s="1"/>
  <c r="G3501" i="1"/>
  <c r="H3502" i="1" s="1"/>
  <c r="F3501" i="1"/>
  <c r="D3501" i="1"/>
  <c r="L3501" i="1" s="1"/>
  <c r="K3500" i="1"/>
  <c r="N3500" i="1" s="1"/>
  <c r="J3500" i="1"/>
  <c r="M3500" i="1" s="1"/>
  <c r="G3500" i="1"/>
  <c r="H3501" i="1" s="1"/>
  <c r="F3500" i="1"/>
  <c r="D3500" i="1"/>
  <c r="L3500" i="1" s="1"/>
  <c r="K3499" i="1"/>
  <c r="N3499" i="1" s="1"/>
  <c r="J3499" i="1"/>
  <c r="M3499" i="1" s="1"/>
  <c r="G3499" i="1"/>
  <c r="H3500" i="1" s="1"/>
  <c r="F3499" i="1"/>
  <c r="D3499" i="1"/>
  <c r="L3499" i="1" s="1"/>
  <c r="K3498" i="1"/>
  <c r="N3498" i="1" s="1"/>
  <c r="J3498" i="1"/>
  <c r="M3498" i="1" s="1"/>
  <c r="G3498" i="1"/>
  <c r="H3499" i="1" s="1"/>
  <c r="F3498" i="1"/>
  <c r="D3498" i="1"/>
  <c r="L3498" i="1" s="1"/>
  <c r="K3497" i="1"/>
  <c r="N3497" i="1" s="1"/>
  <c r="J3497" i="1"/>
  <c r="M3497" i="1" s="1"/>
  <c r="G3497" i="1"/>
  <c r="H3498" i="1" s="1"/>
  <c r="F3497" i="1"/>
  <c r="D3497" i="1"/>
  <c r="L3497" i="1" s="1"/>
  <c r="K3496" i="1"/>
  <c r="N3496" i="1" s="1"/>
  <c r="J3496" i="1"/>
  <c r="M3496" i="1" s="1"/>
  <c r="G3496" i="1"/>
  <c r="H3497" i="1" s="1"/>
  <c r="F3496" i="1"/>
  <c r="D3496" i="1"/>
  <c r="L3496" i="1" s="1"/>
  <c r="K3495" i="1"/>
  <c r="N3495" i="1" s="1"/>
  <c r="J3495" i="1"/>
  <c r="M3495" i="1" s="1"/>
  <c r="G3495" i="1"/>
  <c r="H3496" i="1" s="1"/>
  <c r="F3495" i="1"/>
  <c r="D3495" i="1"/>
  <c r="L3495" i="1" s="1"/>
  <c r="K3494" i="1"/>
  <c r="N3494" i="1" s="1"/>
  <c r="J3494" i="1"/>
  <c r="M3494" i="1" s="1"/>
  <c r="G3494" i="1"/>
  <c r="H3495" i="1" s="1"/>
  <c r="F3494" i="1"/>
  <c r="D3494" i="1"/>
  <c r="L3494" i="1" s="1"/>
  <c r="K3493" i="1"/>
  <c r="N3493" i="1" s="1"/>
  <c r="J3493" i="1"/>
  <c r="M3493" i="1" s="1"/>
  <c r="G3493" i="1"/>
  <c r="H3494" i="1" s="1"/>
  <c r="F3493" i="1"/>
  <c r="D3493" i="1"/>
  <c r="L3493" i="1" s="1"/>
  <c r="K3492" i="1"/>
  <c r="N3492" i="1" s="1"/>
  <c r="J3492" i="1"/>
  <c r="M3492" i="1" s="1"/>
  <c r="G3492" i="1"/>
  <c r="H3493" i="1" s="1"/>
  <c r="F3492" i="1"/>
  <c r="D3492" i="1"/>
  <c r="L3492" i="1" s="1"/>
  <c r="K3491" i="1"/>
  <c r="N3491" i="1" s="1"/>
  <c r="J3491" i="1"/>
  <c r="M3491" i="1" s="1"/>
  <c r="G3491" i="1"/>
  <c r="H3492" i="1" s="1"/>
  <c r="F3491" i="1"/>
  <c r="D3491" i="1"/>
  <c r="L3491" i="1" s="1"/>
  <c r="K3490" i="1"/>
  <c r="N3490" i="1" s="1"/>
  <c r="J3490" i="1"/>
  <c r="M3490" i="1" s="1"/>
  <c r="G3490" i="1"/>
  <c r="H3491" i="1" s="1"/>
  <c r="F3490" i="1"/>
  <c r="D3490" i="1"/>
  <c r="L3490" i="1" s="1"/>
  <c r="K3489" i="1"/>
  <c r="N3489" i="1" s="1"/>
  <c r="J3489" i="1"/>
  <c r="M3489" i="1" s="1"/>
  <c r="G3489" i="1"/>
  <c r="H3490" i="1" s="1"/>
  <c r="F3489" i="1"/>
  <c r="D3489" i="1"/>
  <c r="L3489" i="1" s="1"/>
  <c r="K3488" i="1"/>
  <c r="N3488" i="1" s="1"/>
  <c r="J3488" i="1"/>
  <c r="M3488" i="1" s="1"/>
  <c r="G3488" i="1"/>
  <c r="H3489" i="1" s="1"/>
  <c r="F3488" i="1"/>
  <c r="D3488" i="1"/>
  <c r="L3488" i="1" s="1"/>
  <c r="K3487" i="1"/>
  <c r="N3487" i="1" s="1"/>
  <c r="J3487" i="1"/>
  <c r="M3487" i="1" s="1"/>
  <c r="G3487" i="1"/>
  <c r="H3488" i="1" s="1"/>
  <c r="F3487" i="1"/>
  <c r="D3487" i="1"/>
  <c r="L3487" i="1" s="1"/>
  <c r="K3486" i="1"/>
  <c r="N3486" i="1" s="1"/>
  <c r="J3486" i="1"/>
  <c r="M3486" i="1" s="1"/>
  <c r="G3486" i="1"/>
  <c r="H3487" i="1" s="1"/>
  <c r="F3486" i="1"/>
  <c r="D3486" i="1"/>
  <c r="L3486" i="1" s="1"/>
  <c r="K3485" i="1"/>
  <c r="N3485" i="1" s="1"/>
  <c r="J3485" i="1"/>
  <c r="M3485" i="1" s="1"/>
  <c r="G3485" i="1"/>
  <c r="H3486" i="1" s="1"/>
  <c r="F3485" i="1"/>
  <c r="D3485" i="1"/>
  <c r="L3485" i="1" s="1"/>
  <c r="K3484" i="1"/>
  <c r="N3484" i="1" s="1"/>
  <c r="J3484" i="1"/>
  <c r="M3484" i="1" s="1"/>
  <c r="G3484" i="1"/>
  <c r="H3485" i="1" s="1"/>
  <c r="F3484" i="1"/>
  <c r="D3484" i="1"/>
  <c r="L3484" i="1" s="1"/>
  <c r="K3483" i="1"/>
  <c r="N3483" i="1" s="1"/>
  <c r="J3483" i="1"/>
  <c r="M3483" i="1" s="1"/>
  <c r="G3483" i="1"/>
  <c r="H3484" i="1" s="1"/>
  <c r="F3483" i="1"/>
  <c r="D3483" i="1"/>
  <c r="L3483" i="1" s="1"/>
  <c r="K3482" i="1"/>
  <c r="N3482" i="1" s="1"/>
  <c r="J3482" i="1"/>
  <c r="M3482" i="1" s="1"/>
  <c r="G3482" i="1"/>
  <c r="H3483" i="1" s="1"/>
  <c r="F3482" i="1"/>
  <c r="D3482" i="1"/>
  <c r="L3482" i="1" s="1"/>
  <c r="K3481" i="1"/>
  <c r="N3481" i="1" s="1"/>
  <c r="J3481" i="1"/>
  <c r="M3481" i="1" s="1"/>
  <c r="G3481" i="1"/>
  <c r="H3482" i="1" s="1"/>
  <c r="F3481" i="1"/>
  <c r="D3481" i="1"/>
  <c r="L3481" i="1" s="1"/>
  <c r="K3480" i="1"/>
  <c r="N3480" i="1" s="1"/>
  <c r="J3480" i="1"/>
  <c r="M3480" i="1" s="1"/>
  <c r="G3480" i="1"/>
  <c r="H3481" i="1" s="1"/>
  <c r="F3480" i="1"/>
  <c r="D3480" i="1"/>
  <c r="L3480" i="1" s="1"/>
  <c r="K3479" i="1"/>
  <c r="N3479" i="1" s="1"/>
  <c r="J3479" i="1"/>
  <c r="M3479" i="1" s="1"/>
  <c r="G3479" i="1"/>
  <c r="H3480" i="1" s="1"/>
  <c r="F3479" i="1"/>
  <c r="D3479" i="1"/>
  <c r="L3479" i="1" s="1"/>
  <c r="K3478" i="1"/>
  <c r="N3478" i="1" s="1"/>
  <c r="J3478" i="1"/>
  <c r="M3478" i="1" s="1"/>
  <c r="G3478" i="1"/>
  <c r="H3479" i="1" s="1"/>
  <c r="F3478" i="1"/>
  <c r="D3478" i="1"/>
  <c r="L3478" i="1" s="1"/>
  <c r="K3477" i="1"/>
  <c r="N3477" i="1" s="1"/>
  <c r="J3477" i="1"/>
  <c r="M3477" i="1" s="1"/>
  <c r="G3477" i="1"/>
  <c r="H3478" i="1" s="1"/>
  <c r="F3477" i="1"/>
  <c r="D3477" i="1"/>
  <c r="L3477" i="1" s="1"/>
  <c r="K3476" i="1"/>
  <c r="N3476" i="1" s="1"/>
  <c r="J3476" i="1"/>
  <c r="M3476" i="1" s="1"/>
  <c r="G3476" i="1"/>
  <c r="H3477" i="1" s="1"/>
  <c r="F3476" i="1"/>
  <c r="D3476" i="1"/>
  <c r="L3476" i="1" s="1"/>
  <c r="K3475" i="1"/>
  <c r="N3475" i="1" s="1"/>
  <c r="J3475" i="1"/>
  <c r="M3475" i="1" s="1"/>
  <c r="G3475" i="1"/>
  <c r="H3476" i="1" s="1"/>
  <c r="F3475" i="1"/>
  <c r="D3475" i="1"/>
  <c r="L3475" i="1" s="1"/>
  <c r="K3474" i="1"/>
  <c r="N3474" i="1" s="1"/>
  <c r="J3474" i="1"/>
  <c r="M3474" i="1" s="1"/>
  <c r="G3474" i="1"/>
  <c r="H3475" i="1" s="1"/>
  <c r="F3474" i="1"/>
  <c r="D3474" i="1"/>
  <c r="L3474" i="1" s="1"/>
  <c r="K3473" i="1"/>
  <c r="N3473" i="1" s="1"/>
  <c r="J3473" i="1"/>
  <c r="M3473" i="1" s="1"/>
  <c r="G3473" i="1"/>
  <c r="H3474" i="1" s="1"/>
  <c r="F3473" i="1"/>
  <c r="D3473" i="1"/>
  <c r="L3473" i="1" s="1"/>
  <c r="K3472" i="1"/>
  <c r="N3472" i="1" s="1"/>
  <c r="J3472" i="1"/>
  <c r="M3472" i="1" s="1"/>
  <c r="G3472" i="1"/>
  <c r="H3473" i="1" s="1"/>
  <c r="F3472" i="1"/>
  <c r="D3472" i="1"/>
  <c r="L3472" i="1" s="1"/>
  <c r="K3471" i="1"/>
  <c r="N3471" i="1" s="1"/>
  <c r="J3471" i="1"/>
  <c r="M3471" i="1" s="1"/>
  <c r="G3471" i="1"/>
  <c r="H3472" i="1" s="1"/>
  <c r="F3471" i="1"/>
  <c r="D3471" i="1"/>
  <c r="L3471" i="1" s="1"/>
  <c r="K3470" i="1"/>
  <c r="N3470" i="1" s="1"/>
  <c r="J3470" i="1"/>
  <c r="M3470" i="1" s="1"/>
  <c r="G3470" i="1"/>
  <c r="H3471" i="1" s="1"/>
  <c r="F3470" i="1"/>
  <c r="D3470" i="1"/>
  <c r="L3470" i="1" s="1"/>
  <c r="K3469" i="1"/>
  <c r="N3469" i="1" s="1"/>
  <c r="J3469" i="1"/>
  <c r="M3469" i="1" s="1"/>
  <c r="G3469" i="1"/>
  <c r="H3470" i="1" s="1"/>
  <c r="F3469" i="1"/>
  <c r="D3469" i="1"/>
  <c r="L3469" i="1" s="1"/>
  <c r="K3468" i="1"/>
  <c r="N3468" i="1" s="1"/>
  <c r="J3468" i="1"/>
  <c r="M3468" i="1" s="1"/>
  <c r="G3468" i="1"/>
  <c r="H3469" i="1" s="1"/>
  <c r="F3468" i="1"/>
  <c r="D3468" i="1"/>
  <c r="L3468" i="1" s="1"/>
  <c r="K3467" i="1"/>
  <c r="N3467" i="1" s="1"/>
  <c r="J3467" i="1"/>
  <c r="M3467" i="1" s="1"/>
  <c r="G3467" i="1"/>
  <c r="H3468" i="1" s="1"/>
  <c r="F3467" i="1"/>
  <c r="D3467" i="1"/>
  <c r="L3467" i="1" s="1"/>
  <c r="K3466" i="1"/>
  <c r="N3466" i="1" s="1"/>
  <c r="J3466" i="1"/>
  <c r="M3466" i="1" s="1"/>
  <c r="G3466" i="1"/>
  <c r="H3467" i="1" s="1"/>
  <c r="F3466" i="1"/>
  <c r="D3466" i="1"/>
  <c r="L3466" i="1" s="1"/>
  <c r="K3465" i="1"/>
  <c r="N3465" i="1" s="1"/>
  <c r="J3465" i="1"/>
  <c r="M3465" i="1" s="1"/>
  <c r="G3465" i="1"/>
  <c r="H3466" i="1" s="1"/>
  <c r="F3465" i="1"/>
  <c r="D3465" i="1"/>
  <c r="L3465" i="1" s="1"/>
  <c r="K3464" i="1"/>
  <c r="N3464" i="1" s="1"/>
  <c r="J3464" i="1"/>
  <c r="M3464" i="1" s="1"/>
  <c r="G3464" i="1"/>
  <c r="H3465" i="1" s="1"/>
  <c r="F3464" i="1"/>
  <c r="D3464" i="1"/>
  <c r="L3464" i="1" s="1"/>
  <c r="K3463" i="1"/>
  <c r="N3463" i="1" s="1"/>
  <c r="J3463" i="1"/>
  <c r="M3463" i="1" s="1"/>
  <c r="G3463" i="1"/>
  <c r="H3464" i="1" s="1"/>
  <c r="F3463" i="1"/>
  <c r="D3463" i="1"/>
  <c r="L3463" i="1" s="1"/>
  <c r="K3462" i="1"/>
  <c r="N3462" i="1" s="1"/>
  <c r="J3462" i="1"/>
  <c r="M3462" i="1" s="1"/>
  <c r="G3462" i="1"/>
  <c r="H3463" i="1" s="1"/>
  <c r="F3462" i="1"/>
  <c r="D3462" i="1"/>
  <c r="L3462" i="1" s="1"/>
  <c r="K3461" i="1"/>
  <c r="N3461" i="1" s="1"/>
  <c r="J3461" i="1"/>
  <c r="M3461" i="1" s="1"/>
  <c r="G3461" i="1"/>
  <c r="H3462" i="1" s="1"/>
  <c r="F3461" i="1"/>
  <c r="D3461" i="1"/>
  <c r="L3461" i="1" s="1"/>
  <c r="K3460" i="1"/>
  <c r="N3460" i="1" s="1"/>
  <c r="J3460" i="1"/>
  <c r="M3460" i="1" s="1"/>
  <c r="G3460" i="1"/>
  <c r="H3461" i="1" s="1"/>
  <c r="F3460" i="1"/>
  <c r="D3460" i="1"/>
  <c r="L3460" i="1" s="1"/>
  <c r="K3459" i="1"/>
  <c r="N3459" i="1" s="1"/>
  <c r="J3459" i="1"/>
  <c r="M3459" i="1" s="1"/>
  <c r="G3459" i="1"/>
  <c r="H3460" i="1" s="1"/>
  <c r="F3459" i="1"/>
  <c r="D3459" i="1"/>
  <c r="L3459" i="1" s="1"/>
  <c r="K3458" i="1"/>
  <c r="N3458" i="1" s="1"/>
  <c r="J3458" i="1"/>
  <c r="M3458" i="1" s="1"/>
  <c r="G3458" i="1"/>
  <c r="H3459" i="1" s="1"/>
  <c r="F3458" i="1"/>
  <c r="D3458" i="1"/>
  <c r="L3458" i="1" s="1"/>
  <c r="K3457" i="1"/>
  <c r="N3457" i="1" s="1"/>
  <c r="J3457" i="1"/>
  <c r="M3457" i="1" s="1"/>
  <c r="G3457" i="1"/>
  <c r="H3458" i="1" s="1"/>
  <c r="F3457" i="1"/>
  <c r="D3457" i="1"/>
  <c r="L3457" i="1" s="1"/>
  <c r="K3456" i="1"/>
  <c r="N3456" i="1" s="1"/>
  <c r="J3456" i="1"/>
  <c r="M3456" i="1" s="1"/>
  <c r="G3456" i="1"/>
  <c r="H3457" i="1" s="1"/>
  <c r="F3456" i="1"/>
  <c r="D3456" i="1"/>
  <c r="L3456" i="1" s="1"/>
  <c r="K3455" i="1"/>
  <c r="N3455" i="1" s="1"/>
  <c r="J3455" i="1"/>
  <c r="M3455" i="1" s="1"/>
  <c r="G3455" i="1"/>
  <c r="H3456" i="1" s="1"/>
  <c r="F3455" i="1"/>
  <c r="D3455" i="1"/>
  <c r="L3455" i="1" s="1"/>
  <c r="K3454" i="1"/>
  <c r="N3454" i="1" s="1"/>
  <c r="J3454" i="1"/>
  <c r="M3454" i="1" s="1"/>
  <c r="G3454" i="1"/>
  <c r="H3455" i="1" s="1"/>
  <c r="F3454" i="1"/>
  <c r="D3454" i="1"/>
  <c r="L3454" i="1" s="1"/>
  <c r="K3453" i="1"/>
  <c r="N3453" i="1" s="1"/>
  <c r="J3453" i="1"/>
  <c r="M3453" i="1" s="1"/>
  <c r="G3453" i="1"/>
  <c r="H3454" i="1" s="1"/>
  <c r="F3453" i="1"/>
  <c r="D3453" i="1"/>
  <c r="L3453" i="1" s="1"/>
  <c r="K3452" i="1"/>
  <c r="N3452" i="1" s="1"/>
  <c r="J3452" i="1"/>
  <c r="M3452" i="1" s="1"/>
  <c r="G3452" i="1"/>
  <c r="H3453" i="1" s="1"/>
  <c r="F3452" i="1"/>
  <c r="D3452" i="1"/>
  <c r="L3452" i="1" s="1"/>
  <c r="K3451" i="1"/>
  <c r="N3451" i="1" s="1"/>
  <c r="J3451" i="1"/>
  <c r="M3451" i="1" s="1"/>
  <c r="G3451" i="1"/>
  <c r="H3452" i="1" s="1"/>
  <c r="F3451" i="1"/>
  <c r="D3451" i="1"/>
  <c r="L3451" i="1" s="1"/>
  <c r="K3450" i="1"/>
  <c r="N3450" i="1" s="1"/>
  <c r="J3450" i="1"/>
  <c r="M3450" i="1" s="1"/>
  <c r="G3450" i="1"/>
  <c r="H3451" i="1" s="1"/>
  <c r="F3450" i="1"/>
  <c r="D3450" i="1"/>
  <c r="L3450" i="1" s="1"/>
  <c r="K3449" i="1"/>
  <c r="N3449" i="1" s="1"/>
  <c r="J3449" i="1"/>
  <c r="M3449" i="1" s="1"/>
  <c r="G3449" i="1"/>
  <c r="H3450" i="1" s="1"/>
  <c r="F3449" i="1"/>
  <c r="D3449" i="1"/>
  <c r="L3449" i="1" s="1"/>
  <c r="K3448" i="1"/>
  <c r="N3448" i="1" s="1"/>
  <c r="J3448" i="1"/>
  <c r="M3448" i="1" s="1"/>
  <c r="G3448" i="1"/>
  <c r="H3449" i="1" s="1"/>
  <c r="F3448" i="1"/>
  <c r="D3448" i="1"/>
  <c r="L3448" i="1" s="1"/>
  <c r="K3447" i="1"/>
  <c r="N3447" i="1" s="1"/>
  <c r="J3447" i="1"/>
  <c r="M3447" i="1" s="1"/>
  <c r="G3447" i="1"/>
  <c r="H3448" i="1" s="1"/>
  <c r="F3447" i="1"/>
  <c r="D3447" i="1"/>
  <c r="L3447" i="1" s="1"/>
  <c r="K3446" i="1"/>
  <c r="N3446" i="1" s="1"/>
  <c r="J3446" i="1"/>
  <c r="M3446" i="1" s="1"/>
  <c r="G3446" i="1"/>
  <c r="H3447" i="1" s="1"/>
  <c r="F3446" i="1"/>
  <c r="D3446" i="1"/>
  <c r="L3446" i="1" s="1"/>
  <c r="K3445" i="1"/>
  <c r="N3445" i="1" s="1"/>
  <c r="J3445" i="1"/>
  <c r="M3445" i="1" s="1"/>
  <c r="G3445" i="1"/>
  <c r="H3446" i="1" s="1"/>
  <c r="F3445" i="1"/>
  <c r="D3445" i="1"/>
  <c r="L3445" i="1" s="1"/>
  <c r="K3444" i="1"/>
  <c r="N3444" i="1" s="1"/>
  <c r="J3444" i="1"/>
  <c r="M3444" i="1" s="1"/>
  <c r="G3444" i="1"/>
  <c r="H3445" i="1" s="1"/>
  <c r="F3444" i="1"/>
  <c r="D3444" i="1"/>
  <c r="L3444" i="1" s="1"/>
  <c r="K3443" i="1"/>
  <c r="N3443" i="1" s="1"/>
  <c r="J3443" i="1"/>
  <c r="M3443" i="1" s="1"/>
  <c r="G3443" i="1"/>
  <c r="H3444" i="1" s="1"/>
  <c r="F3443" i="1"/>
  <c r="D3443" i="1"/>
  <c r="L3443" i="1" s="1"/>
  <c r="K3442" i="1"/>
  <c r="N3442" i="1" s="1"/>
  <c r="J3442" i="1"/>
  <c r="M3442" i="1" s="1"/>
  <c r="G3442" i="1"/>
  <c r="H3443" i="1" s="1"/>
  <c r="F3442" i="1"/>
  <c r="D3442" i="1"/>
  <c r="L3442" i="1" s="1"/>
  <c r="K3441" i="1"/>
  <c r="N3441" i="1" s="1"/>
  <c r="J3441" i="1"/>
  <c r="M3441" i="1" s="1"/>
  <c r="G3441" i="1"/>
  <c r="H3442" i="1" s="1"/>
  <c r="F3441" i="1"/>
  <c r="D3441" i="1"/>
  <c r="L3441" i="1" s="1"/>
  <c r="K3440" i="1"/>
  <c r="N3440" i="1" s="1"/>
  <c r="J3440" i="1"/>
  <c r="M3440" i="1" s="1"/>
  <c r="G3440" i="1"/>
  <c r="H3441" i="1" s="1"/>
  <c r="F3440" i="1"/>
  <c r="D3440" i="1"/>
  <c r="L3440" i="1" s="1"/>
  <c r="K3439" i="1"/>
  <c r="N3439" i="1" s="1"/>
  <c r="J3439" i="1"/>
  <c r="M3439" i="1" s="1"/>
  <c r="G3439" i="1"/>
  <c r="H3440" i="1" s="1"/>
  <c r="F3439" i="1"/>
  <c r="D3439" i="1"/>
  <c r="L3439" i="1" s="1"/>
  <c r="K3438" i="1"/>
  <c r="N3438" i="1" s="1"/>
  <c r="J3438" i="1"/>
  <c r="M3438" i="1" s="1"/>
  <c r="G3438" i="1"/>
  <c r="H3439" i="1" s="1"/>
  <c r="F3438" i="1"/>
  <c r="D3438" i="1"/>
  <c r="L3438" i="1" s="1"/>
  <c r="K3437" i="1"/>
  <c r="N3437" i="1" s="1"/>
  <c r="J3437" i="1"/>
  <c r="M3437" i="1" s="1"/>
  <c r="G3437" i="1"/>
  <c r="H3438" i="1" s="1"/>
  <c r="F3437" i="1"/>
  <c r="D3437" i="1"/>
  <c r="L3437" i="1" s="1"/>
  <c r="K3436" i="1"/>
  <c r="N3436" i="1" s="1"/>
  <c r="J3436" i="1"/>
  <c r="M3436" i="1" s="1"/>
  <c r="G3436" i="1"/>
  <c r="H3437" i="1" s="1"/>
  <c r="F3436" i="1"/>
  <c r="D3436" i="1"/>
  <c r="L3436" i="1" s="1"/>
  <c r="K3435" i="1"/>
  <c r="N3435" i="1" s="1"/>
  <c r="J3435" i="1"/>
  <c r="M3435" i="1" s="1"/>
  <c r="G3435" i="1"/>
  <c r="H3436" i="1" s="1"/>
  <c r="F3435" i="1"/>
  <c r="D3435" i="1"/>
  <c r="L3435" i="1" s="1"/>
  <c r="K3434" i="1"/>
  <c r="N3434" i="1" s="1"/>
  <c r="J3434" i="1"/>
  <c r="M3434" i="1" s="1"/>
  <c r="G3434" i="1"/>
  <c r="H3435" i="1" s="1"/>
  <c r="F3434" i="1"/>
  <c r="D3434" i="1"/>
  <c r="L3434" i="1" s="1"/>
  <c r="K3433" i="1"/>
  <c r="N3433" i="1" s="1"/>
  <c r="J3433" i="1"/>
  <c r="M3433" i="1" s="1"/>
  <c r="G3433" i="1"/>
  <c r="H3434" i="1" s="1"/>
  <c r="F3433" i="1"/>
  <c r="D3433" i="1"/>
  <c r="L3433" i="1" s="1"/>
  <c r="K3432" i="1"/>
  <c r="N3432" i="1" s="1"/>
  <c r="J3432" i="1"/>
  <c r="M3432" i="1" s="1"/>
  <c r="G3432" i="1"/>
  <c r="H3433" i="1" s="1"/>
  <c r="F3432" i="1"/>
  <c r="D3432" i="1"/>
  <c r="L3432" i="1" s="1"/>
  <c r="K3431" i="1"/>
  <c r="N3431" i="1" s="1"/>
  <c r="J3431" i="1"/>
  <c r="M3431" i="1" s="1"/>
  <c r="G3431" i="1"/>
  <c r="H3432" i="1" s="1"/>
  <c r="F3431" i="1"/>
  <c r="D3431" i="1"/>
  <c r="L3431" i="1" s="1"/>
  <c r="K3430" i="1"/>
  <c r="N3430" i="1" s="1"/>
  <c r="J3430" i="1"/>
  <c r="M3430" i="1" s="1"/>
  <c r="G3430" i="1"/>
  <c r="H3431" i="1" s="1"/>
  <c r="F3430" i="1"/>
  <c r="D3430" i="1"/>
  <c r="L3430" i="1" s="1"/>
  <c r="K3429" i="1"/>
  <c r="N3429" i="1" s="1"/>
  <c r="J3429" i="1"/>
  <c r="M3429" i="1" s="1"/>
  <c r="G3429" i="1"/>
  <c r="H3430" i="1" s="1"/>
  <c r="F3429" i="1"/>
  <c r="D3429" i="1"/>
  <c r="L3429" i="1" s="1"/>
  <c r="K3428" i="1"/>
  <c r="N3428" i="1" s="1"/>
  <c r="J3428" i="1"/>
  <c r="M3428" i="1" s="1"/>
  <c r="G3428" i="1"/>
  <c r="H3429" i="1" s="1"/>
  <c r="F3428" i="1"/>
  <c r="D3428" i="1"/>
  <c r="L3428" i="1" s="1"/>
  <c r="K3427" i="1"/>
  <c r="N3427" i="1" s="1"/>
  <c r="J3427" i="1"/>
  <c r="M3427" i="1" s="1"/>
  <c r="G3427" i="1"/>
  <c r="H3428" i="1" s="1"/>
  <c r="F3427" i="1"/>
  <c r="D3427" i="1"/>
  <c r="L3427" i="1" s="1"/>
  <c r="K3426" i="1"/>
  <c r="N3426" i="1" s="1"/>
  <c r="J3426" i="1"/>
  <c r="M3426" i="1" s="1"/>
  <c r="G3426" i="1"/>
  <c r="H3427" i="1" s="1"/>
  <c r="F3426" i="1"/>
  <c r="D3426" i="1"/>
  <c r="L3426" i="1" s="1"/>
  <c r="K3425" i="1"/>
  <c r="N3425" i="1" s="1"/>
  <c r="J3425" i="1"/>
  <c r="M3425" i="1" s="1"/>
  <c r="G3425" i="1"/>
  <c r="H3426" i="1" s="1"/>
  <c r="F3425" i="1"/>
  <c r="D3425" i="1"/>
  <c r="L3425" i="1" s="1"/>
  <c r="K3424" i="1"/>
  <c r="N3424" i="1" s="1"/>
  <c r="J3424" i="1"/>
  <c r="M3424" i="1" s="1"/>
  <c r="G3424" i="1"/>
  <c r="H3425" i="1" s="1"/>
  <c r="F3424" i="1"/>
  <c r="D3424" i="1"/>
  <c r="L3424" i="1" s="1"/>
  <c r="K3423" i="1"/>
  <c r="N3423" i="1" s="1"/>
  <c r="J3423" i="1"/>
  <c r="M3423" i="1" s="1"/>
  <c r="G3423" i="1"/>
  <c r="H3424" i="1" s="1"/>
  <c r="F3423" i="1"/>
  <c r="D3423" i="1"/>
  <c r="L3423" i="1" s="1"/>
  <c r="K3422" i="1"/>
  <c r="N3422" i="1" s="1"/>
  <c r="J3422" i="1"/>
  <c r="M3422" i="1" s="1"/>
  <c r="G3422" i="1"/>
  <c r="H3423" i="1" s="1"/>
  <c r="F3422" i="1"/>
  <c r="D3422" i="1"/>
  <c r="L3422" i="1" s="1"/>
  <c r="K3421" i="1"/>
  <c r="N3421" i="1" s="1"/>
  <c r="J3421" i="1"/>
  <c r="M3421" i="1" s="1"/>
  <c r="G3421" i="1"/>
  <c r="H3422" i="1" s="1"/>
  <c r="F3421" i="1"/>
  <c r="D3421" i="1"/>
  <c r="L3421" i="1" s="1"/>
  <c r="K3420" i="1"/>
  <c r="N3420" i="1" s="1"/>
  <c r="J3420" i="1"/>
  <c r="M3420" i="1" s="1"/>
  <c r="G3420" i="1"/>
  <c r="H3421" i="1" s="1"/>
  <c r="F3420" i="1"/>
  <c r="D3420" i="1"/>
  <c r="L3420" i="1" s="1"/>
  <c r="K3419" i="1"/>
  <c r="N3419" i="1" s="1"/>
  <c r="J3419" i="1"/>
  <c r="M3419" i="1" s="1"/>
  <c r="G3419" i="1"/>
  <c r="H3420" i="1" s="1"/>
  <c r="F3419" i="1"/>
  <c r="D3419" i="1"/>
  <c r="L3419" i="1" s="1"/>
  <c r="K3418" i="1"/>
  <c r="N3418" i="1" s="1"/>
  <c r="J3418" i="1"/>
  <c r="M3418" i="1" s="1"/>
  <c r="G3418" i="1"/>
  <c r="H3419" i="1" s="1"/>
  <c r="F3418" i="1"/>
  <c r="D3418" i="1"/>
  <c r="L3418" i="1" s="1"/>
  <c r="K3417" i="1"/>
  <c r="N3417" i="1" s="1"/>
  <c r="J3417" i="1"/>
  <c r="M3417" i="1" s="1"/>
  <c r="G3417" i="1"/>
  <c r="H3418" i="1" s="1"/>
  <c r="F3417" i="1"/>
  <c r="D3417" i="1"/>
  <c r="L3417" i="1" s="1"/>
  <c r="K3416" i="1"/>
  <c r="N3416" i="1" s="1"/>
  <c r="J3416" i="1"/>
  <c r="M3416" i="1" s="1"/>
  <c r="G3416" i="1"/>
  <c r="H3417" i="1" s="1"/>
  <c r="F3416" i="1"/>
  <c r="D3416" i="1"/>
  <c r="L3416" i="1" s="1"/>
  <c r="K3415" i="1"/>
  <c r="N3415" i="1" s="1"/>
  <c r="J3415" i="1"/>
  <c r="M3415" i="1" s="1"/>
  <c r="G3415" i="1"/>
  <c r="H3416" i="1" s="1"/>
  <c r="F3415" i="1"/>
  <c r="D3415" i="1"/>
  <c r="L3415" i="1" s="1"/>
  <c r="K3414" i="1"/>
  <c r="N3414" i="1" s="1"/>
  <c r="J3414" i="1"/>
  <c r="M3414" i="1" s="1"/>
  <c r="G3414" i="1"/>
  <c r="H3415" i="1" s="1"/>
  <c r="F3414" i="1"/>
  <c r="D3414" i="1"/>
  <c r="L3414" i="1" s="1"/>
  <c r="K3413" i="1"/>
  <c r="N3413" i="1" s="1"/>
  <c r="J3413" i="1"/>
  <c r="M3413" i="1" s="1"/>
  <c r="G3413" i="1"/>
  <c r="H3414" i="1" s="1"/>
  <c r="F3413" i="1"/>
  <c r="D3413" i="1"/>
  <c r="L3413" i="1" s="1"/>
  <c r="K3412" i="1"/>
  <c r="N3412" i="1" s="1"/>
  <c r="J3412" i="1"/>
  <c r="M3412" i="1" s="1"/>
  <c r="G3412" i="1"/>
  <c r="H3413" i="1" s="1"/>
  <c r="F3412" i="1"/>
  <c r="D3412" i="1"/>
  <c r="L3412" i="1" s="1"/>
  <c r="K3411" i="1"/>
  <c r="N3411" i="1" s="1"/>
  <c r="J3411" i="1"/>
  <c r="M3411" i="1" s="1"/>
  <c r="G3411" i="1"/>
  <c r="H3412" i="1" s="1"/>
  <c r="F3411" i="1"/>
  <c r="D3411" i="1"/>
  <c r="L3411" i="1" s="1"/>
  <c r="K3410" i="1"/>
  <c r="N3410" i="1" s="1"/>
  <c r="J3410" i="1"/>
  <c r="M3410" i="1" s="1"/>
  <c r="G3410" i="1"/>
  <c r="H3411" i="1" s="1"/>
  <c r="F3410" i="1"/>
  <c r="D3410" i="1"/>
  <c r="L3410" i="1" s="1"/>
  <c r="K3409" i="1"/>
  <c r="N3409" i="1" s="1"/>
  <c r="J3409" i="1"/>
  <c r="M3409" i="1" s="1"/>
  <c r="G3409" i="1"/>
  <c r="H3410" i="1" s="1"/>
  <c r="F3409" i="1"/>
  <c r="D3409" i="1"/>
  <c r="L3409" i="1" s="1"/>
  <c r="K3408" i="1"/>
  <c r="N3408" i="1" s="1"/>
  <c r="J3408" i="1"/>
  <c r="M3408" i="1" s="1"/>
  <c r="G3408" i="1"/>
  <c r="H3409" i="1" s="1"/>
  <c r="F3408" i="1"/>
  <c r="D3408" i="1"/>
  <c r="L3408" i="1" s="1"/>
  <c r="K3407" i="1"/>
  <c r="N3407" i="1" s="1"/>
  <c r="J3407" i="1"/>
  <c r="M3407" i="1" s="1"/>
  <c r="G3407" i="1"/>
  <c r="H3408" i="1" s="1"/>
  <c r="F3407" i="1"/>
  <c r="D3407" i="1"/>
  <c r="L3407" i="1" s="1"/>
  <c r="K3406" i="1"/>
  <c r="N3406" i="1" s="1"/>
  <c r="J3406" i="1"/>
  <c r="M3406" i="1" s="1"/>
  <c r="G3406" i="1"/>
  <c r="H3407" i="1" s="1"/>
  <c r="F3406" i="1"/>
  <c r="D3406" i="1"/>
  <c r="L3406" i="1" s="1"/>
  <c r="K3405" i="1"/>
  <c r="N3405" i="1" s="1"/>
  <c r="J3405" i="1"/>
  <c r="M3405" i="1" s="1"/>
  <c r="G3405" i="1"/>
  <c r="H3406" i="1" s="1"/>
  <c r="F3405" i="1"/>
  <c r="D3405" i="1"/>
  <c r="L3405" i="1" s="1"/>
  <c r="K3404" i="1"/>
  <c r="N3404" i="1" s="1"/>
  <c r="J3404" i="1"/>
  <c r="M3404" i="1" s="1"/>
  <c r="G3404" i="1"/>
  <c r="H3405" i="1" s="1"/>
  <c r="F3404" i="1"/>
  <c r="D3404" i="1"/>
  <c r="L3404" i="1" s="1"/>
  <c r="K3403" i="1"/>
  <c r="N3403" i="1" s="1"/>
  <c r="J3403" i="1"/>
  <c r="M3403" i="1" s="1"/>
  <c r="G3403" i="1"/>
  <c r="H3404" i="1" s="1"/>
  <c r="F3403" i="1"/>
  <c r="D3403" i="1"/>
  <c r="L3403" i="1" s="1"/>
  <c r="K3402" i="1"/>
  <c r="N3402" i="1" s="1"/>
  <c r="J3402" i="1"/>
  <c r="M3402" i="1" s="1"/>
  <c r="G3402" i="1"/>
  <c r="H3403" i="1" s="1"/>
  <c r="F3402" i="1"/>
  <c r="D3402" i="1"/>
  <c r="L3402" i="1" s="1"/>
  <c r="K3401" i="1"/>
  <c r="N3401" i="1" s="1"/>
  <c r="J3401" i="1"/>
  <c r="M3401" i="1" s="1"/>
  <c r="G3401" i="1"/>
  <c r="H3402" i="1" s="1"/>
  <c r="F3401" i="1"/>
  <c r="D3401" i="1"/>
  <c r="L3401" i="1" s="1"/>
  <c r="K3400" i="1"/>
  <c r="N3400" i="1" s="1"/>
  <c r="J3400" i="1"/>
  <c r="M3400" i="1" s="1"/>
  <c r="G3400" i="1"/>
  <c r="H3401" i="1" s="1"/>
  <c r="F3400" i="1"/>
  <c r="D3400" i="1"/>
  <c r="L3400" i="1" s="1"/>
  <c r="K3399" i="1"/>
  <c r="N3399" i="1" s="1"/>
  <c r="J3399" i="1"/>
  <c r="M3399" i="1" s="1"/>
  <c r="G3399" i="1"/>
  <c r="H3400" i="1" s="1"/>
  <c r="F3399" i="1"/>
  <c r="D3399" i="1"/>
  <c r="L3399" i="1" s="1"/>
  <c r="K3398" i="1"/>
  <c r="N3398" i="1" s="1"/>
  <c r="J3398" i="1"/>
  <c r="M3398" i="1" s="1"/>
  <c r="G3398" i="1"/>
  <c r="H3399" i="1" s="1"/>
  <c r="F3398" i="1"/>
  <c r="D3398" i="1"/>
  <c r="L3398" i="1" s="1"/>
  <c r="K3397" i="1"/>
  <c r="N3397" i="1" s="1"/>
  <c r="J3397" i="1"/>
  <c r="M3397" i="1" s="1"/>
  <c r="G3397" i="1"/>
  <c r="H3398" i="1" s="1"/>
  <c r="F3397" i="1"/>
  <c r="D3397" i="1"/>
  <c r="L3397" i="1" s="1"/>
  <c r="K3396" i="1"/>
  <c r="N3396" i="1" s="1"/>
  <c r="J3396" i="1"/>
  <c r="M3396" i="1" s="1"/>
  <c r="G3396" i="1"/>
  <c r="H3397" i="1" s="1"/>
  <c r="F3396" i="1"/>
  <c r="D3396" i="1"/>
  <c r="L3396" i="1" s="1"/>
  <c r="K3395" i="1"/>
  <c r="N3395" i="1" s="1"/>
  <c r="J3395" i="1"/>
  <c r="M3395" i="1" s="1"/>
  <c r="G3395" i="1"/>
  <c r="H3396" i="1" s="1"/>
  <c r="F3395" i="1"/>
  <c r="D3395" i="1"/>
  <c r="L3395" i="1" s="1"/>
  <c r="K3394" i="1"/>
  <c r="N3394" i="1" s="1"/>
  <c r="J3394" i="1"/>
  <c r="M3394" i="1" s="1"/>
  <c r="G3394" i="1"/>
  <c r="H3395" i="1" s="1"/>
  <c r="F3394" i="1"/>
  <c r="D3394" i="1"/>
  <c r="L3394" i="1" s="1"/>
  <c r="K3393" i="1"/>
  <c r="N3393" i="1" s="1"/>
  <c r="J3393" i="1"/>
  <c r="M3393" i="1" s="1"/>
  <c r="G3393" i="1"/>
  <c r="H3394" i="1" s="1"/>
  <c r="F3393" i="1"/>
  <c r="D3393" i="1"/>
  <c r="L3393" i="1" s="1"/>
  <c r="K3392" i="1"/>
  <c r="N3392" i="1" s="1"/>
  <c r="J3392" i="1"/>
  <c r="M3392" i="1" s="1"/>
  <c r="G3392" i="1"/>
  <c r="H3393" i="1" s="1"/>
  <c r="F3392" i="1"/>
  <c r="D3392" i="1"/>
  <c r="L3392" i="1" s="1"/>
  <c r="K3391" i="1"/>
  <c r="N3391" i="1" s="1"/>
  <c r="J3391" i="1"/>
  <c r="M3391" i="1" s="1"/>
  <c r="G3391" i="1"/>
  <c r="H3392" i="1" s="1"/>
  <c r="F3391" i="1"/>
  <c r="D3391" i="1"/>
  <c r="L3391" i="1" s="1"/>
  <c r="K3390" i="1"/>
  <c r="N3390" i="1" s="1"/>
  <c r="J3390" i="1"/>
  <c r="M3390" i="1" s="1"/>
  <c r="G3390" i="1"/>
  <c r="H3391" i="1" s="1"/>
  <c r="F3390" i="1"/>
  <c r="D3390" i="1"/>
  <c r="L3390" i="1" s="1"/>
  <c r="K3389" i="1"/>
  <c r="N3389" i="1" s="1"/>
  <c r="J3389" i="1"/>
  <c r="M3389" i="1" s="1"/>
  <c r="G3389" i="1"/>
  <c r="H3390" i="1" s="1"/>
  <c r="F3389" i="1"/>
  <c r="D3389" i="1"/>
  <c r="L3389" i="1" s="1"/>
  <c r="K3388" i="1"/>
  <c r="N3388" i="1" s="1"/>
  <c r="J3388" i="1"/>
  <c r="M3388" i="1" s="1"/>
  <c r="G3388" i="1"/>
  <c r="H3389" i="1" s="1"/>
  <c r="F3388" i="1"/>
  <c r="D3388" i="1"/>
  <c r="L3388" i="1" s="1"/>
  <c r="K3387" i="1"/>
  <c r="N3387" i="1" s="1"/>
  <c r="J3387" i="1"/>
  <c r="M3387" i="1" s="1"/>
  <c r="G3387" i="1"/>
  <c r="H3388" i="1" s="1"/>
  <c r="F3387" i="1"/>
  <c r="D3387" i="1"/>
  <c r="L3387" i="1" s="1"/>
  <c r="K3386" i="1"/>
  <c r="N3386" i="1" s="1"/>
  <c r="J3386" i="1"/>
  <c r="M3386" i="1" s="1"/>
  <c r="G3386" i="1"/>
  <c r="H3387" i="1" s="1"/>
  <c r="F3386" i="1"/>
  <c r="D3386" i="1"/>
  <c r="L3386" i="1" s="1"/>
  <c r="K3385" i="1"/>
  <c r="N3385" i="1" s="1"/>
  <c r="J3385" i="1"/>
  <c r="M3385" i="1" s="1"/>
  <c r="G3385" i="1"/>
  <c r="H3386" i="1" s="1"/>
  <c r="F3385" i="1"/>
  <c r="D3385" i="1"/>
  <c r="L3385" i="1" s="1"/>
  <c r="K3384" i="1"/>
  <c r="N3384" i="1" s="1"/>
  <c r="J3384" i="1"/>
  <c r="M3384" i="1" s="1"/>
  <c r="G3384" i="1"/>
  <c r="H3385" i="1" s="1"/>
  <c r="F3384" i="1"/>
  <c r="D3384" i="1"/>
  <c r="L3384" i="1" s="1"/>
  <c r="K3383" i="1"/>
  <c r="N3383" i="1" s="1"/>
  <c r="J3383" i="1"/>
  <c r="M3383" i="1" s="1"/>
  <c r="G3383" i="1"/>
  <c r="H3384" i="1" s="1"/>
  <c r="F3383" i="1"/>
  <c r="D3383" i="1"/>
  <c r="L3383" i="1" s="1"/>
  <c r="K3382" i="1"/>
  <c r="N3382" i="1" s="1"/>
  <c r="J3382" i="1"/>
  <c r="M3382" i="1" s="1"/>
  <c r="G3382" i="1"/>
  <c r="H3383" i="1" s="1"/>
  <c r="F3382" i="1"/>
  <c r="D3382" i="1"/>
  <c r="L3382" i="1" s="1"/>
  <c r="K3381" i="1"/>
  <c r="N3381" i="1" s="1"/>
  <c r="J3381" i="1"/>
  <c r="M3381" i="1" s="1"/>
  <c r="G3381" i="1"/>
  <c r="H3382" i="1" s="1"/>
  <c r="F3381" i="1"/>
  <c r="D3381" i="1"/>
  <c r="L3381" i="1" s="1"/>
  <c r="K3380" i="1"/>
  <c r="N3380" i="1" s="1"/>
  <c r="J3380" i="1"/>
  <c r="M3380" i="1" s="1"/>
  <c r="G3380" i="1"/>
  <c r="H3381" i="1" s="1"/>
  <c r="F3380" i="1"/>
  <c r="D3380" i="1"/>
  <c r="L3380" i="1" s="1"/>
  <c r="K3379" i="1"/>
  <c r="N3379" i="1" s="1"/>
  <c r="J3379" i="1"/>
  <c r="M3379" i="1" s="1"/>
  <c r="G3379" i="1"/>
  <c r="H3380" i="1" s="1"/>
  <c r="F3379" i="1"/>
  <c r="D3379" i="1"/>
  <c r="L3379" i="1" s="1"/>
  <c r="K3378" i="1"/>
  <c r="N3378" i="1" s="1"/>
  <c r="J3378" i="1"/>
  <c r="M3378" i="1" s="1"/>
  <c r="G3378" i="1"/>
  <c r="H3379" i="1" s="1"/>
  <c r="F3378" i="1"/>
  <c r="D3378" i="1"/>
  <c r="L3378" i="1" s="1"/>
  <c r="K3377" i="1"/>
  <c r="N3377" i="1" s="1"/>
  <c r="J3377" i="1"/>
  <c r="M3377" i="1" s="1"/>
  <c r="G3377" i="1"/>
  <c r="H3378" i="1" s="1"/>
  <c r="F3377" i="1"/>
  <c r="D3377" i="1"/>
  <c r="L3377" i="1" s="1"/>
  <c r="K3376" i="1"/>
  <c r="N3376" i="1" s="1"/>
  <c r="J3376" i="1"/>
  <c r="M3376" i="1" s="1"/>
  <c r="G3376" i="1"/>
  <c r="H3377" i="1" s="1"/>
  <c r="F3376" i="1"/>
  <c r="D3376" i="1"/>
  <c r="L3376" i="1" s="1"/>
  <c r="K3375" i="1"/>
  <c r="N3375" i="1" s="1"/>
  <c r="J3375" i="1"/>
  <c r="M3375" i="1" s="1"/>
  <c r="G3375" i="1"/>
  <c r="H3376" i="1" s="1"/>
  <c r="F3375" i="1"/>
  <c r="D3375" i="1"/>
  <c r="L3375" i="1" s="1"/>
  <c r="K3374" i="1"/>
  <c r="N3374" i="1" s="1"/>
  <c r="J3374" i="1"/>
  <c r="M3374" i="1" s="1"/>
  <c r="G3374" i="1"/>
  <c r="H3375" i="1" s="1"/>
  <c r="F3374" i="1"/>
  <c r="D3374" i="1"/>
  <c r="L3374" i="1" s="1"/>
  <c r="K3373" i="1"/>
  <c r="N3373" i="1" s="1"/>
  <c r="J3373" i="1"/>
  <c r="M3373" i="1" s="1"/>
  <c r="G3373" i="1"/>
  <c r="H3374" i="1" s="1"/>
  <c r="F3373" i="1"/>
  <c r="D3373" i="1"/>
  <c r="L3373" i="1" s="1"/>
  <c r="K3372" i="1"/>
  <c r="N3372" i="1" s="1"/>
  <c r="J3372" i="1"/>
  <c r="M3372" i="1" s="1"/>
  <c r="G3372" i="1"/>
  <c r="H3373" i="1" s="1"/>
  <c r="F3372" i="1"/>
  <c r="D3372" i="1"/>
  <c r="L3372" i="1" s="1"/>
  <c r="K3371" i="1"/>
  <c r="N3371" i="1" s="1"/>
  <c r="J3371" i="1"/>
  <c r="M3371" i="1" s="1"/>
  <c r="G3371" i="1"/>
  <c r="H3372" i="1" s="1"/>
  <c r="F3371" i="1"/>
  <c r="D3371" i="1"/>
  <c r="L3371" i="1" s="1"/>
  <c r="K3370" i="1"/>
  <c r="N3370" i="1" s="1"/>
  <c r="J3370" i="1"/>
  <c r="M3370" i="1" s="1"/>
  <c r="G3370" i="1"/>
  <c r="H3371" i="1" s="1"/>
  <c r="F3370" i="1"/>
  <c r="D3370" i="1"/>
  <c r="L3370" i="1" s="1"/>
  <c r="K3369" i="1"/>
  <c r="N3369" i="1" s="1"/>
  <c r="J3369" i="1"/>
  <c r="M3369" i="1" s="1"/>
  <c r="G3369" i="1"/>
  <c r="H3370" i="1" s="1"/>
  <c r="F3369" i="1"/>
  <c r="D3369" i="1"/>
  <c r="L3369" i="1" s="1"/>
  <c r="K3368" i="1"/>
  <c r="N3368" i="1" s="1"/>
  <c r="J3368" i="1"/>
  <c r="M3368" i="1" s="1"/>
  <c r="G3368" i="1"/>
  <c r="H3369" i="1" s="1"/>
  <c r="F3368" i="1"/>
  <c r="D3368" i="1"/>
  <c r="L3368" i="1" s="1"/>
  <c r="K3367" i="1"/>
  <c r="N3367" i="1" s="1"/>
  <c r="J3367" i="1"/>
  <c r="M3367" i="1" s="1"/>
  <c r="G3367" i="1"/>
  <c r="H3368" i="1" s="1"/>
  <c r="F3367" i="1"/>
  <c r="D3367" i="1"/>
  <c r="L3367" i="1" s="1"/>
  <c r="K3366" i="1"/>
  <c r="N3366" i="1" s="1"/>
  <c r="J3366" i="1"/>
  <c r="M3366" i="1" s="1"/>
  <c r="G3366" i="1"/>
  <c r="H3367" i="1" s="1"/>
  <c r="F3366" i="1"/>
  <c r="D3366" i="1"/>
  <c r="L3366" i="1" s="1"/>
  <c r="K3365" i="1"/>
  <c r="N3365" i="1" s="1"/>
  <c r="J3365" i="1"/>
  <c r="M3365" i="1" s="1"/>
  <c r="G3365" i="1"/>
  <c r="H3366" i="1" s="1"/>
  <c r="F3365" i="1"/>
  <c r="D3365" i="1"/>
  <c r="L3365" i="1" s="1"/>
  <c r="K3364" i="1"/>
  <c r="N3364" i="1" s="1"/>
  <c r="J3364" i="1"/>
  <c r="M3364" i="1" s="1"/>
  <c r="G3364" i="1"/>
  <c r="H3365" i="1" s="1"/>
  <c r="F3364" i="1"/>
  <c r="D3364" i="1"/>
  <c r="L3364" i="1" s="1"/>
  <c r="K3363" i="1"/>
  <c r="N3363" i="1" s="1"/>
  <c r="J3363" i="1"/>
  <c r="M3363" i="1" s="1"/>
  <c r="G3363" i="1"/>
  <c r="H3364" i="1" s="1"/>
  <c r="F3363" i="1"/>
  <c r="D3363" i="1"/>
  <c r="L3363" i="1" s="1"/>
  <c r="K3362" i="1"/>
  <c r="N3362" i="1" s="1"/>
  <c r="J3362" i="1"/>
  <c r="M3362" i="1" s="1"/>
  <c r="G3362" i="1"/>
  <c r="H3363" i="1" s="1"/>
  <c r="F3362" i="1"/>
  <c r="D3362" i="1"/>
  <c r="L3362" i="1" s="1"/>
  <c r="K3361" i="1"/>
  <c r="N3361" i="1" s="1"/>
  <c r="J3361" i="1"/>
  <c r="M3361" i="1" s="1"/>
  <c r="G3361" i="1"/>
  <c r="H3362" i="1" s="1"/>
  <c r="F3361" i="1"/>
  <c r="D3361" i="1"/>
  <c r="L3361" i="1" s="1"/>
  <c r="K3360" i="1"/>
  <c r="N3360" i="1" s="1"/>
  <c r="J3360" i="1"/>
  <c r="M3360" i="1" s="1"/>
  <c r="G3360" i="1"/>
  <c r="H3361" i="1" s="1"/>
  <c r="F3360" i="1"/>
  <c r="D3360" i="1"/>
  <c r="L3360" i="1" s="1"/>
  <c r="K3359" i="1"/>
  <c r="N3359" i="1" s="1"/>
  <c r="J3359" i="1"/>
  <c r="M3359" i="1" s="1"/>
  <c r="G3359" i="1"/>
  <c r="H3360" i="1" s="1"/>
  <c r="F3359" i="1"/>
  <c r="D3359" i="1"/>
  <c r="L3359" i="1" s="1"/>
  <c r="K3358" i="1"/>
  <c r="N3358" i="1" s="1"/>
  <c r="J3358" i="1"/>
  <c r="M3358" i="1" s="1"/>
  <c r="G3358" i="1"/>
  <c r="H3359" i="1" s="1"/>
  <c r="F3358" i="1"/>
  <c r="D3358" i="1"/>
  <c r="L3358" i="1" s="1"/>
  <c r="K3357" i="1"/>
  <c r="N3357" i="1" s="1"/>
  <c r="J3357" i="1"/>
  <c r="M3357" i="1" s="1"/>
  <c r="G3357" i="1"/>
  <c r="H3358" i="1" s="1"/>
  <c r="F3357" i="1"/>
  <c r="D3357" i="1"/>
  <c r="L3357" i="1" s="1"/>
  <c r="K3356" i="1"/>
  <c r="N3356" i="1" s="1"/>
  <c r="J3356" i="1"/>
  <c r="M3356" i="1" s="1"/>
  <c r="G3356" i="1"/>
  <c r="H3357" i="1" s="1"/>
  <c r="F3356" i="1"/>
  <c r="D3356" i="1"/>
  <c r="L3356" i="1" s="1"/>
  <c r="K3355" i="1"/>
  <c r="N3355" i="1" s="1"/>
  <c r="J3355" i="1"/>
  <c r="M3355" i="1" s="1"/>
  <c r="G3355" i="1"/>
  <c r="H3356" i="1" s="1"/>
  <c r="F3355" i="1"/>
  <c r="D3355" i="1"/>
  <c r="L3355" i="1" s="1"/>
  <c r="K3354" i="1"/>
  <c r="N3354" i="1" s="1"/>
  <c r="J3354" i="1"/>
  <c r="M3354" i="1" s="1"/>
  <c r="G3354" i="1"/>
  <c r="H3355" i="1" s="1"/>
  <c r="F3354" i="1"/>
  <c r="D3354" i="1"/>
  <c r="L3354" i="1" s="1"/>
  <c r="K3353" i="1"/>
  <c r="N3353" i="1" s="1"/>
  <c r="J3353" i="1"/>
  <c r="M3353" i="1" s="1"/>
  <c r="G3353" i="1"/>
  <c r="H3354" i="1" s="1"/>
  <c r="F3353" i="1"/>
  <c r="D3353" i="1"/>
  <c r="L3353" i="1" s="1"/>
  <c r="K3352" i="1"/>
  <c r="N3352" i="1" s="1"/>
  <c r="J3352" i="1"/>
  <c r="M3352" i="1" s="1"/>
  <c r="G3352" i="1"/>
  <c r="H3353" i="1" s="1"/>
  <c r="F3352" i="1"/>
  <c r="D3352" i="1"/>
  <c r="L3352" i="1" s="1"/>
  <c r="K3351" i="1"/>
  <c r="N3351" i="1" s="1"/>
  <c r="J3351" i="1"/>
  <c r="M3351" i="1" s="1"/>
  <c r="G3351" i="1"/>
  <c r="H3352" i="1" s="1"/>
  <c r="F3351" i="1"/>
  <c r="D3351" i="1"/>
  <c r="L3351" i="1" s="1"/>
  <c r="K3350" i="1"/>
  <c r="N3350" i="1" s="1"/>
  <c r="J3350" i="1"/>
  <c r="M3350" i="1" s="1"/>
  <c r="G3350" i="1"/>
  <c r="H3351" i="1" s="1"/>
  <c r="F3350" i="1"/>
  <c r="D3350" i="1"/>
  <c r="L3350" i="1" s="1"/>
  <c r="K3349" i="1"/>
  <c r="N3349" i="1" s="1"/>
  <c r="J3349" i="1"/>
  <c r="M3349" i="1" s="1"/>
  <c r="G3349" i="1"/>
  <c r="H3350" i="1" s="1"/>
  <c r="F3349" i="1"/>
  <c r="D3349" i="1"/>
  <c r="L3349" i="1" s="1"/>
  <c r="K3348" i="1"/>
  <c r="N3348" i="1" s="1"/>
  <c r="J3348" i="1"/>
  <c r="M3348" i="1" s="1"/>
  <c r="G3348" i="1"/>
  <c r="H3349" i="1" s="1"/>
  <c r="F3348" i="1"/>
  <c r="D3348" i="1"/>
  <c r="L3348" i="1" s="1"/>
  <c r="K3347" i="1"/>
  <c r="N3347" i="1" s="1"/>
  <c r="J3347" i="1"/>
  <c r="M3347" i="1" s="1"/>
  <c r="G3347" i="1"/>
  <c r="H3348" i="1" s="1"/>
  <c r="F3347" i="1"/>
  <c r="D3347" i="1"/>
  <c r="L3347" i="1" s="1"/>
  <c r="K3346" i="1"/>
  <c r="N3346" i="1" s="1"/>
  <c r="J3346" i="1"/>
  <c r="M3346" i="1" s="1"/>
  <c r="G3346" i="1"/>
  <c r="H3347" i="1" s="1"/>
  <c r="F3346" i="1"/>
  <c r="D3346" i="1"/>
  <c r="L3346" i="1" s="1"/>
  <c r="K3345" i="1"/>
  <c r="N3345" i="1" s="1"/>
  <c r="J3345" i="1"/>
  <c r="M3345" i="1" s="1"/>
  <c r="G3345" i="1"/>
  <c r="H3346" i="1" s="1"/>
  <c r="F3345" i="1"/>
  <c r="D3345" i="1"/>
  <c r="L3345" i="1" s="1"/>
  <c r="K3344" i="1"/>
  <c r="N3344" i="1" s="1"/>
  <c r="J3344" i="1"/>
  <c r="M3344" i="1" s="1"/>
  <c r="G3344" i="1"/>
  <c r="H3345" i="1" s="1"/>
  <c r="F3344" i="1"/>
  <c r="D3344" i="1"/>
  <c r="L3344" i="1" s="1"/>
  <c r="K3343" i="1"/>
  <c r="N3343" i="1" s="1"/>
  <c r="J3343" i="1"/>
  <c r="M3343" i="1" s="1"/>
  <c r="G3343" i="1"/>
  <c r="H3344" i="1" s="1"/>
  <c r="F3343" i="1"/>
  <c r="D3343" i="1"/>
  <c r="L3343" i="1" s="1"/>
  <c r="K3342" i="1"/>
  <c r="N3342" i="1" s="1"/>
  <c r="J3342" i="1"/>
  <c r="M3342" i="1" s="1"/>
  <c r="G3342" i="1"/>
  <c r="H3343" i="1" s="1"/>
  <c r="F3342" i="1"/>
  <c r="D3342" i="1"/>
  <c r="L3342" i="1" s="1"/>
  <c r="K3341" i="1"/>
  <c r="N3341" i="1" s="1"/>
  <c r="J3341" i="1"/>
  <c r="M3341" i="1" s="1"/>
  <c r="G3341" i="1"/>
  <c r="H3342" i="1" s="1"/>
  <c r="F3341" i="1"/>
  <c r="D3341" i="1"/>
  <c r="L3341" i="1" s="1"/>
  <c r="K3340" i="1"/>
  <c r="N3340" i="1" s="1"/>
  <c r="J3340" i="1"/>
  <c r="M3340" i="1" s="1"/>
  <c r="G3340" i="1"/>
  <c r="H3341" i="1" s="1"/>
  <c r="F3340" i="1"/>
  <c r="D3340" i="1"/>
  <c r="L3340" i="1" s="1"/>
  <c r="K3339" i="1"/>
  <c r="N3339" i="1" s="1"/>
  <c r="J3339" i="1"/>
  <c r="M3339" i="1" s="1"/>
  <c r="G3339" i="1"/>
  <c r="H3340" i="1" s="1"/>
  <c r="F3339" i="1"/>
  <c r="D3339" i="1"/>
  <c r="L3339" i="1" s="1"/>
  <c r="K3338" i="1"/>
  <c r="N3338" i="1" s="1"/>
  <c r="J3338" i="1"/>
  <c r="M3338" i="1" s="1"/>
  <c r="G3338" i="1"/>
  <c r="H3339" i="1" s="1"/>
  <c r="F3338" i="1"/>
  <c r="D3338" i="1"/>
  <c r="L3338" i="1" s="1"/>
  <c r="K3337" i="1"/>
  <c r="N3337" i="1" s="1"/>
  <c r="J3337" i="1"/>
  <c r="M3337" i="1" s="1"/>
  <c r="G3337" i="1"/>
  <c r="H3338" i="1" s="1"/>
  <c r="F3337" i="1"/>
  <c r="D3337" i="1"/>
  <c r="L3337" i="1" s="1"/>
  <c r="K3336" i="1"/>
  <c r="N3336" i="1" s="1"/>
  <c r="J3336" i="1"/>
  <c r="M3336" i="1" s="1"/>
  <c r="G3336" i="1"/>
  <c r="H3337" i="1" s="1"/>
  <c r="F3336" i="1"/>
  <c r="D3336" i="1"/>
  <c r="L3336" i="1" s="1"/>
  <c r="K3335" i="1"/>
  <c r="N3335" i="1" s="1"/>
  <c r="J3335" i="1"/>
  <c r="M3335" i="1" s="1"/>
  <c r="G3335" i="1"/>
  <c r="H3336" i="1" s="1"/>
  <c r="F3335" i="1"/>
  <c r="D3335" i="1"/>
  <c r="L3335" i="1" s="1"/>
  <c r="K3334" i="1"/>
  <c r="N3334" i="1" s="1"/>
  <c r="J3334" i="1"/>
  <c r="M3334" i="1" s="1"/>
  <c r="G3334" i="1"/>
  <c r="H3335" i="1" s="1"/>
  <c r="F3334" i="1"/>
  <c r="D3334" i="1"/>
  <c r="L3334" i="1" s="1"/>
  <c r="K3333" i="1"/>
  <c r="N3333" i="1" s="1"/>
  <c r="J3333" i="1"/>
  <c r="M3333" i="1" s="1"/>
  <c r="G3333" i="1"/>
  <c r="H3334" i="1" s="1"/>
  <c r="F3333" i="1"/>
  <c r="D3333" i="1"/>
  <c r="L3333" i="1" s="1"/>
  <c r="K3332" i="1"/>
  <c r="N3332" i="1" s="1"/>
  <c r="J3332" i="1"/>
  <c r="M3332" i="1" s="1"/>
  <c r="G3332" i="1"/>
  <c r="H3333" i="1" s="1"/>
  <c r="F3332" i="1"/>
  <c r="D3332" i="1"/>
  <c r="L3332" i="1" s="1"/>
  <c r="K3331" i="1"/>
  <c r="N3331" i="1" s="1"/>
  <c r="J3331" i="1"/>
  <c r="M3331" i="1" s="1"/>
  <c r="G3331" i="1"/>
  <c r="H3332" i="1" s="1"/>
  <c r="F3331" i="1"/>
  <c r="D3331" i="1"/>
  <c r="L3331" i="1" s="1"/>
  <c r="K3330" i="1"/>
  <c r="N3330" i="1" s="1"/>
  <c r="J3330" i="1"/>
  <c r="M3330" i="1" s="1"/>
  <c r="G3330" i="1"/>
  <c r="H3331" i="1" s="1"/>
  <c r="F3330" i="1"/>
  <c r="D3330" i="1"/>
  <c r="L3330" i="1" s="1"/>
  <c r="K3329" i="1"/>
  <c r="N3329" i="1" s="1"/>
  <c r="J3329" i="1"/>
  <c r="M3329" i="1" s="1"/>
  <c r="G3329" i="1"/>
  <c r="H3330" i="1" s="1"/>
  <c r="F3329" i="1"/>
  <c r="D3329" i="1"/>
  <c r="L3329" i="1" s="1"/>
  <c r="K3328" i="1"/>
  <c r="N3328" i="1" s="1"/>
  <c r="J3328" i="1"/>
  <c r="M3328" i="1" s="1"/>
  <c r="G3328" i="1"/>
  <c r="H3329" i="1" s="1"/>
  <c r="F3328" i="1"/>
  <c r="D3328" i="1"/>
  <c r="L3328" i="1" s="1"/>
  <c r="K3327" i="1"/>
  <c r="N3327" i="1" s="1"/>
  <c r="J3327" i="1"/>
  <c r="M3327" i="1" s="1"/>
  <c r="G3327" i="1"/>
  <c r="H3328" i="1" s="1"/>
  <c r="F3327" i="1"/>
  <c r="D3327" i="1"/>
  <c r="L3327" i="1" s="1"/>
  <c r="K3326" i="1"/>
  <c r="N3326" i="1" s="1"/>
  <c r="J3326" i="1"/>
  <c r="M3326" i="1" s="1"/>
  <c r="G3326" i="1"/>
  <c r="H3327" i="1" s="1"/>
  <c r="F3326" i="1"/>
  <c r="D3326" i="1"/>
  <c r="L3326" i="1" s="1"/>
  <c r="K3325" i="1"/>
  <c r="N3325" i="1" s="1"/>
  <c r="J3325" i="1"/>
  <c r="M3325" i="1" s="1"/>
  <c r="G3325" i="1"/>
  <c r="H3326" i="1" s="1"/>
  <c r="F3325" i="1"/>
  <c r="D3325" i="1"/>
  <c r="L3325" i="1" s="1"/>
  <c r="K3324" i="1"/>
  <c r="N3324" i="1" s="1"/>
  <c r="J3324" i="1"/>
  <c r="M3324" i="1" s="1"/>
  <c r="G3324" i="1"/>
  <c r="H3325" i="1" s="1"/>
  <c r="F3324" i="1"/>
  <c r="D3324" i="1"/>
  <c r="L3324" i="1" s="1"/>
  <c r="K3323" i="1"/>
  <c r="N3323" i="1" s="1"/>
  <c r="J3323" i="1"/>
  <c r="M3323" i="1" s="1"/>
  <c r="G3323" i="1"/>
  <c r="H3324" i="1" s="1"/>
  <c r="F3323" i="1"/>
  <c r="D3323" i="1"/>
  <c r="L3323" i="1" s="1"/>
  <c r="K3322" i="1"/>
  <c r="N3322" i="1" s="1"/>
  <c r="J3322" i="1"/>
  <c r="M3322" i="1" s="1"/>
  <c r="G3322" i="1"/>
  <c r="H3323" i="1" s="1"/>
  <c r="F3322" i="1"/>
  <c r="D3322" i="1"/>
  <c r="L3322" i="1" s="1"/>
  <c r="K3321" i="1"/>
  <c r="N3321" i="1" s="1"/>
  <c r="J3321" i="1"/>
  <c r="M3321" i="1" s="1"/>
  <c r="G3321" i="1"/>
  <c r="H3322" i="1" s="1"/>
  <c r="F3321" i="1"/>
  <c r="D3321" i="1"/>
  <c r="L3321" i="1" s="1"/>
  <c r="K3320" i="1"/>
  <c r="N3320" i="1" s="1"/>
  <c r="J3320" i="1"/>
  <c r="M3320" i="1" s="1"/>
  <c r="G3320" i="1"/>
  <c r="H3321" i="1" s="1"/>
  <c r="F3320" i="1"/>
  <c r="D3320" i="1"/>
  <c r="L3320" i="1" s="1"/>
  <c r="K3319" i="1"/>
  <c r="N3319" i="1" s="1"/>
  <c r="J3319" i="1"/>
  <c r="M3319" i="1" s="1"/>
  <c r="G3319" i="1"/>
  <c r="H3320" i="1" s="1"/>
  <c r="F3319" i="1"/>
  <c r="D3319" i="1"/>
  <c r="L3319" i="1" s="1"/>
  <c r="K3318" i="1"/>
  <c r="N3318" i="1" s="1"/>
  <c r="J3318" i="1"/>
  <c r="M3318" i="1" s="1"/>
  <c r="G3318" i="1"/>
  <c r="H3319" i="1" s="1"/>
  <c r="F3318" i="1"/>
  <c r="D3318" i="1"/>
  <c r="L3318" i="1" s="1"/>
  <c r="K3317" i="1"/>
  <c r="N3317" i="1" s="1"/>
  <c r="J3317" i="1"/>
  <c r="M3317" i="1" s="1"/>
  <c r="G3317" i="1"/>
  <c r="H3318" i="1" s="1"/>
  <c r="F3317" i="1"/>
  <c r="D3317" i="1"/>
  <c r="L3317" i="1" s="1"/>
  <c r="K3316" i="1"/>
  <c r="N3316" i="1" s="1"/>
  <c r="J3316" i="1"/>
  <c r="M3316" i="1" s="1"/>
  <c r="G3316" i="1"/>
  <c r="H3317" i="1" s="1"/>
  <c r="F3316" i="1"/>
  <c r="D3316" i="1"/>
  <c r="L3316" i="1" s="1"/>
  <c r="K3315" i="1"/>
  <c r="N3315" i="1" s="1"/>
  <c r="J3315" i="1"/>
  <c r="M3315" i="1" s="1"/>
  <c r="G3315" i="1"/>
  <c r="H3316" i="1" s="1"/>
  <c r="F3315" i="1"/>
  <c r="D3315" i="1"/>
  <c r="L3315" i="1" s="1"/>
  <c r="K3314" i="1"/>
  <c r="N3314" i="1" s="1"/>
  <c r="J3314" i="1"/>
  <c r="M3314" i="1" s="1"/>
  <c r="G3314" i="1"/>
  <c r="H3315" i="1" s="1"/>
  <c r="F3314" i="1"/>
  <c r="D3314" i="1"/>
  <c r="L3314" i="1" s="1"/>
  <c r="K3313" i="1"/>
  <c r="N3313" i="1" s="1"/>
  <c r="J3313" i="1"/>
  <c r="M3313" i="1" s="1"/>
  <c r="G3313" i="1"/>
  <c r="H3314" i="1" s="1"/>
  <c r="F3313" i="1"/>
  <c r="D3313" i="1"/>
  <c r="L3313" i="1" s="1"/>
  <c r="K3312" i="1"/>
  <c r="N3312" i="1" s="1"/>
  <c r="J3312" i="1"/>
  <c r="M3312" i="1" s="1"/>
  <c r="G3312" i="1"/>
  <c r="H3313" i="1" s="1"/>
  <c r="F3312" i="1"/>
  <c r="D3312" i="1"/>
  <c r="L3312" i="1" s="1"/>
  <c r="K3311" i="1"/>
  <c r="N3311" i="1" s="1"/>
  <c r="J3311" i="1"/>
  <c r="M3311" i="1" s="1"/>
  <c r="G3311" i="1"/>
  <c r="H3312" i="1" s="1"/>
  <c r="F3311" i="1"/>
  <c r="D3311" i="1"/>
  <c r="L3311" i="1" s="1"/>
  <c r="K3310" i="1"/>
  <c r="N3310" i="1" s="1"/>
  <c r="J3310" i="1"/>
  <c r="M3310" i="1" s="1"/>
  <c r="G3310" i="1"/>
  <c r="H3311" i="1" s="1"/>
  <c r="F3310" i="1"/>
  <c r="D3310" i="1"/>
  <c r="L3310" i="1" s="1"/>
  <c r="K3309" i="1"/>
  <c r="N3309" i="1" s="1"/>
  <c r="J3309" i="1"/>
  <c r="M3309" i="1" s="1"/>
  <c r="G3309" i="1"/>
  <c r="H3310" i="1" s="1"/>
  <c r="F3309" i="1"/>
  <c r="D3309" i="1"/>
  <c r="L3309" i="1" s="1"/>
  <c r="K3308" i="1"/>
  <c r="N3308" i="1" s="1"/>
  <c r="J3308" i="1"/>
  <c r="M3308" i="1" s="1"/>
  <c r="G3308" i="1"/>
  <c r="H3309" i="1" s="1"/>
  <c r="F3308" i="1"/>
  <c r="D3308" i="1"/>
  <c r="L3308" i="1" s="1"/>
  <c r="K3307" i="1"/>
  <c r="N3307" i="1" s="1"/>
  <c r="J3307" i="1"/>
  <c r="M3307" i="1" s="1"/>
  <c r="G3307" i="1"/>
  <c r="H3308" i="1" s="1"/>
  <c r="F3307" i="1"/>
  <c r="D3307" i="1"/>
  <c r="L3307" i="1" s="1"/>
  <c r="K3306" i="1"/>
  <c r="N3306" i="1" s="1"/>
  <c r="J3306" i="1"/>
  <c r="M3306" i="1" s="1"/>
  <c r="G3306" i="1"/>
  <c r="H3307" i="1" s="1"/>
  <c r="F3306" i="1"/>
  <c r="D3306" i="1"/>
  <c r="L3306" i="1" s="1"/>
  <c r="K3305" i="1"/>
  <c r="N3305" i="1" s="1"/>
  <c r="J3305" i="1"/>
  <c r="M3305" i="1" s="1"/>
  <c r="G3305" i="1"/>
  <c r="H3306" i="1" s="1"/>
  <c r="F3305" i="1"/>
  <c r="D3305" i="1"/>
  <c r="L3305" i="1" s="1"/>
  <c r="K3304" i="1"/>
  <c r="N3304" i="1" s="1"/>
  <c r="J3304" i="1"/>
  <c r="M3304" i="1" s="1"/>
  <c r="G3304" i="1"/>
  <c r="H3305" i="1" s="1"/>
  <c r="F3304" i="1"/>
  <c r="D3304" i="1"/>
  <c r="L3304" i="1" s="1"/>
  <c r="K3303" i="1"/>
  <c r="N3303" i="1" s="1"/>
  <c r="J3303" i="1"/>
  <c r="M3303" i="1" s="1"/>
  <c r="G3303" i="1"/>
  <c r="H3304" i="1" s="1"/>
  <c r="F3303" i="1"/>
  <c r="D3303" i="1"/>
  <c r="L3303" i="1" s="1"/>
  <c r="K3302" i="1"/>
  <c r="N3302" i="1" s="1"/>
  <c r="J3302" i="1"/>
  <c r="M3302" i="1" s="1"/>
  <c r="G3302" i="1"/>
  <c r="H3303" i="1" s="1"/>
  <c r="F3302" i="1"/>
  <c r="D3302" i="1"/>
  <c r="L3302" i="1" s="1"/>
  <c r="K3301" i="1"/>
  <c r="N3301" i="1" s="1"/>
  <c r="J3301" i="1"/>
  <c r="M3301" i="1" s="1"/>
  <c r="G3301" i="1"/>
  <c r="H3302" i="1" s="1"/>
  <c r="F3301" i="1"/>
  <c r="D3301" i="1"/>
  <c r="L3301" i="1" s="1"/>
  <c r="K3300" i="1"/>
  <c r="N3300" i="1" s="1"/>
  <c r="J3300" i="1"/>
  <c r="M3300" i="1" s="1"/>
  <c r="G3300" i="1"/>
  <c r="H3301" i="1" s="1"/>
  <c r="F3300" i="1"/>
  <c r="D3300" i="1"/>
  <c r="L3300" i="1" s="1"/>
  <c r="K3299" i="1"/>
  <c r="N3299" i="1" s="1"/>
  <c r="J3299" i="1"/>
  <c r="M3299" i="1" s="1"/>
  <c r="G3299" i="1"/>
  <c r="H3300" i="1" s="1"/>
  <c r="F3299" i="1"/>
  <c r="D3299" i="1"/>
  <c r="L3299" i="1" s="1"/>
  <c r="K3298" i="1"/>
  <c r="N3298" i="1" s="1"/>
  <c r="J3298" i="1"/>
  <c r="M3298" i="1" s="1"/>
  <c r="G3298" i="1"/>
  <c r="H3299" i="1" s="1"/>
  <c r="F3298" i="1"/>
  <c r="D3298" i="1"/>
  <c r="L3298" i="1" s="1"/>
  <c r="K3297" i="1"/>
  <c r="N3297" i="1" s="1"/>
  <c r="J3297" i="1"/>
  <c r="M3297" i="1" s="1"/>
  <c r="G3297" i="1"/>
  <c r="H3298" i="1" s="1"/>
  <c r="F3297" i="1"/>
  <c r="D3297" i="1"/>
  <c r="L3297" i="1" s="1"/>
  <c r="K3296" i="1"/>
  <c r="N3296" i="1" s="1"/>
  <c r="J3296" i="1"/>
  <c r="M3296" i="1" s="1"/>
  <c r="G3296" i="1"/>
  <c r="H3297" i="1" s="1"/>
  <c r="F3296" i="1"/>
  <c r="D3296" i="1"/>
  <c r="L3296" i="1" s="1"/>
  <c r="K3295" i="1"/>
  <c r="N3295" i="1" s="1"/>
  <c r="J3295" i="1"/>
  <c r="M3295" i="1" s="1"/>
  <c r="G3295" i="1"/>
  <c r="H3296" i="1" s="1"/>
  <c r="F3295" i="1"/>
  <c r="D3295" i="1"/>
  <c r="L3295" i="1" s="1"/>
  <c r="K3294" i="1"/>
  <c r="N3294" i="1" s="1"/>
  <c r="J3294" i="1"/>
  <c r="M3294" i="1" s="1"/>
  <c r="G3294" i="1"/>
  <c r="H3295" i="1" s="1"/>
  <c r="F3294" i="1"/>
  <c r="D3294" i="1"/>
  <c r="L3294" i="1" s="1"/>
  <c r="K3293" i="1"/>
  <c r="N3293" i="1" s="1"/>
  <c r="J3293" i="1"/>
  <c r="M3293" i="1" s="1"/>
  <c r="G3293" i="1"/>
  <c r="H3294" i="1" s="1"/>
  <c r="F3293" i="1"/>
  <c r="D3293" i="1"/>
  <c r="L3293" i="1" s="1"/>
  <c r="K3292" i="1"/>
  <c r="N3292" i="1" s="1"/>
  <c r="J3292" i="1"/>
  <c r="M3292" i="1" s="1"/>
  <c r="G3292" i="1"/>
  <c r="H3293" i="1" s="1"/>
  <c r="F3292" i="1"/>
  <c r="D3292" i="1"/>
  <c r="L3292" i="1" s="1"/>
  <c r="K3291" i="1"/>
  <c r="N3291" i="1" s="1"/>
  <c r="J3291" i="1"/>
  <c r="M3291" i="1" s="1"/>
  <c r="G3291" i="1"/>
  <c r="H3292" i="1" s="1"/>
  <c r="F3291" i="1"/>
  <c r="D3291" i="1"/>
  <c r="L3291" i="1" s="1"/>
  <c r="K3290" i="1"/>
  <c r="N3290" i="1" s="1"/>
  <c r="J3290" i="1"/>
  <c r="M3290" i="1" s="1"/>
  <c r="G3290" i="1"/>
  <c r="H3291" i="1" s="1"/>
  <c r="F3290" i="1"/>
  <c r="D3290" i="1"/>
  <c r="L3290" i="1" s="1"/>
  <c r="K3289" i="1"/>
  <c r="N3289" i="1" s="1"/>
  <c r="J3289" i="1"/>
  <c r="M3289" i="1" s="1"/>
  <c r="G3289" i="1"/>
  <c r="H3290" i="1" s="1"/>
  <c r="F3289" i="1"/>
  <c r="D3289" i="1"/>
  <c r="L3289" i="1" s="1"/>
  <c r="K3288" i="1"/>
  <c r="N3288" i="1" s="1"/>
  <c r="J3288" i="1"/>
  <c r="M3288" i="1" s="1"/>
  <c r="G3288" i="1"/>
  <c r="H3289" i="1" s="1"/>
  <c r="F3288" i="1"/>
  <c r="D3288" i="1"/>
  <c r="L3288" i="1" s="1"/>
  <c r="K3287" i="1"/>
  <c r="N3287" i="1" s="1"/>
  <c r="J3287" i="1"/>
  <c r="M3287" i="1" s="1"/>
  <c r="G3287" i="1"/>
  <c r="H3288" i="1" s="1"/>
  <c r="F3287" i="1"/>
  <c r="D3287" i="1"/>
  <c r="L3287" i="1" s="1"/>
  <c r="K3286" i="1"/>
  <c r="N3286" i="1" s="1"/>
  <c r="J3286" i="1"/>
  <c r="M3286" i="1" s="1"/>
  <c r="G3286" i="1"/>
  <c r="H3287" i="1" s="1"/>
  <c r="F3286" i="1"/>
  <c r="D3286" i="1"/>
  <c r="L3286" i="1" s="1"/>
  <c r="K3285" i="1"/>
  <c r="N3285" i="1" s="1"/>
  <c r="J3285" i="1"/>
  <c r="M3285" i="1" s="1"/>
  <c r="G3285" i="1"/>
  <c r="H3286" i="1" s="1"/>
  <c r="F3285" i="1"/>
  <c r="D3285" i="1"/>
  <c r="L3285" i="1" s="1"/>
  <c r="K3284" i="1"/>
  <c r="N3284" i="1" s="1"/>
  <c r="J3284" i="1"/>
  <c r="M3284" i="1" s="1"/>
  <c r="G3284" i="1"/>
  <c r="H3285" i="1" s="1"/>
  <c r="F3284" i="1"/>
  <c r="D3284" i="1"/>
  <c r="L3284" i="1" s="1"/>
  <c r="K3283" i="1"/>
  <c r="N3283" i="1" s="1"/>
  <c r="J3283" i="1"/>
  <c r="M3283" i="1" s="1"/>
  <c r="G3283" i="1"/>
  <c r="H3284" i="1" s="1"/>
  <c r="F3283" i="1"/>
  <c r="D3283" i="1"/>
  <c r="L3283" i="1" s="1"/>
  <c r="K3282" i="1"/>
  <c r="N3282" i="1" s="1"/>
  <c r="J3282" i="1"/>
  <c r="M3282" i="1" s="1"/>
  <c r="G3282" i="1"/>
  <c r="H3283" i="1" s="1"/>
  <c r="F3282" i="1"/>
  <c r="D3282" i="1"/>
  <c r="L3282" i="1" s="1"/>
  <c r="K3281" i="1"/>
  <c r="N3281" i="1" s="1"/>
  <c r="J3281" i="1"/>
  <c r="M3281" i="1" s="1"/>
  <c r="G3281" i="1"/>
  <c r="H3282" i="1" s="1"/>
  <c r="F3281" i="1"/>
  <c r="D3281" i="1"/>
  <c r="L3281" i="1" s="1"/>
  <c r="K3280" i="1"/>
  <c r="N3280" i="1" s="1"/>
  <c r="J3280" i="1"/>
  <c r="M3280" i="1" s="1"/>
  <c r="G3280" i="1"/>
  <c r="H3281" i="1" s="1"/>
  <c r="F3280" i="1"/>
  <c r="D3280" i="1"/>
  <c r="L3280" i="1" s="1"/>
  <c r="K3279" i="1"/>
  <c r="N3279" i="1" s="1"/>
  <c r="J3279" i="1"/>
  <c r="M3279" i="1" s="1"/>
  <c r="G3279" i="1"/>
  <c r="H3280" i="1" s="1"/>
  <c r="F3279" i="1"/>
  <c r="D3279" i="1"/>
  <c r="L3279" i="1" s="1"/>
  <c r="K3278" i="1"/>
  <c r="N3278" i="1" s="1"/>
  <c r="J3278" i="1"/>
  <c r="M3278" i="1" s="1"/>
  <c r="G3278" i="1"/>
  <c r="H3279" i="1" s="1"/>
  <c r="F3278" i="1"/>
  <c r="D3278" i="1"/>
  <c r="L3278" i="1" s="1"/>
  <c r="K3277" i="1"/>
  <c r="N3277" i="1" s="1"/>
  <c r="J3277" i="1"/>
  <c r="M3277" i="1" s="1"/>
  <c r="G3277" i="1"/>
  <c r="H3278" i="1" s="1"/>
  <c r="F3277" i="1"/>
  <c r="D3277" i="1"/>
  <c r="L3277" i="1" s="1"/>
  <c r="K3276" i="1"/>
  <c r="N3276" i="1" s="1"/>
  <c r="J3276" i="1"/>
  <c r="M3276" i="1" s="1"/>
  <c r="G3276" i="1"/>
  <c r="H3277" i="1" s="1"/>
  <c r="F3276" i="1"/>
  <c r="D3276" i="1"/>
  <c r="L3276" i="1" s="1"/>
  <c r="K3275" i="1"/>
  <c r="N3275" i="1" s="1"/>
  <c r="J3275" i="1"/>
  <c r="M3275" i="1" s="1"/>
  <c r="G3275" i="1"/>
  <c r="H3276" i="1" s="1"/>
  <c r="F3275" i="1"/>
  <c r="D3275" i="1"/>
  <c r="L3275" i="1" s="1"/>
  <c r="K3274" i="1"/>
  <c r="N3274" i="1" s="1"/>
  <c r="J3274" i="1"/>
  <c r="M3274" i="1" s="1"/>
  <c r="G3274" i="1"/>
  <c r="H3275" i="1" s="1"/>
  <c r="F3274" i="1"/>
  <c r="D3274" i="1"/>
  <c r="L3274" i="1" s="1"/>
  <c r="K3273" i="1"/>
  <c r="N3273" i="1" s="1"/>
  <c r="J3273" i="1"/>
  <c r="M3273" i="1" s="1"/>
  <c r="G3273" i="1"/>
  <c r="H3274" i="1" s="1"/>
  <c r="F3273" i="1"/>
  <c r="D3273" i="1"/>
  <c r="L3273" i="1" s="1"/>
  <c r="K3272" i="1"/>
  <c r="N3272" i="1" s="1"/>
  <c r="J3272" i="1"/>
  <c r="M3272" i="1" s="1"/>
  <c r="G3272" i="1"/>
  <c r="H3273" i="1" s="1"/>
  <c r="F3272" i="1"/>
  <c r="D3272" i="1"/>
  <c r="L3272" i="1" s="1"/>
  <c r="K3271" i="1"/>
  <c r="N3271" i="1" s="1"/>
  <c r="J3271" i="1"/>
  <c r="M3271" i="1" s="1"/>
  <c r="G3271" i="1"/>
  <c r="H3272" i="1" s="1"/>
  <c r="F3271" i="1"/>
  <c r="D3271" i="1"/>
  <c r="L3271" i="1" s="1"/>
  <c r="K3270" i="1"/>
  <c r="N3270" i="1" s="1"/>
  <c r="J3270" i="1"/>
  <c r="M3270" i="1" s="1"/>
  <c r="G3270" i="1"/>
  <c r="H3271" i="1" s="1"/>
  <c r="F3270" i="1"/>
  <c r="D3270" i="1"/>
  <c r="L3270" i="1" s="1"/>
  <c r="K3269" i="1"/>
  <c r="N3269" i="1" s="1"/>
  <c r="J3269" i="1"/>
  <c r="M3269" i="1" s="1"/>
  <c r="G3269" i="1"/>
  <c r="H3270" i="1" s="1"/>
  <c r="F3269" i="1"/>
  <c r="D3269" i="1"/>
  <c r="L3269" i="1" s="1"/>
  <c r="K3268" i="1"/>
  <c r="N3268" i="1" s="1"/>
  <c r="J3268" i="1"/>
  <c r="M3268" i="1" s="1"/>
  <c r="G3268" i="1"/>
  <c r="H3269" i="1" s="1"/>
  <c r="F3268" i="1"/>
  <c r="D3268" i="1"/>
  <c r="L3268" i="1" s="1"/>
  <c r="K3267" i="1"/>
  <c r="N3267" i="1" s="1"/>
  <c r="J3267" i="1"/>
  <c r="M3267" i="1" s="1"/>
  <c r="G3267" i="1"/>
  <c r="H3268" i="1" s="1"/>
  <c r="F3267" i="1"/>
  <c r="D3267" i="1"/>
  <c r="L3267" i="1" s="1"/>
  <c r="K3266" i="1"/>
  <c r="N3266" i="1" s="1"/>
  <c r="J3266" i="1"/>
  <c r="M3266" i="1" s="1"/>
  <c r="G3266" i="1"/>
  <c r="H3267" i="1" s="1"/>
  <c r="F3266" i="1"/>
  <c r="D3266" i="1"/>
  <c r="L3266" i="1" s="1"/>
  <c r="K3265" i="1"/>
  <c r="N3265" i="1" s="1"/>
  <c r="J3265" i="1"/>
  <c r="M3265" i="1" s="1"/>
  <c r="G3265" i="1"/>
  <c r="H3266" i="1" s="1"/>
  <c r="F3265" i="1"/>
  <c r="D3265" i="1"/>
  <c r="L3265" i="1" s="1"/>
  <c r="K3264" i="1"/>
  <c r="N3264" i="1" s="1"/>
  <c r="J3264" i="1"/>
  <c r="M3264" i="1" s="1"/>
  <c r="G3264" i="1"/>
  <c r="H3265" i="1" s="1"/>
  <c r="F3264" i="1"/>
  <c r="D3264" i="1"/>
  <c r="L3264" i="1" s="1"/>
  <c r="K3263" i="1"/>
  <c r="N3263" i="1" s="1"/>
  <c r="J3263" i="1"/>
  <c r="M3263" i="1" s="1"/>
  <c r="G3263" i="1"/>
  <c r="H3264" i="1" s="1"/>
  <c r="F3263" i="1"/>
  <c r="D3263" i="1"/>
  <c r="L3263" i="1" s="1"/>
  <c r="K3262" i="1"/>
  <c r="N3262" i="1" s="1"/>
  <c r="J3262" i="1"/>
  <c r="M3262" i="1" s="1"/>
  <c r="G3262" i="1"/>
  <c r="H3263" i="1" s="1"/>
  <c r="F3262" i="1"/>
  <c r="D3262" i="1"/>
  <c r="L3262" i="1" s="1"/>
  <c r="K3261" i="1"/>
  <c r="N3261" i="1" s="1"/>
  <c r="J3261" i="1"/>
  <c r="M3261" i="1" s="1"/>
  <c r="G3261" i="1"/>
  <c r="H3262" i="1" s="1"/>
  <c r="F3261" i="1"/>
  <c r="D3261" i="1"/>
  <c r="L3261" i="1" s="1"/>
  <c r="K3260" i="1"/>
  <c r="N3260" i="1" s="1"/>
  <c r="J3260" i="1"/>
  <c r="M3260" i="1" s="1"/>
  <c r="G3260" i="1"/>
  <c r="H3261" i="1" s="1"/>
  <c r="F3260" i="1"/>
  <c r="D3260" i="1"/>
  <c r="L3260" i="1" s="1"/>
  <c r="K3259" i="1"/>
  <c r="N3259" i="1" s="1"/>
  <c r="J3259" i="1"/>
  <c r="M3259" i="1" s="1"/>
  <c r="G3259" i="1"/>
  <c r="H3260" i="1" s="1"/>
  <c r="F3259" i="1"/>
  <c r="D3259" i="1"/>
  <c r="L3259" i="1" s="1"/>
  <c r="K3258" i="1"/>
  <c r="N3258" i="1" s="1"/>
  <c r="J3258" i="1"/>
  <c r="M3258" i="1" s="1"/>
  <c r="G3258" i="1"/>
  <c r="H3259" i="1" s="1"/>
  <c r="F3258" i="1"/>
  <c r="D3258" i="1"/>
  <c r="L3258" i="1" s="1"/>
  <c r="K3257" i="1"/>
  <c r="N3257" i="1" s="1"/>
  <c r="J3257" i="1"/>
  <c r="M3257" i="1" s="1"/>
  <c r="G3257" i="1"/>
  <c r="H3258" i="1" s="1"/>
  <c r="F3257" i="1"/>
  <c r="D3257" i="1"/>
  <c r="L3257" i="1" s="1"/>
  <c r="K3256" i="1"/>
  <c r="N3256" i="1" s="1"/>
  <c r="J3256" i="1"/>
  <c r="M3256" i="1" s="1"/>
  <c r="G3256" i="1"/>
  <c r="H3257" i="1" s="1"/>
  <c r="F3256" i="1"/>
  <c r="D3256" i="1"/>
  <c r="L3256" i="1" s="1"/>
  <c r="K3255" i="1"/>
  <c r="N3255" i="1" s="1"/>
  <c r="J3255" i="1"/>
  <c r="M3255" i="1" s="1"/>
  <c r="G3255" i="1"/>
  <c r="H3256" i="1" s="1"/>
  <c r="F3255" i="1"/>
  <c r="D3255" i="1"/>
  <c r="L3255" i="1" s="1"/>
  <c r="K3254" i="1"/>
  <c r="N3254" i="1" s="1"/>
  <c r="J3254" i="1"/>
  <c r="M3254" i="1" s="1"/>
  <c r="G3254" i="1"/>
  <c r="H3255" i="1" s="1"/>
  <c r="F3254" i="1"/>
  <c r="D3254" i="1"/>
  <c r="L3254" i="1" s="1"/>
  <c r="K3253" i="1"/>
  <c r="N3253" i="1" s="1"/>
  <c r="J3253" i="1"/>
  <c r="M3253" i="1" s="1"/>
  <c r="G3253" i="1"/>
  <c r="H3254" i="1" s="1"/>
  <c r="F3253" i="1"/>
  <c r="D3253" i="1"/>
  <c r="L3253" i="1" s="1"/>
  <c r="K3252" i="1"/>
  <c r="N3252" i="1" s="1"/>
  <c r="J3252" i="1"/>
  <c r="M3252" i="1" s="1"/>
  <c r="G3252" i="1"/>
  <c r="H3253" i="1" s="1"/>
  <c r="F3252" i="1"/>
  <c r="D3252" i="1"/>
  <c r="L3252" i="1" s="1"/>
  <c r="K3251" i="1"/>
  <c r="N3251" i="1" s="1"/>
  <c r="J3251" i="1"/>
  <c r="M3251" i="1" s="1"/>
  <c r="G3251" i="1"/>
  <c r="H3252" i="1" s="1"/>
  <c r="F3251" i="1"/>
  <c r="D3251" i="1"/>
  <c r="L3251" i="1" s="1"/>
  <c r="K3250" i="1"/>
  <c r="N3250" i="1" s="1"/>
  <c r="J3250" i="1"/>
  <c r="M3250" i="1" s="1"/>
  <c r="G3250" i="1"/>
  <c r="H3251" i="1" s="1"/>
  <c r="F3250" i="1"/>
  <c r="D3250" i="1"/>
  <c r="L3250" i="1" s="1"/>
  <c r="K3249" i="1"/>
  <c r="N3249" i="1" s="1"/>
  <c r="J3249" i="1"/>
  <c r="M3249" i="1" s="1"/>
  <c r="G3249" i="1"/>
  <c r="H3250" i="1" s="1"/>
  <c r="F3249" i="1"/>
  <c r="D3249" i="1"/>
  <c r="L3249" i="1" s="1"/>
  <c r="K3248" i="1"/>
  <c r="N3248" i="1" s="1"/>
  <c r="J3248" i="1"/>
  <c r="M3248" i="1" s="1"/>
  <c r="G3248" i="1"/>
  <c r="H3249" i="1" s="1"/>
  <c r="F3248" i="1"/>
  <c r="D3248" i="1"/>
  <c r="L3248" i="1" s="1"/>
  <c r="K3247" i="1"/>
  <c r="N3247" i="1" s="1"/>
  <c r="J3247" i="1"/>
  <c r="M3247" i="1" s="1"/>
  <c r="G3247" i="1"/>
  <c r="H3248" i="1" s="1"/>
  <c r="F3247" i="1"/>
  <c r="D3247" i="1"/>
  <c r="L3247" i="1" s="1"/>
  <c r="K3246" i="1"/>
  <c r="N3246" i="1" s="1"/>
  <c r="J3246" i="1"/>
  <c r="M3246" i="1" s="1"/>
  <c r="G3246" i="1"/>
  <c r="H3247" i="1" s="1"/>
  <c r="F3246" i="1"/>
  <c r="D3246" i="1"/>
  <c r="L3246" i="1" s="1"/>
  <c r="K3245" i="1"/>
  <c r="N3245" i="1" s="1"/>
  <c r="J3245" i="1"/>
  <c r="M3245" i="1" s="1"/>
  <c r="G3245" i="1"/>
  <c r="H3246" i="1" s="1"/>
  <c r="F3245" i="1"/>
  <c r="D3245" i="1"/>
  <c r="L3245" i="1" s="1"/>
  <c r="K3244" i="1"/>
  <c r="N3244" i="1" s="1"/>
  <c r="J3244" i="1"/>
  <c r="M3244" i="1" s="1"/>
  <c r="G3244" i="1"/>
  <c r="H3245" i="1" s="1"/>
  <c r="F3244" i="1"/>
  <c r="D3244" i="1"/>
  <c r="L3244" i="1" s="1"/>
  <c r="K3243" i="1"/>
  <c r="N3243" i="1" s="1"/>
  <c r="J3243" i="1"/>
  <c r="M3243" i="1" s="1"/>
  <c r="G3243" i="1"/>
  <c r="H3244" i="1" s="1"/>
  <c r="F3243" i="1"/>
  <c r="D3243" i="1"/>
  <c r="L3243" i="1" s="1"/>
  <c r="K3242" i="1"/>
  <c r="N3242" i="1" s="1"/>
  <c r="J3242" i="1"/>
  <c r="M3242" i="1" s="1"/>
  <c r="G3242" i="1"/>
  <c r="H3243" i="1" s="1"/>
  <c r="F3242" i="1"/>
  <c r="D3242" i="1"/>
  <c r="L3242" i="1" s="1"/>
  <c r="K3241" i="1"/>
  <c r="N3241" i="1" s="1"/>
  <c r="J3241" i="1"/>
  <c r="M3241" i="1" s="1"/>
  <c r="G3241" i="1"/>
  <c r="H3242" i="1" s="1"/>
  <c r="F3241" i="1"/>
  <c r="D3241" i="1"/>
  <c r="L3241" i="1" s="1"/>
  <c r="K3240" i="1"/>
  <c r="N3240" i="1" s="1"/>
  <c r="J3240" i="1"/>
  <c r="M3240" i="1" s="1"/>
  <c r="G3240" i="1"/>
  <c r="H3241" i="1" s="1"/>
  <c r="F3240" i="1"/>
  <c r="D3240" i="1"/>
  <c r="L3240" i="1" s="1"/>
  <c r="K3239" i="1"/>
  <c r="N3239" i="1" s="1"/>
  <c r="J3239" i="1"/>
  <c r="M3239" i="1" s="1"/>
  <c r="G3239" i="1"/>
  <c r="H3240" i="1" s="1"/>
  <c r="F3239" i="1"/>
  <c r="D3239" i="1"/>
  <c r="L3239" i="1" s="1"/>
  <c r="K3238" i="1"/>
  <c r="N3238" i="1" s="1"/>
  <c r="J3238" i="1"/>
  <c r="M3238" i="1" s="1"/>
  <c r="G3238" i="1"/>
  <c r="H3239" i="1" s="1"/>
  <c r="F3238" i="1"/>
  <c r="D3238" i="1"/>
  <c r="L3238" i="1" s="1"/>
  <c r="K3237" i="1"/>
  <c r="N3237" i="1" s="1"/>
  <c r="J3237" i="1"/>
  <c r="M3237" i="1" s="1"/>
  <c r="G3237" i="1"/>
  <c r="H3238" i="1" s="1"/>
  <c r="F3237" i="1"/>
  <c r="D3237" i="1"/>
  <c r="L3237" i="1" s="1"/>
  <c r="K3236" i="1"/>
  <c r="N3236" i="1" s="1"/>
  <c r="J3236" i="1"/>
  <c r="M3236" i="1" s="1"/>
  <c r="G3236" i="1"/>
  <c r="H3237" i="1" s="1"/>
  <c r="F3236" i="1"/>
  <c r="D3236" i="1"/>
  <c r="L3236" i="1" s="1"/>
  <c r="K3235" i="1"/>
  <c r="N3235" i="1" s="1"/>
  <c r="J3235" i="1"/>
  <c r="M3235" i="1" s="1"/>
  <c r="G3235" i="1"/>
  <c r="H3236" i="1" s="1"/>
  <c r="F3235" i="1"/>
  <c r="D3235" i="1"/>
  <c r="L3235" i="1" s="1"/>
  <c r="K3234" i="1"/>
  <c r="N3234" i="1" s="1"/>
  <c r="J3234" i="1"/>
  <c r="M3234" i="1" s="1"/>
  <c r="G3234" i="1"/>
  <c r="H3235" i="1" s="1"/>
  <c r="F3234" i="1"/>
  <c r="D3234" i="1"/>
  <c r="L3234" i="1" s="1"/>
  <c r="K3233" i="1"/>
  <c r="N3233" i="1" s="1"/>
  <c r="J3233" i="1"/>
  <c r="M3233" i="1" s="1"/>
  <c r="G3233" i="1"/>
  <c r="H3234" i="1" s="1"/>
  <c r="F3233" i="1"/>
  <c r="D3233" i="1"/>
  <c r="L3233" i="1" s="1"/>
  <c r="K3232" i="1"/>
  <c r="N3232" i="1" s="1"/>
  <c r="J3232" i="1"/>
  <c r="M3232" i="1" s="1"/>
  <c r="G3232" i="1"/>
  <c r="H3233" i="1" s="1"/>
  <c r="F3232" i="1"/>
  <c r="D3232" i="1"/>
  <c r="L3232" i="1" s="1"/>
  <c r="K3231" i="1"/>
  <c r="N3231" i="1" s="1"/>
  <c r="J3231" i="1"/>
  <c r="M3231" i="1" s="1"/>
  <c r="G3231" i="1"/>
  <c r="H3232" i="1" s="1"/>
  <c r="F3231" i="1"/>
  <c r="D3231" i="1"/>
  <c r="L3231" i="1" s="1"/>
  <c r="K3230" i="1"/>
  <c r="N3230" i="1" s="1"/>
  <c r="J3230" i="1"/>
  <c r="M3230" i="1" s="1"/>
  <c r="G3230" i="1"/>
  <c r="H3231" i="1" s="1"/>
  <c r="F3230" i="1"/>
  <c r="D3230" i="1"/>
  <c r="L3230" i="1" s="1"/>
  <c r="K3229" i="1"/>
  <c r="N3229" i="1" s="1"/>
  <c r="J3229" i="1"/>
  <c r="M3229" i="1" s="1"/>
  <c r="G3229" i="1"/>
  <c r="H3230" i="1" s="1"/>
  <c r="F3229" i="1"/>
  <c r="D3229" i="1"/>
  <c r="L3229" i="1" s="1"/>
  <c r="K3228" i="1"/>
  <c r="N3228" i="1" s="1"/>
  <c r="J3228" i="1"/>
  <c r="M3228" i="1" s="1"/>
  <c r="G3228" i="1"/>
  <c r="H3229" i="1" s="1"/>
  <c r="F3228" i="1"/>
  <c r="D3228" i="1"/>
  <c r="L3228" i="1" s="1"/>
  <c r="K3227" i="1"/>
  <c r="N3227" i="1" s="1"/>
  <c r="J3227" i="1"/>
  <c r="M3227" i="1" s="1"/>
  <c r="G3227" i="1"/>
  <c r="H3228" i="1" s="1"/>
  <c r="F3227" i="1"/>
  <c r="D3227" i="1"/>
  <c r="L3227" i="1" s="1"/>
  <c r="K3226" i="1"/>
  <c r="N3226" i="1" s="1"/>
  <c r="J3226" i="1"/>
  <c r="M3226" i="1" s="1"/>
  <c r="G3226" i="1"/>
  <c r="H3227" i="1" s="1"/>
  <c r="F3226" i="1"/>
  <c r="D3226" i="1"/>
  <c r="L3226" i="1" s="1"/>
  <c r="K3225" i="1"/>
  <c r="N3225" i="1" s="1"/>
  <c r="J3225" i="1"/>
  <c r="M3225" i="1" s="1"/>
  <c r="G3225" i="1"/>
  <c r="H3226" i="1" s="1"/>
  <c r="F3225" i="1"/>
  <c r="D3225" i="1"/>
  <c r="L3225" i="1" s="1"/>
  <c r="K3224" i="1"/>
  <c r="N3224" i="1" s="1"/>
  <c r="J3224" i="1"/>
  <c r="M3224" i="1" s="1"/>
  <c r="G3224" i="1"/>
  <c r="H3225" i="1" s="1"/>
  <c r="F3224" i="1"/>
  <c r="D3224" i="1"/>
  <c r="L3224" i="1" s="1"/>
  <c r="K3223" i="1"/>
  <c r="N3223" i="1" s="1"/>
  <c r="J3223" i="1"/>
  <c r="M3223" i="1" s="1"/>
  <c r="G3223" i="1"/>
  <c r="H3224" i="1" s="1"/>
  <c r="F3223" i="1"/>
  <c r="D3223" i="1"/>
  <c r="L3223" i="1" s="1"/>
  <c r="K3222" i="1"/>
  <c r="N3222" i="1" s="1"/>
  <c r="J3222" i="1"/>
  <c r="M3222" i="1" s="1"/>
  <c r="G3222" i="1"/>
  <c r="H3223" i="1" s="1"/>
  <c r="F3222" i="1"/>
  <c r="D3222" i="1"/>
  <c r="L3222" i="1" s="1"/>
  <c r="K3221" i="1"/>
  <c r="N3221" i="1" s="1"/>
  <c r="J3221" i="1"/>
  <c r="M3221" i="1" s="1"/>
  <c r="G3221" i="1"/>
  <c r="H3222" i="1" s="1"/>
  <c r="F3221" i="1"/>
  <c r="D3221" i="1"/>
  <c r="L3221" i="1" s="1"/>
  <c r="K3220" i="1"/>
  <c r="N3220" i="1" s="1"/>
  <c r="J3220" i="1"/>
  <c r="M3220" i="1" s="1"/>
  <c r="G3220" i="1"/>
  <c r="H3221" i="1" s="1"/>
  <c r="F3220" i="1"/>
  <c r="D3220" i="1"/>
  <c r="L3220" i="1" s="1"/>
  <c r="K3219" i="1"/>
  <c r="N3219" i="1" s="1"/>
  <c r="J3219" i="1"/>
  <c r="M3219" i="1" s="1"/>
  <c r="G3219" i="1"/>
  <c r="H3220" i="1" s="1"/>
  <c r="F3219" i="1"/>
  <c r="D3219" i="1"/>
  <c r="L3219" i="1" s="1"/>
  <c r="K3218" i="1"/>
  <c r="N3218" i="1" s="1"/>
  <c r="J3218" i="1"/>
  <c r="M3218" i="1" s="1"/>
  <c r="G3218" i="1"/>
  <c r="H3219" i="1" s="1"/>
  <c r="F3218" i="1"/>
  <c r="D3218" i="1"/>
  <c r="L3218" i="1" s="1"/>
  <c r="K3217" i="1"/>
  <c r="N3217" i="1" s="1"/>
  <c r="J3217" i="1"/>
  <c r="M3217" i="1" s="1"/>
  <c r="G3217" i="1"/>
  <c r="H3218" i="1" s="1"/>
  <c r="F3217" i="1"/>
  <c r="D3217" i="1"/>
  <c r="L3217" i="1" s="1"/>
  <c r="K3216" i="1"/>
  <c r="N3216" i="1" s="1"/>
  <c r="J3216" i="1"/>
  <c r="M3216" i="1" s="1"/>
  <c r="G3216" i="1"/>
  <c r="H3217" i="1" s="1"/>
  <c r="F3216" i="1"/>
  <c r="D3216" i="1"/>
  <c r="L3216" i="1" s="1"/>
  <c r="K3215" i="1"/>
  <c r="N3215" i="1" s="1"/>
  <c r="J3215" i="1"/>
  <c r="M3215" i="1" s="1"/>
  <c r="G3215" i="1"/>
  <c r="H3216" i="1" s="1"/>
  <c r="F3215" i="1"/>
  <c r="D3215" i="1"/>
  <c r="L3215" i="1" s="1"/>
  <c r="K3214" i="1"/>
  <c r="N3214" i="1" s="1"/>
  <c r="J3214" i="1"/>
  <c r="M3214" i="1" s="1"/>
  <c r="G3214" i="1"/>
  <c r="H3215" i="1" s="1"/>
  <c r="F3214" i="1"/>
  <c r="D3214" i="1"/>
  <c r="L3214" i="1" s="1"/>
  <c r="K3213" i="1"/>
  <c r="N3213" i="1" s="1"/>
  <c r="J3213" i="1"/>
  <c r="M3213" i="1" s="1"/>
  <c r="G3213" i="1"/>
  <c r="H3214" i="1" s="1"/>
  <c r="F3213" i="1"/>
  <c r="D3213" i="1"/>
  <c r="L3213" i="1" s="1"/>
  <c r="K3212" i="1"/>
  <c r="N3212" i="1" s="1"/>
  <c r="J3212" i="1"/>
  <c r="M3212" i="1" s="1"/>
  <c r="G3212" i="1"/>
  <c r="H3213" i="1" s="1"/>
  <c r="F3212" i="1"/>
  <c r="D3212" i="1"/>
  <c r="L3212" i="1" s="1"/>
  <c r="K3211" i="1"/>
  <c r="N3211" i="1" s="1"/>
  <c r="J3211" i="1"/>
  <c r="M3211" i="1" s="1"/>
  <c r="G3211" i="1"/>
  <c r="H3212" i="1" s="1"/>
  <c r="F3211" i="1"/>
  <c r="D3211" i="1"/>
  <c r="L3211" i="1" s="1"/>
  <c r="K3210" i="1"/>
  <c r="N3210" i="1" s="1"/>
  <c r="J3210" i="1"/>
  <c r="M3210" i="1" s="1"/>
  <c r="G3210" i="1"/>
  <c r="H3211" i="1" s="1"/>
  <c r="F3210" i="1"/>
  <c r="D3210" i="1"/>
  <c r="L3210" i="1" s="1"/>
  <c r="K3209" i="1"/>
  <c r="N3209" i="1" s="1"/>
  <c r="J3209" i="1"/>
  <c r="M3209" i="1" s="1"/>
  <c r="G3209" i="1"/>
  <c r="H3210" i="1" s="1"/>
  <c r="F3209" i="1"/>
  <c r="D3209" i="1"/>
  <c r="L3209" i="1" s="1"/>
  <c r="K3208" i="1"/>
  <c r="N3208" i="1" s="1"/>
  <c r="J3208" i="1"/>
  <c r="M3208" i="1" s="1"/>
  <c r="G3208" i="1"/>
  <c r="H3209" i="1" s="1"/>
  <c r="F3208" i="1"/>
  <c r="D3208" i="1"/>
  <c r="L3208" i="1" s="1"/>
  <c r="K3207" i="1"/>
  <c r="N3207" i="1" s="1"/>
  <c r="J3207" i="1"/>
  <c r="M3207" i="1" s="1"/>
  <c r="G3207" i="1"/>
  <c r="H3208" i="1" s="1"/>
  <c r="F3207" i="1"/>
  <c r="D3207" i="1"/>
  <c r="L3207" i="1" s="1"/>
  <c r="K3206" i="1"/>
  <c r="N3206" i="1" s="1"/>
  <c r="J3206" i="1"/>
  <c r="M3206" i="1" s="1"/>
  <c r="G3206" i="1"/>
  <c r="H3207" i="1" s="1"/>
  <c r="F3206" i="1"/>
  <c r="D3206" i="1"/>
  <c r="L3206" i="1" s="1"/>
  <c r="K3205" i="1"/>
  <c r="N3205" i="1" s="1"/>
  <c r="J3205" i="1"/>
  <c r="M3205" i="1" s="1"/>
  <c r="G3205" i="1"/>
  <c r="H3206" i="1" s="1"/>
  <c r="F3205" i="1"/>
  <c r="D3205" i="1"/>
  <c r="L3205" i="1" s="1"/>
  <c r="K3204" i="1"/>
  <c r="N3204" i="1" s="1"/>
  <c r="J3204" i="1"/>
  <c r="M3204" i="1" s="1"/>
  <c r="G3204" i="1"/>
  <c r="H3205" i="1" s="1"/>
  <c r="F3204" i="1"/>
  <c r="D3204" i="1"/>
  <c r="L3204" i="1" s="1"/>
  <c r="K3203" i="1"/>
  <c r="N3203" i="1" s="1"/>
  <c r="J3203" i="1"/>
  <c r="M3203" i="1" s="1"/>
  <c r="G3203" i="1"/>
  <c r="H3204" i="1" s="1"/>
  <c r="F3203" i="1"/>
  <c r="D3203" i="1"/>
  <c r="L3203" i="1" s="1"/>
  <c r="K3202" i="1"/>
  <c r="N3202" i="1" s="1"/>
  <c r="J3202" i="1"/>
  <c r="M3202" i="1" s="1"/>
  <c r="G3202" i="1"/>
  <c r="H3203" i="1" s="1"/>
  <c r="F3202" i="1"/>
  <c r="D3202" i="1"/>
  <c r="L3202" i="1" s="1"/>
  <c r="K3201" i="1"/>
  <c r="N3201" i="1" s="1"/>
  <c r="J3201" i="1"/>
  <c r="M3201" i="1" s="1"/>
  <c r="G3201" i="1"/>
  <c r="H3202" i="1" s="1"/>
  <c r="F3201" i="1"/>
  <c r="D3201" i="1"/>
  <c r="L3201" i="1" s="1"/>
  <c r="K3200" i="1"/>
  <c r="N3200" i="1" s="1"/>
  <c r="J3200" i="1"/>
  <c r="M3200" i="1" s="1"/>
  <c r="G3200" i="1"/>
  <c r="H3201" i="1" s="1"/>
  <c r="F3200" i="1"/>
  <c r="D3200" i="1"/>
  <c r="L3200" i="1" s="1"/>
  <c r="K3199" i="1"/>
  <c r="N3199" i="1" s="1"/>
  <c r="J3199" i="1"/>
  <c r="M3199" i="1" s="1"/>
  <c r="G3199" i="1"/>
  <c r="H3200" i="1" s="1"/>
  <c r="F3199" i="1"/>
  <c r="D3199" i="1"/>
  <c r="L3199" i="1" s="1"/>
  <c r="K3198" i="1"/>
  <c r="N3198" i="1" s="1"/>
  <c r="J3198" i="1"/>
  <c r="M3198" i="1" s="1"/>
  <c r="G3198" i="1"/>
  <c r="H3199" i="1" s="1"/>
  <c r="F3198" i="1"/>
  <c r="D3198" i="1"/>
  <c r="L3198" i="1" s="1"/>
  <c r="K3197" i="1"/>
  <c r="N3197" i="1" s="1"/>
  <c r="J3197" i="1"/>
  <c r="M3197" i="1" s="1"/>
  <c r="G3197" i="1"/>
  <c r="H3198" i="1" s="1"/>
  <c r="F3197" i="1"/>
  <c r="D3197" i="1"/>
  <c r="L3197" i="1" s="1"/>
  <c r="K3196" i="1"/>
  <c r="N3196" i="1" s="1"/>
  <c r="J3196" i="1"/>
  <c r="M3196" i="1" s="1"/>
  <c r="G3196" i="1"/>
  <c r="H3197" i="1" s="1"/>
  <c r="F3196" i="1"/>
  <c r="D3196" i="1"/>
  <c r="L3196" i="1" s="1"/>
  <c r="K3195" i="1"/>
  <c r="N3195" i="1" s="1"/>
  <c r="J3195" i="1"/>
  <c r="M3195" i="1" s="1"/>
  <c r="G3195" i="1"/>
  <c r="H3196" i="1" s="1"/>
  <c r="F3195" i="1"/>
  <c r="D3195" i="1"/>
  <c r="L3195" i="1" s="1"/>
  <c r="K3194" i="1"/>
  <c r="N3194" i="1" s="1"/>
  <c r="J3194" i="1"/>
  <c r="M3194" i="1" s="1"/>
  <c r="G3194" i="1"/>
  <c r="H3195" i="1" s="1"/>
  <c r="F3194" i="1"/>
  <c r="D3194" i="1"/>
  <c r="L3194" i="1" s="1"/>
  <c r="K3193" i="1"/>
  <c r="N3193" i="1" s="1"/>
  <c r="J3193" i="1"/>
  <c r="M3193" i="1" s="1"/>
  <c r="G3193" i="1"/>
  <c r="H3194" i="1" s="1"/>
  <c r="F3193" i="1"/>
  <c r="D3193" i="1"/>
  <c r="L3193" i="1" s="1"/>
  <c r="K3192" i="1"/>
  <c r="N3192" i="1" s="1"/>
  <c r="J3192" i="1"/>
  <c r="M3192" i="1" s="1"/>
  <c r="G3192" i="1"/>
  <c r="H3193" i="1" s="1"/>
  <c r="F3192" i="1"/>
  <c r="D3192" i="1"/>
  <c r="L3192" i="1" s="1"/>
  <c r="K3191" i="1"/>
  <c r="N3191" i="1" s="1"/>
  <c r="J3191" i="1"/>
  <c r="M3191" i="1" s="1"/>
  <c r="G3191" i="1"/>
  <c r="H3192" i="1" s="1"/>
  <c r="F3191" i="1"/>
  <c r="D3191" i="1"/>
  <c r="L3191" i="1" s="1"/>
  <c r="K3190" i="1"/>
  <c r="N3190" i="1" s="1"/>
  <c r="J3190" i="1"/>
  <c r="M3190" i="1" s="1"/>
  <c r="G3190" i="1"/>
  <c r="H3191" i="1" s="1"/>
  <c r="F3190" i="1"/>
  <c r="D3190" i="1"/>
  <c r="L3190" i="1" s="1"/>
  <c r="K3189" i="1"/>
  <c r="N3189" i="1" s="1"/>
  <c r="J3189" i="1"/>
  <c r="M3189" i="1" s="1"/>
  <c r="G3189" i="1"/>
  <c r="H3190" i="1" s="1"/>
  <c r="F3189" i="1"/>
  <c r="D3189" i="1"/>
  <c r="L3189" i="1" s="1"/>
  <c r="K3188" i="1"/>
  <c r="N3188" i="1" s="1"/>
  <c r="J3188" i="1"/>
  <c r="M3188" i="1" s="1"/>
  <c r="G3188" i="1"/>
  <c r="H3189" i="1" s="1"/>
  <c r="F3188" i="1"/>
  <c r="D3188" i="1"/>
  <c r="L3188" i="1" s="1"/>
  <c r="K3187" i="1"/>
  <c r="N3187" i="1" s="1"/>
  <c r="J3187" i="1"/>
  <c r="M3187" i="1" s="1"/>
  <c r="G3187" i="1"/>
  <c r="H3188" i="1" s="1"/>
  <c r="F3187" i="1"/>
  <c r="D3187" i="1"/>
  <c r="L3187" i="1" s="1"/>
  <c r="K3186" i="1"/>
  <c r="N3186" i="1" s="1"/>
  <c r="J3186" i="1"/>
  <c r="M3186" i="1" s="1"/>
  <c r="G3186" i="1"/>
  <c r="H3187" i="1" s="1"/>
  <c r="F3186" i="1"/>
  <c r="D3186" i="1"/>
  <c r="L3186" i="1" s="1"/>
  <c r="K3185" i="1"/>
  <c r="N3185" i="1" s="1"/>
  <c r="J3185" i="1"/>
  <c r="M3185" i="1" s="1"/>
  <c r="G3185" i="1"/>
  <c r="H3186" i="1" s="1"/>
  <c r="F3185" i="1"/>
  <c r="D3185" i="1"/>
  <c r="L3185" i="1" s="1"/>
  <c r="K3184" i="1"/>
  <c r="N3184" i="1" s="1"/>
  <c r="J3184" i="1"/>
  <c r="M3184" i="1" s="1"/>
  <c r="G3184" i="1"/>
  <c r="H3185" i="1" s="1"/>
  <c r="F3184" i="1"/>
  <c r="D3184" i="1"/>
  <c r="L3184" i="1" s="1"/>
  <c r="K3183" i="1"/>
  <c r="N3183" i="1" s="1"/>
  <c r="J3183" i="1"/>
  <c r="M3183" i="1" s="1"/>
  <c r="G3183" i="1"/>
  <c r="H3184" i="1" s="1"/>
  <c r="F3183" i="1"/>
  <c r="D3183" i="1"/>
  <c r="L3183" i="1" s="1"/>
  <c r="K3182" i="1"/>
  <c r="N3182" i="1" s="1"/>
  <c r="J3182" i="1"/>
  <c r="M3182" i="1" s="1"/>
  <c r="G3182" i="1"/>
  <c r="H3183" i="1" s="1"/>
  <c r="F3182" i="1"/>
  <c r="D3182" i="1"/>
  <c r="L3182" i="1" s="1"/>
  <c r="K3181" i="1"/>
  <c r="N3181" i="1" s="1"/>
  <c r="J3181" i="1"/>
  <c r="M3181" i="1" s="1"/>
  <c r="G3181" i="1"/>
  <c r="H3182" i="1" s="1"/>
  <c r="F3181" i="1"/>
  <c r="D3181" i="1"/>
  <c r="L3181" i="1" s="1"/>
  <c r="K3180" i="1"/>
  <c r="N3180" i="1" s="1"/>
  <c r="J3180" i="1"/>
  <c r="M3180" i="1" s="1"/>
  <c r="G3180" i="1"/>
  <c r="H3181" i="1" s="1"/>
  <c r="F3180" i="1"/>
  <c r="D3180" i="1"/>
  <c r="L3180" i="1" s="1"/>
  <c r="K3179" i="1"/>
  <c r="N3179" i="1" s="1"/>
  <c r="J3179" i="1"/>
  <c r="M3179" i="1" s="1"/>
  <c r="G3179" i="1"/>
  <c r="H3180" i="1" s="1"/>
  <c r="F3179" i="1"/>
  <c r="D3179" i="1"/>
  <c r="L3179" i="1" s="1"/>
  <c r="K3178" i="1"/>
  <c r="N3178" i="1" s="1"/>
  <c r="J3178" i="1"/>
  <c r="M3178" i="1" s="1"/>
  <c r="G3178" i="1"/>
  <c r="H3179" i="1" s="1"/>
  <c r="F3178" i="1"/>
  <c r="D3178" i="1"/>
  <c r="L3178" i="1" s="1"/>
  <c r="K3177" i="1"/>
  <c r="N3177" i="1" s="1"/>
  <c r="J3177" i="1"/>
  <c r="M3177" i="1" s="1"/>
  <c r="G3177" i="1"/>
  <c r="H3178" i="1" s="1"/>
  <c r="F3177" i="1"/>
  <c r="D3177" i="1"/>
  <c r="L3177" i="1" s="1"/>
  <c r="K3176" i="1"/>
  <c r="N3176" i="1" s="1"/>
  <c r="J3176" i="1"/>
  <c r="M3176" i="1" s="1"/>
  <c r="G3176" i="1"/>
  <c r="H3177" i="1" s="1"/>
  <c r="F3176" i="1"/>
  <c r="D3176" i="1"/>
  <c r="L3176" i="1" s="1"/>
  <c r="K3175" i="1"/>
  <c r="N3175" i="1" s="1"/>
  <c r="J3175" i="1"/>
  <c r="M3175" i="1" s="1"/>
  <c r="G3175" i="1"/>
  <c r="H3176" i="1" s="1"/>
  <c r="F3175" i="1"/>
  <c r="D3175" i="1"/>
  <c r="L3175" i="1" s="1"/>
  <c r="K3174" i="1"/>
  <c r="N3174" i="1" s="1"/>
  <c r="J3174" i="1"/>
  <c r="M3174" i="1" s="1"/>
  <c r="G3174" i="1"/>
  <c r="H3175" i="1" s="1"/>
  <c r="F3174" i="1"/>
  <c r="D3174" i="1"/>
  <c r="L3174" i="1" s="1"/>
  <c r="K3173" i="1"/>
  <c r="N3173" i="1" s="1"/>
  <c r="J3173" i="1"/>
  <c r="M3173" i="1" s="1"/>
  <c r="G3173" i="1"/>
  <c r="H3174" i="1" s="1"/>
  <c r="F3173" i="1"/>
  <c r="D3173" i="1"/>
  <c r="L3173" i="1" s="1"/>
  <c r="K3172" i="1"/>
  <c r="N3172" i="1" s="1"/>
  <c r="J3172" i="1"/>
  <c r="M3172" i="1" s="1"/>
  <c r="G3172" i="1"/>
  <c r="H3173" i="1" s="1"/>
  <c r="F3172" i="1"/>
  <c r="D3172" i="1"/>
  <c r="L3172" i="1" s="1"/>
  <c r="K3171" i="1"/>
  <c r="N3171" i="1" s="1"/>
  <c r="J3171" i="1"/>
  <c r="M3171" i="1" s="1"/>
  <c r="G3171" i="1"/>
  <c r="H3172" i="1" s="1"/>
  <c r="F3171" i="1"/>
  <c r="D3171" i="1"/>
  <c r="L3171" i="1" s="1"/>
  <c r="K3170" i="1"/>
  <c r="N3170" i="1" s="1"/>
  <c r="J3170" i="1"/>
  <c r="M3170" i="1" s="1"/>
  <c r="G3170" i="1"/>
  <c r="H3171" i="1" s="1"/>
  <c r="F3170" i="1"/>
  <c r="D3170" i="1"/>
  <c r="L3170" i="1" s="1"/>
  <c r="K3169" i="1"/>
  <c r="N3169" i="1" s="1"/>
  <c r="J3169" i="1"/>
  <c r="M3169" i="1" s="1"/>
  <c r="G3169" i="1"/>
  <c r="H3170" i="1" s="1"/>
  <c r="F3169" i="1"/>
  <c r="D3169" i="1"/>
  <c r="L3169" i="1" s="1"/>
  <c r="K3168" i="1"/>
  <c r="N3168" i="1" s="1"/>
  <c r="J3168" i="1"/>
  <c r="M3168" i="1" s="1"/>
  <c r="G3168" i="1"/>
  <c r="H3169" i="1" s="1"/>
  <c r="F3168" i="1"/>
  <c r="D3168" i="1"/>
  <c r="L3168" i="1" s="1"/>
  <c r="K3167" i="1"/>
  <c r="N3167" i="1" s="1"/>
  <c r="J3167" i="1"/>
  <c r="M3167" i="1" s="1"/>
  <c r="G3167" i="1"/>
  <c r="H3168" i="1" s="1"/>
  <c r="F3167" i="1"/>
  <c r="D3167" i="1"/>
  <c r="L3167" i="1" s="1"/>
  <c r="K3166" i="1"/>
  <c r="N3166" i="1" s="1"/>
  <c r="J3166" i="1"/>
  <c r="M3166" i="1" s="1"/>
  <c r="G3166" i="1"/>
  <c r="H3167" i="1" s="1"/>
  <c r="F3166" i="1"/>
  <c r="D3166" i="1"/>
  <c r="L3166" i="1" s="1"/>
  <c r="K3165" i="1"/>
  <c r="N3165" i="1" s="1"/>
  <c r="J3165" i="1"/>
  <c r="M3165" i="1" s="1"/>
  <c r="G3165" i="1"/>
  <c r="H3166" i="1" s="1"/>
  <c r="F3165" i="1"/>
  <c r="D3165" i="1"/>
  <c r="L3165" i="1" s="1"/>
  <c r="K3164" i="1"/>
  <c r="N3164" i="1" s="1"/>
  <c r="J3164" i="1"/>
  <c r="M3164" i="1" s="1"/>
  <c r="G3164" i="1"/>
  <c r="H3165" i="1" s="1"/>
  <c r="F3164" i="1"/>
  <c r="D3164" i="1"/>
  <c r="L3164" i="1" s="1"/>
  <c r="K3163" i="1"/>
  <c r="N3163" i="1" s="1"/>
  <c r="J3163" i="1"/>
  <c r="M3163" i="1" s="1"/>
  <c r="G3163" i="1"/>
  <c r="H3164" i="1" s="1"/>
  <c r="F3163" i="1"/>
  <c r="D3163" i="1"/>
  <c r="L3163" i="1" s="1"/>
  <c r="K3162" i="1"/>
  <c r="N3162" i="1" s="1"/>
  <c r="J3162" i="1"/>
  <c r="M3162" i="1" s="1"/>
  <c r="G3162" i="1"/>
  <c r="H3163" i="1" s="1"/>
  <c r="F3162" i="1"/>
  <c r="D3162" i="1"/>
  <c r="L3162" i="1" s="1"/>
  <c r="K3161" i="1"/>
  <c r="N3161" i="1" s="1"/>
  <c r="J3161" i="1"/>
  <c r="M3161" i="1" s="1"/>
  <c r="G3161" i="1"/>
  <c r="H3162" i="1" s="1"/>
  <c r="F3161" i="1"/>
  <c r="D3161" i="1"/>
  <c r="L3161" i="1" s="1"/>
  <c r="K3160" i="1"/>
  <c r="N3160" i="1" s="1"/>
  <c r="J3160" i="1"/>
  <c r="M3160" i="1" s="1"/>
  <c r="G3160" i="1"/>
  <c r="H3161" i="1" s="1"/>
  <c r="F3160" i="1"/>
  <c r="D3160" i="1"/>
  <c r="L3160" i="1" s="1"/>
  <c r="K3159" i="1"/>
  <c r="N3159" i="1" s="1"/>
  <c r="J3159" i="1"/>
  <c r="M3159" i="1" s="1"/>
  <c r="G3159" i="1"/>
  <c r="H3160" i="1" s="1"/>
  <c r="F3159" i="1"/>
  <c r="D3159" i="1"/>
  <c r="L3159" i="1" s="1"/>
  <c r="K3158" i="1"/>
  <c r="N3158" i="1" s="1"/>
  <c r="J3158" i="1"/>
  <c r="M3158" i="1" s="1"/>
  <c r="G3158" i="1"/>
  <c r="H3159" i="1" s="1"/>
  <c r="F3158" i="1"/>
  <c r="D3158" i="1"/>
  <c r="L3158" i="1" s="1"/>
  <c r="K3157" i="1"/>
  <c r="N3157" i="1" s="1"/>
  <c r="J3157" i="1"/>
  <c r="M3157" i="1" s="1"/>
  <c r="G3157" i="1"/>
  <c r="H3158" i="1" s="1"/>
  <c r="F3157" i="1"/>
  <c r="D3157" i="1"/>
  <c r="L3157" i="1" s="1"/>
  <c r="K3156" i="1"/>
  <c r="N3156" i="1" s="1"/>
  <c r="J3156" i="1"/>
  <c r="M3156" i="1" s="1"/>
  <c r="G3156" i="1"/>
  <c r="H3157" i="1" s="1"/>
  <c r="F3156" i="1"/>
  <c r="D3156" i="1"/>
  <c r="L3156" i="1" s="1"/>
  <c r="K3155" i="1"/>
  <c r="N3155" i="1" s="1"/>
  <c r="J3155" i="1"/>
  <c r="M3155" i="1" s="1"/>
  <c r="G3155" i="1"/>
  <c r="H3156" i="1" s="1"/>
  <c r="F3155" i="1"/>
  <c r="D3155" i="1"/>
  <c r="L3155" i="1" s="1"/>
  <c r="K3154" i="1"/>
  <c r="N3154" i="1" s="1"/>
  <c r="J3154" i="1"/>
  <c r="M3154" i="1" s="1"/>
  <c r="G3154" i="1"/>
  <c r="H3155" i="1" s="1"/>
  <c r="F3154" i="1"/>
  <c r="D3154" i="1"/>
  <c r="L3154" i="1" s="1"/>
  <c r="K3153" i="1"/>
  <c r="N3153" i="1" s="1"/>
  <c r="J3153" i="1"/>
  <c r="M3153" i="1" s="1"/>
  <c r="G3153" i="1"/>
  <c r="H3154" i="1" s="1"/>
  <c r="F3153" i="1"/>
  <c r="D3153" i="1"/>
  <c r="L3153" i="1" s="1"/>
  <c r="K3152" i="1"/>
  <c r="N3152" i="1" s="1"/>
  <c r="J3152" i="1"/>
  <c r="M3152" i="1" s="1"/>
  <c r="G3152" i="1"/>
  <c r="H3153" i="1" s="1"/>
  <c r="F3152" i="1"/>
  <c r="D3152" i="1"/>
  <c r="L3152" i="1" s="1"/>
  <c r="K3151" i="1"/>
  <c r="N3151" i="1" s="1"/>
  <c r="J3151" i="1"/>
  <c r="M3151" i="1" s="1"/>
  <c r="G3151" i="1"/>
  <c r="H3152" i="1" s="1"/>
  <c r="F3151" i="1"/>
  <c r="D3151" i="1"/>
  <c r="L3151" i="1" s="1"/>
  <c r="K3150" i="1"/>
  <c r="N3150" i="1" s="1"/>
  <c r="J3150" i="1"/>
  <c r="M3150" i="1" s="1"/>
  <c r="G3150" i="1"/>
  <c r="H3151" i="1" s="1"/>
  <c r="F3150" i="1"/>
  <c r="D3150" i="1"/>
  <c r="L3150" i="1" s="1"/>
  <c r="K3149" i="1"/>
  <c r="N3149" i="1" s="1"/>
  <c r="J3149" i="1"/>
  <c r="M3149" i="1" s="1"/>
  <c r="G3149" i="1"/>
  <c r="H3150" i="1" s="1"/>
  <c r="F3149" i="1"/>
  <c r="D3149" i="1"/>
  <c r="L3149" i="1" s="1"/>
  <c r="K3148" i="1"/>
  <c r="N3148" i="1" s="1"/>
  <c r="J3148" i="1"/>
  <c r="M3148" i="1" s="1"/>
  <c r="G3148" i="1"/>
  <c r="H3149" i="1" s="1"/>
  <c r="F3148" i="1"/>
  <c r="D3148" i="1"/>
  <c r="L3148" i="1" s="1"/>
  <c r="K3147" i="1"/>
  <c r="N3147" i="1" s="1"/>
  <c r="J3147" i="1"/>
  <c r="M3147" i="1" s="1"/>
  <c r="G3147" i="1"/>
  <c r="H3148" i="1" s="1"/>
  <c r="F3147" i="1"/>
  <c r="D3147" i="1"/>
  <c r="L3147" i="1" s="1"/>
  <c r="K3146" i="1"/>
  <c r="N3146" i="1" s="1"/>
  <c r="J3146" i="1"/>
  <c r="M3146" i="1" s="1"/>
  <c r="G3146" i="1"/>
  <c r="H3147" i="1" s="1"/>
  <c r="F3146" i="1"/>
  <c r="D3146" i="1"/>
  <c r="L3146" i="1" s="1"/>
  <c r="K3145" i="1"/>
  <c r="N3145" i="1" s="1"/>
  <c r="J3145" i="1"/>
  <c r="M3145" i="1" s="1"/>
  <c r="G3145" i="1"/>
  <c r="H3146" i="1" s="1"/>
  <c r="F3145" i="1"/>
  <c r="D3145" i="1"/>
  <c r="L3145" i="1" s="1"/>
  <c r="K3144" i="1"/>
  <c r="N3144" i="1" s="1"/>
  <c r="J3144" i="1"/>
  <c r="M3144" i="1" s="1"/>
  <c r="G3144" i="1"/>
  <c r="H3145" i="1" s="1"/>
  <c r="F3144" i="1"/>
  <c r="D3144" i="1"/>
  <c r="L3144" i="1" s="1"/>
  <c r="K3143" i="1"/>
  <c r="N3143" i="1" s="1"/>
  <c r="J3143" i="1"/>
  <c r="M3143" i="1" s="1"/>
  <c r="G3143" i="1"/>
  <c r="H3144" i="1" s="1"/>
  <c r="F3143" i="1"/>
  <c r="D3143" i="1"/>
  <c r="L3143" i="1" s="1"/>
  <c r="K3142" i="1"/>
  <c r="N3142" i="1" s="1"/>
  <c r="J3142" i="1"/>
  <c r="M3142" i="1" s="1"/>
  <c r="G3142" i="1"/>
  <c r="H3143" i="1" s="1"/>
  <c r="F3142" i="1"/>
  <c r="D3142" i="1"/>
  <c r="L3142" i="1" s="1"/>
  <c r="K3141" i="1"/>
  <c r="N3141" i="1" s="1"/>
  <c r="J3141" i="1"/>
  <c r="M3141" i="1" s="1"/>
  <c r="G3141" i="1"/>
  <c r="H3142" i="1" s="1"/>
  <c r="F3141" i="1"/>
  <c r="D3141" i="1"/>
  <c r="L3141" i="1" s="1"/>
  <c r="K3140" i="1"/>
  <c r="N3140" i="1" s="1"/>
  <c r="J3140" i="1"/>
  <c r="M3140" i="1" s="1"/>
  <c r="G3140" i="1"/>
  <c r="H3141" i="1" s="1"/>
  <c r="F3140" i="1"/>
  <c r="D3140" i="1"/>
  <c r="L3140" i="1" s="1"/>
  <c r="K3139" i="1"/>
  <c r="N3139" i="1" s="1"/>
  <c r="J3139" i="1"/>
  <c r="M3139" i="1" s="1"/>
  <c r="G3139" i="1"/>
  <c r="H3140" i="1" s="1"/>
  <c r="F3139" i="1"/>
  <c r="D3139" i="1"/>
  <c r="L3139" i="1" s="1"/>
  <c r="K3138" i="1"/>
  <c r="N3138" i="1" s="1"/>
  <c r="J3138" i="1"/>
  <c r="M3138" i="1" s="1"/>
  <c r="G3138" i="1"/>
  <c r="H3139" i="1" s="1"/>
  <c r="F3138" i="1"/>
  <c r="D3138" i="1"/>
  <c r="L3138" i="1" s="1"/>
  <c r="K3137" i="1"/>
  <c r="N3137" i="1" s="1"/>
  <c r="J3137" i="1"/>
  <c r="M3137" i="1" s="1"/>
  <c r="G3137" i="1"/>
  <c r="H3138" i="1" s="1"/>
  <c r="F3137" i="1"/>
  <c r="D3137" i="1"/>
  <c r="L3137" i="1" s="1"/>
  <c r="K3136" i="1"/>
  <c r="N3136" i="1" s="1"/>
  <c r="J3136" i="1"/>
  <c r="M3136" i="1" s="1"/>
  <c r="G3136" i="1"/>
  <c r="H3137" i="1" s="1"/>
  <c r="F3136" i="1"/>
  <c r="D3136" i="1"/>
  <c r="L3136" i="1" s="1"/>
  <c r="K3135" i="1"/>
  <c r="N3135" i="1" s="1"/>
  <c r="J3135" i="1"/>
  <c r="M3135" i="1" s="1"/>
  <c r="G3135" i="1"/>
  <c r="H3136" i="1" s="1"/>
  <c r="F3135" i="1"/>
  <c r="D3135" i="1"/>
  <c r="L3135" i="1" s="1"/>
  <c r="K3134" i="1"/>
  <c r="N3134" i="1" s="1"/>
  <c r="J3134" i="1"/>
  <c r="M3134" i="1" s="1"/>
  <c r="G3134" i="1"/>
  <c r="H3135" i="1" s="1"/>
  <c r="F3134" i="1"/>
  <c r="D3134" i="1"/>
  <c r="L3134" i="1" s="1"/>
  <c r="K3133" i="1"/>
  <c r="N3133" i="1" s="1"/>
  <c r="J3133" i="1"/>
  <c r="M3133" i="1" s="1"/>
  <c r="G3133" i="1"/>
  <c r="H3134" i="1" s="1"/>
  <c r="F3133" i="1"/>
  <c r="D3133" i="1"/>
  <c r="L3133" i="1" s="1"/>
  <c r="K3132" i="1"/>
  <c r="N3132" i="1" s="1"/>
  <c r="J3132" i="1"/>
  <c r="M3132" i="1" s="1"/>
  <c r="G3132" i="1"/>
  <c r="H3133" i="1" s="1"/>
  <c r="F3132" i="1"/>
  <c r="D3132" i="1"/>
  <c r="L3132" i="1" s="1"/>
  <c r="K3131" i="1"/>
  <c r="N3131" i="1" s="1"/>
  <c r="J3131" i="1"/>
  <c r="M3131" i="1" s="1"/>
  <c r="G3131" i="1"/>
  <c r="H3132" i="1" s="1"/>
  <c r="F3131" i="1"/>
  <c r="D3131" i="1"/>
  <c r="L3131" i="1" s="1"/>
  <c r="K3130" i="1"/>
  <c r="N3130" i="1" s="1"/>
  <c r="J3130" i="1"/>
  <c r="M3130" i="1" s="1"/>
  <c r="G3130" i="1"/>
  <c r="H3131" i="1" s="1"/>
  <c r="F3130" i="1"/>
  <c r="D3130" i="1"/>
  <c r="L3130" i="1" s="1"/>
  <c r="K3129" i="1"/>
  <c r="N3129" i="1" s="1"/>
  <c r="J3129" i="1"/>
  <c r="M3129" i="1" s="1"/>
  <c r="G3129" i="1"/>
  <c r="H3130" i="1" s="1"/>
  <c r="F3129" i="1"/>
  <c r="D3129" i="1"/>
  <c r="L3129" i="1" s="1"/>
  <c r="K3128" i="1"/>
  <c r="N3128" i="1" s="1"/>
  <c r="J3128" i="1"/>
  <c r="M3128" i="1" s="1"/>
  <c r="G3128" i="1"/>
  <c r="H3129" i="1" s="1"/>
  <c r="F3128" i="1"/>
  <c r="D3128" i="1"/>
  <c r="L3128" i="1" s="1"/>
  <c r="K3127" i="1"/>
  <c r="N3127" i="1" s="1"/>
  <c r="J3127" i="1"/>
  <c r="M3127" i="1" s="1"/>
  <c r="G3127" i="1"/>
  <c r="H3128" i="1" s="1"/>
  <c r="F3127" i="1"/>
  <c r="D3127" i="1"/>
  <c r="L3127" i="1" s="1"/>
  <c r="K3126" i="1"/>
  <c r="N3126" i="1" s="1"/>
  <c r="J3126" i="1"/>
  <c r="M3126" i="1" s="1"/>
  <c r="G3126" i="1"/>
  <c r="H3127" i="1" s="1"/>
  <c r="F3126" i="1"/>
  <c r="D3126" i="1"/>
  <c r="L3126" i="1" s="1"/>
  <c r="K3125" i="1"/>
  <c r="N3125" i="1" s="1"/>
  <c r="J3125" i="1"/>
  <c r="M3125" i="1" s="1"/>
  <c r="G3125" i="1"/>
  <c r="H3126" i="1" s="1"/>
  <c r="F3125" i="1"/>
  <c r="D3125" i="1"/>
  <c r="L3125" i="1" s="1"/>
  <c r="K3124" i="1"/>
  <c r="N3124" i="1" s="1"/>
  <c r="J3124" i="1"/>
  <c r="M3124" i="1" s="1"/>
  <c r="G3124" i="1"/>
  <c r="H3125" i="1" s="1"/>
  <c r="F3124" i="1"/>
  <c r="D3124" i="1"/>
  <c r="L3124" i="1" s="1"/>
  <c r="K3123" i="1"/>
  <c r="N3123" i="1" s="1"/>
  <c r="J3123" i="1"/>
  <c r="M3123" i="1" s="1"/>
  <c r="G3123" i="1"/>
  <c r="H3124" i="1" s="1"/>
  <c r="F3123" i="1"/>
  <c r="D3123" i="1"/>
  <c r="L3123" i="1" s="1"/>
  <c r="K3122" i="1"/>
  <c r="N3122" i="1" s="1"/>
  <c r="J3122" i="1"/>
  <c r="M3122" i="1" s="1"/>
  <c r="G3122" i="1"/>
  <c r="H3123" i="1" s="1"/>
  <c r="F3122" i="1"/>
  <c r="D3122" i="1"/>
  <c r="L3122" i="1" s="1"/>
  <c r="K3121" i="1"/>
  <c r="N3121" i="1" s="1"/>
  <c r="J3121" i="1"/>
  <c r="M3121" i="1" s="1"/>
  <c r="G3121" i="1"/>
  <c r="H3122" i="1" s="1"/>
  <c r="F3121" i="1"/>
  <c r="D3121" i="1"/>
  <c r="L3121" i="1" s="1"/>
  <c r="K3120" i="1"/>
  <c r="N3120" i="1" s="1"/>
  <c r="J3120" i="1"/>
  <c r="M3120" i="1" s="1"/>
  <c r="G3120" i="1"/>
  <c r="H3121" i="1" s="1"/>
  <c r="F3120" i="1"/>
  <c r="D3120" i="1"/>
  <c r="L3120" i="1" s="1"/>
  <c r="K3119" i="1"/>
  <c r="N3119" i="1" s="1"/>
  <c r="J3119" i="1"/>
  <c r="M3119" i="1" s="1"/>
  <c r="G3119" i="1"/>
  <c r="H3120" i="1" s="1"/>
  <c r="F3119" i="1"/>
  <c r="D3119" i="1"/>
  <c r="L3119" i="1" s="1"/>
  <c r="K3118" i="1"/>
  <c r="N3118" i="1" s="1"/>
  <c r="J3118" i="1"/>
  <c r="M3118" i="1" s="1"/>
  <c r="G3118" i="1"/>
  <c r="H3119" i="1" s="1"/>
  <c r="F3118" i="1"/>
  <c r="D3118" i="1"/>
  <c r="L3118" i="1" s="1"/>
  <c r="K3117" i="1"/>
  <c r="N3117" i="1" s="1"/>
  <c r="J3117" i="1"/>
  <c r="M3117" i="1" s="1"/>
  <c r="G3117" i="1"/>
  <c r="H3118" i="1" s="1"/>
  <c r="F3117" i="1"/>
  <c r="D3117" i="1"/>
  <c r="L3117" i="1" s="1"/>
  <c r="K3116" i="1"/>
  <c r="N3116" i="1" s="1"/>
  <c r="J3116" i="1"/>
  <c r="M3116" i="1" s="1"/>
  <c r="G3116" i="1"/>
  <c r="H3117" i="1" s="1"/>
  <c r="F3116" i="1"/>
  <c r="D3116" i="1"/>
  <c r="L3116" i="1" s="1"/>
  <c r="K3115" i="1"/>
  <c r="N3115" i="1" s="1"/>
  <c r="J3115" i="1"/>
  <c r="M3115" i="1" s="1"/>
  <c r="G3115" i="1"/>
  <c r="H3116" i="1" s="1"/>
  <c r="F3115" i="1"/>
  <c r="D3115" i="1"/>
  <c r="L3115" i="1" s="1"/>
  <c r="K3114" i="1"/>
  <c r="N3114" i="1" s="1"/>
  <c r="J3114" i="1"/>
  <c r="M3114" i="1" s="1"/>
  <c r="G3114" i="1"/>
  <c r="H3115" i="1" s="1"/>
  <c r="F3114" i="1"/>
  <c r="D3114" i="1"/>
  <c r="L3114" i="1" s="1"/>
  <c r="K3113" i="1"/>
  <c r="N3113" i="1" s="1"/>
  <c r="J3113" i="1"/>
  <c r="M3113" i="1" s="1"/>
  <c r="G3113" i="1"/>
  <c r="H3114" i="1" s="1"/>
  <c r="F3113" i="1"/>
  <c r="D3113" i="1"/>
  <c r="L3113" i="1" s="1"/>
  <c r="K3112" i="1"/>
  <c r="N3112" i="1" s="1"/>
  <c r="J3112" i="1"/>
  <c r="M3112" i="1" s="1"/>
  <c r="G3112" i="1"/>
  <c r="H3113" i="1" s="1"/>
  <c r="F3112" i="1"/>
  <c r="D3112" i="1"/>
  <c r="L3112" i="1" s="1"/>
  <c r="K3111" i="1"/>
  <c r="N3111" i="1" s="1"/>
  <c r="J3111" i="1"/>
  <c r="M3111" i="1" s="1"/>
  <c r="G3111" i="1"/>
  <c r="H3112" i="1" s="1"/>
  <c r="F3111" i="1"/>
  <c r="D3111" i="1"/>
  <c r="L3111" i="1" s="1"/>
  <c r="K3110" i="1"/>
  <c r="N3110" i="1" s="1"/>
  <c r="J3110" i="1"/>
  <c r="M3110" i="1" s="1"/>
  <c r="G3110" i="1"/>
  <c r="H3111" i="1" s="1"/>
  <c r="F3110" i="1"/>
  <c r="D3110" i="1"/>
  <c r="L3110" i="1" s="1"/>
  <c r="K3109" i="1"/>
  <c r="N3109" i="1" s="1"/>
  <c r="J3109" i="1"/>
  <c r="M3109" i="1" s="1"/>
  <c r="G3109" i="1"/>
  <c r="H3110" i="1" s="1"/>
  <c r="F3109" i="1"/>
  <c r="D3109" i="1"/>
  <c r="L3109" i="1" s="1"/>
  <c r="K3108" i="1"/>
  <c r="N3108" i="1" s="1"/>
  <c r="J3108" i="1"/>
  <c r="M3108" i="1" s="1"/>
  <c r="G3108" i="1"/>
  <c r="H3109" i="1" s="1"/>
  <c r="F3108" i="1"/>
  <c r="D3108" i="1"/>
  <c r="L3108" i="1" s="1"/>
  <c r="K3107" i="1"/>
  <c r="N3107" i="1" s="1"/>
  <c r="J3107" i="1"/>
  <c r="M3107" i="1" s="1"/>
  <c r="G3107" i="1"/>
  <c r="H3108" i="1" s="1"/>
  <c r="F3107" i="1"/>
  <c r="D3107" i="1"/>
  <c r="L3107" i="1" s="1"/>
  <c r="K3106" i="1"/>
  <c r="N3106" i="1" s="1"/>
  <c r="J3106" i="1"/>
  <c r="M3106" i="1" s="1"/>
  <c r="G3106" i="1"/>
  <c r="H3107" i="1" s="1"/>
  <c r="F3106" i="1"/>
  <c r="D3106" i="1"/>
  <c r="L3106" i="1" s="1"/>
  <c r="K3105" i="1"/>
  <c r="N3105" i="1" s="1"/>
  <c r="J3105" i="1"/>
  <c r="M3105" i="1" s="1"/>
  <c r="G3105" i="1"/>
  <c r="H3106" i="1" s="1"/>
  <c r="F3105" i="1"/>
  <c r="D3105" i="1"/>
  <c r="L3105" i="1" s="1"/>
  <c r="K3104" i="1"/>
  <c r="N3104" i="1" s="1"/>
  <c r="J3104" i="1"/>
  <c r="M3104" i="1" s="1"/>
  <c r="G3104" i="1"/>
  <c r="H3105" i="1" s="1"/>
  <c r="F3104" i="1"/>
  <c r="D3104" i="1"/>
  <c r="L3104" i="1" s="1"/>
  <c r="K3103" i="1"/>
  <c r="N3103" i="1" s="1"/>
  <c r="J3103" i="1"/>
  <c r="M3103" i="1" s="1"/>
  <c r="G3103" i="1"/>
  <c r="H3104" i="1" s="1"/>
  <c r="F3103" i="1"/>
  <c r="D3103" i="1"/>
  <c r="L3103" i="1" s="1"/>
  <c r="K3102" i="1"/>
  <c r="N3102" i="1" s="1"/>
  <c r="J3102" i="1"/>
  <c r="M3102" i="1" s="1"/>
  <c r="G3102" i="1"/>
  <c r="H3103" i="1" s="1"/>
  <c r="F3102" i="1"/>
  <c r="D3102" i="1"/>
  <c r="L3102" i="1" s="1"/>
  <c r="K3101" i="1"/>
  <c r="N3101" i="1" s="1"/>
  <c r="J3101" i="1"/>
  <c r="M3101" i="1" s="1"/>
  <c r="G3101" i="1"/>
  <c r="H3102" i="1" s="1"/>
  <c r="F3101" i="1"/>
  <c r="D3101" i="1"/>
  <c r="L3101" i="1" s="1"/>
  <c r="K3100" i="1"/>
  <c r="N3100" i="1" s="1"/>
  <c r="J3100" i="1"/>
  <c r="M3100" i="1" s="1"/>
  <c r="G3100" i="1"/>
  <c r="H3101" i="1" s="1"/>
  <c r="F3100" i="1"/>
  <c r="D3100" i="1"/>
  <c r="L3100" i="1" s="1"/>
  <c r="K3099" i="1"/>
  <c r="N3099" i="1" s="1"/>
  <c r="J3099" i="1"/>
  <c r="M3099" i="1" s="1"/>
  <c r="G3099" i="1"/>
  <c r="H3100" i="1" s="1"/>
  <c r="F3099" i="1"/>
  <c r="D3099" i="1"/>
  <c r="L3099" i="1" s="1"/>
  <c r="K3098" i="1"/>
  <c r="N3098" i="1" s="1"/>
  <c r="J3098" i="1"/>
  <c r="M3098" i="1" s="1"/>
  <c r="G3098" i="1"/>
  <c r="H3099" i="1" s="1"/>
  <c r="F3098" i="1"/>
  <c r="D3098" i="1"/>
  <c r="L3098" i="1" s="1"/>
  <c r="K3097" i="1"/>
  <c r="N3097" i="1" s="1"/>
  <c r="J3097" i="1"/>
  <c r="M3097" i="1" s="1"/>
  <c r="G3097" i="1"/>
  <c r="H3098" i="1" s="1"/>
  <c r="F3097" i="1"/>
  <c r="D3097" i="1"/>
  <c r="L3097" i="1" s="1"/>
  <c r="K3096" i="1"/>
  <c r="N3096" i="1" s="1"/>
  <c r="J3096" i="1"/>
  <c r="M3096" i="1" s="1"/>
  <c r="G3096" i="1"/>
  <c r="H3097" i="1" s="1"/>
  <c r="F3096" i="1"/>
  <c r="D3096" i="1"/>
  <c r="L3096" i="1" s="1"/>
  <c r="K3095" i="1"/>
  <c r="N3095" i="1" s="1"/>
  <c r="J3095" i="1"/>
  <c r="M3095" i="1" s="1"/>
  <c r="G3095" i="1"/>
  <c r="H3096" i="1" s="1"/>
  <c r="F3095" i="1"/>
  <c r="D3095" i="1"/>
  <c r="L3095" i="1" s="1"/>
  <c r="K3094" i="1"/>
  <c r="N3094" i="1" s="1"/>
  <c r="J3094" i="1"/>
  <c r="M3094" i="1" s="1"/>
  <c r="G3094" i="1"/>
  <c r="H3095" i="1" s="1"/>
  <c r="F3094" i="1"/>
  <c r="D3094" i="1"/>
  <c r="L3094" i="1" s="1"/>
  <c r="K3093" i="1"/>
  <c r="N3093" i="1" s="1"/>
  <c r="J3093" i="1"/>
  <c r="M3093" i="1" s="1"/>
  <c r="G3093" i="1"/>
  <c r="H3094" i="1" s="1"/>
  <c r="F3093" i="1"/>
  <c r="D3093" i="1"/>
  <c r="L3093" i="1" s="1"/>
  <c r="K3092" i="1"/>
  <c r="N3092" i="1" s="1"/>
  <c r="J3092" i="1"/>
  <c r="M3092" i="1" s="1"/>
  <c r="G3092" i="1"/>
  <c r="H3093" i="1" s="1"/>
  <c r="F3092" i="1"/>
  <c r="D3092" i="1"/>
  <c r="L3092" i="1" s="1"/>
  <c r="K3091" i="1"/>
  <c r="N3091" i="1" s="1"/>
  <c r="J3091" i="1"/>
  <c r="M3091" i="1" s="1"/>
  <c r="G3091" i="1"/>
  <c r="H3092" i="1" s="1"/>
  <c r="F3091" i="1"/>
  <c r="D3091" i="1"/>
  <c r="L3091" i="1" s="1"/>
  <c r="K3090" i="1"/>
  <c r="N3090" i="1" s="1"/>
  <c r="J3090" i="1"/>
  <c r="M3090" i="1" s="1"/>
  <c r="G3090" i="1"/>
  <c r="H3091" i="1" s="1"/>
  <c r="F3090" i="1"/>
  <c r="D3090" i="1"/>
  <c r="L3090" i="1" s="1"/>
  <c r="K3089" i="1"/>
  <c r="N3089" i="1" s="1"/>
  <c r="J3089" i="1"/>
  <c r="M3089" i="1" s="1"/>
  <c r="G3089" i="1"/>
  <c r="H3090" i="1" s="1"/>
  <c r="F3089" i="1"/>
  <c r="D3089" i="1"/>
  <c r="L3089" i="1" s="1"/>
  <c r="K3088" i="1"/>
  <c r="N3088" i="1" s="1"/>
  <c r="J3088" i="1"/>
  <c r="M3088" i="1" s="1"/>
  <c r="G3088" i="1"/>
  <c r="H3089" i="1" s="1"/>
  <c r="F3088" i="1"/>
  <c r="D3088" i="1"/>
  <c r="L3088" i="1" s="1"/>
  <c r="K3087" i="1"/>
  <c r="N3087" i="1" s="1"/>
  <c r="J3087" i="1"/>
  <c r="M3087" i="1" s="1"/>
  <c r="G3087" i="1"/>
  <c r="H3088" i="1" s="1"/>
  <c r="F3087" i="1"/>
  <c r="D3087" i="1"/>
  <c r="L3087" i="1" s="1"/>
  <c r="K3086" i="1"/>
  <c r="N3086" i="1" s="1"/>
  <c r="J3086" i="1"/>
  <c r="M3086" i="1" s="1"/>
  <c r="G3086" i="1"/>
  <c r="H3087" i="1" s="1"/>
  <c r="F3086" i="1"/>
  <c r="D3086" i="1"/>
  <c r="L3086" i="1" s="1"/>
  <c r="K3085" i="1"/>
  <c r="N3085" i="1" s="1"/>
  <c r="J3085" i="1"/>
  <c r="M3085" i="1" s="1"/>
  <c r="G3085" i="1"/>
  <c r="H3086" i="1" s="1"/>
  <c r="F3085" i="1"/>
  <c r="D3085" i="1"/>
  <c r="L3085" i="1" s="1"/>
  <c r="K3084" i="1"/>
  <c r="N3084" i="1" s="1"/>
  <c r="J3084" i="1"/>
  <c r="M3084" i="1" s="1"/>
  <c r="G3084" i="1"/>
  <c r="H3085" i="1" s="1"/>
  <c r="F3084" i="1"/>
  <c r="D3084" i="1"/>
  <c r="L3084" i="1" s="1"/>
  <c r="K3083" i="1"/>
  <c r="N3083" i="1" s="1"/>
  <c r="J3083" i="1"/>
  <c r="M3083" i="1" s="1"/>
  <c r="G3083" i="1"/>
  <c r="H3084" i="1" s="1"/>
  <c r="F3083" i="1"/>
  <c r="D3083" i="1"/>
  <c r="L3083" i="1" s="1"/>
  <c r="K3082" i="1"/>
  <c r="N3082" i="1" s="1"/>
  <c r="J3082" i="1"/>
  <c r="M3082" i="1" s="1"/>
  <c r="G3082" i="1"/>
  <c r="H3083" i="1" s="1"/>
  <c r="F3082" i="1"/>
  <c r="D3082" i="1"/>
  <c r="L3082" i="1" s="1"/>
  <c r="K3081" i="1"/>
  <c r="N3081" i="1" s="1"/>
  <c r="J3081" i="1"/>
  <c r="M3081" i="1" s="1"/>
  <c r="G3081" i="1"/>
  <c r="H3082" i="1" s="1"/>
  <c r="F3081" i="1"/>
  <c r="D3081" i="1"/>
  <c r="L3081" i="1" s="1"/>
  <c r="K3080" i="1"/>
  <c r="N3080" i="1" s="1"/>
  <c r="J3080" i="1"/>
  <c r="M3080" i="1" s="1"/>
  <c r="G3080" i="1"/>
  <c r="H3081" i="1" s="1"/>
  <c r="F3080" i="1"/>
  <c r="D3080" i="1"/>
  <c r="L3080" i="1" s="1"/>
  <c r="K3079" i="1"/>
  <c r="N3079" i="1" s="1"/>
  <c r="J3079" i="1"/>
  <c r="M3079" i="1" s="1"/>
  <c r="G3079" i="1"/>
  <c r="H3080" i="1" s="1"/>
  <c r="F3079" i="1"/>
  <c r="D3079" i="1"/>
  <c r="L3079" i="1" s="1"/>
  <c r="K3078" i="1"/>
  <c r="N3078" i="1" s="1"/>
  <c r="J3078" i="1"/>
  <c r="M3078" i="1" s="1"/>
  <c r="G3078" i="1"/>
  <c r="H3079" i="1" s="1"/>
  <c r="F3078" i="1"/>
  <c r="D3078" i="1"/>
  <c r="L3078" i="1" s="1"/>
  <c r="K3077" i="1"/>
  <c r="N3077" i="1" s="1"/>
  <c r="J3077" i="1"/>
  <c r="M3077" i="1" s="1"/>
  <c r="G3077" i="1"/>
  <c r="H3078" i="1" s="1"/>
  <c r="F3077" i="1"/>
  <c r="D3077" i="1"/>
  <c r="L3077" i="1" s="1"/>
  <c r="K3076" i="1"/>
  <c r="N3076" i="1" s="1"/>
  <c r="J3076" i="1"/>
  <c r="M3076" i="1" s="1"/>
  <c r="G3076" i="1"/>
  <c r="H3077" i="1" s="1"/>
  <c r="F3076" i="1"/>
  <c r="D3076" i="1"/>
  <c r="L3076" i="1" s="1"/>
  <c r="K3075" i="1"/>
  <c r="N3075" i="1" s="1"/>
  <c r="J3075" i="1"/>
  <c r="M3075" i="1" s="1"/>
  <c r="G3075" i="1"/>
  <c r="H3076" i="1" s="1"/>
  <c r="F3075" i="1"/>
  <c r="D3075" i="1"/>
  <c r="L3075" i="1" s="1"/>
  <c r="K3074" i="1"/>
  <c r="N3074" i="1" s="1"/>
  <c r="J3074" i="1"/>
  <c r="M3074" i="1" s="1"/>
  <c r="G3074" i="1"/>
  <c r="H3075" i="1" s="1"/>
  <c r="F3074" i="1"/>
  <c r="D3074" i="1"/>
  <c r="L3074" i="1" s="1"/>
  <c r="K3073" i="1"/>
  <c r="N3073" i="1" s="1"/>
  <c r="J3073" i="1"/>
  <c r="M3073" i="1" s="1"/>
  <c r="G3073" i="1"/>
  <c r="H3074" i="1" s="1"/>
  <c r="F3073" i="1"/>
  <c r="D3073" i="1"/>
  <c r="L3073" i="1" s="1"/>
  <c r="K3072" i="1"/>
  <c r="N3072" i="1" s="1"/>
  <c r="J3072" i="1"/>
  <c r="M3072" i="1" s="1"/>
  <c r="G3072" i="1"/>
  <c r="H3073" i="1" s="1"/>
  <c r="F3072" i="1"/>
  <c r="D3072" i="1"/>
  <c r="L3072" i="1" s="1"/>
  <c r="K3071" i="1"/>
  <c r="N3071" i="1" s="1"/>
  <c r="J3071" i="1"/>
  <c r="M3071" i="1" s="1"/>
  <c r="G3071" i="1"/>
  <c r="H3072" i="1" s="1"/>
  <c r="F3071" i="1"/>
  <c r="D3071" i="1"/>
  <c r="L3071" i="1" s="1"/>
  <c r="K3070" i="1"/>
  <c r="N3070" i="1" s="1"/>
  <c r="J3070" i="1"/>
  <c r="M3070" i="1" s="1"/>
  <c r="G3070" i="1"/>
  <c r="H3071" i="1" s="1"/>
  <c r="F3070" i="1"/>
  <c r="D3070" i="1"/>
  <c r="L3070" i="1" s="1"/>
  <c r="K3069" i="1"/>
  <c r="N3069" i="1" s="1"/>
  <c r="J3069" i="1"/>
  <c r="M3069" i="1" s="1"/>
  <c r="G3069" i="1"/>
  <c r="H3070" i="1" s="1"/>
  <c r="F3069" i="1"/>
  <c r="D3069" i="1"/>
  <c r="L3069" i="1" s="1"/>
  <c r="K3068" i="1"/>
  <c r="N3068" i="1" s="1"/>
  <c r="J3068" i="1"/>
  <c r="M3068" i="1" s="1"/>
  <c r="G3068" i="1"/>
  <c r="H3069" i="1" s="1"/>
  <c r="F3068" i="1"/>
  <c r="D3068" i="1"/>
  <c r="L3068" i="1" s="1"/>
  <c r="K3067" i="1"/>
  <c r="N3067" i="1" s="1"/>
  <c r="J3067" i="1"/>
  <c r="M3067" i="1" s="1"/>
  <c r="G3067" i="1"/>
  <c r="H3068" i="1" s="1"/>
  <c r="F3067" i="1"/>
  <c r="D3067" i="1"/>
  <c r="L3067" i="1" s="1"/>
  <c r="K3066" i="1"/>
  <c r="N3066" i="1" s="1"/>
  <c r="J3066" i="1"/>
  <c r="M3066" i="1" s="1"/>
  <c r="G3066" i="1"/>
  <c r="H3067" i="1" s="1"/>
  <c r="F3066" i="1"/>
  <c r="D3066" i="1"/>
  <c r="L3066" i="1" s="1"/>
  <c r="K3065" i="1"/>
  <c r="N3065" i="1" s="1"/>
  <c r="J3065" i="1"/>
  <c r="M3065" i="1" s="1"/>
  <c r="G3065" i="1"/>
  <c r="H3066" i="1" s="1"/>
  <c r="F3065" i="1"/>
  <c r="D3065" i="1"/>
  <c r="L3065" i="1" s="1"/>
  <c r="K3064" i="1"/>
  <c r="N3064" i="1" s="1"/>
  <c r="J3064" i="1"/>
  <c r="M3064" i="1" s="1"/>
  <c r="G3064" i="1"/>
  <c r="H3065" i="1" s="1"/>
  <c r="F3064" i="1"/>
  <c r="D3064" i="1"/>
  <c r="L3064" i="1" s="1"/>
  <c r="K3063" i="1"/>
  <c r="N3063" i="1" s="1"/>
  <c r="J3063" i="1"/>
  <c r="M3063" i="1" s="1"/>
  <c r="G3063" i="1"/>
  <c r="H3064" i="1" s="1"/>
  <c r="F3063" i="1"/>
  <c r="D3063" i="1"/>
  <c r="L3063" i="1" s="1"/>
  <c r="K3062" i="1"/>
  <c r="N3062" i="1" s="1"/>
  <c r="J3062" i="1"/>
  <c r="M3062" i="1" s="1"/>
  <c r="G3062" i="1"/>
  <c r="H3063" i="1" s="1"/>
  <c r="F3062" i="1"/>
  <c r="D3062" i="1"/>
  <c r="L3062" i="1" s="1"/>
  <c r="K3061" i="1"/>
  <c r="N3061" i="1" s="1"/>
  <c r="J3061" i="1"/>
  <c r="M3061" i="1" s="1"/>
  <c r="G3061" i="1"/>
  <c r="H3062" i="1" s="1"/>
  <c r="F3061" i="1"/>
  <c r="D3061" i="1"/>
  <c r="L3061" i="1" s="1"/>
  <c r="K3060" i="1"/>
  <c r="N3060" i="1" s="1"/>
  <c r="J3060" i="1"/>
  <c r="M3060" i="1" s="1"/>
  <c r="G3060" i="1"/>
  <c r="H3061" i="1" s="1"/>
  <c r="F3060" i="1"/>
  <c r="D3060" i="1"/>
  <c r="L3060" i="1" s="1"/>
  <c r="K3059" i="1"/>
  <c r="N3059" i="1" s="1"/>
  <c r="J3059" i="1"/>
  <c r="M3059" i="1" s="1"/>
  <c r="G3059" i="1"/>
  <c r="H3060" i="1" s="1"/>
  <c r="F3059" i="1"/>
  <c r="D3059" i="1"/>
  <c r="L3059" i="1" s="1"/>
  <c r="K3058" i="1"/>
  <c r="N3058" i="1" s="1"/>
  <c r="J3058" i="1"/>
  <c r="M3058" i="1" s="1"/>
  <c r="G3058" i="1"/>
  <c r="H3059" i="1" s="1"/>
  <c r="F3058" i="1"/>
  <c r="D3058" i="1"/>
  <c r="L3058" i="1" s="1"/>
  <c r="K3057" i="1"/>
  <c r="N3057" i="1" s="1"/>
  <c r="J3057" i="1"/>
  <c r="M3057" i="1" s="1"/>
  <c r="G3057" i="1"/>
  <c r="H3058" i="1" s="1"/>
  <c r="F3057" i="1"/>
  <c r="D3057" i="1"/>
  <c r="L3057" i="1" s="1"/>
  <c r="K3056" i="1"/>
  <c r="N3056" i="1" s="1"/>
  <c r="J3056" i="1"/>
  <c r="M3056" i="1" s="1"/>
  <c r="G3056" i="1"/>
  <c r="H3057" i="1" s="1"/>
  <c r="F3056" i="1"/>
  <c r="D3056" i="1"/>
  <c r="L3056" i="1" s="1"/>
  <c r="K3055" i="1"/>
  <c r="N3055" i="1" s="1"/>
  <c r="J3055" i="1"/>
  <c r="M3055" i="1" s="1"/>
  <c r="G3055" i="1"/>
  <c r="H3056" i="1" s="1"/>
  <c r="F3055" i="1"/>
  <c r="D3055" i="1"/>
  <c r="L3055" i="1" s="1"/>
  <c r="K3054" i="1"/>
  <c r="N3054" i="1" s="1"/>
  <c r="J3054" i="1"/>
  <c r="M3054" i="1" s="1"/>
  <c r="G3054" i="1"/>
  <c r="H3055" i="1" s="1"/>
  <c r="F3054" i="1"/>
  <c r="D3054" i="1"/>
  <c r="L3054" i="1" s="1"/>
  <c r="K3053" i="1"/>
  <c r="N3053" i="1" s="1"/>
  <c r="J3053" i="1"/>
  <c r="M3053" i="1" s="1"/>
  <c r="G3053" i="1"/>
  <c r="H3054" i="1" s="1"/>
  <c r="F3053" i="1"/>
  <c r="D3053" i="1"/>
  <c r="L3053" i="1" s="1"/>
  <c r="K3052" i="1"/>
  <c r="N3052" i="1" s="1"/>
  <c r="J3052" i="1"/>
  <c r="M3052" i="1" s="1"/>
  <c r="G3052" i="1"/>
  <c r="H3053" i="1" s="1"/>
  <c r="F3052" i="1"/>
  <c r="D3052" i="1"/>
  <c r="L3052" i="1" s="1"/>
  <c r="K3051" i="1"/>
  <c r="N3051" i="1" s="1"/>
  <c r="J3051" i="1"/>
  <c r="M3051" i="1" s="1"/>
  <c r="G3051" i="1"/>
  <c r="H3052" i="1" s="1"/>
  <c r="F3051" i="1"/>
  <c r="D3051" i="1"/>
  <c r="L3051" i="1" s="1"/>
  <c r="K3050" i="1"/>
  <c r="N3050" i="1" s="1"/>
  <c r="J3050" i="1"/>
  <c r="M3050" i="1" s="1"/>
  <c r="G3050" i="1"/>
  <c r="H3051" i="1" s="1"/>
  <c r="F3050" i="1"/>
  <c r="D3050" i="1"/>
  <c r="L3050" i="1" s="1"/>
  <c r="K3049" i="1"/>
  <c r="N3049" i="1" s="1"/>
  <c r="J3049" i="1"/>
  <c r="M3049" i="1" s="1"/>
  <c r="G3049" i="1"/>
  <c r="H3050" i="1" s="1"/>
  <c r="F3049" i="1"/>
  <c r="D3049" i="1"/>
  <c r="L3049" i="1" s="1"/>
  <c r="K3048" i="1"/>
  <c r="N3048" i="1" s="1"/>
  <c r="J3048" i="1"/>
  <c r="M3048" i="1" s="1"/>
  <c r="G3048" i="1"/>
  <c r="H3049" i="1" s="1"/>
  <c r="F3048" i="1"/>
  <c r="D3048" i="1"/>
  <c r="L3048" i="1" s="1"/>
  <c r="K3047" i="1"/>
  <c r="N3047" i="1" s="1"/>
  <c r="J3047" i="1"/>
  <c r="M3047" i="1" s="1"/>
  <c r="G3047" i="1"/>
  <c r="H3048" i="1" s="1"/>
  <c r="F3047" i="1"/>
  <c r="D3047" i="1"/>
  <c r="L3047" i="1" s="1"/>
  <c r="K3046" i="1"/>
  <c r="N3046" i="1" s="1"/>
  <c r="J3046" i="1"/>
  <c r="M3046" i="1" s="1"/>
  <c r="G3046" i="1"/>
  <c r="H3047" i="1" s="1"/>
  <c r="F3046" i="1"/>
  <c r="D3046" i="1"/>
  <c r="L3046" i="1" s="1"/>
  <c r="K3045" i="1"/>
  <c r="N3045" i="1" s="1"/>
  <c r="J3045" i="1"/>
  <c r="M3045" i="1" s="1"/>
  <c r="G3045" i="1"/>
  <c r="H3046" i="1" s="1"/>
  <c r="F3045" i="1"/>
  <c r="D3045" i="1"/>
  <c r="L3045" i="1" s="1"/>
  <c r="K3044" i="1"/>
  <c r="N3044" i="1" s="1"/>
  <c r="J3044" i="1"/>
  <c r="M3044" i="1" s="1"/>
  <c r="G3044" i="1"/>
  <c r="H3045" i="1" s="1"/>
  <c r="F3044" i="1"/>
  <c r="D3044" i="1"/>
  <c r="L3044" i="1" s="1"/>
  <c r="K3043" i="1"/>
  <c r="N3043" i="1" s="1"/>
  <c r="J3043" i="1"/>
  <c r="M3043" i="1" s="1"/>
  <c r="G3043" i="1"/>
  <c r="H3044" i="1" s="1"/>
  <c r="F3043" i="1"/>
  <c r="D3043" i="1"/>
  <c r="L3043" i="1" s="1"/>
  <c r="K3042" i="1"/>
  <c r="N3042" i="1" s="1"/>
  <c r="J3042" i="1"/>
  <c r="M3042" i="1" s="1"/>
  <c r="G3042" i="1"/>
  <c r="H3043" i="1" s="1"/>
  <c r="F3042" i="1"/>
  <c r="D3042" i="1"/>
  <c r="L3042" i="1" s="1"/>
  <c r="K3041" i="1"/>
  <c r="N3041" i="1" s="1"/>
  <c r="J3041" i="1"/>
  <c r="M3041" i="1" s="1"/>
  <c r="G3041" i="1"/>
  <c r="H3042" i="1" s="1"/>
  <c r="F3041" i="1"/>
  <c r="D3041" i="1"/>
  <c r="L3041" i="1" s="1"/>
  <c r="K3040" i="1"/>
  <c r="N3040" i="1" s="1"/>
  <c r="J3040" i="1"/>
  <c r="M3040" i="1" s="1"/>
  <c r="G3040" i="1"/>
  <c r="H3041" i="1" s="1"/>
  <c r="F3040" i="1"/>
  <c r="D3040" i="1"/>
  <c r="L3040" i="1" s="1"/>
  <c r="K3039" i="1"/>
  <c r="N3039" i="1" s="1"/>
  <c r="J3039" i="1"/>
  <c r="M3039" i="1" s="1"/>
  <c r="G3039" i="1"/>
  <c r="H3040" i="1" s="1"/>
  <c r="F3039" i="1"/>
  <c r="D3039" i="1"/>
  <c r="L3039" i="1" s="1"/>
  <c r="K3038" i="1"/>
  <c r="N3038" i="1" s="1"/>
  <c r="J3038" i="1"/>
  <c r="M3038" i="1" s="1"/>
  <c r="G3038" i="1"/>
  <c r="H3039" i="1" s="1"/>
  <c r="F3038" i="1"/>
  <c r="D3038" i="1"/>
  <c r="L3038" i="1" s="1"/>
  <c r="K3037" i="1"/>
  <c r="N3037" i="1" s="1"/>
  <c r="J3037" i="1"/>
  <c r="M3037" i="1" s="1"/>
  <c r="G3037" i="1"/>
  <c r="H3038" i="1" s="1"/>
  <c r="F3037" i="1"/>
  <c r="D3037" i="1"/>
  <c r="L3037" i="1" s="1"/>
  <c r="K3036" i="1"/>
  <c r="N3036" i="1" s="1"/>
  <c r="J3036" i="1"/>
  <c r="M3036" i="1" s="1"/>
  <c r="G3036" i="1"/>
  <c r="H3037" i="1" s="1"/>
  <c r="F3036" i="1"/>
  <c r="D3036" i="1"/>
  <c r="L3036" i="1" s="1"/>
  <c r="K3035" i="1"/>
  <c r="N3035" i="1" s="1"/>
  <c r="J3035" i="1"/>
  <c r="M3035" i="1" s="1"/>
  <c r="G3035" i="1"/>
  <c r="H3036" i="1" s="1"/>
  <c r="F3035" i="1"/>
  <c r="D3035" i="1"/>
  <c r="L3035" i="1" s="1"/>
  <c r="K3034" i="1"/>
  <c r="N3034" i="1" s="1"/>
  <c r="J3034" i="1"/>
  <c r="M3034" i="1" s="1"/>
  <c r="G3034" i="1"/>
  <c r="H3035" i="1" s="1"/>
  <c r="F3034" i="1"/>
  <c r="D3034" i="1"/>
  <c r="L3034" i="1" s="1"/>
  <c r="K3033" i="1"/>
  <c r="N3033" i="1" s="1"/>
  <c r="J3033" i="1"/>
  <c r="M3033" i="1" s="1"/>
  <c r="G3033" i="1"/>
  <c r="H3034" i="1" s="1"/>
  <c r="F3033" i="1"/>
  <c r="D3033" i="1"/>
  <c r="L3033" i="1" s="1"/>
  <c r="K3032" i="1"/>
  <c r="N3032" i="1" s="1"/>
  <c r="J3032" i="1"/>
  <c r="M3032" i="1" s="1"/>
  <c r="G3032" i="1"/>
  <c r="H3033" i="1" s="1"/>
  <c r="F3032" i="1"/>
  <c r="D3032" i="1"/>
  <c r="L3032" i="1" s="1"/>
  <c r="K3031" i="1"/>
  <c r="N3031" i="1" s="1"/>
  <c r="J3031" i="1"/>
  <c r="M3031" i="1" s="1"/>
  <c r="G3031" i="1"/>
  <c r="H3032" i="1" s="1"/>
  <c r="F3031" i="1"/>
  <c r="D3031" i="1"/>
  <c r="L3031" i="1" s="1"/>
  <c r="K3030" i="1"/>
  <c r="N3030" i="1" s="1"/>
  <c r="J3030" i="1"/>
  <c r="M3030" i="1" s="1"/>
  <c r="G3030" i="1"/>
  <c r="H3031" i="1" s="1"/>
  <c r="F3030" i="1"/>
  <c r="D3030" i="1"/>
  <c r="L3030" i="1" s="1"/>
  <c r="K3029" i="1"/>
  <c r="N3029" i="1" s="1"/>
  <c r="J3029" i="1"/>
  <c r="M3029" i="1" s="1"/>
  <c r="G3029" i="1"/>
  <c r="H3030" i="1" s="1"/>
  <c r="F3029" i="1"/>
  <c r="D3029" i="1"/>
  <c r="L3029" i="1" s="1"/>
  <c r="K3028" i="1"/>
  <c r="N3028" i="1" s="1"/>
  <c r="J3028" i="1"/>
  <c r="M3028" i="1" s="1"/>
  <c r="G3028" i="1"/>
  <c r="H3029" i="1" s="1"/>
  <c r="F3028" i="1"/>
  <c r="D3028" i="1"/>
  <c r="L3028" i="1" s="1"/>
  <c r="K3027" i="1"/>
  <c r="N3027" i="1" s="1"/>
  <c r="J3027" i="1"/>
  <c r="M3027" i="1" s="1"/>
  <c r="G3027" i="1"/>
  <c r="H3028" i="1" s="1"/>
  <c r="F3027" i="1"/>
  <c r="D3027" i="1"/>
  <c r="L3027" i="1" s="1"/>
  <c r="K3026" i="1"/>
  <c r="N3026" i="1" s="1"/>
  <c r="J3026" i="1"/>
  <c r="M3026" i="1" s="1"/>
  <c r="G3026" i="1"/>
  <c r="H3027" i="1" s="1"/>
  <c r="F3026" i="1"/>
  <c r="D3026" i="1"/>
  <c r="L3026" i="1" s="1"/>
  <c r="K3025" i="1"/>
  <c r="N3025" i="1" s="1"/>
  <c r="J3025" i="1"/>
  <c r="M3025" i="1" s="1"/>
  <c r="G3025" i="1"/>
  <c r="H3026" i="1" s="1"/>
  <c r="F3025" i="1"/>
  <c r="D3025" i="1"/>
  <c r="L3025" i="1" s="1"/>
  <c r="K3024" i="1"/>
  <c r="N3024" i="1" s="1"/>
  <c r="J3024" i="1"/>
  <c r="M3024" i="1" s="1"/>
  <c r="G3024" i="1"/>
  <c r="H3025" i="1" s="1"/>
  <c r="F3024" i="1"/>
  <c r="D3024" i="1"/>
  <c r="L3024" i="1" s="1"/>
  <c r="K3023" i="1"/>
  <c r="N3023" i="1" s="1"/>
  <c r="J3023" i="1"/>
  <c r="M3023" i="1" s="1"/>
  <c r="G3023" i="1"/>
  <c r="H3024" i="1" s="1"/>
  <c r="F3023" i="1"/>
  <c r="D3023" i="1"/>
  <c r="L3023" i="1" s="1"/>
  <c r="K3022" i="1"/>
  <c r="N3022" i="1" s="1"/>
  <c r="J3022" i="1"/>
  <c r="M3022" i="1" s="1"/>
  <c r="G3022" i="1"/>
  <c r="H3023" i="1" s="1"/>
  <c r="F3022" i="1"/>
  <c r="D3022" i="1"/>
  <c r="L3022" i="1" s="1"/>
  <c r="K3021" i="1"/>
  <c r="N3021" i="1" s="1"/>
  <c r="J3021" i="1"/>
  <c r="M3021" i="1" s="1"/>
  <c r="G3021" i="1"/>
  <c r="H3022" i="1" s="1"/>
  <c r="F3021" i="1"/>
  <c r="D3021" i="1"/>
  <c r="L3021" i="1" s="1"/>
  <c r="K3020" i="1"/>
  <c r="N3020" i="1" s="1"/>
  <c r="J3020" i="1"/>
  <c r="M3020" i="1" s="1"/>
  <c r="G3020" i="1"/>
  <c r="H3021" i="1" s="1"/>
  <c r="F3020" i="1"/>
  <c r="D3020" i="1"/>
  <c r="L3020" i="1" s="1"/>
  <c r="K3019" i="1"/>
  <c r="N3019" i="1" s="1"/>
  <c r="J3019" i="1"/>
  <c r="M3019" i="1" s="1"/>
  <c r="G3019" i="1"/>
  <c r="H3020" i="1" s="1"/>
  <c r="F3019" i="1"/>
  <c r="D3019" i="1"/>
  <c r="L3019" i="1" s="1"/>
  <c r="K3018" i="1"/>
  <c r="N3018" i="1" s="1"/>
  <c r="J3018" i="1"/>
  <c r="M3018" i="1" s="1"/>
  <c r="G3018" i="1"/>
  <c r="H3019" i="1" s="1"/>
  <c r="F3018" i="1"/>
  <c r="D3018" i="1"/>
  <c r="L3018" i="1" s="1"/>
  <c r="K3017" i="1"/>
  <c r="N3017" i="1" s="1"/>
  <c r="J3017" i="1"/>
  <c r="M3017" i="1" s="1"/>
  <c r="G3017" i="1"/>
  <c r="H3018" i="1" s="1"/>
  <c r="F3017" i="1"/>
  <c r="D3017" i="1"/>
  <c r="L3017" i="1" s="1"/>
  <c r="K3016" i="1"/>
  <c r="N3016" i="1" s="1"/>
  <c r="J3016" i="1"/>
  <c r="M3016" i="1" s="1"/>
  <c r="G3016" i="1"/>
  <c r="H3017" i="1" s="1"/>
  <c r="F3016" i="1"/>
  <c r="D3016" i="1"/>
  <c r="L3016" i="1" s="1"/>
  <c r="K3015" i="1"/>
  <c r="N3015" i="1" s="1"/>
  <c r="J3015" i="1"/>
  <c r="M3015" i="1" s="1"/>
  <c r="G3015" i="1"/>
  <c r="H3016" i="1" s="1"/>
  <c r="F3015" i="1"/>
  <c r="D3015" i="1"/>
  <c r="L3015" i="1" s="1"/>
  <c r="K3014" i="1"/>
  <c r="N3014" i="1" s="1"/>
  <c r="J3014" i="1"/>
  <c r="M3014" i="1" s="1"/>
  <c r="G3014" i="1"/>
  <c r="H3015" i="1" s="1"/>
  <c r="F3014" i="1"/>
  <c r="D3014" i="1"/>
  <c r="L3014" i="1" s="1"/>
  <c r="K3013" i="1"/>
  <c r="N3013" i="1" s="1"/>
  <c r="J3013" i="1"/>
  <c r="M3013" i="1" s="1"/>
  <c r="G3013" i="1"/>
  <c r="H3014" i="1" s="1"/>
  <c r="F3013" i="1"/>
  <c r="D3013" i="1"/>
  <c r="L3013" i="1" s="1"/>
  <c r="K3012" i="1"/>
  <c r="N3012" i="1" s="1"/>
  <c r="J3012" i="1"/>
  <c r="M3012" i="1" s="1"/>
  <c r="G3012" i="1"/>
  <c r="H3013" i="1" s="1"/>
  <c r="F3012" i="1"/>
  <c r="D3012" i="1"/>
  <c r="L3012" i="1" s="1"/>
  <c r="K3011" i="1"/>
  <c r="N3011" i="1" s="1"/>
  <c r="J3011" i="1"/>
  <c r="M3011" i="1" s="1"/>
  <c r="G3011" i="1"/>
  <c r="H3012" i="1" s="1"/>
  <c r="F3011" i="1"/>
  <c r="D3011" i="1"/>
  <c r="L3011" i="1" s="1"/>
  <c r="K3010" i="1"/>
  <c r="N3010" i="1" s="1"/>
  <c r="J3010" i="1"/>
  <c r="M3010" i="1" s="1"/>
  <c r="G3010" i="1"/>
  <c r="H3011" i="1" s="1"/>
  <c r="F3010" i="1"/>
  <c r="D3010" i="1"/>
  <c r="L3010" i="1" s="1"/>
  <c r="K3009" i="1"/>
  <c r="N3009" i="1" s="1"/>
  <c r="J3009" i="1"/>
  <c r="M3009" i="1" s="1"/>
  <c r="G3009" i="1"/>
  <c r="H3010" i="1" s="1"/>
  <c r="F3009" i="1"/>
  <c r="D3009" i="1"/>
  <c r="L3009" i="1" s="1"/>
  <c r="K3008" i="1"/>
  <c r="N3008" i="1" s="1"/>
  <c r="J3008" i="1"/>
  <c r="M3008" i="1" s="1"/>
  <c r="G3008" i="1"/>
  <c r="H3009" i="1" s="1"/>
  <c r="F3008" i="1"/>
  <c r="D3008" i="1"/>
  <c r="L3008" i="1" s="1"/>
  <c r="K3007" i="1"/>
  <c r="N3007" i="1" s="1"/>
  <c r="J3007" i="1"/>
  <c r="M3007" i="1" s="1"/>
  <c r="G3007" i="1"/>
  <c r="H3008" i="1" s="1"/>
  <c r="F3007" i="1"/>
  <c r="D3007" i="1"/>
  <c r="L3007" i="1" s="1"/>
  <c r="K3006" i="1"/>
  <c r="N3006" i="1" s="1"/>
  <c r="J3006" i="1"/>
  <c r="M3006" i="1" s="1"/>
  <c r="G3006" i="1"/>
  <c r="H3007" i="1" s="1"/>
  <c r="F3006" i="1"/>
  <c r="D3006" i="1"/>
  <c r="L3006" i="1" s="1"/>
  <c r="K3005" i="1"/>
  <c r="N3005" i="1" s="1"/>
  <c r="J3005" i="1"/>
  <c r="M3005" i="1" s="1"/>
  <c r="G3005" i="1"/>
  <c r="H3006" i="1" s="1"/>
  <c r="F3005" i="1"/>
  <c r="D3005" i="1"/>
  <c r="L3005" i="1" s="1"/>
  <c r="K3004" i="1"/>
  <c r="N3004" i="1" s="1"/>
  <c r="J3004" i="1"/>
  <c r="M3004" i="1" s="1"/>
  <c r="G3004" i="1"/>
  <c r="H3005" i="1" s="1"/>
  <c r="F3004" i="1"/>
  <c r="D3004" i="1"/>
  <c r="L3004" i="1" s="1"/>
  <c r="K3003" i="1"/>
  <c r="N3003" i="1" s="1"/>
  <c r="J3003" i="1"/>
  <c r="M3003" i="1" s="1"/>
  <c r="G3003" i="1"/>
  <c r="H3004" i="1" s="1"/>
  <c r="F3003" i="1"/>
  <c r="D3003" i="1"/>
  <c r="L3003" i="1" s="1"/>
  <c r="K3002" i="1"/>
  <c r="N3002" i="1" s="1"/>
  <c r="J3002" i="1"/>
  <c r="M3002" i="1" s="1"/>
  <c r="G3002" i="1"/>
  <c r="H3003" i="1" s="1"/>
  <c r="F3002" i="1"/>
  <c r="D3002" i="1"/>
  <c r="L3002" i="1" s="1"/>
  <c r="K3001" i="1"/>
  <c r="N3001" i="1" s="1"/>
  <c r="J3001" i="1"/>
  <c r="M3001" i="1" s="1"/>
  <c r="G3001" i="1"/>
  <c r="H3002" i="1" s="1"/>
  <c r="F3001" i="1"/>
  <c r="D3001" i="1"/>
  <c r="L3001" i="1" s="1"/>
  <c r="K3000" i="1"/>
  <c r="N3000" i="1" s="1"/>
  <c r="J3000" i="1"/>
  <c r="M3000" i="1" s="1"/>
  <c r="G3000" i="1"/>
  <c r="H3001" i="1" s="1"/>
  <c r="F3000" i="1"/>
  <c r="D3000" i="1"/>
  <c r="L3000" i="1" s="1"/>
  <c r="K2999" i="1"/>
  <c r="N2999" i="1" s="1"/>
  <c r="J2999" i="1"/>
  <c r="M2999" i="1" s="1"/>
  <c r="G2999" i="1"/>
  <c r="H3000" i="1" s="1"/>
  <c r="F2999" i="1"/>
  <c r="D2999" i="1"/>
  <c r="L2999" i="1" s="1"/>
  <c r="K2998" i="1"/>
  <c r="N2998" i="1" s="1"/>
  <c r="J2998" i="1"/>
  <c r="M2998" i="1" s="1"/>
  <c r="G2998" i="1"/>
  <c r="H2999" i="1" s="1"/>
  <c r="F2998" i="1"/>
  <c r="D2998" i="1"/>
  <c r="L2998" i="1" s="1"/>
  <c r="K2997" i="1"/>
  <c r="N2997" i="1" s="1"/>
  <c r="J2997" i="1"/>
  <c r="M2997" i="1" s="1"/>
  <c r="G2997" i="1"/>
  <c r="H2998" i="1" s="1"/>
  <c r="F2997" i="1"/>
  <c r="D2997" i="1"/>
  <c r="L2997" i="1" s="1"/>
  <c r="K2996" i="1"/>
  <c r="N2996" i="1" s="1"/>
  <c r="J2996" i="1"/>
  <c r="M2996" i="1" s="1"/>
  <c r="G2996" i="1"/>
  <c r="H2997" i="1" s="1"/>
  <c r="F2996" i="1"/>
  <c r="D2996" i="1"/>
  <c r="L2996" i="1" s="1"/>
  <c r="K2995" i="1"/>
  <c r="N2995" i="1" s="1"/>
  <c r="J2995" i="1"/>
  <c r="M2995" i="1" s="1"/>
  <c r="G2995" i="1"/>
  <c r="H2996" i="1" s="1"/>
  <c r="F2995" i="1"/>
  <c r="D2995" i="1"/>
  <c r="L2995" i="1" s="1"/>
  <c r="K2994" i="1"/>
  <c r="N2994" i="1" s="1"/>
  <c r="J2994" i="1"/>
  <c r="M2994" i="1" s="1"/>
  <c r="G2994" i="1"/>
  <c r="H2995" i="1" s="1"/>
  <c r="F2994" i="1"/>
  <c r="D2994" i="1"/>
  <c r="L2994" i="1" s="1"/>
  <c r="K2993" i="1"/>
  <c r="N2993" i="1" s="1"/>
  <c r="J2993" i="1"/>
  <c r="M2993" i="1" s="1"/>
  <c r="G2993" i="1"/>
  <c r="H2994" i="1" s="1"/>
  <c r="F2993" i="1"/>
  <c r="D2993" i="1"/>
  <c r="L2993" i="1" s="1"/>
  <c r="K2992" i="1"/>
  <c r="N2992" i="1" s="1"/>
  <c r="J2992" i="1"/>
  <c r="M2992" i="1" s="1"/>
  <c r="G2992" i="1"/>
  <c r="H2993" i="1" s="1"/>
  <c r="F2992" i="1"/>
  <c r="D2992" i="1"/>
  <c r="L2992" i="1" s="1"/>
  <c r="K2991" i="1"/>
  <c r="N2991" i="1" s="1"/>
  <c r="J2991" i="1"/>
  <c r="M2991" i="1" s="1"/>
  <c r="G2991" i="1"/>
  <c r="H2992" i="1" s="1"/>
  <c r="F2991" i="1"/>
  <c r="D2991" i="1"/>
  <c r="L2991" i="1" s="1"/>
  <c r="K2990" i="1"/>
  <c r="N2990" i="1" s="1"/>
  <c r="J2990" i="1"/>
  <c r="M2990" i="1" s="1"/>
  <c r="G2990" i="1"/>
  <c r="H2991" i="1" s="1"/>
  <c r="F2990" i="1"/>
  <c r="D2990" i="1"/>
  <c r="L2990" i="1" s="1"/>
  <c r="K2989" i="1"/>
  <c r="N2989" i="1" s="1"/>
  <c r="J2989" i="1"/>
  <c r="M2989" i="1" s="1"/>
  <c r="G2989" i="1"/>
  <c r="H2990" i="1" s="1"/>
  <c r="F2989" i="1"/>
  <c r="D2989" i="1"/>
  <c r="L2989" i="1" s="1"/>
  <c r="K2988" i="1"/>
  <c r="N2988" i="1" s="1"/>
  <c r="J2988" i="1"/>
  <c r="M2988" i="1" s="1"/>
  <c r="G2988" i="1"/>
  <c r="H2989" i="1" s="1"/>
  <c r="F2988" i="1"/>
  <c r="D2988" i="1"/>
  <c r="L2988" i="1" s="1"/>
  <c r="K2987" i="1"/>
  <c r="N2987" i="1" s="1"/>
  <c r="J2987" i="1"/>
  <c r="M2987" i="1" s="1"/>
  <c r="G2987" i="1"/>
  <c r="H2988" i="1" s="1"/>
  <c r="F2987" i="1"/>
  <c r="D2987" i="1"/>
  <c r="L2987" i="1" s="1"/>
  <c r="K2986" i="1"/>
  <c r="N2986" i="1" s="1"/>
  <c r="J2986" i="1"/>
  <c r="M2986" i="1" s="1"/>
  <c r="G2986" i="1"/>
  <c r="H2987" i="1" s="1"/>
  <c r="F2986" i="1"/>
  <c r="D2986" i="1"/>
  <c r="L2986" i="1" s="1"/>
  <c r="K2985" i="1"/>
  <c r="N2985" i="1" s="1"/>
  <c r="J2985" i="1"/>
  <c r="M2985" i="1" s="1"/>
  <c r="G2985" i="1"/>
  <c r="H2986" i="1" s="1"/>
  <c r="F2985" i="1"/>
  <c r="D2985" i="1"/>
  <c r="L2985" i="1" s="1"/>
  <c r="K2984" i="1"/>
  <c r="N2984" i="1" s="1"/>
  <c r="J2984" i="1"/>
  <c r="M2984" i="1" s="1"/>
  <c r="G2984" i="1"/>
  <c r="H2985" i="1" s="1"/>
  <c r="F2984" i="1"/>
  <c r="D2984" i="1"/>
  <c r="L2984" i="1" s="1"/>
  <c r="K2983" i="1"/>
  <c r="N2983" i="1" s="1"/>
  <c r="J2983" i="1"/>
  <c r="M2983" i="1" s="1"/>
  <c r="G2983" i="1"/>
  <c r="H2984" i="1" s="1"/>
  <c r="F2983" i="1"/>
  <c r="D2983" i="1"/>
  <c r="L2983" i="1" s="1"/>
  <c r="K2982" i="1"/>
  <c r="N2982" i="1" s="1"/>
  <c r="J2982" i="1"/>
  <c r="M2982" i="1" s="1"/>
  <c r="G2982" i="1"/>
  <c r="H2983" i="1" s="1"/>
  <c r="F2982" i="1"/>
  <c r="D2982" i="1"/>
  <c r="L2982" i="1" s="1"/>
  <c r="K2981" i="1"/>
  <c r="N2981" i="1" s="1"/>
  <c r="J2981" i="1"/>
  <c r="M2981" i="1" s="1"/>
  <c r="G2981" i="1"/>
  <c r="H2982" i="1" s="1"/>
  <c r="F2981" i="1"/>
  <c r="D2981" i="1"/>
  <c r="L2981" i="1" s="1"/>
  <c r="K2980" i="1"/>
  <c r="N2980" i="1" s="1"/>
  <c r="J2980" i="1"/>
  <c r="M2980" i="1" s="1"/>
  <c r="G2980" i="1"/>
  <c r="H2981" i="1" s="1"/>
  <c r="F2980" i="1"/>
  <c r="D2980" i="1"/>
  <c r="L2980" i="1" s="1"/>
  <c r="K2979" i="1"/>
  <c r="N2979" i="1" s="1"/>
  <c r="J2979" i="1"/>
  <c r="M2979" i="1" s="1"/>
  <c r="G2979" i="1"/>
  <c r="H2980" i="1" s="1"/>
  <c r="F2979" i="1"/>
  <c r="D2979" i="1"/>
  <c r="L2979" i="1" s="1"/>
  <c r="K2978" i="1"/>
  <c r="N2978" i="1" s="1"/>
  <c r="J2978" i="1"/>
  <c r="M2978" i="1" s="1"/>
  <c r="G2978" i="1"/>
  <c r="H2979" i="1" s="1"/>
  <c r="F2978" i="1"/>
  <c r="D2978" i="1"/>
  <c r="L2978" i="1" s="1"/>
  <c r="K2977" i="1"/>
  <c r="N2977" i="1" s="1"/>
  <c r="J2977" i="1"/>
  <c r="M2977" i="1" s="1"/>
  <c r="G2977" i="1"/>
  <c r="H2978" i="1" s="1"/>
  <c r="F2977" i="1"/>
  <c r="D2977" i="1"/>
  <c r="L2977" i="1" s="1"/>
  <c r="K2976" i="1"/>
  <c r="N2976" i="1" s="1"/>
  <c r="J2976" i="1"/>
  <c r="M2976" i="1" s="1"/>
  <c r="G2976" i="1"/>
  <c r="H2977" i="1" s="1"/>
  <c r="F2976" i="1"/>
  <c r="D2976" i="1"/>
  <c r="L2976" i="1" s="1"/>
  <c r="K2975" i="1"/>
  <c r="N2975" i="1" s="1"/>
  <c r="J2975" i="1"/>
  <c r="M2975" i="1" s="1"/>
  <c r="G2975" i="1"/>
  <c r="H2976" i="1" s="1"/>
  <c r="F2975" i="1"/>
  <c r="D2975" i="1"/>
  <c r="L2975" i="1" s="1"/>
  <c r="K2974" i="1"/>
  <c r="N2974" i="1" s="1"/>
  <c r="J2974" i="1"/>
  <c r="M2974" i="1" s="1"/>
  <c r="G2974" i="1"/>
  <c r="H2975" i="1" s="1"/>
  <c r="F2974" i="1"/>
  <c r="D2974" i="1"/>
  <c r="L2974" i="1" s="1"/>
  <c r="K2973" i="1"/>
  <c r="N2973" i="1" s="1"/>
  <c r="J2973" i="1"/>
  <c r="M2973" i="1" s="1"/>
  <c r="G2973" i="1"/>
  <c r="H2974" i="1" s="1"/>
  <c r="F2973" i="1"/>
  <c r="D2973" i="1"/>
  <c r="L2973" i="1" s="1"/>
  <c r="K2972" i="1"/>
  <c r="N2972" i="1" s="1"/>
  <c r="J2972" i="1"/>
  <c r="M2972" i="1" s="1"/>
  <c r="G2972" i="1"/>
  <c r="H2973" i="1" s="1"/>
  <c r="F2972" i="1"/>
  <c r="D2972" i="1"/>
  <c r="L2972" i="1" s="1"/>
  <c r="K2971" i="1"/>
  <c r="N2971" i="1" s="1"/>
  <c r="J2971" i="1"/>
  <c r="M2971" i="1" s="1"/>
  <c r="G2971" i="1"/>
  <c r="H2972" i="1" s="1"/>
  <c r="F2971" i="1"/>
  <c r="D2971" i="1"/>
  <c r="L2971" i="1" s="1"/>
  <c r="K2970" i="1"/>
  <c r="N2970" i="1" s="1"/>
  <c r="J2970" i="1"/>
  <c r="M2970" i="1" s="1"/>
  <c r="G2970" i="1"/>
  <c r="H2971" i="1" s="1"/>
  <c r="F2970" i="1"/>
  <c r="D2970" i="1"/>
  <c r="L2970" i="1" s="1"/>
  <c r="K2969" i="1"/>
  <c r="N2969" i="1" s="1"/>
  <c r="J2969" i="1"/>
  <c r="M2969" i="1" s="1"/>
  <c r="G2969" i="1"/>
  <c r="H2970" i="1" s="1"/>
  <c r="F2969" i="1"/>
  <c r="D2969" i="1"/>
  <c r="L2969" i="1" s="1"/>
  <c r="K2968" i="1"/>
  <c r="N2968" i="1" s="1"/>
  <c r="J2968" i="1"/>
  <c r="M2968" i="1" s="1"/>
  <c r="G2968" i="1"/>
  <c r="H2969" i="1" s="1"/>
  <c r="F2968" i="1"/>
  <c r="D2968" i="1"/>
  <c r="L2968" i="1" s="1"/>
  <c r="K2967" i="1"/>
  <c r="N2967" i="1" s="1"/>
  <c r="J2967" i="1"/>
  <c r="M2967" i="1" s="1"/>
  <c r="G2967" i="1"/>
  <c r="H2968" i="1" s="1"/>
  <c r="F2967" i="1"/>
  <c r="D2967" i="1"/>
  <c r="L2967" i="1" s="1"/>
  <c r="K2966" i="1"/>
  <c r="N2966" i="1" s="1"/>
  <c r="J2966" i="1"/>
  <c r="M2966" i="1" s="1"/>
  <c r="G2966" i="1"/>
  <c r="H2967" i="1" s="1"/>
  <c r="F2966" i="1"/>
  <c r="D2966" i="1"/>
  <c r="L2966" i="1" s="1"/>
  <c r="K2965" i="1"/>
  <c r="N2965" i="1" s="1"/>
  <c r="J2965" i="1"/>
  <c r="M2965" i="1" s="1"/>
  <c r="G2965" i="1"/>
  <c r="H2966" i="1" s="1"/>
  <c r="F2965" i="1"/>
  <c r="D2965" i="1"/>
  <c r="L2965" i="1" s="1"/>
  <c r="K2964" i="1"/>
  <c r="N2964" i="1" s="1"/>
  <c r="J2964" i="1"/>
  <c r="M2964" i="1" s="1"/>
  <c r="G2964" i="1"/>
  <c r="H2965" i="1" s="1"/>
  <c r="F2964" i="1"/>
  <c r="D2964" i="1"/>
  <c r="L2964" i="1" s="1"/>
  <c r="K2963" i="1"/>
  <c r="N2963" i="1" s="1"/>
  <c r="J2963" i="1"/>
  <c r="M2963" i="1" s="1"/>
  <c r="G2963" i="1"/>
  <c r="H2964" i="1" s="1"/>
  <c r="F2963" i="1"/>
  <c r="D2963" i="1"/>
  <c r="L2963" i="1" s="1"/>
  <c r="K2962" i="1"/>
  <c r="N2962" i="1" s="1"/>
  <c r="J2962" i="1"/>
  <c r="M2962" i="1" s="1"/>
  <c r="G2962" i="1"/>
  <c r="H2963" i="1" s="1"/>
  <c r="F2962" i="1"/>
  <c r="D2962" i="1"/>
  <c r="L2962" i="1" s="1"/>
  <c r="K2961" i="1"/>
  <c r="N2961" i="1" s="1"/>
  <c r="J2961" i="1"/>
  <c r="M2961" i="1" s="1"/>
  <c r="G2961" i="1"/>
  <c r="H2962" i="1" s="1"/>
  <c r="F2961" i="1"/>
  <c r="D2961" i="1"/>
  <c r="L2961" i="1" s="1"/>
  <c r="K2960" i="1"/>
  <c r="N2960" i="1" s="1"/>
  <c r="J2960" i="1"/>
  <c r="M2960" i="1" s="1"/>
  <c r="G2960" i="1"/>
  <c r="H2961" i="1" s="1"/>
  <c r="F2960" i="1"/>
  <c r="D2960" i="1"/>
  <c r="L2960" i="1" s="1"/>
  <c r="K2959" i="1"/>
  <c r="N2959" i="1" s="1"/>
  <c r="J2959" i="1"/>
  <c r="M2959" i="1" s="1"/>
  <c r="G2959" i="1"/>
  <c r="H2960" i="1" s="1"/>
  <c r="F2959" i="1"/>
  <c r="D2959" i="1"/>
  <c r="L2959" i="1" s="1"/>
  <c r="K2958" i="1"/>
  <c r="N2958" i="1" s="1"/>
  <c r="J2958" i="1"/>
  <c r="M2958" i="1" s="1"/>
  <c r="G2958" i="1"/>
  <c r="H2959" i="1" s="1"/>
  <c r="F2958" i="1"/>
  <c r="D2958" i="1"/>
  <c r="L2958" i="1" s="1"/>
  <c r="K2957" i="1"/>
  <c r="N2957" i="1" s="1"/>
  <c r="J2957" i="1"/>
  <c r="M2957" i="1" s="1"/>
  <c r="G2957" i="1"/>
  <c r="H2958" i="1" s="1"/>
  <c r="F2957" i="1"/>
  <c r="D2957" i="1"/>
  <c r="L2957" i="1" s="1"/>
  <c r="K2956" i="1"/>
  <c r="N2956" i="1" s="1"/>
  <c r="J2956" i="1"/>
  <c r="M2956" i="1" s="1"/>
  <c r="G2956" i="1"/>
  <c r="H2957" i="1" s="1"/>
  <c r="F2956" i="1"/>
  <c r="D2956" i="1"/>
  <c r="L2956" i="1" s="1"/>
  <c r="K2955" i="1"/>
  <c r="N2955" i="1" s="1"/>
  <c r="J2955" i="1"/>
  <c r="M2955" i="1" s="1"/>
  <c r="G2955" i="1"/>
  <c r="H2956" i="1" s="1"/>
  <c r="F2955" i="1"/>
  <c r="D2955" i="1"/>
  <c r="L2955" i="1" s="1"/>
  <c r="K2954" i="1"/>
  <c r="N2954" i="1" s="1"/>
  <c r="J2954" i="1"/>
  <c r="M2954" i="1" s="1"/>
  <c r="G2954" i="1"/>
  <c r="H2955" i="1" s="1"/>
  <c r="F2954" i="1"/>
  <c r="D2954" i="1"/>
  <c r="L2954" i="1" s="1"/>
  <c r="K2953" i="1"/>
  <c r="N2953" i="1" s="1"/>
  <c r="J2953" i="1"/>
  <c r="M2953" i="1" s="1"/>
  <c r="G2953" i="1"/>
  <c r="H2954" i="1" s="1"/>
  <c r="F2953" i="1"/>
  <c r="D2953" i="1"/>
  <c r="L2953" i="1" s="1"/>
  <c r="K2952" i="1"/>
  <c r="N2952" i="1" s="1"/>
  <c r="J2952" i="1"/>
  <c r="M2952" i="1" s="1"/>
  <c r="G2952" i="1"/>
  <c r="H2953" i="1" s="1"/>
  <c r="F2952" i="1"/>
  <c r="D2952" i="1"/>
  <c r="L2952" i="1" s="1"/>
  <c r="K2951" i="1"/>
  <c r="N2951" i="1" s="1"/>
  <c r="J2951" i="1"/>
  <c r="M2951" i="1" s="1"/>
  <c r="G2951" i="1"/>
  <c r="H2952" i="1" s="1"/>
  <c r="F2951" i="1"/>
  <c r="D2951" i="1"/>
  <c r="L2951" i="1" s="1"/>
  <c r="K2950" i="1"/>
  <c r="N2950" i="1" s="1"/>
  <c r="J2950" i="1"/>
  <c r="M2950" i="1" s="1"/>
  <c r="G2950" i="1"/>
  <c r="H2951" i="1" s="1"/>
  <c r="F2950" i="1"/>
  <c r="D2950" i="1"/>
  <c r="L2950" i="1" s="1"/>
  <c r="K2949" i="1"/>
  <c r="N2949" i="1" s="1"/>
  <c r="J2949" i="1"/>
  <c r="M2949" i="1" s="1"/>
  <c r="G2949" i="1"/>
  <c r="H2950" i="1" s="1"/>
  <c r="F2949" i="1"/>
  <c r="D2949" i="1"/>
  <c r="L2949" i="1" s="1"/>
  <c r="K2948" i="1"/>
  <c r="N2948" i="1" s="1"/>
  <c r="J2948" i="1"/>
  <c r="M2948" i="1" s="1"/>
  <c r="G2948" i="1"/>
  <c r="H2949" i="1" s="1"/>
  <c r="F2948" i="1"/>
  <c r="D2948" i="1"/>
  <c r="L2948" i="1" s="1"/>
  <c r="K2947" i="1"/>
  <c r="N2947" i="1" s="1"/>
  <c r="J2947" i="1"/>
  <c r="M2947" i="1" s="1"/>
  <c r="G2947" i="1"/>
  <c r="H2948" i="1" s="1"/>
  <c r="F2947" i="1"/>
  <c r="D2947" i="1"/>
  <c r="L2947" i="1" s="1"/>
  <c r="K2946" i="1"/>
  <c r="N2946" i="1" s="1"/>
  <c r="J2946" i="1"/>
  <c r="M2946" i="1" s="1"/>
  <c r="G2946" i="1"/>
  <c r="H2947" i="1" s="1"/>
  <c r="F2946" i="1"/>
  <c r="D2946" i="1"/>
  <c r="L2946" i="1" s="1"/>
  <c r="K2945" i="1"/>
  <c r="N2945" i="1" s="1"/>
  <c r="J2945" i="1"/>
  <c r="M2945" i="1" s="1"/>
  <c r="G2945" i="1"/>
  <c r="H2946" i="1" s="1"/>
  <c r="F2945" i="1"/>
  <c r="D2945" i="1"/>
  <c r="L2945" i="1" s="1"/>
  <c r="K2944" i="1"/>
  <c r="N2944" i="1" s="1"/>
  <c r="J2944" i="1"/>
  <c r="M2944" i="1" s="1"/>
  <c r="G2944" i="1"/>
  <c r="H2945" i="1" s="1"/>
  <c r="F2944" i="1"/>
  <c r="D2944" i="1"/>
  <c r="L2944" i="1" s="1"/>
  <c r="K2943" i="1"/>
  <c r="N2943" i="1" s="1"/>
  <c r="J2943" i="1"/>
  <c r="M2943" i="1" s="1"/>
  <c r="G2943" i="1"/>
  <c r="H2944" i="1" s="1"/>
  <c r="F2943" i="1"/>
  <c r="D2943" i="1"/>
  <c r="L2943" i="1" s="1"/>
  <c r="K2942" i="1"/>
  <c r="N2942" i="1" s="1"/>
  <c r="J2942" i="1"/>
  <c r="M2942" i="1" s="1"/>
  <c r="G2942" i="1"/>
  <c r="H2943" i="1" s="1"/>
  <c r="F2942" i="1"/>
  <c r="D2942" i="1"/>
  <c r="L2942" i="1" s="1"/>
  <c r="K2941" i="1"/>
  <c r="N2941" i="1" s="1"/>
  <c r="J2941" i="1"/>
  <c r="M2941" i="1" s="1"/>
  <c r="G2941" i="1"/>
  <c r="H2942" i="1" s="1"/>
  <c r="F2941" i="1"/>
  <c r="D2941" i="1"/>
  <c r="L2941" i="1" s="1"/>
  <c r="K2940" i="1"/>
  <c r="N2940" i="1" s="1"/>
  <c r="J2940" i="1"/>
  <c r="M2940" i="1" s="1"/>
  <c r="G2940" i="1"/>
  <c r="H2941" i="1" s="1"/>
  <c r="F2940" i="1"/>
  <c r="D2940" i="1"/>
  <c r="L2940" i="1" s="1"/>
  <c r="K2939" i="1"/>
  <c r="N2939" i="1" s="1"/>
  <c r="J2939" i="1"/>
  <c r="M2939" i="1" s="1"/>
  <c r="G2939" i="1"/>
  <c r="H2940" i="1" s="1"/>
  <c r="F2939" i="1"/>
  <c r="D2939" i="1"/>
  <c r="L2939" i="1" s="1"/>
  <c r="K2938" i="1"/>
  <c r="N2938" i="1" s="1"/>
  <c r="J2938" i="1"/>
  <c r="M2938" i="1" s="1"/>
  <c r="G2938" i="1"/>
  <c r="H2939" i="1" s="1"/>
  <c r="F2938" i="1"/>
  <c r="D2938" i="1"/>
  <c r="L2938" i="1" s="1"/>
  <c r="K2937" i="1"/>
  <c r="N2937" i="1" s="1"/>
  <c r="J2937" i="1"/>
  <c r="M2937" i="1" s="1"/>
  <c r="G2937" i="1"/>
  <c r="H2938" i="1" s="1"/>
  <c r="F2937" i="1"/>
  <c r="D2937" i="1"/>
  <c r="L2937" i="1" s="1"/>
  <c r="K2936" i="1"/>
  <c r="N2936" i="1" s="1"/>
  <c r="J2936" i="1"/>
  <c r="M2936" i="1" s="1"/>
  <c r="G2936" i="1"/>
  <c r="H2937" i="1" s="1"/>
  <c r="F2936" i="1"/>
  <c r="D2936" i="1"/>
  <c r="L2936" i="1" s="1"/>
  <c r="K2935" i="1"/>
  <c r="N2935" i="1" s="1"/>
  <c r="J2935" i="1"/>
  <c r="M2935" i="1" s="1"/>
  <c r="G2935" i="1"/>
  <c r="H2936" i="1" s="1"/>
  <c r="F2935" i="1"/>
  <c r="D2935" i="1"/>
  <c r="L2935" i="1" s="1"/>
  <c r="K2934" i="1"/>
  <c r="N2934" i="1" s="1"/>
  <c r="J2934" i="1"/>
  <c r="M2934" i="1" s="1"/>
  <c r="G2934" i="1"/>
  <c r="H2935" i="1" s="1"/>
  <c r="F2934" i="1"/>
  <c r="D2934" i="1"/>
  <c r="L2934" i="1" s="1"/>
  <c r="K2933" i="1"/>
  <c r="N2933" i="1" s="1"/>
  <c r="J2933" i="1"/>
  <c r="M2933" i="1" s="1"/>
  <c r="G2933" i="1"/>
  <c r="H2934" i="1" s="1"/>
  <c r="F2933" i="1"/>
  <c r="D2933" i="1"/>
  <c r="L2933" i="1" s="1"/>
  <c r="K2932" i="1"/>
  <c r="N2932" i="1" s="1"/>
  <c r="J2932" i="1"/>
  <c r="M2932" i="1" s="1"/>
  <c r="G2932" i="1"/>
  <c r="H2933" i="1" s="1"/>
  <c r="F2932" i="1"/>
  <c r="D2932" i="1"/>
  <c r="L2932" i="1" s="1"/>
  <c r="K2931" i="1"/>
  <c r="N2931" i="1" s="1"/>
  <c r="J2931" i="1"/>
  <c r="M2931" i="1" s="1"/>
  <c r="G2931" i="1"/>
  <c r="H2932" i="1" s="1"/>
  <c r="F2931" i="1"/>
  <c r="D2931" i="1"/>
  <c r="L2931" i="1" s="1"/>
  <c r="K2930" i="1"/>
  <c r="N2930" i="1" s="1"/>
  <c r="J2930" i="1"/>
  <c r="M2930" i="1" s="1"/>
  <c r="G2930" i="1"/>
  <c r="H2931" i="1" s="1"/>
  <c r="F2930" i="1"/>
  <c r="D2930" i="1"/>
  <c r="L2930" i="1" s="1"/>
  <c r="K2929" i="1"/>
  <c r="N2929" i="1" s="1"/>
  <c r="J2929" i="1"/>
  <c r="M2929" i="1" s="1"/>
  <c r="G2929" i="1"/>
  <c r="H2930" i="1" s="1"/>
  <c r="F2929" i="1"/>
  <c r="D2929" i="1"/>
  <c r="L2929" i="1" s="1"/>
  <c r="K2928" i="1"/>
  <c r="N2928" i="1" s="1"/>
  <c r="J2928" i="1"/>
  <c r="M2928" i="1" s="1"/>
  <c r="G2928" i="1"/>
  <c r="H2929" i="1" s="1"/>
  <c r="F2928" i="1"/>
  <c r="D2928" i="1"/>
  <c r="L2928" i="1" s="1"/>
  <c r="K2927" i="1"/>
  <c r="N2927" i="1" s="1"/>
  <c r="J2927" i="1"/>
  <c r="M2927" i="1" s="1"/>
  <c r="G2927" i="1"/>
  <c r="H2928" i="1" s="1"/>
  <c r="F2927" i="1"/>
  <c r="D2927" i="1"/>
  <c r="L2927" i="1" s="1"/>
  <c r="K2926" i="1"/>
  <c r="N2926" i="1" s="1"/>
  <c r="J2926" i="1"/>
  <c r="M2926" i="1" s="1"/>
  <c r="G2926" i="1"/>
  <c r="H2927" i="1" s="1"/>
  <c r="F2926" i="1"/>
  <c r="D2926" i="1"/>
  <c r="L2926" i="1" s="1"/>
  <c r="K2925" i="1"/>
  <c r="N2925" i="1" s="1"/>
  <c r="J2925" i="1"/>
  <c r="M2925" i="1" s="1"/>
  <c r="G2925" i="1"/>
  <c r="H2926" i="1" s="1"/>
  <c r="F2925" i="1"/>
  <c r="D2925" i="1"/>
  <c r="L2925" i="1" s="1"/>
  <c r="K2924" i="1"/>
  <c r="N2924" i="1" s="1"/>
  <c r="J2924" i="1"/>
  <c r="M2924" i="1" s="1"/>
  <c r="G2924" i="1"/>
  <c r="H2925" i="1" s="1"/>
  <c r="F2924" i="1"/>
  <c r="D2924" i="1"/>
  <c r="L2924" i="1" s="1"/>
  <c r="K2923" i="1"/>
  <c r="N2923" i="1" s="1"/>
  <c r="J2923" i="1"/>
  <c r="M2923" i="1" s="1"/>
  <c r="G2923" i="1"/>
  <c r="H2924" i="1" s="1"/>
  <c r="F2923" i="1"/>
  <c r="D2923" i="1"/>
  <c r="L2923" i="1" s="1"/>
  <c r="K2922" i="1"/>
  <c r="N2922" i="1" s="1"/>
  <c r="J2922" i="1"/>
  <c r="M2922" i="1" s="1"/>
  <c r="G2922" i="1"/>
  <c r="H2923" i="1" s="1"/>
  <c r="F2922" i="1"/>
  <c r="D2922" i="1"/>
  <c r="L2922" i="1" s="1"/>
  <c r="K2921" i="1"/>
  <c r="N2921" i="1" s="1"/>
  <c r="J2921" i="1"/>
  <c r="M2921" i="1" s="1"/>
  <c r="G2921" i="1"/>
  <c r="H2922" i="1" s="1"/>
  <c r="F2921" i="1"/>
  <c r="D2921" i="1"/>
  <c r="L2921" i="1" s="1"/>
  <c r="K2920" i="1"/>
  <c r="N2920" i="1" s="1"/>
  <c r="J2920" i="1"/>
  <c r="M2920" i="1" s="1"/>
  <c r="G2920" i="1"/>
  <c r="H2921" i="1" s="1"/>
  <c r="F2920" i="1"/>
  <c r="D2920" i="1"/>
  <c r="L2920" i="1" s="1"/>
  <c r="K2919" i="1"/>
  <c r="N2919" i="1" s="1"/>
  <c r="J2919" i="1"/>
  <c r="M2919" i="1" s="1"/>
  <c r="G2919" i="1"/>
  <c r="H2920" i="1" s="1"/>
  <c r="F2919" i="1"/>
  <c r="D2919" i="1"/>
  <c r="L2919" i="1" s="1"/>
  <c r="K2918" i="1"/>
  <c r="N2918" i="1" s="1"/>
  <c r="J2918" i="1"/>
  <c r="M2918" i="1" s="1"/>
  <c r="G2918" i="1"/>
  <c r="H2919" i="1" s="1"/>
  <c r="F2918" i="1"/>
  <c r="D2918" i="1"/>
  <c r="L2918" i="1" s="1"/>
  <c r="K2917" i="1"/>
  <c r="N2917" i="1" s="1"/>
  <c r="J2917" i="1"/>
  <c r="M2917" i="1" s="1"/>
  <c r="G2917" i="1"/>
  <c r="H2918" i="1" s="1"/>
  <c r="F2917" i="1"/>
  <c r="D2917" i="1"/>
  <c r="L2917" i="1" s="1"/>
  <c r="K2916" i="1"/>
  <c r="N2916" i="1" s="1"/>
  <c r="J2916" i="1"/>
  <c r="M2916" i="1" s="1"/>
  <c r="G2916" i="1"/>
  <c r="H2917" i="1" s="1"/>
  <c r="F2916" i="1"/>
  <c r="D2916" i="1"/>
  <c r="L2916" i="1" s="1"/>
  <c r="K2915" i="1"/>
  <c r="N2915" i="1" s="1"/>
  <c r="J2915" i="1"/>
  <c r="M2915" i="1" s="1"/>
  <c r="G2915" i="1"/>
  <c r="H2916" i="1" s="1"/>
  <c r="F2915" i="1"/>
  <c r="D2915" i="1"/>
  <c r="L2915" i="1" s="1"/>
  <c r="K2914" i="1"/>
  <c r="N2914" i="1" s="1"/>
  <c r="J2914" i="1"/>
  <c r="M2914" i="1" s="1"/>
  <c r="G2914" i="1"/>
  <c r="H2915" i="1" s="1"/>
  <c r="F2914" i="1"/>
  <c r="D2914" i="1"/>
  <c r="L2914" i="1" s="1"/>
  <c r="K2913" i="1"/>
  <c r="N2913" i="1" s="1"/>
  <c r="J2913" i="1"/>
  <c r="M2913" i="1" s="1"/>
  <c r="G2913" i="1"/>
  <c r="H2914" i="1" s="1"/>
  <c r="F2913" i="1"/>
  <c r="D2913" i="1"/>
  <c r="L2913" i="1" s="1"/>
  <c r="K2912" i="1"/>
  <c r="N2912" i="1" s="1"/>
  <c r="J2912" i="1"/>
  <c r="M2912" i="1" s="1"/>
  <c r="G2912" i="1"/>
  <c r="H2913" i="1" s="1"/>
  <c r="F2912" i="1"/>
  <c r="D2912" i="1"/>
  <c r="L2912" i="1" s="1"/>
  <c r="K2911" i="1"/>
  <c r="N2911" i="1" s="1"/>
  <c r="J2911" i="1"/>
  <c r="M2911" i="1" s="1"/>
  <c r="G2911" i="1"/>
  <c r="H2912" i="1" s="1"/>
  <c r="F2911" i="1"/>
  <c r="D2911" i="1"/>
  <c r="L2911" i="1" s="1"/>
  <c r="K2910" i="1"/>
  <c r="N2910" i="1" s="1"/>
  <c r="J2910" i="1"/>
  <c r="M2910" i="1" s="1"/>
  <c r="G2910" i="1"/>
  <c r="H2911" i="1" s="1"/>
  <c r="F2910" i="1"/>
  <c r="D2910" i="1"/>
  <c r="L2910" i="1" s="1"/>
  <c r="K2909" i="1"/>
  <c r="N2909" i="1" s="1"/>
  <c r="J2909" i="1"/>
  <c r="M2909" i="1" s="1"/>
  <c r="G2909" i="1"/>
  <c r="H2910" i="1" s="1"/>
  <c r="F2909" i="1"/>
  <c r="D2909" i="1"/>
  <c r="L2909" i="1" s="1"/>
  <c r="K2908" i="1"/>
  <c r="N2908" i="1" s="1"/>
  <c r="J2908" i="1"/>
  <c r="M2908" i="1" s="1"/>
  <c r="G2908" i="1"/>
  <c r="H2909" i="1" s="1"/>
  <c r="F2908" i="1"/>
  <c r="D2908" i="1"/>
  <c r="L2908" i="1" s="1"/>
  <c r="K2907" i="1"/>
  <c r="N2907" i="1" s="1"/>
  <c r="J2907" i="1"/>
  <c r="M2907" i="1" s="1"/>
  <c r="G2907" i="1"/>
  <c r="H2908" i="1" s="1"/>
  <c r="F2907" i="1"/>
  <c r="D2907" i="1"/>
  <c r="L2907" i="1" s="1"/>
  <c r="K2906" i="1"/>
  <c r="N2906" i="1" s="1"/>
  <c r="J2906" i="1"/>
  <c r="M2906" i="1" s="1"/>
  <c r="G2906" i="1"/>
  <c r="H2907" i="1" s="1"/>
  <c r="F2906" i="1"/>
  <c r="D2906" i="1"/>
  <c r="L2906" i="1" s="1"/>
  <c r="K2905" i="1"/>
  <c r="N2905" i="1" s="1"/>
  <c r="J2905" i="1"/>
  <c r="M2905" i="1" s="1"/>
  <c r="G2905" i="1"/>
  <c r="H2906" i="1" s="1"/>
  <c r="F2905" i="1"/>
  <c r="D2905" i="1"/>
  <c r="L2905" i="1" s="1"/>
  <c r="K2904" i="1"/>
  <c r="N2904" i="1" s="1"/>
  <c r="J2904" i="1"/>
  <c r="M2904" i="1" s="1"/>
  <c r="G2904" i="1"/>
  <c r="H2905" i="1" s="1"/>
  <c r="F2904" i="1"/>
  <c r="D2904" i="1"/>
  <c r="L2904" i="1" s="1"/>
  <c r="K2903" i="1"/>
  <c r="N2903" i="1" s="1"/>
  <c r="J2903" i="1"/>
  <c r="M2903" i="1" s="1"/>
  <c r="G2903" i="1"/>
  <c r="H2904" i="1" s="1"/>
  <c r="F2903" i="1"/>
  <c r="D2903" i="1"/>
  <c r="L2903" i="1" s="1"/>
  <c r="K2902" i="1"/>
  <c r="N2902" i="1" s="1"/>
  <c r="J2902" i="1"/>
  <c r="M2902" i="1" s="1"/>
  <c r="G2902" i="1"/>
  <c r="H2903" i="1" s="1"/>
  <c r="F2902" i="1"/>
  <c r="D2902" i="1"/>
  <c r="L2902" i="1" s="1"/>
  <c r="K2901" i="1"/>
  <c r="N2901" i="1" s="1"/>
  <c r="J2901" i="1"/>
  <c r="M2901" i="1" s="1"/>
  <c r="G2901" i="1"/>
  <c r="H2902" i="1" s="1"/>
  <c r="F2901" i="1"/>
  <c r="D2901" i="1"/>
  <c r="L2901" i="1" s="1"/>
  <c r="K2900" i="1"/>
  <c r="N2900" i="1" s="1"/>
  <c r="J2900" i="1"/>
  <c r="M2900" i="1" s="1"/>
  <c r="G2900" i="1"/>
  <c r="H2901" i="1" s="1"/>
  <c r="F2900" i="1"/>
  <c r="D2900" i="1"/>
  <c r="L2900" i="1" s="1"/>
  <c r="K2899" i="1"/>
  <c r="N2899" i="1" s="1"/>
  <c r="J2899" i="1"/>
  <c r="M2899" i="1" s="1"/>
  <c r="G2899" i="1"/>
  <c r="H2900" i="1" s="1"/>
  <c r="F2899" i="1"/>
  <c r="D2899" i="1"/>
  <c r="L2899" i="1" s="1"/>
  <c r="K2898" i="1"/>
  <c r="N2898" i="1" s="1"/>
  <c r="J2898" i="1"/>
  <c r="M2898" i="1" s="1"/>
  <c r="G2898" i="1"/>
  <c r="H2899" i="1" s="1"/>
  <c r="F2898" i="1"/>
  <c r="D2898" i="1"/>
  <c r="L2898" i="1" s="1"/>
  <c r="K2897" i="1"/>
  <c r="N2897" i="1" s="1"/>
  <c r="J2897" i="1"/>
  <c r="M2897" i="1" s="1"/>
  <c r="G2897" i="1"/>
  <c r="H2898" i="1" s="1"/>
  <c r="F2897" i="1"/>
  <c r="D2897" i="1"/>
  <c r="L2897" i="1" s="1"/>
  <c r="K2896" i="1"/>
  <c r="N2896" i="1" s="1"/>
  <c r="J2896" i="1"/>
  <c r="M2896" i="1" s="1"/>
  <c r="G2896" i="1"/>
  <c r="H2897" i="1" s="1"/>
  <c r="F2896" i="1"/>
  <c r="D2896" i="1"/>
  <c r="L2896" i="1" s="1"/>
  <c r="K2895" i="1"/>
  <c r="N2895" i="1" s="1"/>
  <c r="J2895" i="1"/>
  <c r="M2895" i="1" s="1"/>
  <c r="G2895" i="1"/>
  <c r="H2896" i="1" s="1"/>
  <c r="F2895" i="1"/>
  <c r="D2895" i="1"/>
  <c r="L2895" i="1" s="1"/>
  <c r="K2894" i="1"/>
  <c r="N2894" i="1" s="1"/>
  <c r="J2894" i="1"/>
  <c r="M2894" i="1" s="1"/>
  <c r="G2894" i="1"/>
  <c r="H2895" i="1" s="1"/>
  <c r="F2894" i="1"/>
  <c r="D2894" i="1"/>
  <c r="L2894" i="1" s="1"/>
  <c r="K2893" i="1"/>
  <c r="N2893" i="1" s="1"/>
  <c r="J2893" i="1"/>
  <c r="M2893" i="1" s="1"/>
  <c r="G2893" i="1"/>
  <c r="H2894" i="1" s="1"/>
  <c r="F2893" i="1"/>
  <c r="D2893" i="1"/>
  <c r="L2893" i="1" s="1"/>
  <c r="K2892" i="1"/>
  <c r="N2892" i="1" s="1"/>
  <c r="J2892" i="1"/>
  <c r="M2892" i="1" s="1"/>
  <c r="G2892" i="1"/>
  <c r="H2893" i="1" s="1"/>
  <c r="F2892" i="1"/>
  <c r="D2892" i="1"/>
  <c r="L2892" i="1" s="1"/>
  <c r="K2891" i="1"/>
  <c r="N2891" i="1" s="1"/>
  <c r="J2891" i="1"/>
  <c r="M2891" i="1" s="1"/>
  <c r="G2891" i="1"/>
  <c r="H2892" i="1" s="1"/>
  <c r="F2891" i="1"/>
  <c r="D2891" i="1"/>
  <c r="L2891" i="1" s="1"/>
  <c r="K2890" i="1"/>
  <c r="N2890" i="1" s="1"/>
  <c r="J2890" i="1"/>
  <c r="M2890" i="1" s="1"/>
  <c r="G2890" i="1"/>
  <c r="H2891" i="1" s="1"/>
  <c r="F2890" i="1"/>
  <c r="D2890" i="1"/>
  <c r="L2890" i="1" s="1"/>
  <c r="K2889" i="1"/>
  <c r="N2889" i="1" s="1"/>
  <c r="J2889" i="1"/>
  <c r="M2889" i="1" s="1"/>
  <c r="G2889" i="1"/>
  <c r="H2890" i="1" s="1"/>
  <c r="F2889" i="1"/>
  <c r="D2889" i="1"/>
  <c r="L2889" i="1" s="1"/>
  <c r="K2888" i="1"/>
  <c r="N2888" i="1" s="1"/>
  <c r="J2888" i="1"/>
  <c r="M2888" i="1" s="1"/>
  <c r="G2888" i="1"/>
  <c r="H2889" i="1" s="1"/>
  <c r="F2888" i="1"/>
  <c r="D2888" i="1"/>
  <c r="L2888" i="1" s="1"/>
  <c r="K2887" i="1"/>
  <c r="N2887" i="1" s="1"/>
  <c r="J2887" i="1"/>
  <c r="M2887" i="1" s="1"/>
  <c r="G2887" i="1"/>
  <c r="H2888" i="1" s="1"/>
  <c r="F2887" i="1"/>
  <c r="D2887" i="1"/>
  <c r="L2887" i="1" s="1"/>
  <c r="K2886" i="1"/>
  <c r="N2886" i="1" s="1"/>
  <c r="J2886" i="1"/>
  <c r="M2886" i="1" s="1"/>
  <c r="G2886" i="1"/>
  <c r="H2887" i="1" s="1"/>
  <c r="F2886" i="1"/>
  <c r="D2886" i="1"/>
  <c r="L2886" i="1" s="1"/>
  <c r="K2885" i="1"/>
  <c r="N2885" i="1" s="1"/>
  <c r="J2885" i="1"/>
  <c r="M2885" i="1" s="1"/>
  <c r="G2885" i="1"/>
  <c r="H2886" i="1" s="1"/>
  <c r="F2885" i="1"/>
  <c r="D2885" i="1"/>
  <c r="L2885" i="1" s="1"/>
  <c r="K2884" i="1"/>
  <c r="N2884" i="1" s="1"/>
  <c r="J2884" i="1"/>
  <c r="M2884" i="1" s="1"/>
  <c r="G2884" i="1"/>
  <c r="H2885" i="1" s="1"/>
  <c r="F2884" i="1"/>
  <c r="D2884" i="1"/>
  <c r="L2884" i="1" s="1"/>
  <c r="K2883" i="1"/>
  <c r="N2883" i="1" s="1"/>
  <c r="J2883" i="1"/>
  <c r="M2883" i="1" s="1"/>
  <c r="G2883" i="1"/>
  <c r="H2884" i="1" s="1"/>
  <c r="F2883" i="1"/>
  <c r="D2883" i="1"/>
  <c r="L2883" i="1" s="1"/>
  <c r="K2882" i="1"/>
  <c r="N2882" i="1" s="1"/>
  <c r="J2882" i="1"/>
  <c r="M2882" i="1" s="1"/>
  <c r="G2882" i="1"/>
  <c r="H2883" i="1" s="1"/>
  <c r="F2882" i="1"/>
  <c r="D2882" i="1"/>
  <c r="L2882" i="1" s="1"/>
  <c r="K2881" i="1"/>
  <c r="N2881" i="1" s="1"/>
  <c r="J2881" i="1"/>
  <c r="M2881" i="1" s="1"/>
  <c r="G2881" i="1"/>
  <c r="H2882" i="1" s="1"/>
  <c r="F2881" i="1"/>
  <c r="D2881" i="1"/>
  <c r="L2881" i="1" s="1"/>
  <c r="K2880" i="1"/>
  <c r="N2880" i="1" s="1"/>
  <c r="J2880" i="1"/>
  <c r="M2880" i="1" s="1"/>
  <c r="G2880" i="1"/>
  <c r="H2881" i="1" s="1"/>
  <c r="F2880" i="1"/>
  <c r="D2880" i="1"/>
  <c r="L2880" i="1" s="1"/>
  <c r="K2879" i="1"/>
  <c r="N2879" i="1" s="1"/>
  <c r="J2879" i="1"/>
  <c r="M2879" i="1" s="1"/>
  <c r="G2879" i="1"/>
  <c r="H2880" i="1" s="1"/>
  <c r="F2879" i="1"/>
  <c r="D2879" i="1"/>
  <c r="L2879" i="1" s="1"/>
  <c r="K2878" i="1"/>
  <c r="N2878" i="1" s="1"/>
  <c r="J2878" i="1"/>
  <c r="M2878" i="1" s="1"/>
  <c r="G2878" i="1"/>
  <c r="H2879" i="1" s="1"/>
  <c r="F2878" i="1"/>
  <c r="D2878" i="1"/>
  <c r="L2878" i="1" s="1"/>
  <c r="K2877" i="1"/>
  <c r="N2877" i="1" s="1"/>
  <c r="J2877" i="1"/>
  <c r="M2877" i="1" s="1"/>
  <c r="G2877" i="1"/>
  <c r="H2878" i="1" s="1"/>
  <c r="F2877" i="1"/>
  <c r="D2877" i="1"/>
  <c r="L2877" i="1" s="1"/>
  <c r="K2876" i="1"/>
  <c r="N2876" i="1" s="1"/>
  <c r="J2876" i="1"/>
  <c r="M2876" i="1" s="1"/>
  <c r="G2876" i="1"/>
  <c r="H2877" i="1" s="1"/>
  <c r="F2876" i="1"/>
  <c r="D2876" i="1"/>
  <c r="L2876" i="1" s="1"/>
  <c r="K2875" i="1"/>
  <c r="N2875" i="1" s="1"/>
  <c r="J2875" i="1"/>
  <c r="M2875" i="1" s="1"/>
  <c r="G2875" i="1"/>
  <c r="H2876" i="1" s="1"/>
  <c r="F2875" i="1"/>
  <c r="D2875" i="1"/>
  <c r="L2875" i="1" s="1"/>
  <c r="K2874" i="1"/>
  <c r="N2874" i="1" s="1"/>
  <c r="J2874" i="1"/>
  <c r="M2874" i="1" s="1"/>
  <c r="G2874" i="1"/>
  <c r="H2875" i="1" s="1"/>
  <c r="F2874" i="1"/>
  <c r="D2874" i="1"/>
  <c r="L2874" i="1" s="1"/>
  <c r="K2873" i="1"/>
  <c r="N2873" i="1" s="1"/>
  <c r="J2873" i="1"/>
  <c r="M2873" i="1" s="1"/>
  <c r="G2873" i="1"/>
  <c r="H2874" i="1" s="1"/>
  <c r="F2873" i="1"/>
  <c r="D2873" i="1"/>
  <c r="L2873" i="1" s="1"/>
  <c r="K2872" i="1"/>
  <c r="N2872" i="1" s="1"/>
  <c r="J2872" i="1"/>
  <c r="M2872" i="1" s="1"/>
  <c r="G2872" i="1"/>
  <c r="H2873" i="1" s="1"/>
  <c r="F2872" i="1"/>
  <c r="D2872" i="1"/>
  <c r="L2872" i="1" s="1"/>
  <c r="K2871" i="1"/>
  <c r="N2871" i="1" s="1"/>
  <c r="J2871" i="1"/>
  <c r="M2871" i="1" s="1"/>
  <c r="G2871" i="1"/>
  <c r="H2872" i="1" s="1"/>
  <c r="F2871" i="1"/>
  <c r="D2871" i="1"/>
  <c r="L2871" i="1" s="1"/>
  <c r="K2870" i="1"/>
  <c r="N2870" i="1" s="1"/>
  <c r="J2870" i="1"/>
  <c r="M2870" i="1" s="1"/>
  <c r="G2870" i="1"/>
  <c r="H2871" i="1" s="1"/>
  <c r="F2870" i="1"/>
  <c r="D2870" i="1"/>
  <c r="L2870" i="1" s="1"/>
  <c r="K2869" i="1"/>
  <c r="N2869" i="1" s="1"/>
  <c r="J2869" i="1"/>
  <c r="M2869" i="1" s="1"/>
  <c r="G2869" i="1"/>
  <c r="H2870" i="1" s="1"/>
  <c r="F2869" i="1"/>
  <c r="D2869" i="1"/>
  <c r="L2869" i="1" s="1"/>
  <c r="K2868" i="1"/>
  <c r="N2868" i="1" s="1"/>
  <c r="J2868" i="1"/>
  <c r="M2868" i="1" s="1"/>
  <c r="G2868" i="1"/>
  <c r="H2869" i="1" s="1"/>
  <c r="F2868" i="1"/>
  <c r="D2868" i="1"/>
  <c r="L2868" i="1" s="1"/>
  <c r="K2867" i="1"/>
  <c r="N2867" i="1" s="1"/>
  <c r="J2867" i="1"/>
  <c r="M2867" i="1" s="1"/>
  <c r="G2867" i="1"/>
  <c r="H2868" i="1" s="1"/>
  <c r="F2867" i="1"/>
  <c r="D2867" i="1"/>
  <c r="L2867" i="1" s="1"/>
  <c r="K2866" i="1"/>
  <c r="N2866" i="1" s="1"/>
  <c r="J2866" i="1"/>
  <c r="M2866" i="1" s="1"/>
  <c r="G2866" i="1"/>
  <c r="H2867" i="1" s="1"/>
  <c r="F2866" i="1"/>
  <c r="D2866" i="1"/>
  <c r="L2866" i="1" s="1"/>
  <c r="K2865" i="1"/>
  <c r="N2865" i="1" s="1"/>
  <c r="J2865" i="1"/>
  <c r="M2865" i="1" s="1"/>
  <c r="G2865" i="1"/>
  <c r="H2866" i="1" s="1"/>
  <c r="F2865" i="1"/>
  <c r="D2865" i="1"/>
  <c r="L2865" i="1" s="1"/>
  <c r="K2864" i="1"/>
  <c r="N2864" i="1" s="1"/>
  <c r="J2864" i="1"/>
  <c r="M2864" i="1" s="1"/>
  <c r="G2864" i="1"/>
  <c r="H2865" i="1" s="1"/>
  <c r="F2864" i="1"/>
  <c r="D2864" i="1"/>
  <c r="L2864" i="1" s="1"/>
  <c r="K2863" i="1"/>
  <c r="N2863" i="1" s="1"/>
  <c r="J2863" i="1"/>
  <c r="M2863" i="1" s="1"/>
  <c r="G2863" i="1"/>
  <c r="H2864" i="1" s="1"/>
  <c r="F2863" i="1"/>
  <c r="D2863" i="1"/>
  <c r="L2863" i="1" s="1"/>
  <c r="K2862" i="1"/>
  <c r="N2862" i="1" s="1"/>
  <c r="J2862" i="1"/>
  <c r="M2862" i="1" s="1"/>
  <c r="G2862" i="1"/>
  <c r="H2863" i="1" s="1"/>
  <c r="F2862" i="1"/>
  <c r="D2862" i="1"/>
  <c r="L2862" i="1" s="1"/>
  <c r="K2861" i="1"/>
  <c r="N2861" i="1" s="1"/>
  <c r="J2861" i="1"/>
  <c r="M2861" i="1" s="1"/>
  <c r="G2861" i="1"/>
  <c r="H2862" i="1" s="1"/>
  <c r="F2861" i="1"/>
  <c r="D2861" i="1"/>
  <c r="L2861" i="1" s="1"/>
  <c r="K2860" i="1"/>
  <c r="N2860" i="1" s="1"/>
  <c r="J2860" i="1"/>
  <c r="M2860" i="1" s="1"/>
  <c r="G2860" i="1"/>
  <c r="H2861" i="1" s="1"/>
  <c r="F2860" i="1"/>
  <c r="D2860" i="1"/>
  <c r="L2860" i="1" s="1"/>
  <c r="K2859" i="1"/>
  <c r="N2859" i="1" s="1"/>
  <c r="J2859" i="1"/>
  <c r="M2859" i="1" s="1"/>
  <c r="G2859" i="1"/>
  <c r="H2860" i="1" s="1"/>
  <c r="F2859" i="1"/>
  <c r="D2859" i="1"/>
  <c r="L2859" i="1" s="1"/>
  <c r="K2858" i="1"/>
  <c r="N2858" i="1" s="1"/>
  <c r="J2858" i="1"/>
  <c r="M2858" i="1" s="1"/>
  <c r="G2858" i="1"/>
  <c r="H2859" i="1" s="1"/>
  <c r="F2858" i="1"/>
  <c r="D2858" i="1"/>
  <c r="L2858" i="1" s="1"/>
  <c r="K2857" i="1"/>
  <c r="N2857" i="1" s="1"/>
  <c r="J2857" i="1"/>
  <c r="M2857" i="1" s="1"/>
  <c r="G2857" i="1"/>
  <c r="H2858" i="1" s="1"/>
  <c r="F2857" i="1"/>
  <c r="D2857" i="1"/>
  <c r="L2857" i="1" s="1"/>
  <c r="K2856" i="1"/>
  <c r="N2856" i="1" s="1"/>
  <c r="J2856" i="1"/>
  <c r="M2856" i="1" s="1"/>
  <c r="G2856" i="1"/>
  <c r="H2857" i="1" s="1"/>
  <c r="F2856" i="1"/>
  <c r="D2856" i="1"/>
  <c r="L2856" i="1" s="1"/>
  <c r="K2855" i="1"/>
  <c r="N2855" i="1" s="1"/>
  <c r="J2855" i="1"/>
  <c r="M2855" i="1" s="1"/>
  <c r="G2855" i="1"/>
  <c r="H2856" i="1" s="1"/>
  <c r="F2855" i="1"/>
  <c r="D2855" i="1"/>
  <c r="L2855" i="1" s="1"/>
  <c r="K2854" i="1"/>
  <c r="N2854" i="1" s="1"/>
  <c r="J2854" i="1"/>
  <c r="M2854" i="1" s="1"/>
  <c r="G2854" i="1"/>
  <c r="H2855" i="1" s="1"/>
  <c r="F2854" i="1"/>
  <c r="D2854" i="1"/>
  <c r="L2854" i="1" s="1"/>
  <c r="K2853" i="1"/>
  <c r="N2853" i="1" s="1"/>
  <c r="J2853" i="1"/>
  <c r="M2853" i="1" s="1"/>
  <c r="G2853" i="1"/>
  <c r="H2854" i="1" s="1"/>
  <c r="F2853" i="1"/>
  <c r="D2853" i="1"/>
  <c r="L2853" i="1" s="1"/>
  <c r="K2852" i="1"/>
  <c r="N2852" i="1" s="1"/>
  <c r="J2852" i="1"/>
  <c r="M2852" i="1" s="1"/>
  <c r="G2852" i="1"/>
  <c r="H2853" i="1" s="1"/>
  <c r="F2852" i="1"/>
  <c r="D2852" i="1"/>
  <c r="L2852" i="1" s="1"/>
  <c r="K2851" i="1"/>
  <c r="N2851" i="1" s="1"/>
  <c r="J2851" i="1"/>
  <c r="M2851" i="1" s="1"/>
  <c r="G2851" i="1"/>
  <c r="H2852" i="1" s="1"/>
  <c r="F2851" i="1"/>
  <c r="D2851" i="1"/>
  <c r="L2851" i="1" s="1"/>
  <c r="K2850" i="1"/>
  <c r="N2850" i="1" s="1"/>
  <c r="J2850" i="1"/>
  <c r="M2850" i="1" s="1"/>
  <c r="G2850" i="1"/>
  <c r="H2851" i="1" s="1"/>
  <c r="F2850" i="1"/>
  <c r="D2850" i="1"/>
  <c r="L2850" i="1" s="1"/>
  <c r="K2849" i="1"/>
  <c r="N2849" i="1" s="1"/>
  <c r="J2849" i="1"/>
  <c r="M2849" i="1" s="1"/>
  <c r="G2849" i="1"/>
  <c r="H2850" i="1" s="1"/>
  <c r="F2849" i="1"/>
  <c r="D2849" i="1"/>
  <c r="L2849" i="1" s="1"/>
  <c r="K2848" i="1"/>
  <c r="N2848" i="1" s="1"/>
  <c r="J2848" i="1"/>
  <c r="M2848" i="1" s="1"/>
  <c r="G2848" i="1"/>
  <c r="H2849" i="1" s="1"/>
  <c r="F2848" i="1"/>
  <c r="D2848" i="1"/>
  <c r="L2848" i="1" s="1"/>
  <c r="K2847" i="1"/>
  <c r="N2847" i="1" s="1"/>
  <c r="J2847" i="1"/>
  <c r="M2847" i="1" s="1"/>
  <c r="G2847" i="1"/>
  <c r="H2848" i="1" s="1"/>
  <c r="F2847" i="1"/>
  <c r="D2847" i="1"/>
  <c r="L2847" i="1" s="1"/>
  <c r="K2846" i="1"/>
  <c r="N2846" i="1" s="1"/>
  <c r="J2846" i="1"/>
  <c r="M2846" i="1" s="1"/>
  <c r="G2846" i="1"/>
  <c r="H2847" i="1" s="1"/>
  <c r="F2846" i="1"/>
  <c r="D2846" i="1"/>
  <c r="L2846" i="1" s="1"/>
  <c r="K2845" i="1"/>
  <c r="N2845" i="1" s="1"/>
  <c r="J2845" i="1"/>
  <c r="M2845" i="1" s="1"/>
  <c r="G2845" i="1"/>
  <c r="H2846" i="1" s="1"/>
  <c r="F2845" i="1"/>
  <c r="D2845" i="1"/>
  <c r="L2845" i="1" s="1"/>
  <c r="K2844" i="1"/>
  <c r="N2844" i="1" s="1"/>
  <c r="J2844" i="1"/>
  <c r="M2844" i="1" s="1"/>
  <c r="G2844" i="1"/>
  <c r="H2845" i="1" s="1"/>
  <c r="F2844" i="1"/>
  <c r="D2844" i="1"/>
  <c r="L2844" i="1" s="1"/>
  <c r="K2843" i="1"/>
  <c r="N2843" i="1" s="1"/>
  <c r="J2843" i="1"/>
  <c r="M2843" i="1" s="1"/>
  <c r="G2843" i="1"/>
  <c r="H2844" i="1" s="1"/>
  <c r="F2843" i="1"/>
  <c r="D2843" i="1"/>
  <c r="L2843" i="1" s="1"/>
  <c r="K2842" i="1"/>
  <c r="N2842" i="1" s="1"/>
  <c r="J2842" i="1"/>
  <c r="M2842" i="1" s="1"/>
  <c r="G2842" i="1"/>
  <c r="H2843" i="1" s="1"/>
  <c r="F2842" i="1"/>
  <c r="D2842" i="1"/>
  <c r="L2842" i="1" s="1"/>
  <c r="K2841" i="1"/>
  <c r="N2841" i="1" s="1"/>
  <c r="J2841" i="1"/>
  <c r="M2841" i="1" s="1"/>
  <c r="G2841" i="1"/>
  <c r="H2842" i="1" s="1"/>
  <c r="F2841" i="1"/>
  <c r="D2841" i="1"/>
  <c r="L2841" i="1" s="1"/>
  <c r="K2840" i="1"/>
  <c r="N2840" i="1" s="1"/>
  <c r="J2840" i="1"/>
  <c r="M2840" i="1" s="1"/>
  <c r="G2840" i="1"/>
  <c r="H2841" i="1" s="1"/>
  <c r="F2840" i="1"/>
  <c r="D2840" i="1"/>
  <c r="L2840" i="1" s="1"/>
  <c r="K2839" i="1"/>
  <c r="N2839" i="1" s="1"/>
  <c r="J2839" i="1"/>
  <c r="M2839" i="1" s="1"/>
  <c r="G2839" i="1"/>
  <c r="H2840" i="1" s="1"/>
  <c r="F2839" i="1"/>
  <c r="D2839" i="1"/>
  <c r="L2839" i="1" s="1"/>
  <c r="K2838" i="1"/>
  <c r="N2838" i="1" s="1"/>
  <c r="J2838" i="1"/>
  <c r="M2838" i="1" s="1"/>
  <c r="G2838" i="1"/>
  <c r="H2839" i="1" s="1"/>
  <c r="F2838" i="1"/>
  <c r="D2838" i="1"/>
  <c r="L2838" i="1" s="1"/>
  <c r="K2837" i="1"/>
  <c r="N2837" i="1" s="1"/>
  <c r="J2837" i="1"/>
  <c r="M2837" i="1" s="1"/>
  <c r="G2837" i="1"/>
  <c r="H2838" i="1" s="1"/>
  <c r="F2837" i="1"/>
  <c r="D2837" i="1"/>
  <c r="L2837" i="1" s="1"/>
  <c r="K2836" i="1"/>
  <c r="N2836" i="1" s="1"/>
  <c r="J2836" i="1"/>
  <c r="M2836" i="1" s="1"/>
  <c r="G2836" i="1"/>
  <c r="H2837" i="1" s="1"/>
  <c r="F2836" i="1"/>
  <c r="D2836" i="1"/>
  <c r="L2836" i="1" s="1"/>
  <c r="K2835" i="1"/>
  <c r="N2835" i="1" s="1"/>
  <c r="J2835" i="1"/>
  <c r="M2835" i="1" s="1"/>
  <c r="G2835" i="1"/>
  <c r="H2836" i="1" s="1"/>
  <c r="F2835" i="1"/>
  <c r="D2835" i="1"/>
  <c r="L2835" i="1" s="1"/>
  <c r="K2834" i="1"/>
  <c r="N2834" i="1" s="1"/>
  <c r="J2834" i="1"/>
  <c r="M2834" i="1" s="1"/>
  <c r="G2834" i="1"/>
  <c r="H2835" i="1" s="1"/>
  <c r="F2834" i="1"/>
  <c r="D2834" i="1"/>
  <c r="L2834" i="1" s="1"/>
  <c r="K2833" i="1"/>
  <c r="N2833" i="1" s="1"/>
  <c r="J2833" i="1"/>
  <c r="M2833" i="1" s="1"/>
  <c r="G2833" i="1"/>
  <c r="H2834" i="1" s="1"/>
  <c r="F2833" i="1"/>
  <c r="D2833" i="1"/>
  <c r="L2833" i="1" s="1"/>
  <c r="K2832" i="1"/>
  <c r="N2832" i="1" s="1"/>
  <c r="J2832" i="1"/>
  <c r="M2832" i="1" s="1"/>
  <c r="G2832" i="1"/>
  <c r="H2833" i="1" s="1"/>
  <c r="F2832" i="1"/>
  <c r="D2832" i="1"/>
  <c r="L2832" i="1" s="1"/>
  <c r="K2831" i="1"/>
  <c r="N2831" i="1" s="1"/>
  <c r="J2831" i="1"/>
  <c r="M2831" i="1" s="1"/>
  <c r="G2831" i="1"/>
  <c r="H2832" i="1" s="1"/>
  <c r="F2831" i="1"/>
  <c r="D2831" i="1"/>
  <c r="L2831" i="1" s="1"/>
  <c r="K2830" i="1"/>
  <c r="N2830" i="1" s="1"/>
  <c r="J2830" i="1"/>
  <c r="M2830" i="1" s="1"/>
  <c r="G2830" i="1"/>
  <c r="H2831" i="1" s="1"/>
  <c r="F2830" i="1"/>
  <c r="D2830" i="1"/>
  <c r="L2830" i="1" s="1"/>
  <c r="K2829" i="1"/>
  <c r="N2829" i="1" s="1"/>
  <c r="J2829" i="1"/>
  <c r="M2829" i="1" s="1"/>
  <c r="G2829" i="1"/>
  <c r="H2830" i="1" s="1"/>
  <c r="F2829" i="1"/>
  <c r="D2829" i="1"/>
  <c r="L2829" i="1" s="1"/>
  <c r="K2828" i="1"/>
  <c r="N2828" i="1" s="1"/>
  <c r="J2828" i="1"/>
  <c r="M2828" i="1" s="1"/>
  <c r="G2828" i="1"/>
  <c r="H2829" i="1" s="1"/>
  <c r="F2828" i="1"/>
  <c r="D2828" i="1"/>
  <c r="L2828" i="1" s="1"/>
  <c r="K2827" i="1"/>
  <c r="N2827" i="1" s="1"/>
  <c r="J2827" i="1"/>
  <c r="M2827" i="1" s="1"/>
  <c r="G2827" i="1"/>
  <c r="H2828" i="1" s="1"/>
  <c r="F2827" i="1"/>
  <c r="D2827" i="1"/>
  <c r="L2827" i="1" s="1"/>
  <c r="K2826" i="1"/>
  <c r="N2826" i="1" s="1"/>
  <c r="J2826" i="1"/>
  <c r="M2826" i="1" s="1"/>
  <c r="G2826" i="1"/>
  <c r="H2827" i="1" s="1"/>
  <c r="F2826" i="1"/>
  <c r="D2826" i="1"/>
  <c r="L2826" i="1" s="1"/>
  <c r="K2825" i="1"/>
  <c r="N2825" i="1" s="1"/>
  <c r="J2825" i="1"/>
  <c r="M2825" i="1" s="1"/>
  <c r="G2825" i="1"/>
  <c r="H2826" i="1" s="1"/>
  <c r="F2825" i="1"/>
  <c r="D2825" i="1"/>
  <c r="L2825" i="1" s="1"/>
  <c r="K2824" i="1"/>
  <c r="N2824" i="1" s="1"/>
  <c r="J2824" i="1"/>
  <c r="M2824" i="1" s="1"/>
  <c r="G2824" i="1"/>
  <c r="H2825" i="1" s="1"/>
  <c r="F2824" i="1"/>
  <c r="D2824" i="1"/>
  <c r="L2824" i="1" s="1"/>
  <c r="K2823" i="1"/>
  <c r="N2823" i="1" s="1"/>
  <c r="J2823" i="1"/>
  <c r="M2823" i="1" s="1"/>
  <c r="G2823" i="1"/>
  <c r="H2824" i="1" s="1"/>
  <c r="F2823" i="1"/>
  <c r="D2823" i="1"/>
  <c r="L2823" i="1" s="1"/>
  <c r="K2822" i="1"/>
  <c r="N2822" i="1" s="1"/>
  <c r="J2822" i="1"/>
  <c r="M2822" i="1" s="1"/>
  <c r="G2822" i="1"/>
  <c r="H2823" i="1" s="1"/>
  <c r="F2822" i="1"/>
  <c r="D2822" i="1"/>
  <c r="L2822" i="1" s="1"/>
  <c r="K2821" i="1"/>
  <c r="N2821" i="1" s="1"/>
  <c r="J2821" i="1"/>
  <c r="M2821" i="1" s="1"/>
  <c r="G2821" i="1"/>
  <c r="H2822" i="1" s="1"/>
  <c r="F2821" i="1"/>
  <c r="D2821" i="1"/>
  <c r="L2821" i="1" s="1"/>
  <c r="K2820" i="1"/>
  <c r="N2820" i="1" s="1"/>
  <c r="J2820" i="1"/>
  <c r="M2820" i="1" s="1"/>
  <c r="G2820" i="1"/>
  <c r="H2821" i="1" s="1"/>
  <c r="F2820" i="1"/>
  <c r="D2820" i="1"/>
  <c r="L2820" i="1" s="1"/>
  <c r="K2819" i="1"/>
  <c r="N2819" i="1" s="1"/>
  <c r="J2819" i="1"/>
  <c r="M2819" i="1" s="1"/>
  <c r="G2819" i="1"/>
  <c r="H2820" i="1" s="1"/>
  <c r="F2819" i="1"/>
  <c r="D2819" i="1"/>
  <c r="L2819" i="1" s="1"/>
  <c r="K2818" i="1"/>
  <c r="N2818" i="1" s="1"/>
  <c r="J2818" i="1"/>
  <c r="M2818" i="1" s="1"/>
  <c r="G2818" i="1"/>
  <c r="H2819" i="1" s="1"/>
  <c r="F2818" i="1"/>
  <c r="D2818" i="1"/>
  <c r="L2818" i="1" s="1"/>
  <c r="K2817" i="1"/>
  <c r="N2817" i="1" s="1"/>
  <c r="J2817" i="1"/>
  <c r="M2817" i="1" s="1"/>
  <c r="G2817" i="1"/>
  <c r="H2818" i="1" s="1"/>
  <c r="F2817" i="1"/>
  <c r="D2817" i="1"/>
  <c r="L2817" i="1" s="1"/>
  <c r="K2816" i="1"/>
  <c r="N2816" i="1" s="1"/>
  <c r="J2816" i="1"/>
  <c r="M2816" i="1" s="1"/>
  <c r="G2816" i="1"/>
  <c r="H2817" i="1" s="1"/>
  <c r="F2816" i="1"/>
  <c r="D2816" i="1"/>
  <c r="L2816" i="1" s="1"/>
  <c r="K2815" i="1"/>
  <c r="N2815" i="1" s="1"/>
  <c r="J2815" i="1"/>
  <c r="M2815" i="1" s="1"/>
  <c r="G2815" i="1"/>
  <c r="H2816" i="1" s="1"/>
  <c r="F2815" i="1"/>
  <c r="D2815" i="1"/>
  <c r="L2815" i="1" s="1"/>
  <c r="K2814" i="1"/>
  <c r="N2814" i="1" s="1"/>
  <c r="J2814" i="1"/>
  <c r="M2814" i="1" s="1"/>
  <c r="G2814" i="1"/>
  <c r="H2815" i="1" s="1"/>
  <c r="F2814" i="1"/>
  <c r="D2814" i="1"/>
  <c r="L2814" i="1" s="1"/>
  <c r="K2813" i="1"/>
  <c r="N2813" i="1" s="1"/>
  <c r="J2813" i="1"/>
  <c r="M2813" i="1" s="1"/>
  <c r="G2813" i="1"/>
  <c r="H2814" i="1" s="1"/>
  <c r="F2813" i="1"/>
  <c r="D2813" i="1"/>
  <c r="L2813" i="1" s="1"/>
  <c r="K2812" i="1"/>
  <c r="N2812" i="1" s="1"/>
  <c r="J2812" i="1"/>
  <c r="M2812" i="1" s="1"/>
  <c r="G2812" i="1"/>
  <c r="H2813" i="1" s="1"/>
  <c r="F2812" i="1"/>
  <c r="D2812" i="1"/>
  <c r="L2812" i="1" s="1"/>
  <c r="K2811" i="1"/>
  <c r="N2811" i="1" s="1"/>
  <c r="J2811" i="1"/>
  <c r="M2811" i="1" s="1"/>
  <c r="G2811" i="1"/>
  <c r="H2812" i="1" s="1"/>
  <c r="F2811" i="1"/>
  <c r="D2811" i="1"/>
  <c r="L2811" i="1" s="1"/>
  <c r="K2810" i="1"/>
  <c r="N2810" i="1" s="1"/>
  <c r="J2810" i="1"/>
  <c r="M2810" i="1" s="1"/>
  <c r="G2810" i="1"/>
  <c r="H2811" i="1" s="1"/>
  <c r="F2810" i="1"/>
  <c r="D2810" i="1"/>
  <c r="L2810" i="1" s="1"/>
  <c r="K2809" i="1"/>
  <c r="N2809" i="1" s="1"/>
  <c r="J2809" i="1"/>
  <c r="M2809" i="1" s="1"/>
  <c r="G2809" i="1"/>
  <c r="H2810" i="1" s="1"/>
  <c r="F2809" i="1"/>
  <c r="D2809" i="1"/>
  <c r="L2809" i="1" s="1"/>
  <c r="K2808" i="1"/>
  <c r="N2808" i="1" s="1"/>
  <c r="J2808" i="1"/>
  <c r="M2808" i="1" s="1"/>
  <c r="G2808" i="1"/>
  <c r="H2809" i="1" s="1"/>
  <c r="F2808" i="1"/>
  <c r="D2808" i="1"/>
  <c r="L2808" i="1" s="1"/>
  <c r="K2807" i="1"/>
  <c r="N2807" i="1" s="1"/>
  <c r="J2807" i="1"/>
  <c r="M2807" i="1" s="1"/>
  <c r="G2807" i="1"/>
  <c r="H2808" i="1" s="1"/>
  <c r="F2807" i="1"/>
  <c r="D2807" i="1"/>
  <c r="L2807" i="1" s="1"/>
  <c r="K2806" i="1"/>
  <c r="N2806" i="1" s="1"/>
  <c r="J2806" i="1"/>
  <c r="M2806" i="1" s="1"/>
  <c r="G2806" i="1"/>
  <c r="H2807" i="1" s="1"/>
  <c r="F2806" i="1"/>
  <c r="D2806" i="1"/>
  <c r="L2806" i="1" s="1"/>
  <c r="K2805" i="1"/>
  <c r="N2805" i="1" s="1"/>
  <c r="J2805" i="1"/>
  <c r="M2805" i="1" s="1"/>
  <c r="G2805" i="1"/>
  <c r="H2806" i="1" s="1"/>
  <c r="F2805" i="1"/>
  <c r="D2805" i="1"/>
  <c r="L2805" i="1" s="1"/>
  <c r="K2804" i="1"/>
  <c r="N2804" i="1" s="1"/>
  <c r="J2804" i="1"/>
  <c r="M2804" i="1" s="1"/>
  <c r="G2804" i="1"/>
  <c r="H2805" i="1" s="1"/>
  <c r="F2804" i="1"/>
  <c r="D2804" i="1"/>
  <c r="L2804" i="1" s="1"/>
  <c r="K2803" i="1"/>
  <c r="N2803" i="1" s="1"/>
  <c r="J2803" i="1"/>
  <c r="M2803" i="1" s="1"/>
  <c r="G2803" i="1"/>
  <c r="H2804" i="1" s="1"/>
  <c r="F2803" i="1"/>
  <c r="D2803" i="1"/>
  <c r="L2803" i="1" s="1"/>
  <c r="K2802" i="1"/>
  <c r="N2802" i="1" s="1"/>
  <c r="J2802" i="1"/>
  <c r="M2802" i="1" s="1"/>
  <c r="G2802" i="1"/>
  <c r="H2803" i="1" s="1"/>
  <c r="F2802" i="1"/>
  <c r="D2802" i="1"/>
  <c r="L2802" i="1" s="1"/>
  <c r="K2801" i="1"/>
  <c r="N2801" i="1" s="1"/>
  <c r="J2801" i="1"/>
  <c r="M2801" i="1" s="1"/>
  <c r="G2801" i="1"/>
  <c r="H2802" i="1" s="1"/>
  <c r="F2801" i="1"/>
  <c r="D2801" i="1"/>
  <c r="L2801" i="1" s="1"/>
  <c r="K2800" i="1"/>
  <c r="N2800" i="1" s="1"/>
  <c r="J2800" i="1"/>
  <c r="M2800" i="1" s="1"/>
  <c r="G2800" i="1"/>
  <c r="H2801" i="1" s="1"/>
  <c r="F2800" i="1"/>
  <c r="D2800" i="1"/>
  <c r="L2800" i="1" s="1"/>
  <c r="K2799" i="1"/>
  <c r="N2799" i="1" s="1"/>
  <c r="J2799" i="1"/>
  <c r="M2799" i="1" s="1"/>
  <c r="G2799" i="1"/>
  <c r="H2800" i="1" s="1"/>
  <c r="F2799" i="1"/>
  <c r="D2799" i="1"/>
  <c r="L2799" i="1" s="1"/>
  <c r="K2798" i="1"/>
  <c r="N2798" i="1" s="1"/>
  <c r="J2798" i="1"/>
  <c r="M2798" i="1" s="1"/>
  <c r="G2798" i="1"/>
  <c r="H2799" i="1" s="1"/>
  <c r="F2798" i="1"/>
  <c r="D2798" i="1"/>
  <c r="L2798" i="1" s="1"/>
  <c r="K2797" i="1"/>
  <c r="N2797" i="1" s="1"/>
  <c r="J2797" i="1"/>
  <c r="M2797" i="1" s="1"/>
  <c r="G2797" i="1"/>
  <c r="H2798" i="1" s="1"/>
  <c r="F2797" i="1"/>
  <c r="D2797" i="1"/>
  <c r="L2797" i="1" s="1"/>
  <c r="K2796" i="1"/>
  <c r="N2796" i="1" s="1"/>
  <c r="J2796" i="1"/>
  <c r="M2796" i="1" s="1"/>
  <c r="G2796" i="1"/>
  <c r="H2797" i="1" s="1"/>
  <c r="F2796" i="1"/>
  <c r="D2796" i="1"/>
  <c r="L2796" i="1" s="1"/>
  <c r="K2795" i="1"/>
  <c r="N2795" i="1" s="1"/>
  <c r="J2795" i="1"/>
  <c r="M2795" i="1" s="1"/>
  <c r="G2795" i="1"/>
  <c r="H2796" i="1" s="1"/>
  <c r="F2795" i="1"/>
  <c r="D2795" i="1"/>
  <c r="L2795" i="1" s="1"/>
  <c r="K2794" i="1"/>
  <c r="N2794" i="1" s="1"/>
  <c r="J2794" i="1"/>
  <c r="M2794" i="1" s="1"/>
  <c r="G2794" i="1"/>
  <c r="H2795" i="1" s="1"/>
  <c r="F2794" i="1"/>
  <c r="D2794" i="1"/>
  <c r="L2794" i="1" s="1"/>
  <c r="K2793" i="1"/>
  <c r="N2793" i="1" s="1"/>
  <c r="J2793" i="1"/>
  <c r="M2793" i="1" s="1"/>
  <c r="G2793" i="1"/>
  <c r="H2794" i="1" s="1"/>
  <c r="F2793" i="1"/>
  <c r="D2793" i="1"/>
  <c r="L2793" i="1" s="1"/>
  <c r="K2792" i="1"/>
  <c r="N2792" i="1" s="1"/>
  <c r="J2792" i="1"/>
  <c r="M2792" i="1" s="1"/>
  <c r="G2792" i="1"/>
  <c r="H2793" i="1" s="1"/>
  <c r="F2792" i="1"/>
  <c r="D2792" i="1"/>
  <c r="L2792" i="1" s="1"/>
  <c r="K2791" i="1"/>
  <c r="N2791" i="1" s="1"/>
  <c r="J2791" i="1"/>
  <c r="M2791" i="1" s="1"/>
  <c r="G2791" i="1"/>
  <c r="H2792" i="1" s="1"/>
  <c r="F2791" i="1"/>
  <c r="D2791" i="1"/>
  <c r="L2791" i="1" s="1"/>
  <c r="K2790" i="1"/>
  <c r="N2790" i="1" s="1"/>
  <c r="J2790" i="1"/>
  <c r="M2790" i="1" s="1"/>
  <c r="G2790" i="1"/>
  <c r="H2791" i="1" s="1"/>
  <c r="F2790" i="1"/>
  <c r="D2790" i="1"/>
  <c r="L2790" i="1" s="1"/>
  <c r="K2789" i="1"/>
  <c r="N2789" i="1" s="1"/>
  <c r="J2789" i="1"/>
  <c r="M2789" i="1" s="1"/>
  <c r="G2789" i="1"/>
  <c r="H2790" i="1" s="1"/>
  <c r="F2789" i="1"/>
  <c r="D2789" i="1"/>
  <c r="L2789" i="1" s="1"/>
  <c r="K2788" i="1"/>
  <c r="N2788" i="1" s="1"/>
  <c r="J2788" i="1"/>
  <c r="M2788" i="1" s="1"/>
  <c r="G2788" i="1"/>
  <c r="H2789" i="1" s="1"/>
  <c r="F2788" i="1"/>
  <c r="D2788" i="1"/>
  <c r="L2788" i="1" s="1"/>
  <c r="K2787" i="1"/>
  <c r="N2787" i="1" s="1"/>
  <c r="J2787" i="1"/>
  <c r="M2787" i="1" s="1"/>
  <c r="G2787" i="1"/>
  <c r="H2788" i="1" s="1"/>
  <c r="F2787" i="1"/>
  <c r="D2787" i="1"/>
  <c r="L2787" i="1" s="1"/>
  <c r="K2786" i="1"/>
  <c r="N2786" i="1" s="1"/>
  <c r="J2786" i="1"/>
  <c r="M2786" i="1" s="1"/>
  <c r="G2786" i="1"/>
  <c r="H2787" i="1" s="1"/>
  <c r="F2786" i="1"/>
  <c r="D2786" i="1"/>
  <c r="L2786" i="1" s="1"/>
  <c r="K2785" i="1"/>
  <c r="N2785" i="1" s="1"/>
  <c r="J2785" i="1"/>
  <c r="M2785" i="1" s="1"/>
  <c r="G2785" i="1"/>
  <c r="H2786" i="1" s="1"/>
  <c r="F2785" i="1"/>
  <c r="D2785" i="1"/>
  <c r="L2785" i="1" s="1"/>
  <c r="K2784" i="1"/>
  <c r="N2784" i="1" s="1"/>
  <c r="J2784" i="1"/>
  <c r="M2784" i="1" s="1"/>
  <c r="G2784" i="1"/>
  <c r="H2785" i="1" s="1"/>
  <c r="F2784" i="1"/>
  <c r="D2784" i="1"/>
  <c r="L2784" i="1" s="1"/>
  <c r="K2783" i="1"/>
  <c r="N2783" i="1" s="1"/>
  <c r="J2783" i="1"/>
  <c r="M2783" i="1" s="1"/>
  <c r="G2783" i="1"/>
  <c r="H2784" i="1" s="1"/>
  <c r="F2783" i="1"/>
  <c r="D2783" i="1"/>
  <c r="L2783" i="1" s="1"/>
  <c r="K2782" i="1"/>
  <c r="N2782" i="1" s="1"/>
  <c r="J2782" i="1"/>
  <c r="M2782" i="1" s="1"/>
  <c r="G2782" i="1"/>
  <c r="H2783" i="1" s="1"/>
  <c r="F2782" i="1"/>
  <c r="D2782" i="1"/>
  <c r="L2782" i="1" s="1"/>
  <c r="K2781" i="1"/>
  <c r="N2781" i="1" s="1"/>
  <c r="J2781" i="1"/>
  <c r="M2781" i="1" s="1"/>
  <c r="G2781" i="1"/>
  <c r="H2782" i="1" s="1"/>
  <c r="F2781" i="1"/>
  <c r="D2781" i="1"/>
  <c r="L2781" i="1" s="1"/>
  <c r="K2780" i="1"/>
  <c r="N2780" i="1" s="1"/>
  <c r="J2780" i="1"/>
  <c r="M2780" i="1" s="1"/>
  <c r="G2780" i="1"/>
  <c r="H2781" i="1" s="1"/>
  <c r="F2780" i="1"/>
  <c r="D2780" i="1"/>
  <c r="L2780" i="1" s="1"/>
  <c r="K2779" i="1"/>
  <c r="N2779" i="1" s="1"/>
  <c r="J2779" i="1"/>
  <c r="M2779" i="1" s="1"/>
  <c r="G2779" i="1"/>
  <c r="H2780" i="1" s="1"/>
  <c r="F2779" i="1"/>
  <c r="D2779" i="1"/>
  <c r="L2779" i="1" s="1"/>
  <c r="K2778" i="1"/>
  <c r="N2778" i="1" s="1"/>
  <c r="J2778" i="1"/>
  <c r="M2778" i="1" s="1"/>
  <c r="G2778" i="1"/>
  <c r="H2779" i="1" s="1"/>
  <c r="F2778" i="1"/>
  <c r="D2778" i="1"/>
  <c r="L2778" i="1" s="1"/>
  <c r="K2777" i="1"/>
  <c r="N2777" i="1" s="1"/>
  <c r="J2777" i="1"/>
  <c r="M2777" i="1" s="1"/>
  <c r="G2777" i="1"/>
  <c r="H2778" i="1" s="1"/>
  <c r="F2777" i="1"/>
  <c r="D2777" i="1"/>
  <c r="L2777" i="1" s="1"/>
  <c r="K2776" i="1"/>
  <c r="N2776" i="1" s="1"/>
  <c r="J2776" i="1"/>
  <c r="M2776" i="1" s="1"/>
  <c r="G2776" i="1"/>
  <c r="H2777" i="1" s="1"/>
  <c r="F2776" i="1"/>
  <c r="D2776" i="1"/>
  <c r="L2776" i="1" s="1"/>
  <c r="K2775" i="1"/>
  <c r="N2775" i="1" s="1"/>
  <c r="J2775" i="1"/>
  <c r="M2775" i="1" s="1"/>
  <c r="G2775" i="1"/>
  <c r="H2776" i="1" s="1"/>
  <c r="F2775" i="1"/>
  <c r="D2775" i="1"/>
  <c r="L2775" i="1" s="1"/>
  <c r="K2774" i="1"/>
  <c r="N2774" i="1" s="1"/>
  <c r="J2774" i="1"/>
  <c r="M2774" i="1" s="1"/>
  <c r="G2774" i="1"/>
  <c r="H2775" i="1" s="1"/>
  <c r="F2774" i="1"/>
  <c r="D2774" i="1"/>
  <c r="L2774" i="1" s="1"/>
  <c r="K2773" i="1"/>
  <c r="N2773" i="1" s="1"/>
  <c r="J2773" i="1"/>
  <c r="M2773" i="1" s="1"/>
  <c r="G2773" i="1"/>
  <c r="H2774" i="1" s="1"/>
  <c r="F2773" i="1"/>
  <c r="D2773" i="1"/>
  <c r="L2773" i="1" s="1"/>
  <c r="K2772" i="1"/>
  <c r="N2772" i="1" s="1"/>
  <c r="J2772" i="1"/>
  <c r="M2772" i="1" s="1"/>
  <c r="G2772" i="1"/>
  <c r="H2773" i="1" s="1"/>
  <c r="F2772" i="1"/>
  <c r="D2772" i="1"/>
  <c r="L2772" i="1" s="1"/>
  <c r="K2771" i="1"/>
  <c r="N2771" i="1" s="1"/>
  <c r="J2771" i="1"/>
  <c r="M2771" i="1" s="1"/>
  <c r="G2771" i="1"/>
  <c r="H2772" i="1" s="1"/>
  <c r="F2771" i="1"/>
  <c r="D2771" i="1"/>
  <c r="L2771" i="1" s="1"/>
  <c r="K2770" i="1"/>
  <c r="N2770" i="1" s="1"/>
  <c r="J2770" i="1"/>
  <c r="M2770" i="1" s="1"/>
  <c r="G2770" i="1"/>
  <c r="H2771" i="1" s="1"/>
  <c r="F2770" i="1"/>
  <c r="D2770" i="1"/>
  <c r="L2770" i="1" s="1"/>
  <c r="K2769" i="1"/>
  <c r="N2769" i="1" s="1"/>
  <c r="J2769" i="1"/>
  <c r="M2769" i="1" s="1"/>
  <c r="G2769" i="1"/>
  <c r="H2770" i="1" s="1"/>
  <c r="F2769" i="1"/>
  <c r="D2769" i="1"/>
  <c r="L2769" i="1" s="1"/>
  <c r="K2768" i="1"/>
  <c r="N2768" i="1" s="1"/>
  <c r="J2768" i="1"/>
  <c r="M2768" i="1" s="1"/>
  <c r="G2768" i="1"/>
  <c r="H2769" i="1" s="1"/>
  <c r="F2768" i="1"/>
  <c r="D2768" i="1"/>
  <c r="L2768" i="1" s="1"/>
  <c r="K2767" i="1"/>
  <c r="N2767" i="1" s="1"/>
  <c r="J2767" i="1"/>
  <c r="M2767" i="1" s="1"/>
  <c r="G2767" i="1"/>
  <c r="H2768" i="1" s="1"/>
  <c r="F2767" i="1"/>
  <c r="D2767" i="1"/>
  <c r="L2767" i="1" s="1"/>
  <c r="K2766" i="1"/>
  <c r="N2766" i="1" s="1"/>
  <c r="J2766" i="1"/>
  <c r="M2766" i="1" s="1"/>
  <c r="G2766" i="1"/>
  <c r="H2767" i="1" s="1"/>
  <c r="F2766" i="1"/>
  <c r="D2766" i="1"/>
  <c r="L2766" i="1" s="1"/>
  <c r="K2765" i="1"/>
  <c r="N2765" i="1" s="1"/>
  <c r="J2765" i="1"/>
  <c r="M2765" i="1" s="1"/>
  <c r="G2765" i="1"/>
  <c r="H2766" i="1" s="1"/>
  <c r="F2765" i="1"/>
  <c r="D2765" i="1"/>
  <c r="L2765" i="1" s="1"/>
  <c r="K2764" i="1"/>
  <c r="N2764" i="1" s="1"/>
  <c r="J2764" i="1"/>
  <c r="M2764" i="1" s="1"/>
  <c r="G2764" i="1"/>
  <c r="H2765" i="1" s="1"/>
  <c r="F2764" i="1"/>
  <c r="D2764" i="1"/>
  <c r="L2764" i="1" s="1"/>
  <c r="K2763" i="1"/>
  <c r="N2763" i="1" s="1"/>
  <c r="J2763" i="1"/>
  <c r="M2763" i="1" s="1"/>
  <c r="G2763" i="1"/>
  <c r="H2764" i="1" s="1"/>
  <c r="F2763" i="1"/>
  <c r="D2763" i="1"/>
  <c r="L2763" i="1" s="1"/>
  <c r="K2762" i="1"/>
  <c r="N2762" i="1" s="1"/>
  <c r="J2762" i="1"/>
  <c r="M2762" i="1" s="1"/>
  <c r="G2762" i="1"/>
  <c r="H2763" i="1" s="1"/>
  <c r="F2762" i="1"/>
  <c r="D2762" i="1"/>
  <c r="L2762" i="1" s="1"/>
  <c r="K2761" i="1"/>
  <c r="N2761" i="1" s="1"/>
  <c r="J2761" i="1"/>
  <c r="M2761" i="1" s="1"/>
  <c r="G2761" i="1"/>
  <c r="H2762" i="1" s="1"/>
  <c r="F2761" i="1"/>
  <c r="D2761" i="1"/>
  <c r="L2761" i="1" s="1"/>
  <c r="K2760" i="1"/>
  <c r="N2760" i="1" s="1"/>
  <c r="J2760" i="1"/>
  <c r="M2760" i="1" s="1"/>
  <c r="G2760" i="1"/>
  <c r="H2761" i="1" s="1"/>
  <c r="F2760" i="1"/>
  <c r="D2760" i="1"/>
  <c r="L2760" i="1" s="1"/>
  <c r="K2759" i="1"/>
  <c r="N2759" i="1" s="1"/>
  <c r="J2759" i="1"/>
  <c r="M2759" i="1" s="1"/>
  <c r="G2759" i="1"/>
  <c r="H2760" i="1" s="1"/>
  <c r="F2759" i="1"/>
  <c r="D2759" i="1"/>
  <c r="L2759" i="1" s="1"/>
  <c r="K2758" i="1"/>
  <c r="N2758" i="1" s="1"/>
  <c r="J2758" i="1"/>
  <c r="M2758" i="1" s="1"/>
  <c r="G2758" i="1"/>
  <c r="H2759" i="1" s="1"/>
  <c r="F2758" i="1"/>
  <c r="D2758" i="1"/>
  <c r="L2758" i="1" s="1"/>
  <c r="K2757" i="1"/>
  <c r="N2757" i="1" s="1"/>
  <c r="J2757" i="1"/>
  <c r="M2757" i="1" s="1"/>
  <c r="G2757" i="1"/>
  <c r="H2758" i="1" s="1"/>
  <c r="F2757" i="1"/>
  <c r="D2757" i="1"/>
  <c r="L2757" i="1" s="1"/>
  <c r="K2756" i="1"/>
  <c r="N2756" i="1" s="1"/>
  <c r="J2756" i="1"/>
  <c r="M2756" i="1" s="1"/>
  <c r="G2756" i="1"/>
  <c r="H2757" i="1" s="1"/>
  <c r="F2756" i="1"/>
  <c r="D2756" i="1"/>
  <c r="L2756" i="1" s="1"/>
  <c r="K2755" i="1"/>
  <c r="N2755" i="1" s="1"/>
  <c r="J2755" i="1"/>
  <c r="M2755" i="1" s="1"/>
  <c r="G2755" i="1"/>
  <c r="H2756" i="1" s="1"/>
  <c r="F2755" i="1"/>
  <c r="D2755" i="1"/>
  <c r="L2755" i="1" s="1"/>
  <c r="K2754" i="1"/>
  <c r="N2754" i="1" s="1"/>
  <c r="J2754" i="1"/>
  <c r="M2754" i="1" s="1"/>
  <c r="G2754" i="1"/>
  <c r="H2755" i="1" s="1"/>
  <c r="F2754" i="1"/>
  <c r="D2754" i="1"/>
  <c r="L2754" i="1" s="1"/>
  <c r="K2753" i="1"/>
  <c r="N2753" i="1" s="1"/>
  <c r="J2753" i="1"/>
  <c r="M2753" i="1" s="1"/>
  <c r="G2753" i="1"/>
  <c r="H2754" i="1" s="1"/>
  <c r="F2753" i="1"/>
  <c r="D2753" i="1"/>
  <c r="L2753" i="1" s="1"/>
  <c r="K2752" i="1"/>
  <c r="N2752" i="1" s="1"/>
  <c r="J2752" i="1"/>
  <c r="M2752" i="1" s="1"/>
  <c r="G2752" i="1"/>
  <c r="H2753" i="1" s="1"/>
  <c r="F2752" i="1"/>
  <c r="D2752" i="1"/>
  <c r="L2752" i="1" s="1"/>
  <c r="K2751" i="1"/>
  <c r="N2751" i="1" s="1"/>
  <c r="J2751" i="1"/>
  <c r="M2751" i="1" s="1"/>
  <c r="G2751" i="1"/>
  <c r="H2752" i="1" s="1"/>
  <c r="F2751" i="1"/>
  <c r="D2751" i="1"/>
  <c r="L2751" i="1" s="1"/>
  <c r="K2750" i="1"/>
  <c r="N2750" i="1" s="1"/>
  <c r="J2750" i="1"/>
  <c r="M2750" i="1" s="1"/>
  <c r="G2750" i="1"/>
  <c r="H2751" i="1" s="1"/>
  <c r="F2750" i="1"/>
  <c r="D2750" i="1"/>
  <c r="L2750" i="1" s="1"/>
  <c r="K2749" i="1"/>
  <c r="N2749" i="1" s="1"/>
  <c r="J2749" i="1"/>
  <c r="M2749" i="1" s="1"/>
  <c r="G2749" i="1"/>
  <c r="H2750" i="1" s="1"/>
  <c r="F2749" i="1"/>
  <c r="D2749" i="1"/>
  <c r="L2749" i="1" s="1"/>
  <c r="K2748" i="1"/>
  <c r="N2748" i="1" s="1"/>
  <c r="J2748" i="1"/>
  <c r="M2748" i="1" s="1"/>
  <c r="G2748" i="1"/>
  <c r="H2749" i="1" s="1"/>
  <c r="F2748" i="1"/>
  <c r="D2748" i="1"/>
  <c r="L2748" i="1" s="1"/>
  <c r="K2747" i="1"/>
  <c r="N2747" i="1" s="1"/>
  <c r="J2747" i="1"/>
  <c r="M2747" i="1" s="1"/>
  <c r="G2747" i="1"/>
  <c r="H2748" i="1" s="1"/>
  <c r="F2747" i="1"/>
  <c r="D2747" i="1"/>
  <c r="L2747" i="1" s="1"/>
  <c r="K2746" i="1"/>
  <c r="N2746" i="1" s="1"/>
  <c r="J2746" i="1"/>
  <c r="M2746" i="1" s="1"/>
  <c r="G2746" i="1"/>
  <c r="H2747" i="1" s="1"/>
  <c r="F2746" i="1"/>
  <c r="D2746" i="1"/>
  <c r="L2746" i="1" s="1"/>
  <c r="K2745" i="1"/>
  <c r="N2745" i="1" s="1"/>
  <c r="J2745" i="1"/>
  <c r="M2745" i="1" s="1"/>
  <c r="G2745" i="1"/>
  <c r="H2746" i="1" s="1"/>
  <c r="F2745" i="1"/>
  <c r="D2745" i="1"/>
  <c r="L2745" i="1" s="1"/>
  <c r="K2744" i="1"/>
  <c r="N2744" i="1" s="1"/>
  <c r="J2744" i="1"/>
  <c r="M2744" i="1" s="1"/>
  <c r="G2744" i="1"/>
  <c r="H2745" i="1" s="1"/>
  <c r="F2744" i="1"/>
  <c r="D2744" i="1"/>
  <c r="L2744" i="1" s="1"/>
  <c r="K2743" i="1"/>
  <c r="N2743" i="1" s="1"/>
  <c r="J2743" i="1"/>
  <c r="M2743" i="1" s="1"/>
  <c r="G2743" i="1"/>
  <c r="H2744" i="1" s="1"/>
  <c r="F2743" i="1"/>
  <c r="D2743" i="1"/>
  <c r="L2743" i="1" s="1"/>
  <c r="K2742" i="1"/>
  <c r="N2742" i="1" s="1"/>
  <c r="J2742" i="1"/>
  <c r="M2742" i="1" s="1"/>
  <c r="G2742" i="1"/>
  <c r="H2743" i="1" s="1"/>
  <c r="F2742" i="1"/>
  <c r="D2742" i="1"/>
  <c r="L2742" i="1" s="1"/>
  <c r="K2741" i="1"/>
  <c r="N2741" i="1" s="1"/>
  <c r="J2741" i="1"/>
  <c r="M2741" i="1" s="1"/>
  <c r="G2741" i="1"/>
  <c r="H2742" i="1" s="1"/>
  <c r="F2741" i="1"/>
  <c r="D2741" i="1"/>
  <c r="L2741" i="1" s="1"/>
  <c r="K2740" i="1"/>
  <c r="N2740" i="1" s="1"/>
  <c r="J2740" i="1"/>
  <c r="M2740" i="1" s="1"/>
  <c r="G2740" i="1"/>
  <c r="H2741" i="1" s="1"/>
  <c r="F2740" i="1"/>
  <c r="D2740" i="1"/>
  <c r="L2740" i="1" s="1"/>
  <c r="K2739" i="1"/>
  <c r="N2739" i="1" s="1"/>
  <c r="J2739" i="1"/>
  <c r="M2739" i="1" s="1"/>
  <c r="G2739" i="1"/>
  <c r="H2740" i="1" s="1"/>
  <c r="F2739" i="1"/>
  <c r="D2739" i="1"/>
  <c r="L2739" i="1" s="1"/>
  <c r="K2738" i="1"/>
  <c r="N2738" i="1" s="1"/>
  <c r="J2738" i="1"/>
  <c r="M2738" i="1" s="1"/>
  <c r="G2738" i="1"/>
  <c r="H2739" i="1" s="1"/>
  <c r="F2738" i="1"/>
  <c r="D2738" i="1"/>
  <c r="L2738" i="1" s="1"/>
  <c r="K2737" i="1"/>
  <c r="N2737" i="1" s="1"/>
  <c r="J2737" i="1"/>
  <c r="M2737" i="1" s="1"/>
  <c r="G2737" i="1"/>
  <c r="H2738" i="1" s="1"/>
  <c r="F2737" i="1"/>
  <c r="D2737" i="1"/>
  <c r="L2737" i="1" s="1"/>
  <c r="K2736" i="1"/>
  <c r="N2736" i="1" s="1"/>
  <c r="J2736" i="1"/>
  <c r="M2736" i="1" s="1"/>
  <c r="G2736" i="1"/>
  <c r="H2737" i="1" s="1"/>
  <c r="F2736" i="1"/>
  <c r="D2736" i="1"/>
  <c r="L2736" i="1" s="1"/>
  <c r="K2735" i="1"/>
  <c r="N2735" i="1" s="1"/>
  <c r="J2735" i="1"/>
  <c r="M2735" i="1" s="1"/>
  <c r="G2735" i="1"/>
  <c r="H2736" i="1" s="1"/>
  <c r="F2735" i="1"/>
  <c r="D2735" i="1"/>
  <c r="L2735" i="1" s="1"/>
  <c r="K2734" i="1"/>
  <c r="N2734" i="1" s="1"/>
  <c r="J2734" i="1"/>
  <c r="M2734" i="1" s="1"/>
  <c r="G2734" i="1"/>
  <c r="H2735" i="1" s="1"/>
  <c r="F2734" i="1"/>
  <c r="D2734" i="1"/>
  <c r="L2734" i="1" s="1"/>
  <c r="K2733" i="1"/>
  <c r="N2733" i="1" s="1"/>
  <c r="J2733" i="1"/>
  <c r="M2733" i="1" s="1"/>
  <c r="G2733" i="1"/>
  <c r="H2734" i="1" s="1"/>
  <c r="F2733" i="1"/>
  <c r="D2733" i="1"/>
  <c r="L2733" i="1" s="1"/>
  <c r="K2732" i="1"/>
  <c r="N2732" i="1" s="1"/>
  <c r="J2732" i="1"/>
  <c r="M2732" i="1" s="1"/>
  <c r="G2732" i="1"/>
  <c r="H2733" i="1" s="1"/>
  <c r="F2732" i="1"/>
  <c r="D2732" i="1"/>
  <c r="L2732" i="1" s="1"/>
  <c r="K2731" i="1"/>
  <c r="N2731" i="1" s="1"/>
  <c r="J2731" i="1"/>
  <c r="M2731" i="1" s="1"/>
  <c r="G2731" i="1"/>
  <c r="H2732" i="1" s="1"/>
  <c r="F2731" i="1"/>
  <c r="D2731" i="1"/>
  <c r="L2731" i="1" s="1"/>
  <c r="K2730" i="1"/>
  <c r="N2730" i="1" s="1"/>
  <c r="J2730" i="1"/>
  <c r="M2730" i="1" s="1"/>
  <c r="G2730" i="1"/>
  <c r="H2731" i="1" s="1"/>
  <c r="F2730" i="1"/>
  <c r="D2730" i="1"/>
  <c r="L2730" i="1" s="1"/>
  <c r="K2729" i="1"/>
  <c r="N2729" i="1" s="1"/>
  <c r="J2729" i="1"/>
  <c r="M2729" i="1" s="1"/>
  <c r="G2729" i="1"/>
  <c r="H2730" i="1" s="1"/>
  <c r="F2729" i="1"/>
  <c r="D2729" i="1"/>
  <c r="L2729" i="1" s="1"/>
  <c r="K2728" i="1"/>
  <c r="N2728" i="1" s="1"/>
  <c r="J2728" i="1"/>
  <c r="M2728" i="1" s="1"/>
  <c r="G2728" i="1"/>
  <c r="H2729" i="1" s="1"/>
  <c r="F2728" i="1"/>
  <c r="D2728" i="1"/>
  <c r="L2728" i="1" s="1"/>
  <c r="K2727" i="1"/>
  <c r="N2727" i="1" s="1"/>
  <c r="J2727" i="1"/>
  <c r="M2727" i="1" s="1"/>
  <c r="G2727" i="1"/>
  <c r="H2728" i="1" s="1"/>
  <c r="F2727" i="1"/>
  <c r="D2727" i="1"/>
  <c r="L2727" i="1" s="1"/>
  <c r="K2726" i="1"/>
  <c r="N2726" i="1" s="1"/>
  <c r="J2726" i="1"/>
  <c r="M2726" i="1" s="1"/>
  <c r="G2726" i="1"/>
  <c r="H2727" i="1" s="1"/>
  <c r="F2726" i="1"/>
  <c r="D2726" i="1"/>
  <c r="L2726" i="1" s="1"/>
  <c r="K2725" i="1"/>
  <c r="N2725" i="1" s="1"/>
  <c r="J2725" i="1"/>
  <c r="M2725" i="1" s="1"/>
  <c r="G2725" i="1"/>
  <c r="H2726" i="1" s="1"/>
  <c r="F2725" i="1"/>
  <c r="D2725" i="1"/>
  <c r="L2725" i="1" s="1"/>
  <c r="K2724" i="1"/>
  <c r="N2724" i="1" s="1"/>
  <c r="J2724" i="1"/>
  <c r="M2724" i="1" s="1"/>
  <c r="G2724" i="1"/>
  <c r="H2725" i="1" s="1"/>
  <c r="F2724" i="1"/>
  <c r="D2724" i="1"/>
  <c r="L2724" i="1" s="1"/>
  <c r="K2723" i="1"/>
  <c r="N2723" i="1" s="1"/>
  <c r="J2723" i="1"/>
  <c r="M2723" i="1" s="1"/>
  <c r="G2723" i="1"/>
  <c r="H2724" i="1" s="1"/>
  <c r="F2723" i="1"/>
  <c r="D2723" i="1"/>
  <c r="L2723" i="1" s="1"/>
  <c r="K2722" i="1"/>
  <c r="N2722" i="1" s="1"/>
  <c r="J2722" i="1"/>
  <c r="M2722" i="1" s="1"/>
  <c r="G2722" i="1"/>
  <c r="H2723" i="1" s="1"/>
  <c r="F2722" i="1"/>
  <c r="D2722" i="1"/>
  <c r="L2722" i="1" s="1"/>
  <c r="K2721" i="1"/>
  <c r="N2721" i="1" s="1"/>
  <c r="J2721" i="1"/>
  <c r="M2721" i="1" s="1"/>
  <c r="G2721" i="1"/>
  <c r="H2722" i="1" s="1"/>
  <c r="F2721" i="1"/>
  <c r="D2721" i="1"/>
  <c r="L2721" i="1" s="1"/>
  <c r="K2720" i="1"/>
  <c r="N2720" i="1" s="1"/>
  <c r="J2720" i="1"/>
  <c r="M2720" i="1" s="1"/>
  <c r="G2720" i="1"/>
  <c r="H2721" i="1" s="1"/>
  <c r="F2720" i="1"/>
  <c r="D2720" i="1"/>
  <c r="L2720" i="1" s="1"/>
  <c r="K2719" i="1"/>
  <c r="N2719" i="1" s="1"/>
  <c r="J2719" i="1"/>
  <c r="M2719" i="1" s="1"/>
  <c r="G2719" i="1"/>
  <c r="H2720" i="1" s="1"/>
  <c r="F2719" i="1"/>
  <c r="D2719" i="1"/>
  <c r="L2719" i="1" s="1"/>
  <c r="K2718" i="1"/>
  <c r="N2718" i="1" s="1"/>
  <c r="J2718" i="1"/>
  <c r="M2718" i="1" s="1"/>
  <c r="G2718" i="1"/>
  <c r="H2719" i="1" s="1"/>
  <c r="F2718" i="1"/>
  <c r="D2718" i="1"/>
  <c r="L2718" i="1" s="1"/>
  <c r="K2717" i="1"/>
  <c r="N2717" i="1" s="1"/>
  <c r="J2717" i="1"/>
  <c r="M2717" i="1" s="1"/>
  <c r="G2717" i="1"/>
  <c r="H2718" i="1" s="1"/>
  <c r="F2717" i="1"/>
  <c r="D2717" i="1"/>
  <c r="L2717" i="1" s="1"/>
  <c r="K2716" i="1"/>
  <c r="N2716" i="1" s="1"/>
  <c r="J2716" i="1"/>
  <c r="M2716" i="1" s="1"/>
  <c r="G2716" i="1"/>
  <c r="H2717" i="1" s="1"/>
  <c r="F2716" i="1"/>
  <c r="D2716" i="1"/>
  <c r="L2716" i="1" s="1"/>
  <c r="K2715" i="1"/>
  <c r="N2715" i="1" s="1"/>
  <c r="J2715" i="1"/>
  <c r="M2715" i="1" s="1"/>
  <c r="G2715" i="1"/>
  <c r="H2716" i="1" s="1"/>
  <c r="F2715" i="1"/>
  <c r="D2715" i="1"/>
  <c r="L2715" i="1" s="1"/>
  <c r="K2714" i="1"/>
  <c r="N2714" i="1" s="1"/>
  <c r="J2714" i="1"/>
  <c r="M2714" i="1" s="1"/>
  <c r="G2714" i="1"/>
  <c r="H2715" i="1" s="1"/>
  <c r="F2714" i="1"/>
  <c r="D2714" i="1"/>
  <c r="L2714" i="1" s="1"/>
  <c r="K2713" i="1"/>
  <c r="N2713" i="1" s="1"/>
  <c r="J2713" i="1"/>
  <c r="M2713" i="1" s="1"/>
  <c r="G2713" i="1"/>
  <c r="H2714" i="1" s="1"/>
  <c r="F2713" i="1"/>
  <c r="D2713" i="1"/>
  <c r="L2713" i="1" s="1"/>
  <c r="K2712" i="1"/>
  <c r="N2712" i="1" s="1"/>
  <c r="J2712" i="1"/>
  <c r="M2712" i="1" s="1"/>
  <c r="G2712" i="1"/>
  <c r="H2713" i="1" s="1"/>
  <c r="F2712" i="1"/>
  <c r="D2712" i="1"/>
  <c r="L2712" i="1" s="1"/>
  <c r="K2711" i="1"/>
  <c r="N2711" i="1" s="1"/>
  <c r="J2711" i="1"/>
  <c r="M2711" i="1" s="1"/>
  <c r="G2711" i="1"/>
  <c r="H2712" i="1" s="1"/>
  <c r="F2711" i="1"/>
  <c r="D2711" i="1"/>
  <c r="L2711" i="1" s="1"/>
  <c r="K2710" i="1"/>
  <c r="N2710" i="1" s="1"/>
  <c r="J2710" i="1"/>
  <c r="M2710" i="1" s="1"/>
  <c r="G2710" i="1"/>
  <c r="H2711" i="1" s="1"/>
  <c r="F2710" i="1"/>
  <c r="D2710" i="1"/>
  <c r="L2710" i="1" s="1"/>
  <c r="K2709" i="1"/>
  <c r="N2709" i="1" s="1"/>
  <c r="J2709" i="1"/>
  <c r="M2709" i="1" s="1"/>
  <c r="G2709" i="1"/>
  <c r="H2710" i="1" s="1"/>
  <c r="F2709" i="1"/>
  <c r="D2709" i="1"/>
  <c r="L2709" i="1" s="1"/>
  <c r="K2708" i="1"/>
  <c r="N2708" i="1" s="1"/>
  <c r="J2708" i="1"/>
  <c r="M2708" i="1" s="1"/>
  <c r="G2708" i="1"/>
  <c r="H2709" i="1" s="1"/>
  <c r="F2708" i="1"/>
  <c r="D2708" i="1"/>
  <c r="L2708" i="1" s="1"/>
  <c r="K2707" i="1"/>
  <c r="N2707" i="1" s="1"/>
  <c r="J2707" i="1"/>
  <c r="M2707" i="1" s="1"/>
  <c r="G2707" i="1"/>
  <c r="H2708" i="1" s="1"/>
  <c r="F2707" i="1"/>
  <c r="D2707" i="1"/>
  <c r="L2707" i="1" s="1"/>
  <c r="K2706" i="1"/>
  <c r="N2706" i="1" s="1"/>
  <c r="J2706" i="1"/>
  <c r="M2706" i="1" s="1"/>
  <c r="G2706" i="1"/>
  <c r="H2707" i="1" s="1"/>
  <c r="F2706" i="1"/>
  <c r="D2706" i="1"/>
  <c r="L2706" i="1" s="1"/>
  <c r="K2705" i="1"/>
  <c r="N2705" i="1" s="1"/>
  <c r="J2705" i="1"/>
  <c r="M2705" i="1" s="1"/>
  <c r="G2705" i="1"/>
  <c r="H2706" i="1" s="1"/>
  <c r="F2705" i="1"/>
  <c r="D2705" i="1"/>
  <c r="L2705" i="1" s="1"/>
  <c r="K2704" i="1"/>
  <c r="N2704" i="1" s="1"/>
  <c r="J2704" i="1"/>
  <c r="M2704" i="1" s="1"/>
  <c r="G2704" i="1"/>
  <c r="H2705" i="1" s="1"/>
  <c r="F2704" i="1"/>
  <c r="D2704" i="1"/>
  <c r="L2704" i="1" s="1"/>
  <c r="K2703" i="1"/>
  <c r="N2703" i="1" s="1"/>
  <c r="J2703" i="1"/>
  <c r="M2703" i="1" s="1"/>
  <c r="G2703" i="1"/>
  <c r="H2704" i="1" s="1"/>
  <c r="F2703" i="1"/>
  <c r="D2703" i="1"/>
  <c r="L2703" i="1" s="1"/>
  <c r="K2702" i="1"/>
  <c r="N2702" i="1" s="1"/>
  <c r="J2702" i="1"/>
  <c r="M2702" i="1" s="1"/>
  <c r="G2702" i="1"/>
  <c r="H2703" i="1" s="1"/>
  <c r="F2702" i="1"/>
  <c r="D2702" i="1"/>
  <c r="L2702" i="1" s="1"/>
  <c r="K2701" i="1"/>
  <c r="N2701" i="1" s="1"/>
  <c r="J2701" i="1"/>
  <c r="M2701" i="1" s="1"/>
  <c r="G2701" i="1"/>
  <c r="H2702" i="1" s="1"/>
  <c r="F2701" i="1"/>
  <c r="D2701" i="1"/>
  <c r="L2701" i="1" s="1"/>
  <c r="K2700" i="1"/>
  <c r="N2700" i="1" s="1"/>
  <c r="J2700" i="1"/>
  <c r="M2700" i="1" s="1"/>
  <c r="G2700" i="1"/>
  <c r="H2701" i="1" s="1"/>
  <c r="F2700" i="1"/>
  <c r="D2700" i="1"/>
  <c r="L2700" i="1" s="1"/>
  <c r="K2699" i="1"/>
  <c r="N2699" i="1" s="1"/>
  <c r="J2699" i="1"/>
  <c r="M2699" i="1" s="1"/>
  <c r="G2699" i="1"/>
  <c r="H2700" i="1" s="1"/>
  <c r="F2699" i="1"/>
  <c r="D2699" i="1"/>
  <c r="L2699" i="1" s="1"/>
  <c r="K2698" i="1"/>
  <c r="N2698" i="1" s="1"/>
  <c r="J2698" i="1"/>
  <c r="M2698" i="1" s="1"/>
  <c r="G2698" i="1"/>
  <c r="H2699" i="1" s="1"/>
  <c r="F2698" i="1"/>
  <c r="D2698" i="1"/>
  <c r="L2698" i="1" s="1"/>
  <c r="K2697" i="1"/>
  <c r="N2697" i="1" s="1"/>
  <c r="J2697" i="1"/>
  <c r="M2697" i="1" s="1"/>
  <c r="G2697" i="1"/>
  <c r="H2698" i="1" s="1"/>
  <c r="F2697" i="1"/>
  <c r="D2697" i="1"/>
  <c r="L2697" i="1" s="1"/>
  <c r="K2696" i="1"/>
  <c r="N2696" i="1" s="1"/>
  <c r="J2696" i="1"/>
  <c r="M2696" i="1" s="1"/>
  <c r="G2696" i="1"/>
  <c r="H2697" i="1" s="1"/>
  <c r="F2696" i="1"/>
  <c r="D2696" i="1"/>
  <c r="L2696" i="1" s="1"/>
  <c r="K2695" i="1"/>
  <c r="N2695" i="1" s="1"/>
  <c r="J2695" i="1"/>
  <c r="M2695" i="1" s="1"/>
  <c r="G2695" i="1"/>
  <c r="H2696" i="1" s="1"/>
  <c r="F2695" i="1"/>
  <c r="D2695" i="1"/>
  <c r="L2695" i="1" s="1"/>
  <c r="K2694" i="1"/>
  <c r="N2694" i="1" s="1"/>
  <c r="J2694" i="1"/>
  <c r="M2694" i="1" s="1"/>
  <c r="G2694" i="1"/>
  <c r="H2695" i="1" s="1"/>
  <c r="F2694" i="1"/>
  <c r="D2694" i="1"/>
  <c r="L2694" i="1" s="1"/>
  <c r="K2693" i="1"/>
  <c r="N2693" i="1" s="1"/>
  <c r="J2693" i="1"/>
  <c r="M2693" i="1" s="1"/>
  <c r="G2693" i="1"/>
  <c r="H2694" i="1" s="1"/>
  <c r="F2693" i="1"/>
  <c r="D2693" i="1"/>
  <c r="L2693" i="1" s="1"/>
  <c r="K2692" i="1"/>
  <c r="N2692" i="1" s="1"/>
  <c r="J2692" i="1"/>
  <c r="M2692" i="1" s="1"/>
  <c r="G2692" i="1"/>
  <c r="H2693" i="1" s="1"/>
  <c r="F2692" i="1"/>
  <c r="D2692" i="1"/>
  <c r="L2692" i="1" s="1"/>
  <c r="K2691" i="1"/>
  <c r="N2691" i="1" s="1"/>
  <c r="J2691" i="1"/>
  <c r="M2691" i="1" s="1"/>
  <c r="G2691" i="1"/>
  <c r="H2692" i="1" s="1"/>
  <c r="F2691" i="1"/>
  <c r="D2691" i="1"/>
  <c r="L2691" i="1" s="1"/>
  <c r="K2690" i="1"/>
  <c r="N2690" i="1" s="1"/>
  <c r="J2690" i="1"/>
  <c r="M2690" i="1" s="1"/>
  <c r="G2690" i="1"/>
  <c r="H2691" i="1" s="1"/>
  <c r="F2690" i="1"/>
  <c r="D2690" i="1"/>
  <c r="L2690" i="1" s="1"/>
  <c r="K2689" i="1"/>
  <c r="N2689" i="1" s="1"/>
  <c r="J2689" i="1"/>
  <c r="M2689" i="1" s="1"/>
  <c r="G2689" i="1"/>
  <c r="H2690" i="1" s="1"/>
  <c r="F2689" i="1"/>
  <c r="D2689" i="1"/>
  <c r="L2689" i="1" s="1"/>
  <c r="K2688" i="1"/>
  <c r="N2688" i="1" s="1"/>
  <c r="J2688" i="1"/>
  <c r="M2688" i="1" s="1"/>
  <c r="G2688" i="1"/>
  <c r="H2689" i="1" s="1"/>
  <c r="F2688" i="1"/>
  <c r="D2688" i="1"/>
  <c r="L2688" i="1" s="1"/>
  <c r="K2687" i="1"/>
  <c r="N2687" i="1" s="1"/>
  <c r="J2687" i="1"/>
  <c r="M2687" i="1" s="1"/>
  <c r="G2687" i="1"/>
  <c r="H2688" i="1" s="1"/>
  <c r="F2687" i="1"/>
  <c r="D2687" i="1"/>
  <c r="L2687" i="1" s="1"/>
  <c r="K2686" i="1"/>
  <c r="N2686" i="1" s="1"/>
  <c r="J2686" i="1"/>
  <c r="M2686" i="1" s="1"/>
  <c r="G2686" i="1"/>
  <c r="H2687" i="1" s="1"/>
  <c r="F2686" i="1"/>
  <c r="D2686" i="1"/>
  <c r="L2686" i="1" s="1"/>
  <c r="K2685" i="1"/>
  <c r="N2685" i="1" s="1"/>
  <c r="J2685" i="1"/>
  <c r="M2685" i="1" s="1"/>
  <c r="G2685" i="1"/>
  <c r="H2686" i="1" s="1"/>
  <c r="F2685" i="1"/>
  <c r="D2685" i="1"/>
  <c r="L2685" i="1" s="1"/>
  <c r="K2684" i="1"/>
  <c r="N2684" i="1" s="1"/>
  <c r="J2684" i="1"/>
  <c r="M2684" i="1" s="1"/>
  <c r="G2684" i="1"/>
  <c r="H2685" i="1" s="1"/>
  <c r="F2684" i="1"/>
  <c r="D2684" i="1"/>
  <c r="L2684" i="1" s="1"/>
  <c r="K2683" i="1"/>
  <c r="N2683" i="1" s="1"/>
  <c r="J2683" i="1"/>
  <c r="M2683" i="1" s="1"/>
  <c r="G2683" i="1"/>
  <c r="H2684" i="1" s="1"/>
  <c r="F2683" i="1"/>
  <c r="D2683" i="1"/>
  <c r="L2683" i="1" s="1"/>
  <c r="K2682" i="1"/>
  <c r="N2682" i="1" s="1"/>
  <c r="J2682" i="1"/>
  <c r="M2682" i="1" s="1"/>
  <c r="G2682" i="1"/>
  <c r="H2683" i="1" s="1"/>
  <c r="F2682" i="1"/>
  <c r="D2682" i="1"/>
  <c r="L2682" i="1" s="1"/>
  <c r="K2681" i="1"/>
  <c r="N2681" i="1" s="1"/>
  <c r="J2681" i="1"/>
  <c r="M2681" i="1" s="1"/>
  <c r="G2681" i="1"/>
  <c r="H2682" i="1" s="1"/>
  <c r="F2681" i="1"/>
  <c r="D2681" i="1"/>
  <c r="L2681" i="1" s="1"/>
  <c r="K2680" i="1"/>
  <c r="N2680" i="1" s="1"/>
  <c r="J2680" i="1"/>
  <c r="M2680" i="1" s="1"/>
  <c r="G2680" i="1"/>
  <c r="H2681" i="1" s="1"/>
  <c r="F2680" i="1"/>
  <c r="D2680" i="1"/>
  <c r="L2680" i="1" s="1"/>
  <c r="K2679" i="1"/>
  <c r="N2679" i="1" s="1"/>
  <c r="J2679" i="1"/>
  <c r="M2679" i="1" s="1"/>
  <c r="G2679" i="1"/>
  <c r="H2680" i="1" s="1"/>
  <c r="F2679" i="1"/>
  <c r="D2679" i="1"/>
  <c r="L2679" i="1" s="1"/>
  <c r="K2678" i="1"/>
  <c r="N2678" i="1" s="1"/>
  <c r="J2678" i="1"/>
  <c r="M2678" i="1" s="1"/>
  <c r="G2678" i="1"/>
  <c r="H2679" i="1" s="1"/>
  <c r="F2678" i="1"/>
  <c r="D2678" i="1"/>
  <c r="L2678" i="1" s="1"/>
  <c r="K2677" i="1"/>
  <c r="N2677" i="1" s="1"/>
  <c r="J2677" i="1"/>
  <c r="M2677" i="1" s="1"/>
  <c r="G2677" i="1"/>
  <c r="H2678" i="1" s="1"/>
  <c r="F2677" i="1"/>
  <c r="D2677" i="1"/>
  <c r="L2677" i="1" s="1"/>
  <c r="K2676" i="1"/>
  <c r="N2676" i="1" s="1"/>
  <c r="J2676" i="1"/>
  <c r="M2676" i="1" s="1"/>
  <c r="G2676" i="1"/>
  <c r="H2677" i="1" s="1"/>
  <c r="F2676" i="1"/>
  <c r="D2676" i="1"/>
  <c r="L2676" i="1" s="1"/>
  <c r="K2675" i="1"/>
  <c r="N2675" i="1" s="1"/>
  <c r="J2675" i="1"/>
  <c r="M2675" i="1" s="1"/>
  <c r="G2675" i="1"/>
  <c r="H2676" i="1" s="1"/>
  <c r="F2675" i="1"/>
  <c r="D2675" i="1"/>
  <c r="L2675" i="1" s="1"/>
  <c r="K2674" i="1"/>
  <c r="N2674" i="1" s="1"/>
  <c r="J2674" i="1"/>
  <c r="M2674" i="1" s="1"/>
  <c r="G2674" i="1"/>
  <c r="H2675" i="1" s="1"/>
  <c r="F2674" i="1"/>
  <c r="D2674" i="1"/>
  <c r="L2674" i="1" s="1"/>
  <c r="K2673" i="1"/>
  <c r="N2673" i="1" s="1"/>
  <c r="J2673" i="1"/>
  <c r="M2673" i="1" s="1"/>
  <c r="G2673" i="1"/>
  <c r="H2674" i="1" s="1"/>
  <c r="F2673" i="1"/>
  <c r="D2673" i="1"/>
  <c r="L2673" i="1" s="1"/>
  <c r="K2672" i="1"/>
  <c r="N2672" i="1" s="1"/>
  <c r="J2672" i="1"/>
  <c r="M2672" i="1" s="1"/>
  <c r="G2672" i="1"/>
  <c r="H2673" i="1" s="1"/>
  <c r="F2672" i="1"/>
  <c r="D2672" i="1"/>
  <c r="L2672" i="1" s="1"/>
  <c r="K2671" i="1"/>
  <c r="N2671" i="1" s="1"/>
  <c r="J2671" i="1"/>
  <c r="M2671" i="1" s="1"/>
  <c r="G2671" i="1"/>
  <c r="H2672" i="1" s="1"/>
  <c r="F2671" i="1"/>
  <c r="D2671" i="1"/>
  <c r="L2671" i="1" s="1"/>
  <c r="K2670" i="1"/>
  <c r="N2670" i="1" s="1"/>
  <c r="J2670" i="1"/>
  <c r="M2670" i="1" s="1"/>
  <c r="G2670" i="1"/>
  <c r="H2671" i="1" s="1"/>
  <c r="F2670" i="1"/>
  <c r="D2670" i="1"/>
  <c r="L2670" i="1" s="1"/>
  <c r="K2669" i="1"/>
  <c r="N2669" i="1" s="1"/>
  <c r="J2669" i="1"/>
  <c r="M2669" i="1" s="1"/>
  <c r="G2669" i="1"/>
  <c r="H2670" i="1" s="1"/>
  <c r="F2669" i="1"/>
  <c r="D2669" i="1"/>
  <c r="L2669" i="1" s="1"/>
  <c r="K2668" i="1"/>
  <c r="N2668" i="1" s="1"/>
  <c r="J2668" i="1"/>
  <c r="M2668" i="1" s="1"/>
  <c r="G2668" i="1"/>
  <c r="H2669" i="1" s="1"/>
  <c r="F2668" i="1"/>
  <c r="D2668" i="1"/>
  <c r="L2668" i="1" s="1"/>
  <c r="K2667" i="1"/>
  <c r="N2667" i="1" s="1"/>
  <c r="J2667" i="1"/>
  <c r="M2667" i="1" s="1"/>
  <c r="G2667" i="1"/>
  <c r="H2668" i="1" s="1"/>
  <c r="F2667" i="1"/>
  <c r="D2667" i="1"/>
  <c r="L2667" i="1" s="1"/>
  <c r="K2666" i="1"/>
  <c r="N2666" i="1" s="1"/>
  <c r="J2666" i="1"/>
  <c r="M2666" i="1" s="1"/>
  <c r="G2666" i="1"/>
  <c r="H2667" i="1" s="1"/>
  <c r="F2666" i="1"/>
  <c r="D2666" i="1"/>
  <c r="L2666" i="1" s="1"/>
  <c r="K2665" i="1"/>
  <c r="N2665" i="1" s="1"/>
  <c r="J2665" i="1"/>
  <c r="M2665" i="1" s="1"/>
  <c r="G2665" i="1"/>
  <c r="H2666" i="1" s="1"/>
  <c r="F2665" i="1"/>
  <c r="D2665" i="1"/>
  <c r="L2665" i="1" s="1"/>
  <c r="K2664" i="1"/>
  <c r="N2664" i="1" s="1"/>
  <c r="J2664" i="1"/>
  <c r="M2664" i="1" s="1"/>
  <c r="G2664" i="1"/>
  <c r="H2665" i="1" s="1"/>
  <c r="F2664" i="1"/>
  <c r="D2664" i="1"/>
  <c r="L2664" i="1" s="1"/>
  <c r="K2663" i="1"/>
  <c r="N2663" i="1" s="1"/>
  <c r="J2663" i="1"/>
  <c r="M2663" i="1" s="1"/>
  <c r="G2663" i="1"/>
  <c r="H2664" i="1" s="1"/>
  <c r="F2663" i="1"/>
  <c r="D2663" i="1"/>
  <c r="L2663" i="1" s="1"/>
  <c r="K2662" i="1"/>
  <c r="N2662" i="1" s="1"/>
  <c r="J2662" i="1"/>
  <c r="M2662" i="1" s="1"/>
  <c r="G2662" i="1"/>
  <c r="H2663" i="1" s="1"/>
  <c r="F2662" i="1"/>
  <c r="D2662" i="1"/>
  <c r="L2662" i="1" s="1"/>
  <c r="K2661" i="1"/>
  <c r="N2661" i="1" s="1"/>
  <c r="J2661" i="1"/>
  <c r="M2661" i="1" s="1"/>
  <c r="G2661" i="1"/>
  <c r="H2662" i="1" s="1"/>
  <c r="F2661" i="1"/>
  <c r="D2661" i="1"/>
  <c r="L2661" i="1" s="1"/>
  <c r="K2660" i="1"/>
  <c r="N2660" i="1" s="1"/>
  <c r="J2660" i="1"/>
  <c r="M2660" i="1" s="1"/>
  <c r="G2660" i="1"/>
  <c r="H2661" i="1" s="1"/>
  <c r="F2660" i="1"/>
  <c r="D2660" i="1"/>
  <c r="L2660" i="1" s="1"/>
  <c r="K2659" i="1"/>
  <c r="N2659" i="1" s="1"/>
  <c r="J2659" i="1"/>
  <c r="M2659" i="1" s="1"/>
  <c r="G2659" i="1"/>
  <c r="H2660" i="1" s="1"/>
  <c r="F2659" i="1"/>
  <c r="D2659" i="1"/>
  <c r="L2659" i="1" s="1"/>
  <c r="K2658" i="1"/>
  <c r="N2658" i="1" s="1"/>
  <c r="J2658" i="1"/>
  <c r="M2658" i="1" s="1"/>
  <c r="G2658" i="1"/>
  <c r="H2659" i="1" s="1"/>
  <c r="F2658" i="1"/>
  <c r="D2658" i="1"/>
  <c r="L2658" i="1" s="1"/>
  <c r="K2657" i="1"/>
  <c r="N2657" i="1" s="1"/>
  <c r="J2657" i="1"/>
  <c r="M2657" i="1" s="1"/>
  <c r="G2657" i="1"/>
  <c r="H2658" i="1" s="1"/>
  <c r="F2657" i="1"/>
  <c r="D2657" i="1"/>
  <c r="L2657" i="1" s="1"/>
  <c r="K2656" i="1"/>
  <c r="N2656" i="1" s="1"/>
  <c r="J2656" i="1"/>
  <c r="M2656" i="1" s="1"/>
  <c r="G2656" i="1"/>
  <c r="H2657" i="1" s="1"/>
  <c r="F2656" i="1"/>
  <c r="D2656" i="1"/>
  <c r="L2656" i="1" s="1"/>
  <c r="K2655" i="1"/>
  <c r="N2655" i="1" s="1"/>
  <c r="J2655" i="1"/>
  <c r="M2655" i="1" s="1"/>
  <c r="G2655" i="1"/>
  <c r="H2656" i="1" s="1"/>
  <c r="F2655" i="1"/>
  <c r="D2655" i="1"/>
  <c r="L2655" i="1" s="1"/>
  <c r="K2654" i="1"/>
  <c r="N2654" i="1" s="1"/>
  <c r="J2654" i="1"/>
  <c r="M2654" i="1" s="1"/>
  <c r="G2654" i="1"/>
  <c r="H2655" i="1" s="1"/>
  <c r="F2654" i="1"/>
  <c r="D2654" i="1"/>
  <c r="L2654" i="1" s="1"/>
  <c r="K2653" i="1"/>
  <c r="N2653" i="1" s="1"/>
  <c r="J2653" i="1"/>
  <c r="M2653" i="1" s="1"/>
  <c r="G2653" i="1"/>
  <c r="H2654" i="1" s="1"/>
  <c r="F2653" i="1"/>
  <c r="D2653" i="1"/>
  <c r="L2653" i="1" s="1"/>
  <c r="K2652" i="1"/>
  <c r="N2652" i="1" s="1"/>
  <c r="J2652" i="1"/>
  <c r="M2652" i="1" s="1"/>
  <c r="G2652" i="1"/>
  <c r="H2653" i="1" s="1"/>
  <c r="F2652" i="1"/>
  <c r="D2652" i="1"/>
  <c r="L2652" i="1" s="1"/>
  <c r="K2651" i="1"/>
  <c r="N2651" i="1" s="1"/>
  <c r="J2651" i="1"/>
  <c r="M2651" i="1" s="1"/>
  <c r="G2651" i="1"/>
  <c r="H2652" i="1" s="1"/>
  <c r="F2651" i="1"/>
  <c r="D2651" i="1"/>
  <c r="L2651" i="1" s="1"/>
  <c r="K2650" i="1"/>
  <c r="N2650" i="1" s="1"/>
  <c r="J2650" i="1"/>
  <c r="M2650" i="1" s="1"/>
  <c r="G2650" i="1"/>
  <c r="H2651" i="1" s="1"/>
  <c r="F2650" i="1"/>
  <c r="D2650" i="1"/>
  <c r="L2650" i="1" s="1"/>
  <c r="K2649" i="1"/>
  <c r="N2649" i="1" s="1"/>
  <c r="J2649" i="1"/>
  <c r="M2649" i="1" s="1"/>
  <c r="G2649" i="1"/>
  <c r="H2650" i="1" s="1"/>
  <c r="F2649" i="1"/>
  <c r="D2649" i="1"/>
  <c r="L2649" i="1" s="1"/>
  <c r="K2648" i="1"/>
  <c r="N2648" i="1" s="1"/>
  <c r="J2648" i="1"/>
  <c r="M2648" i="1" s="1"/>
  <c r="G2648" i="1"/>
  <c r="H2649" i="1" s="1"/>
  <c r="F2648" i="1"/>
  <c r="D2648" i="1"/>
  <c r="L2648" i="1" s="1"/>
  <c r="K2647" i="1"/>
  <c r="N2647" i="1" s="1"/>
  <c r="J2647" i="1"/>
  <c r="M2647" i="1" s="1"/>
  <c r="G2647" i="1"/>
  <c r="H2648" i="1" s="1"/>
  <c r="F2647" i="1"/>
  <c r="D2647" i="1"/>
  <c r="L2647" i="1" s="1"/>
  <c r="K2646" i="1"/>
  <c r="N2646" i="1" s="1"/>
  <c r="J2646" i="1"/>
  <c r="M2646" i="1" s="1"/>
  <c r="G2646" i="1"/>
  <c r="H2647" i="1" s="1"/>
  <c r="F2646" i="1"/>
  <c r="D2646" i="1"/>
  <c r="L2646" i="1" s="1"/>
  <c r="K2645" i="1"/>
  <c r="N2645" i="1" s="1"/>
  <c r="J2645" i="1"/>
  <c r="M2645" i="1" s="1"/>
  <c r="G2645" i="1"/>
  <c r="H2646" i="1" s="1"/>
  <c r="F2645" i="1"/>
  <c r="D2645" i="1"/>
  <c r="L2645" i="1" s="1"/>
  <c r="K2644" i="1"/>
  <c r="N2644" i="1" s="1"/>
  <c r="J2644" i="1"/>
  <c r="M2644" i="1" s="1"/>
  <c r="G2644" i="1"/>
  <c r="H2645" i="1" s="1"/>
  <c r="F2644" i="1"/>
  <c r="D2644" i="1"/>
  <c r="L2644" i="1" s="1"/>
  <c r="K2643" i="1"/>
  <c r="N2643" i="1" s="1"/>
  <c r="J2643" i="1"/>
  <c r="M2643" i="1" s="1"/>
  <c r="G2643" i="1"/>
  <c r="H2644" i="1" s="1"/>
  <c r="F2643" i="1"/>
  <c r="D2643" i="1"/>
  <c r="L2643" i="1" s="1"/>
  <c r="K2642" i="1"/>
  <c r="N2642" i="1" s="1"/>
  <c r="J2642" i="1"/>
  <c r="M2642" i="1" s="1"/>
  <c r="G2642" i="1"/>
  <c r="H2643" i="1" s="1"/>
  <c r="F2642" i="1"/>
  <c r="D2642" i="1"/>
  <c r="L2642" i="1" s="1"/>
  <c r="K2641" i="1"/>
  <c r="N2641" i="1" s="1"/>
  <c r="J2641" i="1"/>
  <c r="M2641" i="1" s="1"/>
  <c r="G2641" i="1"/>
  <c r="H2642" i="1" s="1"/>
  <c r="F2641" i="1"/>
  <c r="D2641" i="1"/>
  <c r="L2641" i="1" s="1"/>
  <c r="K2640" i="1"/>
  <c r="N2640" i="1" s="1"/>
  <c r="J2640" i="1"/>
  <c r="M2640" i="1" s="1"/>
  <c r="G2640" i="1"/>
  <c r="H2641" i="1" s="1"/>
  <c r="F2640" i="1"/>
  <c r="D2640" i="1"/>
  <c r="L2640" i="1" s="1"/>
  <c r="K2639" i="1"/>
  <c r="N2639" i="1" s="1"/>
  <c r="J2639" i="1"/>
  <c r="M2639" i="1" s="1"/>
  <c r="G2639" i="1"/>
  <c r="H2640" i="1" s="1"/>
  <c r="F2639" i="1"/>
  <c r="D2639" i="1"/>
  <c r="L2639" i="1" s="1"/>
  <c r="K2638" i="1"/>
  <c r="N2638" i="1" s="1"/>
  <c r="J2638" i="1"/>
  <c r="M2638" i="1" s="1"/>
  <c r="G2638" i="1"/>
  <c r="H2639" i="1" s="1"/>
  <c r="F2638" i="1"/>
  <c r="D2638" i="1"/>
  <c r="L2638" i="1" s="1"/>
  <c r="K2637" i="1"/>
  <c r="N2637" i="1" s="1"/>
  <c r="J2637" i="1"/>
  <c r="M2637" i="1" s="1"/>
  <c r="G2637" i="1"/>
  <c r="H2638" i="1" s="1"/>
  <c r="F2637" i="1"/>
  <c r="D2637" i="1"/>
  <c r="L2637" i="1" s="1"/>
  <c r="K2636" i="1"/>
  <c r="N2636" i="1" s="1"/>
  <c r="J2636" i="1"/>
  <c r="M2636" i="1" s="1"/>
  <c r="G2636" i="1"/>
  <c r="H2637" i="1" s="1"/>
  <c r="F2636" i="1"/>
  <c r="D2636" i="1"/>
  <c r="L2636" i="1" s="1"/>
  <c r="K2635" i="1"/>
  <c r="N2635" i="1" s="1"/>
  <c r="J2635" i="1"/>
  <c r="M2635" i="1" s="1"/>
  <c r="G2635" i="1"/>
  <c r="H2636" i="1" s="1"/>
  <c r="F2635" i="1"/>
  <c r="D2635" i="1"/>
  <c r="L2635" i="1" s="1"/>
  <c r="K2634" i="1"/>
  <c r="N2634" i="1" s="1"/>
  <c r="J2634" i="1"/>
  <c r="M2634" i="1" s="1"/>
  <c r="G2634" i="1"/>
  <c r="H2635" i="1" s="1"/>
  <c r="F2634" i="1"/>
  <c r="D2634" i="1"/>
  <c r="L2634" i="1" s="1"/>
  <c r="K2633" i="1"/>
  <c r="N2633" i="1" s="1"/>
  <c r="J2633" i="1"/>
  <c r="M2633" i="1" s="1"/>
  <c r="G2633" i="1"/>
  <c r="H2634" i="1" s="1"/>
  <c r="F2633" i="1"/>
  <c r="D2633" i="1"/>
  <c r="L2633" i="1" s="1"/>
  <c r="K2632" i="1"/>
  <c r="N2632" i="1" s="1"/>
  <c r="J2632" i="1"/>
  <c r="M2632" i="1" s="1"/>
  <c r="G2632" i="1"/>
  <c r="H2633" i="1" s="1"/>
  <c r="F2632" i="1"/>
  <c r="D2632" i="1"/>
  <c r="L2632" i="1" s="1"/>
  <c r="K2631" i="1"/>
  <c r="N2631" i="1" s="1"/>
  <c r="J2631" i="1"/>
  <c r="M2631" i="1" s="1"/>
  <c r="G2631" i="1"/>
  <c r="H2632" i="1" s="1"/>
  <c r="F2631" i="1"/>
  <c r="D2631" i="1"/>
  <c r="L2631" i="1" s="1"/>
  <c r="K2630" i="1"/>
  <c r="N2630" i="1" s="1"/>
  <c r="J2630" i="1"/>
  <c r="M2630" i="1" s="1"/>
  <c r="G2630" i="1"/>
  <c r="H2631" i="1" s="1"/>
  <c r="F2630" i="1"/>
  <c r="D2630" i="1"/>
  <c r="L2630" i="1" s="1"/>
  <c r="K2629" i="1"/>
  <c r="N2629" i="1" s="1"/>
  <c r="J2629" i="1"/>
  <c r="M2629" i="1" s="1"/>
  <c r="G2629" i="1"/>
  <c r="H2630" i="1" s="1"/>
  <c r="F2629" i="1"/>
  <c r="D2629" i="1"/>
  <c r="L2629" i="1" s="1"/>
  <c r="K2628" i="1"/>
  <c r="N2628" i="1" s="1"/>
  <c r="J2628" i="1"/>
  <c r="M2628" i="1" s="1"/>
  <c r="G2628" i="1"/>
  <c r="H2629" i="1" s="1"/>
  <c r="F2628" i="1"/>
  <c r="D2628" i="1"/>
  <c r="L2628" i="1" s="1"/>
  <c r="K2627" i="1"/>
  <c r="N2627" i="1" s="1"/>
  <c r="J2627" i="1"/>
  <c r="M2627" i="1" s="1"/>
  <c r="G2627" i="1"/>
  <c r="H2628" i="1" s="1"/>
  <c r="F2627" i="1"/>
  <c r="D2627" i="1"/>
  <c r="L2627" i="1" s="1"/>
  <c r="K2626" i="1"/>
  <c r="N2626" i="1" s="1"/>
  <c r="J2626" i="1"/>
  <c r="M2626" i="1" s="1"/>
  <c r="G2626" i="1"/>
  <c r="H2627" i="1" s="1"/>
  <c r="F2626" i="1"/>
  <c r="D2626" i="1"/>
  <c r="L2626" i="1" s="1"/>
  <c r="K2625" i="1"/>
  <c r="N2625" i="1" s="1"/>
  <c r="J2625" i="1"/>
  <c r="M2625" i="1" s="1"/>
  <c r="G2625" i="1"/>
  <c r="H2626" i="1" s="1"/>
  <c r="F2625" i="1"/>
  <c r="D2625" i="1"/>
  <c r="L2625" i="1" s="1"/>
  <c r="K2624" i="1"/>
  <c r="N2624" i="1" s="1"/>
  <c r="J2624" i="1"/>
  <c r="M2624" i="1" s="1"/>
  <c r="G2624" i="1"/>
  <c r="H2625" i="1" s="1"/>
  <c r="F2624" i="1"/>
  <c r="D2624" i="1"/>
  <c r="L2624" i="1" s="1"/>
  <c r="K2623" i="1"/>
  <c r="N2623" i="1" s="1"/>
  <c r="J2623" i="1"/>
  <c r="M2623" i="1" s="1"/>
  <c r="G2623" i="1"/>
  <c r="H2624" i="1" s="1"/>
  <c r="F2623" i="1"/>
  <c r="D2623" i="1"/>
  <c r="L2623" i="1" s="1"/>
  <c r="K2622" i="1"/>
  <c r="N2622" i="1" s="1"/>
  <c r="J2622" i="1"/>
  <c r="M2622" i="1" s="1"/>
  <c r="G2622" i="1"/>
  <c r="H2623" i="1" s="1"/>
  <c r="F2622" i="1"/>
  <c r="D2622" i="1"/>
  <c r="L2622" i="1" s="1"/>
  <c r="K2621" i="1"/>
  <c r="N2621" i="1" s="1"/>
  <c r="J2621" i="1"/>
  <c r="M2621" i="1" s="1"/>
  <c r="G2621" i="1"/>
  <c r="H2622" i="1" s="1"/>
  <c r="F2621" i="1"/>
  <c r="D2621" i="1"/>
  <c r="L2621" i="1" s="1"/>
  <c r="K2620" i="1"/>
  <c r="N2620" i="1" s="1"/>
  <c r="J2620" i="1"/>
  <c r="M2620" i="1" s="1"/>
  <c r="G2620" i="1"/>
  <c r="H2621" i="1" s="1"/>
  <c r="F2620" i="1"/>
  <c r="D2620" i="1"/>
  <c r="L2620" i="1" s="1"/>
  <c r="K2619" i="1"/>
  <c r="N2619" i="1" s="1"/>
  <c r="J2619" i="1"/>
  <c r="M2619" i="1" s="1"/>
  <c r="G2619" i="1"/>
  <c r="H2620" i="1" s="1"/>
  <c r="F2619" i="1"/>
  <c r="D2619" i="1"/>
  <c r="L2619" i="1" s="1"/>
  <c r="K2618" i="1"/>
  <c r="N2618" i="1" s="1"/>
  <c r="J2618" i="1"/>
  <c r="M2618" i="1" s="1"/>
  <c r="G2618" i="1"/>
  <c r="H2619" i="1" s="1"/>
  <c r="F2618" i="1"/>
  <c r="D2618" i="1"/>
  <c r="L2618" i="1" s="1"/>
  <c r="K2617" i="1"/>
  <c r="N2617" i="1" s="1"/>
  <c r="J2617" i="1"/>
  <c r="M2617" i="1" s="1"/>
  <c r="G2617" i="1"/>
  <c r="H2618" i="1" s="1"/>
  <c r="F2617" i="1"/>
  <c r="D2617" i="1"/>
  <c r="L2617" i="1" s="1"/>
  <c r="K2616" i="1"/>
  <c r="N2616" i="1" s="1"/>
  <c r="J2616" i="1"/>
  <c r="M2616" i="1" s="1"/>
  <c r="G2616" i="1"/>
  <c r="H2617" i="1" s="1"/>
  <c r="F2616" i="1"/>
  <c r="D2616" i="1"/>
  <c r="L2616" i="1" s="1"/>
  <c r="K2615" i="1"/>
  <c r="N2615" i="1" s="1"/>
  <c r="J2615" i="1"/>
  <c r="M2615" i="1" s="1"/>
  <c r="G2615" i="1"/>
  <c r="H2616" i="1" s="1"/>
  <c r="F2615" i="1"/>
  <c r="D2615" i="1"/>
  <c r="L2615" i="1" s="1"/>
  <c r="K2614" i="1"/>
  <c r="N2614" i="1" s="1"/>
  <c r="J2614" i="1"/>
  <c r="M2614" i="1" s="1"/>
  <c r="G2614" i="1"/>
  <c r="H2615" i="1" s="1"/>
  <c r="F2614" i="1"/>
  <c r="D2614" i="1"/>
  <c r="L2614" i="1" s="1"/>
  <c r="K2613" i="1"/>
  <c r="N2613" i="1" s="1"/>
  <c r="J2613" i="1"/>
  <c r="M2613" i="1" s="1"/>
  <c r="G2613" i="1"/>
  <c r="H2614" i="1" s="1"/>
  <c r="F2613" i="1"/>
  <c r="D2613" i="1"/>
  <c r="L2613" i="1" s="1"/>
  <c r="K2612" i="1"/>
  <c r="N2612" i="1" s="1"/>
  <c r="J2612" i="1"/>
  <c r="M2612" i="1" s="1"/>
  <c r="G2612" i="1"/>
  <c r="H2613" i="1" s="1"/>
  <c r="F2612" i="1"/>
  <c r="D2612" i="1"/>
  <c r="L2612" i="1" s="1"/>
  <c r="K2611" i="1"/>
  <c r="N2611" i="1" s="1"/>
  <c r="J2611" i="1"/>
  <c r="M2611" i="1" s="1"/>
  <c r="G2611" i="1"/>
  <c r="H2612" i="1" s="1"/>
  <c r="F2611" i="1"/>
  <c r="D2611" i="1"/>
  <c r="L2611" i="1" s="1"/>
  <c r="K2610" i="1"/>
  <c r="N2610" i="1" s="1"/>
  <c r="J2610" i="1"/>
  <c r="M2610" i="1" s="1"/>
  <c r="G2610" i="1"/>
  <c r="H2611" i="1" s="1"/>
  <c r="F2610" i="1"/>
  <c r="D2610" i="1"/>
  <c r="L2610" i="1" s="1"/>
  <c r="K2609" i="1"/>
  <c r="N2609" i="1" s="1"/>
  <c r="J2609" i="1"/>
  <c r="M2609" i="1" s="1"/>
  <c r="G2609" i="1"/>
  <c r="H2610" i="1" s="1"/>
  <c r="F2609" i="1"/>
  <c r="D2609" i="1"/>
  <c r="L2609" i="1" s="1"/>
  <c r="K2608" i="1"/>
  <c r="N2608" i="1" s="1"/>
  <c r="J2608" i="1"/>
  <c r="M2608" i="1" s="1"/>
  <c r="G2608" i="1"/>
  <c r="H2609" i="1" s="1"/>
  <c r="F2608" i="1"/>
  <c r="D2608" i="1"/>
  <c r="L2608" i="1" s="1"/>
  <c r="K2607" i="1"/>
  <c r="N2607" i="1" s="1"/>
  <c r="J2607" i="1"/>
  <c r="M2607" i="1" s="1"/>
  <c r="G2607" i="1"/>
  <c r="H2608" i="1" s="1"/>
  <c r="F2607" i="1"/>
  <c r="D2607" i="1"/>
  <c r="L2607" i="1" s="1"/>
  <c r="K2606" i="1"/>
  <c r="N2606" i="1" s="1"/>
  <c r="J2606" i="1"/>
  <c r="M2606" i="1" s="1"/>
  <c r="G2606" i="1"/>
  <c r="H2607" i="1" s="1"/>
  <c r="F2606" i="1"/>
  <c r="D2606" i="1"/>
  <c r="L2606" i="1" s="1"/>
  <c r="K2605" i="1"/>
  <c r="N2605" i="1" s="1"/>
  <c r="J2605" i="1"/>
  <c r="M2605" i="1" s="1"/>
  <c r="G2605" i="1"/>
  <c r="H2606" i="1" s="1"/>
  <c r="F2605" i="1"/>
  <c r="D2605" i="1"/>
  <c r="L2605" i="1" s="1"/>
  <c r="K2604" i="1"/>
  <c r="N2604" i="1" s="1"/>
  <c r="J2604" i="1"/>
  <c r="M2604" i="1" s="1"/>
  <c r="G2604" i="1"/>
  <c r="H2605" i="1" s="1"/>
  <c r="F2604" i="1"/>
  <c r="D2604" i="1"/>
  <c r="L2604" i="1" s="1"/>
  <c r="K2603" i="1"/>
  <c r="N2603" i="1" s="1"/>
  <c r="J2603" i="1"/>
  <c r="M2603" i="1" s="1"/>
  <c r="G2603" i="1"/>
  <c r="H2604" i="1" s="1"/>
  <c r="F2603" i="1"/>
  <c r="D2603" i="1"/>
  <c r="L2603" i="1" s="1"/>
  <c r="K2602" i="1"/>
  <c r="N2602" i="1" s="1"/>
  <c r="J2602" i="1"/>
  <c r="M2602" i="1" s="1"/>
  <c r="G2602" i="1"/>
  <c r="H2603" i="1" s="1"/>
  <c r="F2602" i="1"/>
  <c r="D2602" i="1"/>
  <c r="L2602" i="1" s="1"/>
  <c r="K2601" i="1"/>
  <c r="N2601" i="1" s="1"/>
  <c r="J2601" i="1"/>
  <c r="M2601" i="1" s="1"/>
  <c r="G2601" i="1"/>
  <c r="H2602" i="1" s="1"/>
  <c r="F2601" i="1"/>
  <c r="D2601" i="1"/>
  <c r="L2601" i="1" s="1"/>
  <c r="K2600" i="1"/>
  <c r="N2600" i="1" s="1"/>
  <c r="J2600" i="1"/>
  <c r="M2600" i="1" s="1"/>
  <c r="G2600" i="1"/>
  <c r="H2601" i="1" s="1"/>
  <c r="F2600" i="1"/>
  <c r="D2600" i="1"/>
  <c r="L2600" i="1" s="1"/>
  <c r="K2599" i="1"/>
  <c r="N2599" i="1" s="1"/>
  <c r="J2599" i="1"/>
  <c r="M2599" i="1" s="1"/>
  <c r="G2599" i="1"/>
  <c r="H2600" i="1" s="1"/>
  <c r="F2599" i="1"/>
  <c r="D2599" i="1"/>
  <c r="L2599" i="1" s="1"/>
  <c r="K2598" i="1"/>
  <c r="N2598" i="1" s="1"/>
  <c r="J2598" i="1"/>
  <c r="M2598" i="1" s="1"/>
  <c r="G2598" i="1"/>
  <c r="H2599" i="1" s="1"/>
  <c r="F2598" i="1"/>
  <c r="D2598" i="1"/>
  <c r="L2598" i="1" s="1"/>
  <c r="K2597" i="1"/>
  <c r="N2597" i="1" s="1"/>
  <c r="J2597" i="1"/>
  <c r="M2597" i="1" s="1"/>
  <c r="G2597" i="1"/>
  <c r="H2598" i="1" s="1"/>
  <c r="F2597" i="1"/>
  <c r="D2597" i="1"/>
  <c r="L2597" i="1" s="1"/>
  <c r="K2596" i="1"/>
  <c r="N2596" i="1" s="1"/>
  <c r="J2596" i="1"/>
  <c r="M2596" i="1" s="1"/>
  <c r="G2596" i="1"/>
  <c r="H2597" i="1" s="1"/>
  <c r="F2596" i="1"/>
  <c r="D2596" i="1"/>
  <c r="L2596" i="1" s="1"/>
  <c r="K2595" i="1"/>
  <c r="N2595" i="1" s="1"/>
  <c r="J2595" i="1"/>
  <c r="M2595" i="1" s="1"/>
  <c r="G2595" i="1"/>
  <c r="H2596" i="1" s="1"/>
  <c r="F2595" i="1"/>
  <c r="D2595" i="1"/>
  <c r="L2595" i="1" s="1"/>
  <c r="K2594" i="1"/>
  <c r="N2594" i="1" s="1"/>
  <c r="J2594" i="1"/>
  <c r="M2594" i="1" s="1"/>
  <c r="G2594" i="1"/>
  <c r="H2595" i="1" s="1"/>
  <c r="F2594" i="1"/>
  <c r="D2594" i="1"/>
  <c r="L2594" i="1" s="1"/>
  <c r="K2593" i="1"/>
  <c r="N2593" i="1" s="1"/>
  <c r="J2593" i="1"/>
  <c r="M2593" i="1" s="1"/>
  <c r="G2593" i="1"/>
  <c r="H2594" i="1" s="1"/>
  <c r="F2593" i="1"/>
  <c r="D2593" i="1"/>
  <c r="L2593" i="1" s="1"/>
  <c r="K2592" i="1"/>
  <c r="N2592" i="1" s="1"/>
  <c r="J2592" i="1"/>
  <c r="M2592" i="1" s="1"/>
  <c r="G2592" i="1"/>
  <c r="H2593" i="1" s="1"/>
  <c r="F2592" i="1"/>
  <c r="D2592" i="1"/>
  <c r="L2592" i="1" s="1"/>
  <c r="K2591" i="1"/>
  <c r="N2591" i="1" s="1"/>
  <c r="J2591" i="1"/>
  <c r="M2591" i="1" s="1"/>
  <c r="G2591" i="1"/>
  <c r="H2592" i="1" s="1"/>
  <c r="F2591" i="1"/>
  <c r="D2591" i="1"/>
  <c r="L2591" i="1" s="1"/>
  <c r="K2590" i="1"/>
  <c r="N2590" i="1" s="1"/>
  <c r="J2590" i="1"/>
  <c r="M2590" i="1" s="1"/>
  <c r="G2590" i="1"/>
  <c r="H2591" i="1" s="1"/>
  <c r="F2590" i="1"/>
  <c r="D2590" i="1"/>
  <c r="L2590" i="1" s="1"/>
  <c r="K2589" i="1"/>
  <c r="N2589" i="1" s="1"/>
  <c r="J2589" i="1"/>
  <c r="M2589" i="1" s="1"/>
  <c r="G2589" i="1"/>
  <c r="H2590" i="1" s="1"/>
  <c r="F2589" i="1"/>
  <c r="D2589" i="1"/>
  <c r="L2589" i="1" s="1"/>
  <c r="K2588" i="1"/>
  <c r="N2588" i="1" s="1"/>
  <c r="J2588" i="1"/>
  <c r="M2588" i="1" s="1"/>
  <c r="G2588" i="1"/>
  <c r="H2589" i="1" s="1"/>
  <c r="F2588" i="1"/>
  <c r="D2588" i="1"/>
  <c r="L2588" i="1" s="1"/>
  <c r="K2587" i="1"/>
  <c r="N2587" i="1" s="1"/>
  <c r="J2587" i="1"/>
  <c r="M2587" i="1" s="1"/>
  <c r="G2587" i="1"/>
  <c r="H2588" i="1" s="1"/>
  <c r="F2587" i="1"/>
  <c r="D2587" i="1"/>
  <c r="L2587" i="1" s="1"/>
  <c r="K2586" i="1"/>
  <c r="N2586" i="1" s="1"/>
  <c r="J2586" i="1"/>
  <c r="M2586" i="1" s="1"/>
  <c r="G2586" i="1"/>
  <c r="H2587" i="1" s="1"/>
  <c r="F2586" i="1"/>
  <c r="D2586" i="1"/>
  <c r="L2586" i="1" s="1"/>
  <c r="K2585" i="1"/>
  <c r="N2585" i="1" s="1"/>
  <c r="J2585" i="1"/>
  <c r="M2585" i="1" s="1"/>
  <c r="G2585" i="1"/>
  <c r="H2586" i="1" s="1"/>
  <c r="F2585" i="1"/>
  <c r="D2585" i="1"/>
  <c r="L2585" i="1" s="1"/>
  <c r="K2584" i="1"/>
  <c r="N2584" i="1" s="1"/>
  <c r="J2584" i="1"/>
  <c r="M2584" i="1" s="1"/>
  <c r="G2584" i="1"/>
  <c r="H2585" i="1" s="1"/>
  <c r="F2584" i="1"/>
  <c r="D2584" i="1"/>
  <c r="L2584" i="1" s="1"/>
  <c r="K2583" i="1"/>
  <c r="N2583" i="1" s="1"/>
  <c r="J2583" i="1"/>
  <c r="M2583" i="1" s="1"/>
  <c r="G2583" i="1"/>
  <c r="H2584" i="1" s="1"/>
  <c r="F2583" i="1"/>
  <c r="D2583" i="1"/>
  <c r="L2583" i="1" s="1"/>
  <c r="K2582" i="1"/>
  <c r="N2582" i="1" s="1"/>
  <c r="J2582" i="1"/>
  <c r="M2582" i="1" s="1"/>
  <c r="G2582" i="1"/>
  <c r="H2583" i="1" s="1"/>
  <c r="F2582" i="1"/>
  <c r="D2582" i="1"/>
  <c r="L2582" i="1" s="1"/>
  <c r="K2581" i="1"/>
  <c r="N2581" i="1" s="1"/>
  <c r="J2581" i="1"/>
  <c r="M2581" i="1" s="1"/>
  <c r="G2581" i="1"/>
  <c r="H2582" i="1" s="1"/>
  <c r="F2581" i="1"/>
  <c r="D2581" i="1"/>
  <c r="L2581" i="1" s="1"/>
  <c r="K2580" i="1"/>
  <c r="N2580" i="1" s="1"/>
  <c r="J2580" i="1"/>
  <c r="M2580" i="1" s="1"/>
  <c r="G2580" i="1"/>
  <c r="H2581" i="1" s="1"/>
  <c r="F2580" i="1"/>
  <c r="D2580" i="1"/>
  <c r="L2580" i="1" s="1"/>
  <c r="K2579" i="1"/>
  <c r="N2579" i="1" s="1"/>
  <c r="J2579" i="1"/>
  <c r="M2579" i="1" s="1"/>
  <c r="G2579" i="1"/>
  <c r="H2580" i="1" s="1"/>
  <c r="F2579" i="1"/>
  <c r="D2579" i="1"/>
  <c r="L2579" i="1" s="1"/>
  <c r="K2578" i="1"/>
  <c r="N2578" i="1" s="1"/>
  <c r="J2578" i="1"/>
  <c r="M2578" i="1" s="1"/>
  <c r="G2578" i="1"/>
  <c r="H2579" i="1" s="1"/>
  <c r="F2578" i="1"/>
  <c r="D2578" i="1"/>
  <c r="L2578" i="1" s="1"/>
  <c r="K2577" i="1"/>
  <c r="N2577" i="1" s="1"/>
  <c r="J2577" i="1"/>
  <c r="M2577" i="1" s="1"/>
  <c r="G2577" i="1"/>
  <c r="H2578" i="1" s="1"/>
  <c r="F2577" i="1"/>
  <c r="D2577" i="1"/>
  <c r="L2577" i="1" s="1"/>
  <c r="K2576" i="1"/>
  <c r="N2576" i="1" s="1"/>
  <c r="J2576" i="1"/>
  <c r="M2576" i="1" s="1"/>
  <c r="G2576" i="1"/>
  <c r="H2577" i="1" s="1"/>
  <c r="F2576" i="1"/>
  <c r="D2576" i="1"/>
  <c r="L2576" i="1" s="1"/>
  <c r="K2575" i="1"/>
  <c r="N2575" i="1" s="1"/>
  <c r="J2575" i="1"/>
  <c r="M2575" i="1" s="1"/>
  <c r="G2575" i="1"/>
  <c r="H2576" i="1" s="1"/>
  <c r="F2575" i="1"/>
  <c r="D2575" i="1"/>
  <c r="L2575" i="1" s="1"/>
  <c r="K2574" i="1"/>
  <c r="N2574" i="1" s="1"/>
  <c r="J2574" i="1"/>
  <c r="M2574" i="1" s="1"/>
  <c r="G2574" i="1"/>
  <c r="H2575" i="1" s="1"/>
  <c r="F2574" i="1"/>
  <c r="D2574" i="1"/>
  <c r="L2574" i="1" s="1"/>
  <c r="K2573" i="1"/>
  <c r="N2573" i="1" s="1"/>
  <c r="J2573" i="1"/>
  <c r="M2573" i="1" s="1"/>
  <c r="G2573" i="1"/>
  <c r="H2574" i="1" s="1"/>
  <c r="F2573" i="1"/>
  <c r="D2573" i="1"/>
  <c r="L2573" i="1" s="1"/>
  <c r="K2572" i="1"/>
  <c r="N2572" i="1" s="1"/>
  <c r="J2572" i="1"/>
  <c r="M2572" i="1" s="1"/>
  <c r="G2572" i="1"/>
  <c r="H2573" i="1" s="1"/>
  <c r="F2572" i="1"/>
  <c r="D2572" i="1"/>
  <c r="L2572" i="1" s="1"/>
  <c r="K2571" i="1"/>
  <c r="N2571" i="1" s="1"/>
  <c r="J2571" i="1"/>
  <c r="M2571" i="1" s="1"/>
  <c r="G2571" i="1"/>
  <c r="H2572" i="1" s="1"/>
  <c r="F2571" i="1"/>
  <c r="D2571" i="1"/>
  <c r="L2571" i="1" s="1"/>
  <c r="K2570" i="1"/>
  <c r="N2570" i="1" s="1"/>
  <c r="J2570" i="1"/>
  <c r="M2570" i="1" s="1"/>
  <c r="G2570" i="1"/>
  <c r="H2571" i="1" s="1"/>
  <c r="F2570" i="1"/>
  <c r="D2570" i="1"/>
  <c r="L2570" i="1" s="1"/>
  <c r="K2569" i="1"/>
  <c r="N2569" i="1" s="1"/>
  <c r="J2569" i="1"/>
  <c r="M2569" i="1" s="1"/>
  <c r="G2569" i="1"/>
  <c r="H2570" i="1" s="1"/>
  <c r="F2569" i="1"/>
  <c r="D2569" i="1"/>
  <c r="L2569" i="1" s="1"/>
  <c r="K2568" i="1"/>
  <c r="N2568" i="1" s="1"/>
  <c r="J2568" i="1"/>
  <c r="M2568" i="1" s="1"/>
  <c r="G2568" i="1"/>
  <c r="H2569" i="1" s="1"/>
  <c r="F2568" i="1"/>
  <c r="D2568" i="1"/>
  <c r="L2568" i="1" s="1"/>
  <c r="K2567" i="1"/>
  <c r="N2567" i="1" s="1"/>
  <c r="J2567" i="1"/>
  <c r="M2567" i="1" s="1"/>
  <c r="G2567" i="1"/>
  <c r="H2568" i="1" s="1"/>
  <c r="F2567" i="1"/>
  <c r="D2567" i="1"/>
  <c r="L2567" i="1" s="1"/>
  <c r="K2566" i="1"/>
  <c r="N2566" i="1" s="1"/>
  <c r="J2566" i="1"/>
  <c r="M2566" i="1" s="1"/>
  <c r="G2566" i="1"/>
  <c r="H2567" i="1" s="1"/>
  <c r="F2566" i="1"/>
  <c r="D2566" i="1"/>
  <c r="L2566" i="1" s="1"/>
  <c r="K2565" i="1"/>
  <c r="N2565" i="1" s="1"/>
  <c r="J2565" i="1"/>
  <c r="M2565" i="1" s="1"/>
  <c r="G2565" i="1"/>
  <c r="H2566" i="1" s="1"/>
  <c r="F2565" i="1"/>
  <c r="D2565" i="1"/>
  <c r="L2565" i="1" s="1"/>
  <c r="K2564" i="1"/>
  <c r="N2564" i="1" s="1"/>
  <c r="J2564" i="1"/>
  <c r="M2564" i="1" s="1"/>
  <c r="G2564" i="1"/>
  <c r="H2565" i="1" s="1"/>
  <c r="F2564" i="1"/>
  <c r="D2564" i="1"/>
  <c r="L2564" i="1" s="1"/>
  <c r="K2563" i="1"/>
  <c r="N2563" i="1" s="1"/>
  <c r="J2563" i="1"/>
  <c r="M2563" i="1" s="1"/>
  <c r="G2563" i="1"/>
  <c r="H2564" i="1" s="1"/>
  <c r="F2563" i="1"/>
  <c r="D2563" i="1"/>
  <c r="L2563" i="1" s="1"/>
  <c r="K2562" i="1"/>
  <c r="N2562" i="1" s="1"/>
  <c r="J2562" i="1"/>
  <c r="M2562" i="1" s="1"/>
  <c r="G2562" i="1"/>
  <c r="H2563" i="1" s="1"/>
  <c r="F2562" i="1"/>
  <c r="D2562" i="1"/>
  <c r="L2562" i="1" s="1"/>
  <c r="K2561" i="1"/>
  <c r="N2561" i="1" s="1"/>
  <c r="J2561" i="1"/>
  <c r="M2561" i="1" s="1"/>
  <c r="G2561" i="1"/>
  <c r="H2562" i="1" s="1"/>
  <c r="F2561" i="1"/>
  <c r="D2561" i="1"/>
  <c r="L2561" i="1" s="1"/>
  <c r="K2560" i="1"/>
  <c r="N2560" i="1" s="1"/>
  <c r="J2560" i="1"/>
  <c r="M2560" i="1" s="1"/>
  <c r="G2560" i="1"/>
  <c r="H2561" i="1" s="1"/>
  <c r="F2560" i="1"/>
  <c r="D2560" i="1"/>
  <c r="L2560" i="1" s="1"/>
  <c r="K2559" i="1"/>
  <c r="N2559" i="1" s="1"/>
  <c r="J2559" i="1"/>
  <c r="M2559" i="1" s="1"/>
  <c r="G2559" i="1"/>
  <c r="H2560" i="1" s="1"/>
  <c r="F2559" i="1"/>
  <c r="D2559" i="1"/>
  <c r="L2559" i="1" s="1"/>
  <c r="K2558" i="1"/>
  <c r="N2558" i="1" s="1"/>
  <c r="J2558" i="1"/>
  <c r="M2558" i="1" s="1"/>
  <c r="G2558" i="1"/>
  <c r="H2559" i="1" s="1"/>
  <c r="F2558" i="1"/>
  <c r="D2558" i="1"/>
  <c r="L2558" i="1" s="1"/>
  <c r="K2557" i="1"/>
  <c r="N2557" i="1" s="1"/>
  <c r="J2557" i="1"/>
  <c r="M2557" i="1" s="1"/>
  <c r="G2557" i="1"/>
  <c r="H2558" i="1" s="1"/>
  <c r="F2557" i="1"/>
  <c r="D2557" i="1"/>
  <c r="L2557" i="1" s="1"/>
  <c r="K2556" i="1"/>
  <c r="N2556" i="1" s="1"/>
  <c r="J2556" i="1"/>
  <c r="M2556" i="1" s="1"/>
  <c r="G2556" i="1"/>
  <c r="H2557" i="1" s="1"/>
  <c r="F2556" i="1"/>
  <c r="D2556" i="1"/>
  <c r="L2556" i="1" s="1"/>
  <c r="K2555" i="1"/>
  <c r="N2555" i="1" s="1"/>
  <c r="J2555" i="1"/>
  <c r="M2555" i="1" s="1"/>
  <c r="G2555" i="1"/>
  <c r="H2556" i="1" s="1"/>
  <c r="F2555" i="1"/>
  <c r="D2555" i="1"/>
  <c r="L2555" i="1" s="1"/>
  <c r="K2554" i="1"/>
  <c r="N2554" i="1" s="1"/>
  <c r="J2554" i="1"/>
  <c r="M2554" i="1" s="1"/>
  <c r="G2554" i="1"/>
  <c r="H2555" i="1" s="1"/>
  <c r="F2554" i="1"/>
  <c r="D2554" i="1"/>
  <c r="L2554" i="1" s="1"/>
  <c r="K2553" i="1"/>
  <c r="N2553" i="1" s="1"/>
  <c r="J2553" i="1"/>
  <c r="M2553" i="1" s="1"/>
  <c r="G2553" i="1"/>
  <c r="H2554" i="1" s="1"/>
  <c r="F2553" i="1"/>
  <c r="D2553" i="1"/>
  <c r="L2553" i="1" s="1"/>
  <c r="K2552" i="1"/>
  <c r="N2552" i="1" s="1"/>
  <c r="J2552" i="1"/>
  <c r="M2552" i="1" s="1"/>
  <c r="G2552" i="1"/>
  <c r="H2553" i="1" s="1"/>
  <c r="F2552" i="1"/>
  <c r="D2552" i="1"/>
  <c r="L2552" i="1" s="1"/>
  <c r="K2551" i="1"/>
  <c r="N2551" i="1" s="1"/>
  <c r="J2551" i="1"/>
  <c r="M2551" i="1" s="1"/>
  <c r="G2551" i="1"/>
  <c r="H2552" i="1" s="1"/>
  <c r="F2551" i="1"/>
  <c r="D2551" i="1"/>
  <c r="L2551" i="1" s="1"/>
  <c r="K2550" i="1"/>
  <c r="N2550" i="1" s="1"/>
  <c r="J2550" i="1"/>
  <c r="M2550" i="1" s="1"/>
  <c r="G2550" i="1"/>
  <c r="H2551" i="1" s="1"/>
  <c r="F2550" i="1"/>
  <c r="D2550" i="1"/>
  <c r="L2550" i="1" s="1"/>
  <c r="K2549" i="1"/>
  <c r="N2549" i="1" s="1"/>
  <c r="J2549" i="1"/>
  <c r="M2549" i="1" s="1"/>
  <c r="G2549" i="1"/>
  <c r="H2550" i="1" s="1"/>
  <c r="F2549" i="1"/>
  <c r="D2549" i="1"/>
  <c r="L2549" i="1" s="1"/>
  <c r="K2548" i="1"/>
  <c r="N2548" i="1" s="1"/>
  <c r="J2548" i="1"/>
  <c r="M2548" i="1" s="1"/>
  <c r="G2548" i="1"/>
  <c r="H2549" i="1" s="1"/>
  <c r="F2548" i="1"/>
  <c r="D2548" i="1"/>
  <c r="L2548" i="1" s="1"/>
  <c r="K2547" i="1"/>
  <c r="N2547" i="1" s="1"/>
  <c r="J2547" i="1"/>
  <c r="M2547" i="1" s="1"/>
  <c r="G2547" i="1"/>
  <c r="H2548" i="1" s="1"/>
  <c r="F2547" i="1"/>
  <c r="D2547" i="1"/>
  <c r="L2547" i="1" s="1"/>
  <c r="K2546" i="1"/>
  <c r="N2546" i="1" s="1"/>
  <c r="J2546" i="1"/>
  <c r="M2546" i="1" s="1"/>
  <c r="G2546" i="1"/>
  <c r="H2547" i="1" s="1"/>
  <c r="F2546" i="1"/>
  <c r="D2546" i="1"/>
  <c r="L2546" i="1" s="1"/>
  <c r="K2545" i="1"/>
  <c r="N2545" i="1" s="1"/>
  <c r="J2545" i="1"/>
  <c r="M2545" i="1" s="1"/>
  <c r="G2545" i="1"/>
  <c r="H2546" i="1" s="1"/>
  <c r="F2545" i="1"/>
  <c r="D2545" i="1"/>
  <c r="L2545" i="1" s="1"/>
  <c r="K2544" i="1"/>
  <c r="N2544" i="1" s="1"/>
  <c r="J2544" i="1"/>
  <c r="M2544" i="1" s="1"/>
  <c r="G2544" i="1"/>
  <c r="H2545" i="1" s="1"/>
  <c r="F2544" i="1"/>
  <c r="D2544" i="1"/>
  <c r="L2544" i="1" s="1"/>
  <c r="K2543" i="1"/>
  <c r="N2543" i="1" s="1"/>
  <c r="J2543" i="1"/>
  <c r="M2543" i="1" s="1"/>
  <c r="G2543" i="1"/>
  <c r="H2544" i="1" s="1"/>
  <c r="F2543" i="1"/>
  <c r="D2543" i="1"/>
  <c r="L2543" i="1" s="1"/>
  <c r="K2542" i="1"/>
  <c r="N2542" i="1" s="1"/>
  <c r="J2542" i="1"/>
  <c r="M2542" i="1" s="1"/>
  <c r="G2542" i="1"/>
  <c r="H2543" i="1" s="1"/>
  <c r="F2542" i="1"/>
  <c r="D2542" i="1"/>
  <c r="L2542" i="1" s="1"/>
  <c r="K2541" i="1"/>
  <c r="N2541" i="1" s="1"/>
  <c r="J2541" i="1"/>
  <c r="M2541" i="1" s="1"/>
  <c r="G2541" i="1"/>
  <c r="H2542" i="1" s="1"/>
  <c r="F2541" i="1"/>
  <c r="D2541" i="1"/>
  <c r="L2541" i="1" s="1"/>
  <c r="K2540" i="1"/>
  <c r="N2540" i="1" s="1"/>
  <c r="J2540" i="1"/>
  <c r="M2540" i="1" s="1"/>
  <c r="G2540" i="1"/>
  <c r="H2541" i="1" s="1"/>
  <c r="F2540" i="1"/>
  <c r="D2540" i="1"/>
  <c r="L2540" i="1" s="1"/>
  <c r="K2539" i="1"/>
  <c r="N2539" i="1" s="1"/>
  <c r="J2539" i="1"/>
  <c r="M2539" i="1" s="1"/>
  <c r="G2539" i="1"/>
  <c r="H2540" i="1" s="1"/>
  <c r="F2539" i="1"/>
  <c r="D2539" i="1"/>
  <c r="L2539" i="1" s="1"/>
  <c r="K2538" i="1"/>
  <c r="N2538" i="1" s="1"/>
  <c r="J2538" i="1"/>
  <c r="M2538" i="1" s="1"/>
  <c r="G2538" i="1"/>
  <c r="H2539" i="1" s="1"/>
  <c r="F2538" i="1"/>
  <c r="D2538" i="1"/>
  <c r="L2538" i="1" s="1"/>
  <c r="K2537" i="1"/>
  <c r="N2537" i="1" s="1"/>
  <c r="J2537" i="1"/>
  <c r="M2537" i="1" s="1"/>
  <c r="G2537" i="1"/>
  <c r="H2538" i="1" s="1"/>
  <c r="F2537" i="1"/>
  <c r="D2537" i="1"/>
  <c r="L2537" i="1" s="1"/>
  <c r="K2536" i="1"/>
  <c r="N2536" i="1" s="1"/>
  <c r="J2536" i="1"/>
  <c r="M2536" i="1" s="1"/>
  <c r="G2536" i="1"/>
  <c r="H2537" i="1" s="1"/>
  <c r="F2536" i="1"/>
  <c r="D2536" i="1"/>
  <c r="L2536" i="1" s="1"/>
  <c r="K2535" i="1"/>
  <c r="N2535" i="1" s="1"/>
  <c r="J2535" i="1"/>
  <c r="M2535" i="1" s="1"/>
  <c r="G2535" i="1"/>
  <c r="H2536" i="1" s="1"/>
  <c r="F2535" i="1"/>
  <c r="D2535" i="1"/>
  <c r="L2535" i="1" s="1"/>
  <c r="K2534" i="1"/>
  <c r="N2534" i="1" s="1"/>
  <c r="J2534" i="1"/>
  <c r="M2534" i="1" s="1"/>
  <c r="G2534" i="1"/>
  <c r="H2535" i="1" s="1"/>
  <c r="F2534" i="1"/>
  <c r="D2534" i="1"/>
  <c r="L2534" i="1" s="1"/>
  <c r="K2533" i="1"/>
  <c r="N2533" i="1" s="1"/>
  <c r="J2533" i="1"/>
  <c r="M2533" i="1" s="1"/>
  <c r="G2533" i="1"/>
  <c r="H2534" i="1" s="1"/>
  <c r="F2533" i="1"/>
  <c r="D2533" i="1"/>
  <c r="L2533" i="1" s="1"/>
  <c r="K2532" i="1"/>
  <c r="N2532" i="1" s="1"/>
  <c r="J2532" i="1"/>
  <c r="M2532" i="1" s="1"/>
  <c r="G2532" i="1"/>
  <c r="H2533" i="1" s="1"/>
  <c r="F2532" i="1"/>
  <c r="D2532" i="1"/>
  <c r="L2532" i="1" s="1"/>
  <c r="K2531" i="1"/>
  <c r="N2531" i="1" s="1"/>
  <c r="J2531" i="1"/>
  <c r="M2531" i="1" s="1"/>
  <c r="G2531" i="1"/>
  <c r="H2532" i="1" s="1"/>
  <c r="F2531" i="1"/>
  <c r="D2531" i="1"/>
  <c r="L2531" i="1" s="1"/>
  <c r="K2530" i="1"/>
  <c r="N2530" i="1" s="1"/>
  <c r="J2530" i="1"/>
  <c r="M2530" i="1" s="1"/>
  <c r="G2530" i="1"/>
  <c r="H2531" i="1" s="1"/>
  <c r="F2530" i="1"/>
  <c r="D2530" i="1"/>
  <c r="L2530" i="1" s="1"/>
  <c r="K2529" i="1"/>
  <c r="N2529" i="1" s="1"/>
  <c r="J2529" i="1"/>
  <c r="M2529" i="1" s="1"/>
  <c r="G2529" i="1"/>
  <c r="H2530" i="1" s="1"/>
  <c r="F2529" i="1"/>
  <c r="D2529" i="1"/>
  <c r="L2529" i="1" s="1"/>
  <c r="K2528" i="1"/>
  <c r="N2528" i="1" s="1"/>
  <c r="J2528" i="1"/>
  <c r="M2528" i="1" s="1"/>
  <c r="G2528" i="1"/>
  <c r="H2529" i="1" s="1"/>
  <c r="F2528" i="1"/>
  <c r="D2528" i="1"/>
  <c r="L2528" i="1" s="1"/>
  <c r="K2527" i="1"/>
  <c r="N2527" i="1" s="1"/>
  <c r="J2527" i="1"/>
  <c r="M2527" i="1" s="1"/>
  <c r="G2527" i="1"/>
  <c r="H2528" i="1" s="1"/>
  <c r="F2527" i="1"/>
  <c r="D2527" i="1"/>
  <c r="L2527" i="1" s="1"/>
  <c r="K2526" i="1"/>
  <c r="N2526" i="1" s="1"/>
  <c r="J2526" i="1"/>
  <c r="M2526" i="1" s="1"/>
  <c r="G2526" i="1"/>
  <c r="H2527" i="1" s="1"/>
  <c r="F2526" i="1"/>
  <c r="D2526" i="1"/>
  <c r="L2526" i="1" s="1"/>
  <c r="K2525" i="1"/>
  <c r="N2525" i="1" s="1"/>
  <c r="J2525" i="1"/>
  <c r="M2525" i="1" s="1"/>
  <c r="G2525" i="1"/>
  <c r="H2526" i="1" s="1"/>
  <c r="F2525" i="1"/>
  <c r="D2525" i="1"/>
  <c r="L2525" i="1" s="1"/>
  <c r="K2524" i="1"/>
  <c r="N2524" i="1" s="1"/>
  <c r="J2524" i="1"/>
  <c r="M2524" i="1" s="1"/>
  <c r="G2524" i="1"/>
  <c r="H2525" i="1" s="1"/>
  <c r="F2524" i="1"/>
  <c r="D2524" i="1"/>
  <c r="L2524" i="1" s="1"/>
  <c r="K2523" i="1"/>
  <c r="N2523" i="1" s="1"/>
  <c r="J2523" i="1"/>
  <c r="M2523" i="1" s="1"/>
  <c r="G2523" i="1"/>
  <c r="H2524" i="1" s="1"/>
  <c r="F2523" i="1"/>
  <c r="D2523" i="1"/>
  <c r="L2523" i="1" s="1"/>
  <c r="K2522" i="1"/>
  <c r="N2522" i="1" s="1"/>
  <c r="J2522" i="1"/>
  <c r="M2522" i="1" s="1"/>
  <c r="G2522" i="1"/>
  <c r="H2523" i="1" s="1"/>
  <c r="F2522" i="1"/>
  <c r="D2522" i="1"/>
  <c r="L2522" i="1" s="1"/>
  <c r="K2521" i="1"/>
  <c r="N2521" i="1" s="1"/>
  <c r="J2521" i="1"/>
  <c r="M2521" i="1" s="1"/>
  <c r="G2521" i="1"/>
  <c r="H2522" i="1" s="1"/>
  <c r="F2521" i="1"/>
  <c r="D2521" i="1"/>
  <c r="L2521" i="1" s="1"/>
  <c r="K2520" i="1"/>
  <c r="N2520" i="1" s="1"/>
  <c r="J2520" i="1"/>
  <c r="M2520" i="1" s="1"/>
  <c r="G2520" i="1"/>
  <c r="H2521" i="1" s="1"/>
  <c r="F2520" i="1"/>
  <c r="D2520" i="1"/>
  <c r="L2520" i="1" s="1"/>
  <c r="K2519" i="1"/>
  <c r="N2519" i="1" s="1"/>
  <c r="J2519" i="1"/>
  <c r="M2519" i="1" s="1"/>
  <c r="G2519" i="1"/>
  <c r="H2520" i="1" s="1"/>
  <c r="F2519" i="1"/>
  <c r="D2519" i="1"/>
  <c r="L2519" i="1" s="1"/>
  <c r="K2518" i="1"/>
  <c r="N2518" i="1" s="1"/>
  <c r="J2518" i="1"/>
  <c r="M2518" i="1" s="1"/>
  <c r="G2518" i="1"/>
  <c r="H2519" i="1" s="1"/>
  <c r="F2518" i="1"/>
  <c r="D2518" i="1"/>
  <c r="L2518" i="1" s="1"/>
  <c r="K2517" i="1"/>
  <c r="N2517" i="1" s="1"/>
  <c r="J2517" i="1"/>
  <c r="M2517" i="1" s="1"/>
  <c r="G2517" i="1"/>
  <c r="H2518" i="1" s="1"/>
  <c r="F2517" i="1"/>
  <c r="D2517" i="1"/>
  <c r="L2517" i="1" s="1"/>
  <c r="K2516" i="1"/>
  <c r="N2516" i="1" s="1"/>
  <c r="J2516" i="1"/>
  <c r="M2516" i="1" s="1"/>
  <c r="G2516" i="1"/>
  <c r="H2517" i="1" s="1"/>
  <c r="F2516" i="1"/>
  <c r="D2516" i="1"/>
  <c r="L2516" i="1" s="1"/>
  <c r="K2515" i="1"/>
  <c r="N2515" i="1" s="1"/>
  <c r="J2515" i="1"/>
  <c r="M2515" i="1" s="1"/>
  <c r="G2515" i="1"/>
  <c r="H2516" i="1" s="1"/>
  <c r="F2515" i="1"/>
  <c r="D2515" i="1"/>
  <c r="L2515" i="1" s="1"/>
  <c r="K2514" i="1"/>
  <c r="N2514" i="1" s="1"/>
  <c r="J2514" i="1"/>
  <c r="M2514" i="1" s="1"/>
  <c r="G2514" i="1"/>
  <c r="H2515" i="1" s="1"/>
  <c r="F2514" i="1"/>
  <c r="D2514" i="1"/>
  <c r="L2514" i="1" s="1"/>
  <c r="K2513" i="1"/>
  <c r="N2513" i="1" s="1"/>
  <c r="J2513" i="1"/>
  <c r="M2513" i="1" s="1"/>
  <c r="G2513" i="1"/>
  <c r="H2514" i="1" s="1"/>
  <c r="F2513" i="1"/>
  <c r="D2513" i="1"/>
  <c r="L2513" i="1" s="1"/>
  <c r="K2512" i="1"/>
  <c r="N2512" i="1" s="1"/>
  <c r="J2512" i="1"/>
  <c r="M2512" i="1" s="1"/>
  <c r="G2512" i="1"/>
  <c r="H2513" i="1" s="1"/>
  <c r="F2512" i="1"/>
  <c r="D2512" i="1"/>
  <c r="L2512" i="1" s="1"/>
  <c r="K2511" i="1"/>
  <c r="N2511" i="1" s="1"/>
  <c r="J2511" i="1"/>
  <c r="M2511" i="1" s="1"/>
  <c r="G2511" i="1"/>
  <c r="H2512" i="1" s="1"/>
  <c r="F2511" i="1"/>
  <c r="D2511" i="1"/>
  <c r="L2511" i="1" s="1"/>
  <c r="K2510" i="1"/>
  <c r="N2510" i="1" s="1"/>
  <c r="J2510" i="1"/>
  <c r="M2510" i="1" s="1"/>
  <c r="G2510" i="1"/>
  <c r="H2511" i="1" s="1"/>
  <c r="F2510" i="1"/>
  <c r="D2510" i="1"/>
  <c r="L2510" i="1" s="1"/>
  <c r="K2509" i="1"/>
  <c r="N2509" i="1" s="1"/>
  <c r="J2509" i="1"/>
  <c r="M2509" i="1" s="1"/>
  <c r="G2509" i="1"/>
  <c r="H2510" i="1" s="1"/>
  <c r="F2509" i="1"/>
  <c r="D2509" i="1"/>
  <c r="L2509" i="1" s="1"/>
  <c r="K2508" i="1"/>
  <c r="N2508" i="1" s="1"/>
  <c r="J2508" i="1"/>
  <c r="M2508" i="1" s="1"/>
  <c r="G2508" i="1"/>
  <c r="H2509" i="1" s="1"/>
  <c r="F2508" i="1"/>
  <c r="D2508" i="1"/>
  <c r="L2508" i="1" s="1"/>
  <c r="K2507" i="1"/>
  <c r="N2507" i="1" s="1"/>
  <c r="J2507" i="1"/>
  <c r="M2507" i="1" s="1"/>
  <c r="G2507" i="1"/>
  <c r="H2508" i="1" s="1"/>
  <c r="F2507" i="1"/>
  <c r="D2507" i="1"/>
  <c r="L2507" i="1" s="1"/>
  <c r="K2506" i="1"/>
  <c r="N2506" i="1" s="1"/>
  <c r="J2506" i="1"/>
  <c r="M2506" i="1" s="1"/>
  <c r="G2506" i="1"/>
  <c r="H2507" i="1" s="1"/>
  <c r="F2506" i="1"/>
  <c r="D2506" i="1"/>
  <c r="L2506" i="1" s="1"/>
  <c r="K2505" i="1"/>
  <c r="N2505" i="1" s="1"/>
  <c r="J2505" i="1"/>
  <c r="M2505" i="1" s="1"/>
  <c r="G2505" i="1"/>
  <c r="H2506" i="1" s="1"/>
  <c r="F2505" i="1"/>
  <c r="D2505" i="1"/>
  <c r="L2505" i="1" s="1"/>
  <c r="K2504" i="1"/>
  <c r="N2504" i="1" s="1"/>
  <c r="J2504" i="1"/>
  <c r="M2504" i="1" s="1"/>
  <c r="G2504" i="1"/>
  <c r="H2505" i="1" s="1"/>
  <c r="F2504" i="1"/>
  <c r="D2504" i="1"/>
  <c r="L2504" i="1" s="1"/>
  <c r="K2503" i="1"/>
  <c r="N2503" i="1" s="1"/>
  <c r="J2503" i="1"/>
  <c r="M2503" i="1" s="1"/>
  <c r="G2503" i="1"/>
  <c r="H2504" i="1" s="1"/>
  <c r="F2503" i="1"/>
  <c r="D2503" i="1"/>
  <c r="L2503" i="1" s="1"/>
  <c r="K2502" i="1"/>
  <c r="N2502" i="1" s="1"/>
  <c r="J2502" i="1"/>
  <c r="M2502" i="1" s="1"/>
  <c r="G2502" i="1"/>
  <c r="H2503" i="1" s="1"/>
  <c r="F2502" i="1"/>
  <c r="D2502" i="1"/>
  <c r="L2502" i="1" s="1"/>
  <c r="K2501" i="1"/>
  <c r="N2501" i="1" s="1"/>
  <c r="J2501" i="1"/>
  <c r="M2501" i="1" s="1"/>
  <c r="G2501" i="1"/>
  <c r="H2502" i="1" s="1"/>
  <c r="F2501" i="1"/>
  <c r="D2501" i="1"/>
  <c r="L2501" i="1" s="1"/>
  <c r="K2500" i="1"/>
  <c r="N2500" i="1" s="1"/>
  <c r="J2500" i="1"/>
  <c r="M2500" i="1" s="1"/>
  <c r="G2500" i="1"/>
  <c r="H2501" i="1" s="1"/>
  <c r="F2500" i="1"/>
  <c r="D2500" i="1"/>
  <c r="L2500" i="1" s="1"/>
  <c r="K2499" i="1"/>
  <c r="N2499" i="1" s="1"/>
  <c r="J2499" i="1"/>
  <c r="M2499" i="1" s="1"/>
  <c r="G2499" i="1"/>
  <c r="H2500" i="1" s="1"/>
  <c r="F2499" i="1"/>
  <c r="D2499" i="1"/>
  <c r="L2499" i="1" s="1"/>
  <c r="K2498" i="1"/>
  <c r="N2498" i="1" s="1"/>
  <c r="J2498" i="1"/>
  <c r="M2498" i="1" s="1"/>
  <c r="G2498" i="1"/>
  <c r="H2499" i="1" s="1"/>
  <c r="F2498" i="1"/>
  <c r="D2498" i="1"/>
  <c r="L2498" i="1" s="1"/>
  <c r="K2497" i="1"/>
  <c r="N2497" i="1" s="1"/>
  <c r="J2497" i="1"/>
  <c r="M2497" i="1" s="1"/>
  <c r="G2497" i="1"/>
  <c r="H2498" i="1" s="1"/>
  <c r="F2497" i="1"/>
  <c r="D2497" i="1"/>
  <c r="L2497" i="1" s="1"/>
  <c r="K2496" i="1"/>
  <c r="N2496" i="1" s="1"/>
  <c r="J2496" i="1"/>
  <c r="M2496" i="1" s="1"/>
  <c r="G2496" i="1"/>
  <c r="H2497" i="1" s="1"/>
  <c r="F2496" i="1"/>
  <c r="D2496" i="1"/>
  <c r="L2496" i="1" s="1"/>
  <c r="K2495" i="1"/>
  <c r="N2495" i="1" s="1"/>
  <c r="J2495" i="1"/>
  <c r="M2495" i="1" s="1"/>
  <c r="G2495" i="1"/>
  <c r="H2496" i="1" s="1"/>
  <c r="F2495" i="1"/>
  <c r="D2495" i="1"/>
  <c r="L2495" i="1" s="1"/>
  <c r="K2494" i="1"/>
  <c r="N2494" i="1" s="1"/>
  <c r="J2494" i="1"/>
  <c r="M2494" i="1" s="1"/>
  <c r="G2494" i="1"/>
  <c r="H2495" i="1" s="1"/>
  <c r="F2494" i="1"/>
  <c r="D2494" i="1"/>
  <c r="L2494" i="1" s="1"/>
  <c r="K2493" i="1"/>
  <c r="N2493" i="1" s="1"/>
  <c r="J2493" i="1"/>
  <c r="M2493" i="1" s="1"/>
  <c r="G2493" i="1"/>
  <c r="H2494" i="1" s="1"/>
  <c r="F2493" i="1"/>
  <c r="D2493" i="1"/>
  <c r="L2493" i="1" s="1"/>
  <c r="K2492" i="1"/>
  <c r="N2492" i="1" s="1"/>
  <c r="J2492" i="1"/>
  <c r="M2492" i="1" s="1"/>
  <c r="G2492" i="1"/>
  <c r="H2493" i="1" s="1"/>
  <c r="F2492" i="1"/>
  <c r="D2492" i="1"/>
  <c r="L2492" i="1" s="1"/>
  <c r="K2491" i="1"/>
  <c r="N2491" i="1" s="1"/>
  <c r="J2491" i="1"/>
  <c r="M2491" i="1" s="1"/>
  <c r="G2491" i="1"/>
  <c r="H2492" i="1" s="1"/>
  <c r="F2491" i="1"/>
  <c r="D2491" i="1"/>
  <c r="L2491" i="1" s="1"/>
  <c r="K2490" i="1"/>
  <c r="N2490" i="1" s="1"/>
  <c r="J2490" i="1"/>
  <c r="M2490" i="1" s="1"/>
  <c r="G2490" i="1"/>
  <c r="H2491" i="1" s="1"/>
  <c r="F2490" i="1"/>
  <c r="D2490" i="1"/>
  <c r="L2490" i="1" s="1"/>
  <c r="K2489" i="1"/>
  <c r="N2489" i="1" s="1"/>
  <c r="J2489" i="1"/>
  <c r="M2489" i="1" s="1"/>
  <c r="G2489" i="1"/>
  <c r="H2490" i="1" s="1"/>
  <c r="F2489" i="1"/>
  <c r="D2489" i="1"/>
  <c r="L2489" i="1" s="1"/>
  <c r="K2488" i="1"/>
  <c r="N2488" i="1" s="1"/>
  <c r="J2488" i="1"/>
  <c r="M2488" i="1" s="1"/>
  <c r="G2488" i="1"/>
  <c r="H2489" i="1" s="1"/>
  <c r="F2488" i="1"/>
  <c r="D2488" i="1"/>
  <c r="L2488" i="1" s="1"/>
  <c r="K2487" i="1"/>
  <c r="N2487" i="1" s="1"/>
  <c r="J2487" i="1"/>
  <c r="M2487" i="1" s="1"/>
  <c r="G2487" i="1"/>
  <c r="H2488" i="1" s="1"/>
  <c r="F2487" i="1"/>
  <c r="D2487" i="1"/>
  <c r="L2487" i="1" s="1"/>
  <c r="K2486" i="1"/>
  <c r="N2486" i="1" s="1"/>
  <c r="J2486" i="1"/>
  <c r="M2486" i="1" s="1"/>
  <c r="G2486" i="1"/>
  <c r="H2487" i="1" s="1"/>
  <c r="F2486" i="1"/>
  <c r="D2486" i="1"/>
  <c r="L2486" i="1" s="1"/>
  <c r="K2485" i="1"/>
  <c r="N2485" i="1" s="1"/>
  <c r="J2485" i="1"/>
  <c r="M2485" i="1" s="1"/>
  <c r="G2485" i="1"/>
  <c r="H2486" i="1" s="1"/>
  <c r="F2485" i="1"/>
  <c r="D2485" i="1"/>
  <c r="L2485" i="1" s="1"/>
  <c r="K2484" i="1"/>
  <c r="N2484" i="1" s="1"/>
  <c r="J2484" i="1"/>
  <c r="M2484" i="1" s="1"/>
  <c r="G2484" i="1"/>
  <c r="H2485" i="1" s="1"/>
  <c r="F2484" i="1"/>
  <c r="D2484" i="1"/>
  <c r="L2484" i="1" s="1"/>
  <c r="K2483" i="1"/>
  <c r="N2483" i="1" s="1"/>
  <c r="J2483" i="1"/>
  <c r="M2483" i="1" s="1"/>
  <c r="G2483" i="1"/>
  <c r="H2484" i="1" s="1"/>
  <c r="F2483" i="1"/>
  <c r="D2483" i="1"/>
  <c r="L2483" i="1" s="1"/>
  <c r="K2482" i="1"/>
  <c r="N2482" i="1" s="1"/>
  <c r="J2482" i="1"/>
  <c r="M2482" i="1" s="1"/>
  <c r="G2482" i="1"/>
  <c r="H2483" i="1" s="1"/>
  <c r="F2482" i="1"/>
  <c r="D2482" i="1"/>
  <c r="L2482" i="1" s="1"/>
  <c r="K2481" i="1"/>
  <c r="N2481" i="1" s="1"/>
  <c r="J2481" i="1"/>
  <c r="M2481" i="1" s="1"/>
  <c r="G2481" i="1"/>
  <c r="H2482" i="1" s="1"/>
  <c r="F2481" i="1"/>
  <c r="D2481" i="1"/>
  <c r="L2481" i="1" s="1"/>
  <c r="K2480" i="1"/>
  <c r="N2480" i="1" s="1"/>
  <c r="J2480" i="1"/>
  <c r="M2480" i="1" s="1"/>
  <c r="G2480" i="1"/>
  <c r="H2481" i="1" s="1"/>
  <c r="F2480" i="1"/>
  <c r="D2480" i="1"/>
  <c r="L2480" i="1" s="1"/>
  <c r="K2479" i="1"/>
  <c r="N2479" i="1" s="1"/>
  <c r="J2479" i="1"/>
  <c r="M2479" i="1" s="1"/>
  <c r="G2479" i="1"/>
  <c r="H2480" i="1" s="1"/>
  <c r="F2479" i="1"/>
  <c r="D2479" i="1"/>
  <c r="L2479" i="1" s="1"/>
  <c r="K2478" i="1"/>
  <c r="N2478" i="1" s="1"/>
  <c r="J2478" i="1"/>
  <c r="M2478" i="1" s="1"/>
  <c r="G2478" i="1"/>
  <c r="H2479" i="1" s="1"/>
  <c r="F2478" i="1"/>
  <c r="D2478" i="1"/>
  <c r="L2478" i="1" s="1"/>
  <c r="K2477" i="1"/>
  <c r="N2477" i="1" s="1"/>
  <c r="J2477" i="1"/>
  <c r="M2477" i="1" s="1"/>
  <c r="G2477" i="1"/>
  <c r="H2478" i="1" s="1"/>
  <c r="F2477" i="1"/>
  <c r="D2477" i="1"/>
  <c r="L2477" i="1" s="1"/>
  <c r="K2476" i="1"/>
  <c r="N2476" i="1" s="1"/>
  <c r="J2476" i="1"/>
  <c r="M2476" i="1" s="1"/>
  <c r="G2476" i="1"/>
  <c r="H2477" i="1" s="1"/>
  <c r="F2476" i="1"/>
  <c r="D2476" i="1"/>
  <c r="L2476" i="1" s="1"/>
  <c r="K2475" i="1"/>
  <c r="N2475" i="1" s="1"/>
  <c r="J2475" i="1"/>
  <c r="M2475" i="1" s="1"/>
  <c r="G2475" i="1"/>
  <c r="H2476" i="1" s="1"/>
  <c r="F2475" i="1"/>
  <c r="D2475" i="1"/>
  <c r="L2475" i="1" s="1"/>
  <c r="K2474" i="1"/>
  <c r="N2474" i="1" s="1"/>
  <c r="J2474" i="1"/>
  <c r="M2474" i="1" s="1"/>
  <c r="G2474" i="1"/>
  <c r="H2475" i="1" s="1"/>
  <c r="F2474" i="1"/>
  <c r="D2474" i="1"/>
  <c r="L2474" i="1" s="1"/>
  <c r="K2473" i="1"/>
  <c r="N2473" i="1" s="1"/>
  <c r="J2473" i="1"/>
  <c r="M2473" i="1" s="1"/>
  <c r="G2473" i="1"/>
  <c r="H2474" i="1" s="1"/>
  <c r="F2473" i="1"/>
  <c r="D2473" i="1"/>
  <c r="L2473" i="1" s="1"/>
  <c r="K2472" i="1"/>
  <c r="N2472" i="1" s="1"/>
  <c r="J2472" i="1"/>
  <c r="M2472" i="1" s="1"/>
  <c r="G2472" i="1"/>
  <c r="H2473" i="1" s="1"/>
  <c r="F2472" i="1"/>
  <c r="D2472" i="1"/>
  <c r="L2472" i="1" s="1"/>
  <c r="K2471" i="1"/>
  <c r="N2471" i="1" s="1"/>
  <c r="J2471" i="1"/>
  <c r="M2471" i="1" s="1"/>
  <c r="G2471" i="1"/>
  <c r="H2472" i="1" s="1"/>
  <c r="F2471" i="1"/>
  <c r="D2471" i="1"/>
  <c r="L2471" i="1" s="1"/>
  <c r="K2470" i="1"/>
  <c r="N2470" i="1" s="1"/>
  <c r="J2470" i="1"/>
  <c r="M2470" i="1" s="1"/>
  <c r="G2470" i="1"/>
  <c r="H2471" i="1" s="1"/>
  <c r="F2470" i="1"/>
  <c r="D2470" i="1"/>
  <c r="L2470" i="1" s="1"/>
  <c r="K2469" i="1"/>
  <c r="N2469" i="1" s="1"/>
  <c r="J2469" i="1"/>
  <c r="M2469" i="1" s="1"/>
  <c r="G2469" i="1"/>
  <c r="H2470" i="1" s="1"/>
  <c r="F2469" i="1"/>
  <c r="D2469" i="1"/>
  <c r="L2469" i="1" s="1"/>
  <c r="K2468" i="1"/>
  <c r="N2468" i="1" s="1"/>
  <c r="J2468" i="1"/>
  <c r="M2468" i="1" s="1"/>
  <c r="G2468" i="1"/>
  <c r="H2469" i="1" s="1"/>
  <c r="F2468" i="1"/>
  <c r="D2468" i="1"/>
  <c r="L2468" i="1" s="1"/>
  <c r="K2467" i="1"/>
  <c r="N2467" i="1" s="1"/>
  <c r="J2467" i="1"/>
  <c r="M2467" i="1" s="1"/>
  <c r="G2467" i="1"/>
  <c r="H2468" i="1" s="1"/>
  <c r="F2467" i="1"/>
  <c r="D2467" i="1"/>
  <c r="L2467" i="1" s="1"/>
  <c r="K2466" i="1"/>
  <c r="N2466" i="1" s="1"/>
  <c r="J2466" i="1"/>
  <c r="M2466" i="1" s="1"/>
  <c r="G2466" i="1"/>
  <c r="H2467" i="1" s="1"/>
  <c r="F2466" i="1"/>
  <c r="D2466" i="1"/>
  <c r="L2466" i="1" s="1"/>
  <c r="K2465" i="1"/>
  <c r="N2465" i="1" s="1"/>
  <c r="J2465" i="1"/>
  <c r="M2465" i="1" s="1"/>
  <c r="G2465" i="1"/>
  <c r="H2466" i="1" s="1"/>
  <c r="F2465" i="1"/>
  <c r="D2465" i="1"/>
  <c r="L2465" i="1" s="1"/>
  <c r="K2464" i="1"/>
  <c r="N2464" i="1" s="1"/>
  <c r="J2464" i="1"/>
  <c r="M2464" i="1" s="1"/>
  <c r="G2464" i="1"/>
  <c r="H2465" i="1" s="1"/>
  <c r="F2464" i="1"/>
  <c r="D2464" i="1"/>
  <c r="L2464" i="1" s="1"/>
  <c r="K2463" i="1"/>
  <c r="N2463" i="1" s="1"/>
  <c r="J2463" i="1"/>
  <c r="M2463" i="1" s="1"/>
  <c r="G2463" i="1"/>
  <c r="H2464" i="1" s="1"/>
  <c r="F2463" i="1"/>
  <c r="D2463" i="1"/>
  <c r="L2463" i="1" s="1"/>
  <c r="K2462" i="1"/>
  <c r="N2462" i="1" s="1"/>
  <c r="J2462" i="1"/>
  <c r="M2462" i="1" s="1"/>
  <c r="G2462" i="1"/>
  <c r="H2463" i="1" s="1"/>
  <c r="F2462" i="1"/>
  <c r="D2462" i="1"/>
  <c r="L2462" i="1" s="1"/>
  <c r="K2461" i="1"/>
  <c r="N2461" i="1" s="1"/>
  <c r="J2461" i="1"/>
  <c r="M2461" i="1" s="1"/>
  <c r="G2461" i="1"/>
  <c r="H2462" i="1" s="1"/>
  <c r="F2461" i="1"/>
  <c r="D2461" i="1"/>
  <c r="L2461" i="1" s="1"/>
  <c r="K2460" i="1"/>
  <c r="N2460" i="1" s="1"/>
  <c r="J2460" i="1"/>
  <c r="M2460" i="1" s="1"/>
  <c r="G2460" i="1"/>
  <c r="H2461" i="1" s="1"/>
  <c r="F2460" i="1"/>
  <c r="D2460" i="1"/>
  <c r="L2460" i="1" s="1"/>
  <c r="K2459" i="1"/>
  <c r="N2459" i="1" s="1"/>
  <c r="J2459" i="1"/>
  <c r="M2459" i="1" s="1"/>
  <c r="G2459" i="1"/>
  <c r="H2460" i="1" s="1"/>
  <c r="F2459" i="1"/>
  <c r="D2459" i="1"/>
  <c r="L2459" i="1" s="1"/>
  <c r="K2458" i="1"/>
  <c r="N2458" i="1" s="1"/>
  <c r="J2458" i="1"/>
  <c r="M2458" i="1" s="1"/>
  <c r="G2458" i="1"/>
  <c r="H2459" i="1" s="1"/>
  <c r="F2458" i="1"/>
  <c r="D2458" i="1"/>
  <c r="L2458" i="1" s="1"/>
  <c r="K2457" i="1"/>
  <c r="N2457" i="1" s="1"/>
  <c r="J2457" i="1"/>
  <c r="M2457" i="1" s="1"/>
  <c r="G2457" i="1"/>
  <c r="H2458" i="1" s="1"/>
  <c r="F2457" i="1"/>
  <c r="D2457" i="1"/>
  <c r="L2457" i="1" s="1"/>
  <c r="K2456" i="1"/>
  <c r="N2456" i="1" s="1"/>
  <c r="J2456" i="1"/>
  <c r="M2456" i="1" s="1"/>
  <c r="G2456" i="1"/>
  <c r="H2457" i="1" s="1"/>
  <c r="F2456" i="1"/>
  <c r="D2456" i="1"/>
  <c r="L2456" i="1" s="1"/>
  <c r="K2455" i="1"/>
  <c r="N2455" i="1" s="1"/>
  <c r="J2455" i="1"/>
  <c r="M2455" i="1" s="1"/>
  <c r="G2455" i="1"/>
  <c r="H2456" i="1" s="1"/>
  <c r="F2455" i="1"/>
  <c r="D2455" i="1"/>
  <c r="L2455" i="1" s="1"/>
  <c r="K2454" i="1"/>
  <c r="N2454" i="1" s="1"/>
  <c r="J2454" i="1"/>
  <c r="M2454" i="1" s="1"/>
  <c r="G2454" i="1"/>
  <c r="H2455" i="1" s="1"/>
  <c r="F2454" i="1"/>
  <c r="D2454" i="1"/>
  <c r="L2454" i="1" s="1"/>
  <c r="K2453" i="1"/>
  <c r="N2453" i="1" s="1"/>
  <c r="J2453" i="1"/>
  <c r="M2453" i="1" s="1"/>
  <c r="G2453" i="1"/>
  <c r="H2454" i="1" s="1"/>
  <c r="F2453" i="1"/>
  <c r="D2453" i="1"/>
  <c r="L2453" i="1" s="1"/>
  <c r="K2452" i="1"/>
  <c r="N2452" i="1" s="1"/>
  <c r="J2452" i="1"/>
  <c r="M2452" i="1" s="1"/>
  <c r="G2452" i="1"/>
  <c r="H2453" i="1" s="1"/>
  <c r="F2452" i="1"/>
  <c r="D2452" i="1"/>
  <c r="L2452" i="1" s="1"/>
  <c r="K2451" i="1"/>
  <c r="N2451" i="1" s="1"/>
  <c r="J2451" i="1"/>
  <c r="M2451" i="1" s="1"/>
  <c r="G2451" i="1"/>
  <c r="H2452" i="1" s="1"/>
  <c r="F2451" i="1"/>
  <c r="D2451" i="1"/>
  <c r="L2451" i="1" s="1"/>
  <c r="K2450" i="1"/>
  <c r="N2450" i="1" s="1"/>
  <c r="J2450" i="1"/>
  <c r="M2450" i="1" s="1"/>
  <c r="G2450" i="1"/>
  <c r="H2451" i="1" s="1"/>
  <c r="F2450" i="1"/>
  <c r="D2450" i="1"/>
  <c r="L2450" i="1" s="1"/>
  <c r="K2449" i="1"/>
  <c r="N2449" i="1" s="1"/>
  <c r="J2449" i="1"/>
  <c r="M2449" i="1" s="1"/>
  <c r="G2449" i="1"/>
  <c r="H2450" i="1" s="1"/>
  <c r="F2449" i="1"/>
  <c r="D2449" i="1"/>
  <c r="L2449" i="1" s="1"/>
  <c r="K2448" i="1"/>
  <c r="N2448" i="1" s="1"/>
  <c r="J2448" i="1"/>
  <c r="M2448" i="1" s="1"/>
  <c r="G2448" i="1"/>
  <c r="H2449" i="1" s="1"/>
  <c r="F2448" i="1"/>
  <c r="D2448" i="1"/>
  <c r="L2448" i="1" s="1"/>
  <c r="K2447" i="1"/>
  <c r="N2447" i="1" s="1"/>
  <c r="J2447" i="1"/>
  <c r="M2447" i="1" s="1"/>
  <c r="G2447" i="1"/>
  <c r="H2448" i="1" s="1"/>
  <c r="F2447" i="1"/>
  <c r="D2447" i="1"/>
  <c r="L2447" i="1" s="1"/>
  <c r="K2446" i="1"/>
  <c r="N2446" i="1" s="1"/>
  <c r="J2446" i="1"/>
  <c r="M2446" i="1" s="1"/>
  <c r="G2446" i="1"/>
  <c r="H2447" i="1" s="1"/>
  <c r="F2446" i="1"/>
  <c r="D2446" i="1"/>
  <c r="L2446" i="1" s="1"/>
  <c r="K2445" i="1"/>
  <c r="N2445" i="1" s="1"/>
  <c r="J2445" i="1"/>
  <c r="M2445" i="1" s="1"/>
  <c r="G2445" i="1"/>
  <c r="H2446" i="1" s="1"/>
  <c r="F2445" i="1"/>
  <c r="D2445" i="1"/>
  <c r="L2445" i="1" s="1"/>
  <c r="K2444" i="1"/>
  <c r="N2444" i="1" s="1"/>
  <c r="J2444" i="1"/>
  <c r="M2444" i="1" s="1"/>
  <c r="G2444" i="1"/>
  <c r="H2445" i="1" s="1"/>
  <c r="F2444" i="1"/>
  <c r="D2444" i="1"/>
  <c r="L2444" i="1" s="1"/>
  <c r="K2443" i="1"/>
  <c r="N2443" i="1" s="1"/>
  <c r="J2443" i="1"/>
  <c r="M2443" i="1" s="1"/>
  <c r="G2443" i="1"/>
  <c r="H2444" i="1" s="1"/>
  <c r="F2443" i="1"/>
  <c r="D2443" i="1"/>
  <c r="L2443" i="1" s="1"/>
  <c r="K2442" i="1"/>
  <c r="N2442" i="1" s="1"/>
  <c r="J2442" i="1"/>
  <c r="M2442" i="1" s="1"/>
  <c r="G2442" i="1"/>
  <c r="H2443" i="1" s="1"/>
  <c r="F2442" i="1"/>
  <c r="D2442" i="1"/>
  <c r="L2442" i="1" s="1"/>
  <c r="K2441" i="1"/>
  <c r="N2441" i="1" s="1"/>
  <c r="J2441" i="1"/>
  <c r="M2441" i="1" s="1"/>
  <c r="G2441" i="1"/>
  <c r="H2442" i="1" s="1"/>
  <c r="F2441" i="1"/>
  <c r="D2441" i="1"/>
  <c r="L2441" i="1" s="1"/>
  <c r="K2440" i="1"/>
  <c r="N2440" i="1" s="1"/>
  <c r="J2440" i="1"/>
  <c r="M2440" i="1" s="1"/>
  <c r="G2440" i="1"/>
  <c r="H2441" i="1" s="1"/>
  <c r="F2440" i="1"/>
  <c r="D2440" i="1"/>
  <c r="L2440" i="1" s="1"/>
  <c r="K2439" i="1"/>
  <c r="N2439" i="1" s="1"/>
  <c r="J2439" i="1"/>
  <c r="M2439" i="1" s="1"/>
  <c r="G2439" i="1"/>
  <c r="H2440" i="1" s="1"/>
  <c r="F2439" i="1"/>
  <c r="D2439" i="1"/>
  <c r="L2439" i="1" s="1"/>
  <c r="K2438" i="1"/>
  <c r="N2438" i="1" s="1"/>
  <c r="J2438" i="1"/>
  <c r="M2438" i="1" s="1"/>
  <c r="G2438" i="1"/>
  <c r="H2439" i="1" s="1"/>
  <c r="F2438" i="1"/>
  <c r="D2438" i="1"/>
  <c r="L2438" i="1" s="1"/>
  <c r="K2437" i="1"/>
  <c r="N2437" i="1" s="1"/>
  <c r="J2437" i="1"/>
  <c r="M2437" i="1" s="1"/>
  <c r="G2437" i="1"/>
  <c r="H2438" i="1" s="1"/>
  <c r="F2437" i="1"/>
  <c r="D2437" i="1"/>
  <c r="L2437" i="1" s="1"/>
  <c r="K2436" i="1"/>
  <c r="N2436" i="1" s="1"/>
  <c r="J2436" i="1"/>
  <c r="M2436" i="1" s="1"/>
  <c r="G2436" i="1"/>
  <c r="H2437" i="1" s="1"/>
  <c r="F2436" i="1"/>
  <c r="D2436" i="1"/>
  <c r="L2436" i="1" s="1"/>
  <c r="K2435" i="1"/>
  <c r="N2435" i="1" s="1"/>
  <c r="J2435" i="1"/>
  <c r="M2435" i="1" s="1"/>
  <c r="G2435" i="1"/>
  <c r="H2436" i="1" s="1"/>
  <c r="F2435" i="1"/>
  <c r="D2435" i="1"/>
  <c r="L2435" i="1" s="1"/>
  <c r="K2434" i="1"/>
  <c r="N2434" i="1" s="1"/>
  <c r="J2434" i="1"/>
  <c r="M2434" i="1" s="1"/>
  <c r="G2434" i="1"/>
  <c r="H2435" i="1" s="1"/>
  <c r="F2434" i="1"/>
  <c r="D2434" i="1"/>
  <c r="L2434" i="1" s="1"/>
  <c r="K2433" i="1"/>
  <c r="N2433" i="1" s="1"/>
  <c r="J2433" i="1"/>
  <c r="M2433" i="1" s="1"/>
  <c r="G2433" i="1"/>
  <c r="H2434" i="1" s="1"/>
  <c r="F2433" i="1"/>
  <c r="D2433" i="1"/>
  <c r="L2433" i="1" s="1"/>
  <c r="K2432" i="1"/>
  <c r="N2432" i="1" s="1"/>
  <c r="J2432" i="1"/>
  <c r="M2432" i="1" s="1"/>
  <c r="G2432" i="1"/>
  <c r="H2433" i="1" s="1"/>
  <c r="F2432" i="1"/>
  <c r="D2432" i="1"/>
  <c r="L2432" i="1" s="1"/>
  <c r="K2431" i="1"/>
  <c r="N2431" i="1" s="1"/>
  <c r="J2431" i="1"/>
  <c r="M2431" i="1" s="1"/>
  <c r="G2431" i="1"/>
  <c r="H2432" i="1" s="1"/>
  <c r="F2431" i="1"/>
  <c r="D2431" i="1"/>
  <c r="L2431" i="1" s="1"/>
  <c r="K2430" i="1"/>
  <c r="N2430" i="1" s="1"/>
  <c r="J2430" i="1"/>
  <c r="M2430" i="1" s="1"/>
  <c r="G2430" i="1"/>
  <c r="H2431" i="1" s="1"/>
  <c r="F2430" i="1"/>
  <c r="D2430" i="1"/>
  <c r="L2430" i="1" s="1"/>
  <c r="K2429" i="1"/>
  <c r="N2429" i="1" s="1"/>
  <c r="J2429" i="1"/>
  <c r="M2429" i="1" s="1"/>
  <c r="G2429" i="1"/>
  <c r="H2430" i="1" s="1"/>
  <c r="F2429" i="1"/>
  <c r="D2429" i="1"/>
  <c r="L2429" i="1" s="1"/>
  <c r="K2428" i="1"/>
  <c r="N2428" i="1" s="1"/>
  <c r="J2428" i="1"/>
  <c r="M2428" i="1" s="1"/>
  <c r="G2428" i="1"/>
  <c r="H2429" i="1" s="1"/>
  <c r="F2428" i="1"/>
  <c r="D2428" i="1"/>
  <c r="L2428" i="1" s="1"/>
  <c r="K2427" i="1"/>
  <c r="N2427" i="1" s="1"/>
  <c r="J2427" i="1"/>
  <c r="M2427" i="1" s="1"/>
  <c r="G2427" i="1"/>
  <c r="H2428" i="1" s="1"/>
  <c r="F2427" i="1"/>
  <c r="D2427" i="1"/>
  <c r="L2427" i="1" s="1"/>
  <c r="K2426" i="1"/>
  <c r="N2426" i="1" s="1"/>
  <c r="J2426" i="1"/>
  <c r="M2426" i="1" s="1"/>
  <c r="G2426" i="1"/>
  <c r="H2427" i="1" s="1"/>
  <c r="F2426" i="1"/>
  <c r="D2426" i="1"/>
  <c r="L2426" i="1" s="1"/>
  <c r="K2425" i="1"/>
  <c r="N2425" i="1" s="1"/>
  <c r="J2425" i="1"/>
  <c r="M2425" i="1" s="1"/>
  <c r="G2425" i="1"/>
  <c r="H2426" i="1" s="1"/>
  <c r="F2425" i="1"/>
  <c r="D2425" i="1"/>
  <c r="L2425" i="1" s="1"/>
  <c r="K2424" i="1"/>
  <c r="N2424" i="1" s="1"/>
  <c r="J2424" i="1"/>
  <c r="M2424" i="1" s="1"/>
  <c r="G2424" i="1"/>
  <c r="H2425" i="1" s="1"/>
  <c r="F2424" i="1"/>
  <c r="D2424" i="1"/>
  <c r="L2424" i="1" s="1"/>
  <c r="K2423" i="1"/>
  <c r="N2423" i="1" s="1"/>
  <c r="J2423" i="1"/>
  <c r="M2423" i="1" s="1"/>
  <c r="G2423" i="1"/>
  <c r="H2424" i="1" s="1"/>
  <c r="F2423" i="1"/>
  <c r="D2423" i="1"/>
  <c r="L2423" i="1" s="1"/>
  <c r="K2422" i="1"/>
  <c r="N2422" i="1" s="1"/>
  <c r="J2422" i="1"/>
  <c r="M2422" i="1" s="1"/>
  <c r="G2422" i="1"/>
  <c r="H2423" i="1" s="1"/>
  <c r="F2422" i="1"/>
  <c r="D2422" i="1"/>
  <c r="L2422" i="1" s="1"/>
  <c r="K2421" i="1"/>
  <c r="N2421" i="1" s="1"/>
  <c r="J2421" i="1"/>
  <c r="M2421" i="1" s="1"/>
  <c r="G2421" i="1"/>
  <c r="H2422" i="1" s="1"/>
  <c r="F2421" i="1"/>
  <c r="D2421" i="1"/>
  <c r="L2421" i="1" s="1"/>
  <c r="K2420" i="1"/>
  <c r="N2420" i="1" s="1"/>
  <c r="J2420" i="1"/>
  <c r="M2420" i="1" s="1"/>
  <c r="G2420" i="1"/>
  <c r="H2421" i="1" s="1"/>
  <c r="F2420" i="1"/>
  <c r="D2420" i="1"/>
  <c r="L2420" i="1" s="1"/>
  <c r="K2419" i="1"/>
  <c r="N2419" i="1" s="1"/>
  <c r="J2419" i="1"/>
  <c r="M2419" i="1" s="1"/>
  <c r="G2419" i="1"/>
  <c r="H2420" i="1" s="1"/>
  <c r="F2419" i="1"/>
  <c r="D2419" i="1"/>
  <c r="L2419" i="1" s="1"/>
  <c r="K2418" i="1"/>
  <c r="N2418" i="1" s="1"/>
  <c r="J2418" i="1"/>
  <c r="M2418" i="1" s="1"/>
  <c r="G2418" i="1"/>
  <c r="H2419" i="1" s="1"/>
  <c r="F2418" i="1"/>
  <c r="D2418" i="1"/>
  <c r="L2418" i="1" s="1"/>
  <c r="K2417" i="1"/>
  <c r="N2417" i="1" s="1"/>
  <c r="J2417" i="1"/>
  <c r="M2417" i="1" s="1"/>
  <c r="G2417" i="1"/>
  <c r="H2418" i="1" s="1"/>
  <c r="F2417" i="1"/>
  <c r="D2417" i="1"/>
  <c r="L2417" i="1" s="1"/>
  <c r="K2416" i="1"/>
  <c r="N2416" i="1" s="1"/>
  <c r="J2416" i="1"/>
  <c r="M2416" i="1" s="1"/>
  <c r="G2416" i="1"/>
  <c r="H2417" i="1" s="1"/>
  <c r="F2416" i="1"/>
  <c r="D2416" i="1"/>
  <c r="L2416" i="1" s="1"/>
  <c r="K2415" i="1"/>
  <c r="N2415" i="1" s="1"/>
  <c r="J2415" i="1"/>
  <c r="M2415" i="1" s="1"/>
  <c r="G2415" i="1"/>
  <c r="H2416" i="1" s="1"/>
  <c r="F2415" i="1"/>
  <c r="D2415" i="1"/>
  <c r="L2415" i="1" s="1"/>
  <c r="K2414" i="1"/>
  <c r="N2414" i="1" s="1"/>
  <c r="J2414" i="1"/>
  <c r="M2414" i="1" s="1"/>
  <c r="G2414" i="1"/>
  <c r="H2415" i="1" s="1"/>
  <c r="F2414" i="1"/>
  <c r="D2414" i="1"/>
  <c r="L2414" i="1" s="1"/>
  <c r="K2413" i="1"/>
  <c r="N2413" i="1" s="1"/>
  <c r="J2413" i="1"/>
  <c r="M2413" i="1" s="1"/>
  <c r="G2413" i="1"/>
  <c r="H2414" i="1" s="1"/>
  <c r="F2413" i="1"/>
  <c r="D2413" i="1"/>
  <c r="L2413" i="1" s="1"/>
  <c r="K2412" i="1"/>
  <c r="N2412" i="1" s="1"/>
  <c r="J2412" i="1"/>
  <c r="M2412" i="1" s="1"/>
  <c r="G2412" i="1"/>
  <c r="H2413" i="1" s="1"/>
  <c r="F2412" i="1"/>
  <c r="D2412" i="1"/>
  <c r="L2412" i="1" s="1"/>
  <c r="K2411" i="1"/>
  <c r="N2411" i="1" s="1"/>
  <c r="J2411" i="1"/>
  <c r="M2411" i="1" s="1"/>
  <c r="G2411" i="1"/>
  <c r="H2412" i="1" s="1"/>
  <c r="F2411" i="1"/>
  <c r="D2411" i="1"/>
  <c r="L2411" i="1" s="1"/>
  <c r="K2410" i="1"/>
  <c r="N2410" i="1" s="1"/>
  <c r="J2410" i="1"/>
  <c r="M2410" i="1" s="1"/>
  <c r="G2410" i="1"/>
  <c r="H2411" i="1" s="1"/>
  <c r="F2410" i="1"/>
  <c r="D2410" i="1"/>
  <c r="L2410" i="1" s="1"/>
  <c r="K2409" i="1"/>
  <c r="N2409" i="1" s="1"/>
  <c r="J2409" i="1"/>
  <c r="M2409" i="1" s="1"/>
  <c r="G2409" i="1"/>
  <c r="H2410" i="1" s="1"/>
  <c r="F2409" i="1"/>
  <c r="D2409" i="1"/>
  <c r="L2409" i="1" s="1"/>
  <c r="K2408" i="1"/>
  <c r="N2408" i="1" s="1"/>
  <c r="J2408" i="1"/>
  <c r="M2408" i="1" s="1"/>
  <c r="G2408" i="1"/>
  <c r="H2409" i="1" s="1"/>
  <c r="F2408" i="1"/>
  <c r="D2408" i="1"/>
  <c r="L2408" i="1" s="1"/>
  <c r="K2407" i="1"/>
  <c r="N2407" i="1" s="1"/>
  <c r="J2407" i="1"/>
  <c r="M2407" i="1" s="1"/>
  <c r="G2407" i="1"/>
  <c r="H2408" i="1" s="1"/>
  <c r="F2407" i="1"/>
  <c r="D2407" i="1"/>
  <c r="L2407" i="1" s="1"/>
  <c r="K2406" i="1"/>
  <c r="N2406" i="1" s="1"/>
  <c r="J2406" i="1"/>
  <c r="M2406" i="1" s="1"/>
  <c r="G2406" i="1"/>
  <c r="H2407" i="1" s="1"/>
  <c r="F2406" i="1"/>
  <c r="D2406" i="1"/>
  <c r="L2406" i="1" s="1"/>
  <c r="K2405" i="1"/>
  <c r="N2405" i="1" s="1"/>
  <c r="J2405" i="1"/>
  <c r="M2405" i="1" s="1"/>
  <c r="G2405" i="1"/>
  <c r="H2406" i="1" s="1"/>
  <c r="F2405" i="1"/>
  <c r="D2405" i="1"/>
  <c r="L2405" i="1" s="1"/>
  <c r="K2404" i="1"/>
  <c r="N2404" i="1" s="1"/>
  <c r="J2404" i="1"/>
  <c r="M2404" i="1" s="1"/>
  <c r="G2404" i="1"/>
  <c r="H2405" i="1" s="1"/>
  <c r="F2404" i="1"/>
  <c r="D2404" i="1"/>
  <c r="L2404" i="1" s="1"/>
  <c r="K2403" i="1"/>
  <c r="N2403" i="1" s="1"/>
  <c r="J2403" i="1"/>
  <c r="M2403" i="1" s="1"/>
  <c r="G2403" i="1"/>
  <c r="H2404" i="1" s="1"/>
  <c r="F2403" i="1"/>
  <c r="D2403" i="1"/>
  <c r="L2403" i="1" s="1"/>
  <c r="K2402" i="1"/>
  <c r="N2402" i="1" s="1"/>
  <c r="J2402" i="1"/>
  <c r="M2402" i="1" s="1"/>
  <c r="G2402" i="1"/>
  <c r="H2403" i="1" s="1"/>
  <c r="F2402" i="1"/>
  <c r="D2402" i="1"/>
  <c r="L2402" i="1" s="1"/>
  <c r="K2401" i="1"/>
  <c r="N2401" i="1" s="1"/>
  <c r="J2401" i="1"/>
  <c r="M2401" i="1" s="1"/>
  <c r="G2401" i="1"/>
  <c r="H2402" i="1" s="1"/>
  <c r="F2401" i="1"/>
  <c r="D2401" i="1"/>
  <c r="L2401" i="1" s="1"/>
  <c r="K2400" i="1"/>
  <c r="N2400" i="1" s="1"/>
  <c r="J2400" i="1"/>
  <c r="M2400" i="1" s="1"/>
  <c r="G2400" i="1"/>
  <c r="H2401" i="1" s="1"/>
  <c r="F2400" i="1"/>
  <c r="D2400" i="1"/>
  <c r="L2400" i="1" s="1"/>
  <c r="K2399" i="1"/>
  <c r="N2399" i="1" s="1"/>
  <c r="J2399" i="1"/>
  <c r="M2399" i="1" s="1"/>
  <c r="G2399" i="1"/>
  <c r="H2400" i="1" s="1"/>
  <c r="F2399" i="1"/>
  <c r="D2399" i="1"/>
  <c r="L2399" i="1" s="1"/>
  <c r="K2398" i="1"/>
  <c r="N2398" i="1" s="1"/>
  <c r="J2398" i="1"/>
  <c r="M2398" i="1" s="1"/>
  <c r="G2398" i="1"/>
  <c r="H2399" i="1" s="1"/>
  <c r="F2398" i="1"/>
  <c r="D2398" i="1"/>
  <c r="L2398" i="1" s="1"/>
  <c r="K2397" i="1"/>
  <c r="N2397" i="1" s="1"/>
  <c r="J2397" i="1"/>
  <c r="M2397" i="1" s="1"/>
  <c r="G2397" i="1"/>
  <c r="H2398" i="1" s="1"/>
  <c r="F2397" i="1"/>
  <c r="D2397" i="1"/>
  <c r="L2397" i="1" s="1"/>
  <c r="K2396" i="1"/>
  <c r="N2396" i="1" s="1"/>
  <c r="J2396" i="1"/>
  <c r="M2396" i="1" s="1"/>
  <c r="G2396" i="1"/>
  <c r="H2397" i="1" s="1"/>
  <c r="F2396" i="1"/>
  <c r="D2396" i="1"/>
  <c r="L2396" i="1" s="1"/>
  <c r="K2395" i="1"/>
  <c r="N2395" i="1" s="1"/>
  <c r="J2395" i="1"/>
  <c r="M2395" i="1" s="1"/>
  <c r="G2395" i="1"/>
  <c r="H2396" i="1" s="1"/>
  <c r="F2395" i="1"/>
  <c r="D2395" i="1"/>
  <c r="L2395" i="1" s="1"/>
  <c r="K2394" i="1"/>
  <c r="N2394" i="1" s="1"/>
  <c r="J2394" i="1"/>
  <c r="M2394" i="1" s="1"/>
  <c r="G2394" i="1"/>
  <c r="H2395" i="1" s="1"/>
  <c r="F2394" i="1"/>
  <c r="D2394" i="1"/>
  <c r="L2394" i="1" s="1"/>
  <c r="K2393" i="1"/>
  <c r="N2393" i="1" s="1"/>
  <c r="J2393" i="1"/>
  <c r="M2393" i="1" s="1"/>
  <c r="G2393" i="1"/>
  <c r="H2394" i="1" s="1"/>
  <c r="F2393" i="1"/>
  <c r="D2393" i="1"/>
  <c r="L2393" i="1" s="1"/>
  <c r="K2392" i="1"/>
  <c r="N2392" i="1" s="1"/>
  <c r="J2392" i="1"/>
  <c r="M2392" i="1" s="1"/>
  <c r="G2392" i="1"/>
  <c r="H2393" i="1" s="1"/>
  <c r="F2392" i="1"/>
  <c r="D2392" i="1"/>
  <c r="L2392" i="1" s="1"/>
  <c r="K2391" i="1"/>
  <c r="N2391" i="1" s="1"/>
  <c r="J2391" i="1"/>
  <c r="M2391" i="1" s="1"/>
  <c r="G2391" i="1"/>
  <c r="H2392" i="1" s="1"/>
  <c r="F2391" i="1"/>
  <c r="D2391" i="1"/>
  <c r="L2391" i="1" s="1"/>
  <c r="K2390" i="1"/>
  <c r="N2390" i="1" s="1"/>
  <c r="J2390" i="1"/>
  <c r="M2390" i="1" s="1"/>
  <c r="G2390" i="1"/>
  <c r="H2391" i="1" s="1"/>
  <c r="F2390" i="1"/>
  <c r="D2390" i="1"/>
  <c r="L2390" i="1" s="1"/>
  <c r="K2389" i="1"/>
  <c r="N2389" i="1" s="1"/>
  <c r="J2389" i="1"/>
  <c r="M2389" i="1" s="1"/>
  <c r="G2389" i="1"/>
  <c r="H2390" i="1" s="1"/>
  <c r="F2389" i="1"/>
  <c r="D2389" i="1"/>
  <c r="L2389" i="1" s="1"/>
  <c r="K2388" i="1"/>
  <c r="N2388" i="1" s="1"/>
  <c r="J2388" i="1"/>
  <c r="M2388" i="1" s="1"/>
  <c r="G2388" i="1"/>
  <c r="H2389" i="1" s="1"/>
  <c r="F2388" i="1"/>
  <c r="D2388" i="1"/>
  <c r="L2388" i="1" s="1"/>
  <c r="K2387" i="1"/>
  <c r="N2387" i="1" s="1"/>
  <c r="J2387" i="1"/>
  <c r="M2387" i="1" s="1"/>
  <c r="G2387" i="1"/>
  <c r="H2388" i="1" s="1"/>
  <c r="F2387" i="1"/>
  <c r="D2387" i="1"/>
  <c r="L2387" i="1" s="1"/>
  <c r="K2386" i="1"/>
  <c r="N2386" i="1" s="1"/>
  <c r="J2386" i="1"/>
  <c r="M2386" i="1" s="1"/>
  <c r="G2386" i="1"/>
  <c r="H2387" i="1" s="1"/>
  <c r="F2386" i="1"/>
  <c r="D2386" i="1"/>
  <c r="L2386" i="1" s="1"/>
  <c r="K2385" i="1"/>
  <c r="N2385" i="1" s="1"/>
  <c r="J2385" i="1"/>
  <c r="M2385" i="1" s="1"/>
  <c r="G2385" i="1"/>
  <c r="H2386" i="1" s="1"/>
  <c r="F2385" i="1"/>
  <c r="D2385" i="1"/>
  <c r="L2385" i="1" s="1"/>
  <c r="K2384" i="1"/>
  <c r="N2384" i="1" s="1"/>
  <c r="J2384" i="1"/>
  <c r="M2384" i="1" s="1"/>
  <c r="G2384" i="1"/>
  <c r="H2385" i="1" s="1"/>
  <c r="F2384" i="1"/>
  <c r="D2384" i="1"/>
  <c r="L2384" i="1" s="1"/>
  <c r="K2383" i="1"/>
  <c r="N2383" i="1" s="1"/>
  <c r="J2383" i="1"/>
  <c r="M2383" i="1" s="1"/>
  <c r="G2383" i="1"/>
  <c r="H2384" i="1" s="1"/>
  <c r="F2383" i="1"/>
  <c r="D2383" i="1"/>
  <c r="L2383" i="1" s="1"/>
  <c r="K2382" i="1"/>
  <c r="N2382" i="1" s="1"/>
  <c r="J2382" i="1"/>
  <c r="M2382" i="1" s="1"/>
  <c r="G2382" i="1"/>
  <c r="H2383" i="1" s="1"/>
  <c r="F2382" i="1"/>
  <c r="D2382" i="1"/>
  <c r="L2382" i="1" s="1"/>
  <c r="K2381" i="1"/>
  <c r="N2381" i="1" s="1"/>
  <c r="J2381" i="1"/>
  <c r="M2381" i="1" s="1"/>
  <c r="G2381" i="1"/>
  <c r="H2382" i="1" s="1"/>
  <c r="F2381" i="1"/>
  <c r="D2381" i="1"/>
  <c r="L2381" i="1" s="1"/>
  <c r="K2380" i="1"/>
  <c r="N2380" i="1" s="1"/>
  <c r="J2380" i="1"/>
  <c r="M2380" i="1" s="1"/>
  <c r="G2380" i="1"/>
  <c r="H2381" i="1" s="1"/>
  <c r="F2380" i="1"/>
  <c r="D2380" i="1"/>
  <c r="L2380" i="1" s="1"/>
  <c r="K2379" i="1"/>
  <c r="N2379" i="1" s="1"/>
  <c r="J2379" i="1"/>
  <c r="M2379" i="1" s="1"/>
  <c r="G2379" i="1"/>
  <c r="H2380" i="1" s="1"/>
  <c r="F2379" i="1"/>
  <c r="D2379" i="1"/>
  <c r="L2379" i="1" s="1"/>
  <c r="K2378" i="1"/>
  <c r="N2378" i="1" s="1"/>
  <c r="J2378" i="1"/>
  <c r="M2378" i="1" s="1"/>
  <c r="G2378" i="1"/>
  <c r="H2379" i="1" s="1"/>
  <c r="F2378" i="1"/>
  <c r="D2378" i="1"/>
  <c r="L2378" i="1" s="1"/>
  <c r="K2377" i="1"/>
  <c r="N2377" i="1" s="1"/>
  <c r="J2377" i="1"/>
  <c r="M2377" i="1" s="1"/>
  <c r="G2377" i="1"/>
  <c r="H2378" i="1" s="1"/>
  <c r="F2377" i="1"/>
  <c r="D2377" i="1"/>
  <c r="L2377" i="1" s="1"/>
  <c r="K2376" i="1"/>
  <c r="N2376" i="1" s="1"/>
  <c r="J2376" i="1"/>
  <c r="M2376" i="1" s="1"/>
  <c r="G2376" i="1"/>
  <c r="H2377" i="1" s="1"/>
  <c r="F2376" i="1"/>
  <c r="D2376" i="1"/>
  <c r="L2376" i="1" s="1"/>
  <c r="K2375" i="1"/>
  <c r="N2375" i="1" s="1"/>
  <c r="J2375" i="1"/>
  <c r="M2375" i="1" s="1"/>
  <c r="G2375" i="1"/>
  <c r="H2376" i="1" s="1"/>
  <c r="F2375" i="1"/>
  <c r="D2375" i="1"/>
  <c r="L2375" i="1" s="1"/>
  <c r="K2374" i="1"/>
  <c r="N2374" i="1" s="1"/>
  <c r="J2374" i="1"/>
  <c r="M2374" i="1" s="1"/>
  <c r="G2374" i="1"/>
  <c r="H2375" i="1" s="1"/>
  <c r="F2374" i="1"/>
  <c r="D2374" i="1"/>
  <c r="L2374" i="1" s="1"/>
  <c r="K2373" i="1"/>
  <c r="N2373" i="1" s="1"/>
  <c r="J2373" i="1"/>
  <c r="M2373" i="1" s="1"/>
  <c r="G2373" i="1"/>
  <c r="H2374" i="1" s="1"/>
  <c r="F2373" i="1"/>
  <c r="D2373" i="1"/>
  <c r="L2373" i="1" s="1"/>
  <c r="K2372" i="1"/>
  <c r="N2372" i="1" s="1"/>
  <c r="J2372" i="1"/>
  <c r="M2372" i="1" s="1"/>
  <c r="G2372" i="1"/>
  <c r="H2373" i="1" s="1"/>
  <c r="F2372" i="1"/>
  <c r="D2372" i="1"/>
  <c r="L2372" i="1" s="1"/>
  <c r="K2371" i="1"/>
  <c r="N2371" i="1" s="1"/>
  <c r="J2371" i="1"/>
  <c r="M2371" i="1" s="1"/>
  <c r="G2371" i="1"/>
  <c r="H2372" i="1" s="1"/>
  <c r="F2371" i="1"/>
  <c r="D2371" i="1"/>
  <c r="L2371" i="1" s="1"/>
  <c r="K2370" i="1"/>
  <c r="N2370" i="1" s="1"/>
  <c r="J2370" i="1"/>
  <c r="M2370" i="1" s="1"/>
  <c r="G2370" i="1"/>
  <c r="H2371" i="1" s="1"/>
  <c r="F2370" i="1"/>
  <c r="D2370" i="1"/>
  <c r="L2370" i="1" s="1"/>
  <c r="K2369" i="1"/>
  <c r="N2369" i="1" s="1"/>
  <c r="J2369" i="1"/>
  <c r="M2369" i="1" s="1"/>
  <c r="G2369" i="1"/>
  <c r="H2370" i="1" s="1"/>
  <c r="F2369" i="1"/>
  <c r="D2369" i="1"/>
  <c r="L2369" i="1" s="1"/>
  <c r="K2368" i="1"/>
  <c r="N2368" i="1" s="1"/>
  <c r="J2368" i="1"/>
  <c r="M2368" i="1" s="1"/>
  <c r="G2368" i="1"/>
  <c r="H2369" i="1" s="1"/>
  <c r="F2368" i="1"/>
  <c r="D2368" i="1"/>
  <c r="L2368" i="1" s="1"/>
  <c r="K2367" i="1"/>
  <c r="N2367" i="1" s="1"/>
  <c r="J2367" i="1"/>
  <c r="M2367" i="1" s="1"/>
  <c r="G2367" i="1"/>
  <c r="H2368" i="1" s="1"/>
  <c r="F2367" i="1"/>
  <c r="D2367" i="1"/>
  <c r="L2367" i="1" s="1"/>
  <c r="K2366" i="1"/>
  <c r="N2366" i="1" s="1"/>
  <c r="J2366" i="1"/>
  <c r="M2366" i="1" s="1"/>
  <c r="G2366" i="1"/>
  <c r="H2367" i="1" s="1"/>
  <c r="F2366" i="1"/>
  <c r="D2366" i="1"/>
  <c r="L2366" i="1" s="1"/>
  <c r="K2365" i="1"/>
  <c r="N2365" i="1" s="1"/>
  <c r="J2365" i="1"/>
  <c r="M2365" i="1" s="1"/>
  <c r="G2365" i="1"/>
  <c r="H2366" i="1" s="1"/>
  <c r="F2365" i="1"/>
  <c r="D2365" i="1"/>
  <c r="L2365" i="1" s="1"/>
  <c r="K2364" i="1"/>
  <c r="N2364" i="1" s="1"/>
  <c r="J2364" i="1"/>
  <c r="M2364" i="1" s="1"/>
  <c r="G2364" i="1"/>
  <c r="H2365" i="1" s="1"/>
  <c r="F2364" i="1"/>
  <c r="D2364" i="1"/>
  <c r="L2364" i="1" s="1"/>
  <c r="K2363" i="1"/>
  <c r="N2363" i="1" s="1"/>
  <c r="J2363" i="1"/>
  <c r="M2363" i="1" s="1"/>
  <c r="G2363" i="1"/>
  <c r="H2364" i="1" s="1"/>
  <c r="F2363" i="1"/>
  <c r="D2363" i="1"/>
  <c r="L2363" i="1" s="1"/>
  <c r="K2362" i="1"/>
  <c r="N2362" i="1" s="1"/>
  <c r="J2362" i="1"/>
  <c r="M2362" i="1" s="1"/>
  <c r="G2362" i="1"/>
  <c r="H2363" i="1" s="1"/>
  <c r="F2362" i="1"/>
  <c r="D2362" i="1"/>
  <c r="L2362" i="1" s="1"/>
  <c r="K2361" i="1"/>
  <c r="N2361" i="1" s="1"/>
  <c r="J2361" i="1"/>
  <c r="M2361" i="1" s="1"/>
  <c r="G2361" i="1"/>
  <c r="H2362" i="1" s="1"/>
  <c r="F2361" i="1"/>
  <c r="D2361" i="1"/>
  <c r="L2361" i="1" s="1"/>
  <c r="K2360" i="1"/>
  <c r="N2360" i="1" s="1"/>
  <c r="J2360" i="1"/>
  <c r="M2360" i="1" s="1"/>
  <c r="G2360" i="1"/>
  <c r="H2361" i="1" s="1"/>
  <c r="F2360" i="1"/>
  <c r="D2360" i="1"/>
  <c r="L2360" i="1" s="1"/>
  <c r="K2359" i="1"/>
  <c r="N2359" i="1" s="1"/>
  <c r="J2359" i="1"/>
  <c r="M2359" i="1" s="1"/>
  <c r="G2359" i="1"/>
  <c r="H2360" i="1" s="1"/>
  <c r="F2359" i="1"/>
  <c r="D2359" i="1"/>
  <c r="L2359" i="1" s="1"/>
  <c r="K2358" i="1"/>
  <c r="N2358" i="1" s="1"/>
  <c r="J2358" i="1"/>
  <c r="M2358" i="1" s="1"/>
  <c r="G2358" i="1"/>
  <c r="H2359" i="1" s="1"/>
  <c r="F2358" i="1"/>
  <c r="D2358" i="1"/>
  <c r="L2358" i="1" s="1"/>
  <c r="K2357" i="1"/>
  <c r="N2357" i="1" s="1"/>
  <c r="J2357" i="1"/>
  <c r="M2357" i="1" s="1"/>
  <c r="G2357" i="1"/>
  <c r="H2358" i="1" s="1"/>
  <c r="F2357" i="1"/>
  <c r="D2357" i="1"/>
  <c r="L2357" i="1" s="1"/>
  <c r="K2356" i="1"/>
  <c r="N2356" i="1" s="1"/>
  <c r="J2356" i="1"/>
  <c r="M2356" i="1" s="1"/>
  <c r="G2356" i="1"/>
  <c r="H2357" i="1" s="1"/>
  <c r="F2356" i="1"/>
  <c r="D2356" i="1"/>
  <c r="L2356" i="1" s="1"/>
  <c r="K2355" i="1"/>
  <c r="N2355" i="1" s="1"/>
  <c r="J2355" i="1"/>
  <c r="M2355" i="1" s="1"/>
  <c r="G2355" i="1"/>
  <c r="H2356" i="1" s="1"/>
  <c r="F2355" i="1"/>
  <c r="D2355" i="1"/>
  <c r="L2355" i="1" s="1"/>
  <c r="K2354" i="1"/>
  <c r="N2354" i="1" s="1"/>
  <c r="J2354" i="1"/>
  <c r="M2354" i="1" s="1"/>
  <c r="G2354" i="1"/>
  <c r="H2355" i="1" s="1"/>
  <c r="F2354" i="1"/>
  <c r="D2354" i="1"/>
  <c r="L2354" i="1" s="1"/>
  <c r="K2353" i="1"/>
  <c r="N2353" i="1" s="1"/>
  <c r="J2353" i="1"/>
  <c r="M2353" i="1" s="1"/>
  <c r="G2353" i="1"/>
  <c r="H2354" i="1" s="1"/>
  <c r="F2353" i="1"/>
  <c r="D2353" i="1"/>
  <c r="L2353" i="1" s="1"/>
  <c r="K2352" i="1"/>
  <c r="N2352" i="1" s="1"/>
  <c r="J2352" i="1"/>
  <c r="M2352" i="1" s="1"/>
  <c r="G2352" i="1"/>
  <c r="H2353" i="1" s="1"/>
  <c r="F2352" i="1"/>
  <c r="D2352" i="1"/>
  <c r="L2352" i="1" s="1"/>
  <c r="K2351" i="1"/>
  <c r="N2351" i="1" s="1"/>
  <c r="J2351" i="1"/>
  <c r="M2351" i="1" s="1"/>
  <c r="G2351" i="1"/>
  <c r="H2352" i="1" s="1"/>
  <c r="F2351" i="1"/>
  <c r="D2351" i="1"/>
  <c r="L2351" i="1" s="1"/>
  <c r="K2350" i="1"/>
  <c r="N2350" i="1" s="1"/>
  <c r="J2350" i="1"/>
  <c r="M2350" i="1" s="1"/>
  <c r="G2350" i="1"/>
  <c r="H2351" i="1" s="1"/>
  <c r="F2350" i="1"/>
  <c r="D2350" i="1"/>
  <c r="L2350" i="1" s="1"/>
  <c r="K2349" i="1"/>
  <c r="N2349" i="1" s="1"/>
  <c r="J2349" i="1"/>
  <c r="M2349" i="1" s="1"/>
  <c r="G2349" i="1"/>
  <c r="H2350" i="1" s="1"/>
  <c r="F2349" i="1"/>
  <c r="D2349" i="1"/>
  <c r="L2349" i="1" s="1"/>
  <c r="K2348" i="1"/>
  <c r="N2348" i="1" s="1"/>
  <c r="J2348" i="1"/>
  <c r="M2348" i="1" s="1"/>
  <c r="G2348" i="1"/>
  <c r="H2349" i="1" s="1"/>
  <c r="F2348" i="1"/>
  <c r="D2348" i="1"/>
  <c r="L2348" i="1" s="1"/>
  <c r="K2347" i="1"/>
  <c r="N2347" i="1" s="1"/>
  <c r="J2347" i="1"/>
  <c r="M2347" i="1" s="1"/>
  <c r="G2347" i="1"/>
  <c r="H2348" i="1" s="1"/>
  <c r="F2347" i="1"/>
  <c r="D2347" i="1"/>
  <c r="L2347" i="1" s="1"/>
  <c r="K2346" i="1"/>
  <c r="N2346" i="1" s="1"/>
  <c r="J2346" i="1"/>
  <c r="M2346" i="1" s="1"/>
  <c r="G2346" i="1"/>
  <c r="H2347" i="1" s="1"/>
  <c r="F2346" i="1"/>
  <c r="D2346" i="1"/>
  <c r="L2346" i="1" s="1"/>
  <c r="K2345" i="1"/>
  <c r="N2345" i="1" s="1"/>
  <c r="J2345" i="1"/>
  <c r="M2345" i="1" s="1"/>
  <c r="G2345" i="1"/>
  <c r="H2346" i="1" s="1"/>
  <c r="F2345" i="1"/>
  <c r="D2345" i="1"/>
  <c r="L2345" i="1" s="1"/>
  <c r="K2344" i="1"/>
  <c r="N2344" i="1" s="1"/>
  <c r="J2344" i="1"/>
  <c r="M2344" i="1" s="1"/>
  <c r="G2344" i="1"/>
  <c r="H2345" i="1" s="1"/>
  <c r="F2344" i="1"/>
  <c r="D2344" i="1"/>
  <c r="L2344" i="1" s="1"/>
  <c r="K2343" i="1"/>
  <c r="N2343" i="1" s="1"/>
  <c r="J2343" i="1"/>
  <c r="M2343" i="1" s="1"/>
  <c r="G2343" i="1"/>
  <c r="H2344" i="1" s="1"/>
  <c r="F2343" i="1"/>
  <c r="D2343" i="1"/>
  <c r="L2343" i="1" s="1"/>
  <c r="K2342" i="1"/>
  <c r="N2342" i="1" s="1"/>
  <c r="J2342" i="1"/>
  <c r="M2342" i="1" s="1"/>
  <c r="G2342" i="1"/>
  <c r="H2343" i="1" s="1"/>
  <c r="F2342" i="1"/>
  <c r="D2342" i="1"/>
  <c r="L2342" i="1" s="1"/>
  <c r="K2341" i="1"/>
  <c r="N2341" i="1" s="1"/>
  <c r="J2341" i="1"/>
  <c r="M2341" i="1" s="1"/>
  <c r="G2341" i="1"/>
  <c r="H2342" i="1" s="1"/>
  <c r="F2341" i="1"/>
  <c r="D2341" i="1"/>
  <c r="L2341" i="1" s="1"/>
  <c r="K2340" i="1"/>
  <c r="N2340" i="1" s="1"/>
  <c r="J2340" i="1"/>
  <c r="M2340" i="1" s="1"/>
  <c r="G2340" i="1"/>
  <c r="H2341" i="1" s="1"/>
  <c r="F2340" i="1"/>
  <c r="D2340" i="1"/>
  <c r="L2340" i="1" s="1"/>
  <c r="K2339" i="1"/>
  <c r="N2339" i="1" s="1"/>
  <c r="J2339" i="1"/>
  <c r="M2339" i="1" s="1"/>
  <c r="G2339" i="1"/>
  <c r="H2340" i="1" s="1"/>
  <c r="F2339" i="1"/>
  <c r="D2339" i="1"/>
  <c r="L2339" i="1" s="1"/>
  <c r="K2338" i="1"/>
  <c r="N2338" i="1" s="1"/>
  <c r="J2338" i="1"/>
  <c r="M2338" i="1" s="1"/>
  <c r="G2338" i="1"/>
  <c r="H2339" i="1" s="1"/>
  <c r="F2338" i="1"/>
  <c r="D2338" i="1"/>
  <c r="L2338" i="1" s="1"/>
  <c r="K2337" i="1"/>
  <c r="N2337" i="1" s="1"/>
  <c r="J2337" i="1"/>
  <c r="M2337" i="1" s="1"/>
  <c r="G2337" i="1"/>
  <c r="H2338" i="1" s="1"/>
  <c r="F2337" i="1"/>
  <c r="D2337" i="1"/>
  <c r="L2337" i="1" s="1"/>
  <c r="K2336" i="1"/>
  <c r="N2336" i="1" s="1"/>
  <c r="J2336" i="1"/>
  <c r="M2336" i="1" s="1"/>
  <c r="G2336" i="1"/>
  <c r="H2337" i="1" s="1"/>
  <c r="F2336" i="1"/>
  <c r="D2336" i="1"/>
  <c r="L2336" i="1" s="1"/>
  <c r="K2335" i="1"/>
  <c r="N2335" i="1" s="1"/>
  <c r="J2335" i="1"/>
  <c r="M2335" i="1" s="1"/>
  <c r="G2335" i="1"/>
  <c r="H2336" i="1" s="1"/>
  <c r="F2335" i="1"/>
  <c r="D2335" i="1"/>
  <c r="L2335" i="1" s="1"/>
  <c r="K2334" i="1"/>
  <c r="N2334" i="1" s="1"/>
  <c r="J2334" i="1"/>
  <c r="M2334" i="1" s="1"/>
  <c r="G2334" i="1"/>
  <c r="H2335" i="1" s="1"/>
  <c r="F2334" i="1"/>
  <c r="D2334" i="1"/>
  <c r="L2334" i="1" s="1"/>
  <c r="K2333" i="1"/>
  <c r="N2333" i="1" s="1"/>
  <c r="J2333" i="1"/>
  <c r="M2333" i="1" s="1"/>
  <c r="G2333" i="1"/>
  <c r="H2334" i="1" s="1"/>
  <c r="F2333" i="1"/>
  <c r="D2333" i="1"/>
  <c r="L2333" i="1" s="1"/>
  <c r="K2332" i="1"/>
  <c r="N2332" i="1" s="1"/>
  <c r="J2332" i="1"/>
  <c r="M2332" i="1" s="1"/>
  <c r="G2332" i="1"/>
  <c r="H2333" i="1" s="1"/>
  <c r="F2332" i="1"/>
  <c r="D2332" i="1"/>
  <c r="L2332" i="1" s="1"/>
  <c r="K2331" i="1"/>
  <c r="N2331" i="1" s="1"/>
  <c r="J2331" i="1"/>
  <c r="M2331" i="1" s="1"/>
  <c r="G2331" i="1"/>
  <c r="H2332" i="1" s="1"/>
  <c r="F2331" i="1"/>
  <c r="D2331" i="1"/>
  <c r="L2331" i="1" s="1"/>
  <c r="K2330" i="1"/>
  <c r="N2330" i="1" s="1"/>
  <c r="J2330" i="1"/>
  <c r="M2330" i="1" s="1"/>
  <c r="G2330" i="1"/>
  <c r="H2331" i="1" s="1"/>
  <c r="F2330" i="1"/>
  <c r="D2330" i="1"/>
  <c r="L2330" i="1" s="1"/>
  <c r="K2329" i="1"/>
  <c r="N2329" i="1" s="1"/>
  <c r="J2329" i="1"/>
  <c r="M2329" i="1" s="1"/>
  <c r="G2329" i="1"/>
  <c r="H2330" i="1" s="1"/>
  <c r="F2329" i="1"/>
  <c r="D2329" i="1"/>
  <c r="L2329" i="1" s="1"/>
  <c r="K2328" i="1"/>
  <c r="N2328" i="1" s="1"/>
  <c r="J2328" i="1"/>
  <c r="M2328" i="1" s="1"/>
  <c r="G2328" i="1"/>
  <c r="H2329" i="1" s="1"/>
  <c r="F2328" i="1"/>
  <c r="D2328" i="1"/>
  <c r="L2328" i="1" s="1"/>
  <c r="K2327" i="1"/>
  <c r="N2327" i="1" s="1"/>
  <c r="J2327" i="1"/>
  <c r="M2327" i="1" s="1"/>
  <c r="G2327" i="1"/>
  <c r="H2328" i="1" s="1"/>
  <c r="F2327" i="1"/>
  <c r="D2327" i="1"/>
  <c r="L2327" i="1" s="1"/>
  <c r="K2326" i="1"/>
  <c r="N2326" i="1" s="1"/>
  <c r="J2326" i="1"/>
  <c r="M2326" i="1" s="1"/>
  <c r="G2326" i="1"/>
  <c r="H2327" i="1" s="1"/>
  <c r="F2326" i="1"/>
  <c r="D2326" i="1"/>
  <c r="L2326" i="1" s="1"/>
  <c r="K2325" i="1"/>
  <c r="N2325" i="1" s="1"/>
  <c r="J2325" i="1"/>
  <c r="M2325" i="1" s="1"/>
  <c r="G2325" i="1"/>
  <c r="H2326" i="1" s="1"/>
  <c r="F2325" i="1"/>
  <c r="D2325" i="1"/>
  <c r="L2325" i="1" s="1"/>
  <c r="K2324" i="1"/>
  <c r="N2324" i="1" s="1"/>
  <c r="J2324" i="1"/>
  <c r="M2324" i="1" s="1"/>
  <c r="G2324" i="1"/>
  <c r="H2325" i="1" s="1"/>
  <c r="F2324" i="1"/>
  <c r="D2324" i="1"/>
  <c r="L2324" i="1" s="1"/>
  <c r="K2323" i="1"/>
  <c r="N2323" i="1" s="1"/>
  <c r="J2323" i="1"/>
  <c r="M2323" i="1" s="1"/>
  <c r="G2323" i="1"/>
  <c r="H2324" i="1" s="1"/>
  <c r="F2323" i="1"/>
  <c r="D2323" i="1"/>
  <c r="L2323" i="1" s="1"/>
  <c r="K2322" i="1"/>
  <c r="N2322" i="1" s="1"/>
  <c r="J2322" i="1"/>
  <c r="M2322" i="1" s="1"/>
  <c r="G2322" i="1"/>
  <c r="H2323" i="1" s="1"/>
  <c r="F2322" i="1"/>
  <c r="D2322" i="1"/>
  <c r="L2322" i="1" s="1"/>
  <c r="K2321" i="1"/>
  <c r="N2321" i="1" s="1"/>
  <c r="J2321" i="1"/>
  <c r="M2321" i="1" s="1"/>
  <c r="G2321" i="1"/>
  <c r="H2322" i="1" s="1"/>
  <c r="F2321" i="1"/>
  <c r="D2321" i="1"/>
  <c r="L2321" i="1" s="1"/>
  <c r="K2320" i="1"/>
  <c r="N2320" i="1" s="1"/>
  <c r="J2320" i="1"/>
  <c r="M2320" i="1" s="1"/>
  <c r="G2320" i="1"/>
  <c r="H2321" i="1" s="1"/>
  <c r="F2320" i="1"/>
  <c r="D2320" i="1"/>
  <c r="L2320" i="1" s="1"/>
  <c r="K2319" i="1"/>
  <c r="N2319" i="1" s="1"/>
  <c r="J2319" i="1"/>
  <c r="M2319" i="1" s="1"/>
  <c r="G2319" i="1"/>
  <c r="H2320" i="1" s="1"/>
  <c r="F2319" i="1"/>
  <c r="D2319" i="1"/>
  <c r="L2319" i="1" s="1"/>
  <c r="K2318" i="1"/>
  <c r="N2318" i="1" s="1"/>
  <c r="J2318" i="1"/>
  <c r="M2318" i="1" s="1"/>
  <c r="G2318" i="1"/>
  <c r="H2319" i="1" s="1"/>
  <c r="F2318" i="1"/>
  <c r="D2318" i="1"/>
  <c r="L2318" i="1" s="1"/>
  <c r="K2317" i="1"/>
  <c r="N2317" i="1" s="1"/>
  <c r="J2317" i="1"/>
  <c r="M2317" i="1" s="1"/>
  <c r="G2317" i="1"/>
  <c r="H2318" i="1" s="1"/>
  <c r="F2317" i="1"/>
  <c r="D2317" i="1"/>
  <c r="L2317" i="1" s="1"/>
  <c r="K2316" i="1"/>
  <c r="N2316" i="1" s="1"/>
  <c r="J2316" i="1"/>
  <c r="M2316" i="1" s="1"/>
  <c r="G2316" i="1"/>
  <c r="H2317" i="1" s="1"/>
  <c r="F2316" i="1"/>
  <c r="D2316" i="1"/>
  <c r="L2316" i="1" s="1"/>
  <c r="K2315" i="1"/>
  <c r="N2315" i="1" s="1"/>
  <c r="J2315" i="1"/>
  <c r="M2315" i="1" s="1"/>
  <c r="G2315" i="1"/>
  <c r="H2316" i="1" s="1"/>
  <c r="F2315" i="1"/>
  <c r="D2315" i="1"/>
  <c r="L2315" i="1" s="1"/>
  <c r="K2314" i="1"/>
  <c r="N2314" i="1" s="1"/>
  <c r="J2314" i="1"/>
  <c r="M2314" i="1" s="1"/>
  <c r="G2314" i="1"/>
  <c r="H2315" i="1" s="1"/>
  <c r="F2314" i="1"/>
  <c r="D2314" i="1"/>
  <c r="L2314" i="1" s="1"/>
  <c r="K2313" i="1"/>
  <c r="N2313" i="1" s="1"/>
  <c r="J2313" i="1"/>
  <c r="M2313" i="1" s="1"/>
  <c r="G2313" i="1"/>
  <c r="H2314" i="1" s="1"/>
  <c r="F2313" i="1"/>
  <c r="D2313" i="1"/>
  <c r="L2313" i="1" s="1"/>
  <c r="K2312" i="1"/>
  <c r="N2312" i="1" s="1"/>
  <c r="J2312" i="1"/>
  <c r="M2312" i="1" s="1"/>
  <c r="G2312" i="1"/>
  <c r="H2313" i="1" s="1"/>
  <c r="F2312" i="1"/>
  <c r="D2312" i="1"/>
  <c r="L2312" i="1" s="1"/>
  <c r="K2311" i="1"/>
  <c r="N2311" i="1" s="1"/>
  <c r="J2311" i="1"/>
  <c r="M2311" i="1" s="1"/>
  <c r="G2311" i="1"/>
  <c r="H2312" i="1" s="1"/>
  <c r="F2311" i="1"/>
  <c r="D2311" i="1"/>
  <c r="L2311" i="1" s="1"/>
  <c r="K2310" i="1"/>
  <c r="N2310" i="1" s="1"/>
  <c r="J2310" i="1"/>
  <c r="M2310" i="1" s="1"/>
  <c r="G2310" i="1"/>
  <c r="H2311" i="1" s="1"/>
  <c r="F2310" i="1"/>
  <c r="D2310" i="1"/>
  <c r="L2310" i="1" s="1"/>
  <c r="K2309" i="1"/>
  <c r="N2309" i="1" s="1"/>
  <c r="J2309" i="1"/>
  <c r="M2309" i="1" s="1"/>
  <c r="G2309" i="1"/>
  <c r="H2310" i="1" s="1"/>
  <c r="F2309" i="1"/>
  <c r="D2309" i="1"/>
  <c r="L2309" i="1" s="1"/>
  <c r="K2308" i="1"/>
  <c r="N2308" i="1" s="1"/>
  <c r="J2308" i="1"/>
  <c r="M2308" i="1" s="1"/>
  <c r="G2308" i="1"/>
  <c r="H2309" i="1" s="1"/>
  <c r="F2308" i="1"/>
  <c r="D2308" i="1"/>
  <c r="L2308" i="1" s="1"/>
  <c r="K2307" i="1"/>
  <c r="N2307" i="1" s="1"/>
  <c r="J2307" i="1"/>
  <c r="M2307" i="1" s="1"/>
  <c r="G2307" i="1"/>
  <c r="H2308" i="1" s="1"/>
  <c r="F2307" i="1"/>
  <c r="D2307" i="1"/>
  <c r="L2307" i="1" s="1"/>
  <c r="K2306" i="1"/>
  <c r="N2306" i="1" s="1"/>
  <c r="J2306" i="1"/>
  <c r="M2306" i="1" s="1"/>
  <c r="G2306" i="1"/>
  <c r="H2307" i="1" s="1"/>
  <c r="F2306" i="1"/>
  <c r="D2306" i="1"/>
  <c r="L2306" i="1" s="1"/>
  <c r="K2305" i="1"/>
  <c r="N2305" i="1" s="1"/>
  <c r="J2305" i="1"/>
  <c r="M2305" i="1" s="1"/>
  <c r="G2305" i="1"/>
  <c r="H2306" i="1" s="1"/>
  <c r="F2305" i="1"/>
  <c r="D2305" i="1"/>
  <c r="L2305" i="1" s="1"/>
  <c r="K2304" i="1"/>
  <c r="N2304" i="1" s="1"/>
  <c r="J2304" i="1"/>
  <c r="M2304" i="1" s="1"/>
  <c r="G2304" i="1"/>
  <c r="H2305" i="1" s="1"/>
  <c r="F2304" i="1"/>
  <c r="D2304" i="1"/>
  <c r="L2304" i="1" s="1"/>
  <c r="K2303" i="1"/>
  <c r="N2303" i="1" s="1"/>
  <c r="J2303" i="1"/>
  <c r="M2303" i="1" s="1"/>
  <c r="G2303" i="1"/>
  <c r="H2304" i="1" s="1"/>
  <c r="F2303" i="1"/>
  <c r="D2303" i="1"/>
  <c r="L2303" i="1" s="1"/>
  <c r="K2302" i="1"/>
  <c r="N2302" i="1" s="1"/>
  <c r="J2302" i="1"/>
  <c r="M2302" i="1" s="1"/>
  <c r="G2302" i="1"/>
  <c r="H2303" i="1" s="1"/>
  <c r="F2302" i="1"/>
  <c r="D2302" i="1"/>
  <c r="L2302" i="1" s="1"/>
  <c r="K2301" i="1"/>
  <c r="N2301" i="1" s="1"/>
  <c r="J2301" i="1"/>
  <c r="M2301" i="1" s="1"/>
  <c r="G2301" i="1"/>
  <c r="H2302" i="1" s="1"/>
  <c r="F2301" i="1"/>
  <c r="D2301" i="1"/>
  <c r="L2301" i="1" s="1"/>
  <c r="K2300" i="1"/>
  <c r="N2300" i="1" s="1"/>
  <c r="J2300" i="1"/>
  <c r="M2300" i="1" s="1"/>
  <c r="G2300" i="1"/>
  <c r="H2301" i="1" s="1"/>
  <c r="F2300" i="1"/>
  <c r="D2300" i="1"/>
  <c r="L2300" i="1" s="1"/>
  <c r="K2299" i="1"/>
  <c r="N2299" i="1" s="1"/>
  <c r="J2299" i="1"/>
  <c r="M2299" i="1" s="1"/>
  <c r="G2299" i="1"/>
  <c r="H2300" i="1" s="1"/>
  <c r="F2299" i="1"/>
  <c r="D2299" i="1"/>
  <c r="L2299" i="1" s="1"/>
  <c r="K2298" i="1"/>
  <c r="N2298" i="1" s="1"/>
  <c r="J2298" i="1"/>
  <c r="M2298" i="1" s="1"/>
  <c r="G2298" i="1"/>
  <c r="H2299" i="1" s="1"/>
  <c r="F2298" i="1"/>
  <c r="D2298" i="1"/>
  <c r="L2298" i="1" s="1"/>
  <c r="K2297" i="1"/>
  <c r="N2297" i="1" s="1"/>
  <c r="J2297" i="1"/>
  <c r="M2297" i="1" s="1"/>
  <c r="G2297" i="1"/>
  <c r="H2298" i="1" s="1"/>
  <c r="F2297" i="1"/>
  <c r="D2297" i="1"/>
  <c r="L2297" i="1" s="1"/>
  <c r="K2296" i="1"/>
  <c r="N2296" i="1" s="1"/>
  <c r="J2296" i="1"/>
  <c r="M2296" i="1" s="1"/>
  <c r="G2296" i="1"/>
  <c r="H2297" i="1" s="1"/>
  <c r="F2296" i="1"/>
  <c r="D2296" i="1"/>
  <c r="L2296" i="1" s="1"/>
  <c r="K2295" i="1"/>
  <c r="N2295" i="1" s="1"/>
  <c r="J2295" i="1"/>
  <c r="M2295" i="1" s="1"/>
  <c r="G2295" i="1"/>
  <c r="H2296" i="1" s="1"/>
  <c r="F2295" i="1"/>
  <c r="D2295" i="1"/>
  <c r="L2295" i="1" s="1"/>
  <c r="K2294" i="1"/>
  <c r="N2294" i="1" s="1"/>
  <c r="J2294" i="1"/>
  <c r="M2294" i="1" s="1"/>
  <c r="G2294" i="1"/>
  <c r="H2295" i="1" s="1"/>
  <c r="F2294" i="1"/>
  <c r="D2294" i="1"/>
  <c r="L2294" i="1" s="1"/>
  <c r="K2293" i="1"/>
  <c r="N2293" i="1" s="1"/>
  <c r="J2293" i="1"/>
  <c r="M2293" i="1" s="1"/>
  <c r="G2293" i="1"/>
  <c r="H2294" i="1" s="1"/>
  <c r="F2293" i="1"/>
  <c r="D2293" i="1"/>
  <c r="L2293" i="1" s="1"/>
  <c r="K2292" i="1"/>
  <c r="N2292" i="1" s="1"/>
  <c r="J2292" i="1"/>
  <c r="M2292" i="1" s="1"/>
  <c r="G2292" i="1"/>
  <c r="H2293" i="1" s="1"/>
  <c r="F2292" i="1"/>
  <c r="D2292" i="1"/>
  <c r="L2292" i="1" s="1"/>
  <c r="K2291" i="1"/>
  <c r="N2291" i="1" s="1"/>
  <c r="J2291" i="1"/>
  <c r="M2291" i="1" s="1"/>
  <c r="G2291" i="1"/>
  <c r="H2292" i="1" s="1"/>
  <c r="F2291" i="1"/>
  <c r="D2291" i="1"/>
  <c r="L2291" i="1" s="1"/>
  <c r="K2290" i="1"/>
  <c r="N2290" i="1" s="1"/>
  <c r="J2290" i="1"/>
  <c r="M2290" i="1" s="1"/>
  <c r="G2290" i="1"/>
  <c r="H2291" i="1" s="1"/>
  <c r="F2290" i="1"/>
  <c r="D2290" i="1"/>
  <c r="L2290" i="1" s="1"/>
  <c r="K2289" i="1"/>
  <c r="N2289" i="1" s="1"/>
  <c r="J2289" i="1"/>
  <c r="M2289" i="1" s="1"/>
  <c r="G2289" i="1"/>
  <c r="H2290" i="1" s="1"/>
  <c r="F2289" i="1"/>
  <c r="D2289" i="1"/>
  <c r="L2289" i="1" s="1"/>
  <c r="K2288" i="1"/>
  <c r="N2288" i="1" s="1"/>
  <c r="J2288" i="1"/>
  <c r="M2288" i="1" s="1"/>
  <c r="G2288" i="1"/>
  <c r="H2289" i="1" s="1"/>
  <c r="F2288" i="1"/>
  <c r="D2288" i="1"/>
  <c r="L2288" i="1" s="1"/>
  <c r="K2287" i="1"/>
  <c r="N2287" i="1" s="1"/>
  <c r="J2287" i="1"/>
  <c r="M2287" i="1" s="1"/>
  <c r="G2287" i="1"/>
  <c r="H2288" i="1" s="1"/>
  <c r="F2287" i="1"/>
  <c r="D2287" i="1"/>
  <c r="L2287" i="1" s="1"/>
  <c r="K2286" i="1"/>
  <c r="N2286" i="1" s="1"/>
  <c r="J2286" i="1"/>
  <c r="M2286" i="1" s="1"/>
  <c r="G2286" i="1"/>
  <c r="H2287" i="1" s="1"/>
  <c r="F2286" i="1"/>
  <c r="D2286" i="1"/>
  <c r="L2286" i="1" s="1"/>
  <c r="K2285" i="1"/>
  <c r="N2285" i="1" s="1"/>
  <c r="J2285" i="1"/>
  <c r="M2285" i="1" s="1"/>
  <c r="G2285" i="1"/>
  <c r="H2286" i="1" s="1"/>
  <c r="F2285" i="1"/>
  <c r="D2285" i="1"/>
  <c r="L2285" i="1" s="1"/>
  <c r="K2284" i="1"/>
  <c r="N2284" i="1" s="1"/>
  <c r="J2284" i="1"/>
  <c r="M2284" i="1" s="1"/>
  <c r="G2284" i="1"/>
  <c r="H2285" i="1" s="1"/>
  <c r="F2284" i="1"/>
  <c r="D2284" i="1"/>
  <c r="L2284" i="1" s="1"/>
  <c r="K2283" i="1"/>
  <c r="N2283" i="1" s="1"/>
  <c r="J2283" i="1"/>
  <c r="M2283" i="1" s="1"/>
  <c r="G2283" i="1"/>
  <c r="H2284" i="1" s="1"/>
  <c r="F2283" i="1"/>
  <c r="D2283" i="1"/>
  <c r="L2283" i="1" s="1"/>
  <c r="K2282" i="1"/>
  <c r="N2282" i="1" s="1"/>
  <c r="J2282" i="1"/>
  <c r="M2282" i="1" s="1"/>
  <c r="G2282" i="1"/>
  <c r="H2283" i="1" s="1"/>
  <c r="F2282" i="1"/>
  <c r="D2282" i="1"/>
  <c r="L2282" i="1" s="1"/>
  <c r="K2281" i="1"/>
  <c r="N2281" i="1" s="1"/>
  <c r="J2281" i="1"/>
  <c r="M2281" i="1" s="1"/>
  <c r="G2281" i="1"/>
  <c r="H2282" i="1" s="1"/>
  <c r="F2281" i="1"/>
  <c r="D2281" i="1"/>
  <c r="L2281" i="1" s="1"/>
  <c r="K2280" i="1"/>
  <c r="N2280" i="1" s="1"/>
  <c r="J2280" i="1"/>
  <c r="M2280" i="1" s="1"/>
  <c r="G2280" i="1"/>
  <c r="H2281" i="1" s="1"/>
  <c r="F2280" i="1"/>
  <c r="D2280" i="1"/>
  <c r="L2280" i="1" s="1"/>
  <c r="K2279" i="1"/>
  <c r="N2279" i="1" s="1"/>
  <c r="J2279" i="1"/>
  <c r="M2279" i="1" s="1"/>
  <c r="G2279" i="1"/>
  <c r="H2280" i="1" s="1"/>
  <c r="F2279" i="1"/>
  <c r="D2279" i="1"/>
  <c r="L2279" i="1" s="1"/>
  <c r="K2278" i="1"/>
  <c r="N2278" i="1" s="1"/>
  <c r="J2278" i="1"/>
  <c r="M2278" i="1" s="1"/>
  <c r="G2278" i="1"/>
  <c r="H2279" i="1" s="1"/>
  <c r="F2278" i="1"/>
  <c r="D2278" i="1"/>
  <c r="L2278" i="1" s="1"/>
  <c r="K2277" i="1"/>
  <c r="N2277" i="1" s="1"/>
  <c r="J2277" i="1"/>
  <c r="M2277" i="1" s="1"/>
  <c r="G2277" i="1"/>
  <c r="H2278" i="1" s="1"/>
  <c r="F2277" i="1"/>
  <c r="D2277" i="1"/>
  <c r="L2277" i="1" s="1"/>
  <c r="K2276" i="1"/>
  <c r="N2276" i="1" s="1"/>
  <c r="J2276" i="1"/>
  <c r="M2276" i="1" s="1"/>
  <c r="G2276" i="1"/>
  <c r="H2277" i="1" s="1"/>
  <c r="F2276" i="1"/>
  <c r="D2276" i="1"/>
  <c r="L2276" i="1" s="1"/>
  <c r="K2275" i="1"/>
  <c r="N2275" i="1" s="1"/>
  <c r="J2275" i="1"/>
  <c r="M2275" i="1" s="1"/>
  <c r="G2275" i="1"/>
  <c r="H2276" i="1" s="1"/>
  <c r="F2275" i="1"/>
  <c r="D2275" i="1"/>
  <c r="L2275" i="1" s="1"/>
  <c r="K2274" i="1"/>
  <c r="N2274" i="1" s="1"/>
  <c r="J2274" i="1"/>
  <c r="M2274" i="1" s="1"/>
  <c r="G2274" i="1"/>
  <c r="H2275" i="1" s="1"/>
  <c r="F2274" i="1"/>
  <c r="D2274" i="1"/>
  <c r="L2274" i="1" s="1"/>
  <c r="K2273" i="1"/>
  <c r="N2273" i="1" s="1"/>
  <c r="J2273" i="1"/>
  <c r="M2273" i="1" s="1"/>
  <c r="G2273" i="1"/>
  <c r="H2274" i="1" s="1"/>
  <c r="F2273" i="1"/>
  <c r="D2273" i="1"/>
  <c r="L2273" i="1" s="1"/>
  <c r="K2272" i="1"/>
  <c r="N2272" i="1" s="1"/>
  <c r="J2272" i="1"/>
  <c r="M2272" i="1" s="1"/>
  <c r="G2272" i="1"/>
  <c r="H2273" i="1" s="1"/>
  <c r="F2272" i="1"/>
  <c r="D2272" i="1"/>
  <c r="L2272" i="1" s="1"/>
  <c r="K2271" i="1"/>
  <c r="N2271" i="1" s="1"/>
  <c r="J2271" i="1"/>
  <c r="M2271" i="1" s="1"/>
  <c r="G2271" i="1"/>
  <c r="H2272" i="1" s="1"/>
  <c r="F2271" i="1"/>
  <c r="D2271" i="1"/>
  <c r="L2271" i="1" s="1"/>
  <c r="K2270" i="1"/>
  <c r="N2270" i="1" s="1"/>
  <c r="J2270" i="1"/>
  <c r="M2270" i="1" s="1"/>
  <c r="G2270" i="1"/>
  <c r="H2271" i="1" s="1"/>
  <c r="F2270" i="1"/>
  <c r="D2270" i="1"/>
  <c r="L2270" i="1" s="1"/>
  <c r="K2269" i="1"/>
  <c r="N2269" i="1" s="1"/>
  <c r="J2269" i="1"/>
  <c r="M2269" i="1" s="1"/>
  <c r="G2269" i="1"/>
  <c r="H2270" i="1" s="1"/>
  <c r="F2269" i="1"/>
  <c r="D2269" i="1"/>
  <c r="L2269" i="1" s="1"/>
  <c r="K2268" i="1"/>
  <c r="N2268" i="1" s="1"/>
  <c r="J2268" i="1"/>
  <c r="M2268" i="1" s="1"/>
  <c r="G2268" i="1"/>
  <c r="H2269" i="1" s="1"/>
  <c r="F2268" i="1"/>
  <c r="D2268" i="1"/>
  <c r="L2268" i="1" s="1"/>
  <c r="K2267" i="1"/>
  <c r="N2267" i="1" s="1"/>
  <c r="J2267" i="1"/>
  <c r="M2267" i="1" s="1"/>
  <c r="G2267" i="1"/>
  <c r="H2268" i="1" s="1"/>
  <c r="F2267" i="1"/>
  <c r="D2267" i="1"/>
  <c r="L2267" i="1" s="1"/>
  <c r="K2266" i="1"/>
  <c r="N2266" i="1" s="1"/>
  <c r="J2266" i="1"/>
  <c r="M2266" i="1" s="1"/>
  <c r="G2266" i="1"/>
  <c r="H2267" i="1" s="1"/>
  <c r="F2266" i="1"/>
  <c r="D2266" i="1"/>
  <c r="L2266" i="1" s="1"/>
  <c r="K2265" i="1"/>
  <c r="N2265" i="1" s="1"/>
  <c r="J2265" i="1"/>
  <c r="M2265" i="1" s="1"/>
  <c r="G2265" i="1"/>
  <c r="H2266" i="1" s="1"/>
  <c r="F2265" i="1"/>
  <c r="D2265" i="1"/>
  <c r="L2265" i="1" s="1"/>
  <c r="K2264" i="1"/>
  <c r="N2264" i="1" s="1"/>
  <c r="J2264" i="1"/>
  <c r="M2264" i="1" s="1"/>
  <c r="G2264" i="1"/>
  <c r="H2265" i="1" s="1"/>
  <c r="F2264" i="1"/>
  <c r="D2264" i="1"/>
  <c r="L2264" i="1" s="1"/>
  <c r="K2263" i="1"/>
  <c r="N2263" i="1" s="1"/>
  <c r="J2263" i="1"/>
  <c r="M2263" i="1" s="1"/>
  <c r="G2263" i="1"/>
  <c r="H2264" i="1" s="1"/>
  <c r="F2263" i="1"/>
  <c r="D2263" i="1"/>
  <c r="L2263" i="1" s="1"/>
  <c r="K2262" i="1"/>
  <c r="N2262" i="1" s="1"/>
  <c r="J2262" i="1"/>
  <c r="M2262" i="1" s="1"/>
  <c r="G2262" i="1"/>
  <c r="H2263" i="1" s="1"/>
  <c r="F2262" i="1"/>
  <c r="D2262" i="1"/>
  <c r="L2262" i="1" s="1"/>
  <c r="K2261" i="1"/>
  <c r="N2261" i="1" s="1"/>
  <c r="J2261" i="1"/>
  <c r="M2261" i="1" s="1"/>
  <c r="G2261" i="1"/>
  <c r="H2262" i="1" s="1"/>
  <c r="F2261" i="1"/>
  <c r="D2261" i="1"/>
  <c r="L2261" i="1" s="1"/>
  <c r="K2260" i="1"/>
  <c r="N2260" i="1" s="1"/>
  <c r="J2260" i="1"/>
  <c r="M2260" i="1" s="1"/>
  <c r="G2260" i="1"/>
  <c r="H2261" i="1" s="1"/>
  <c r="F2260" i="1"/>
  <c r="D2260" i="1"/>
  <c r="L2260" i="1" s="1"/>
  <c r="K2259" i="1"/>
  <c r="N2259" i="1" s="1"/>
  <c r="J2259" i="1"/>
  <c r="M2259" i="1" s="1"/>
  <c r="G2259" i="1"/>
  <c r="H2260" i="1" s="1"/>
  <c r="F2259" i="1"/>
  <c r="D2259" i="1"/>
  <c r="L2259" i="1" s="1"/>
  <c r="K2258" i="1"/>
  <c r="N2258" i="1" s="1"/>
  <c r="J2258" i="1"/>
  <c r="M2258" i="1" s="1"/>
  <c r="G2258" i="1"/>
  <c r="H2259" i="1" s="1"/>
  <c r="F2258" i="1"/>
  <c r="D2258" i="1"/>
  <c r="L2258" i="1" s="1"/>
  <c r="K2257" i="1"/>
  <c r="N2257" i="1" s="1"/>
  <c r="J2257" i="1"/>
  <c r="M2257" i="1" s="1"/>
  <c r="G2257" i="1"/>
  <c r="H2258" i="1" s="1"/>
  <c r="F2257" i="1"/>
  <c r="D2257" i="1"/>
  <c r="L2257" i="1" s="1"/>
  <c r="K2256" i="1"/>
  <c r="N2256" i="1" s="1"/>
  <c r="J2256" i="1"/>
  <c r="M2256" i="1" s="1"/>
  <c r="G2256" i="1"/>
  <c r="H2257" i="1" s="1"/>
  <c r="F2256" i="1"/>
  <c r="D2256" i="1"/>
  <c r="L2256" i="1" s="1"/>
  <c r="K2255" i="1"/>
  <c r="N2255" i="1" s="1"/>
  <c r="J2255" i="1"/>
  <c r="M2255" i="1" s="1"/>
  <c r="G2255" i="1"/>
  <c r="H2256" i="1" s="1"/>
  <c r="F2255" i="1"/>
  <c r="D2255" i="1"/>
  <c r="L2255" i="1" s="1"/>
  <c r="K2254" i="1"/>
  <c r="N2254" i="1" s="1"/>
  <c r="J2254" i="1"/>
  <c r="M2254" i="1" s="1"/>
  <c r="G2254" i="1"/>
  <c r="H2255" i="1" s="1"/>
  <c r="F2254" i="1"/>
  <c r="D2254" i="1"/>
  <c r="L2254" i="1" s="1"/>
  <c r="K2253" i="1"/>
  <c r="N2253" i="1" s="1"/>
  <c r="J2253" i="1"/>
  <c r="M2253" i="1" s="1"/>
  <c r="G2253" i="1"/>
  <c r="H2254" i="1" s="1"/>
  <c r="F2253" i="1"/>
  <c r="D2253" i="1"/>
  <c r="L2253" i="1" s="1"/>
  <c r="K2252" i="1"/>
  <c r="N2252" i="1" s="1"/>
  <c r="J2252" i="1"/>
  <c r="M2252" i="1" s="1"/>
  <c r="G2252" i="1"/>
  <c r="H2253" i="1" s="1"/>
  <c r="F2252" i="1"/>
  <c r="D2252" i="1"/>
  <c r="L2252" i="1" s="1"/>
  <c r="K2251" i="1"/>
  <c r="N2251" i="1" s="1"/>
  <c r="J2251" i="1"/>
  <c r="M2251" i="1" s="1"/>
  <c r="G2251" i="1"/>
  <c r="H2252" i="1" s="1"/>
  <c r="F2251" i="1"/>
  <c r="D2251" i="1"/>
  <c r="L2251" i="1" s="1"/>
  <c r="K2250" i="1"/>
  <c r="N2250" i="1" s="1"/>
  <c r="J2250" i="1"/>
  <c r="M2250" i="1" s="1"/>
  <c r="G2250" i="1"/>
  <c r="H2251" i="1" s="1"/>
  <c r="F2250" i="1"/>
  <c r="D2250" i="1"/>
  <c r="L2250" i="1" s="1"/>
  <c r="K2249" i="1"/>
  <c r="N2249" i="1" s="1"/>
  <c r="J2249" i="1"/>
  <c r="M2249" i="1" s="1"/>
  <c r="G2249" i="1"/>
  <c r="H2250" i="1" s="1"/>
  <c r="F2249" i="1"/>
  <c r="D2249" i="1"/>
  <c r="L2249" i="1" s="1"/>
  <c r="K2248" i="1"/>
  <c r="N2248" i="1" s="1"/>
  <c r="J2248" i="1"/>
  <c r="M2248" i="1" s="1"/>
  <c r="G2248" i="1"/>
  <c r="H2249" i="1" s="1"/>
  <c r="F2248" i="1"/>
  <c r="D2248" i="1"/>
  <c r="L2248" i="1" s="1"/>
  <c r="K2247" i="1"/>
  <c r="N2247" i="1" s="1"/>
  <c r="J2247" i="1"/>
  <c r="M2247" i="1" s="1"/>
  <c r="G2247" i="1"/>
  <c r="H2248" i="1" s="1"/>
  <c r="F2247" i="1"/>
  <c r="D2247" i="1"/>
  <c r="L2247" i="1" s="1"/>
  <c r="K2246" i="1"/>
  <c r="N2246" i="1" s="1"/>
  <c r="J2246" i="1"/>
  <c r="M2246" i="1" s="1"/>
  <c r="G2246" i="1"/>
  <c r="H2247" i="1" s="1"/>
  <c r="F2246" i="1"/>
  <c r="D2246" i="1"/>
  <c r="L2246" i="1" s="1"/>
  <c r="K2245" i="1"/>
  <c r="N2245" i="1" s="1"/>
  <c r="J2245" i="1"/>
  <c r="M2245" i="1" s="1"/>
  <c r="G2245" i="1"/>
  <c r="H2246" i="1" s="1"/>
  <c r="F2245" i="1"/>
  <c r="D2245" i="1"/>
  <c r="L2245" i="1" s="1"/>
  <c r="K2244" i="1"/>
  <c r="N2244" i="1" s="1"/>
  <c r="J2244" i="1"/>
  <c r="M2244" i="1" s="1"/>
  <c r="G2244" i="1"/>
  <c r="H2245" i="1" s="1"/>
  <c r="F2244" i="1"/>
  <c r="D2244" i="1"/>
  <c r="L2244" i="1" s="1"/>
  <c r="K2243" i="1"/>
  <c r="N2243" i="1" s="1"/>
  <c r="J2243" i="1"/>
  <c r="M2243" i="1" s="1"/>
  <c r="G2243" i="1"/>
  <c r="H2244" i="1" s="1"/>
  <c r="F2243" i="1"/>
  <c r="D2243" i="1"/>
  <c r="L2243" i="1" s="1"/>
  <c r="K2242" i="1"/>
  <c r="N2242" i="1" s="1"/>
  <c r="J2242" i="1"/>
  <c r="M2242" i="1" s="1"/>
  <c r="G2242" i="1"/>
  <c r="H2243" i="1" s="1"/>
  <c r="F2242" i="1"/>
  <c r="D2242" i="1"/>
  <c r="L2242" i="1" s="1"/>
  <c r="K2241" i="1"/>
  <c r="N2241" i="1" s="1"/>
  <c r="J2241" i="1"/>
  <c r="M2241" i="1" s="1"/>
  <c r="G2241" i="1"/>
  <c r="H2242" i="1" s="1"/>
  <c r="F2241" i="1"/>
  <c r="D2241" i="1"/>
  <c r="L2241" i="1" s="1"/>
  <c r="K2240" i="1"/>
  <c r="N2240" i="1" s="1"/>
  <c r="J2240" i="1"/>
  <c r="M2240" i="1" s="1"/>
  <c r="G2240" i="1"/>
  <c r="H2241" i="1" s="1"/>
  <c r="F2240" i="1"/>
  <c r="D2240" i="1"/>
  <c r="L2240" i="1" s="1"/>
  <c r="K2239" i="1"/>
  <c r="N2239" i="1" s="1"/>
  <c r="J2239" i="1"/>
  <c r="M2239" i="1" s="1"/>
  <c r="G2239" i="1"/>
  <c r="H2240" i="1" s="1"/>
  <c r="F2239" i="1"/>
  <c r="D2239" i="1"/>
  <c r="L2239" i="1" s="1"/>
  <c r="K2238" i="1"/>
  <c r="N2238" i="1" s="1"/>
  <c r="J2238" i="1"/>
  <c r="M2238" i="1" s="1"/>
  <c r="G2238" i="1"/>
  <c r="H2239" i="1" s="1"/>
  <c r="F2238" i="1"/>
  <c r="D2238" i="1"/>
  <c r="L2238" i="1" s="1"/>
  <c r="K2237" i="1"/>
  <c r="N2237" i="1" s="1"/>
  <c r="J2237" i="1"/>
  <c r="M2237" i="1" s="1"/>
  <c r="G2237" i="1"/>
  <c r="H2238" i="1" s="1"/>
  <c r="F2237" i="1"/>
  <c r="D2237" i="1"/>
  <c r="L2237" i="1" s="1"/>
  <c r="K2236" i="1"/>
  <c r="N2236" i="1" s="1"/>
  <c r="J2236" i="1"/>
  <c r="M2236" i="1" s="1"/>
  <c r="G2236" i="1"/>
  <c r="H2237" i="1" s="1"/>
  <c r="F2236" i="1"/>
  <c r="D2236" i="1"/>
  <c r="L2236" i="1" s="1"/>
  <c r="K2235" i="1"/>
  <c r="N2235" i="1" s="1"/>
  <c r="J2235" i="1"/>
  <c r="M2235" i="1" s="1"/>
  <c r="G2235" i="1"/>
  <c r="H2236" i="1" s="1"/>
  <c r="F2235" i="1"/>
  <c r="D2235" i="1"/>
  <c r="L2235" i="1" s="1"/>
  <c r="K2234" i="1"/>
  <c r="N2234" i="1" s="1"/>
  <c r="J2234" i="1"/>
  <c r="M2234" i="1" s="1"/>
  <c r="G2234" i="1"/>
  <c r="H2235" i="1" s="1"/>
  <c r="F2234" i="1"/>
  <c r="D2234" i="1"/>
  <c r="L2234" i="1" s="1"/>
  <c r="K2233" i="1"/>
  <c r="N2233" i="1" s="1"/>
  <c r="J2233" i="1"/>
  <c r="M2233" i="1" s="1"/>
  <c r="G2233" i="1"/>
  <c r="H2234" i="1" s="1"/>
  <c r="F2233" i="1"/>
  <c r="D2233" i="1"/>
  <c r="L2233" i="1" s="1"/>
  <c r="K2232" i="1"/>
  <c r="N2232" i="1" s="1"/>
  <c r="J2232" i="1"/>
  <c r="M2232" i="1" s="1"/>
  <c r="G2232" i="1"/>
  <c r="H2233" i="1" s="1"/>
  <c r="F2232" i="1"/>
  <c r="D2232" i="1"/>
  <c r="L2232" i="1" s="1"/>
  <c r="K2231" i="1"/>
  <c r="N2231" i="1" s="1"/>
  <c r="J2231" i="1"/>
  <c r="M2231" i="1" s="1"/>
  <c r="G2231" i="1"/>
  <c r="H2232" i="1" s="1"/>
  <c r="F2231" i="1"/>
  <c r="D2231" i="1"/>
  <c r="L2231" i="1" s="1"/>
  <c r="K2230" i="1"/>
  <c r="N2230" i="1" s="1"/>
  <c r="J2230" i="1"/>
  <c r="M2230" i="1" s="1"/>
  <c r="G2230" i="1"/>
  <c r="H2231" i="1" s="1"/>
  <c r="F2230" i="1"/>
  <c r="D2230" i="1"/>
  <c r="L2230" i="1" s="1"/>
  <c r="K2229" i="1"/>
  <c r="N2229" i="1" s="1"/>
  <c r="J2229" i="1"/>
  <c r="M2229" i="1" s="1"/>
  <c r="G2229" i="1"/>
  <c r="H2230" i="1" s="1"/>
  <c r="F2229" i="1"/>
  <c r="D2229" i="1"/>
  <c r="L2229" i="1" s="1"/>
  <c r="K2228" i="1"/>
  <c r="N2228" i="1" s="1"/>
  <c r="J2228" i="1"/>
  <c r="M2228" i="1" s="1"/>
  <c r="G2228" i="1"/>
  <c r="H2229" i="1" s="1"/>
  <c r="F2228" i="1"/>
  <c r="D2228" i="1"/>
  <c r="L2228" i="1" s="1"/>
  <c r="K2227" i="1"/>
  <c r="N2227" i="1" s="1"/>
  <c r="J2227" i="1"/>
  <c r="M2227" i="1" s="1"/>
  <c r="G2227" i="1"/>
  <c r="H2228" i="1" s="1"/>
  <c r="F2227" i="1"/>
  <c r="D2227" i="1"/>
  <c r="L2227" i="1" s="1"/>
  <c r="K2226" i="1"/>
  <c r="N2226" i="1" s="1"/>
  <c r="J2226" i="1"/>
  <c r="M2226" i="1" s="1"/>
  <c r="G2226" i="1"/>
  <c r="H2227" i="1" s="1"/>
  <c r="F2226" i="1"/>
  <c r="D2226" i="1"/>
  <c r="L2226" i="1" s="1"/>
  <c r="K2225" i="1"/>
  <c r="N2225" i="1" s="1"/>
  <c r="J2225" i="1"/>
  <c r="M2225" i="1" s="1"/>
  <c r="G2225" i="1"/>
  <c r="H2226" i="1" s="1"/>
  <c r="F2225" i="1"/>
  <c r="D2225" i="1"/>
  <c r="L2225" i="1" s="1"/>
  <c r="K2224" i="1"/>
  <c r="N2224" i="1" s="1"/>
  <c r="J2224" i="1"/>
  <c r="M2224" i="1" s="1"/>
  <c r="G2224" i="1"/>
  <c r="H2225" i="1" s="1"/>
  <c r="F2224" i="1"/>
  <c r="D2224" i="1"/>
  <c r="L2224" i="1" s="1"/>
  <c r="K2223" i="1"/>
  <c r="N2223" i="1" s="1"/>
  <c r="J2223" i="1"/>
  <c r="M2223" i="1" s="1"/>
  <c r="G2223" i="1"/>
  <c r="H2224" i="1" s="1"/>
  <c r="F2223" i="1"/>
  <c r="D2223" i="1"/>
  <c r="L2223" i="1" s="1"/>
  <c r="K2222" i="1"/>
  <c r="N2222" i="1" s="1"/>
  <c r="J2222" i="1"/>
  <c r="M2222" i="1" s="1"/>
  <c r="G2222" i="1"/>
  <c r="H2223" i="1" s="1"/>
  <c r="F2222" i="1"/>
  <c r="D2222" i="1"/>
  <c r="L2222" i="1" s="1"/>
  <c r="K2221" i="1"/>
  <c r="N2221" i="1" s="1"/>
  <c r="J2221" i="1"/>
  <c r="M2221" i="1" s="1"/>
  <c r="G2221" i="1"/>
  <c r="H2222" i="1" s="1"/>
  <c r="F2221" i="1"/>
  <c r="D2221" i="1"/>
  <c r="L2221" i="1" s="1"/>
  <c r="K2220" i="1"/>
  <c r="N2220" i="1" s="1"/>
  <c r="J2220" i="1"/>
  <c r="M2220" i="1" s="1"/>
  <c r="G2220" i="1"/>
  <c r="H2221" i="1" s="1"/>
  <c r="F2220" i="1"/>
  <c r="D2220" i="1"/>
  <c r="L2220" i="1" s="1"/>
  <c r="K2219" i="1"/>
  <c r="N2219" i="1" s="1"/>
  <c r="J2219" i="1"/>
  <c r="M2219" i="1" s="1"/>
  <c r="G2219" i="1"/>
  <c r="H2220" i="1" s="1"/>
  <c r="F2219" i="1"/>
  <c r="D2219" i="1"/>
  <c r="L2219" i="1" s="1"/>
  <c r="K2218" i="1"/>
  <c r="N2218" i="1" s="1"/>
  <c r="J2218" i="1"/>
  <c r="M2218" i="1" s="1"/>
  <c r="G2218" i="1"/>
  <c r="H2219" i="1" s="1"/>
  <c r="F2218" i="1"/>
  <c r="D2218" i="1"/>
  <c r="L2218" i="1" s="1"/>
  <c r="K2217" i="1"/>
  <c r="N2217" i="1" s="1"/>
  <c r="J2217" i="1"/>
  <c r="M2217" i="1" s="1"/>
  <c r="G2217" i="1"/>
  <c r="H2218" i="1" s="1"/>
  <c r="F2217" i="1"/>
  <c r="D2217" i="1"/>
  <c r="L2217" i="1" s="1"/>
  <c r="K2216" i="1"/>
  <c r="N2216" i="1" s="1"/>
  <c r="J2216" i="1"/>
  <c r="M2216" i="1" s="1"/>
  <c r="G2216" i="1"/>
  <c r="H2217" i="1" s="1"/>
  <c r="F2216" i="1"/>
  <c r="D2216" i="1"/>
  <c r="L2216" i="1" s="1"/>
  <c r="K2215" i="1"/>
  <c r="N2215" i="1" s="1"/>
  <c r="J2215" i="1"/>
  <c r="M2215" i="1" s="1"/>
  <c r="G2215" i="1"/>
  <c r="H2216" i="1" s="1"/>
  <c r="F2215" i="1"/>
  <c r="D2215" i="1"/>
  <c r="L2215" i="1" s="1"/>
  <c r="K2214" i="1"/>
  <c r="N2214" i="1" s="1"/>
  <c r="J2214" i="1"/>
  <c r="M2214" i="1" s="1"/>
  <c r="G2214" i="1"/>
  <c r="H2215" i="1" s="1"/>
  <c r="F2214" i="1"/>
  <c r="D2214" i="1"/>
  <c r="L2214" i="1" s="1"/>
  <c r="K2213" i="1"/>
  <c r="N2213" i="1" s="1"/>
  <c r="J2213" i="1"/>
  <c r="M2213" i="1" s="1"/>
  <c r="G2213" i="1"/>
  <c r="H2214" i="1" s="1"/>
  <c r="F2213" i="1"/>
  <c r="D2213" i="1"/>
  <c r="L2213" i="1" s="1"/>
  <c r="K2212" i="1"/>
  <c r="N2212" i="1" s="1"/>
  <c r="J2212" i="1"/>
  <c r="M2212" i="1" s="1"/>
  <c r="G2212" i="1"/>
  <c r="H2213" i="1" s="1"/>
  <c r="F2212" i="1"/>
  <c r="D2212" i="1"/>
  <c r="L2212" i="1" s="1"/>
  <c r="K2211" i="1"/>
  <c r="N2211" i="1" s="1"/>
  <c r="J2211" i="1"/>
  <c r="M2211" i="1" s="1"/>
  <c r="G2211" i="1"/>
  <c r="H2212" i="1" s="1"/>
  <c r="F2211" i="1"/>
  <c r="D2211" i="1"/>
  <c r="L2211" i="1" s="1"/>
  <c r="K2210" i="1"/>
  <c r="N2210" i="1" s="1"/>
  <c r="J2210" i="1"/>
  <c r="M2210" i="1" s="1"/>
  <c r="G2210" i="1"/>
  <c r="H2211" i="1" s="1"/>
  <c r="F2210" i="1"/>
  <c r="D2210" i="1"/>
  <c r="L2210" i="1" s="1"/>
  <c r="K2209" i="1"/>
  <c r="N2209" i="1" s="1"/>
  <c r="J2209" i="1"/>
  <c r="M2209" i="1" s="1"/>
  <c r="G2209" i="1"/>
  <c r="H2210" i="1" s="1"/>
  <c r="F2209" i="1"/>
  <c r="D2209" i="1"/>
  <c r="L2209" i="1" s="1"/>
  <c r="K2208" i="1"/>
  <c r="N2208" i="1" s="1"/>
  <c r="J2208" i="1"/>
  <c r="M2208" i="1" s="1"/>
  <c r="G2208" i="1"/>
  <c r="H2209" i="1" s="1"/>
  <c r="F2208" i="1"/>
  <c r="D2208" i="1"/>
  <c r="L2208" i="1" s="1"/>
  <c r="K2207" i="1"/>
  <c r="N2207" i="1" s="1"/>
  <c r="J2207" i="1"/>
  <c r="M2207" i="1" s="1"/>
  <c r="G2207" i="1"/>
  <c r="H2208" i="1" s="1"/>
  <c r="F2207" i="1"/>
  <c r="D2207" i="1"/>
  <c r="L2207" i="1" s="1"/>
  <c r="K2206" i="1"/>
  <c r="N2206" i="1" s="1"/>
  <c r="J2206" i="1"/>
  <c r="M2206" i="1" s="1"/>
  <c r="G2206" i="1"/>
  <c r="H2207" i="1" s="1"/>
  <c r="F2206" i="1"/>
  <c r="D2206" i="1"/>
  <c r="L2206" i="1" s="1"/>
  <c r="K2205" i="1"/>
  <c r="N2205" i="1" s="1"/>
  <c r="J2205" i="1"/>
  <c r="M2205" i="1" s="1"/>
  <c r="G2205" i="1"/>
  <c r="H2206" i="1" s="1"/>
  <c r="F2205" i="1"/>
  <c r="D2205" i="1"/>
  <c r="L2205" i="1" s="1"/>
  <c r="K2204" i="1"/>
  <c r="N2204" i="1" s="1"/>
  <c r="J2204" i="1"/>
  <c r="M2204" i="1" s="1"/>
  <c r="G2204" i="1"/>
  <c r="H2205" i="1" s="1"/>
  <c r="F2204" i="1"/>
  <c r="D2204" i="1"/>
  <c r="L2204" i="1" s="1"/>
  <c r="K2203" i="1"/>
  <c r="N2203" i="1" s="1"/>
  <c r="J2203" i="1"/>
  <c r="M2203" i="1" s="1"/>
  <c r="G2203" i="1"/>
  <c r="H2204" i="1" s="1"/>
  <c r="F2203" i="1"/>
  <c r="D2203" i="1"/>
  <c r="L2203" i="1" s="1"/>
  <c r="K2202" i="1"/>
  <c r="N2202" i="1" s="1"/>
  <c r="J2202" i="1"/>
  <c r="M2202" i="1" s="1"/>
  <c r="G2202" i="1"/>
  <c r="H2203" i="1" s="1"/>
  <c r="F2202" i="1"/>
  <c r="D2202" i="1"/>
  <c r="L2202" i="1" s="1"/>
  <c r="K2201" i="1"/>
  <c r="N2201" i="1" s="1"/>
  <c r="J2201" i="1"/>
  <c r="M2201" i="1" s="1"/>
  <c r="G2201" i="1"/>
  <c r="H2202" i="1" s="1"/>
  <c r="F2201" i="1"/>
  <c r="D2201" i="1"/>
  <c r="L2201" i="1" s="1"/>
  <c r="K2200" i="1"/>
  <c r="N2200" i="1" s="1"/>
  <c r="J2200" i="1"/>
  <c r="M2200" i="1" s="1"/>
  <c r="G2200" i="1"/>
  <c r="H2201" i="1" s="1"/>
  <c r="F2200" i="1"/>
  <c r="D2200" i="1"/>
  <c r="L2200" i="1" s="1"/>
  <c r="K2199" i="1"/>
  <c r="N2199" i="1" s="1"/>
  <c r="J2199" i="1"/>
  <c r="M2199" i="1" s="1"/>
  <c r="G2199" i="1"/>
  <c r="H2200" i="1" s="1"/>
  <c r="F2199" i="1"/>
  <c r="D2199" i="1"/>
  <c r="L2199" i="1" s="1"/>
  <c r="K2198" i="1"/>
  <c r="N2198" i="1" s="1"/>
  <c r="J2198" i="1"/>
  <c r="M2198" i="1" s="1"/>
  <c r="G2198" i="1"/>
  <c r="H2199" i="1" s="1"/>
  <c r="F2198" i="1"/>
  <c r="D2198" i="1"/>
  <c r="L2198" i="1" s="1"/>
  <c r="K2197" i="1"/>
  <c r="N2197" i="1" s="1"/>
  <c r="J2197" i="1"/>
  <c r="M2197" i="1" s="1"/>
  <c r="G2197" i="1"/>
  <c r="H2198" i="1" s="1"/>
  <c r="F2197" i="1"/>
  <c r="D2197" i="1"/>
  <c r="L2197" i="1" s="1"/>
  <c r="K2196" i="1"/>
  <c r="N2196" i="1" s="1"/>
  <c r="J2196" i="1"/>
  <c r="M2196" i="1" s="1"/>
  <c r="G2196" i="1"/>
  <c r="H2197" i="1" s="1"/>
  <c r="F2196" i="1"/>
  <c r="D2196" i="1"/>
  <c r="L2196" i="1" s="1"/>
  <c r="K2195" i="1"/>
  <c r="N2195" i="1" s="1"/>
  <c r="J2195" i="1"/>
  <c r="M2195" i="1" s="1"/>
  <c r="G2195" i="1"/>
  <c r="H2196" i="1" s="1"/>
  <c r="F2195" i="1"/>
  <c r="D2195" i="1"/>
  <c r="L2195" i="1" s="1"/>
  <c r="K2194" i="1"/>
  <c r="N2194" i="1" s="1"/>
  <c r="J2194" i="1"/>
  <c r="M2194" i="1" s="1"/>
  <c r="G2194" i="1"/>
  <c r="H2195" i="1" s="1"/>
  <c r="F2194" i="1"/>
  <c r="D2194" i="1"/>
  <c r="L2194" i="1" s="1"/>
  <c r="K2193" i="1"/>
  <c r="N2193" i="1" s="1"/>
  <c r="J2193" i="1"/>
  <c r="M2193" i="1" s="1"/>
  <c r="G2193" i="1"/>
  <c r="H2194" i="1" s="1"/>
  <c r="F2193" i="1"/>
  <c r="D2193" i="1"/>
  <c r="L2193" i="1" s="1"/>
  <c r="K2192" i="1"/>
  <c r="N2192" i="1" s="1"/>
  <c r="J2192" i="1"/>
  <c r="M2192" i="1" s="1"/>
  <c r="G2192" i="1"/>
  <c r="H2193" i="1" s="1"/>
  <c r="F2192" i="1"/>
  <c r="D2192" i="1"/>
  <c r="L2192" i="1" s="1"/>
  <c r="K2191" i="1"/>
  <c r="N2191" i="1" s="1"/>
  <c r="J2191" i="1"/>
  <c r="M2191" i="1" s="1"/>
  <c r="G2191" i="1"/>
  <c r="H2192" i="1" s="1"/>
  <c r="F2191" i="1"/>
  <c r="D2191" i="1"/>
  <c r="L2191" i="1" s="1"/>
  <c r="K2190" i="1"/>
  <c r="N2190" i="1" s="1"/>
  <c r="J2190" i="1"/>
  <c r="M2190" i="1" s="1"/>
  <c r="G2190" i="1"/>
  <c r="H2191" i="1" s="1"/>
  <c r="F2190" i="1"/>
  <c r="D2190" i="1"/>
  <c r="L2190" i="1" s="1"/>
  <c r="K2189" i="1"/>
  <c r="N2189" i="1" s="1"/>
  <c r="J2189" i="1"/>
  <c r="M2189" i="1" s="1"/>
  <c r="G2189" i="1"/>
  <c r="H2190" i="1" s="1"/>
  <c r="F2189" i="1"/>
  <c r="D2189" i="1"/>
  <c r="L2189" i="1" s="1"/>
  <c r="K2188" i="1"/>
  <c r="N2188" i="1" s="1"/>
  <c r="J2188" i="1"/>
  <c r="M2188" i="1" s="1"/>
  <c r="G2188" i="1"/>
  <c r="H2189" i="1" s="1"/>
  <c r="F2188" i="1"/>
  <c r="D2188" i="1"/>
  <c r="L2188" i="1" s="1"/>
  <c r="K2187" i="1"/>
  <c r="N2187" i="1" s="1"/>
  <c r="J2187" i="1"/>
  <c r="M2187" i="1" s="1"/>
  <c r="G2187" i="1"/>
  <c r="H2188" i="1" s="1"/>
  <c r="F2187" i="1"/>
  <c r="D2187" i="1"/>
  <c r="L2187" i="1" s="1"/>
  <c r="K2186" i="1"/>
  <c r="N2186" i="1" s="1"/>
  <c r="J2186" i="1"/>
  <c r="M2186" i="1" s="1"/>
  <c r="G2186" i="1"/>
  <c r="H2187" i="1" s="1"/>
  <c r="F2186" i="1"/>
  <c r="D2186" i="1"/>
  <c r="L2186" i="1" s="1"/>
  <c r="K2185" i="1"/>
  <c r="N2185" i="1" s="1"/>
  <c r="J2185" i="1"/>
  <c r="M2185" i="1" s="1"/>
  <c r="G2185" i="1"/>
  <c r="H2186" i="1" s="1"/>
  <c r="F2185" i="1"/>
  <c r="D2185" i="1"/>
  <c r="L2185" i="1" s="1"/>
  <c r="K2184" i="1"/>
  <c r="N2184" i="1" s="1"/>
  <c r="J2184" i="1"/>
  <c r="M2184" i="1" s="1"/>
  <c r="G2184" i="1"/>
  <c r="H2185" i="1" s="1"/>
  <c r="F2184" i="1"/>
  <c r="D2184" i="1"/>
  <c r="L2184" i="1" s="1"/>
  <c r="K2183" i="1"/>
  <c r="N2183" i="1" s="1"/>
  <c r="J2183" i="1"/>
  <c r="M2183" i="1" s="1"/>
  <c r="G2183" i="1"/>
  <c r="H2184" i="1" s="1"/>
  <c r="F2183" i="1"/>
  <c r="D2183" i="1"/>
  <c r="L2183" i="1" s="1"/>
  <c r="K2182" i="1"/>
  <c r="N2182" i="1" s="1"/>
  <c r="J2182" i="1"/>
  <c r="M2182" i="1" s="1"/>
  <c r="G2182" i="1"/>
  <c r="H2183" i="1" s="1"/>
  <c r="F2182" i="1"/>
  <c r="D2182" i="1"/>
  <c r="L2182" i="1" s="1"/>
  <c r="K2181" i="1"/>
  <c r="N2181" i="1" s="1"/>
  <c r="J2181" i="1"/>
  <c r="M2181" i="1" s="1"/>
  <c r="G2181" i="1"/>
  <c r="H2182" i="1" s="1"/>
  <c r="F2181" i="1"/>
  <c r="D2181" i="1"/>
  <c r="L2181" i="1" s="1"/>
  <c r="K2180" i="1"/>
  <c r="N2180" i="1" s="1"/>
  <c r="J2180" i="1"/>
  <c r="M2180" i="1" s="1"/>
  <c r="G2180" i="1"/>
  <c r="H2181" i="1" s="1"/>
  <c r="F2180" i="1"/>
  <c r="D2180" i="1"/>
  <c r="L2180" i="1" s="1"/>
  <c r="K2179" i="1"/>
  <c r="N2179" i="1" s="1"/>
  <c r="J2179" i="1"/>
  <c r="M2179" i="1" s="1"/>
  <c r="G2179" i="1"/>
  <c r="H2180" i="1" s="1"/>
  <c r="F2179" i="1"/>
  <c r="D2179" i="1"/>
  <c r="L2179" i="1" s="1"/>
  <c r="K2178" i="1"/>
  <c r="N2178" i="1" s="1"/>
  <c r="J2178" i="1"/>
  <c r="M2178" i="1" s="1"/>
  <c r="G2178" i="1"/>
  <c r="H2179" i="1" s="1"/>
  <c r="F2178" i="1"/>
  <c r="D2178" i="1"/>
  <c r="L2178" i="1" s="1"/>
  <c r="K2177" i="1"/>
  <c r="N2177" i="1" s="1"/>
  <c r="J2177" i="1"/>
  <c r="M2177" i="1" s="1"/>
  <c r="G2177" i="1"/>
  <c r="H2178" i="1" s="1"/>
  <c r="F2177" i="1"/>
  <c r="D2177" i="1"/>
  <c r="L2177" i="1" s="1"/>
  <c r="K2176" i="1"/>
  <c r="N2176" i="1" s="1"/>
  <c r="J2176" i="1"/>
  <c r="M2176" i="1" s="1"/>
  <c r="G2176" i="1"/>
  <c r="H2177" i="1" s="1"/>
  <c r="F2176" i="1"/>
  <c r="D2176" i="1"/>
  <c r="L2176" i="1" s="1"/>
  <c r="K2175" i="1"/>
  <c r="N2175" i="1" s="1"/>
  <c r="J2175" i="1"/>
  <c r="M2175" i="1" s="1"/>
  <c r="G2175" i="1"/>
  <c r="H2176" i="1" s="1"/>
  <c r="F2175" i="1"/>
  <c r="D2175" i="1"/>
  <c r="L2175" i="1" s="1"/>
  <c r="K2174" i="1"/>
  <c r="N2174" i="1" s="1"/>
  <c r="J2174" i="1"/>
  <c r="M2174" i="1" s="1"/>
  <c r="G2174" i="1"/>
  <c r="H2175" i="1" s="1"/>
  <c r="F2174" i="1"/>
  <c r="D2174" i="1"/>
  <c r="L2174" i="1" s="1"/>
  <c r="K2173" i="1"/>
  <c r="N2173" i="1" s="1"/>
  <c r="J2173" i="1"/>
  <c r="M2173" i="1" s="1"/>
  <c r="G2173" i="1"/>
  <c r="H2174" i="1" s="1"/>
  <c r="F2173" i="1"/>
  <c r="D2173" i="1"/>
  <c r="L2173" i="1" s="1"/>
  <c r="K2172" i="1"/>
  <c r="N2172" i="1" s="1"/>
  <c r="J2172" i="1"/>
  <c r="M2172" i="1" s="1"/>
  <c r="G2172" i="1"/>
  <c r="H2173" i="1" s="1"/>
  <c r="F2172" i="1"/>
  <c r="D2172" i="1"/>
  <c r="L2172" i="1" s="1"/>
  <c r="K2171" i="1"/>
  <c r="N2171" i="1" s="1"/>
  <c r="J2171" i="1"/>
  <c r="M2171" i="1" s="1"/>
  <c r="G2171" i="1"/>
  <c r="H2172" i="1" s="1"/>
  <c r="F2171" i="1"/>
  <c r="D2171" i="1"/>
  <c r="L2171" i="1" s="1"/>
  <c r="K2170" i="1"/>
  <c r="N2170" i="1" s="1"/>
  <c r="J2170" i="1"/>
  <c r="M2170" i="1" s="1"/>
  <c r="G2170" i="1"/>
  <c r="H2171" i="1" s="1"/>
  <c r="F2170" i="1"/>
  <c r="D2170" i="1"/>
  <c r="L2170" i="1" s="1"/>
  <c r="K2169" i="1"/>
  <c r="N2169" i="1" s="1"/>
  <c r="J2169" i="1"/>
  <c r="M2169" i="1" s="1"/>
  <c r="G2169" i="1"/>
  <c r="H2170" i="1" s="1"/>
  <c r="F2169" i="1"/>
  <c r="D2169" i="1"/>
  <c r="L2169" i="1" s="1"/>
  <c r="K2168" i="1"/>
  <c r="N2168" i="1" s="1"/>
  <c r="J2168" i="1"/>
  <c r="M2168" i="1" s="1"/>
  <c r="G2168" i="1"/>
  <c r="H2169" i="1" s="1"/>
  <c r="F2168" i="1"/>
  <c r="D2168" i="1"/>
  <c r="L2168" i="1" s="1"/>
  <c r="K2167" i="1"/>
  <c r="N2167" i="1" s="1"/>
  <c r="J2167" i="1"/>
  <c r="M2167" i="1" s="1"/>
  <c r="G2167" i="1"/>
  <c r="H2168" i="1" s="1"/>
  <c r="F2167" i="1"/>
  <c r="D2167" i="1"/>
  <c r="L2167" i="1" s="1"/>
  <c r="K2166" i="1"/>
  <c r="N2166" i="1" s="1"/>
  <c r="J2166" i="1"/>
  <c r="M2166" i="1" s="1"/>
  <c r="G2166" i="1"/>
  <c r="H2167" i="1" s="1"/>
  <c r="F2166" i="1"/>
  <c r="D2166" i="1"/>
  <c r="L2166" i="1" s="1"/>
  <c r="K2165" i="1"/>
  <c r="N2165" i="1" s="1"/>
  <c r="J2165" i="1"/>
  <c r="M2165" i="1" s="1"/>
  <c r="G2165" i="1"/>
  <c r="H2166" i="1" s="1"/>
  <c r="F2165" i="1"/>
  <c r="D2165" i="1"/>
  <c r="L2165" i="1" s="1"/>
  <c r="K2164" i="1"/>
  <c r="N2164" i="1" s="1"/>
  <c r="J2164" i="1"/>
  <c r="M2164" i="1" s="1"/>
  <c r="G2164" i="1"/>
  <c r="H2165" i="1" s="1"/>
  <c r="F2164" i="1"/>
  <c r="D2164" i="1"/>
  <c r="L2164" i="1" s="1"/>
  <c r="K2163" i="1"/>
  <c r="N2163" i="1" s="1"/>
  <c r="J2163" i="1"/>
  <c r="M2163" i="1" s="1"/>
  <c r="G2163" i="1"/>
  <c r="H2164" i="1" s="1"/>
  <c r="F2163" i="1"/>
  <c r="D2163" i="1"/>
  <c r="L2163" i="1" s="1"/>
  <c r="K2162" i="1"/>
  <c r="N2162" i="1" s="1"/>
  <c r="J2162" i="1"/>
  <c r="M2162" i="1" s="1"/>
  <c r="G2162" i="1"/>
  <c r="H2163" i="1" s="1"/>
  <c r="F2162" i="1"/>
  <c r="D2162" i="1"/>
  <c r="L2162" i="1" s="1"/>
  <c r="K2161" i="1"/>
  <c r="N2161" i="1" s="1"/>
  <c r="J2161" i="1"/>
  <c r="M2161" i="1" s="1"/>
  <c r="G2161" i="1"/>
  <c r="H2162" i="1" s="1"/>
  <c r="F2161" i="1"/>
  <c r="D2161" i="1"/>
  <c r="L2161" i="1" s="1"/>
  <c r="K2160" i="1"/>
  <c r="N2160" i="1" s="1"/>
  <c r="J2160" i="1"/>
  <c r="M2160" i="1" s="1"/>
  <c r="G2160" i="1"/>
  <c r="H2161" i="1" s="1"/>
  <c r="F2160" i="1"/>
  <c r="D2160" i="1"/>
  <c r="L2160" i="1" s="1"/>
  <c r="K2159" i="1"/>
  <c r="N2159" i="1" s="1"/>
  <c r="J2159" i="1"/>
  <c r="M2159" i="1" s="1"/>
  <c r="G2159" i="1"/>
  <c r="H2160" i="1" s="1"/>
  <c r="F2159" i="1"/>
  <c r="D2159" i="1"/>
  <c r="L2159" i="1" s="1"/>
  <c r="K2158" i="1"/>
  <c r="N2158" i="1" s="1"/>
  <c r="J2158" i="1"/>
  <c r="M2158" i="1" s="1"/>
  <c r="G2158" i="1"/>
  <c r="H2159" i="1" s="1"/>
  <c r="F2158" i="1"/>
  <c r="D2158" i="1"/>
  <c r="L2158" i="1" s="1"/>
  <c r="K2157" i="1"/>
  <c r="N2157" i="1" s="1"/>
  <c r="J2157" i="1"/>
  <c r="M2157" i="1" s="1"/>
  <c r="G2157" i="1"/>
  <c r="H2158" i="1" s="1"/>
  <c r="F2157" i="1"/>
  <c r="D2157" i="1"/>
  <c r="L2157" i="1" s="1"/>
  <c r="K2156" i="1"/>
  <c r="N2156" i="1" s="1"/>
  <c r="J2156" i="1"/>
  <c r="M2156" i="1" s="1"/>
  <c r="G2156" i="1"/>
  <c r="H2157" i="1" s="1"/>
  <c r="F2156" i="1"/>
  <c r="D2156" i="1"/>
  <c r="L2156" i="1" s="1"/>
  <c r="K2155" i="1"/>
  <c r="N2155" i="1" s="1"/>
  <c r="J2155" i="1"/>
  <c r="M2155" i="1" s="1"/>
  <c r="G2155" i="1"/>
  <c r="H2156" i="1" s="1"/>
  <c r="F2155" i="1"/>
  <c r="D2155" i="1"/>
  <c r="L2155" i="1" s="1"/>
  <c r="K2154" i="1"/>
  <c r="N2154" i="1" s="1"/>
  <c r="J2154" i="1"/>
  <c r="M2154" i="1" s="1"/>
  <c r="G2154" i="1"/>
  <c r="H2155" i="1" s="1"/>
  <c r="F2154" i="1"/>
  <c r="D2154" i="1"/>
  <c r="L2154" i="1" s="1"/>
  <c r="K2153" i="1"/>
  <c r="N2153" i="1" s="1"/>
  <c r="J2153" i="1"/>
  <c r="M2153" i="1" s="1"/>
  <c r="G2153" i="1"/>
  <c r="H2154" i="1" s="1"/>
  <c r="F2153" i="1"/>
  <c r="D2153" i="1"/>
  <c r="L2153" i="1" s="1"/>
  <c r="K2152" i="1"/>
  <c r="N2152" i="1" s="1"/>
  <c r="J2152" i="1"/>
  <c r="M2152" i="1" s="1"/>
  <c r="G2152" i="1"/>
  <c r="H2153" i="1" s="1"/>
  <c r="F2152" i="1"/>
  <c r="D2152" i="1"/>
  <c r="L2152" i="1" s="1"/>
  <c r="K2151" i="1"/>
  <c r="N2151" i="1" s="1"/>
  <c r="J2151" i="1"/>
  <c r="M2151" i="1" s="1"/>
  <c r="G2151" i="1"/>
  <c r="H2152" i="1" s="1"/>
  <c r="F2151" i="1"/>
  <c r="D2151" i="1"/>
  <c r="L2151" i="1" s="1"/>
  <c r="K2150" i="1"/>
  <c r="N2150" i="1" s="1"/>
  <c r="J2150" i="1"/>
  <c r="M2150" i="1" s="1"/>
  <c r="G2150" i="1"/>
  <c r="H2151" i="1" s="1"/>
  <c r="F2150" i="1"/>
  <c r="D2150" i="1"/>
  <c r="L2150" i="1" s="1"/>
  <c r="K2149" i="1"/>
  <c r="N2149" i="1" s="1"/>
  <c r="J2149" i="1"/>
  <c r="M2149" i="1" s="1"/>
  <c r="G2149" i="1"/>
  <c r="H2150" i="1" s="1"/>
  <c r="F2149" i="1"/>
  <c r="D2149" i="1"/>
  <c r="L2149" i="1" s="1"/>
  <c r="K2148" i="1"/>
  <c r="N2148" i="1" s="1"/>
  <c r="J2148" i="1"/>
  <c r="M2148" i="1" s="1"/>
  <c r="G2148" i="1"/>
  <c r="H2149" i="1" s="1"/>
  <c r="F2148" i="1"/>
  <c r="D2148" i="1"/>
  <c r="L2148" i="1" s="1"/>
  <c r="K2147" i="1"/>
  <c r="N2147" i="1" s="1"/>
  <c r="J2147" i="1"/>
  <c r="M2147" i="1" s="1"/>
  <c r="G2147" i="1"/>
  <c r="H2148" i="1" s="1"/>
  <c r="F2147" i="1"/>
  <c r="D2147" i="1"/>
  <c r="L2147" i="1" s="1"/>
  <c r="K2146" i="1"/>
  <c r="N2146" i="1" s="1"/>
  <c r="J2146" i="1"/>
  <c r="M2146" i="1" s="1"/>
  <c r="G2146" i="1"/>
  <c r="H2147" i="1" s="1"/>
  <c r="F2146" i="1"/>
  <c r="D2146" i="1"/>
  <c r="L2146" i="1" s="1"/>
  <c r="K2145" i="1"/>
  <c r="N2145" i="1" s="1"/>
  <c r="J2145" i="1"/>
  <c r="M2145" i="1" s="1"/>
  <c r="G2145" i="1"/>
  <c r="H2146" i="1" s="1"/>
  <c r="F2145" i="1"/>
  <c r="D2145" i="1"/>
  <c r="L2145" i="1" s="1"/>
  <c r="K2144" i="1"/>
  <c r="N2144" i="1" s="1"/>
  <c r="J2144" i="1"/>
  <c r="M2144" i="1" s="1"/>
  <c r="G2144" i="1"/>
  <c r="H2145" i="1" s="1"/>
  <c r="F2144" i="1"/>
  <c r="D2144" i="1"/>
  <c r="L2144" i="1" s="1"/>
  <c r="K2143" i="1"/>
  <c r="N2143" i="1" s="1"/>
  <c r="J2143" i="1"/>
  <c r="M2143" i="1" s="1"/>
  <c r="G2143" i="1"/>
  <c r="H2144" i="1" s="1"/>
  <c r="F2143" i="1"/>
  <c r="D2143" i="1"/>
  <c r="L2143" i="1" s="1"/>
  <c r="K2142" i="1"/>
  <c r="N2142" i="1" s="1"/>
  <c r="J2142" i="1"/>
  <c r="M2142" i="1" s="1"/>
  <c r="G2142" i="1"/>
  <c r="H2143" i="1" s="1"/>
  <c r="F2142" i="1"/>
  <c r="D2142" i="1"/>
  <c r="L2142" i="1" s="1"/>
  <c r="K2141" i="1"/>
  <c r="N2141" i="1" s="1"/>
  <c r="J2141" i="1"/>
  <c r="M2141" i="1" s="1"/>
  <c r="G2141" i="1"/>
  <c r="H2142" i="1" s="1"/>
  <c r="F2141" i="1"/>
  <c r="D2141" i="1"/>
  <c r="L2141" i="1" s="1"/>
  <c r="K2140" i="1"/>
  <c r="N2140" i="1" s="1"/>
  <c r="J2140" i="1"/>
  <c r="M2140" i="1" s="1"/>
  <c r="G2140" i="1"/>
  <c r="H2141" i="1" s="1"/>
  <c r="F2140" i="1"/>
  <c r="D2140" i="1"/>
  <c r="L2140" i="1" s="1"/>
  <c r="K2139" i="1"/>
  <c r="N2139" i="1" s="1"/>
  <c r="J2139" i="1"/>
  <c r="M2139" i="1" s="1"/>
  <c r="G2139" i="1"/>
  <c r="H2140" i="1" s="1"/>
  <c r="F2139" i="1"/>
  <c r="D2139" i="1"/>
  <c r="L2139" i="1" s="1"/>
  <c r="K2138" i="1"/>
  <c r="N2138" i="1" s="1"/>
  <c r="J2138" i="1"/>
  <c r="M2138" i="1" s="1"/>
  <c r="G2138" i="1"/>
  <c r="H2139" i="1" s="1"/>
  <c r="F2138" i="1"/>
  <c r="D2138" i="1"/>
  <c r="L2138" i="1" s="1"/>
  <c r="K2137" i="1"/>
  <c r="N2137" i="1" s="1"/>
  <c r="J2137" i="1"/>
  <c r="M2137" i="1" s="1"/>
  <c r="G2137" i="1"/>
  <c r="H2138" i="1" s="1"/>
  <c r="F2137" i="1"/>
  <c r="D2137" i="1"/>
  <c r="L2137" i="1" s="1"/>
  <c r="K2136" i="1"/>
  <c r="N2136" i="1" s="1"/>
  <c r="J2136" i="1"/>
  <c r="M2136" i="1" s="1"/>
  <c r="G2136" i="1"/>
  <c r="H2137" i="1" s="1"/>
  <c r="F2136" i="1"/>
  <c r="D2136" i="1"/>
  <c r="L2136" i="1" s="1"/>
  <c r="K2135" i="1"/>
  <c r="N2135" i="1" s="1"/>
  <c r="J2135" i="1"/>
  <c r="M2135" i="1" s="1"/>
  <c r="G2135" i="1"/>
  <c r="H2136" i="1" s="1"/>
  <c r="F2135" i="1"/>
  <c r="D2135" i="1"/>
  <c r="L2135" i="1" s="1"/>
  <c r="K2134" i="1"/>
  <c r="N2134" i="1" s="1"/>
  <c r="J2134" i="1"/>
  <c r="M2134" i="1" s="1"/>
  <c r="G2134" i="1"/>
  <c r="H2135" i="1" s="1"/>
  <c r="F2134" i="1"/>
  <c r="D2134" i="1"/>
  <c r="L2134" i="1" s="1"/>
  <c r="K2133" i="1"/>
  <c r="N2133" i="1" s="1"/>
  <c r="J2133" i="1"/>
  <c r="M2133" i="1" s="1"/>
  <c r="G2133" i="1"/>
  <c r="H2134" i="1" s="1"/>
  <c r="F2133" i="1"/>
  <c r="D2133" i="1"/>
  <c r="L2133" i="1" s="1"/>
  <c r="K2132" i="1"/>
  <c r="N2132" i="1" s="1"/>
  <c r="J2132" i="1"/>
  <c r="M2132" i="1" s="1"/>
  <c r="G2132" i="1"/>
  <c r="H2133" i="1" s="1"/>
  <c r="F2132" i="1"/>
  <c r="D2132" i="1"/>
  <c r="L2132" i="1" s="1"/>
  <c r="K2131" i="1"/>
  <c r="N2131" i="1" s="1"/>
  <c r="J2131" i="1"/>
  <c r="M2131" i="1" s="1"/>
  <c r="G2131" i="1"/>
  <c r="H2132" i="1" s="1"/>
  <c r="F2131" i="1"/>
  <c r="D2131" i="1"/>
  <c r="L2131" i="1" s="1"/>
  <c r="K2130" i="1"/>
  <c r="N2130" i="1" s="1"/>
  <c r="J2130" i="1"/>
  <c r="M2130" i="1" s="1"/>
  <c r="G2130" i="1"/>
  <c r="H2131" i="1" s="1"/>
  <c r="F2130" i="1"/>
  <c r="D2130" i="1"/>
  <c r="L2130" i="1" s="1"/>
  <c r="K2129" i="1"/>
  <c r="N2129" i="1" s="1"/>
  <c r="J2129" i="1"/>
  <c r="M2129" i="1" s="1"/>
  <c r="G2129" i="1"/>
  <c r="H2130" i="1" s="1"/>
  <c r="F2129" i="1"/>
  <c r="D2129" i="1"/>
  <c r="L2129" i="1" s="1"/>
  <c r="K2128" i="1"/>
  <c r="N2128" i="1" s="1"/>
  <c r="J2128" i="1"/>
  <c r="M2128" i="1" s="1"/>
  <c r="G2128" i="1"/>
  <c r="H2129" i="1" s="1"/>
  <c r="F2128" i="1"/>
  <c r="D2128" i="1"/>
  <c r="L2128" i="1" s="1"/>
  <c r="K2127" i="1"/>
  <c r="N2127" i="1" s="1"/>
  <c r="J2127" i="1"/>
  <c r="M2127" i="1" s="1"/>
  <c r="G2127" i="1"/>
  <c r="H2128" i="1" s="1"/>
  <c r="F2127" i="1"/>
  <c r="D2127" i="1"/>
  <c r="L2127" i="1" s="1"/>
  <c r="K2126" i="1"/>
  <c r="N2126" i="1" s="1"/>
  <c r="J2126" i="1"/>
  <c r="M2126" i="1" s="1"/>
  <c r="G2126" i="1"/>
  <c r="H2127" i="1" s="1"/>
  <c r="F2126" i="1"/>
  <c r="D2126" i="1"/>
  <c r="L2126" i="1" s="1"/>
  <c r="K2125" i="1"/>
  <c r="N2125" i="1" s="1"/>
  <c r="J2125" i="1"/>
  <c r="M2125" i="1" s="1"/>
  <c r="G2125" i="1"/>
  <c r="H2126" i="1" s="1"/>
  <c r="F2125" i="1"/>
  <c r="D2125" i="1"/>
  <c r="L2125" i="1" s="1"/>
  <c r="K2124" i="1"/>
  <c r="N2124" i="1" s="1"/>
  <c r="J2124" i="1"/>
  <c r="M2124" i="1" s="1"/>
  <c r="G2124" i="1"/>
  <c r="H2125" i="1" s="1"/>
  <c r="F2124" i="1"/>
  <c r="D2124" i="1"/>
  <c r="L2124" i="1" s="1"/>
  <c r="K2123" i="1"/>
  <c r="N2123" i="1" s="1"/>
  <c r="J2123" i="1"/>
  <c r="M2123" i="1" s="1"/>
  <c r="G2123" i="1"/>
  <c r="H2124" i="1" s="1"/>
  <c r="F2123" i="1"/>
  <c r="D2123" i="1"/>
  <c r="L2123" i="1" s="1"/>
  <c r="K2122" i="1"/>
  <c r="N2122" i="1" s="1"/>
  <c r="J2122" i="1"/>
  <c r="M2122" i="1" s="1"/>
  <c r="G2122" i="1"/>
  <c r="H2123" i="1" s="1"/>
  <c r="F2122" i="1"/>
  <c r="D2122" i="1"/>
  <c r="L2122" i="1" s="1"/>
  <c r="K2121" i="1"/>
  <c r="N2121" i="1" s="1"/>
  <c r="J2121" i="1"/>
  <c r="M2121" i="1" s="1"/>
  <c r="G2121" i="1"/>
  <c r="H2122" i="1" s="1"/>
  <c r="F2121" i="1"/>
  <c r="D2121" i="1"/>
  <c r="L2121" i="1" s="1"/>
  <c r="K2120" i="1"/>
  <c r="N2120" i="1" s="1"/>
  <c r="J2120" i="1"/>
  <c r="M2120" i="1" s="1"/>
  <c r="G2120" i="1"/>
  <c r="H2121" i="1" s="1"/>
  <c r="F2120" i="1"/>
  <c r="D2120" i="1"/>
  <c r="L2120" i="1" s="1"/>
  <c r="K2119" i="1"/>
  <c r="N2119" i="1" s="1"/>
  <c r="J2119" i="1"/>
  <c r="M2119" i="1" s="1"/>
  <c r="G2119" i="1"/>
  <c r="H2120" i="1" s="1"/>
  <c r="F2119" i="1"/>
  <c r="D2119" i="1"/>
  <c r="L2119" i="1" s="1"/>
  <c r="K2118" i="1"/>
  <c r="N2118" i="1" s="1"/>
  <c r="J2118" i="1"/>
  <c r="M2118" i="1" s="1"/>
  <c r="G2118" i="1"/>
  <c r="H2119" i="1" s="1"/>
  <c r="F2118" i="1"/>
  <c r="D2118" i="1"/>
  <c r="L2118" i="1" s="1"/>
  <c r="K2117" i="1"/>
  <c r="N2117" i="1" s="1"/>
  <c r="J2117" i="1"/>
  <c r="M2117" i="1" s="1"/>
  <c r="G2117" i="1"/>
  <c r="H2118" i="1" s="1"/>
  <c r="F2117" i="1"/>
  <c r="D2117" i="1"/>
  <c r="L2117" i="1" s="1"/>
  <c r="K2116" i="1"/>
  <c r="N2116" i="1" s="1"/>
  <c r="J2116" i="1"/>
  <c r="M2116" i="1" s="1"/>
  <c r="G2116" i="1"/>
  <c r="H2117" i="1" s="1"/>
  <c r="F2116" i="1"/>
  <c r="D2116" i="1"/>
  <c r="L2116" i="1" s="1"/>
  <c r="K2115" i="1"/>
  <c r="N2115" i="1" s="1"/>
  <c r="J2115" i="1"/>
  <c r="M2115" i="1" s="1"/>
  <c r="G2115" i="1"/>
  <c r="H2116" i="1" s="1"/>
  <c r="F2115" i="1"/>
  <c r="D2115" i="1"/>
  <c r="L2115" i="1" s="1"/>
  <c r="K2114" i="1"/>
  <c r="N2114" i="1" s="1"/>
  <c r="J2114" i="1"/>
  <c r="M2114" i="1" s="1"/>
  <c r="G2114" i="1"/>
  <c r="H2115" i="1" s="1"/>
  <c r="F2114" i="1"/>
  <c r="D2114" i="1"/>
  <c r="L2114" i="1" s="1"/>
  <c r="K2113" i="1"/>
  <c r="N2113" i="1" s="1"/>
  <c r="J2113" i="1"/>
  <c r="M2113" i="1" s="1"/>
  <c r="G2113" i="1"/>
  <c r="H2114" i="1" s="1"/>
  <c r="F2113" i="1"/>
  <c r="D2113" i="1"/>
  <c r="L2113" i="1" s="1"/>
  <c r="K2112" i="1"/>
  <c r="N2112" i="1" s="1"/>
  <c r="J2112" i="1"/>
  <c r="M2112" i="1" s="1"/>
  <c r="G2112" i="1"/>
  <c r="H2113" i="1" s="1"/>
  <c r="F2112" i="1"/>
  <c r="D2112" i="1"/>
  <c r="L2112" i="1" s="1"/>
  <c r="K2111" i="1"/>
  <c r="N2111" i="1" s="1"/>
  <c r="J2111" i="1"/>
  <c r="M2111" i="1" s="1"/>
  <c r="G2111" i="1"/>
  <c r="H2112" i="1" s="1"/>
  <c r="F2111" i="1"/>
  <c r="D2111" i="1"/>
  <c r="L2111" i="1" s="1"/>
  <c r="K2110" i="1"/>
  <c r="N2110" i="1" s="1"/>
  <c r="J2110" i="1"/>
  <c r="M2110" i="1" s="1"/>
  <c r="G2110" i="1"/>
  <c r="H2111" i="1" s="1"/>
  <c r="F2110" i="1"/>
  <c r="D2110" i="1"/>
  <c r="L2110" i="1" s="1"/>
  <c r="K2109" i="1"/>
  <c r="N2109" i="1" s="1"/>
  <c r="J2109" i="1"/>
  <c r="M2109" i="1" s="1"/>
  <c r="G2109" i="1"/>
  <c r="H2110" i="1" s="1"/>
  <c r="F2109" i="1"/>
  <c r="D2109" i="1"/>
  <c r="L2109" i="1" s="1"/>
  <c r="K2108" i="1"/>
  <c r="N2108" i="1" s="1"/>
  <c r="J2108" i="1"/>
  <c r="M2108" i="1" s="1"/>
  <c r="G2108" i="1"/>
  <c r="H2109" i="1" s="1"/>
  <c r="F2108" i="1"/>
  <c r="D2108" i="1"/>
  <c r="L2108" i="1" s="1"/>
  <c r="K2107" i="1"/>
  <c r="N2107" i="1" s="1"/>
  <c r="J2107" i="1"/>
  <c r="M2107" i="1" s="1"/>
  <c r="G2107" i="1"/>
  <c r="H2108" i="1" s="1"/>
  <c r="F2107" i="1"/>
  <c r="D2107" i="1"/>
  <c r="L2107" i="1" s="1"/>
  <c r="K2106" i="1"/>
  <c r="N2106" i="1" s="1"/>
  <c r="J2106" i="1"/>
  <c r="M2106" i="1" s="1"/>
  <c r="G2106" i="1"/>
  <c r="H2107" i="1" s="1"/>
  <c r="F2106" i="1"/>
  <c r="D2106" i="1"/>
  <c r="L2106" i="1" s="1"/>
  <c r="K2105" i="1"/>
  <c r="N2105" i="1" s="1"/>
  <c r="J2105" i="1"/>
  <c r="M2105" i="1" s="1"/>
  <c r="G2105" i="1"/>
  <c r="H2106" i="1" s="1"/>
  <c r="F2105" i="1"/>
  <c r="D2105" i="1"/>
  <c r="L2105" i="1" s="1"/>
  <c r="K2104" i="1"/>
  <c r="N2104" i="1" s="1"/>
  <c r="J2104" i="1"/>
  <c r="M2104" i="1" s="1"/>
  <c r="G2104" i="1"/>
  <c r="H2105" i="1" s="1"/>
  <c r="F2104" i="1"/>
  <c r="D2104" i="1"/>
  <c r="L2104" i="1" s="1"/>
  <c r="K2103" i="1"/>
  <c r="N2103" i="1" s="1"/>
  <c r="J2103" i="1"/>
  <c r="M2103" i="1" s="1"/>
  <c r="G2103" i="1"/>
  <c r="H2104" i="1" s="1"/>
  <c r="F2103" i="1"/>
  <c r="D2103" i="1"/>
  <c r="L2103" i="1" s="1"/>
  <c r="K2102" i="1"/>
  <c r="N2102" i="1" s="1"/>
  <c r="J2102" i="1"/>
  <c r="M2102" i="1" s="1"/>
  <c r="G2102" i="1"/>
  <c r="H2103" i="1" s="1"/>
  <c r="F2102" i="1"/>
  <c r="D2102" i="1"/>
  <c r="L2102" i="1" s="1"/>
  <c r="K2101" i="1"/>
  <c r="N2101" i="1" s="1"/>
  <c r="J2101" i="1"/>
  <c r="M2101" i="1" s="1"/>
  <c r="G2101" i="1"/>
  <c r="H2102" i="1" s="1"/>
  <c r="F2101" i="1"/>
  <c r="D2101" i="1"/>
  <c r="L2101" i="1" s="1"/>
  <c r="K2100" i="1"/>
  <c r="N2100" i="1" s="1"/>
  <c r="J2100" i="1"/>
  <c r="M2100" i="1" s="1"/>
  <c r="G2100" i="1"/>
  <c r="H2101" i="1" s="1"/>
  <c r="F2100" i="1"/>
  <c r="D2100" i="1"/>
  <c r="L2100" i="1" s="1"/>
  <c r="K2099" i="1"/>
  <c r="N2099" i="1" s="1"/>
  <c r="J2099" i="1"/>
  <c r="M2099" i="1" s="1"/>
  <c r="G2099" i="1"/>
  <c r="H2100" i="1" s="1"/>
  <c r="F2099" i="1"/>
  <c r="D2099" i="1"/>
  <c r="L2099" i="1" s="1"/>
  <c r="K2098" i="1"/>
  <c r="N2098" i="1" s="1"/>
  <c r="J2098" i="1"/>
  <c r="M2098" i="1" s="1"/>
  <c r="G2098" i="1"/>
  <c r="H2099" i="1" s="1"/>
  <c r="F2098" i="1"/>
  <c r="D2098" i="1"/>
  <c r="L2098" i="1" s="1"/>
  <c r="K2097" i="1"/>
  <c r="N2097" i="1" s="1"/>
  <c r="J2097" i="1"/>
  <c r="M2097" i="1" s="1"/>
  <c r="G2097" i="1"/>
  <c r="H2098" i="1" s="1"/>
  <c r="F2097" i="1"/>
  <c r="D2097" i="1"/>
  <c r="L2097" i="1" s="1"/>
  <c r="K2096" i="1"/>
  <c r="N2096" i="1" s="1"/>
  <c r="J2096" i="1"/>
  <c r="M2096" i="1" s="1"/>
  <c r="G2096" i="1"/>
  <c r="H2097" i="1" s="1"/>
  <c r="F2096" i="1"/>
  <c r="D2096" i="1"/>
  <c r="L2096" i="1" s="1"/>
  <c r="K2095" i="1"/>
  <c r="N2095" i="1" s="1"/>
  <c r="J2095" i="1"/>
  <c r="M2095" i="1" s="1"/>
  <c r="G2095" i="1"/>
  <c r="H2096" i="1" s="1"/>
  <c r="F2095" i="1"/>
  <c r="D2095" i="1"/>
  <c r="L2095" i="1" s="1"/>
  <c r="K2094" i="1"/>
  <c r="N2094" i="1" s="1"/>
  <c r="J2094" i="1"/>
  <c r="M2094" i="1" s="1"/>
  <c r="G2094" i="1"/>
  <c r="H2095" i="1" s="1"/>
  <c r="F2094" i="1"/>
  <c r="D2094" i="1"/>
  <c r="L2094" i="1" s="1"/>
  <c r="K2093" i="1"/>
  <c r="N2093" i="1" s="1"/>
  <c r="J2093" i="1"/>
  <c r="M2093" i="1" s="1"/>
  <c r="G2093" i="1"/>
  <c r="H2094" i="1" s="1"/>
  <c r="F2093" i="1"/>
  <c r="D2093" i="1"/>
  <c r="L2093" i="1" s="1"/>
  <c r="K2092" i="1"/>
  <c r="N2092" i="1" s="1"/>
  <c r="J2092" i="1"/>
  <c r="M2092" i="1" s="1"/>
  <c r="G2092" i="1"/>
  <c r="H2093" i="1" s="1"/>
  <c r="F2092" i="1"/>
  <c r="D2092" i="1"/>
  <c r="L2092" i="1" s="1"/>
  <c r="K2091" i="1"/>
  <c r="N2091" i="1" s="1"/>
  <c r="J2091" i="1"/>
  <c r="M2091" i="1" s="1"/>
  <c r="G2091" i="1"/>
  <c r="H2092" i="1" s="1"/>
  <c r="F2091" i="1"/>
  <c r="D2091" i="1"/>
  <c r="L2091" i="1" s="1"/>
  <c r="K2090" i="1"/>
  <c r="N2090" i="1" s="1"/>
  <c r="J2090" i="1"/>
  <c r="M2090" i="1" s="1"/>
  <c r="G2090" i="1"/>
  <c r="H2091" i="1" s="1"/>
  <c r="F2090" i="1"/>
  <c r="D2090" i="1"/>
  <c r="L2090" i="1" s="1"/>
  <c r="K2089" i="1"/>
  <c r="N2089" i="1" s="1"/>
  <c r="J2089" i="1"/>
  <c r="M2089" i="1" s="1"/>
  <c r="G2089" i="1"/>
  <c r="H2090" i="1" s="1"/>
  <c r="F2089" i="1"/>
  <c r="D2089" i="1"/>
  <c r="L2089" i="1" s="1"/>
  <c r="K2088" i="1"/>
  <c r="N2088" i="1" s="1"/>
  <c r="J2088" i="1"/>
  <c r="M2088" i="1" s="1"/>
  <c r="G2088" i="1"/>
  <c r="H2089" i="1" s="1"/>
  <c r="F2088" i="1"/>
  <c r="D2088" i="1"/>
  <c r="L2088" i="1" s="1"/>
  <c r="K2087" i="1"/>
  <c r="N2087" i="1" s="1"/>
  <c r="J2087" i="1"/>
  <c r="M2087" i="1" s="1"/>
  <c r="G2087" i="1"/>
  <c r="H2088" i="1" s="1"/>
  <c r="F2087" i="1"/>
  <c r="D2087" i="1"/>
  <c r="L2087" i="1" s="1"/>
  <c r="K2086" i="1"/>
  <c r="N2086" i="1" s="1"/>
  <c r="J2086" i="1"/>
  <c r="M2086" i="1" s="1"/>
  <c r="G2086" i="1"/>
  <c r="H2087" i="1" s="1"/>
  <c r="F2086" i="1"/>
  <c r="D2086" i="1"/>
  <c r="L2086" i="1" s="1"/>
  <c r="K2085" i="1"/>
  <c r="N2085" i="1" s="1"/>
  <c r="J2085" i="1"/>
  <c r="M2085" i="1" s="1"/>
  <c r="G2085" i="1"/>
  <c r="H2086" i="1" s="1"/>
  <c r="F2085" i="1"/>
  <c r="D2085" i="1"/>
  <c r="L2085" i="1" s="1"/>
  <c r="K2084" i="1"/>
  <c r="N2084" i="1" s="1"/>
  <c r="J2084" i="1"/>
  <c r="M2084" i="1" s="1"/>
  <c r="G2084" i="1"/>
  <c r="H2085" i="1" s="1"/>
  <c r="F2084" i="1"/>
  <c r="D2084" i="1"/>
  <c r="L2084" i="1" s="1"/>
  <c r="K2083" i="1"/>
  <c r="N2083" i="1" s="1"/>
  <c r="J2083" i="1"/>
  <c r="M2083" i="1" s="1"/>
  <c r="G2083" i="1"/>
  <c r="H2084" i="1" s="1"/>
  <c r="F2083" i="1"/>
  <c r="D2083" i="1"/>
  <c r="L2083" i="1" s="1"/>
  <c r="K2082" i="1"/>
  <c r="N2082" i="1" s="1"/>
  <c r="J2082" i="1"/>
  <c r="M2082" i="1" s="1"/>
  <c r="G2082" i="1"/>
  <c r="H2083" i="1" s="1"/>
  <c r="F2082" i="1"/>
  <c r="D2082" i="1"/>
  <c r="L2082" i="1" s="1"/>
  <c r="K2081" i="1"/>
  <c r="N2081" i="1" s="1"/>
  <c r="J2081" i="1"/>
  <c r="M2081" i="1" s="1"/>
  <c r="G2081" i="1"/>
  <c r="H2082" i="1" s="1"/>
  <c r="F2081" i="1"/>
  <c r="D2081" i="1"/>
  <c r="L2081" i="1" s="1"/>
  <c r="K2080" i="1"/>
  <c r="N2080" i="1" s="1"/>
  <c r="J2080" i="1"/>
  <c r="M2080" i="1" s="1"/>
  <c r="G2080" i="1"/>
  <c r="H2081" i="1" s="1"/>
  <c r="F2080" i="1"/>
  <c r="D2080" i="1"/>
  <c r="L2080" i="1" s="1"/>
  <c r="K2079" i="1"/>
  <c r="N2079" i="1" s="1"/>
  <c r="J2079" i="1"/>
  <c r="M2079" i="1" s="1"/>
  <c r="G2079" i="1"/>
  <c r="H2080" i="1" s="1"/>
  <c r="F2079" i="1"/>
  <c r="D2079" i="1"/>
  <c r="L2079" i="1" s="1"/>
  <c r="K2078" i="1"/>
  <c r="N2078" i="1" s="1"/>
  <c r="J2078" i="1"/>
  <c r="M2078" i="1" s="1"/>
  <c r="G2078" i="1"/>
  <c r="H2079" i="1" s="1"/>
  <c r="F2078" i="1"/>
  <c r="D2078" i="1"/>
  <c r="L2078" i="1" s="1"/>
  <c r="K2077" i="1"/>
  <c r="N2077" i="1" s="1"/>
  <c r="J2077" i="1"/>
  <c r="M2077" i="1" s="1"/>
  <c r="G2077" i="1"/>
  <c r="H2078" i="1" s="1"/>
  <c r="F2077" i="1"/>
  <c r="D2077" i="1"/>
  <c r="L2077" i="1" s="1"/>
  <c r="K2076" i="1"/>
  <c r="N2076" i="1" s="1"/>
  <c r="J2076" i="1"/>
  <c r="M2076" i="1" s="1"/>
  <c r="G2076" i="1"/>
  <c r="H2077" i="1" s="1"/>
  <c r="F2076" i="1"/>
  <c r="D2076" i="1"/>
  <c r="L2076" i="1" s="1"/>
  <c r="K2075" i="1"/>
  <c r="N2075" i="1" s="1"/>
  <c r="J2075" i="1"/>
  <c r="M2075" i="1" s="1"/>
  <c r="G2075" i="1"/>
  <c r="H2076" i="1" s="1"/>
  <c r="F2075" i="1"/>
  <c r="D2075" i="1"/>
  <c r="L2075" i="1" s="1"/>
  <c r="K2074" i="1"/>
  <c r="N2074" i="1" s="1"/>
  <c r="J2074" i="1"/>
  <c r="M2074" i="1" s="1"/>
  <c r="G2074" i="1"/>
  <c r="H2075" i="1" s="1"/>
  <c r="F2074" i="1"/>
  <c r="D2074" i="1"/>
  <c r="L2074" i="1" s="1"/>
  <c r="K2073" i="1"/>
  <c r="N2073" i="1" s="1"/>
  <c r="J2073" i="1"/>
  <c r="M2073" i="1" s="1"/>
  <c r="G2073" i="1"/>
  <c r="H2074" i="1" s="1"/>
  <c r="F2073" i="1"/>
  <c r="D2073" i="1"/>
  <c r="L2073" i="1" s="1"/>
  <c r="K2072" i="1"/>
  <c r="N2072" i="1" s="1"/>
  <c r="J2072" i="1"/>
  <c r="M2072" i="1" s="1"/>
  <c r="G2072" i="1"/>
  <c r="H2073" i="1" s="1"/>
  <c r="F2072" i="1"/>
  <c r="D2072" i="1"/>
  <c r="L2072" i="1" s="1"/>
  <c r="K2071" i="1"/>
  <c r="N2071" i="1" s="1"/>
  <c r="J2071" i="1"/>
  <c r="M2071" i="1" s="1"/>
  <c r="G2071" i="1"/>
  <c r="H2072" i="1" s="1"/>
  <c r="F2071" i="1"/>
  <c r="D2071" i="1"/>
  <c r="L2071" i="1" s="1"/>
  <c r="K2070" i="1"/>
  <c r="N2070" i="1" s="1"/>
  <c r="J2070" i="1"/>
  <c r="M2070" i="1" s="1"/>
  <c r="G2070" i="1"/>
  <c r="H2071" i="1" s="1"/>
  <c r="F2070" i="1"/>
  <c r="D2070" i="1"/>
  <c r="L2070" i="1" s="1"/>
  <c r="K2069" i="1"/>
  <c r="N2069" i="1" s="1"/>
  <c r="J2069" i="1"/>
  <c r="M2069" i="1" s="1"/>
  <c r="G2069" i="1"/>
  <c r="H2070" i="1" s="1"/>
  <c r="F2069" i="1"/>
  <c r="D2069" i="1"/>
  <c r="L2069" i="1" s="1"/>
  <c r="K2068" i="1"/>
  <c r="N2068" i="1" s="1"/>
  <c r="J2068" i="1"/>
  <c r="M2068" i="1" s="1"/>
  <c r="G2068" i="1"/>
  <c r="H2069" i="1" s="1"/>
  <c r="F2068" i="1"/>
  <c r="D2068" i="1"/>
  <c r="L2068" i="1" s="1"/>
  <c r="K2067" i="1"/>
  <c r="N2067" i="1" s="1"/>
  <c r="J2067" i="1"/>
  <c r="M2067" i="1" s="1"/>
  <c r="G2067" i="1"/>
  <c r="H2068" i="1" s="1"/>
  <c r="F2067" i="1"/>
  <c r="D2067" i="1"/>
  <c r="L2067" i="1" s="1"/>
  <c r="K2066" i="1"/>
  <c r="N2066" i="1" s="1"/>
  <c r="J2066" i="1"/>
  <c r="M2066" i="1" s="1"/>
  <c r="G2066" i="1"/>
  <c r="H2067" i="1" s="1"/>
  <c r="F2066" i="1"/>
  <c r="D2066" i="1"/>
  <c r="L2066" i="1" s="1"/>
  <c r="K2065" i="1"/>
  <c r="N2065" i="1" s="1"/>
  <c r="J2065" i="1"/>
  <c r="M2065" i="1" s="1"/>
  <c r="G2065" i="1"/>
  <c r="H2066" i="1" s="1"/>
  <c r="F2065" i="1"/>
  <c r="D2065" i="1"/>
  <c r="L2065" i="1" s="1"/>
  <c r="K2064" i="1"/>
  <c r="N2064" i="1" s="1"/>
  <c r="J2064" i="1"/>
  <c r="M2064" i="1" s="1"/>
  <c r="G2064" i="1"/>
  <c r="H2065" i="1" s="1"/>
  <c r="F2064" i="1"/>
  <c r="D2064" i="1"/>
  <c r="L2064" i="1" s="1"/>
  <c r="K2063" i="1"/>
  <c r="N2063" i="1" s="1"/>
  <c r="J2063" i="1"/>
  <c r="M2063" i="1" s="1"/>
  <c r="G2063" i="1"/>
  <c r="H2064" i="1" s="1"/>
  <c r="F2063" i="1"/>
  <c r="D2063" i="1"/>
  <c r="L2063" i="1" s="1"/>
  <c r="K2062" i="1"/>
  <c r="N2062" i="1" s="1"/>
  <c r="J2062" i="1"/>
  <c r="M2062" i="1" s="1"/>
  <c r="G2062" i="1"/>
  <c r="H2063" i="1" s="1"/>
  <c r="F2062" i="1"/>
  <c r="D2062" i="1"/>
  <c r="L2062" i="1" s="1"/>
  <c r="K2061" i="1"/>
  <c r="N2061" i="1" s="1"/>
  <c r="J2061" i="1"/>
  <c r="M2061" i="1" s="1"/>
  <c r="G2061" i="1"/>
  <c r="H2062" i="1" s="1"/>
  <c r="F2061" i="1"/>
  <c r="D2061" i="1"/>
  <c r="L2061" i="1" s="1"/>
  <c r="K2060" i="1"/>
  <c r="N2060" i="1" s="1"/>
  <c r="J2060" i="1"/>
  <c r="M2060" i="1" s="1"/>
  <c r="G2060" i="1"/>
  <c r="H2061" i="1" s="1"/>
  <c r="F2060" i="1"/>
  <c r="D2060" i="1"/>
  <c r="L2060" i="1" s="1"/>
  <c r="K2059" i="1"/>
  <c r="N2059" i="1" s="1"/>
  <c r="J2059" i="1"/>
  <c r="M2059" i="1" s="1"/>
  <c r="G2059" i="1"/>
  <c r="H2060" i="1" s="1"/>
  <c r="F2059" i="1"/>
  <c r="D2059" i="1"/>
  <c r="L2059" i="1" s="1"/>
  <c r="K2058" i="1"/>
  <c r="N2058" i="1" s="1"/>
  <c r="J2058" i="1"/>
  <c r="M2058" i="1" s="1"/>
  <c r="G2058" i="1"/>
  <c r="H2059" i="1" s="1"/>
  <c r="F2058" i="1"/>
  <c r="D2058" i="1"/>
  <c r="L2058" i="1" s="1"/>
  <c r="K2057" i="1"/>
  <c r="N2057" i="1" s="1"/>
  <c r="J2057" i="1"/>
  <c r="M2057" i="1" s="1"/>
  <c r="G2057" i="1"/>
  <c r="H2058" i="1" s="1"/>
  <c r="F2057" i="1"/>
  <c r="D2057" i="1"/>
  <c r="L2057" i="1" s="1"/>
  <c r="K2056" i="1"/>
  <c r="N2056" i="1" s="1"/>
  <c r="J2056" i="1"/>
  <c r="M2056" i="1" s="1"/>
  <c r="G2056" i="1"/>
  <c r="H2057" i="1" s="1"/>
  <c r="F2056" i="1"/>
  <c r="D2056" i="1"/>
  <c r="L2056" i="1" s="1"/>
  <c r="K2055" i="1"/>
  <c r="N2055" i="1" s="1"/>
  <c r="J2055" i="1"/>
  <c r="M2055" i="1" s="1"/>
  <c r="G2055" i="1"/>
  <c r="H2056" i="1" s="1"/>
  <c r="F2055" i="1"/>
  <c r="D2055" i="1"/>
  <c r="L2055" i="1" s="1"/>
  <c r="K2054" i="1"/>
  <c r="N2054" i="1" s="1"/>
  <c r="J2054" i="1"/>
  <c r="M2054" i="1" s="1"/>
  <c r="G2054" i="1"/>
  <c r="H2055" i="1" s="1"/>
  <c r="F2054" i="1"/>
  <c r="D2054" i="1"/>
  <c r="L2054" i="1" s="1"/>
  <c r="K2053" i="1"/>
  <c r="N2053" i="1" s="1"/>
  <c r="J2053" i="1"/>
  <c r="M2053" i="1" s="1"/>
  <c r="G2053" i="1"/>
  <c r="H2054" i="1" s="1"/>
  <c r="F2053" i="1"/>
  <c r="D2053" i="1"/>
  <c r="L2053" i="1" s="1"/>
  <c r="K2052" i="1"/>
  <c r="N2052" i="1" s="1"/>
  <c r="J2052" i="1"/>
  <c r="M2052" i="1" s="1"/>
  <c r="G2052" i="1"/>
  <c r="H2053" i="1" s="1"/>
  <c r="F2052" i="1"/>
  <c r="D2052" i="1"/>
  <c r="L2052" i="1" s="1"/>
  <c r="K2051" i="1"/>
  <c r="N2051" i="1" s="1"/>
  <c r="J2051" i="1"/>
  <c r="M2051" i="1" s="1"/>
  <c r="G2051" i="1"/>
  <c r="H2052" i="1" s="1"/>
  <c r="F2051" i="1"/>
  <c r="D2051" i="1"/>
  <c r="L2051" i="1" s="1"/>
  <c r="K2050" i="1"/>
  <c r="N2050" i="1" s="1"/>
  <c r="J2050" i="1"/>
  <c r="M2050" i="1" s="1"/>
  <c r="G2050" i="1"/>
  <c r="H2051" i="1" s="1"/>
  <c r="F2050" i="1"/>
  <c r="D2050" i="1"/>
  <c r="L2050" i="1" s="1"/>
  <c r="K2049" i="1"/>
  <c r="N2049" i="1" s="1"/>
  <c r="J2049" i="1"/>
  <c r="M2049" i="1" s="1"/>
  <c r="G2049" i="1"/>
  <c r="H2050" i="1" s="1"/>
  <c r="F2049" i="1"/>
  <c r="D2049" i="1"/>
  <c r="L2049" i="1" s="1"/>
  <c r="K2048" i="1"/>
  <c r="N2048" i="1" s="1"/>
  <c r="J2048" i="1"/>
  <c r="M2048" i="1" s="1"/>
  <c r="G2048" i="1"/>
  <c r="H2049" i="1" s="1"/>
  <c r="F2048" i="1"/>
  <c r="D2048" i="1"/>
  <c r="L2048" i="1" s="1"/>
  <c r="K2047" i="1"/>
  <c r="N2047" i="1" s="1"/>
  <c r="J2047" i="1"/>
  <c r="M2047" i="1" s="1"/>
  <c r="G2047" i="1"/>
  <c r="H2048" i="1" s="1"/>
  <c r="F2047" i="1"/>
  <c r="D2047" i="1"/>
  <c r="L2047" i="1" s="1"/>
  <c r="K2046" i="1"/>
  <c r="N2046" i="1" s="1"/>
  <c r="J2046" i="1"/>
  <c r="M2046" i="1" s="1"/>
  <c r="G2046" i="1"/>
  <c r="H2047" i="1" s="1"/>
  <c r="F2046" i="1"/>
  <c r="D2046" i="1"/>
  <c r="L2046" i="1" s="1"/>
  <c r="K2045" i="1"/>
  <c r="N2045" i="1" s="1"/>
  <c r="J2045" i="1"/>
  <c r="M2045" i="1" s="1"/>
  <c r="G2045" i="1"/>
  <c r="H2046" i="1" s="1"/>
  <c r="F2045" i="1"/>
  <c r="D2045" i="1"/>
  <c r="L2045" i="1" s="1"/>
  <c r="K2044" i="1"/>
  <c r="N2044" i="1" s="1"/>
  <c r="J2044" i="1"/>
  <c r="M2044" i="1" s="1"/>
  <c r="G2044" i="1"/>
  <c r="H2045" i="1" s="1"/>
  <c r="F2044" i="1"/>
  <c r="D2044" i="1"/>
  <c r="L2044" i="1" s="1"/>
  <c r="K2043" i="1"/>
  <c r="N2043" i="1" s="1"/>
  <c r="J2043" i="1"/>
  <c r="M2043" i="1" s="1"/>
  <c r="G2043" i="1"/>
  <c r="H2044" i="1" s="1"/>
  <c r="F2043" i="1"/>
  <c r="D2043" i="1"/>
  <c r="L2043" i="1" s="1"/>
  <c r="K2042" i="1"/>
  <c r="N2042" i="1" s="1"/>
  <c r="J2042" i="1"/>
  <c r="M2042" i="1" s="1"/>
  <c r="G2042" i="1"/>
  <c r="H2043" i="1" s="1"/>
  <c r="F2042" i="1"/>
  <c r="D2042" i="1"/>
  <c r="L2042" i="1" s="1"/>
  <c r="K2041" i="1"/>
  <c r="N2041" i="1" s="1"/>
  <c r="J2041" i="1"/>
  <c r="M2041" i="1" s="1"/>
  <c r="G2041" i="1"/>
  <c r="H2042" i="1" s="1"/>
  <c r="F2041" i="1"/>
  <c r="D2041" i="1"/>
  <c r="L2041" i="1" s="1"/>
  <c r="K2040" i="1"/>
  <c r="N2040" i="1" s="1"/>
  <c r="J2040" i="1"/>
  <c r="M2040" i="1" s="1"/>
  <c r="G2040" i="1"/>
  <c r="H2041" i="1" s="1"/>
  <c r="F2040" i="1"/>
  <c r="D2040" i="1"/>
  <c r="L2040" i="1" s="1"/>
  <c r="K2039" i="1"/>
  <c r="N2039" i="1" s="1"/>
  <c r="J2039" i="1"/>
  <c r="M2039" i="1" s="1"/>
  <c r="G2039" i="1"/>
  <c r="H2040" i="1" s="1"/>
  <c r="F2039" i="1"/>
  <c r="D2039" i="1"/>
  <c r="L2039" i="1" s="1"/>
  <c r="K2038" i="1"/>
  <c r="N2038" i="1" s="1"/>
  <c r="J2038" i="1"/>
  <c r="M2038" i="1" s="1"/>
  <c r="G2038" i="1"/>
  <c r="H2039" i="1" s="1"/>
  <c r="F2038" i="1"/>
  <c r="D2038" i="1"/>
  <c r="L2038" i="1" s="1"/>
  <c r="K2037" i="1"/>
  <c r="N2037" i="1" s="1"/>
  <c r="J2037" i="1"/>
  <c r="M2037" i="1" s="1"/>
  <c r="G2037" i="1"/>
  <c r="H2038" i="1" s="1"/>
  <c r="F2037" i="1"/>
  <c r="D2037" i="1"/>
  <c r="L2037" i="1" s="1"/>
  <c r="K2036" i="1"/>
  <c r="N2036" i="1" s="1"/>
  <c r="J2036" i="1"/>
  <c r="M2036" i="1" s="1"/>
  <c r="G2036" i="1"/>
  <c r="H2037" i="1" s="1"/>
  <c r="F2036" i="1"/>
  <c r="D2036" i="1"/>
  <c r="L2036" i="1" s="1"/>
  <c r="K2035" i="1"/>
  <c r="N2035" i="1" s="1"/>
  <c r="J2035" i="1"/>
  <c r="M2035" i="1" s="1"/>
  <c r="G2035" i="1"/>
  <c r="H2036" i="1" s="1"/>
  <c r="F2035" i="1"/>
  <c r="D2035" i="1"/>
  <c r="L2035" i="1" s="1"/>
  <c r="K2034" i="1"/>
  <c r="N2034" i="1" s="1"/>
  <c r="J2034" i="1"/>
  <c r="M2034" i="1" s="1"/>
  <c r="G2034" i="1"/>
  <c r="H2035" i="1" s="1"/>
  <c r="F2034" i="1"/>
  <c r="D2034" i="1"/>
  <c r="L2034" i="1" s="1"/>
  <c r="K2033" i="1"/>
  <c r="N2033" i="1" s="1"/>
  <c r="J2033" i="1"/>
  <c r="M2033" i="1" s="1"/>
  <c r="G2033" i="1"/>
  <c r="H2034" i="1" s="1"/>
  <c r="F2033" i="1"/>
  <c r="D2033" i="1"/>
  <c r="L2033" i="1" s="1"/>
  <c r="K2032" i="1"/>
  <c r="N2032" i="1" s="1"/>
  <c r="J2032" i="1"/>
  <c r="M2032" i="1" s="1"/>
  <c r="G2032" i="1"/>
  <c r="H2033" i="1" s="1"/>
  <c r="F2032" i="1"/>
  <c r="D2032" i="1"/>
  <c r="L2032" i="1" s="1"/>
  <c r="K2031" i="1"/>
  <c r="N2031" i="1" s="1"/>
  <c r="J2031" i="1"/>
  <c r="M2031" i="1" s="1"/>
  <c r="G2031" i="1"/>
  <c r="H2032" i="1" s="1"/>
  <c r="F2031" i="1"/>
  <c r="D2031" i="1"/>
  <c r="L2031" i="1" s="1"/>
  <c r="K2030" i="1"/>
  <c r="N2030" i="1" s="1"/>
  <c r="J2030" i="1"/>
  <c r="M2030" i="1" s="1"/>
  <c r="G2030" i="1"/>
  <c r="H2031" i="1" s="1"/>
  <c r="F2030" i="1"/>
  <c r="D2030" i="1"/>
  <c r="L2030" i="1" s="1"/>
  <c r="K2029" i="1"/>
  <c r="N2029" i="1" s="1"/>
  <c r="J2029" i="1"/>
  <c r="M2029" i="1" s="1"/>
  <c r="G2029" i="1"/>
  <c r="H2030" i="1" s="1"/>
  <c r="F2029" i="1"/>
  <c r="D2029" i="1"/>
  <c r="L2029" i="1" s="1"/>
  <c r="K2028" i="1"/>
  <c r="N2028" i="1" s="1"/>
  <c r="J2028" i="1"/>
  <c r="M2028" i="1" s="1"/>
  <c r="G2028" i="1"/>
  <c r="H2029" i="1" s="1"/>
  <c r="F2028" i="1"/>
  <c r="D2028" i="1"/>
  <c r="L2028" i="1" s="1"/>
  <c r="K2027" i="1"/>
  <c r="N2027" i="1" s="1"/>
  <c r="J2027" i="1"/>
  <c r="M2027" i="1" s="1"/>
  <c r="G2027" i="1"/>
  <c r="H2028" i="1" s="1"/>
  <c r="F2027" i="1"/>
  <c r="D2027" i="1"/>
  <c r="L2027" i="1" s="1"/>
  <c r="K2026" i="1"/>
  <c r="N2026" i="1" s="1"/>
  <c r="J2026" i="1"/>
  <c r="M2026" i="1" s="1"/>
  <c r="G2026" i="1"/>
  <c r="H2027" i="1" s="1"/>
  <c r="F2026" i="1"/>
  <c r="D2026" i="1"/>
  <c r="L2026" i="1" s="1"/>
  <c r="K2025" i="1"/>
  <c r="N2025" i="1" s="1"/>
  <c r="J2025" i="1"/>
  <c r="M2025" i="1" s="1"/>
  <c r="G2025" i="1"/>
  <c r="H2026" i="1" s="1"/>
  <c r="F2025" i="1"/>
  <c r="D2025" i="1"/>
  <c r="L2025" i="1" s="1"/>
  <c r="K2024" i="1"/>
  <c r="N2024" i="1" s="1"/>
  <c r="J2024" i="1"/>
  <c r="M2024" i="1" s="1"/>
  <c r="G2024" i="1"/>
  <c r="H2025" i="1" s="1"/>
  <c r="F2024" i="1"/>
  <c r="D2024" i="1"/>
  <c r="L2024" i="1" s="1"/>
  <c r="K2023" i="1"/>
  <c r="N2023" i="1" s="1"/>
  <c r="J2023" i="1"/>
  <c r="M2023" i="1" s="1"/>
  <c r="G2023" i="1"/>
  <c r="H2024" i="1" s="1"/>
  <c r="F2023" i="1"/>
  <c r="D2023" i="1"/>
  <c r="L2023" i="1" s="1"/>
  <c r="K2022" i="1"/>
  <c r="N2022" i="1" s="1"/>
  <c r="J2022" i="1"/>
  <c r="M2022" i="1" s="1"/>
  <c r="G2022" i="1"/>
  <c r="H2023" i="1" s="1"/>
  <c r="F2022" i="1"/>
  <c r="D2022" i="1"/>
  <c r="L2022" i="1" s="1"/>
  <c r="K2021" i="1"/>
  <c r="N2021" i="1" s="1"/>
  <c r="J2021" i="1"/>
  <c r="M2021" i="1" s="1"/>
  <c r="G2021" i="1"/>
  <c r="H2022" i="1" s="1"/>
  <c r="F2021" i="1"/>
  <c r="D2021" i="1"/>
  <c r="L2021" i="1" s="1"/>
  <c r="K2020" i="1"/>
  <c r="N2020" i="1" s="1"/>
  <c r="J2020" i="1"/>
  <c r="M2020" i="1" s="1"/>
  <c r="G2020" i="1"/>
  <c r="H2021" i="1" s="1"/>
  <c r="F2020" i="1"/>
  <c r="D2020" i="1"/>
  <c r="L2020" i="1" s="1"/>
  <c r="K2019" i="1"/>
  <c r="N2019" i="1" s="1"/>
  <c r="J2019" i="1"/>
  <c r="M2019" i="1" s="1"/>
  <c r="G2019" i="1"/>
  <c r="H2020" i="1" s="1"/>
  <c r="F2019" i="1"/>
  <c r="D2019" i="1"/>
  <c r="L2019" i="1" s="1"/>
  <c r="K2018" i="1"/>
  <c r="N2018" i="1" s="1"/>
  <c r="J2018" i="1"/>
  <c r="M2018" i="1" s="1"/>
  <c r="G2018" i="1"/>
  <c r="H2019" i="1" s="1"/>
  <c r="F2018" i="1"/>
  <c r="D2018" i="1"/>
  <c r="L2018" i="1" s="1"/>
  <c r="K2017" i="1"/>
  <c r="N2017" i="1" s="1"/>
  <c r="J2017" i="1"/>
  <c r="M2017" i="1" s="1"/>
  <c r="G2017" i="1"/>
  <c r="H2018" i="1" s="1"/>
  <c r="F2017" i="1"/>
  <c r="D2017" i="1"/>
  <c r="L2017" i="1" s="1"/>
  <c r="K2016" i="1"/>
  <c r="N2016" i="1" s="1"/>
  <c r="J2016" i="1"/>
  <c r="M2016" i="1" s="1"/>
  <c r="G2016" i="1"/>
  <c r="H2017" i="1" s="1"/>
  <c r="F2016" i="1"/>
  <c r="D2016" i="1"/>
  <c r="L2016" i="1" s="1"/>
  <c r="K2015" i="1"/>
  <c r="N2015" i="1" s="1"/>
  <c r="J2015" i="1"/>
  <c r="M2015" i="1" s="1"/>
  <c r="G2015" i="1"/>
  <c r="H2016" i="1" s="1"/>
  <c r="F2015" i="1"/>
  <c r="D2015" i="1"/>
  <c r="L2015" i="1" s="1"/>
  <c r="K2014" i="1"/>
  <c r="N2014" i="1" s="1"/>
  <c r="J2014" i="1"/>
  <c r="M2014" i="1" s="1"/>
  <c r="G2014" i="1"/>
  <c r="H2015" i="1" s="1"/>
  <c r="F2014" i="1"/>
  <c r="D2014" i="1"/>
  <c r="L2014" i="1" s="1"/>
  <c r="K2013" i="1"/>
  <c r="N2013" i="1" s="1"/>
  <c r="J2013" i="1"/>
  <c r="M2013" i="1" s="1"/>
  <c r="G2013" i="1"/>
  <c r="H2014" i="1" s="1"/>
  <c r="F2013" i="1"/>
  <c r="D2013" i="1"/>
  <c r="L2013" i="1" s="1"/>
  <c r="K2012" i="1"/>
  <c r="N2012" i="1" s="1"/>
  <c r="J2012" i="1"/>
  <c r="M2012" i="1" s="1"/>
  <c r="G2012" i="1"/>
  <c r="H2013" i="1" s="1"/>
  <c r="F2012" i="1"/>
  <c r="D2012" i="1"/>
  <c r="L2012" i="1" s="1"/>
  <c r="K2011" i="1"/>
  <c r="N2011" i="1" s="1"/>
  <c r="J2011" i="1"/>
  <c r="M2011" i="1" s="1"/>
  <c r="G2011" i="1"/>
  <c r="H2012" i="1" s="1"/>
  <c r="F2011" i="1"/>
  <c r="D2011" i="1"/>
  <c r="L2011" i="1" s="1"/>
  <c r="K2010" i="1"/>
  <c r="N2010" i="1" s="1"/>
  <c r="J2010" i="1"/>
  <c r="M2010" i="1" s="1"/>
  <c r="G2010" i="1"/>
  <c r="H2011" i="1" s="1"/>
  <c r="F2010" i="1"/>
  <c r="D2010" i="1"/>
  <c r="L2010" i="1" s="1"/>
  <c r="K2009" i="1"/>
  <c r="N2009" i="1" s="1"/>
  <c r="J2009" i="1"/>
  <c r="M2009" i="1" s="1"/>
  <c r="G2009" i="1"/>
  <c r="H2010" i="1" s="1"/>
  <c r="F2009" i="1"/>
  <c r="D2009" i="1"/>
  <c r="L2009" i="1" s="1"/>
  <c r="K2008" i="1"/>
  <c r="N2008" i="1" s="1"/>
  <c r="J2008" i="1"/>
  <c r="M2008" i="1" s="1"/>
  <c r="G2008" i="1"/>
  <c r="H2009" i="1" s="1"/>
  <c r="F2008" i="1"/>
  <c r="D2008" i="1"/>
  <c r="L2008" i="1" s="1"/>
  <c r="K2007" i="1"/>
  <c r="N2007" i="1" s="1"/>
  <c r="J2007" i="1"/>
  <c r="M2007" i="1" s="1"/>
  <c r="G2007" i="1"/>
  <c r="H2008" i="1" s="1"/>
  <c r="F2007" i="1"/>
  <c r="D2007" i="1"/>
  <c r="L2007" i="1" s="1"/>
  <c r="K2006" i="1"/>
  <c r="N2006" i="1" s="1"/>
  <c r="J2006" i="1"/>
  <c r="M2006" i="1" s="1"/>
  <c r="G2006" i="1"/>
  <c r="H2007" i="1" s="1"/>
  <c r="F2006" i="1"/>
  <c r="D2006" i="1"/>
  <c r="L2006" i="1" s="1"/>
  <c r="K2005" i="1"/>
  <c r="N2005" i="1" s="1"/>
  <c r="J2005" i="1"/>
  <c r="M2005" i="1" s="1"/>
  <c r="G2005" i="1"/>
  <c r="H2006" i="1" s="1"/>
  <c r="F2005" i="1"/>
  <c r="D2005" i="1"/>
  <c r="L2005" i="1" s="1"/>
  <c r="K2004" i="1"/>
  <c r="N2004" i="1" s="1"/>
  <c r="J2004" i="1"/>
  <c r="M2004" i="1" s="1"/>
  <c r="G2004" i="1"/>
  <c r="H2005" i="1" s="1"/>
  <c r="F2004" i="1"/>
  <c r="D2004" i="1"/>
  <c r="L2004" i="1" s="1"/>
  <c r="K2003" i="1"/>
  <c r="N2003" i="1" s="1"/>
  <c r="J2003" i="1"/>
  <c r="M2003" i="1" s="1"/>
  <c r="G2003" i="1"/>
  <c r="H2004" i="1" s="1"/>
  <c r="F2003" i="1"/>
  <c r="D2003" i="1"/>
  <c r="L2003" i="1" s="1"/>
  <c r="K2002" i="1"/>
  <c r="N2002" i="1" s="1"/>
  <c r="J2002" i="1"/>
  <c r="M2002" i="1" s="1"/>
  <c r="G2002" i="1"/>
  <c r="H2003" i="1" s="1"/>
  <c r="F2002" i="1"/>
  <c r="D2002" i="1"/>
  <c r="L2002" i="1" s="1"/>
  <c r="K2001" i="1"/>
  <c r="N2001" i="1" s="1"/>
  <c r="J2001" i="1"/>
  <c r="M2001" i="1" s="1"/>
  <c r="G2001" i="1"/>
  <c r="H2002" i="1" s="1"/>
  <c r="F2001" i="1"/>
  <c r="D2001" i="1"/>
  <c r="L2001" i="1" s="1"/>
  <c r="K2000" i="1"/>
  <c r="N2000" i="1" s="1"/>
  <c r="J2000" i="1"/>
  <c r="M2000" i="1" s="1"/>
  <c r="G2000" i="1"/>
  <c r="H2001" i="1" s="1"/>
  <c r="F2000" i="1"/>
  <c r="D2000" i="1"/>
  <c r="L2000" i="1" s="1"/>
  <c r="K1999" i="1"/>
  <c r="N1999" i="1" s="1"/>
  <c r="J1999" i="1"/>
  <c r="M1999" i="1" s="1"/>
  <c r="G1999" i="1"/>
  <c r="H2000" i="1" s="1"/>
  <c r="F1999" i="1"/>
  <c r="D1999" i="1"/>
  <c r="L1999" i="1" s="1"/>
  <c r="K1998" i="1"/>
  <c r="N1998" i="1" s="1"/>
  <c r="J1998" i="1"/>
  <c r="M1998" i="1" s="1"/>
  <c r="G1998" i="1"/>
  <c r="H1999" i="1" s="1"/>
  <c r="F1998" i="1"/>
  <c r="D1998" i="1"/>
  <c r="L1998" i="1" s="1"/>
  <c r="K1997" i="1"/>
  <c r="N1997" i="1" s="1"/>
  <c r="J1997" i="1"/>
  <c r="M1997" i="1" s="1"/>
  <c r="G1997" i="1"/>
  <c r="H1998" i="1" s="1"/>
  <c r="F1997" i="1"/>
  <c r="D1997" i="1"/>
  <c r="L1997" i="1" s="1"/>
  <c r="K1996" i="1"/>
  <c r="N1996" i="1" s="1"/>
  <c r="J1996" i="1"/>
  <c r="M1996" i="1" s="1"/>
  <c r="G1996" i="1"/>
  <c r="H1997" i="1" s="1"/>
  <c r="F1996" i="1"/>
  <c r="D1996" i="1"/>
  <c r="L1996" i="1" s="1"/>
  <c r="K1995" i="1"/>
  <c r="N1995" i="1" s="1"/>
  <c r="J1995" i="1"/>
  <c r="M1995" i="1" s="1"/>
  <c r="G1995" i="1"/>
  <c r="H1996" i="1" s="1"/>
  <c r="F1995" i="1"/>
  <c r="D1995" i="1"/>
  <c r="L1995" i="1" s="1"/>
  <c r="K1994" i="1"/>
  <c r="N1994" i="1" s="1"/>
  <c r="J1994" i="1"/>
  <c r="M1994" i="1" s="1"/>
  <c r="G1994" i="1"/>
  <c r="H1995" i="1" s="1"/>
  <c r="F1994" i="1"/>
  <c r="D1994" i="1"/>
  <c r="L1994" i="1" s="1"/>
  <c r="K1993" i="1"/>
  <c r="N1993" i="1" s="1"/>
  <c r="J1993" i="1"/>
  <c r="M1993" i="1" s="1"/>
  <c r="G1993" i="1"/>
  <c r="H1994" i="1" s="1"/>
  <c r="F1993" i="1"/>
  <c r="D1993" i="1"/>
  <c r="L1993" i="1" s="1"/>
  <c r="K1992" i="1"/>
  <c r="N1992" i="1" s="1"/>
  <c r="J1992" i="1"/>
  <c r="M1992" i="1" s="1"/>
  <c r="G1992" i="1"/>
  <c r="H1993" i="1" s="1"/>
  <c r="F1992" i="1"/>
  <c r="D1992" i="1"/>
  <c r="L1992" i="1" s="1"/>
  <c r="K1991" i="1"/>
  <c r="N1991" i="1" s="1"/>
  <c r="J1991" i="1"/>
  <c r="M1991" i="1" s="1"/>
  <c r="G1991" i="1"/>
  <c r="H1992" i="1" s="1"/>
  <c r="F1991" i="1"/>
  <c r="D1991" i="1"/>
  <c r="L1991" i="1" s="1"/>
  <c r="K1990" i="1"/>
  <c r="N1990" i="1" s="1"/>
  <c r="J1990" i="1"/>
  <c r="M1990" i="1" s="1"/>
  <c r="G1990" i="1"/>
  <c r="H1991" i="1" s="1"/>
  <c r="F1990" i="1"/>
  <c r="D1990" i="1"/>
  <c r="L1990" i="1" s="1"/>
  <c r="K1989" i="1"/>
  <c r="N1989" i="1" s="1"/>
  <c r="J1989" i="1"/>
  <c r="M1989" i="1" s="1"/>
  <c r="G1989" i="1"/>
  <c r="H1990" i="1" s="1"/>
  <c r="F1989" i="1"/>
  <c r="D1989" i="1"/>
  <c r="L1989" i="1" s="1"/>
  <c r="K1988" i="1"/>
  <c r="N1988" i="1" s="1"/>
  <c r="J1988" i="1"/>
  <c r="M1988" i="1" s="1"/>
  <c r="G1988" i="1"/>
  <c r="H1989" i="1" s="1"/>
  <c r="F1988" i="1"/>
  <c r="D1988" i="1"/>
  <c r="L1988" i="1" s="1"/>
  <c r="K1987" i="1"/>
  <c r="N1987" i="1" s="1"/>
  <c r="J1987" i="1"/>
  <c r="M1987" i="1" s="1"/>
  <c r="G1987" i="1"/>
  <c r="H1988" i="1" s="1"/>
  <c r="F1987" i="1"/>
  <c r="D1987" i="1"/>
  <c r="L1987" i="1" s="1"/>
  <c r="K1986" i="1"/>
  <c r="N1986" i="1" s="1"/>
  <c r="J1986" i="1"/>
  <c r="M1986" i="1" s="1"/>
  <c r="G1986" i="1"/>
  <c r="H1987" i="1" s="1"/>
  <c r="F1986" i="1"/>
  <c r="D1986" i="1"/>
  <c r="L1986" i="1" s="1"/>
  <c r="K1985" i="1"/>
  <c r="N1985" i="1" s="1"/>
  <c r="J1985" i="1"/>
  <c r="M1985" i="1" s="1"/>
  <c r="G1985" i="1"/>
  <c r="H1986" i="1" s="1"/>
  <c r="F1985" i="1"/>
  <c r="D1985" i="1"/>
  <c r="L1985" i="1" s="1"/>
  <c r="K1984" i="1"/>
  <c r="N1984" i="1" s="1"/>
  <c r="J1984" i="1"/>
  <c r="M1984" i="1" s="1"/>
  <c r="G1984" i="1"/>
  <c r="H1985" i="1" s="1"/>
  <c r="F1984" i="1"/>
  <c r="D1984" i="1"/>
  <c r="L1984" i="1" s="1"/>
  <c r="K1983" i="1"/>
  <c r="N1983" i="1" s="1"/>
  <c r="J1983" i="1"/>
  <c r="M1983" i="1" s="1"/>
  <c r="G1983" i="1"/>
  <c r="H1984" i="1" s="1"/>
  <c r="F1983" i="1"/>
  <c r="D1983" i="1"/>
  <c r="L1983" i="1" s="1"/>
  <c r="K1982" i="1"/>
  <c r="N1982" i="1" s="1"/>
  <c r="J1982" i="1"/>
  <c r="M1982" i="1" s="1"/>
  <c r="G1982" i="1"/>
  <c r="H1983" i="1" s="1"/>
  <c r="F1982" i="1"/>
  <c r="D1982" i="1"/>
  <c r="L1982" i="1" s="1"/>
  <c r="K1981" i="1"/>
  <c r="N1981" i="1" s="1"/>
  <c r="J1981" i="1"/>
  <c r="M1981" i="1" s="1"/>
  <c r="G1981" i="1"/>
  <c r="H1982" i="1" s="1"/>
  <c r="F1981" i="1"/>
  <c r="D1981" i="1"/>
  <c r="L1981" i="1" s="1"/>
  <c r="K1980" i="1"/>
  <c r="N1980" i="1" s="1"/>
  <c r="J1980" i="1"/>
  <c r="M1980" i="1" s="1"/>
  <c r="G1980" i="1"/>
  <c r="H1981" i="1" s="1"/>
  <c r="F1980" i="1"/>
  <c r="D1980" i="1"/>
  <c r="L1980" i="1" s="1"/>
  <c r="K1979" i="1"/>
  <c r="N1979" i="1" s="1"/>
  <c r="J1979" i="1"/>
  <c r="M1979" i="1" s="1"/>
  <c r="G1979" i="1"/>
  <c r="H1980" i="1" s="1"/>
  <c r="F1979" i="1"/>
  <c r="D1979" i="1"/>
  <c r="L1979" i="1" s="1"/>
  <c r="K1978" i="1"/>
  <c r="N1978" i="1" s="1"/>
  <c r="J1978" i="1"/>
  <c r="M1978" i="1" s="1"/>
  <c r="G1978" i="1"/>
  <c r="H1979" i="1" s="1"/>
  <c r="F1978" i="1"/>
  <c r="D1978" i="1"/>
  <c r="L1978" i="1" s="1"/>
  <c r="K1977" i="1"/>
  <c r="N1977" i="1" s="1"/>
  <c r="J1977" i="1"/>
  <c r="M1977" i="1" s="1"/>
  <c r="G1977" i="1"/>
  <c r="H1978" i="1" s="1"/>
  <c r="F1977" i="1"/>
  <c r="D1977" i="1"/>
  <c r="L1977" i="1" s="1"/>
  <c r="K1976" i="1"/>
  <c r="N1976" i="1" s="1"/>
  <c r="J1976" i="1"/>
  <c r="M1976" i="1" s="1"/>
  <c r="G1976" i="1"/>
  <c r="H1977" i="1" s="1"/>
  <c r="F1976" i="1"/>
  <c r="D1976" i="1"/>
  <c r="L1976" i="1" s="1"/>
  <c r="K1975" i="1"/>
  <c r="N1975" i="1" s="1"/>
  <c r="J1975" i="1"/>
  <c r="M1975" i="1" s="1"/>
  <c r="G1975" i="1"/>
  <c r="H1976" i="1" s="1"/>
  <c r="F1975" i="1"/>
  <c r="D1975" i="1"/>
  <c r="L1975" i="1" s="1"/>
  <c r="K1974" i="1"/>
  <c r="N1974" i="1" s="1"/>
  <c r="J1974" i="1"/>
  <c r="M1974" i="1" s="1"/>
  <c r="G1974" i="1"/>
  <c r="H1975" i="1" s="1"/>
  <c r="F1974" i="1"/>
  <c r="D1974" i="1"/>
  <c r="L1974" i="1" s="1"/>
  <c r="K1973" i="1"/>
  <c r="N1973" i="1" s="1"/>
  <c r="J1973" i="1"/>
  <c r="M1973" i="1" s="1"/>
  <c r="G1973" i="1"/>
  <c r="H1974" i="1" s="1"/>
  <c r="F1973" i="1"/>
  <c r="D1973" i="1"/>
  <c r="L1973" i="1" s="1"/>
  <c r="K1972" i="1"/>
  <c r="N1972" i="1" s="1"/>
  <c r="J1972" i="1"/>
  <c r="M1972" i="1" s="1"/>
  <c r="G1972" i="1"/>
  <c r="H1973" i="1" s="1"/>
  <c r="F1972" i="1"/>
  <c r="D1972" i="1"/>
  <c r="L1972" i="1" s="1"/>
  <c r="K1971" i="1"/>
  <c r="N1971" i="1" s="1"/>
  <c r="J1971" i="1"/>
  <c r="M1971" i="1" s="1"/>
  <c r="G1971" i="1"/>
  <c r="H1972" i="1" s="1"/>
  <c r="F1971" i="1"/>
  <c r="D1971" i="1"/>
  <c r="L1971" i="1" s="1"/>
  <c r="K1970" i="1"/>
  <c r="N1970" i="1" s="1"/>
  <c r="J1970" i="1"/>
  <c r="M1970" i="1" s="1"/>
  <c r="G1970" i="1"/>
  <c r="H1971" i="1" s="1"/>
  <c r="F1970" i="1"/>
  <c r="D1970" i="1"/>
  <c r="L1970" i="1" s="1"/>
  <c r="K1969" i="1"/>
  <c r="N1969" i="1" s="1"/>
  <c r="J1969" i="1"/>
  <c r="M1969" i="1" s="1"/>
  <c r="G1969" i="1"/>
  <c r="H1970" i="1" s="1"/>
  <c r="F1969" i="1"/>
  <c r="D1969" i="1"/>
  <c r="L1969" i="1" s="1"/>
  <c r="K1968" i="1"/>
  <c r="N1968" i="1" s="1"/>
  <c r="J1968" i="1"/>
  <c r="M1968" i="1" s="1"/>
  <c r="G1968" i="1"/>
  <c r="H1969" i="1" s="1"/>
  <c r="F1968" i="1"/>
  <c r="D1968" i="1"/>
  <c r="L1968" i="1" s="1"/>
  <c r="K1967" i="1"/>
  <c r="N1967" i="1" s="1"/>
  <c r="J1967" i="1"/>
  <c r="M1967" i="1" s="1"/>
  <c r="G1967" i="1"/>
  <c r="H1968" i="1" s="1"/>
  <c r="F1967" i="1"/>
  <c r="D1967" i="1"/>
  <c r="L1967" i="1" s="1"/>
  <c r="K1966" i="1"/>
  <c r="N1966" i="1" s="1"/>
  <c r="J1966" i="1"/>
  <c r="M1966" i="1" s="1"/>
  <c r="G1966" i="1"/>
  <c r="H1967" i="1" s="1"/>
  <c r="F1966" i="1"/>
  <c r="D1966" i="1"/>
  <c r="L1966" i="1" s="1"/>
  <c r="K1965" i="1"/>
  <c r="N1965" i="1" s="1"/>
  <c r="J1965" i="1"/>
  <c r="M1965" i="1" s="1"/>
  <c r="G1965" i="1"/>
  <c r="H1966" i="1" s="1"/>
  <c r="F1965" i="1"/>
  <c r="D1965" i="1"/>
  <c r="L1965" i="1" s="1"/>
  <c r="K1964" i="1"/>
  <c r="N1964" i="1" s="1"/>
  <c r="J1964" i="1"/>
  <c r="M1964" i="1" s="1"/>
  <c r="G1964" i="1"/>
  <c r="H1965" i="1" s="1"/>
  <c r="F1964" i="1"/>
  <c r="D1964" i="1"/>
  <c r="L1964" i="1" s="1"/>
  <c r="K1963" i="1"/>
  <c r="N1963" i="1" s="1"/>
  <c r="J1963" i="1"/>
  <c r="M1963" i="1" s="1"/>
  <c r="G1963" i="1"/>
  <c r="H1964" i="1" s="1"/>
  <c r="F1963" i="1"/>
  <c r="D1963" i="1"/>
  <c r="L1963" i="1" s="1"/>
  <c r="K1962" i="1"/>
  <c r="N1962" i="1" s="1"/>
  <c r="J1962" i="1"/>
  <c r="M1962" i="1" s="1"/>
  <c r="G1962" i="1"/>
  <c r="H1963" i="1" s="1"/>
  <c r="F1962" i="1"/>
  <c r="D1962" i="1"/>
  <c r="L1962" i="1" s="1"/>
  <c r="K1961" i="1"/>
  <c r="N1961" i="1" s="1"/>
  <c r="J1961" i="1"/>
  <c r="M1961" i="1" s="1"/>
  <c r="G1961" i="1"/>
  <c r="H1962" i="1" s="1"/>
  <c r="F1961" i="1"/>
  <c r="D1961" i="1"/>
  <c r="L1961" i="1" s="1"/>
  <c r="K1960" i="1"/>
  <c r="N1960" i="1" s="1"/>
  <c r="J1960" i="1"/>
  <c r="M1960" i="1" s="1"/>
  <c r="G1960" i="1"/>
  <c r="H1961" i="1" s="1"/>
  <c r="F1960" i="1"/>
  <c r="D1960" i="1"/>
  <c r="L1960" i="1" s="1"/>
  <c r="K1959" i="1"/>
  <c r="N1959" i="1" s="1"/>
  <c r="J1959" i="1"/>
  <c r="M1959" i="1" s="1"/>
  <c r="G1959" i="1"/>
  <c r="H1960" i="1" s="1"/>
  <c r="F1959" i="1"/>
  <c r="D1959" i="1"/>
  <c r="L1959" i="1" s="1"/>
  <c r="K1958" i="1"/>
  <c r="N1958" i="1" s="1"/>
  <c r="J1958" i="1"/>
  <c r="M1958" i="1" s="1"/>
  <c r="G1958" i="1"/>
  <c r="H1959" i="1" s="1"/>
  <c r="F1958" i="1"/>
  <c r="D1958" i="1"/>
  <c r="L1958" i="1" s="1"/>
  <c r="K1957" i="1"/>
  <c r="N1957" i="1" s="1"/>
  <c r="J1957" i="1"/>
  <c r="M1957" i="1" s="1"/>
  <c r="G1957" i="1"/>
  <c r="H1958" i="1" s="1"/>
  <c r="F1957" i="1"/>
  <c r="D1957" i="1"/>
  <c r="L1957" i="1" s="1"/>
  <c r="K1956" i="1"/>
  <c r="N1956" i="1" s="1"/>
  <c r="J1956" i="1"/>
  <c r="M1956" i="1" s="1"/>
  <c r="G1956" i="1"/>
  <c r="H1957" i="1" s="1"/>
  <c r="F1956" i="1"/>
  <c r="D1956" i="1"/>
  <c r="L1956" i="1" s="1"/>
  <c r="K1955" i="1"/>
  <c r="N1955" i="1" s="1"/>
  <c r="J1955" i="1"/>
  <c r="M1955" i="1" s="1"/>
  <c r="G1955" i="1"/>
  <c r="H1956" i="1" s="1"/>
  <c r="F1955" i="1"/>
  <c r="D1955" i="1"/>
  <c r="L1955" i="1" s="1"/>
  <c r="K1954" i="1"/>
  <c r="N1954" i="1" s="1"/>
  <c r="J1954" i="1"/>
  <c r="M1954" i="1" s="1"/>
  <c r="G1954" i="1"/>
  <c r="H1955" i="1" s="1"/>
  <c r="F1954" i="1"/>
  <c r="D1954" i="1"/>
  <c r="L1954" i="1" s="1"/>
  <c r="K1953" i="1"/>
  <c r="N1953" i="1" s="1"/>
  <c r="J1953" i="1"/>
  <c r="M1953" i="1" s="1"/>
  <c r="G1953" i="1"/>
  <c r="H1954" i="1" s="1"/>
  <c r="F1953" i="1"/>
  <c r="D1953" i="1"/>
  <c r="L1953" i="1" s="1"/>
  <c r="K1952" i="1"/>
  <c r="N1952" i="1" s="1"/>
  <c r="J1952" i="1"/>
  <c r="M1952" i="1" s="1"/>
  <c r="G1952" i="1"/>
  <c r="H1953" i="1" s="1"/>
  <c r="F1952" i="1"/>
  <c r="D1952" i="1"/>
  <c r="L1952" i="1" s="1"/>
  <c r="K1951" i="1"/>
  <c r="N1951" i="1" s="1"/>
  <c r="J1951" i="1"/>
  <c r="M1951" i="1" s="1"/>
  <c r="G1951" i="1"/>
  <c r="H1952" i="1" s="1"/>
  <c r="F1951" i="1"/>
  <c r="D1951" i="1"/>
  <c r="L1951" i="1" s="1"/>
  <c r="K1950" i="1"/>
  <c r="N1950" i="1" s="1"/>
  <c r="J1950" i="1"/>
  <c r="M1950" i="1" s="1"/>
  <c r="G1950" i="1"/>
  <c r="H1951" i="1" s="1"/>
  <c r="F1950" i="1"/>
  <c r="D1950" i="1"/>
  <c r="L1950" i="1" s="1"/>
  <c r="K1949" i="1"/>
  <c r="N1949" i="1" s="1"/>
  <c r="J1949" i="1"/>
  <c r="M1949" i="1" s="1"/>
  <c r="G1949" i="1"/>
  <c r="H1950" i="1" s="1"/>
  <c r="F1949" i="1"/>
  <c r="D1949" i="1"/>
  <c r="L1949" i="1" s="1"/>
  <c r="K1948" i="1"/>
  <c r="N1948" i="1" s="1"/>
  <c r="J1948" i="1"/>
  <c r="M1948" i="1" s="1"/>
  <c r="G1948" i="1"/>
  <c r="H1949" i="1" s="1"/>
  <c r="F1948" i="1"/>
  <c r="D1948" i="1"/>
  <c r="L1948" i="1" s="1"/>
  <c r="K1947" i="1"/>
  <c r="N1947" i="1" s="1"/>
  <c r="J1947" i="1"/>
  <c r="M1947" i="1" s="1"/>
  <c r="G1947" i="1"/>
  <c r="H1948" i="1" s="1"/>
  <c r="F1947" i="1"/>
  <c r="D1947" i="1"/>
  <c r="L1947" i="1" s="1"/>
  <c r="K1946" i="1"/>
  <c r="N1946" i="1" s="1"/>
  <c r="J1946" i="1"/>
  <c r="M1946" i="1" s="1"/>
  <c r="G1946" i="1"/>
  <c r="H1947" i="1" s="1"/>
  <c r="F1946" i="1"/>
  <c r="D1946" i="1"/>
  <c r="L1946" i="1" s="1"/>
  <c r="K1945" i="1"/>
  <c r="N1945" i="1" s="1"/>
  <c r="J1945" i="1"/>
  <c r="M1945" i="1" s="1"/>
  <c r="G1945" i="1"/>
  <c r="H1946" i="1" s="1"/>
  <c r="F1945" i="1"/>
  <c r="D1945" i="1"/>
  <c r="L1945" i="1" s="1"/>
  <c r="K1944" i="1"/>
  <c r="N1944" i="1" s="1"/>
  <c r="J1944" i="1"/>
  <c r="M1944" i="1" s="1"/>
  <c r="G1944" i="1"/>
  <c r="H1945" i="1" s="1"/>
  <c r="F1944" i="1"/>
  <c r="D1944" i="1"/>
  <c r="L1944" i="1" s="1"/>
  <c r="K1943" i="1"/>
  <c r="N1943" i="1" s="1"/>
  <c r="J1943" i="1"/>
  <c r="M1943" i="1" s="1"/>
  <c r="G1943" i="1"/>
  <c r="H1944" i="1" s="1"/>
  <c r="F1943" i="1"/>
  <c r="D1943" i="1"/>
  <c r="L1943" i="1" s="1"/>
  <c r="K1942" i="1"/>
  <c r="N1942" i="1" s="1"/>
  <c r="J1942" i="1"/>
  <c r="M1942" i="1" s="1"/>
  <c r="G1942" i="1"/>
  <c r="H1943" i="1" s="1"/>
  <c r="F1942" i="1"/>
  <c r="D1942" i="1"/>
  <c r="L1942" i="1" s="1"/>
  <c r="K1941" i="1"/>
  <c r="N1941" i="1" s="1"/>
  <c r="J1941" i="1"/>
  <c r="M1941" i="1" s="1"/>
  <c r="G1941" i="1"/>
  <c r="H1942" i="1" s="1"/>
  <c r="F1941" i="1"/>
  <c r="D1941" i="1"/>
  <c r="L1941" i="1" s="1"/>
  <c r="K1940" i="1"/>
  <c r="N1940" i="1" s="1"/>
  <c r="J1940" i="1"/>
  <c r="M1940" i="1" s="1"/>
  <c r="G1940" i="1"/>
  <c r="H1941" i="1" s="1"/>
  <c r="F1940" i="1"/>
  <c r="D1940" i="1"/>
  <c r="L1940" i="1" s="1"/>
  <c r="K1939" i="1"/>
  <c r="N1939" i="1" s="1"/>
  <c r="J1939" i="1"/>
  <c r="M1939" i="1" s="1"/>
  <c r="G1939" i="1"/>
  <c r="H1940" i="1" s="1"/>
  <c r="F1939" i="1"/>
  <c r="D1939" i="1"/>
  <c r="L1939" i="1" s="1"/>
  <c r="K1938" i="1"/>
  <c r="N1938" i="1" s="1"/>
  <c r="J1938" i="1"/>
  <c r="M1938" i="1" s="1"/>
  <c r="G1938" i="1"/>
  <c r="H1939" i="1" s="1"/>
  <c r="F1938" i="1"/>
  <c r="D1938" i="1"/>
  <c r="L1938" i="1" s="1"/>
  <c r="K1937" i="1"/>
  <c r="N1937" i="1" s="1"/>
  <c r="J1937" i="1"/>
  <c r="M1937" i="1" s="1"/>
  <c r="G1937" i="1"/>
  <c r="H1938" i="1" s="1"/>
  <c r="F1937" i="1"/>
  <c r="D1937" i="1"/>
  <c r="L1937" i="1" s="1"/>
  <c r="K1936" i="1"/>
  <c r="N1936" i="1" s="1"/>
  <c r="J1936" i="1"/>
  <c r="M1936" i="1" s="1"/>
  <c r="G1936" i="1"/>
  <c r="H1937" i="1" s="1"/>
  <c r="F1936" i="1"/>
  <c r="D1936" i="1"/>
  <c r="L1936" i="1" s="1"/>
  <c r="K1935" i="1"/>
  <c r="N1935" i="1" s="1"/>
  <c r="J1935" i="1"/>
  <c r="M1935" i="1" s="1"/>
  <c r="G1935" i="1"/>
  <c r="H1936" i="1" s="1"/>
  <c r="F1935" i="1"/>
  <c r="D1935" i="1"/>
  <c r="L1935" i="1" s="1"/>
  <c r="K1934" i="1"/>
  <c r="N1934" i="1" s="1"/>
  <c r="J1934" i="1"/>
  <c r="M1934" i="1" s="1"/>
  <c r="G1934" i="1"/>
  <c r="H1935" i="1" s="1"/>
  <c r="F1934" i="1"/>
  <c r="D1934" i="1"/>
  <c r="L1934" i="1" s="1"/>
  <c r="K1933" i="1"/>
  <c r="N1933" i="1" s="1"/>
  <c r="J1933" i="1"/>
  <c r="M1933" i="1" s="1"/>
  <c r="G1933" i="1"/>
  <c r="H1934" i="1" s="1"/>
  <c r="F1933" i="1"/>
  <c r="D1933" i="1"/>
  <c r="L1933" i="1" s="1"/>
  <c r="K1932" i="1"/>
  <c r="N1932" i="1" s="1"/>
  <c r="J1932" i="1"/>
  <c r="M1932" i="1" s="1"/>
  <c r="G1932" i="1"/>
  <c r="H1933" i="1" s="1"/>
  <c r="F1932" i="1"/>
  <c r="D1932" i="1"/>
  <c r="L1932" i="1" s="1"/>
  <c r="K1931" i="1"/>
  <c r="N1931" i="1" s="1"/>
  <c r="J1931" i="1"/>
  <c r="M1931" i="1" s="1"/>
  <c r="G1931" i="1"/>
  <c r="H1932" i="1" s="1"/>
  <c r="F1931" i="1"/>
  <c r="D1931" i="1"/>
  <c r="L1931" i="1" s="1"/>
  <c r="K1930" i="1"/>
  <c r="N1930" i="1" s="1"/>
  <c r="J1930" i="1"/>
  <c r="M1930" i="1" s="1"/>
  <c r="G1930" i="1"/>
  <c r="H1931" i="1" s="1"/>
  <c r="F1930" i="1"/>
  <c r="D1930" i="1"/>
  <c r="L1930" i="1" s="1"/>
  <c r="K1929" i="1"/>
  <c r="N1929" i="1" s="1"/>
  <c r="J1929" i="1"/>
  <c r="M1929" i="1" s="1"/>
  <c r="G1929" i="1"/>
  <c r="H1930" i="1" s="1"/>
  <c r="F1929" i="1"/>
  <c r="D1929" i="1"/>
  <c r="L1929" i="1" s="1"/>
  <c r="K1928" i="1"/>
  <c r="N1928" i="1" s="1"/>
  <c r="J1928" i="1"/>
  <c r="M1928" i="1" s="1"/>
  <c r="G1928" i="1"/>
  <c r="H1929" i="1" s="1"/>
  <c r="F1928" i="1"/>
  <c r="D1928" i="1"/>
  <c r="L1928" i="1" s="1"/>
  <c r="K1927" i="1"/>
  <c r="N1927" i="1" s="1"/>
  <c r="J1927" i="1"/>
  <c r="M1927" i="1" s="1"/>
  <c r="G1927" i="1"/>
  <c r="H1928" i="1" s="1"/>
  <c r="F1927" i="1"/>
  <c r="D1927" i="1"/>
  <c r="L1927" i="1" s="1"/>
  <c r="K1926" i="1"/>
  <c r="N1926" i="1" s="1"/>
  <c r="J1926" i="1"/>
  <c r="M1926" i="1" s="1"/>
  <c r="G1926" i="1"/>
  <c r="H1927" i="1" s="1"/>
  <c r="F1926" i="1"/>
  <c r="D1926" i="1"/>
  <c r="L1926" i="1" s="1"/>
  <c r="K1925" i="1"/>
  <c r="N1925" i="1" s="1"/>
  <c r="J1925" i="1"/>
  <c r="M1925" i="1" s="1"/>
  <c r="G1925" i="1"/>
  <c r="H1926" i="1" s="1"/>
  <c r="F1925" i="1"/>
  <c r="D1925" i="1"/>
  <c r="L1925" i="1" s="1"/>
  <c r="K1924" i="1"/>
  <c r="N1924" i="1" s="1"/>
  <c r="J1924" i="1"/>
  <c r="M1924" i="1" s="1"/>
  <c r="G1924" i="1"/>
  <c r="H1925" i="1" s="1"/>
  <c r="F1924" i="1"/>
  <c r="D1924" i="1"/>
  <c r="L1924" i="1" s="1"/>
  <c r="K1923" i="1"/>
  <c r="N1923" i="1" s="1"/>
  <c r="J1923" i="1"/>
  <c r="M1923" i="1" s="1"/>
  <c r="G1923" i="1"/>
  <c r="H1924" i="1" s="1"/>
  <c r="F1923" i="1"/>
  <c r="D1923" i="1"/>
  <c r="L1923" i="1" s="1"/>
  <c r="K1922" i="1"/>
  <c r="N1922" i="1" s="1"/>
  <c r="J1922" i="1"/>
  <c r="M1922" i="1" s="1"/>
  <c r="G1922" i="1"/>
  <c r="H1923" i="1" s="1"/>
  <c r="F1922" i="1"/>
  <c r="D1922" i="1"/>
  <c r="L1922" i="1" s="1"/>
  <c r="K1921" i="1"/>
  <c r="N1921" i="1" s="1"/>
  <c r="J1921" i="1"/>
  <c r="M1921" i="1" s="1"/>
  <c r="G1921" i="1"/>
  <c r="H1922" i="1" s="1"/>
  <c r="F1921" i="1"/>
  <c r="D1921" i="1"/>
  <c r="L1921" i="1" s="1"/>
  <c r="K1920" i="1"/>
  <c r="N1920" i="1" s="1"/>
  <c r="J1920" i="1"/>
  <c r="M1920" i="1" s="1"/>
  <c r="G1920" i="1"/>
  <c r="H1921" i="1" s="1"/>
  <c r="F1920" i="1"/>
  <c r="D1920" i="1"/>
  <c r="L1920" i="1" s="1"/>
  <c r="K1919" i="1"/>
  <c r="N1919" i="1" s="1"/>
  <c r="J1919" i="1"/>
  <c r="M1919" i="1" s="1"/>
  <c r="G1919" i="1"/>
  <c r="H1920" i="1" s="1"/>
  <c r="F1919" i="1"/>
  <c r="D1919" i="1"/>
  <c r="L1919" i="1" s="1"/>
  <c r="K1918" i="1"/>
  <c r="N1918" i="1" s="1"/>
  <c r="J1918" i="1"/>
  <c r="M1918" i="1" s="1"/>
  <c r="G1918" i="1"/>
  <c r="H1919" i="1" s="1"/>
  <c r="F1918" i="1"/>
  <c r="D1918" i="1"/>
  <c r="L1918" i="1" s="1"/>
  <c r="K1917" i="1"/>
  <c r="N1917" i="1" s="1"/>
  <c r="J1917" i="1"/>
  <c r="M1917" i="1" s="1"/>
  <c r="G1917" i="1"/>
  <c r="H1918" i="1" s="1"/>
  <c r="F1917" i="1"/>
  <c r="D1917" i="1"/>
  <c r="L1917" i="1" s="1"/>
  <c r="K1916" i="1"/>
  <c r="N1916" i="1" s="1"/>
  <c r="J1916" i="1"/>
  <c r="M1916" i="1" s="1"/>
  <c r="G1916" i="1"/>
  <c r="H1917" i="1" s="1"/>
  <c r="F1916" i="1"/>
  <c r="D1916" i="1"/>
  <c r="L1916" i="1" s="1"/>
  <c r="K1915" i="1"/>
  <c r="N1915" i="1" s="1"/>
  <c r="J1915" i="1"/>
  <c r="M1915" i="1" s="1"/>
  <c r="G1915" i="1"/>
  <c r="H1916" i="1" s="1"/>
  <c r="F1915" i="1"/>
  <c r="D1915" i="1"/>
  <c r="L1915" i="1" s="1"/>
  <c r="K1914" i="1"/>
  <c r="N1914" i="1" s="1"/>
  <c r="J1914" i="1"/>
  <c r="M1914" i="1" s="1"/>
  <c r="G1914" i="1"/>
  <c r="H1915" i="1" s="1"/>
  <c r="F1914" i="1"/>
  <c r="D1914" i="1"/>
  <c r="L1914" i="1" s="1"/>
  <c r="K1913" i="1"/>
  <c r="N1913" i="1" s="1"/>
  <c r="J1913" i="1"/>
  <c r="M1913" i="1" s="1"/>
  <c r="G1913" i="1"/>
  <c r="H1914" i="1" s="1"/>
  <c r="F1913" i="1"/>
  <c r="D1913" i="1"/>
  <c r="L1913" i="1" s="1"/>
  <c r="K1912" i="1"/>
  <c r="N1912" i="1" s="1"/>
  <c r="J1912" i="1"/>
  <c r="M1912" i="1" s="1"/>
  <c r="G1912" i="1"/>
  <c r="H1913" i="1" s="1"/>
  <c r="F1912" i="1"/>
  <c r="D1912" i="1"/>
  <c r="L1912" i="1" s="1"/>
  <c r="K1911" i="1"/>
  <c r="N1911" i="1" s="1"/>
  <c r="J1911" i="1"/>
  <c r="M1911" i="1" s="1"/>
  <c r="G1911" i="1"/>
  <c r="H1912" i="1" s="1"/>
  <c r="F1911" i="1"/>
  <c r="D1911" i="1"/>
  <c r="L1911" i="1" s="1"/>
  <c r="K1910" i="1"/>
  <c r="N1910" i="1" s="1"/>
  <c r="J1910" i="1"/>
  <c r="M1910" i="1" s="1"/>
  <c r="G1910" i="1"/>
  <c r="H1911" i="1" s="1"/>
  <c r="F1910" i="1"/>
  <c r="D1910" i="1"/>
  <c r="L1910" i="1" s="1"/>
  <c r="K1909" i="1"/>
  <c r="N1909" i="1" s="1"/>
  <c r="J1909" i="1"/>
  <c r="M1909" i="1" s="1"/>
  <c r="G1909" i="1"/>
  <c r="H1910" i="1" s="1"/>
  <c r="F1909" i="1"/>
  <c r="D1909" i="1"/>
  <c r="L1909" i="1" s="1"/>
  <c r="K1908" i="1"/>
  <c r="N1908" i="1" s="1"/>
  <c r="J1908" i="1"/>
  <c r="M1908" i="1" s="1"/>
  <c r="G1908" i="1"/>
  <c r="H1909" i="1" s="1"/>
  <c r="F1908" i="1"/>
  <c r="D1908" i="1"/>
  <c r="L1908" i="1" s="1"/>
  <c r="K1907" i="1"/>
  <c r="N1907" i="1" s="1"/>
  <c r="J1907" i="1"/>
  <c r="M1907" i="1" s="1"/>
  <c r="G1907" i="1"/>
  <c r="H1908" i="1" s="1"/>
  <c r="F1907" i="1"/>
  <c r="D1907" i="1"/>
  <c r="L1907" i="1" s="1"/>
  <c r="K1906" i="1"/>
  <c r="N1906" i="1" s="1"/>
  <c r="J1906" i="1"/>
  <c r="M1906" i="1" s="1"/>
  <c r="G1906" i="1"/>
  <c r="H1907" i="1" s="1"/>
  <c r="F1906" i="1"/>
  <c r="D1906" i="1"/>
  <c r="L1906" i="1" s="1"/>
  <c r="K1905" i="1"/>
  <c r="N1905" i="1" s="1"/>
  <c r="J1905" i="1"/>
  <c r="M1905" i="1" s="1"/>
  <c r="G1905" i="1"/>
  <c r="H1906" i="1" s="1"/>
  <c r="F1905" i="1"/>
  <c r="D1905" i="1"/>
  <c r="L1905" i="1" s="1"/>
  <c r="K1904" i="1"/>
  <c r="N1904" i="1" s="1"/>
  <c r="J1904" i="1"/>
  <c r="M1904" i="1" s="1"/>
  <c r="G1904" i="1"/>
  <c r="H1905" i="1" s="1"/>
  <c r="F1904" i="1"/>
  <c r="D1904" i="1"/>
  <c r="L1904" i="1" s="1"/>
  <c r="K1903" i="1"/>
  <c r="N1903" i="1" s="1"/>
  <c r="J1903" i="1"/>
  <c r="M1903" i="1" s="1"/>
  <c r="G1903" i="1"/>
  <c r="H1904" i="1" s="1"/>
  <c r="F1903" i="1"/>
  <c r="D1903" i="1"/>
  <c r="L1903" i="1" s="1"/>
  <c r="K1902" i="1"/>
  <c r="N1902" i="1" s="1"/>
  <c r="J1902" i="1"/>
  <c r="M1902" i="1" s="1"/>
  <c r="G1902" i="1"/>
  <c r="H1903" i="1" s="1"/>
  <c r="F1902" i="1"/>
  <c r="D1902" i="1"/>
  <c r="L1902" i="1" s="1"/>
  <c r="K1901" i="1"/>
  <c r="N1901" i="1" s="1"/>
  <c r="J1901" i="1"/>
  <c r="M1901" i="1" s="1"/>
  <c r="G1901" i="1"/>
  <c r="H1902" i="1" s="1"/>
  <c r="F1901" i="1"/>
  <c r="D1901" i="1"/>
  <c r="L1901" i="1" s="1"/>
  <c r="K1900" i="1"/>
  <c r="N1900" i="1" s="1"/>
  <c r="J1900" i="1"/>
  <c r="M1900" i="1" s="1"/>
  <c r="G1900" i="1"/>
  <c r="H1901" i="1" s="1"/>
  <c r="F1900" i="1"/>
  <c r="D1900" i="1"/>
  <c r="L1900" i="1" s="1"/>
  <c r="K1899" i="1"/>
  <c r="N1899" i="1" s="1"/>
  <c r="J1899" i="1"/>
  <c r="M1899" i="1" s="1"/>
  <c r="G1899" i="1"/>
  <c r="H1900" i="1" s="1"/>
  <c r="F1899" i="1"/>
  <c r="D1899" i="1"/>
  <c r="L1899" i="1" s="1"/>
  <c r="K1898" i="1"/>
  <c r="N1898" i="1" s="1"/>
  <c r="J1898" i="1"/>
  <c r="M1898" i="1" s="1"/>
  <c r="G1898" i="1"/>
  <c r="H1899" i="1" s="1"/>
  <c r="F1898" i="1"/>
  <c r="D1898" i="1"/>
  <c r="L1898" i="1" s="1"/>
  <c r="K1897" i="1"/>
  <c r="N1897" i="1" s="1"/>
  <c r="J1897" i="1"/>
  <c r="M1897" i="1" s="1"/>
  <c r="G1897" i="1"/>
  <c r="H1898" i="1" s="1"/>
  <c r="F1897" i="1"/>
  <c r="D1897" i="1"/>
  <c r="L1897" i="1" s="1"/>
  <c r="K1896" i="1"/>
  <c r="N1896" i="1" s="1"/>
  <c r="J1896" i="1"/>
  <c r="M1896" i="1" s="1"/>
  <c r="G1896" i="1"/>
  <c r="H1897" i="1" s="1"/>
  <c r="F1896" i="1"/>
  <c r="D1896" i="1"/>
  <c r="L1896" i="1" s="1"/>
  <c r="K1895" i="1"/>
  <c r="N1895" i="1" s="1"/>
  <c r="J1895" i="1"/>
  <c r="M1895" i="1" s="1"/>
  <c r="G1895" i="1"/>
  <c r="H1896" i="1" s="1"/>
  <c r="F1895" i="1"/>
  <c r="D1895" i="1"/>
  <c r="L1895" i="1" s="1"/>
  <c r="K1894" i="1"/>
  <c r="N1894" i="1" s="1"/>
  <c r="J1894" i="1"/>
  <c r="M1894" i="1" s="1"/>
  <c r="G1894" i="1"/>
  <c r="H1895" i="1" s="1"/>
  <c r="F1894" i="1"/>
  <c r="D1894" i="1"/>
  <c r="L1894" i="1" s="1"/>
  <c r="K1893" i="1"/>
  <c r="N1893" i="1" s="1"/>
  <c r="J1893" i="1"/>
  <c r="M1893" i="1" s="1"/>
  <c r="G1893" i="1"/>
  <c r="H1894" i="1" s="1"/>
  <c r="F1893" i="1"/>
  <c r="D1893" i="1"/>
  <c r="L1893" i="1" s="1"/>
  <c r="K1892" i="1"/>
  <c r="N1892" i="1" s="1"/>
  <c r="J1892" i="1"/>
  <c r="M1892" i="1" s="1"/>
  <c r="G1892" i="1"/>
  <c r="H1893" i="1" s="1"/>
  <c r="F1892" i="1"/>
  <c r="D1892" i="1"/>
  <c r="L1892" i="1" s="1"/>
  <c r="K1891" i="1"/>
  <c r="N1891" i="1" s="1"/>
  <c r="J1891" i="1"/>
  <c r="M1891" i="1" s="1"/>
  <c r="G1891" i="1"/>
  <c r="H1892" i="1" s="1"/>
  <c r="F1891" i="1"/>
  <c r="D1891" i="1"/>
  <c r="L1891" i="1" s="1"/>
  <c r="K1890" i="1"/>
  <c r="N1890" i="1" s="1"/>
  <c r="J1890" i="1"/>
  <c r="M1890" i="1" s="1"/>
  <c r="G1890" i="1"/>
  <c r="H1891" i="1" s="1"/>
  <c r="F1890" i="1"/>
  <c r="D1890" i="1"/>
  <c r="L1890" i="1" s="1"/>
  <c r="K1889" i="1"/>
  <c r="N1889" i="1" s="1"/>
  <c r="J1889" i="1"/>
  <c r="M1889" i="1" s="1"/>
  <c r="G1889" i="1"/>
  <c r="H1890" i="1" s="1"/>
  <c r="F1889" i="1"/>
  <c r="D1889" i="1"/>
  <c r="L1889" i="1" s="1"/>
  <c r="K1888" i="1"/>
  <c r="N1888" i="1" s="1"/>
  <c r="J1888" i="1"/>
  <c r="M1888" i="1" s="1"/>
  <c r="G1888" i="1"/>
  <c r="H1889" i="1" s="1"/>
  <c r="F1888" i="1"/>
  <c r="D1888" i="1"/>
  <c r="L1888" i="1" s="1"/>
  <c r="K1887" i="1"/>
  <c r="N1887" i="1" s="1"/>
  <c r="J1887" i="1"/>
  <c r="M1887" i="1" s="1"/>
  <c r="G1887" i="1"/>
  <c r="H1888" i="1" s="1"/>
  <c r="F1887" i="1"/>
  <c r="D1887" i="1"/>
  <c r="L1887" i="1" s="1"/>
  <c r="K1886" i="1"/>
  <c r="N1886" i="1" s="1"/>
  <c r="J1886" i="1"/>
  <c r="M1886" i="1" s="1"/>
  <c r="G1886" i="1"/>
  <c r="H1887" i="1" s="1"/>
  <c r="F1886" i="1"/>
  <c r="D1886" i="1"/>
  <c r="L1886" i="1" s="1"/>
  <c r="K1885" i="1"/>
  <c r="N1885" i="1" s="1"/>
  <c r="J1885" i="1"/>
  <c r="M1885" i="1" s="1"/>
  <c r="G1885" i="1"/>
  <c r="H1886" i="1" s="1"/>
  <c r="F1885" i="1"/>
  <c r="D1885" i="1"/>
  <c r="L1885" i="1" s="1"/>
  <c r="K1884" i="1"/>
  <c r="N1884" i="1" s="1"/>
  <c r="J1884" i="1"/>
  <c r="M1884" i="1" s="1"/>
  <c r="G1884" i="1"/>
  <c r="H1885" i="1" s="1"/>
  <c r="F1884" i="1"/>
  <c r="D1884" i="1"/>
  <c r="L1884" i="1" s="1"/>
  <c r="K1883" i="1"/>
  <c r="N1883" i="1" s="1"/>
  <c r="J1883" i="1"/>
  <c r="M1883" i="1" s="1"/>
  <c r="G1883" i="1"/>
  <c r="H1884" i="1" s="1"/>
  <c r="F1883" i="1"/>
  <c r="D1883" i="1"/>
  <c r="L1883" i="1" s="1"/>
  <c r="K1882" i="1"/>
  <c r="N1882" i="1" s="1"/>
  <c r="J1882" i="1"/>
  <c r="M1882" i="1" s="1"/>
  <c r="G1882" i="1"/>
  <c r="H1883" i="1" s="1"/>
  <c r="F1882" i="1"/>
  <c r="D1882" i="1"/>
  <c r="L1882" i="1" s="1"/>
  <c r="K1881" i="1"/>
  <c r="N1881" i="1" s="1"/>
  <c r="J1881" i="1"/>
  <c r="M1881" i="1" s="1"/>
  <c r="G1881" i="1"/>
  <c r="H1882" i="1" s="1"/>
  <c r="F1881" i="1"/>
  <c r="D1881" i="1"/>
  <c r="L1881" i="1" s="1"/>
  <c r="K1880" i="1"/>
  <c r="N1880" i="1" s="1"/>
  <c r="J1880" i="1"/>
  <c r="M1880" i="1" s="1"/>
  <c r="G1880" i="1"/>
  <c r="H1881" i="1" s="1"/>
  <c r="F1880" i="1"/>
  <c r="D1880" i="1"/>
  <c r="L1880" i="1" s="1"/>
  <c r="K1879" i="1"/>
  <c r="N1879" i="1" s="1"/>
  <c r="J1879" i="1"/>
  <c r="M1879" i="1" s="1"/>
  <c r="G1879" i="1"/>
  <c r="H1880" i="1" s="1"/>
  <c r="F1879" i="1"/>
  <c r="D1879" i="1"/>
  <c r="L1879" i="1" s="1"/>
  <c r="K1878" i="1"/>
  <c r="N1878" i="1" s="1"/>
  <c r="J1878" i="1"/>
  <c r="M1878" i="1" s="1"/>
  <c r="G1878" i="1"/>
  <c r="H1879" i="1" s="1"/>
  <c r="F1878" i="1"/>
  <c r="D1878" i="1"/>
  <c r="L1878" i="1" s="1"/>
  <c r="K1877" i="1"/>
  <c r="N1877" i="1" s="1"/>
  <c r="J1877" i="1"/>
  <c r="M1877" i="1" s="1"/>
  <c r="G1877" i="1"/>
  <c r="H1878" i="1" s="1"/>
  <c r="F1877" i="1"/>
  <c r="D1877" i="1"/>
  <c r="L1877" i="1" s="1"/>
  <c r="K1876" i="1"/>
  <c r="N1876" i="1" s="1"/>
  <c r="J1876" i="1"/>
  <c r="M1876" i="1" s="1"/>
  <c r="G1876" i="1"/>
  <c r="H1877" i="1" s="1"/>
  <c r="F1876" i="1"/>
  <c r="D1876" i="1"/>
  <c r="L1876" i="1" s="1"/>
  <c r="K1875" i="1"/>
  <c r="N1875" i="1" s="1"/>
  <c r="J1875" i="1"/>
  <c r="M1875" i="1" s="1"/>
  <c r="G1875" i="1"/>
  <c r="H1876" i="1" s="1"/>
  <c r="F1875" i="1"/>
  <c r="D1875" i="1"/>
  <c r="L1875" i="1" s="1"/>
  <c r="K1874" i="1"/>
  <c r="N1874" i="1" s="1"/>
  <c r="J1874" i="1"/>
  <c r="M1874" i="1" s="1"/>
  <c r="G1874" i="1"/>
  <c r="H1875" i="1" s="1"/>
  <c r="F1874" i="1"/>
  <c r="D1874" i="1"/>
  <c r="L1874" i="1" s="1"/>
  <c r="K1873" i="1"/>
  <c r="N1873" i="1" s="1"/>
  <c r="J1873" i="1"/>
  <c r="M1873" i="1" s="1"/>
  <c r="G1873" i="1"/>
  <c r="H1874" i="1" s="1"/>
  <c r="F1873" i="1"/>
  <c r="D1873" i="1"/>
  <c r="L1873" i="1" s="1"/>
  <c r="K1872" i="1"/>
  <c r="N1872" i="1" s="1"/>
  <c r="J1872" i="1"/>
  <c r="M1872" i="1" s="1"/>
  <c r="G1872" i="1"/>
  <c r="H1873" i="1" s="1"/>
  <c r="F1872" i="1"/>
  <c r="D1872" i="1"/>
  <c r="L1872" i="1" s="1"/>
  <c r="K1871" i="1"/>
  <c r="N1871" i="1" s="1"/>
  <c r="J1871" i="1"/>
  <c r="M1871" i="1" s="1"/>
  <c r="G1871" i="1"/>
  <c r="H1872" i="1" s="1"/>
  <c r="F1871" i="1"/>
  <c r="D1871" i="1"/>
  <c r="L1871" i="1" s="1"/>
  <c r="K1870" i="1"/>
  <c r="N1870" i="1" s="1"/>
  <c r="J1870" i="1"/>
  <c r="M1870" i="1" s="1"/>
  <c r="G1870" i="1"/>
  <c r="H1871" i="1" s="1"/>
  <c r="F1870" i="1"/>
  <c r="D1870" i="1"/>
  <c r="L1870" i="1" s="1"/>
  <c r="K1869" i="1"/>
  <c r="N1869" i="1" s="1"/>
  <c r="J1869" i="1"/>
  <c r="M1869" i="1" s="1"/>
  <c r="G1869" i="1"/>
  <c r="H1870" i="1" s="1"/>
  <c r="F1869" i="1"/>
  <c r="D1869" i="1"/>
  <c r="L1869" i="1" s="1"/>
  <c r="K1868" i="1"/>
  <c r="N1868" i="1" s="1"/>
  <c r="J1868" i="1"/>
  <c r="M1868" i="1" s="1"/>
  <c r="G1868" i="1"/>
  <c r="H1869" i="1" s="1"/>
  <c r="F1868" i="1"/>
  <c r="D1868" i="1"/>
  <c r="L1868" i="1" s="1"/>
  <c r="K1867" i="1"/>
  <c r="N1867" i="1" s="1"/>
  <c r="J1867" i="1"/>
  <c r="M1867" i="1" s="1"/>
  <c r="G1867" i="1"/>
  <c r="H1868" i="1" s="1"/>
  <c r="F1867" i="1"/>
  <c r="D1867" i="1"/>
  <c r="L1867" i="1" s="1"/>
  <c r="K1866" i="1"/>
  <c r="N1866" i="1" s="1"/>
  <c r="J1866" i="1"/>
  <c r="M1866" i="1" s="1"/>
  <c r="G1866" i="1"/>
  <c r="H1867" i="1" s="1"/>
  <c r="F1866" i="1"/>
  <c r="D1866" i="1"/>
  <c r="L1866" i="1" s="1"/>
  <c r="K1865" i="1"/>
  <c r="N1865" i="1" s="1"/>
  <c r="J1865" i="1"/>
  <c r="M1865" i="1" s="1"/>
  <c r="G1865" i="1"/>
  <c r="H1866" i="1" s="1"/>
  <c r="F1865" i="1"/>
  <c r="D1865" i="1"/>
  <c r="L1865" i="1" s="1"/>
  <c r="K1864" i="1"/>
  <c r="N1864" i="1" s="1"/>
  <c r="J1864" i="1"/>
  <c r="M1864" i="1" s="1"/>
  <c r="G1864" i="1"/>
  <c r="H1865" i="1" s="1"/>
  <c r="F1864" i="1"/>
  <c r="D1864" i="1"/>
  <c r="L1864" i="1" s="1"/>
  <c r="K1863" i="1"/>
  <c r="N1863" i="1" s="1"/>
  <c r="J1863" i="1"/>
  <c r="M1863" i="1" s="1"/>
  <c r="G1863" i="1"/>
  <c r="H1864" i="1" s="1"/>
  <c r="F1863" i="1"/>
  <c r="D1863" i="1"/>
  <c r="L1863" i="1" s="1"/>
  <c r="K1862" i="1"/>
  <c r="N1862" i="1" s="1"/>
  <c r="J1862" i="1"/>
  <c r="M1862" i="1" s="1"/>
  <c r="G1862" i="1"/>
  <c r="H1863" i="1" s="1"/>
  <c r="F1862" i="1"/>
  <c r="D1862" i="1"/>
  <c r="L1862" i="1" s="1"/>
  <c r="K1861" i="1"/>
  <c r="N1861" i="1" s="1"/>
  <c r="J1861" i="1"/>
  <c r="M1861" i="1" s="1"/>
  <c r="G1861" i="1"/>
  <c r="H1862" i="1" s="1"/>
  <c r="F1861" i="1"/>
  <c r="D1861" i="1"/>
  <c r="L1861" i="1" s="1"/>
  <c r="K1860" i="1"/>
  <c r="N1860" i="1" s="1"/>
  <c r="J1860" i="1"/>
  <c r="M1860" i="1" s="1"/>
  <c r="G1860" i="1"/>
  <c r="H1861" i="1" s="1"/>
  <c r="F1860" i="1"/>
  <c r="D1860" i="1"/>
  <c r="L1860" i="1" s="1"/>
  <c r="K1859" i="1"/>
  <c r="N1859" i="1" s="1"/>
  <c r="J1859" i="1"/>
  <c r="M1859" i="1" s="1"/>
  <c r="G1859" i="1"/>
  <c r="H1860" i="1" s="1"/>
  <c r="F1859" i="1"/>
  <c r="D1859" i="1"/>
  <c r="L1859" i="1" s="1"/>
  <c r="K1858" i="1"/>
  <c r="N1858" i="1" s="1"/>
  <c r="J1858" i="1"/>
  <c r="M1858" i="1" s="1"/>
  <c r="G1858" i="1"/>
  <c r="H1859" i="1" s="1"/>
  <c r="F1858" i="1"/>
  <c r="D1858" i="1"/>
  <c r="L1858" i="1" s="1"/>
  <c r="K1857" i="1"/>
  <c r="N1857" i="1" s="1"/>
  <c r="J1857" i="1"/>
  <c r="M1857" i="1" s="1"/>
  <c r="G1857" i="1"/>
  <c r="H1858" i="1" s="1"/>
  <c r="F1857" i="1"/>
  <c r="D1857" i="1"/>
  <c r="L1857" i="1" s="1"/>
  <c r="K1856" i="1"/>
  <c r="N1856" i="1" s="1"/>
  <c r="J1856" i="1"/>
  <c r="M1856" i="1" s="1"/>
  <c r="G1856" i="1"/>
  <c r="H1857" i="1" s="1"/>
  <c r="F1856" i="1"/>
  <c r="D1856" i="1"/>
  <c r="L1856" i="1" s="1"/>
  <c r="K1855" i="1"/>
  <c r="N1855" i="1" s="1"/>
  <c r="J1855" i="1"/>
  <c r="M1855" i="1" s="1"/>
  <c r="G1855" i="1"/>
  <c r="H1856" i="1" s="1"/>
  <c r="F1855" i="1"/>
  <c r="D1855" i="1"/>
  <c r="L1855" i="1" s="1"/>
  <c r="K1854" i="1"/>
  <c r="N1854" i="1" s="1"/>
  <c r="J1854" i="1"/>
  <c r="M1854" i="1" s="1"/>
  <c r="G1854" i="1"/>
  <c r="H1855" i="1" s="1"/>
  <c r="F1854" i="1"/>
  <c r="D1854" i="1"/>
  <c r="L1854" i="1" s="1"/>
  <c r="K1853" i="1"/>
  <c r="N1853" i="1" s="1"/>
  <c r="J1853" i="1"/>
  <c r="M1853" i="1" s="1"/>
  <c r="G1853" i="1"/>
  <c r="H1854" i="1" s="1"/>
  <c r="F1853" i="1"/>
  <c r="D1853" i="1"/>
  <c r="L1853" i="1" s="1"/>
  <c r="K1852" i="1"/>
  <c r="N1852" i="1" s="1"/>
  <c r="J1852" i="1"/>
  <c r="M1852" i="1" s="1"/>
  <c r="G1852" i="1"/>
  <c r="H1853" i="1" s="1"/>
  <c r="F1852" i="1"/>
  <c r="D1852" i="1"/>
  <c r="L1852" i="1" s="1"/>
  <c r="K1851" i="1"/>
  <c r="N1851" i="1" s="1"/>
  <c r="J1851" i="1"/>
  <c r="M1851" i="1" s="1"/>
  <c r="G1851" i="1"/>
  <c r="H1852" i="1" s="1"/>
  <c r="F1851" i="1"/>
  <c r="D1851" i="1"/>
  <c r="L1851" i="1" s="1"/>
  <c r="K1850" i="1"/>
  <c r="N1850" i="1" s="1"/>
  <c r="J1850" i="1"/>
  <c r="M1850" i="1" s="1"/>
  <c r="G1850" i="1"/>
  <c r="H1851" i="1" s="1"/>
  <c r="F1850" i="1"/>
  <c r="D1850" i="1"/>
  <c r="L1850" i="1" s="1"/>
  <c r="K1849" i="1"/>
  <c r="N1849" i="1" s="1"/>
  <c r="J1849" i="1"/>
  <c r="M1849" i="1" s="1"/>
  <c r="G1849" i="1"/>
  <c r="H1850" i="1" s="1"/>
  <c r="F1849" i="1"/>
  <c r="D1849" i="1"/>
  <c r="L1849" i="1" s="1"/>
  <c r="K1848" i="1"/>
  <c r="N1848" i="1" s="1"/>
  <c r="J1848" i="1"/>
  <c r="M1848" i="1" s="1"/>
  <c r="G1848" i="1"/>
  <c r="H1849" i="1" s="1"/>
  <c r="F1848" i="1"/>
  <c r="D1848" i="1"/>
  <c r="L1848" i="1" s="1"/>
  <c r="K1847" i="1"/>
  <c r="N1847" i="1" s="1"/>
  <c r="J1847" i="1"/>
  <c r="M1847" i="1" s="1"/>
  <c r="G1847" i="1"/>
  <c r="H1848" i="1" s="1"/>
  <c r="F1847" i="1"/>
  <c r="D1847" i="1"/>
  <c r="L1847" i="1" s="1"/>
  <c r="K1846" i="1"/>
  <c r="N1846" i="1" s="1"/>
  <c r="J1846" i="1"/>
  <c r="M1846" i="1" s="1"/>
  <c r="G1846" i="1"/>
  <c r="H1847" i="1" s="1"/>
  <c r="F1846" i="1"/>
  <c r="D1846" i="1"/>
  <c r="L1846" i="1" s="1"/>
  <c r="K1845" i="1"/>
  <c r="N1845" i="1" s="1"/>
  <c r="J1845" i="1"/>
  <c r="M1845" i="1" s="1"/>
  <c r="G1845" i="1"/>
  <c r="H1846" i="1" s="1"/>
  <c r="F1845" i="1"/>
  <c r="D1845" i="1"/>
  <c r="L1845" i="1" s="1"/>
  <c r="K1844" i="1"/>
  <c r="N1844" i="1" s="1"/>
  <c r="J1844" i="1"/>
  <c r="M1844" i="1" s="1"/>
  <c r="G1844" i="1"/>
  <c r="H1845" i="1" s="1"/>
  <c r="F1844" i="1"/>
  <c r="D1844" i="1"/>
  <c r="L1844" i="1" s="1"/>
  <c r="K1843" i="1"/>
  <c r="N1843" i="1" s="1"/>
  <c r="J1843" i="1"/>
  <c r="M1843" i="1" s="1"/>
  <c r="G1843" i="1"/>
  <c r="H1844" i="1" s="1"/>
  <c r="F1843" i="1"/>
  <c r="D1843" i="1"/>
  <c r="L1843" i="1" s="1"/>
  <c r="K1842" i="1"/>
  <c r="N1842" i="1" s="1"/>
  <c r="J1842" i="1"/>
  <c r="M1842" i="1" s="1"/>
  <c r="G1842" i="1"/>
  <c r="H1843" i="1" s="1"/>
  <c r="F1842" i="1"/>
  <c r="D1842" i="1"/>
  <c r="L1842" i="1" s="1"/>
  <c r="K1841" i="1"/>
  <c r="N1841" i="1" s="1"/>
  <c r="J1841" i="1"/>
  <c r="M1841" i="1" s="1"/>
  <c r="G1841" i="1"/>
  <c r="H1842" i="1" s="1"/>
  <c r="F1841" i="1"/>
  <c r="D1841" i="1"/>
  <c r="L1841" i="1" s="1"/>
  <c r="K1840" i="1"/>
  <c r="N1840" i="1" s="1"/>
  <c r="J1840" i="1"/>
  <c r="M1840" i="1" s="1"/>
  <c r="G1840" i="1"/>
  <c r="H1841" i="1" s="1"/>
  <c r="F1840" i="1"/>
  <c r="D1840" i="1"/>
  <c r="L1840" i="1" s="1"/>
  <c r="K1839" i="1"/>
  <c r="N1839" i="1" s="1"/>
  <c r="J1839" i="1"/>
  <c r="M1839" i="1" s="1"/>
  <c r="G1839" i="1"/>
  <c r="H1840" i="1" s="1"/>
  <c r="F1839" i="1"/>
  <c r="D1839" i="1"/>
  <c r="L1839" i="1" s="1"/>
  <c r="K1838" i="1"/>
  <c r="N1838" i="1" s="1"/>
  <c r="J1838" i="1"/>
  <c r="M1838" i="1" s="1"/>
  <c r="G1838" i="1"/>
  <c r="H1839" i="1" s="1"/>
  <c r="F1838" i="1"/>
  <c r="D1838" i="1"/>
  <c r="L1838" i="1" s="1"/>
  <c r="K1837" i="1"/>
  <c r="N1837" i="1" s="1"/>
  <c r="J1837" i="1"/>
  <c r="M1837" i="1" s="1"/>
  <c r="G1837" i="1"/>
  <c r="H1838" i="1" s="1"/>
  <c r="F1837" i="1"/>
  <c r="D1837" i="1"/>
  <c r="L1837" i="1" s="1"/>
  <c r="K1836" i="1"/>
  <c r="N1836" i="1" s="1"/>
  <c r="J1836" i="1"/>
  <c r="M1836" i="1" s="1"/>
  <c r="G1836" i="1"/>
  <c r="H1837" i="1" s="1"/>
  <c r="F1836" i="1"/>
  <c r="D1836" i="1"/>
  <c r="L1836" i="1" s="1"/>
  <c r="K1835" i="1"/>
  <c r="N1835" i="1" s="1"/>
  <c r="J1835" i="1"/>
  <c r="M1835" i="1" s="1"/>
  <c r="G1835" i="1"/>
  <c r="H1836" i="1" s="1"/>
  <c r="F1835" i="1"/>
  <c r="D1835" i="1"/>
  <c r="L1835" i="1" s="1"/>
  <c r="K1834" i="1"/>
  <c r="N1834" i="1" s="1"/>
  <c r="J1834" i="1"/>
  <c r="M1834" i="1" s="1"/>
  <c r="G1834" i="1"/>
  <c r="H1835" i="1" s="1"/>
  <c r="F1834" i="1"/>
  <c r="D1834" i="1"/>
  <c r="L1834" i="1" s="1"/>
  <c r="K1833" i="1"/>
  <c r="N1833" i="1" s="1"/>
  <c r="J1833" i="1"/>
  <c r="M1833" i="1" s="1"/>
  <c r="G1833" i="1"/>
  <c r="H1834" i="1" s="1"/>
  <c r="F1833" i="1"/>
  <c r="D1833" i="1"/>
  <c r="L1833" i="1" s="1"/>
  <c r="K1832" i="1"/>
  <c r="N1832" i="1" s="1"/>
  <c r="J1832" i="1"/>
  <c r="M1832" i="1" s="1"/>
  <c r="G1832" i="1"/>
  <c r="H1833" i="1" s="1"/>
  <c r="F1832" i="1"/>
  <c r="D1832" i="1"/>
  <c r="L1832" i="1" s="1"/>
  <c r="K1831" i="1"/>
  <c r="N1831" i="1" s="1"/>
  <c r="J1831" i="1"/>
  <c r="M1831" i="1" s="1"/>
  <c r="G1831" i="1"/>
  <c r="H1832" i="1" s="1"/>
  <c r="F1831" i="1"/>
  <c r="D1831" i="1"/>
  <c r="L1831" i="1" s="1"/>
  <c r="K1830" i="1"/>
  <c r="N1830" i="1" s="1"/>
  <c r="J1830" i="1"/>
  <c r="M1830" i="1" s="1"/>
  <c r="G1830" i="1"/>
  <c r="H1831" i="1" s="1"/>
  <c r="F1830" i="1"/>
  <c r="D1830" i="1"/>
  <c r="L1830" i="1" s="1"/>
  <c r="K1829" i="1"/>
  <c r="N1829" i="1" s="1"/>
  <c r="J1829" i="1"/>
  <c r="M1829" i="1" s="1"/>
  <c r="G1829" i="1"/>
  <c r="H1830" i="1" s="1"/>
  <c r="F1829" i="1"/>
  <c r="D1829" i="1"/>
  <c r="L1829" i="1" s="1"/>
  <c r="K1828" i="1"/>
  <c r="N1828" i="1" s="1"/>
  <c r="J1828" i="1"/>
  <c r="M1828" i="1" s="1"/>
  <c r="G1828" i="1"/>
  <c r="H1829" i="1" s="1"/>
  <c r="F1828" i="1"/>
  <c r="D1828" i="1"/>
  <c r="L1828" i="1" s="1"/>
  <c r="K1827" i="1"/>
  <c r="N1827" i="1" s="1"/>
  <c r="J1827" i="1"/>
  <c r="M1827" i="1" s="1"/>
  <c r="G1827" i="1"/>
  <c r="H1828" i="1" s="1"/>
  <c r="F1827" i="1"/>
  <c r="D1827" i="1"/>
  <c r="L1827" i="1" s="1"/>
  <c r="K1826" i="1"/>
  <c r="N1826" i="1" s="1"/>
  <c r="J1826" i="1"/>
  <c r="M1826" i="1" s="1"/>
  <c r="G1826" i="1"/>
  <c r="H1827" i="1" s="1"/>
  <c r="F1826" i="1"/>
  <c r="D1826" i="1"/>
  <c r="L1826" i="1" s="1"/>
  <c r="K1825" i="1"/>
  <c r="N1825" i="1" s="1"/>
  <c r="J1825" i="1"/>
  <c r="M1825" i="1" s="1"/>
  <c r="G1825" i="1"/>
  <c r="H1826" i="1" s="1"/>
  <c r="F1825" i="1"/>
  <c r="D1825" i="1"/>
  <c r="L1825" i="1" s="1"/>
  <c r="K1824" i="1"/>
  <c r="N1824" i="1" s="1"/>
  <c r="J1824" i="1"/>
  <c r="M1824" i="1" s="1"/>
  <c r="G1824" i="1"/>
  <c r="H1825" i="1" s="1"/>
  <c r="F1824" i="1"/>
  <c r="D1824" i="1"/>
  <c r="L1824" i="1" s="1"/>
  <c r="K1823" i="1"/>
  <c r="N1823" i="1" s="1"/>
  <c r="J1823" i="1"/>
  <c r="M1823" i="1" s="1"/>
  <c r="G1823" i="1"/>
  <c r="H1824" i="1" s="1"/>
  <c r="F1823" i="1"/>
  <c r="D1823" i="1"/>
  <c r="L1823" i="1" s="1"/>
  <c r="K1822" i="1"/>
  <c r="N1822" i="1" s="1"/>
  <c r="J1822" i="1"/>
  <c r="M1822" i="1" s="1"/>
  <c r="G1822" i="1"/>
  <c r="H1823" i="1" s="1"/>
  <c r="F1822" i="1"/>
  <c r="D1822" i="1"/>
  <c r="L1822" i="1" s="1"/>
  <c r="K1821" i="1"/>
  <c r="N1821" i="1" s="1"/>
  <c r="J1821" i="1"/>
  <c r="M1821" i="1" s="1"/>
  <c r="G1821" i="1"/>
  <c r="H1822" i="1" s="1"/>
  <c r="F1821" i="1"/>
  <c r="D1821" i="1"/>
  <c r="L1821" i="1" s="1"/>
  <c r="K1820" i="1"/>
  <c r="N1820" i="1" s="1"/>
  <c r="J1820" i="1"/>
  <c r="M1820" i="1" s="1"/>
  <c r="G1820" i="1"/>
  <c r="H1821" i="1" s="1"/>
  <c r="F1820" i="1"/>
  <c r="D1820" i="1"/>
  <c r="L1820" i="1" s="1"/>
  <c r="K1819" i="1"/>
  <c r="N1819" i="1" s="1"/>
  <c r="J1819" i="1"/>
  <c r="M1819" i="1" s="1"/>
  <c r="G1819" i="1"/>
  <c r="H1820" i="1" s="1"/>
  <c r="F1819" i="1"/>
  <c r="D1819" i="1"/>
  <c r="L1819" i="1" s="1"/>
  <c r="K1818" i="1"/>
  <c r="N1818" i="1" s="1"/>
  <c r="J1818" i="1"/>
  <c r="M1818" i="1" s="1"/>
  <c r="G1818" i="1"/>
  <c r="H1819" i="1" s="1"/>
  <c r="F1818" i="1"/>
  <c r="D1818" i="1"/>
  <c r="L1818" i="1" s="1"/>
  <c r="K1817" i="1"/>
  <c r="N1817" i="1" s="1"/>
  <c r="J1817" i="1"/>
  <c r="M1817" i="1" s="1"/>
  <c r="G1817" i="1"/>
  <c r="H1818" i="1" s="1"/>
  <c r="F1817" i="1"/>
  <c r="D1817" i="1"/>
  <c r="L1817" i="1" s="1"/>
  <c r="K1816" i="1"/>
  <c r="N1816" i="1" s="1"/>
  <c r="J1816" i="1"/>
  <c r="M1816" i="1" s="1"/>
  <c r="G1816" i="1"/>
  <c r="H1817" i="1" s="1"/>
  <c r="F1816" i="1"/>
  <c r="D1816" i="1"/>
  <c r="L1816" i="1" s="1"/>
  <c r="K1815" i="1"/>
  <c r="N1815" i="1" s="1"/>
  <c r="J1815" i="1"/>
  <c r="M1815" i="1" s="1"/>
  <c r="G1815" i="1"/>
  <c r="H1816" i="1" s="1"/>
  <c r="F1815" i="1"/>
  <c r="D1815" i="1"/>
  <c r="L1815" i="1" s="1"/>
  <c r="K1814" i="1"/>
  <c r="N1814" i="1" s="1"/>
  <c r="J1814" i="1"/>
  <c r="M1814" i="1" s="1"/>
  <c r="G1814" i="1"/>
  <c r="H1815" i="1" s="1"/>
  <c r="F1814" i="1"/>
  <c r="D1814" i="1"/>
  <c r="L1814" i="1" s="1"/>
  <c r="K1813" i="1"/>
  <c r="N1813" i="1" s="1"/>
  <c r="J1813" i="1"/>
  <c r="M1813" i="1" s="1"/>
  <c r="G1813" i="1"/>
  <c r="H1814" i="1" s="1"/>
  <c r="F1813" i="1"/>
  <c r="D1813" i="1"/>
  <c r="L1813" i="1" s="1"/>
  <c r="K1812" i="1"/>
  <c r="N1812" i="1" s="1"/>
  <c r="J1812" i="1"/>
  <c r="M1812" i="1" s="1"/>
  <c r="G1812" i="1"/>
  <c r="H1813" i="1" s="1"/>
  <c r="F1812" i="1"/>
  <c r="D1812" i="1"/>
  <c r="L1812" i="1" s="1"/>
  <c r="K1811" i="1"/>
  <c r="N1811" i="1" s="1"/>
  <c r="J1811" i="1"/>
  <c r="M1811" i="1" s="1"/>
  <c r="G1811" i="1"/>
  <c r="H1812" i="1" s="1"/>
  <c r="F1811" i="1"/>
  <c r="D1811" i="1"/>
  <c r="L1811" i="1" s="1"/>
  <c r="K1810" i="1"/>
  <c r="N1810" i="1" s="1"/>
  <c r="J1810" i="1"/>
  <c r="M1810" i="1" s="1"/>
  <c r="G1810" i="1"/>
  <c r="H1811" i="1" s="1"/>
  <c r="F1810" i="1"/>
  <c r="D1810" i="1"/>
  <c r="L1810" i="1" s="1"/>
  <c r="K1809" i="1"/>
  <c r="N1809" i="1" s="1"/>
  <c r="J1809" i="1"/>
  <c r="M1809" i="1" s="1"/>
  <c r="G1809" i="1"/>
  <c r="H1810" i="1" s="1"/>
  <c r="F1809" i="1"/>
  <c r="D1809" i="1"/>
  <c r="L1809" i="1" s="1"/>
  <c r="K1808" i="1"/>
  <c r="N1808" i="1" s="1"/>
  <c r="J1808" i="1"/>
  <c r="M1808" i="1" s="1"/>
  <c r="G1808" i="1"/>
  <c r="H1809" i="1" s="1"/>
  <c r="F1808" i="1"/>
  <c r="D1808" i="1"/>
  <c r="L1808" i="1" s="1"/>
  <c r="K1807" i="1"/>
  <c r="N1807" i="1" s="1"/>
  <c r="J1807" i="1"/>
  <c r="M1807" i="1" s="1"/>
  <c r="G1807" i="1"/>
  <c r="H1808" i="1" s="1"/>
  <c r="F1807" i="1"/>
  <c r="D1807" i="1"/>
  <c r="L1807" i="1" s="1"/>
  <c r="K1806" i="1"/>
  <c r="N1806" i="1" s="1"/>
  <c r="J1806" i="1"/>
  <c r="M1806" i="1" s="1"/>
  <c r="G1806" i="1"/>
  <c r="H1807" i="1" s="1"/>
  <c r="F1806" i="1"/>
  <c r="D1806" i="1"/>
  <c r="L1806" i="1" s="1"/>
  <c r="K1805" i="1"/>
  <c r="N1805" i="1" s="1"/>
  <c r="J1805" i="1"/>
  <c r="M1805" i="1" s="1"/>
  <c r="G1805" i="1"/>
  <c r="H1806" i="1" s="1"/>
  <c r="F1805" i="1"/>
  <c r="D1805" i="1"/>
  <c r="L1805" i="1" s="1"/>
  <c r="K1804" i="1"/>
  <c r="N1804" i="1" s="1"/>
  <c r="J1804" i="1"/>
  <c r="M1804" i="1" s="1"/>
  <c r="G1804" i="1"/>
  <c r="H1805" i="1" s="1"/>
  <c r="F1804" i="1"/>
  <c r="D1804" i="1"/>
  <c r="L1804" i="1" s="1"/>
  <c r="K1803" i="1"/>
  <c r="N1803" i="1" s="1"/>
  <c r="J1803" i="1"/>
  <c r="M1803" i="1" s="1"/>
  <c r="G1803" i="1"/>
  <c r="H1804" i="1" s="1"/>
  <c r="F1803" i="1"/>
  <c r="D1803" i="1"/>
  <c r="L1803" i="1" s="1"/>
  <c r="K1802" i="1"/>
  <c r="N1802" i="1" s="1"/>
  <c r="J1802" i="1"/>
  <c r="M1802" i="1" s="1"/>
  <c r="G1802" i="1"/>
  <c r="H1803" i="1" s="1"/>
  <c r="F1802" i="1"/>
  <c r="D1802" i="1"/>
  <c r="L1802" i="1" s="1"/>
  <c r="K1801" i="1"/>
  <c r="N1801" i="1" s="1"/>
  <c r="J1801" i="1"/>
  <c r="M1801" i="1" s="1"/>
  <c r="G1801" i="1"/>
  <c r="H1802" i="1" s="1"/>
  <c r="F1801" i="1"/>
  <c r="D1801" i="1"/>
  <c r="L1801" i="1" s="1"/>
  <c r="K1800" i="1"/>
  <c r="N1800" i="1" s="1"/>
  <c r="J1800" i="1"/>
  <c r="M1800" i="1" s="1"/>
  <c r="G1800" i="1"/>
  <c r="H1801" i="1" s="1"/>
  <c r="F1800" i="1"/>
  <c r="D1800" i="1"/>
  <c r="L1800" i="1" s="1"/>
  <c r="K1799" i="1"/>
  <c r="N1799" i="1" s="1"/>
  <c r="J1799" i="1"/>
  <c r="M1799" i="1" s="1"/>
  <c r="G1799" i="1"/>
  <c r="H1800" i="1" s="1"/>
  <c r="F1799" i="1"/>
  <c r="D1799" i="1"/>
  <c r="L1799" i="1" s="1"/>
  <c r="K1798" i="1"/>
  <c r="N1798" i="1" s="1"/>
  <c r="J1798" i="1"/>
  <c r="M1798" i="1" s="1"/>
  <c r="G1798" i="1"/>
  <c r="H1799" i="1" s="1"/>
  <c r="F1798" i="1"/>
  <c r="D1798" i="1"/>
  <c r="L1798" i="1" s="1"/>
  <c r="K1797" i="1"/>
  <c r="N1797" i="1" s="1"/>
  <c r="J1797" i="1"/>
  <c r="M1797" i="1" s="1"/>
  <c r="G1797" i="1"/>
  <c r="H1798" i="1" s="1"/>
  <c r="F1797" i="1"/>
  <c r="D1797" i="1"/>
  <c r="L1797" i="1" s="1"/>
  <c r="K1796" i="1"/>
  <c r="N1796" i="1" s="1"/>
  <c r="J1796" i="1"/>
  <c r="M1796" i="1" s="1"/>
  <c r="G1796" i="1"/>
  <c r="H1797" i="1" s="1"/>
  <c r="F1796" i="1"/>
  <c r="D1796" i="1"/>
  <c r="L1796" i="1" s="1"/>
  <c r="K1795" i="1"/>
  <c r="N1795" i="1" s="1"/>
  <c r="J1795" i="1"/>
  <c r="M1795" i="1" s="1"/>
  <c r="G1795" i="1"/>
  <c r="H1796" i="1" s="1"/>
  <c r="F1795" i="1"/>
  <c r="D1795" i="1"/>
  <c r="L1795" i="1" s="1"/>
  <c r="K1794" i="1"/>
  <c r="N1794" i="1" s="1"/>
  <c r="J1794" i="1"/>
  <c r="M1794" i="1" s="1"/>
  <c r="G1794" i="1"/>
  <c r="H1795" i="1" s="1"/>
  <c r="F1794" i="1"/>
  <c r="D1794" i="1"/>
  <c r="L1794" i="1" s="1"/>
  <c r="K1793" i="1"/>
  <c r="N1793" i="1" s="1"/>
  <c r="J1793" i="1"/>
  <c r="M1793" i="1" s="1"/>
  <c r="G1793" i="1"/>
  <c r="H1794" i="1" s="1"/>
  <c r="F1793" i="1"/>
  <c r="D1793" i="1"/>
  <c r="L1793" i="1" s="1"/>
  <c r="K1792" i="1"/>
  <c r="N1792" i="1" s="1"/>
  <c r="J1792" i="1"/>
  <c r="M1792" i="1" s="1"/>
  <c r="G1792" i="1"/>
  <c r="H1793" i="1" s="1"/>
  <c r="F1792" i="1"/>
  <c r="D1792" i="1"/>
  <c r="L1792" i="1" s="1"/>
  <c r="K1791" i="1"/>
  <c r="N1791" i="1" s="1"/>
  <c r="J1791" i="1"/>
  <c r="M1791" i="1" s="1"/>
  <c r="G1791" i="1"/>
  <c r="H1792" i="1" s="1"/>
  <c r="F1791" i="1"/>
  <c r="D1791" i="1"/>
  <c r="L1791" i="1" s="1"/>
  <c r="K1790" i="1"/>
  <c r="N1790" i="1" s="1"/>
  <c r="J1790" i="1"/>
  <c r="M1790" i="1" s="1"/>
  <c r="G1790" i="1"/>
  <c r="H1791" i="1" s="1"/>
  <c r="F1790" i="1"/>
  <c r="D1790" i="1"/>
  <c r="L1790" i="1" s="1"/>
  <c r="K1789" i="1"/>
  <c r="N1789" i="1" s="1"/>
  <c r="J1789" i="1"/>
  <c r="M1789" i="1" s="1"/>
  <c r="G1789" i="1"/>
  <c r="H1790" i="1" s="1"/>
  <c r="F1789" i="1"/>
  <c r="D1789" i="1"/>
  <c r="L1789" i="1" s="1"/>
  <c r="K1788" i="1"/>
  <c r="N1788" i="1" s="1"/>
  <c r="J1788" i="1"/>
  <c r="M1788" i="1" s="1"/>
  <c r="G1788" i="1"/>
  <c r="H1789" i="1" s="1"/>
  <c r="F1788" i="1"/>
  <c r="D1788" i="1"/>
  <c r="L1788" i="1" s="1"/>
  <c r="K1787" i="1"/>
  <c r="N1787" i="1" s="1"/>
  <c r="J1787" i="1"/>
  <c r="M1787" i="1" s="1"/>
  <c r="G1787" i="1"/>
  <c r="H1788" i="1" s="1"/>
  <c r="F1787" i="1"/>
  <c r="D1787" i="1"/>
  <c r="L1787" i="1" s="1"/>
  <c r="K1786" i="1"/>
  <c r="N1786" i="1" s="1"/>
  <c r="J1786" i="1"/>
  <c r="M1786" i="1" s="1"/>
  <c r="G1786" i="1"/>
  <c r="H1787" i="1" s="1"/>
  <c r="F1786" i="1"/>
  <c r="D1786" i="1"/>
  <c r="L1786" i="1" s="1"/>
  <c r="K1785" i="1"/>
  <c r="N1785" i="1" s="1"/>
  <c r="J1785" i="1"/>
  <c r="M1785" i="1" s="1"/>
  <c r="G1785" i="1"/>
  <c r="H1786" i="1" s="1"/>
  <c r="F1785" i="1"/>
  <c r="D1785" i="1"/>
  <c r="L1785" i="1" s="1"/>
  <c r="K1784" i="1"/>
  <c r="N1784" i="1" s="1"/>
  <c r="J1784" i="1"/>
  <c r="M1784" i="1" s="1"/>
  <c r="G1784" i="1"/>
  <c r="H1785" i="1" s="1"/>
  <c r="F1784" i="1"/>
  <c r="D1784" i="1"/>
  <c r="L1784" i="1" s="1"/>
  <c r="K1783" i="1"/>
  <c r="N1783" i="1" s="1"/>
  <c r="J1783" i="1"/>
  <c r="M1783" i="1" s="1"/>
  <c r="G1783" i="1"/>
  <c r="H1784" i="1" s="1"/>
  <c r="F1783" i="1"/>
  <c r="D1783" i="1"/>
  <c r="L1783" i="1" s="1"/>
  <c r="K1782" i="1"/>
  <c r="N1782" i="1" s="1"/>
  <c r="J1782" i="1"/>
  <c r="M1782" i="1" s="1"/>
  <c r="G1782" i="1"/>
  <c r="H1783" i="1" s="1"/>
  <c r="F1782" i="1"/>
  <c r="D1782" i="1"/>
  <c r="L1782" i="1" s="1"/>
  <c r="K1781" i="1"/>
  <c r="N1781" i="1" s="1"/>
  <c r="J1781" i="1"/>
  <c r="M1781" i="1" s="1"/>
  <c r="G1781" i="1"/>
  <c r="H1782" i="1" s="1"/>
  <c r="F1781" i="1"/>
  <c r="D1781" i="1"/>
  <c r="L1781" i="1" s="1"/>
  <c r="K1780" i="1"/>
  <c r="N1780" i="1" s="1"/>
  <c r="J1780" i="1"/>
  <c r="M1780" i="1" s="1"/>
  <c r="G1780" i="1"/>
  <c r="H1781" i="1" s="1"/>
  <c r="F1780" i="1"/>
  <c r="D1780" i="1"/>
  <c r="L1780" i="1" s="1"/>
  <c r="K1779" i="1"/>
  <c r="N1779" i="1" s="1"/>
  <c r="J1779" i="1"/>
  <c r="M1779" i="1" s="1"/>
  <c r="G1779" i="1"/>
  <c r="H1780" i="1" s="1"/>
  <c r="F1779" i="1"/>
  <c r="D1779" i="1"/>
  <c r="L1779" i="1" s="1"/>
  <c r="K1778" i="1"/>
  <c r="N1778" i="1" s="1"/>
  <c r="J1778" i="1"/>
  <c r="M1778" i="1" s="1"/>
  <c r="G1778" i="1"/>
  <c r="H1779" i="1" s="1"/>
  <c r="F1778" i="1"/>
  <c r="D1778" i="1"/>
  <c r="L1778" i="1" s="1"/>
  <c r="K1777" i="1"/>
  <c r="N1777" i="1" s="1"/>
  <c r="J1777" i="1"/>
  <c r="M1777" i="1" s="1"/>
  <c r="G1777" i="1"/>
  <c r="H1778" i="1" s="1"/>
  <c r="F1777" i="1"/>
  <c r="D1777" i="1"/>
  <c r="L1777" i="1" s="1"/>
  <c r="K1776" i="1"/>
  <c r="N1776" i="1" s="1"/>
  <c r="J1776" i="1"/>
  <c r="M1776" i="1" s="1"/>
  <c r="G1776" i="1"/>
  <c r="H1777" i="1" s="1"/>
  <c r="F1776" i="1"/>
  <c r="D1776" i="1"/>
  <c r="L1776" i="1" s="1"/>
  <c r="K1775" i="1"/>
  <c r="N1775" i="1" s="1"/>
  <c r="J1775" i="1"/>
  <c r="M1775" i="1" s="1"/>
  <c r="G1775" i="1"/>
  <c r="H1776" i="1" s="1"/>
  <c r="F1775" i="1"/>
  <c r="D1775" i="1"/>
  <c r="L1775" i="1" s="1"/>
  <c r="K1774" i="1"/>
  <c r="N1774" i="1" s="1"/>
  <c r="J1774" i="1"/>
  <c r="M1774" i="1" s="1"/>
  <c r="G1774" i="1"/>
  <c r="H1775" i="1" s="1"/>
  <c r="F1774" i="1"/>
  <c r="D1774" i="1"/>
  <c r="L1774" i="1" s="1"/>
  <c r="K1773" i="1"/>
  <c r="N1773" i="1" s="1"/>
  <c r="J1773" i="1"/>
  <c r="M1773" i="1" s="1"/>
  <c r="G1773" i="1"/>
  <c r="H1774" i="1" s="1"/>
  <c r="F1773" i="1"/>
  <c r="D1773" i="1"/>
  <c r="L1773" i="1" s="1"/>
  <c r="K1772" i="1"/>
  <c r="N1772" i="1" s="1"/>
  <c r="J1772" i="1"/>
  <c r="M1772" i="1" s="1"/>
  <c r="G1772" i="1"/>
  <c r="H1773" i="1" s="1"/>
  <c r="F1772" i="1"/>
  <c r="D1772" i="1"/>
  <c r="L1772" i="1" s="1"/>
  <c r="K1771" i="1"/>
  <c r="N1771" i="1" s="1"/>
  <c r="J1771" i="1"/>
  <c r="M1771" i="1" s="1"/>
  <c r="G1771" i="1"/>
  <c r="H1772" i="1" s="1"/>
  <c r="F1771" i="1"/>
  <c r="D1771" i="1"/>
  <c r="L1771" i="1" s="1"/>
  <c r="K1770" i="1"/>
  <c r="N1770" i="1" s="1"/>
  <c r="J1770" i="1"/>
  <c r="M1770" i="1" s="1"/>
  <c r="G1770" i="1"/>
  <c r="H1771" i="1" s="1"/>
  <c r="F1770" i="1"/>
  <c r="D1770" i="1"/>
  <c r="L1770" i="1" s="1"/>
  <c r="K1769" i="1"/>
  <c r="N1769" i="1" s="1"/>
  <c r="J1769" i="1"/>
  <c r="M1769" i="1" s="1"/>
  <c r="G1769" i="1"/>
  <c r="H1770" i="1" s="1"/>
  <c r="F1769" i="1"/>
  <c r="D1769" i="1"/>
  <c r="L1769" i="1" s="1"/>
  <c r="K1768" i="1"/>
  <c r="N1768" i="1" s="1"/>
  <c r="J1768" i="1"/>
  <c r="M1768" i="1" s="1"/>
  <c r="G1768" i="1"/>
  <c r="H1769" i="1" s="1"/>
  <c r="F1768" i="1"/>
  <c r="D1768" i="1"/>
  <c r="L1768" i="1" s="1"/>
  <c r="K1767" i="1"/>
  <c r="N1767" i="1" s="1"/>
  <c r="J1767" i="1"/>
  <c r="M1767" i="1" s="1"/>
  <c r="G1767" i="1"/>
  <c r="H1768" i="1" s="1"/>
  <c r="F1767" i="1"/>
  <c r="D1767" i="1"/>
  <c r="L1767" i="1" s="1"/>
  <c r="K1766" i="1"/>
  <c r="N1766" i="1" s="1"/>
  <c r="J1766" i="1"/>
  <c r="M1766" i="1" s="1"/>
  <c r="G1766" i="1"/>
  <c r="H1767" i="1" s="1"/>
  <c r="F1766" i="1"/>
  <c r="D1766" i="1"/>
  <c r="L1766" i="1" s="1"/>
  <c r="K1765" i="1"/>
  <c r="N1765" i="1" s="1"/>
  <c r="J1765" i="1"/>
  <c r="M1765" i="1" s="1"/>
  <c r="G1765" i="1"/>
  <c r="H1766" i="1" s="1"/>
  <c r="F1765" i="1"/>
  <c r="D1765" i="1"/>
  <c r="L1765" i="1" s="1"/>
  <c r="K1764" i="1"/>
  <c r="N1764" i="1" s="1"/>
  <c r="J1764" i="1"/>
  <c r="M1764" i="1" s="1"/>
  <c r="G1764" i="1"/>
  <c r="H1765" i="1" s="1"/>
  <c r="F1764" i="1"/>
  <c r="D1764" i="1"/>
  <c r="L1764" i="1" s="1"/>
  <c r="K1763" i="1"/>
  <c r="N1763" i="1" s="1"/>
  <c r="J1763" i="1"/>
  <c r="M1763" i="1" s="1"/>
  <c r="G1763" i="1"/>
  <c r="H1764" i="1" s="1"/>
  <c r="F1763" i="1"/>
  <c r="D1763" i="1"/>
  <c r="L1763" i="1" s="1"/>
  <c r="K1762" i="1"/>
  <c r="N1762" i="1" s="1"/>
  <c r="J1762" i="1"/>
  <c r="M1762" i="1" s="1"/>
  <c r="G1762" i="1"/>
  <c r="H1763" i="1" s="1"/>
  <c r="F1762" i="1"/>
  <c r="D1762" i="1"/>
  <c r="L1762" i="1" s="1"/>
  <c r="K1761" i="1"/>
  <c r="N1761" i="1" s="1"/>
  <c r="J1761" i="1"/>
  <c r="M1761" i="1" s="1"/>
  <c r="G1761" i="1"/>
  <c r="H1762" i="1" s="1"/>
  <c r="F1761" i="1"/>
  <c r="D1761" i="1"/>
  <c r="L1761" i="1" s="1"/>
  <c r="K1760" i="1"/>
  <c r="N1760" i="1" s="1"/>
  <c r="J1760" i="1"/>
  <c r="M1760" i="1" s="1"/>
  <c r="G1760" i="1"/>
  <c r="H1761" i="1" s="1"/>
  <c r="F1760" i="1"/>
  <c r="D1760" i="1"/>
  <c r="L1760" i="1" s="1"/>
  <c r="K1759" i="1"/>
  <c r="N1759" i="1" s="1"/>
  <c r="J1759" i="1"/>
  <c r="M1759" i="1" s="1"/>
  <c r="G1759" i="1"/>
  <c r="H1760" i="1" s="1"/>
  <c r="F1759" i="1"/>
  <c r="D1759" i="1"/>
  <c r="L1759" i="1" s="1"/>
  <c r="K1758" i="1"/>
  <c r="N1758" i="1" s="1"/>
  <c r="J1758" i="1"/>
  <c r="M1758" i="1" s="1"/>
  <c r="G1758" i="1"/>
  <c r="H1759" i="1" s="1"/>
  <c r="F1758" i="1"/>
  <c r="D1758" i="1"/>
  <c r="L1758" i="1" s="1"/>
  <c r="K1757" i="1"/>
  <c r="N1757" i="1" s="1"/>
  <c r="J1757" i="1"/>
  <c r="M1757" i="1" s="1"/>
  <c r="G1757" i="1"/>
  <c r="H1758" i="1" s="1"/>
  <c r="F1757" i="1"/>
  <c r="D1757" i="1"/>
  <c r="L1757" i="1" s="1"/>
  <c r="K1756" i="1"/>
  <c r="N1756" i="1" s="1"/>
  <c r="J1756" i="1"/>
  <c r="M1756" i="1" s="1"/>
  <c r="G1756" i="1"/>
  <c r="H1757" i="1" s="1"/>
  <c r="F1756" i="1"/>
  <c r="D1756" i="1"/>
  <c r="L1756" i="1" s="1"/>
  <c r="K1755" i="1"/>
  <c r="N1755" i="1" s="1"/>
  <c r="J1755" i="1"/>
  <c r="M1755" i="1" s="1"/>
  <c r="G1755" i="1"/>
  <c r="H1756" i="1" s="1"/>
  <c r="F1755" i="1"/>
  <c r="D1755" i="1"/>
  <c r="L1755" i="1" s="1"/>
  <c r="K1754" i="1"/>
  <c r="N1754" i="1" s="1"/>
  <c r="J1754" i="1"/>
  <c r="M1754" i="1" s="1"/>
  <c r="G1754" i="1"/>
  <c r="H1755" i="1" s="1"/>
  <c r="F1754" i="1"/>
  <c r="D1754" i="1"/>
  <c r="L1754" i="1" s="1"/>
  <c r="K1753" i="1"/>
  <c r="N1753" i="1" s="1"/>
  <c r="J1753" i="1"/>
  <c r="M1753" i="1" s="1"/>
  <c r="G1753" i="1"/>
  <c r="H1754" i="1" s="1"/>
  <c r="F1753" i="1"/>
  <c r="D1753" i="1"/>
  <c r="L1753" i="1" s="1"/>
  <c r="K1752" i="1"/>
  <c r="N1752" i="1" s="1"/>
  <c r="J1752" i="1"/>
  <c r="M1752" i="1" s="1"/>
  <c r="G1752" i="1"/>
  <c r="H1753" i="1" s="1"/>
  <c r="F1752" i="1"/>
  <c r="D1752" i="1"/>
  <c r="L1752" i="1" s="1"/>
  <c r="K1751" i="1"/>
  <c r="N1751" i="1" s="1"/>
  <c r="J1751" i="1"/>
  <c r="M1751" i="1" s="1"/>
  <c r="G1751" i="1"/>
  <c r="H1752" i="1" s="1"/>
  <c r="F1751" i="1"/>
  <c r="D1751" i="1"/>
  <c r="L1751" i="1" s="1"/>
  <c r="K1750" i="1"/>
  <c r="N1750" i="1" s="1"/>
  <c r="J1750" i="1"/>
  <c r="M1750" i="1" s="1"/>
  <c r="G1750" i="1"/>
  <c r="H1751" i="1" s="1"/>
  <c r="F1750" i="1"/>
  <c r="D1750" i="1"/>
  <c r="L1750" i="1" s="1"/>
  <c r="K1749" i="1"/>
  <c r="N1749" i="1" s="1"/>
  <c r="J1749" i="1"/>
  <c r="M1749" i="1" s="1"/>
  <c r="G1749" i="1"/>
  <c r="H1750" i="1" s="1"/>
  <c r="F1749" i="1"/>
  <c r="D1749" i="1"/>
  <c r="L1749" i="1" s="1"/>
  <c r="K1748" i="1"/>
  <c r="N1748" i="1" s="1"/>
  <c r="J1748" i="1"/>
  <c r="M1748" i="1" s="1"/>
  <c r="G1748" i="1"/>
  <c r="H1749" i="1" s="1"/>
  <c r="F1748" i="1"/>
  <c r="D1748" i="1"/>
  <c r="L1748" i="1" s="1"/>
  <c r="K1747" i="1"/>
  <c r="N1747" i="1" s="1"/>
  <c r="J1747" i="1"/>
  <c r="M1747" i="1" s="1"/>
  <c r="G1747" i="1"/>
  <c r="H1748" i="1" s="1"/>
  <c r="F1747" i="1"/>
  <c r="D1747" i="1"/>
  <c r="L1747" i="1" s="1"/>
  <c r="K1746" i="1"/>
  <c r="N1746" i="1" s="1"/>
  <c r="J1746" i="1"/>
  <c r="M1746" i="1" s="1"/>
  <c r="G1746" i="1"/>
  <c r="H1747" i="1" s="1"/>
  <c r="F1746" i="1"/>
  <c r="D1746" i="1"/>
  <c r="L1746" i="1" s="1"/>
  <c r="K1745" i="1"/>
  <c r="N1745" i="1" s="1"/>
  <c r="J1745" i="1"/>
  <c r="M1745" i="1" s="1"/>
  <c r="G1745" i="1"/>
  <c r="H1746" i="1" s="1"/>
  <c r="F1745" i="1"/>
  <c r="D1745" i="1"/>
  <c r="L1745" i="1" s="1"/>
  <c r="K1744" i="1"/>
  <c r="N1744" i="1" s="1"/>
  <c r="J1744" i="1"/>
  <c r="M1744" i="1" s="1"/>
  <c r="G1744" i="1"/>
  <c r="H1745" i="1" s="1"/>
  <c r="F1744" i="1"/>
  <c r="D1744" i="1"/>
  <c r="L1744" i="1" s="1"/>
  <c r="K1743" i="1"/>
  <c r="N1743" i="1" s="1"/>
  <c r="J1743" i="1"/>
  <c r="M1743" i="1" s="1"/>
  <c r="G1743" i="1"/>
  <c r="H1744" i="1" s="1"/>
  <c r="F1743" i="1"/>
  <c r="D1743" i="1"/>
  <c r="L1743" i="1" s="1"/>
  <c r="K1742" i="1"/>
  <c r="N1742" i="1" s="1"/>
  <c r="J1742" i="1"/>
  <c r="M1742" i="1" s="1"/>
  <c r="G1742" i="1"/>
  <c r="H1743" i="1" s="1"/>
  <c r="F1742" i="1"/>
  <c r="D1742" i="1"/>
  <c r="L1742" i="1" s="1"/>
  <c r="K1741" i="1"/>
  <c r="N1741" i="1" s="1"/>
  <c r="J1741" i="1"/>
  <c r="M1741" i="1" s="1"/>
  <c r="G1741" i="1"/>
  <c r="H1742" i="1" s="1"/>
  <c r="F1741" i="1"/>
  <c r="D1741" i="1"/>
  <c r="L1741" i="1" s="1"/>
  <c r="K1740" i="1"/>
  <c r="N1740" i="1" s="1"/>
  <c r="J1740" i="1"/>
  <c r="M1740" i="1" s="1"/>
  <c r="G1740" i="1"/>
  <c r="H1741" i="1" s="1"/>
  <c r="F1740" i="1"/>
  <c r="D1740" i="1"/>
  <c r="L1740" i="1" s="1"/>
  <c r="K1739" i="1"/>
  <c r="N1739" i="1" s="1"/>
  <c r="J1739" i="1"/>
  <c r="M1739" i="1" s="1"/>
  <c r="G1739" i="1"/>
  <c r="H1740" i="1" s="1"/>
  <c r="F1739" i="1"/>
  <c r="D1739" i="1"/>
  <c r="L1739" i="1" s="1"/>
  <c r="K1738" i="1"/>
  <c r="N1738" i="1" s="1"/>
  <c r="J1738" i="1"/>
  <c r="M1738" i="1" s="1"/>
  <c r="G1738" i="1"/>
  <c r="H1739" i="1" s="1"/>
  <c r="F1738" i="1"/>
  <c r="D1738" i="1"/>
  <c r="L1738" i="1" s="1"/>
  <c r="K1737" i="1"/>
  <c r="N1737" i="1" s="1"/>
  <c r="J1737" i="1"/>
  <c r="M1737" i="1" s="1"/>
  <c r="G1737" i="1"/>
  <c r="H1738" i="1" s="1"/>
  <c r="F1737" i="1"/>
  <c r="D1737" i="1"/>
  <c r="L1737" i="1" s="1"/>
  <c r="K1736" i="1"/>
  <c r="N1736" i="1" s="1"/>
  <c r="J1736" i="1"/>
  <c r="M1736" i="1" s="1"/>
  <c r="G1736" i="1"/>
  <c r="H1737" i="1" s="1"/>
  <c r="F1736" i="1"/>
  <c r="D1736" i="1"/>
  <c r="L1736" i="1" s="1"/>
  <c r="K1735" i="1"/>
  <c r="N1735" i="1" s="1"/>
  <c r="J1735" i="1"/>
  <c r="M1735" i="1" s="1"/>
  <c r="G1735" i="1"/>
  <c r="H1736" i="1" s="1"/>
  <c r="F1735" i="1"/>
  <c r="D1735" i="1"/>
  <c r="L1735" i="1" s="1"/>
  <c r="K1734" i="1"/>
  <c r="N1734" i="1" s="1"/>
  <c r="J1734" i="1"/>
  <c r="M1734" i="1" s="1"/>
  <c r="G1734" i="1"/>
  <c r="H1735" i="1" s="1"/>
  <c r="F1734" i="1"/>
  <c r="D1734" i="1"/>
  <c r="L1734" i="1" s="1"/>
  <c r="K1733" i="1"/>
  <c r="N1733" i="1" s="1"/>
  <c r="J1733" i="1"/>
  <c r="M1733" i="1" s="1"/>
  <c r="G1733" i="1"/>
  <c r="H1734" i="1" s="1"/>
  <c r="F1733" i="1"/>
  <c r="D1733" i="1"/>
  <c r="L1733" i="1" s="1"/>
  <c r="K1732" i="1"/>
  <c r="N1732" i="1" s="1"/>
  <c r="J1732" i="1"/>
  <c r="M1732" i="1" s="1"/>
  <c r="G1732" i="1"/>
  <c r="H1733" i="1" s="1"/>
  <c r="F1732" i="1"/>
  <c r="D1732" i="1"/>
  <c r="L1732" i="1" s="1"/>
  <c r="K1731" i="1"/>
  <c r="N1731" i="1" s="1"/>
  <c r="J1731" i="1"/>
  <c r="M1731" i="1" s="1"/>
  <c r="G1731" i="1"/>
  <c r="H1732" i="1" s="1"/>
  <c r="F1731" i="1"/>
  <c r="D1731" i="1"/>
  <c r="L1731" i="1" s="1"/>
  <c r="K1730" i="1"/>
  <c r="N1730" i="1" s="1"/>
  <c r="J1730" i="1"/>
  <c r="M1730" i="1" s="1"/>
  <c r="G1730" i="1"/>
  <c r="H1731" i="1" s="1"/>
  <c r="F1730" i="1"/>
  <c r="D1730" i="1"/>
  <c r="L1730" i="1" s="1"/>
  <c r="K1729" i="1"/>
  <c r="N1729" i="1" s="1"/>
  <c r="J1729" i="1"/>
  <c r="M1729" i="1" s="1"/>
  <c r="G1729" i="1"/>
  <c r="H1730" i="1" s="1"/>
  <c r="F1729" i="1"/>
  <c r="D1729" i="1"/>
  <c r="L1729" i="1" s="1"/>
  <c r="K1728" i="1"/>
  <c r="N1728" i="1" s="1"/>
  <c r="J1728" i="1"/>
  <c r="M1728" i="1" s="1"/>
  <c r="G1728" i="1"/>
  <c r="H1729" i="1" s="1"/>
  <c r="F1728" i="1"/>
  <c r="D1728" i="1"/>
  <c r="L1728" i="1" s="1"/>
  <c r="K1727" i="1"/>
  <c r="N1727" i="1" s="1"/>
  <c r="J1727" i="1"/>
  <c r="M1727" i="1" s="1"/>
  <c r="G1727" i="1"/>
  <c r="H1728" i="1" s="1"/>
  <c r="F1727" i="1"/>
  <c r="D1727" i="1"/>
  <c r="L1727" i="1" s="1"/>
  <c r="K1726" i="1"/>
  <c r="N1726" i="1" s="1"/>
  <c r="J1726" i="1"/>
  <c r="M1726" i="1" s="1"/>
  <c r="G1726" i="1"/>
  <c r="H1727" i="1" s="1"/>
  <c r="F1726" i="1"/>
  <c r="D1726" i="1"/>
  <c r="L1726" i="1" s="1"/>
  <c r="K1725" i="1"/>
  <c r="N1725" i="1" s="1"/>
  <c r="J1725" i="1"/>
  <c r="M1725" i="1" s="1"/>
  <c r="G1725" i="1"/>
  <c r="H1726" i="1" s="1"/>
  <c r="F1725" i="1"/>
  <c r="D1725" i="1"/>
  <c r="L1725" i="1" s="1"/>
  <c r="K1724" i="1"/>
  <c r="N1724" i="1" s="1"/>
  <c r="J1724" i="1"/>
  <c r="M1724" i="1" s="1"/>
  <c r="G1724" i="1"/>
  <c r="H1725" i="1" s="1"/>
  <c r="F1724" i="1"/>
  <c r="D1724" i="1"/>
  <c r="L1724" i="1" s="1"/>
  <c r="K1723" i="1"/>
  <c r="N1723" i="1" s="1"/>
  <c r="J1723" i="1"/>
  <c r="M1723" i="1" s="1"/>
  <c r="G1723" i="1"/>
  <c r="H1724" i="1" s="1"/>
  <c r="F1723" i="1"/>
  <c r="D1723" i="1"/>
  <c r="L1723" i="1" s="1"/>
  <c r="K1722" i="1"/>
  <c r="N1722" i="1" s="1"/>
  <c r="J1722" i="1"/>
  <c r="M1722" i="1" s="1"/>
  <c r="G1722" i="1"/>
  <c r="H1723" i="1" s="1"/>
  <c r="F1722" i="1"/>
  <c r="D1722" i="1"/>
  <c r="L1722" i="1" s="1"/>
  <c r="K1721" i="1"/>
  <c r="N1721" i="1" s="1"/>
  <c r="J1721" i="1"/>
  <c r="M1721" i="1" s="1"/>
  <c r="G1721" i="1"/>
  <c r="H1722" i="1" s="1"/>
  <c r="F1721" i="1"/>
  <c r="D1721" i="1"/>
  <c r="L1721" i="1" s="1"/>
  <c r="K1720" i="1"/>
  <c r="N1720" i="1" s="1"/>
  <c r="J1720" i="1"/>
  <c r="M1720" i="1" s="1"/>
  <c r="G1720" i="1"/>
  <c r="H1721" i="1" s="1"/>
  <c r="F1720" i="1"/>
  <c r="D1720" i="1"/>
  <c r="L1720" i="1" s="1"/>
  <c r="K1719" i="1"/>
  <c r="N1719" i="1" s="1"/>
  <c r="J1719" i="1"/>
  <c r="M1719" i="1" s="1"/>
  <c r="G1719" i="1"/>
  <c r="H1720" i="1" s="1"/>
  <c r="F1719" i="1"/>
  <c r="D1719" i="1"/>
  <c r="L1719" i="1" s="1"/>
  <c r="K1718" i="1"/>
  <c r="N1718" i="1" s="1"/>
  <c r="J1718" i="1"/>
  <c r="M1718" i="1" s="1"/>
  <c r="G1718" i="1"/>
  <c r="H1719" i="1" s="1"/>
  <c r="F1718" i="1"/>
  <c r="D1718" i="1"/>
  <c r="L1718" i="1" s="1"/>
  <c r="K1717" i="1"/>
  <c r="N1717" i="1" s="1"/>
  <c r="J1717" i="1"/>
  <c r="M1717" i="1" s="1"/>
  <c r="G1717" i="1"/>
  <c r="H1718" i="1" s="1"/>
  <c r="F1717" i="1"/>
  <c r="D1717" i="1"/>
  <c r="L1717" i="1" s="1"/>
  <c r="K1716" i="1"/>
  <c r="N1716" i="1" s="1"/>
  <c r="J1716" i="1"/>
  <c r="M1716" i="1" s="1"/>
  <c r="G1716" i="1"/>
  <c r="H1717" i="1" s="1"/>
  <c r="F1716" i="1"/>
  <c r="D1716" i="1"/>
  <c r="L1716" i="1" s="1"/>
  <c r="K1715" i="1"/>
  <c r="N1715" i="1" s="1"/>
  <c r="J1715" i="1"/>
  <c r="M1715" i="1" s="1"/>
  <c r="G1715" i="1"/>
  <c r="H1716" i="1" s="1"/>
  <c r="F1715" i="1"/>
  <c r="D1715" i="1"/>
  <c r="L1715" i="1" s="1"/>
  <c r="K1714" i="1"/>
  <c r="N1714" i="1" s="1"/>
  <c r="J1714" i="1"/>
  <c r="M1714" i="1" s="1"/>
  <c r="G1714" i="1"/>
  <c r="H1715" i="1" s="1"/>
  <c r="F1714" i="1"/>
  <c r="D1714" i="1"/>
  <c r="L1714" i="1" s="1"/>
  <c r="K1713" i="1"/>
  <c r="N1713" i="1" s="1"/>
  <c r="J1713" i="1"/>
  <c r="M1713" i="1" s="1"/>
  <c r="G1713" i="1"/>
  <c r="H1714" i="1" s="1"/>
  <c r="F1713" i="1"/>
  <c r="D1713" i="1"/>
  <c r="L1713" i="1" s="1"/>
  <c r="K1712" i="1"/>
  <c r="N1712" i="1" s="1"/>
  <c r="J1712" i="1"/>
  <c r="M1712" i="1" s="1"/>
  <c r="G1712" i="1"/>
  <c r="H1713" i="1" s="1"/>
  <c r="F1712" i="1"/>
  <c r="D1712" i="1"/>
  <c r="L1712" i="1" s="1"/>
  <c r="K1711" i="1"/>
  <c r="N1711" i="1" s="1"/>
  <c r="J1711" i="1"/>
  <c r="M1711" i="1" s="1"/>
  <c r="G1711" i="1"/>
  <c r="H1712" i="1" s="1"/>
  <c r="F1711" i="1"/>
  <c r="D1711" i="1"/>
  <c r="L1711" i="1" s="1"/>
  <c r="K1710" i="1"/>
  <c r="N1710" i="1" s="1"/>
  <c r="J1710" i="1"/>
  <c r="M1710" i="1" s="1"/>
  <c r="G1710" i="1"/>
  <c r="H1711" i="1" s="1"/>
  <c r="F1710" i="1"/>
  <c r="D1710" i="1"/>
  <c r="L1710" i="1" s="1"/>
  <c r="K1709" i="1"/>
  <c r="N1709" i="1" s="1"/>
  <c r="J1709" i="1"/>
  <c r="M1709" i="1" s="1"/>
  <c r="G1709" i="1"/>
  <c r="H1710" i="1" s="1"/>
  <c r="F1709" i="1"/>
  <c r="D1709" i="1"/>
  <c r="L1709" i="1" s="1"/>
  <c r="K1708" i="1"/>
  <c r="N1708" i="1" s="1"/>
  <c r="J1708" i="1"/>
  <c r="M1708" i="1" s="1"/>
  <c r="G1708" i="1"/>
  <c r="H1709" i="1" s="1"/>
  <c r="F1708" i="1"/>
  <c r="D1708" i="1"/>
  <c r="L1708" i="1" s="1"/>
  <c r="K1707" i="1"/>
  <c r="N1707" i="1" s="1"/>
  <c r="J1707" i="1"/>
  <c r="M1707" i="1" s="1"/>
  <c r="G1707" i="1"/>
  <c r="H1708" i="1" s="1"/>
  <c r="F1707" i="1"/>
  <c r="D1707" i="1"/>
  <c r="L1707" i="1" s="1"/>
  <c r="K1706" i="1"/>
  <c r="N1706" i="1" s="1"/>
  <c r="J1706" i="1"/>
  <c r="M1706" i="1" s="1"/>
  <c r="G1706" i="1"/>
  <c r="H1707" i="1" s="1"/>
  <c r="F1706" i="1"/>
  <c r="D1706" i="1"/>
  <c r="L1706" i="1" s="1"/>
  <c r="K1705" i="1"/>
  <c r="N1705" i="1" s="1"/>
  <c r="J1705" i="1"/>
  <c r="M1705" i="1" s="1"/>
  <c r="G1705" i="1"/>
  <c r="H1706" i="1" s="1"/>
  <c r="F1705" i="1"/>
  <c r="D1705" i="1"/>
  <c r="L1705" i="1" s="1"/>
  <c r="K1704" i="1"/>
  <c r="N1704" i="1" s="1"/>
  <c r="J1704" i="1"/>
  <c r="M1704" i="1" s="1"/>
  <c r="G1704" i="1"/>
  <c r="H1705" i="1" s="1"/>
  <c r="F1704" i="1"/>
  <c r="D1704" i="1"/>
  <c r="L1704" i="1" s="1"/>
  <c r="K1703" i="1"/>
  <c r="N1703" i="1" s="1"/>
  <c r="J1703" i="1"/>
  <c r="M1703" i="1" s="1"/>
  <c r="G1703" i="1"/>
  <c r="H1704" i="1" s="1"/>
  <c r="F1703" i="1"/>
  <c r="D1703" i="1"/>
  <c r="L1703" i="1" s="1"/>
  <c r="K1702" i="1"/>
  <c r="N1702" i="1" s="1"/>
  <c r="J1702" i="1"/>
  <c r="M1702" i="1" s="1"/>
  <c r="G1702" i="1"/>
  <c r="H1703" i="1" s="1"/>
  <c r="F1702" i="1"/>
  <c r="D1702" i="1"/>
  <c r="L1702" i="1" s="1"/>
  <c r="K1701" i="1"/>
  <c r="N1701" i="1" s="1"/>
  <c r="J1701" i="1"/>
  <c r="M1701" i="1" s="1"/>
  <c r="G1701" i="1"/>
  <c r="H1702" i="1" s="1"/>
  <c r="F1701" i="1"/>
  <c r="D1701" i="1"/>
  <c r="L1701" i="1" s="1"/>
  <c r="K1700" i="1"/>
  <c r="N1700" i="1" s="1"/>
  <c r="J1700" i="1"/>
  <c r="M1700" i="1" s="1"/>
  <c r="G1700" i="1"/>
  <c r="H1701" i="1" s="1"/>
  <c r="F1700" i="1"/>
  <c r="D1700" i="1"/>
  <c r="L1700" i="1" s="1"/>
  <c r="K1699" i="1"/>
  <c r="N1699" i="1" s="1"/>
  <c r="J1699" i="1"/>
  <c r="M1699" i="1" s="1"/>
  <c r="G1699" i="1"/>
  <c r="H1700" i="1" s="1"/>
  <c r="F1699" i="1"/>
  <c r="D1699" i="1"/>
  <c r="L1699" i="1" s="1"/>
  <c r="K1698" i="1"/>
  <c r="N1698" i="1" s="1"/>
  <c r="J1698" i="1"/>
  <c r="M1698" i="1" s="1"/>
  <c r="G1698" i="1"/>
  <c r="H1699" i="1" s="1"/>
  <c r="F1698" i="1"/>
  <c r="D1698" i="1"/>
  <c r="L1698" i="1" s="1"/>
  <c r="K1697" i="1"/>
  <c r="N1697" i="1" s="1"/>
  <c r="J1697" i="1"/>
  <c r="M1697" i="1" s="1"/>
  <c r="G1697" i="1"/>
  <c r="H1698" i="1" s="1"/>
  <c r="F1697" i="1"/>
  <c r="D1697" i="1"/>
  <c r="L1697" i="1" s="1"/>
  <c r="K1696" i="1"/>
  <c r="N1696" i="1" s="1"/>
  <c r="J1696" i="1"/>
  <c r="M1696" i="1" s="1"/>
  <c r="G1696" i="1"/>
  <c r="H1697" i="1" s="1"/>
  <c r="F1696" i="1"/>
  <c r="D1696" i="1"/>
  <c r="L1696" i="1" s="1"/>
  <c r="K1695" i="1"/>
  <c r="N1695" i="1" s="1"/>
  <c r="J1695" i="1"/>
  <c r="M1695" i="1" s="1"/>
  <c r="G1695" i="1"/>
  <c r="H1696" i="1" s="1"/>
  <c r="F1695" i="1"/>
  <c r="D1695" i="1"/>
  <c r="L1695" i="1" s="1"/>
  <c r="K1694" i="1"/>
  <c r="N1694" i="1" s="1"/>
  <c r="J1694" i="1"/>
  <c r="M1694" i="1" s="1"/>
  <c r="G1694" i="1"/>
  <c r="H1695" i="1" s="1"/>
  <c r="F1694" i="1"/>
  <c r="D1694" i="1"/>
  <c r="L1694" i="1" s="1"/>
  <c r="K1693" i="1"/>
  <c r="N1693" i="1" s="1"/>
  <c r="J1693" i="1"/>
  <c r="M1693" i="1" s="1"/>
  <c r="G1693" i="1"/>
  <c r="H1694" i="1" s="1"/>
  <c r="F1693" i="1"/>
  <c r="D1693" i="1"/>
  <c r="L1693" i="1" s="1"/>
  <c r="K1692" i="1"/>
  <c r="N1692" i="1" s="1"/>
  <c r="J1692" i="1"/>
  <c r="M1692" i="1" s="1"/>
  <c r="G1692" i="1"/>
  <c r="H1693" i="1" s="1"/>
  <c r="F1692" i="1"/>
  <c r="D1692" i="1"/>
  <c r="L1692" i="1" s="1"/>
  <c r="K1691" i="1"/>
  <c r="N1691" i="1" s="1"/>
  <c r="J1691" i="1"/>
  <c r="M1691" i="1" s="1"/>
  <c r="G1691" i="1"/>
  <c r="H1692" i="1" s="1"/>
  <c r="F1691" i="1"/>
  <c r="D1691" i="1"/>
  <c r="L1691" i="1" s="1"/>
  <c r="K1690" i="1"/>
  <c r="N1690" i="1" s="1"/>
  <c r="J1690" i="1"/>
  <c r="M1690" i="1" s="1"/>
  <c r="G1690" i="1"/>
  <c r="H1691" i="1" s="1"/>
  <c r="F1690" i="1"/>
  <c r="D1690" i="1"/>
  <c r="L1690" i="1" s="1"/>
  <c r="K1689" i="1"/>
  <c r="N1689" i="1" s="1"/>
  <c r="J1689" i="1"/>
  <c r="M1689" i="1" s="1"/>
  <c r="G1689" i="1"/>
  <c r="H1690" i="1" s="1"/>
  <c r="F1689" i="1"/>
  <c r="D1689" i="1"/>
  <c r="L1689" i="1" s="1"/>
  <c r="K1688" i="1"/>
  <c r="N1688" i="1" s="1"/>
  <c r="J1688" i="1"/>
  <c r="M1688" i="1" s="1"/>
  <c r="G1688" i="1"/>
  <c r="H1689" i="1" s="1"/>
  <c r="F1688" i="1"/>
  <c r="D1688" i="1"/>
  <c r="L1688" i="1" s="1"/>
  <c r="K1687" i="1"/>
  <c r="N1687" i="1" s="1"/>
  <c r="J1687" i="1"/>
  <c r="M1687" i="1" s="1"/>
  <c r="G1687" i="1"/>
  <c r="H1688" i="1" s="1"/>
  <c r="F1687" i="1"/>
  <c r="D1687" i="1"/>
  <c r="L1687" i="1" s="1"/>
  <c r="K1686" i="1"/>
  <c r="N1686" i="1" s="1"/>
  <c r="J1686" i="1"/>
  <c r="M1686" i="1" s="1"/>
  <c r="G1686" i="1"/>
  <c r="H1687" i="1" s="1"/>
  <c r="F1686" i="1"/>
  <c r="D1686" i="1"/>
  <c r="L1686" i="1" s="1"/>
  <c r="K1685" i="1"/>
  <c r="N1685" i="1" s="1"/>
  <c r="J1685" i="1"/>
  <c r="M1685" i="1" s="1"/>
  <c r="G1685" i="1"/>
  <c r="H1686" i="1" s="1"/>
  <c r="F1685" i="1"/>
  <c r="D1685" i="1"/>
  <c r="L1685" i="1" s="1"/>
  <c r="K1684" i="1"/>
  <c r="N1684" i="1" s="1"/>
  <c r="J1684" i="1"/>
  <c r="M1684" i="1" s="1"/>
  <c r="G1684" i="1"/>
  <c r="H1685" i="1" s="1"/>
  <c r="F1684" i="1"/>
  <c r="D1684" i="1"/>
  <c r="L1684" i="1" s="1"/>
  <c r="K1683" i="1"/>
  <c r="N1683" i="1" s="1"/>
  <c r="J1683" i="1"/>
  <c r="M1683" i="1" s="1"/>
  <c r="G1683" i="1"/>
  <c r="H1684" i="1" s="1"/>
  <c r="F1683" i="1"/>
  <c r="D1683" i="1"/>
  <c r="L1683" i="1" s="1"/>
  <c r="K1682" i="1"/>
  <c r="N1682" i="1" s="1"/>
  <c r="J1682" i="1"/>
  <c r="M1682" i="1" s="1"/>
  <c r="G1682" i="1"/>
  <c r="H1683" i="1" s="1"/>
  <c r="F1682" i="1"/>
  <c r="D1682" i="1"/>
  <c r="L1682" i="1" s="1"/>
  <c r="K1681" i="1"/>
  <c r="N1681" i="1" s="1"/>
  <c r="J1681" i="1"/>
  <c r="M1681" i="1" s="1"/>
  <c r="G1681" i="1"/>
  <c r="H1682" i="1" s="1"/>
  <c r="F1681" i="1"/>
  <c r="D1681" i="1"/>
  <c r="L1681" i="1" s="1"/>
  <c r="K1680" i="1"/>
  <c r="N1680" i="1" s="1"/>
  <c r="J1680" i="1"/>
  <c r="M1680" i="1" s="1"/>
  <c r="G1680" i="1"/>
  <c r="H1681" i="1" s="1"/>
  <c r="F1680" i="1"/>
  <c r="D1680" i="1"/>
  <c r="L1680" i="1" s="1"/>
  <c r="K1679" i="1"/>
  <c r="N1679" i="1" s="1"/>
  <c r="J1679" i="1"/>
  <c r="M1679" i="1" s="1"/>
  <c r="G1679" i="1"/>
  <c r="H1680" i="1" s="1"/>
  <c r="F1679" i="1"/>
  <c r="D1679" i="1"/>
  <c r="L1679" i="1" s="1"/>
  <c r="K1678" i="1"/>
  <c r="N1678" i="1" s="1"/>
  <c r="J1678" i="1"/>
  <c r="M1678" i="1" s="1"/>
  <c r="G1678" i="1"/>
  <c r="H1679" i="1" s="1"/>
  <c r="F1678" i="1"/>
  <c r="D1678" i="1"/>
  <c r="L1678" i="1" s="1"/>
  <c r="K1677" i="1"/>
  <c r="N1677" i="1" s="1"/>
  <c r="J1677" i="1"/>
  <c r="M1677" i="1" s="1"/>
  <c r="G1677" i="1"/>
  <c r="H1678" i="1" s="1"/>
  <c r="F1677" i="1"/>
  <c r="D1677" i="1"/>
  <c r="L1677" i="1" s="1"/>
  <c r="K1676" i="1"/>
  <c r="N1676" i="1" s="1"/>
  <c r="J1676" i="1"/>
  <c r="M1676" i="1" s="1"/>
  <c r="G1676" i="1"/>
  <c r="H1677" i="1" s="1"/>
  <c r="F1676" i="1"/>
  <c r="D1676" i="1"/>
  <c r="L1676" i="1" s="1"/>
  <c r="K1675" i="1"/>
  <c r="N1675" i="1" s="1"/>
  <c r="J1675" i="1"/>
  <c r="M1675" i="1" s="1"/>
  <c r="G1675" i="1"/>
  <c r="H1676" i="1" s="1"/>
  <c r="F1675" i="1"/>
  <c r="D1675" i="1"/>
  <c r="L1675" i="1" s="1"/>
  <c r="K1674" i="1"/>
  <c r="N1674" i="1" s="1"/>
  <c r="J1674" i="1"/>
  <c r="M1674" i="1" s="1"/>
  <c r="G1674" i="1"/>
  <c r="H1675" i="1" s="1"/>
  <c r="F1674" i="1"/>
  <c r="D1674" i="1"/>
  <c r="L1674" i="1" s="1"/>
  <c r="K1673" i="1"/>
  <c r="N1673" i="1" s="1"/>
  <c r="J1673" i="1"/>
  <c r="M1673" i="1" s="1"/>
  <c r="G1673" i="1"/>
  <c r="H1674" i="1" s="1"/>
  <c r="F1673" i="1"/>
  <c r="D1673" i="1"/>
  <c r="L1673" i="1" s="1"/>
  <c r="K1672" i="1"/>
  <c r="N1672" i="1" s="1"/>
  <c r="J1672" i="1"/>
  <c r="M1672" i="1" s="1"/>
  <c r="G1672" i="1"/>
  <c r="H1673" i="1" s="1"/>
  <c r="F1672" i="1"/>
  <c r="D1672" i="1"/>
  <c r="L1672" i="1" s="1"/>
  <c r="K1671" i="1"/>
  <c r="N1671" i="1" s="1"/>
  <c r="J1671" i="1"/>
  <c r="M1671" i="1" s="1"/>
  <c r="G1671" i="1"/>
  <c r="H1672" i="1" s="1"/>
  <c r="F1671" i="1"/>
  <c r="D1671" i="1"/>
  <c r="L1671" i="1" s="1"/>
  <c r="K1670" i="1"/>
  <c r="N1670" i="1" s="1"/>
  <c r="J1670" i="1"/>
  <c r="M1670" i="1" s="1"/>
  <c r="G1670" i="1"/>
  <c r="H1671" i="1" s="1"/>
  <c r="F1670" i="1"/>
  <c r="D1670" i="1"/>
  <c r="L1670" i="1" s="1"/>
  <c r="K1669" i="1"/>
  <c r="N1669" i="1" s="1"/>
  <c r="J1669" i="1"/>
  <c r="M1669" i="1" s="1"/>
  <c r="G1669" i="1"/>
  <c r="H1670" i="1" s="1"/>
  <c r="F1669" i="1"/>
  <c r="D1669" i="1"/>
  <c r="L1669" i="1" s="1"/>
  <c r="K1668" i="1"/>
  <c r="N1668" i="1" s="1"/>
  <c r="J1668" i="1"/>
  <c r="M1668" i="1" s="1"/>
  <c r="G1668" i="1"/>
  <c r="H1669" i="1" s="1"/>
  <c r="F1668" i="1"/>
  <c r="D1668" i="1"/>
  <c r="L1668" i="1" s="1"/>
  <c r="K1667" i="1"/>
  <c r="N1667" i="1" s="1"/>
  <c r="J1667" i="1"/>
  <c r="M1667" i="1" s="1"/>
  <c r="G1667" i="1"/>
  <c r="H1668" i="1" s="1"/>
  <c r="F1667" i="1"/>
  <c r="D1667" i="1"/>
  <c r="L1667" i="1" s="1"/>
  <c r="K1666" i="1"/>
  <c r="N1666" i="1" s="1"/>
  <c r="J1666" i="1"/>
  <c r="M1666" i="1" s="1"/>
  <c r="G1666" i="1"/>
  <c r="H1667" i="1" s="1"/>
  <c r="F1666" i="1"/>
  <c r="D1666" i="1"/>
  <c r="L1666" i="1" s="1"/>
  <c r="K1665" i="1"/>
  <c r="N1665" i="1" s="1"/>
  <c r="J1665" i="1"/>
  <c r="M1665" i="1" s="1"/>
  <c r="G1665" i="1"/>
  <c r="H1666" i="1" s="1"/>
  <c r="F1665" i="1"/>
  <c r="D1665" i="1"/>
  <c r="L1665" i="1" s="1"/>
  <c r="K1664" i="1"/>
  <c r="N1664" i="1" s="1"/>
  <c r="J1664" i="1"/>
  <c r="M1664" i="1" s="1"/>
  <c r="G1664" i="1"/>
  <c r="H1665" i="1" s="1"/>
  <c r="F1664" i="1"/>
  <c r="D1664" i="1"/>
  <c r="L1664" i="1" s="1"/>
  <c r="K1663" i="1"/>
  <c r="N1663" i="1" s="1"/>
  <c r="J1663" i="1"/>
  <c r="M1663" i="1" s="1"/>
  <c r="G1663" i="1"/>
  <c r="H1664" i="1" s="1"/>
  <c r="F1663" i="1"/>
  <c r="D1663" i="1"/>
  <c r="L1663" i="1" s="1"/>
  <c r="K1662" i="1"/>
  <c r="N1662" i="1" s="1"/>
  <c r="J1662" i="1"/>
  <c r="M1662" i="1" s="1"/>
  <c r="G1662" i="1"/>
  <c r="H1663" i="1" s="1"/>
  <c r="F1662" i="1"/>
  <c r="D1662" i="1"/>
  <c r="L1662" i="1" s="1"/>
  <c r="K1661" i="1"/>
  <c r="N1661" i="1" s="1"/>
  <c r="J1661" i="1"/>
  <c r="M1661" i="1" s="1"/>
  <c r="G1661" i="1"/>
  <c r="H1662" i="1" s="1"/>
  <c r="F1661" i="1"/>
  <c r="D1661" i="1"/>
  <c r="L1661" i="1" s="1"/>
  <c r="K1660" i="1"/>
  <c r="N1660" i="1" s="1"/>
  <c r="J1660" i="1"/>
  <c r="M1660" i="1" s="1"/>
  <c r="G1660" i="1"/>
  <c r="H1661" i="1" s="1"/>
  <c r="F1660" i="1"/>
  <c r="D1660" i="1"/>
  <c r="L1660" i="1" s="1"/>
  <c r="K1659" i="1"/>
  <c r="N1659" i="1" s="1"/>
  <c r="J1659" i="1"/>
  <c r="M1659" i="1" s="1"/>
  <c r="G1659" i="1"/>
  <c r="H1660" i="1" s="1"/>
  <c r="F1659" i="1"/>
  <c r="D1659" i="1"/>
  <c r="L1659" i="1" s="1"/>
  <c r="K1658" i="1"/>
  <c r="N1658" i="1" s="1"/>
  <c r="J1658" i="1"/>
  <c r="M1658" i="1" s="1"/>
  <c r="G1658" i="1"/>
  <c r="H1659" i="1" s="1"/>
  <c r="F1658" i="1"/>
  <c r="D1658" i="1"/>
  <c r="L1658" i="1" s="1"/>
  <c r="K1657" i="1"/>
  <c r="N1657" i="1" s="1"/>
  <c r="J1657" i="1"/>
  <c r="M1657" i="1" s="1"/>
  <c r="G1657" i="1"/>
  <c r="H1658" i="1" s="1"/>
  <c r="F1657" i="1"/>
  <c r="D1657" i="1"/>
  <c r="L1657" i="1" s="1"/>
  <c r="K1656" i="1"/>
  <c r="N1656" i="1" s="1"/>
  <c r="J1656" i="1"/>
  <c r="M1656" i="1" s="1"/>
  <c r="G1656" i="1"/>
  <c r="H1657" i="1" s="1"/>
  <c r="F1656" i="1"/>
  <c r="D1656" i="1"/>
  <c r="L1656" i="1" s="1"/>
  <c r="K1655" i="1"/>
  <c r="N1655" i="1" s="1"/>
  <c r="J1655" i="1"/>
  <c r="M1655" i="1" s="1"/>
  <c r="G1655" i="1"/>
  <c r="H1656" i="1" s="1"/>
  <c r="F1655" i="1"/>
  <c r="D1655" i="1"/>
  <c r="L1655" i="1" s="1"/>
  <c r="K1654" i="1"/>
  <c r="N1654" i="1" s="1"/>
  <c r="J1654" i="1"/>
  <c r="M1654" i="1" s="1"/>
  <c r="G1654" i="1"/>
  <c r="H1655" i="1" s="1"/>
  <c r="F1654" i="1"/>
  <c r="D1654" i="1"/>
  <c r="L1654" i="1" s="1"/>
  <c r="K1653" i="1"/>
  <c r="N1653" i="1" s="1"/>
  <c r="J1653" i="1"/>
  <c r="M1653" i="1" s="1"/>
  <c r="G1653" i="1"/>
  <c r="H1654" i="1" s="1"/>
  <c r="F1653" i="1"/>
  <c r="D1653" i="1"/>
  <c r="L1653" i="1" s="1"/>
  <c r="K1652" i="1"/>
  <c r="N1652" i="1" s="1"/>
  <c r="J1652" i="1"/>
  <c r="M1652" i="1" s="1"/>
  <c r="G1652" i="1"/>
  <c r="H1653" i="1" s="1"/>
  <c r="F1652" i="1"/>
  <c r="D1652" i="1"/>
  <c r="L1652" i="1" s="1"/>
  <c r="K1651" i="1"/>
  <c r="N1651" i="1" s="1"/>
  <c r="J1651" i="1"/>
  <c r="M1651" i="1" s="1"/>
  <c r="G1651" i="1"/>
  <c r="H1652" i="1" s="1"/>
  <c r="F1651" i="1"/>
  <c r="D1651" i="1"/>
  <c r="L1651" i="1" s="1"/>
  <c r="K1650" i="1"/>
  <c r="N1650" i="1" s="1"/>
  <c r="J1650" i="1"/>
  <c r="M1650" i="1" s="1"/>
  <c r="G1650" i="1"/>
  <c r="H1651" i="1" s="1"/>
  <c r="F1650" i="1"/>
  <c r="D1650" i="1"/>
  <c r="L1650" i="1" s="1"/>
  <c r="K1649" i="1"/>
  <c r="N1649" i="1" s="1"/>
  <c r="J1649" i="1"/>
  <c r="M1649" i="1" s="1"/>
  <c r="G1649" i="1"/>
  <c r="H1650" i="1" s="1"/>
  <c r="F1649" i="1"/>
  <c r="D1649" i="1"/>
  <c r="L1649" i="1" s="1"/>
  <c r="K1648" i="1"/>
  <c r="N1648" i="1" s="1"/>
  <c r="J1648" i="1"/>
  <c r="M1648" i="1" s="1"/>
  <c r="G1648" i="1"/>
  <c r="H1649" i="1" s="1"/>
  <c r="F1648" i="1"/>
  <c r="D1648" i="1"/>
  <c r="L1648" i="1" s="1"/>
  <c r="K1647" i="1"/>
  <c r="N1647" i="1" s="1"/>
  <c r="J1647" i="1"/>
  <c r="M1647" i="1" s="1"/>
  <c r="G1647" i="1"/>
  <c r="H1648" i="1" s="1"/>
  <c r="F1647" i="1"/>
  <c r="D1647" i="1"/>
  <c r="L1647" i="1" s="1"/>
  <c r="K1646" i="1"/>
  <c r="N1646" i="1" s="1"/>
  <c r="J1646" i="1"/>
  <c r="M1646" i="1" s="1"/>
  <c r="G1646" i="1"/>
  <c r="H1647" i="1" s="1"/>
  <c r="F1646" i="1"/>
  <c r="D1646" i="1"/>
  <c r="L1646" i="1" s="1"/>
  <c r="K1645" i="1"/>
  <c r="N1645" i="1" s="1"/>
  <c r="J1645" i="1"/>
  <c r="M1645" i="1" s="1"/>
  <c r="G1645" i="1"/>
  <c r="H1646" i="1" s="1"/>
  <c r="F1645" i="1"/>
  <c r="D1645" i="1"/>
  <c r="L1645" i="1" s="1"/>
  <c r="K1644" i="1"/>
  <c r="N1644" i="1" s="1"/>
  <c r="J1644" i="1"/>
  <c r="M1644" i="1" s="1"/>
  <c r="G1644" i="1"/>
  <c r="H1645" i="1" s="1"/>
  <c r="F1644" i="1"/>
  <c r="D1644" i="1"/>
  <c r="L1644" i="1" s="1"/>
  <c r="K1643" i="1"/>
  <c r="N1643" i="1" s="1"/>
  <c r="J1643" i="1"/>
  <c r="M1643" i="1" s="1"/>
  <c r="G1643" i="1"/>
  <c r="H1644" i="1" s="1"/>
  <c r="F1643" i="1"/>
  <c r="D1643" i="1"/>
  <c r="L1643" i="1" s="1"/>
  <c r="K1642" i="1"/>
  <c r="N1642" i="1" s="1"/>
  <c r="J1642" i="1"/>
  <c r="M1642" i="1" s="1"/>
  <c r="G1642" i="1"/>
  <c r="H1643" i="1" s="1"/>
  <c r="F1642" i="1"/>
  <c r="D1642" i="1"/>
  <c r="L1642" i="1" s="1"/>
  <c r="K1641" i="1"/>
  <c r="N1641" i="1" s="1"/>
  <c r="J1641" i="1"/>
  <c r="M1641" i="1" s="1"/>
  <c r="G1641" i="1"/>
  <c r="H1642" i="1" s="1"/>
  <c r="F1641" i="1"/>
  <c r="D1641" i="1"/>
  <c r="L1641" i="1" s="1"/>
  <c r="K1640" i="1"/>
  <c r="N1640" i="1" s="1"/>
  <c r="J1640" i="1"/>
  <c r="M1640" i="1" s="1"/>
  <c r="G1640" i="1"/>
  <c r="H1641" i="1" s="1"/>
  <c r="F1640" i="1"/>
  <c r="D1640" i="1"/>
  <c r="L1640" i="1" s="1"/>
  <c r="K1639" i="1"/>
  <c r="N1639" i="1" s="1"/>
  <c r="J1639" i="1"/>
  <c r="M1639" i="1" s="1"/>
  <c r="G1639" i="1"/>
  <c r="H1640" i="1" s="1"/>
  <c r="F1639" i="1"/>
  <c r="D1639" i="1"/>
  <c r="L1639" i="1" s="1"/>
  <c r="K1638" i="1"/>
  <c r="N1638" i="1" s="1"/>
  <c r="J1638" i="1"/>
  <c r="M1638" i="1" s="1"/>
  <c r="G1638" i="1"/>
  <c r="H1639" i="1" s="1"/>
  <c r="F1638" i="1"/>
  <c r="D1638" i="1"/>
  <c r="L1638" i="1" s="1"/>
  <c r="K1637" i="1"/>
  <c r="N1637" i="1" s="1"/>
  <c r="J1637" i="1"/>
  <c r="M1637" i="1" s="1"/>
  <c r="G1637" i="1"/>
  <c r="H1638" i="1" s="1"/>
  <c r="F1637" i="1"/>
  <c r="D1637" i="1"/>
  <c r="L1637" i="1" s="1"/>
  <c r="K1636" i="1"/>
  <c r="N1636" i="1" s="1"/>
  <c r="J1636" i="1"/>
  <c r="M1636" i="1" s="1"/>
  <c r="G1636" i="1"/>
  <c r="H1637" i="1" s="1"/>
  <c r="F1636" i="1"/>
  <c r="D1636" i="1"/>
  <c r="L1636" i="1" s="1"/>
  <c r="K1635" i="1"/>
  <c r="N1635" i="1" s="1"/>
  <c r="J1635" i="1"/>
  <c r="M1635" i="1" s="1"/>
  <c r="G1635" i="1"/>
  <c r="H1636" i="1" s="1"/>
  <c r="F1635" i="1"/>
  <c r="D1635" i="1"/>
  <c r="L1635" i="1" s="1"/>
  <c r="K1634" i="1"/>
  <c r="N1634" i="1" s="1"/>
  <c r="J1634" i="1"/>
  <c r="M1634" i="1" s="1"/>
  <c r="G1634" i="1"/>
  <c r="H1635" i="1" s="1"/>
  <c r="F1634" i="1"/>
  <c r="D1634" i="1"/>
  <c r="L1634" i="1" s="1"/>
  <c r="K1633" i="1"/>
  <c r="N1633" i="1" s="1"/>
  <c r="J1633" i="1"/>
  <c r="M1633" i="1" s="1"/>
  <c r="G1633" i="1"/>
  <c r="H1634" i="1" s="1"/>
  <c r="F1633" i="1"/>
  <c r="D1633" i="1"/>
  <c r="L1633" i="1" s="1"/>
  <c r="K1632" i="1"/>
  <c r="N1632" i="1" s="1"/>
  <c r="J1632" i="1"/>
  <c r="M1632" i="1" s="1"/>
  <c r="G1632" i="1"/>
  <c r="H1633" i="1" s="1"/>
  <c r="F1632" i="1"/>
  <c r="D1632" i="1"/>
  <c r="L1632" i="1" s="1"/>
  <c r="K1631" i="1"/>
  <c r="N1631" i="1" s="1"/>
  <c r="J1631" i="1"/>
  <c r="M1631" i="1" s="1"/>
  <c r="G1631" i="1"/>
  <c r="H1632" i="1" s="1"/>
  <c r="F1631" i="1"/>
  <c r="D1631" i="1"/>
  <c r="L1631" i="1" s="1"/>
  <c r="K1630" i="1"/>
  <c r="N1630" i="1" s="1"/>
  <c r="J1630" i="1"/>
  <c r="M1630" i="1" s="1"/>
  <c r="G1630" i="1"/>
  <c r="H1631" i="1" s="1"/>
  <c r="F1630" i="1"/>
  <c r="D1630" i="1"/>
  <c r="L1630" i="1" s="1"/>
  <c r="K1629" i="1"/>
  <c r="N1629" i="1" s="1"/>
  <c r="J1629" i="1"/>
  <c r="M1629" i="1" s="1"/>
  <c r="G1629" i="1"/>
  <c r="H1630" i="1" s="1"/>
  <c r="F1629" i="1"/>
  <c r="D1629" i="1"/>
  <c r="L1629" i="1" s="1"/>
  <c r="K1628" i="1"/>
  <c r="N1628" i="1" s="1"/>
  <c r="J1628" i="1"/>
  <c r="M1628" i="1" s="1"/>
  <c r="G1628" i="1"/>
  <c r="H1629" i="1" s="1"/>
  <c r="F1628" i="1"/>
  <c r="D1628" i="1"/>
  <c r="L1628" i="1" s="1"/>
  <c r="K1627" i="1"/>
  <c r="N1627" i="1" s="1"/>
  <c r="J1627" i="1"/>
  <c r="M1627" i="1" s="1"/>
  <c r="G1627" i="1"/>
  <c r="H1628" i="1" s="1"/>
  <c r="F1627" i="1"/>
  <c r="D1627" i="1"/>
  <c r="L1627" i="1" s="1"/>
  <c r="K1626" i="1"/>
  <c r="N1626" i="1" s="1"/>
  <c r="J1626" i="1"/>
  <c r="M1626" i="1" s="1"/>
  <c r="G1626" i="1"/>
  <c r="H1627" i="1" s="1"/>
  <c r="F1626" i="1"/>
  <c r="D1626" i="1"/>
  <c r="L1626" i="1" s="1"/>
  <c r="K1625" i="1"/>
  <c r="N1625" i="1" s="1"/>
  <c r="J1625" i="1"/>
  <c r="M1625" i="1" s="1"/>
  <c r="G1625" i="1"/>
  <c r="H1626" i="1" s="1"/>
  <c r="F1625" i="1"/>
  <c r="D1625" i="1"/>
  <c r="L1625" i="1" s="1"/>
  <c r="K1624" i="1"/>
  <c r="N1624" i="1" s="1"/>
  <c r="J1624" i="1"/>
  <c r="M1624" i="1" s="1"/>
  <c r="G1624" i="1"/>
  <c r="H1625" i="1" s="1"/>
  <c r="F1624" i="1"/>
  <c r="D1624" i="1"/>
  <c r="L1624" i="1" s="1"/>
  <c r="K1623" i="1"/>
  <c r="N1623" i="1" s="1"/>
  <c r="J1623" i="1"/>
  <c r="M1623" i="1" s="1"/>
  <c r="G1623" i="1"/>
  <c r="H1624" i="1" s="1"/>
  <c r="F1623" i="1"/>
  <c r="D1623" i="1"/>
  <c r="L1623" i="1" s="1"/>
  <c r="K1622" i="1"/>
  <c r="N1622" i="1" s="1"/>
  <c r="J1622" i="1"/>
  <c r="M1622" i="1" s="1"/>
  <c r="G1622" i="1"/>
  <c r="H1623" i="1" s="1"/>
  <c r="F1622" i="1"/>
  <c r="D1622" i="1"/>
  <c r="L1622" i="1" s="1"/>
  <c r="K1621" i="1"/>
  <c r="N1621" i="1" s="1"/>
  <c r="J1621" i="1"/>
  <c r="M1621" i="1" s="1"/>
  <c r="G1621" i="1"/>
  <c r="H1622" i="1" s="1"/>
  <c r="F1621" i="1"/>
  <c r="D1621" i="1"/>
  <c r="L1621" i="1" s="1"/>
  <c r="K1620" i="1"/>
  <c r="N1620" i="1" s="1"/>
  <c r="J1620" i="1"/>
  <c r="M1620" i="1" s="1"/>
  <c r="G1620" i="1"/>
  <c r="H1621" i="1" s="1"/>
  <c r="F1620" i="1"/>
  <c r="D1620" i="1"/>
  <c r="L1620" i="1" s="1"/>
  <c r="K1619" i="1"/>
  <c r="N1619" i="1" s="1"/>
  <c r="J1619" i="1"/>
  <c r="M1619" i="1" s="1"/>
  <c r="G1619" i="1"/>
  <c r="H1620" i="1" s="1"/>
  <c r="F1619" i="1"/>
  <c r="D1619" i="1"/>
  <c r="L1619" i="1" s="1"/>
  <c r="K1618" i="1"/>
  <c r="N1618" i="1" s="1"/>
  <c r="J1618" i="1"/>
  <c r="M1618" i="1" s="1"/>
  <c r="G1618" i="1"/>
  <c r="H1619" i="1" s="1"/>
  <c r="F1618" i="1"/>
  <c r="D1618" i="1"/>
  <c r="L1618" i="1" s="1"/>
  <c r="K1617" i="1"/>
  <c r="N1617" i="1" s="1"/>
  <c r="J1617" i="1"/>
  <c r="M1617" i="1" s="1"/>
  <c r="G1617" i="1"/>
  <c r="H1618" i="1" s="1"/>
  <c r="F1617" i="1"/>
  <c r="D1617" i="1"/>
  <c r="L1617" i="1" s="1"/>
  <c r="K1616" i="1"/>
  <c r="N1616" i="1" s="1"/>
  <c r="J1616" i="1"/>
  <c r="M1616" i="1" s="1"/>
  <c r="G1616" i="1"/>
  <c r="H1617" i="1" s="1"/>
  <c r="F1616" i="1"/>
  <c r="D1616" i="1"/>
  <c r="L1616" i="1" s="1"/>
  <c r="K1615" i="1"/>
  <c r="N1615" i="1" s="1"/>
  <c r="J1615" i="1"/>
  <c r="M1615" i="1" s="1"/>
  <c r="G1615" i="1"/>
  <c r="H1616" i="1" s="1"/>
  <c r="F1615" i="1"/>
  <c r="D1615" i="1"/>
  <c r="L1615" i="1" s="1"/>
  <c r="K1614" i="1"/>
  <c r="N1614" i="1" s="1"/>
  <c r="J1614" i="1"/>
  <c r="M1614" i="1" s="1"/>
  <c r="G1614" i="1"/>
  <c r="H1615" i="1" s="1"/>
  <c r="F1614" i="1"/>
  <c r="D1614" i="1"/>
  <c r="L1614" i="1" s="1"/>
  <c r="K1613" i="1"/>
  <c r="N1613" i="1" s="1"/>
  <c r="J1613" i="1"/>
  <c r="M1613" i="1" s="1"/>
  <c r="G1613" i="1"/>
  <c r="H1614" i="1" s="1"/>
  <c r="F1613" i="1"/>
  <c r="D1613" i="1"/>
  <c r="L1613" i="1" s="1"/>
  <c r="K1612" i="1"/>
  <c r="N1612" i="1" s="1"/>
  <c r="J1612" i="1"/>
  <c r="M1612" i="1" s="1"/>
  <c r="G1612" i="1"/>
  <c r="H1613" i="1" s="1"/>
  <c r="F1612" i="1"/>
  <c r="D1612" i="1"/>
  <c r="L1612" i="1" s="1"/>
  <c r="K1611" i="1"/>
  <c r="N1611" i="1" s="1"/>
  <c r="J1611" i="1"/>
  <c r="M1611" i="1" s="1"/>
  <c r="G1611" i="1"/>
  <c r="H1612" i="1" s="1"/>
  <c r="F1611" i="1"/>
  <c r="D1611" i="1"/>
  <c r="L1611" i="1" s="1"/>
  <c r="K1610" i="1"/>
  <c r="N1610" i="1" s="1"/>
  <c r="J1610" i="1"/>
  <c r="M1610" i="1" s="1"/>
  <c r="G1610" i="1"/>
  <c r="H1611" i="1" s="1"/>
  <c r="F1610" i="1"/>
  <c r="D1610" i="1"/>
  <c r="L1610" i="1" s="1"/>
  <c r="K1609" i="1"/>
  <c r="N1609" i="1" s="1"/>
  <c r="J1609" i="1"/>
  <c r="M1609" i="1" s="1"/>
  <c r="G1609" i="1"/>
  <c r="H1610" i="1" s="1"/>
  <c r="F1609" i="1"/>
  <c r="D1609" i="1"/>
  <c r="L1609" i="1" s="1"/>
  <c r="K1608" i="1"/>
  <c r="N1608" i="1" s="1"/>
  <c r="J1608" i="1"/>
  <c r="M1608" i="1" s="1"/>
  <c r="G1608" i="1"/>
  <c r="H1609" i="1" s="1"/>
  <c r="F1608" i="1"/>
  <c r="D1608" i="1"/>
  <c r="L1608" i="1" s="1"/>
  <c r="K1607" i="1"/>
  <c r="N1607" i="1" s="1"/>
  <c r="J1607" i="1"/>
  <c r="M1607" i="1" s="1"/>
  <c r="G1607" i="1"/>
  <c r="H1608" i="1" s="1"/>
  <c r="F1607" i="1"/>
  <c r="D1607" i="1"/>
  <c r="L1607" i="1" s="1"/>
  <c r="K1606" i="1"/>
  <c r="N1606" i="1" s="1"/>
  <c r="J1606" i="1"/>
  <c r="M1606" i="1" s="1"/>
  <c r="G1606" i="1"/>
  <c r="H1607" i="1" s="1"/>
  <c r="F1606" i="1"/>
  <c r="D1606" i="1"/>
  <c r="L1606" i="1" s="1"/>
  <c r="K1605" i="1"/>
  <c r="N1605" i="1" s="1"/>
  <c r="J1605" i="1"/>
  <c r="M1605" i="1" s="1"/>
  <c r="G1605" i="1"/>
  <c r="H1606" i="1" s="1"/>
  <c r="F1605" i="1"/>
  <c r="D1605" i="1"/>
  <c r="L1605" i="1" s="1"/>
  <c r="K1604" i="1"/>
  <c r="N1604" i="1" s="1"/>
  <c r="J1604" i="1"/>
  <c r="M1604" i="1" s="1"/>
  <c r="G1604" i="1"/>
  <c r="H1605" i="1" s="1"/>
  <c r="F1604" i="1"/>
  <c r="D1604" i="1"/>
  <c r="L1604" i="1" s="1"/>
  <c r="K1603" i="1"/>
  <c r="N1603" i="1" s="1"/>
  <c r="J1603" i="1"/>
  <c r="M1603" i="1" s="1"/>
  <c r="G1603" i="1"/>
  <c r="H1604" i="1" s="1"/>
  <c r="F1603" i="1"/>
  <c r="D1603" i="1"/>
  <c r="L1603" i="1" s="1"/>
  <c r="K1602" i="1"/>
  <c r="N1602" i="1" s="1"/>
  <c r="J1602" i="1"/>
  <c r="M1602" i="1" s="1"/>
  <c r="G1602" i="1"/>
  <c r="H1603" i="1" s="1"/>
  <c r="F1602" i="1"/>
  <c r="D1602" i="1"/>
  <c r="L1602" i="1" s="1"/>
  <c r="K1601" i="1"/>
  <c r="N1601" i="1" s="1"/>
  <c r="J1601" i="1"/>
  <c r="M1601" i="1" s="1"/>
  <c r="G1601" i="1"/>
  <c r="H1602" i="1" s="1"/>
  <c r="F1601" i="1"/>
  <c r="D1601" i="1"/>
  <c r="L1601" i="1" s="1"/>
  <c r="K1600" i="1"/>
  <c r="N1600" i="1" s="1"/>
  <c r="J1600" i="1"/>
  <c r="M1600" i="1" s="1"/>
  <c r="G1600" i="1"/>
  <c r="H1601" i="1" s="1"/>
  <c r="F1600" i="1"/>
  <c r="D1600" i="1"/>
  <c r="L1600" i="1" s="1"/>
  <c r="K1599" i="1"/>
  <c r="N1599" i="1" s="1"/>
  <c r="J1599" i="1"/>
  <c r="M1599" i="1" s="1"/>
  <c r="G1599" i="1"/>
  <c r="H1600" i="1" s="1"/>
  <c r="F1599" i="1"/>
  <c r="D1599" i="1"/>
  <c r="L1599" i="1" s="1"/>
  <c r="K1598" i="1"/>
  <c r="N1598" i="1" s="1"/>
  <c r="J1598" i="1"/>
  <c r="M1598" i="1" s="1"/>
  <c r="G1598" i="1"/>
  <c r="H1599" i="1" s="1"/>
  <c r="F1598" i="1"/>
  <c r="D1598" i="1"/>
  <c r="L1598" i="1" s="1"/>
  <c r="K1597" i="1"/>
  <c r="N1597" i="1" s="1"/>
  <c r="J1597" i="1"/>
  <c r="M1597" i="1" s="1"/>
  <c r="G1597" i="1"/>
  <c r="H1598" i="1" s="1"/>
  <c r="F1597" i="1"/>
  <c r="D1597" i="1"/>
  <c r="L1597" i="1" s="1"/>
  <c r="K1596" i="1"/>
  <c r="N1596" i="1" s="1"/>
  <c r="J1596" i="1"/>
  <c r="M1596" i="1" s="1"/>
  <c r="G1596" i="1"/>
  <c r="H1597" i="1" s="1"/>
  <c r="F1596" i="1"/>
  <c r="D1596" i="1"/>
  <c r="L1596" i="1" s="1"/>
  <c r="K1595" i="1"/>
  <c r="N1595" i="1" s="1"/>
  <c r="J1595" i="1"/>
  <c r="M1595" i="1" s="1"/>
  <c r="G1595" i="1"/>
  <c r="H1596" i="1" s="1"/>
  <c r="F1595" i="1"/>
  <c r="D1595" i="1"/>
  <c r="L1595" i="1" s="1"/>
  <c r="K1594" i="1"/>
  <c r="N1594" i="1" s="1"/>
  <c r="J1594" i="1"/>
  <c r="M1594" i="1" s="1"/>
  <c r="G1594" i="1"/>
  <c r="H1595" i="1" s="1"/>
  <c r="F1594" i="1"/>
  <c r="D1594" i="1"/>
  <c r="L1594" i="1" s="1"/>
  <c r="K1593" i="1"/>
  <c r="N1593" i="1" s="1"/>
  <c r="J1593" i="1"/>
  <c r="M1593" i="1" s="1"/>
  <c r="G1593" i="1"/>
  <c r="H1594" i="1" s="1"/>
  <c r="F1593" i="1"/>
  <c r="D1593" i="1"/>
  <c r="L1593" i="1" s="1"/>
  <c r="K1592" i="1"/>
  <c r="N1592" i="1" s="1"/>
  <c r="J1592" i="1"/>
  <c r="M1592" i="1" s="1"/>
  <c r="G1592" i="1"/>
  <c r="H1593" i="1" s="1"/>
  <c r="F1592" i="1"/>
  <c r="D1592" i="1"/>
  <c r="L1592" i="1" s="1"/>
  <c r="K1591" i="1"/>
  <c r="N1591" i="1" s="1"/>
  <c r="J1591" i="1"/>
  <c r="M1591" i="1" s="1"/>
  <c r="G1591" i="1"/>
  <c r="H1592" i="1" s="1"/>
  <c r="F1591" i="1"/>
  <c r="D1591" i="1"/>
  <c r="L1591" i="1" s="1"/>
  <c r="K1590" i="1"/>
  <c r="N1590" i="1" s="1"/>
  <c r="J1590" i="1"/>
  <c r="M1590" i="1" s="1"/>
  <c r="G1590" i="1"/>
  <c r="H1591" i="1" s="1"/>
  <c r="F1590" i="1"/>
  <c r="D1590" i="1"/>
  <c r="L1590" i="1" s="1"/>
  <c r="K1589" i="1"/>
  <c r="N1589" i="1" s="1"/>
  <c r="J1589" i="1"/>
  <c r="M1589" i="1" s="1"/>
  <c r="G1589" i="1"/>
  <c r="H1590" i="1" s="1"/>
  <c r="F1589" i="1"/>
  <c r="D1589" i="1"/>
  <c r="L1589" i="1" s="1"/>
  <c r="K1588" i="1"/>
  <c r="N1588" i="1" s="1"/>
  <c r="J1588" i="1"/>
  <c r="M1588" i="1" s="1"/>
  <c r="G1588" i="1"/>
  <c r="H1589" i="1" s="1"/>
  <c r="F1588" i="1"/>
  <c r="D1588" i="1"/>
  <c r="L1588" i="1" s="1"/>
  <c r="K1587" i="1"/>
  <c r="N1587" i="1" s="1"/>
  <c r="J1587" i="1"/>
  <c r="M1587" i="1" s="1"/>
  <c r="G1587" i="1"/>
  <c r="H1588" i="1" s="1"/>
  <c r="F1587" i="1"/>
  <c r="D1587" i="1"/>
  <c r="L1587" i="1" s="1"/>
  <c r="K1586" i="1"/>
  <c r="N1586" i="1" s="1"/>
  <c r="J1586" i="1"/>
  <c r="M1586" i="1" s="1"/>
  <c r="G1586" i="1"/>
  <c r="H1587" i="1" s="1"/>
  <c r="F1586" i="1"/>
  <c r="D1586" i="1"/>
  <c r="L1586" i="1" s="1"/>
  <c r="K1585" i="1"/>
  <c r="N1585" i="1" s="1"/>
  <c r="J1585" i="1"/>
  <c r="M1585" i="1" s="1"/>
  <c r="G1585" i="1"/>
  <c r="H1586" i="1" s="1"/>
  <c r="F1585" i="1"/>
  <c r="D1585" i="1"/>
  <c r="L1585" i="1" s="1"/>
  <c r="K1584" i="1"/>
  <c r="N1584" i="1" s="1"/>
  <c r="J1584" i="1"/>
  <c r="M1584" i="1" s="1"/>
  <c r="G1584" i="1"/>
  <c r="H1585" i="1" s="1"/>
  <c r="F1584" i="1"/>
  <c r="D1584" i="1"/>
  <c r="L1584" i="1" s="1"/>
  <c r="K1583" i="1"/>
  <c r="N1583" i="1" s="1"/>
  <c r="J1583" i="1"/>
  <c r="M1583" i="1" s="1"/>
  <c r="G1583" i="1"/>
  <c r="H1584" i="1" s="1"/>
  <c r="F1583" i="1"/>
  <c r="D1583" i="1"/>
  <c r="L1583" i="1" s="1"/>
  <c r="K1582" i="1"/>
  <c r="N1582" i="1" s="1"/>
  <c r="J1582" i="1"/>
  <c r="M1582" i="1" s="1"/>
  <c r="G1582" i="1"/>
  <c r="H1583" i="1" s="1"/>
  <c r="F1582" i="1"/>
  <c r="D1582" i="1"/>
  <c r="L1582" i="1" s="1"/>
  <c r="K1581" i="1"/>
  <c r="N1581" i="1" s="1"/>
  <c r="J1581" i="1"/>
  <c r="M1581" i="1" s="1"/>
  <c r="G1581" i="1"/>
  <c r="H1582" i="1" s="1"/>
  <c r="F1581" i="1"/>
  <c r="D1581" i="1"/>
  <c r="L1581" i="1" s="1"/>
  <c r="K1580" i="1"/>
  <c r="N1580" i="1" s="1"/>
  <c r="J1580" i="1"/>
  <c r="M1580" i="1" s="1"/>
  <c r="G1580" i="1"/>
  <c r="H1581" i="1" s="1"/>
  <c r="F1580" i="1"/>
  <c r="D1580" i="1"/>
  <c r="L1580" i="1" s="1"/>
  <c r="K1579" i="1"/>
  <c r="N1579" i="1" s="1"/>
  <c r="J1579" i="1"/>
  <c r="M1579" i="1" s="1"/>
  <c r="G1579" i="1"/>
  <c r="H1580" i="1" s="1"/>
  <c r="F1579" i="1"/>
  <c r="D1579" i="1"/>
  <c r="L1579" i="1" s="1"/>
  <c r="K1578" i="1"/>
  <c r="N1578" i="1" s="1"/>
  <c r="J1578" i="1"/>
  <c r="M1578" i="1" s="1"/>
  <c r="G1578" i="1"/>
  <c r="H1579" i="1" s="1"/>
  <c r="F1578" i="1"/>
  <c r="D1578" i="1"/>
  <c r="L1578" i="1" s="1"/>
  <c r="K1577" i="1"/>
  <c r="N1577" i="1" s="1"/>
  <c r="J1577" i="1"/>
  <c r="M1577" i="1" s="1"/>
  <c r="G1577" i="1"/>
  <c r="H1578" i="1" s="1"/>
  <c r="F1577" i="1"/>
  <c r="D1577" i="1"/>
  <c r="L1577" i="1" s="1"/>
  <c r="K1576" i="1"/>
  <c r="N1576" i="1" s="1"/>
  <c r="J1576" i="1"/>
  <c r="M1576" i="1" s="1"/>
  <c r="G1576" i="1"/>
  <c r="H1577" i="1" s="1"/>
  <c r="F1576" i="1"/>
  <c r="D1576" i="1"/>
  <c r="L1576" i="1" s="1"/>
  <c r="K1575" i="1"/>
  <c r="N1575" i="1" s="1"/>
  <c r="J1575" i="1"/>
  <c r="M1575" i="1" s="1"/>
  <c r="G1575" i="1"/>
  <c r="H1576" i="1" s="1"/>
  <c r="F1575" i="1"/>
  <c r="D1575" i="1"/>
  <c r="L1575" i="1" s="1"/>
  <c r="K1574" i="1"/>
  <c r="N1574" i="1" s="1"/>
  <c r="J1574" i="1"/>
  <c r="M1574" i="1" s="1"/>
  <c r="G1574" i="1"/>
  <c r="H1575" i="1" s="1"/>
  <c r="F1574" i="1"/>
  <c r="D1574" i="1"/>
  <c r="L1574" i="1" s="1"/>
  <c r="K1573" i="1"/>
  <c r="N1573" i="1" s="1"/>
  <c r="J1573" i="1"/>
  <c r="M1573" i="1" s="1"/>
  <c r="G1573" i="1"/>
  <c r="H1574" i="1" s="1"/>
  <c r="F1573" i="1"/>
  <c r="D1573" i="1"/>
  <c r="L1573" i="1" s="1"/>
  <c r="K1572" i="1"/>
  <c r="N1572" i="1" s="1"/>
  <c r="J1572" i="1"/>
  <c r="M1572" i="1" s="1"/>
  <c r="G1572" i="1"/>
  <c r="H1573" i="1" s="1"/>
  <c r="F1572" i="1"/>
  <c r="D1572" i="1"/>
  <c r="L1572" i="1" s="1"/>
  <c r="K1571" i="1"/>
  <c r="N1571" i="1" s="1"/>
  <c r="J1571" i="1"/>
  <c r="M1571" i="1" s="1"/>
  <c r="G1571" i="1"/>
  <c r="H1572" i="1" s="1"/>
  <c r="F1571" i="1"/>
  <c r="D1571" i="1"/>
  <c r="L1571" i="1" s="1"/>
  <c r="K1570" i="1"/>
  <c r="N1570" i="1" s="1"/>
  <c r="J1570" i="1"/>
  <c r="M1570" i="1" s="1"/>
  <c r="G1570" i="1"/>
  <c r="H1571" i="1" s="1"/>
  <c r="F1570" i="1"/>
  <c r="D1570" i="1"/>
  <c r="L1570" i="1" s="1"/>
  <c r="K1569" i="1"/>
  <c r="N1569" i="1" s="1"/>
  <c r="J1569" i="1"/>
  <c r="M1569" i="1" s="1"/>
  <c r="G1569" i="1"/>
  <c r="H1570" i="1" s="1"/>
  <c r="F1569" i="1"/>
  <c r="D1569" i="1"/>
  <c r="L1569" i="1" s="1"/>
  <c r="K1568" i="1"/>
  <c r="N1568" i="1" s="1"/>
  <c r="J1568" i="1"/>
  <c r="M1568" i="1" s="1"/>
  <c r="G1568" i="1"/>
  <c r="H1569" i="1" s="1"/>
  <c r="F1568" i="1"/>
  <c r="D1568" i="1"/>
  <c r="L1568" i="1" s="1"/>
  <c r="K1567" i="1"/>
  <c r="N1567" i="1" s="1"/>
  <c r="J1567" i="1"/>
  <c r="M1567" i="1" s="1"/>
  <c r="G1567" i="1"/>
  <c r="H1568" i="1" s="1"/>
  <c r="F1567" i="1"/>
  <c r="D1567" i="1"/>
  <c r="L1567" i="1" s="1"/>
  <c r="K1566" i="1"/>
  <c r="N1566" i="1" s="1"/>
  <c r="J1566" i="1"/>
  <c r="M1566" i="1" s="1"/>
  <c r="G1566" i="1"/>
  <c r="H1567" i="1" s="1"/>
  <c r="F1566" i="1"/>
  <c r="D1566" i="1"/>
  <c r="L1566" i="1" s="1"/>
  <c r="K1565" i="1"/>
  <c r="N1565" i="1" s="1"/>
  <c r="J1565" i="1"/>
  <c r="M1565" i="1" s="1"/>
  <c r="G1565" i="1"/>
  <c r="H1566" i="1" s="1"/>
  <c r="F1565" i="1"/>
  <c r="D1565" i="1"/>
  <c r="L1565" i="1" s="1"/>
  <c r="K1564" i="1"/>
  <c r="N1564" i="1" s="1"/>
  <c r="J1564" i="1"/>
  <c r="M1564" i="1" s="1"/>
  <c r="G1564" i="1"/>
  <c r="H1565" i="1" s="1"/>
  <c r="F1564" i="1"/>
  <c r="D1564" i="1"/>
  <c r="L1564" i="1" s="1"/>
  <c r="K1563" i="1"/>
  <c r="N1563" i="1" s="1"/>
  <c r="J1563" i="1"/>
  <c r="M1563" i="1" s="1"/>
  <c r="G1563" i="1"/>
  <c r="H1564" i="1" s="1"/>
  <c r="F1563" i="1"/>
  <c r="D1563" i="1"/>
  <c r="L1563" i="1" s="1"/>
  <c r="K1562" i="1"/>
  <c r="N1562" i="1" s="1"/>
  <c r="J1562" i="1"/>
  <c r="M1562" i="1" s="1"/>
  <c r="G1562" i="1"/>
  <c r="H1563" i="1" s="1"/>
  <c r="F1562" i="1"/>
  <c r="D1562" i="1"/>
  <c r="L1562" i="1" s="1"/>
  <c r="K1561" i="1"/>
  <c r="N1561" i="1" s="1"/>
  <c r="J1561" i="1"/>
  <c r="M1561" i="1" s="1"/>
  <c r="G1561" i="1"/>
  <c r="H1562" i="1" s="1"/>
  <c r="F1561" i="1"/>
  <c r="D1561" i="1"/>
  <c r="L1561" i="1" s="1"/>
  <c r="K1560" i="1"/>
  <c r="N1560" i="1" s="1"/>
  <c r="J1560" i="1"/>
  <c r="M1560" i="1" s="1"/>
  <c r="G1560" i="1"/>
  <c r="H1561" i="1" s="1"/>
  <c r="F1560" i="1"/>
  <c r="D1560" i="1"/>
  <c r="L1560" i="1" s="1"/>
  <c r="K1559" i="1"/>
  <c r="N1559" i="1" s="1"/>
  <c r="J1559" i="1"/>
  <c r="M1559" i="1" s="1"/>
  <c r="G1559" i="1"/>
  <c r="H1560" i="1" s="1"/>
  <c r="F1559" i="1"/>
  <c r="D1559" i="1"/>
  <c r="L1559" i="1" s="1"/>
  <c r="K1558" i="1"/>
  <c r="N1558" i="1" s="1"/>
  <c r="J1558" i="1"/>
  <c r="M1558" i="1" s="1"/>
  <c r="G1558" i="1"/>
  <c r="H1559" i="1" s="1"/>
  <c r="F1558" i="1"/>
  <c r="D1558" i="1"/>
  <c r="L1558" i="1" s="1"/>
  <c r="K1557" i="1"/>
  <c r="N1557" i="1" s="1"/>
  <c r="J1557" i="1"/>
  <c r="M1557" i="1" s="1"/>
  <c r="G1557" i="1"/>
  <c r="H1558" i="1" s="1"/>
  <c r="F1557" i="1"/>
  <c r="D1557" i="1"/>
  <c r="L1557" i="1" s="1"/>
  <c r="K1556" i="1"/>
  <c r="N1556" i="1" s="1"/>
  <c r="J1556" i="1"/>
  <c r="M1556" i="1" s="1"/>
  <c r="G1556" i="1"/>
  <c r="H1557" i="1" s="1"/>
  <c r="F1556" i="1"/>
  <c r="D1556" i="1"/>
  <c r="L1556" i="1" s="1"/>
  <c r="K1555" i="1"/>
  <c r="N1555" i="1" s="1"/>
  <c r="J1555" i="1"/>
  <c r="M1555" i="1" s="1"/>
  <c r="G1555" i="1"/>
  <c r="H1556" i="1" s="1"/>
  <c r="F1555" i="1"/>
  <c r="D1555" i="1"/>
  <c r="L1555" i="1" s="1"/>
  <c r="K1554" i="1"/>
  <c r="N1554" i="1" s="1"/>
  <c r="J1554" i="1"/>
  <c r="M1554" i="1" s="1"/>
  <c r="G1554" i="1"/>
  <c r="H1555" i="1" s="1"/>
  <c r="F1554" i="1"/>
  <c r="D1554" i="1"/>
  <c r="L1554" i="1" s="1"/>
  <c r="K1553" i="1"/>
  <c r="N1553" i="1" s="1"/>
  <c r="J1553" i="1"/>
  <c r="M1553" i="1" s="1"/>
  <c r="G1553" i="1"/>
  <c r="H1554" i="1" s="1"/>
  <c r="F1553" i="1"/>
  <c r="D1553" i="1"/>
  <c r="L1553" i="1" s="1"/>
  <c r="K1552" i="1"/>
  <c r="N1552" i="1" s="1"/>
  <c r="J1552" i="1"/>
  <c r="M1552" i="1" s="1"/>
  <c r="G1552" i="1"/>
  <c r="H1553" i="1" s="1"/>
  <c r="F1552" i="1"/>
  <c r="D1552" i="1"/>
  <c r="L1552" i="1" s="1"/>
  <c r="K1551" i="1"/>
  <c r="N1551" i="1" s="1"/>
  <c r="J1551" i="1"/>
  <c r="M1551" i="1" s="1"/>
  <c r="G1551" i="1"/>
  <c r="H1552" i="1" s="1"/>
  <c r="F1551" i="1"/>
  <c r="D1551" i="1"/>
  <c r="L1551" i="1" s="1"/>
  <c r="K1550" i="1"/>
  <c r="N1550" i="1" s="1"/>
  <c r="J1550" i="1"/>
  <c r="M1550" i="1" s="1"/>
  <c r="G1550" i="1"/>
  <c r="H1551" i="1" s="1"/>
  <c r="F1550" i="1"/>
  <c r="D1550" i="1"/>
  <c r="L1550" i="1" s="1"/>
  <c r="K1549" i="1"/>
  <c r="N1549" i="1" s="1"/>
  <c r="J1549" i="1"/>
  <c r="M1549" i="1" s="1"/>
  <c r="G1549" i="1"/>
  <c r="H1550" i="1" s="1"/>
  <c r="F1549" i="1"/>
  <c r="D1549" i="1"/>
  <c r="L1549" i="1" s="1"/>
  <c r="K1548" i="1"/>
  <c r="N1548" i="1" s="1"/>
  <c r="J1548" i="1"/>
  <c r="M1548" i="1" s="1"/>
  <c r="G1548" i="1"/>
  <c r="H1549" i="1" s="1"/>
  <c r="F1548" i="1"/>
  <c r="D1548" i="1"/>
  <c r="L1548" i="1" s="1"/>
  <c r="K1547" i="1"/>
  <c r="N1547" i="1" s="1"/>
  <c r="J1547" i="1"/>
  <c r="M1547" i="1" s="1"/>
  <c r="G1547" i="1"/>
  <c r="H1548" i="1" s="1"/>
  <c r="F1547" i="1"/>
  <c r="D1547" i="1"/>
  <c r="L1547" i="1" s="1"/>
  <c r="K1546" i="1"/>
  <c r="N1546" i="1" s="1"/>
  <c r="J1546" i="1"/>
  <c r="M1546" i="1" s="1"/>
  <c r="G1546" i="1"/>
  <c r="H1547" i="1" s="1"/>
  <c r="F1546" i="1"/>
  <c r="D1546" i="1"/>
  <c r="L1546" i="1" s="1"/>
  <c r="K1545" i="1"/>
  <c r="N1545" i="1" s="1"/>
  <c r="J1545" i="1"/>
  <c r="M1545" i="1" s="1"/>
  <c r="G1545" i="1"/>
  <c r="H1546" i="1" s="1"/>
  <c r="F1545" i="1"/>
  <c r="D1545" i="1"/>
  <c r="L1545" i="1" s="1"/>
  <c r="K1544" i="1"/>
  <c r="N1544" i="1" s="1"/>
  <c r="J1544" i="1"/>
  <c r="M1544" i="1" s="1"/>
  <c r="G1544" i="1"/>
  <c r="H1545" i="1" s="1"/>
  <c r="F1544" i="1"/>
  <c r="D1544" i="1"/>
  <c r="L1544" i="1" s="1"/>
  <c r="K1543" i="1"/>
  <c r="N1543" i="1" s="1"/>
  <c r="J1543" i="1"/>
  <c r="M1543" i="1" s="1"/>
  <c r="G1543" i="1"/>
  <c r="H1544" i="1" s="1"/>
  <c r="F1543" i="1"/>
  <c r="D1543" i="1"/>
  <c r="L1543" i="1" s="1"/>
  <c r="K1542" i="1"/>
  <c r="N1542" i="1" s="1"/>
  <c r="J1542" i="1"/>
  <c r="M1542" i="1" s="1"/>
  <c r="G1542" i="1"/>
  <c r="H1543" i="1" s="1"/>
  <c r="F1542" i="1"/>
  <c r="D1542" i="1"/>
  <c r="L1542" i="1" s="1"/>
  <c r="K1541" i="1"/>
  <c r="N1541" i="1" s="1"/>
  <c r="J1541" i="1"/>
  <c r="M1541" i="1" s="1"/>
  <c r="G1541" i="1"/>
  <c r="H1542" i="1" s="1"/>
  <c r="F1541" i="1"/>
  <c r="D1541" i="1"/>
  <c r="L1541" i="1" s="1"/>
  <c r="K1540" i="1"/>
  <c r="N1540" i="1" s="1"/>
  <c r="J1540" i="1"/>
  <c r="M1540" i="1" s="1"/>
  <c r="G1540" i="1"/>
  <c r="H1541" i="1" s="1"/>
  <c r="F1540" i="1"/>
  <c r="D1540" i="1"/>
  <c r="L1540" i="1" s="1"/>
  <c r="K1539" i="1"/>
  <c r="N1539" i="1" s="1"/>
  <c r="J1539" i="1"/>
  <c r="M1539" i="1" s="1"/>
  <c r="G1539" i="1"/>
  <c r="H1540" i="1" s="1"/>
  <c r="F1539" i="1"/>
  <c r="D1539" i="1"/>
  <c r="L1539" i="1" s="1"/>
  <c r="K1538" i="1"/>
  <c r="N1538" i="1" s="1"/>
  <c r="J1538" i="1"/>
  <c r="M1538" i="1" s="1"/>
  <c r="G1538" i="1"/>
  <c r="H1539" i="1" s="1"/>
  <c r="F1538" i="1"/>
  <c r="D1538" i="1"/>
  <c r="L1538" i="1" s="1"/>
  <c r="K1537" i="1"/>
  <c r="N1537" i="1" s="1"/>
  <c r="J1537" i="1"/>
  <c r="M1537" i="1" s="1"/>
  <c r="G1537" i="1"/>
  <c r="H1538" i="1" s="1"/>
  <c r="F1537" i="1"/>
  <c r="D1537" i="1"/>
  <c r="L1537" i="1" s="1"/>
  <c r="K1536" i="1"/>
  <c r="N1536" i="1" s="1"/>
  <c r="J1536" i="1"/>
  <c r="M1536" i="1" s="1"/>
  <c r="G1536" i="1"/>
  <c r="H1537" i="1" s="1"/>
  <c r="F1536" i="1"/>
  <c r="D1536" i="1"/>
  <c r="L1536" i="1" s="1"/>
  <c r="K1535" i="1"/>
  <c r="N1535" i="1" s="1"/>
  <c r="J1535" i="1"/>
  <c r="M1535" i="1" s="1"/>
  <c r="G1535" i="1"/>
  <c r="H1536" i="1" s="1"/>
  <c r="F1535" i="1"/>
  <c r="D1535" i="1"/>
  <c r="L1535" i="1" s="1"/>
  <c r="K1534" i="1"/>
  <c r="N1534" i="1" s="1"/>
  <c r="J1534" i="1"/>
  <c r="M1534" i="1" s="1"/>
  <c r="G1534" i="1"/>
  <c r="H1535" i="1" s="1"/>
  <c r="F1534" i="1"/>
  <c r="D1534" i="1"/>
  <c r="L1534" i="1" s="1"/>
  <c r="K1533" i="1"/>
  <c r="N1533" i="1" s="1"/>
  <c r="J1533" i="1"/>
  <c r="M1533" i="1" s="1"/>
  <c r="G1533" i="1"/>
  <c r="H1534" i="1" s="1"/>
  <c r="F1533" i="1"/>
  <c r="D1533" i="1"/>
  <c r="L1533" i="1" s="1"/>
  <c r="K1532" i="1"/>
  <c r="N1532" i="1" s="1"/>
  <c r="J1532" i="1"/>
  <c r="M1532" i="1" s="1"/>
  <c r="G1532" i="1"/>
  <c r="H1533" i="1" s="1"/>
  <c r="F1532" i="1"/>
  <c r="D1532" i="1"/>
  <c r="L1532" i="1" s="1"/>
  <c r="K1531" i="1"/>
  <c r="N1531" i="1" s="1"/>
  <c r="J1531" i="1"/>
  <c r="M1531" i="1" s="1"/>
  <c r="G1531" i="1"/>
  <c r="H1532" i="1" s="1"/>
  <c r="F1531" i="1"/>
  <c r="D1531" i="1"/>
  <c r="L1531" i="1" s="1"/>
  <c r="K1530" i="1"/>
  <c r="N1530" i="1" s="1"/>
  <c r="J1530" i="1"/>
  <c r="M1530" i="1" s="1"/>
  <c r="G1530" i="1"/>
  <c r="H1531" i="1" s="1"/>
  <c r="F1530" i="1"/>
  <c r="D1530" i="1"/>
  <c r="L1530" i="1" s="1"/>
  <c r="K1529" i="1"/>
  <c r="N1529" i="1" s="1"/>
  <c r="J1529" i="1"/>
  <c r="M1529" i="1" s="1"/>
  <c r="G1529" i="1"/>
  <c r="H1530" i="1" s="1"/>
  <c r="F1529" i="1"/>
  <c r="D1529" i="1"/>
  <c r="L1529" i="1" s="1"/>
  <c r="K1528" i="1"/>
  <c r="N1528" i="1" s="1"/>
  <c r="J1528" i="1"/>
  <c r="M1528" i="1" s="1"/>
  <c r="G1528" i="1"/>
  <c r="H1529" i="1" s="1"/>
  <c r="F1528" i="1"/>
  <c r="D1528" i="1"/>
  <c r="L1528" i="1" s="1"/>
  <c r="K1527" i="1"/>
  <c r="N1527" i="1" s="1"/>
  <c r="J1527" i="1"/>
  <c r="M1527" i="1" s="1"/>
  <c r="G1527" i="1"/>
  <c r="H1528" i="1" s="1"/>
  <c r="F1527" i="1"/>
  <c r="D1527" i="1"/>
  <c r="L1527" i="1" s="1"/>
  <c r="K1526" i="1"/>
  <c r="N1526" i="1" s="1"/>
  <c r="J1526" i="1"/>
  <c r="M1526" i="1" s="1"/>
  <c r="G1526" i="1"/>
  <c r="H1527" i="1" s="1"/>
  <c r="F1526" i="1"/>
  <c r="D1526" i="1"/>
  <c r="L1526" i="1" s="1"/>
  <c r="K1525" i="1"/>
  <c r="N1525" i="1" s="1"/>
  <c r="J1525" i="1"/>
  <c r="M1525" i="1" s="1"/>
  <c r="G1525" i="1"/>
  <c r="H1526" i="1" s="1"/>
  <c r="F1525" i="1"/>
  <c r="D1525" i="1"/>
  <c r="L1525" i="1" s="1"/>
  <c r="K1524" i="1"/>
  <c r="N1524" i="1" s="1"/>
  <c r="J1524" i="1"/>
  <c r="M1524" i="1" s="1"/>
  <c r="G1524" i="1"/>
  <c r="H1525" i="1" s="1"/>
  <c r="F1524" i="1"/>
  <c r="D1524" i="1"/>
  <c r="L1524" i="1" s="1"/>
  <c r="K1523" i="1"/>
  <c r="N1523" i="1" s="1"/>
  <c r="J1523" i="1"/>
  <c r="M1523" i="1" s="1"/>
  <c r="G1523" i="1"/>
  <c r="H1524" i="1" s="1"/>
  <c r="F1523" i="1"/>
  <c r="D1523" i="1"/>
  <c r="L1523" i="1" s="1"/>
  <c r="K1522" i="1"/>
  <c r="N1522" i="1" s="1"/>
  <c r="J1522" i="1"/>
  <c r="M1522" i="1" s="1"/>
  <c r="G1522" i="1"/>
  <c r="H1523" i="1" s="1"/>
  <c r="F1522" i="1"/>
  <c r="D1522" i="1"/>
  <c r="L1522" i="1" s="1"/>
  <c r="K1521" i="1"/>
  <c r="N1521" i="1" s="1"/>
  <c r="J1521" i="1"/>
  <c r="M1521" i="1" s="1"/>
  <c r="G1521" i="1"/>
  <c r="H1522" i="1" s="1"/>
  <c r="F1521" i="1"/>
  <c r="D1521" i="1"/>
  <c r="L1521" i="1" s="1"/>
  <c r="K1520" i="1"/>
  <c r="N1520" i="1" s="1"/>
  <c r="J1520" i="1"/>
  <c r="M1520" i="1" s="1"/>
  <c r="G1520" i="1"/>
  <c r="H1521" i="1" s="1"/>
  <c r="F1520" i="1"/>
  <c r="D1520" i="1"/>
  <c r="L1520" i="1" s="1"/>
  <c r="K1519" i="1"/>
  <c r="N1519" i="1" s="1"/>
  <c r="J1519" i="1"/>
  <c r="M1519" i="1" s="1"/>
  <c r="G1519" i="1"/>
  <c r="H1520" i="1" s="1"/>
  <c r="F1519" i="1"/>
  <c r="D1519" i="1"/>
  <c r="L1519" i="1" s="1"/>
  <c r="K1518" i="1"/>
  <c r="N1518" i="1" s="1"/>
  <c r="J1518" i="1"/>
  <c r="M1518" i="1" s="1"/>
  <c r="G1518" i="1"/>
  <c r="H1519" i="1" s="1"/>
  <c r="F1518" i="1"/>
  <c r="D1518" i="1"/>
  <c r="L1518" i="1" s="1"/>
  <c r="K1517" i="1"/>
  <c r="N1517" i="1" s="1"/>
  <c r="J1517" i="1"/>
  <c r="M1517" i="1" s="1"/>
  <c r="G1517" i="1"/>
  <c r="H1518" i="1" s="1"/>
  <c r="F1517" i="1"/>
  <c r="D1517" i="1"/>
  <c r="L1517" i="1" s="1"/>
  <c r="K1516" i="1"/>
  <c r="N1516" i="1" s="1"/>
  <c r="J1516" i="1"/>
  <c r="M1516" i="1" s="1"/>
  <c r="G1516" i="1"/>
  <c r="H1517" i="1" s="1"/>
  <c r="F1516" i="1"/>
  <c r="D1516" i="1"/>
  <c r="L1516" i="1" s="1"/>
  <c r="K1515" i="1"/>
  <c r="N1515" i="1" s="1"/>
  <c r="J1515" i="1"/>
  <c r="M1515" i="1" s="1"/>
  <c r="G1515" i="1"/>
  <c r="H1516" i="1" s="1"/>
  <c r="F1515" i="1"/>
  <c r="D1515" i="1"/>
  <c r="L1515" i="1" s="1"/>
  <c r="K1514" i="1"/>
  <c r="N1514" i="1" s="1"/>
  <c r="J1514" i="1"/>
  <c r="M1514" i="1" s="1"/>
  <c r="G1514" i="1"/>
  <c r="H1515" i="1" s="1"/>
  <c r="F1514" i="1"/>
  <c r="D1514" i="1"/>
  <c r="L1514" i="1" s="1"/>
  <c r="K1513" i="1"/>
  <c r="N1513" i="1" s="1"/>
  <c r="J1513" i="1"/>
  <c r="M1513" i="1" s="1"/>
  <c r="G1513" i="1"/>
  <c r="H1514" i="1" s="1"/>
  <c r="F1513" i="1"/>
  <c r="D1513" i="1"/>
  <c r="L1513" i="1" s="1"/>
  <c r="K1512" i="1"/>
  <c r="N1512" i="1" s="1"/>
  <c r="J1512" i="1"/>
  <c r="M1512" i="1" s="1"/>
  <c r="G1512" i="1"/>
  <c r="H1513" i="1" s="1"/>
  <c r="F1512" i="1"/>
  <c r="D1512" i="1"/>
  <c r="L1512" i="1" s="1"/>
  <c r="K1511" i="1"/>
  <c r="N1511" i="1" s="1"/>
  <c r="J1511" i="1"/>
  <c r="M1511" i="1" s="1"/>
  <c r="G1511" i="1"/>
  <c r="H1512" i="1" s="1"/>
  <c r="F1511" i="1"/>
  <c r="D1511" i="1"/>
  <c r="L1511" i="1" s="1"/>
  <c r="K1510" i="1"/>
  <c r="N1510" i="1" s="1"/>
  <c r="J1510" i="1"/>
  <c r="M1510" i="1" s="1"/>
  <c r="G1510" i="1"/>
  <c r="H1511" i="1" s="1"/>
  <c r="F1510" i="1"/>
  <c r="D1510" i="1"/>
  <c r="L1510" i="1" s="1"/>
  <c r="K1509" i="1"/>
  <c r="N1509" i="1" s="1"/>
  <c r="J1509" i="1"/>
  <c r="M1509" i="1" s="1"/>
  <c r="G1509" i="1"/>
  <c r="H1510" i="1" s="1"/>
  <c r="F1509" i="1"/>
  <c r="D1509" i="1"/>
  <c r="L1509" i="1" s="1"/>
  <c r="K1508" i="1"/>
  <c r="N1508" i="1" s="1"/>
  <c r="J1508" i="1"/>
  <c r="M1508" i="1" s="1"/>
  <c r="G1508" i="1"/>
  <c r="H1509" i="1" s="1"/>
  <c r="F1508" i="1"/>
  <c r="D1508" i="1"/>
  <c r="L1508" i="1" s="1"/>
  <c r="K1507" i="1"/>
  <c r="N1507" i="1" s="1"/>
  <c r="J1507" i="1"/>
  <c r="M1507" i="1" s="1"/>
  <c r="G1507" i="1"/>
  <c r="H1508" i="1" s="1"/>
  <c r="F1507" i="1"/>
  <c r="D1507" i="1"/>
  <c r="L1507" i="1" s="1"/>
  <c r="K1506" i="1"/>
  <c r="N1506" i="1" s="1"/>
  <c r="J1506" i="1"/>
  <c r="M1506" i="1" s="1"/>
  <c r="G1506" i="1"/>
  <c r="H1507" i="1" s="1"/>
  <c r="F1506" i="1"/>
  <c r="D1506" i="1"/>
  <c r="L1506" i="1" s="1"/>
  <c r="K1505" i="1"/>
  <c r="N1505" i="1" s="1"/>
  <c r="J1505" i="1"/>
  <c r="M1505" i="1" s="1"/>
  <c r="G1505" i="1"/>
  <c r="H1506" i="1" s="1"/>
  <c r="F1505" i="1"/>
  <c r="D1505" i="1"/>
  <c r="L1505" i="1" s="1"/>
  <c r="K1504" i="1"/>
  <c r="N1504" i="1" s="1"/>
  <c r="J1504" i="1"/>
  <c r="M1504" i="1" s="1"/>
  <c r="G1504" i="1"/>
  <c r="H1505" i="1" s="1"/>
  <c r="F1504" i="1"/>
  <c r="D1504" i="1"/>
  <c r="L1504" i="1" s="1"/>
  <c r="K1503" i="1"/>
  <c r="N1503" i="1" s="1"/>
  <c r="J1503" i="1"/>
  <c r="M1503" i="1" s="1"/>
  <c r="G1503" i="1"/>
  <c r="H1504" i="1" s="1"/>
  <c r="F1503" i="1"/>
  <c r="D1503" i="1"/>
  <c r="L1503" i="1" s="1"/>
  <c r="K1502" i="1"/>
  <c r="N1502" i="1" s="1"/>
  <c r="J1502" i="1"/>
  <c r="M1502" i="1" s="1"/>
  <c r="G1502" i="1"/>
  <c r="H1503" i="1" s="1"/>
  <c r="F1502" i="1"/>
  <c r="D1502" i="1"/>
  <c r="L1502" i="1" s="1"/>
  <c r="K1501" i="1"/>
  <c r="N1501" i="1" s="1"/>
  <c r="J1501" i="1"/>
  <c r="M1501" i="1" s="1"/>
  <c r="G1501" i="1"/>
  <c r="H1502" i="1" s="1"/>
  <c r="F1501" i="1"/>
  <c r="D1501" i="1"/>
  <c r="L1501" i="1" s="1"/>
  <c r="K1500" i="1"/>
  <c r="N1500" i="1" s="1"/>
  <c r="J1500" i="1"/>
  <c r="M1500" i="1" s="1"/>
  <c r="G1500" i="1"/>
  <c r="H1501" i="1" s="1"/>
  <c r="F1500" i="1"/>
  <c r="D1500" i="1"/>
  <c r="L1500" i="1" s="1"/>
  <c r="K1499" i="1"/>
  <c r="N1499" i="1" s="1"/>
  <c r="J1499" i="1"/>
  <c r="M1499" i="1" s="1"/>
  <c r="G1499" i="1"/>
  <c r="H1500" i="1" s="1"/>
  <c r="F1499" i="1"/>
  <c r="D1499" i="1"/>
  <c r="L1499" i="1" s="1"/>
  <c r="K1498" i="1"/>
  <c r="N1498" i="1" s="1"/>
  <c r="J1498" i="1"/>
  <c r="M1498" i="1" s="1"/>
  <c r="G1498" i="1"/>
  <c r="H1499" i="1" s="1"/>
  <c r="F1498" i="1"/>
  <c r="D1498" i="1"/>
  <c r="L1498" i="1" s="1"/>
  <c r="K1497" i="1"/>
  <c r="N1497" i="1" s="1"/>
  <c r="J1497" i="1"/>
  <c r="M1497" i="1" s="1"/>
  <c r="G1497" i="1"/>
  <c r="H1498" i="1" s="1"/>
  <c r="F1497" i="1"/>
  <c r="D1497" i="1"/>
  <c r="L1497" i="1" s="1"/>
  <c r="K1496" i="1"/>
  <c r="N1496" i="1" s="1"/>
  <c r="J1496" i="1"/>
  <c r="M1496" i="1" s="1"/>
  <c r="G1496" i="1"/>
  <c r="H1497" i="1" s="1"/>
  <c r="F1496" i="1"/>
  <c r="D1496" i="1"/>
  <c r="L1496" i="1" s="1"/>
  <c r="K1495" i="1"/>
  <c r="N1495" i="1" s="1"/>
  <c r="J1495" i="1"/>
  <c r="M1495" i="1" s="1"/>
  <c r="G1495" i="1"/>
  <c r="H1496" i="1" s="1"/>
  <c r="F1495" i="1"/>
  <c r="D1495" i="1"/>
  <c r="L1495" i="1" s="1"/>
  <c r="K1494" i="1"/>
  <c r="N1494" i="1" s="1"/>
  <c r="J1494" i="1"/>
  <c r="M1494" i="1" s="1"/>
  <c r="G1494" i="1"/>
  <c r="H1495" i="1" s="1"/>
  <c r="F1494" i="1"/>
  <c r="D1494" i="1"/>
  <c r="L1494" i="1" s="1"/>
  <c r="K1493" i="1"/>
  <c r="N1493" i="1" s="1"/>
  <c r="J1493" i="1"/>
  <c r="M1493" i="1" s="1"/>
  <c r="G1493" i="1"/>
  <c r="H1494" i="1" s="1"/>
  <c r="F1493" i="1"/>
  <c r="D1493" i="1"/>
  <c r="L1493" i="1" s="1"/>
  <c r="K1492" i="1"/>
  <c r="N1492" i="1" s="1"/>
  <c r="J1492" i="1"/>
  <c r="M1492" i="1" s="1"/>
  <c r="G1492" i="1"/>
  <c r="H1493" i="1" s="1"/>
  <c r="F1492" i="1"/>
  <c r="D1492" i="1"/>
  <c r="L1492" i="1" s="1"/>
  <c r="K1491" i="1"/>
  <c r="N1491" i="1" s="1"/>
  <c r="J1491" i="1"/>
  <c r="M1491" i="1" s="1"/>
  <c r="G1491" i="1"/>
  <c r="H1492" i="1" s="1"/>
  <c r="F1491" i="1"/>
  <c r="D1491" i="1"/>
  <c r="L1491" i="1" s="1"/>
  <c r="K1490" i="1"/>
  <c r="N1490" i="1" s="1"/>
  <c r="J1490" i="1"/>
  <c r="M1490" i="1" s="1"/>
  <c r="G1490" i="1"/>
  <c r="H1491" i="1" s="1"/>
  <c r="F1490" i="1"/>
  <c r="D1490" i="1"/>
  <c r="L1490" i="1" s="1"/>
  <c r="K1489" i="1"/>
  <c r="N1489" i="1" s="1"/>
  <c r="J1489" i="1"/>
  <c r="M1489" i="1" s="1"/>
  <c r="G1489" i="1"/>
  <c r="H1490" i="1" s="1"/>
  <c r="F1489" i="1"/>
  <c r="D1489" i="1"/>
  <c r="L1489" i="1" s="1"/>
  <c r="K1488" i="1"/>
  <c r="N1488" i="1" s="1"/>
  <c r="J1488" i="1"/>
  <c r="M1488" i="1" s="1"/>
  <c r="G1488" i="1"/>
  <c r="H1489" i="1" s="1"/>
  <c r="F1488" i="1"/>
  <c r="D1488" i="1"/>
  <c r="L1488" i="1" s="1"/>
  <c r="K1487" i="1"/>
  <c r="N1487" i="1" s="1"/>
  <c r="J1487" i="1"/>
  <c r="M1487" i="1" s="1"/>
  <c r="G1487" i="1"/>
  <c r="H1488" i="1" s="1"/>
  <c r="F1487" i="1"/>
  <c r="D1487" i="1"/>
  <c r="L1487" i="1" s="1"/>
  <c r="K1486" i="1"/>
  <c r="N1486" i="1" s="1"/>
  <c r="J1486" i="1"/>
  <c r="M1486" i="1" s="1"/>
  <c r="G1486" i="1"/>
  <c r="H1487" i="1" s="1"/>
  <c r="F1486" i="1"/>
  <c r="D1486" i="1"/>
  <c r="L1486" i="1" s="1"/>
  <c r="K1485" i="1"/>
  <c r="N1485" i="1" s="1"/>
  <c r="J1485" i="1"/>
  <c r="M1485" i="1" s="1"/>
  <c r="G1485" i="1"/>
  <c r="H1486" i="1" s="1"/>
  <c r="F1485" i="1"/>
  <c r="D1485" i="1"/>
  <c r="L1485" i="1" s="1"/>
  <c r="K1484" i="1"/>
  <c r="N1484" i="1" s="1"/>
  <c r="J1484" i="1"/>
  <c r="M1484" i="1" s="1"/>
  <c r="G1484" i="1"/>
  <c r="H1485" i="1" s="1"/>
  <c r="F1484" i="1"/>
  <c r="D1484" i="1"/>
  <c r="L1484" i="1" s="1"/>
  <c r="K1483" i="1"/>
  <c r="N1483" i="1" s="1"/>
  <c r="J1483" i="1"/>
  <c r="M1483" i="1" s="1"/>
  <c r="G1483" i="1"/>
  <c r="H1484" i="1" s="1"/>
  <c r="F1483" i="1"/>
  <c r="D1483" i="1"/>
  <c r="L1483" i="1" s="1"/>
  <c r="K1482" i="1"/>
  <c r="N1482" i="1" s="1"/>
  <c r="J1482" i="1"/>
  <c r="M1482" i="1" s="1"/>
  <c r="G1482" i="1"/>
  <c r="H1483" i="1" s="1"/>
  <c r="F1482" i="1"/>
  <c r="D1482" i="1"/>
  <c r="L1482" i="1" s="1"/>
  <c r="K1481" i="1"/>
  <c r="N1481" i="1" s="1"/>
  <c r="J1481" i="1"/>
  <c r="M1481" i="1" s="1"/>
  <c r="G1481" i="1"/>
  <c r="H1482" i="1" s="1"/>
  <c r="F1481" i="1"/>
  <c r="D1481" i="1"/>
  <c r="L1481" i="1" s="1"/>
  <c r="K1480" i="1"/>
  <c r="N1480" i="1" s="1"/>
  <c r="J1480" i="1"/>
  <c r="M1480" i="1" s="1"/>
  <c r="G1480" i="1"/>
  <c r="H1481" i="1" s="1"/>
  <c r="F1480" i="1"/>
  <c r="D1480" i="1"/>
  <c r="L1480" i="1" s="1"/>
  <c r="K1479" i="1"/>
  <c r="N1479" i="1" s="1"/>
  <c r="J1479" i="1"/>
  <c r="M1479" i="1" s="1"/>
  <c r="G1479" i="1"/>
  <c r="H1480" i="1" s="1"/>
  <c r="F1479" i="1"/>
  <c r="D1479" i="1"/>
  <c r="L1479" i="1" s="1"/>
  <c r="K1478" i="1"/>
  <c r="N1478" i="1" s="1"/>
  <c r="J1478" i="1"/>
  <c r="M1478" i="1" s="1"/>
  <c r="G1478" i="1"/>
  <c r="H1479" i="1" s="1"/>
  <c r="F1478" i="1"/>
  <c r="D1478" i="1"/>
  <c r="L1478" i="1" s="1"/>
  <c r="K1477" i="1"/>
  <c r="N1477" i="1" s="1"/>
  <c r="J1477" i="1"/>
  <c r="M1477" i="1" s="1"/>
  <c r="G1477" i="1"/>
  <c r="H1478" i="1" s="1"/>
  <c r="F1477" i="1"/>
  <c r="D1477" i="1"/>
  <c r="L1477" i="1" s="1"/>
  <c r="K1476" i="1"/>
  <c r="N1476" i="1" s="1"/>
  <c r="J1476" i="1"/>
  <c r="M1476" i="1" s="1"/>
  <c r="G1476" i="1"/>
  <c r="H1477" i="1" s="1"/>
  <c r="F1476" i="1"/>
  <c r="D1476" i="1"/>
  <c r="L1476" i="1" s="1"/>
  <c r="K1475" i="1"/>
  <c r="N1475" i="1" s="1"/>
  <c r="J1475" i="1"/>
  <c r="M1475" i="1" s="1"/>
  <c r="G1475" i="1"/>
  <c r="H1476" i="1" s="1"/>
  <c r="F1475" i="1"/>
  <c r="D1475" i="1"/>
  <c r="L1475" i="1" s="1"/>
  <c r="K1474" i="1"/>
  <c r="N1474" i="1" s="1"/>
  <c r="J1474" i="1"/>
  <c r="M1474" i="1" s="1"/>
  <c r="G1474" i="1"/>
  <c r="H1475" i="1" s="1"/>
  <c r="F1474" i="1"/>
  <c r="D1474" i="1"/>
  <c r="L1474" i="1" s="1"/>
  <c r="K1473" i="1"/>
  <c r="N1473" i="1" s="1"/>
  <c r="J1473" i="1"/>
  <c r="M1473" i="1" s="1"/>
  <c r="G1473" i="1"/>
  <c r="H1474" i="1" s="1"/>
  <c r="F1473" i="1"/>
  <c r="D1473" i="1"/>
  <c r="L1473" i="1" s="1"/>
  <c r="K1472" i="1"/>
  <c r="N1472" i="1" s="1"/>
  <c r="J1472" i="1"/>
  <c r="M1472" i="1" s="1"/>
  <c r="G1472" i="1"/>
  <c r="H1473" i="1" s="1"/>
  <c r="F1472" i="1"/>
  <c r="D1472" i="1"/>
  <c r="L1472" i="1" s="1"/>
  <c r="K1471" i="1"/>
  <c r="N1471" i="1" s="1"/>
  <c r="J1471" i="1"/>
  <c r="M1471" i="1" s="1"/>
  <c r="G1471" i="1"/>
  <c r="H1472" i="1" s="1"/>
  <c r="F1471" i="1"/>
  <c r="D1471" i="1"/>
  <c r="L1471" i="1" s="1"/>
  <c r="K1470" i="1"/>
  <c r="N1470" i="1" s="1"/>
  <c r="J1470" i="1"/>
  <c r="M1470" i="1" s="1"/>
  <c r="G1470" i="1"/>
  <c r="H1471" i="1" s="1"/>
  <c r="F1470" i="1"/>
  <c r="D1470" i="1"/>
  <c r="L1470" i="1" s="1"/>
  <c r="K1469" i="1"/>
  <c r="N1469" i="1" s="1"/>
  <c r="J1469" i="1"/>
  <c r="M1469" i="1" s="1"/>
  <c r="G1469" i="1"/>
  <c r="H1470" i="1" s="1"/>
  <c r="F1469" i="1"/>
  <c r="D1469" i="1"/>
  <c r="L1469" i="1" s="1"/>
  <c r="K1468" i="1"/>
  <c r="N1468" i="1" s="1"/>
  <c r="J1468" i="1"/>
  <c r="M1468" i="1" s="1"/>
  <c r="G1468" i="1"/>
  <c r="H1469" i="1" s="1"/>
  <c r="F1468" i="1"/>
  <c r="D1468" i="1"/>
  <c r="L1468" i="1" s="1"/>
  <c r="K1467" i="1"/>
  <c r="N1467" i="1" s="1"/>
  <c r="J1467" i="1"/>
  <c r="M1467" i="1" s="1"/>
  <c r="G1467" i="1"/>
  <c r="H1468" i="1" s="1"/>
  <c r="F1467" i="1"/>
  <c r="D1467" i="1"/>
  <c r="L1467" i="1" s="1"/>
  <c r="K1466" i="1"/>
  <c r="N1466" i="1" s="1"/>
  <c r="J1466" i="1"/>
  <c r="M1466" i="1" s="1"/>
  <c r="G1466" i="1"/>
  <c r="H1467" i="1" s="1"/>
  <c r="F1466" i="1"/>
  <c r="D1466" i="1"/>
  <c r="L1466" i="1" s="1"/>
  <c r="K1465" i="1"/>
  <c r="N1465" i="1" s="1"/>
  <c r="J1465" i="1"/>
  <c r="M1465" i="1" s="1"/>
  <c r="G1465" i="1"/>
  <c r="H1466" i="1" s="1"/>
  <c r="F1465" i="1"/>
  <c r="D1465" i="1"/>
  <c r="L1465" i="1" s="1"/>
  <c r="K1464" i="1"/>
  <c r="N1464" i="1" s="1"/>
  <c r="J1464" i="1"/>
  <c r="M1464" i="1" s="1"/>
  <c r="G1464" i="1"/>
  <c r="H1465" i="1" s="1"/>
  <c r="F1464" i="1"/>
  <c r="D1464" i="1"/>
  <c r="L1464" i="1" s="1"/>
  <c r="K1463" i="1"/>
  <c r="N1463" i="1" s="1"/>
  <c r="J1463" i="1"/>
  <c r="M1463" i="1" s="1"/>
  <c r="G1463" i="1"/>
  <c r="H1464" i="1" s="1"/>
  <c r="F1463" i="1"/>
  <c r="D1463" i="1"/>
  <c r="L1463" i="1" s="1"/>
  <c r="K1462" i="1"/>
  <c r="N1462" i="1" s="1"/>
  <c r="J1462" i="1"/>
  <c r="M1462" i="1" s="1"/>
  <c r="G1462" i="1"/>
  <c r="H1463" i="1" s="1"/>
  <c r="F1462" i="1"/>
  <c r="D1462" i="1"/>
  <c r="L1462" i="1" s="1"/>
  <c r="K1461" i="1"/>
  <c r="N1461" i="1" s="1"/>
  <c r="J1461" i="1"/>
  <c r="M1461" i="1" s="1"/>
  <c r="G1461" i="1"/>
  <c r="H1462" i="1" s="1"/>
  <c r="F1461" i="1"/>
  <c r="D1461" i="1"/>
  <c r="L1461" i="1" s="1"/>
  <c r="K1460" i="1"/>
  <c r="N1460" i="1" s="1"/>
  <c r="J1460" i="1"/>
  <c r="M1460" i="1" s="1"/>
  <c r="G1460" i="1"/>
  <c r="H1461" i="1" s="1"/>
  <c r="F1460" i="1"/>
  <c r="D1460" i="1"/>
  <c r="L1460" i="1" s="1"/>
  <c r="K1459" i="1"/>
  <c r="N1459" i="1" s="1"/>
  <c r="J1459" i="1"/>
  <c r="M1459" i="1" s="1"/>
  <c r="G1459" i="1"/>
  <c r="H1460" i="1" s="1"/>
  <c r="F1459" i="1"/>
  <c r="D1459" i="1"/>
  <c r="L1459" i="1" s="1"/>
  <c r="K1458" i="1"/>
  <c r="N1458" i="1" s="1"/>
  <c r="J1458" i="1"/>
  <c r="M1458" i="1" s="1"/>
  <c r="G1458" i="1"/>
  <c r="H1459" i="1" s="1"/>
  <c r="F1458" i="1"/>
  <c r="D1458" i="1"/>
  <c r="L1458" i="1" s="1"/>
  <c r="K1457" i="1"/>
  <c r="N1457" i="1" s="1"/>
  <c r="J1457" i="1"/>
  <c r="M1457" i="1" s="1"/>
  <c r="G1457" i="1"/>
  <c r="H1458" i="1" s="1"/>
  <c r="F1457" i="1"/>
  <c r="D1457" i="1"/>
  <c r="L1457" i="1" s="1"/>
  <c r="K1456" i="1"/>
  <c r="N1456" i="1" s="1"/>
  <c r="J1456" i="1"/>
  <c r="M1456" i="1" s="1"/>
  <c r="G1456" i="1"/>
  <c r="H1457" i="1" s="1"/>
  <c r="F1456" i="1"/>
  <c r="D1456" i="1"/>
  <c r="L1456" i="1" s="1"/>
  <c r="K1455" i="1"/>
  <c r="N1455" i="1" s="1"/>
  <c r="J1455" i="1"/>
  <c r="M1455" i="1" s="1"/>
  <c r="G1455" i="1"/>
  <c r="H1456" i="1" s="1"/>
  <c r="F1455" i="1"/>
  <c r="D1455" i="1"/>
  <c r="L1455" i="1" s="1"/>
  <c r="K1454" i="1"/>
  <c r="N1454" i="1" s="1"/>
  <c r="J1454" i="1"/>
  <c r="M1454" i="1" s="1"/>
  <c r="G1454" i="1"/>
  <c r="H1455" i="1" s="1"/>
  <c r="F1454" i="1"/>
  <c r="D1454" i="1"/>
  <c r="L1454" i="1" s="1"/>
  <c r="K1453" i="1"/>
  <c r="N1453" i="1" s="1"/>
  <c r="J1453" i="1"/>
  <c r="M1453" i="1" s="1"/>
  <c r="G1453" i="1"/>
  <c r="H1454" i="1" s="1"/>
  <c r="F1453" i="1"/>
  <c r="D1453" i="1"/>
  <c r="L1453" i="1" s="1"/>
  <c r="K1452" i="1"/>
  <c r="N1452" i="1" s="1"/>
  <c r="J1452" i="1"/>
  <c r="M1452" i="1" s="1"/>
  <c r="G1452" i="1"/>
  <c r="H1453" i="1" s="1"/>
  <c r="F1452" i="1"/>
  <c r="D1452" i="1"/>
  <c r="L1452" i="1" s="1"/>
  <c r="K1451" i="1"/>
  <c r="N1451" i="1" s="1"/>
  <c r="J1451" i="1"/>
  <c r="M1451" i="1" s="1"/>
  <c r="G1451" i="1"/>
  <c r="H1452" i="1" s="1"/>
  <c r="F1451" i="1"/>
  <c r="D1451" i="1"/>
  <c r="L1451" i="1" s="1"/>
  <c r="K1450" i="1"/>
  <c r="N1450" i="1" s="1"/>
  <c r="J1450" i="1"/>
  <c r="M1450" i="1" s="1"/>
  <c r="G1450" i="1"/>
  <c r="H1451" i="1" s="1"/>
  <c r="F1450" i="1"/>
  <c r="D1450" i="1"/>
  <c r="L1450" i="1" s="1"/>
  <c r="K1449" i="1"/>
  <c r="N1449" i="1" s="1"/>
  <c r="J1449" i="1"/>
  <c r="M1449" i="1" s="1"/>
  <c r="G1449" i="1"/>
  <c r="H1450" i="1" s="1"/>
  <c r="F1449" i="1"/>
  <c r="D1449" i="1"/>
  <c r="L1449" i="1" s="1"/>
  <c r="K1448" i="1"/>
  <c r="N1448" i="1" s="1"/>
  <c r="J1448" i="1"/>
  <c r="M1448" i="1" s="1"/>
  <c r="G1448" i="1"/>
  <c r="H1449" i="1" s="1"/>
  <c r="F1448" i="1"/>
  <c r="D1448" i="1"/>
  <c r="L1448" i="1" s="1"/>
  <c r="K1447" i="1"/>
  <c r="N1447" i="1" s="1"/>
  <c r="J1447" i="1"/>
  <c r="M1447" i="1" s="1"/>
  <c r="G1447" i="1"/>
  <c r="H1448" i="1" s="1"/>
  <c r="F1447" i="1"/>
  <c r="D1447" i="1"/>
  <c r="L1447" i="1" s="1"/>
  <c r="K1446" i="1"/>
  <c r="N1446" i="1" s="1"/>
  <c r="J1446" i="1"/>
  <c r="M1446" i="1" s="1"/>
  <c r="G1446" i="1"/>
  <c r="H1447" i="1" s="1"/>
  <c r="F1446" i="1"/>
  <c r="D1446" i="1"/>
  <c r="L1446" i="1" s="1"/>
  <c r="K1445" i="1"/>
  <c r="N1445" i="1" s="1"/>
  <c r="J1445" i="1"/>
  <c r="M1445" i="1" s="1"/>
  <c r="G1445" i="1"/>
  <c r="H1446" i="1" s="1"/>
  <c r="F1445" i="1"/>
  <c r="D1445" i="1"/>
  <c r="L1445" i="1" s="1"/>
  <c r="K1444" i="1"/>
  <c r="N1444" i="1" s="1"/>
  <c r="J1444" i="1"/>
  <c r="M1444" i="1" s="1"/>
  <c r="G1444" i="1"/>
  <c r="H1445" i="1" s="1"/>
  <c r="F1444" i="1"/>
  <c r="D1444" i="1"/>
  <c r="L1444" i="1" s="1"/>
  <c r="K1443" i="1"/>
  <c r="N1443" i="1" s="1"/>
  <c r="J1443" i="1"/>
  <c r="M1443" i="1" s="1"/>
  <c r="G1443" i="1"/>
  <c r="H1444" i="1" s="1"/>
  <c r="F1443" i="1"/>
  <c r="D1443" i="1"/>
  <c r="L1443" i="1" s="1"/>
  <c r="K1442" i="1"/>
  <c r="N1442" i="1" s="1"/>
  <c r="J1442" i="1"/>
  <c r="M1442" i="1" s="1"/>
  <c r="G1442" i="1"/>
  <c r="H1443" i="1" s="1"/>
  <c r="F1442" i="1"/>
  <c r="D1442" i="1"/>
  <c r="L1442" i="1" s="1"/>
  <c r="K1441" i="1"/>
  <c r="N1441" i="1" s="1"/>
  <c r="J1441" i="1"/>
  <c r="M1441" i="1" s="1"/>
  <c r="G1441" i="1"/>
  <c r="H1442" i="1" s="1"/>
  <c r="F1441" i="1"/>
  <c r="D1441" i="1"/>
  <c r="L1441" i="1" s="1"/>
  <c r="K1440" i="1"/>
  <c r="N1440" i="1" s="1"/>
  <c r="J1440" i="1"/>
  <c r="M1440" i="1" s="1"/>
  <c r="G1440" i="1"/>
  <c r="H1441" i="1" s="1"/>
  <c r="F1440" i="1"/>
  <c r="D1440" i="1"/>
  <c r="L1440" i="1" s="1"/>
  <c r="K1439" i="1"/>
  <c r="N1439" i="1" s="1"/>
  <c r="J1439" i="1"/>
  <c r="M1439" i="1" s="1"/>
  <c r="G1439" i="1"/>
  <c r="H1440" i="1" s="1"/>
  <c r="F1439" i="1"/>
  <c r="D1439" i="1"/>
  <c r="L1439" i="1" s="1"/>
  <c r="K1438" i="1"/>
  <c r="N1438" i="1" s="1"/>
  <c r="J1438" i="1"/>
  <c r="M1438" i="1" s="1"/>
  <c r="G1438" i="1"/>
  <c r="H1439" i="1" s="1"/>
  <c r="F1438" i="1"/>
  <c r="D1438" i="1"/>
  <c r="L1438" i="1" s="1"/>
  <c r="K1437" i="1"/>
  <c r="N1437" i="1" s="1"/>
  <c r="J1437" i="1"/>
  <c r="M1437" i="1" s="1"/>
  <c r="G1437" i="1"/>
  <c r="H1438" i="1" s="1"/>
  <c r="F1437" i="1"/>
  <c r="D1437" i="1"/>
  <c r="L1437" i="1" s="1"/>
  <c r="K1436" i="1"/>
  <c r="N1436" i="1" s="1"/>
  <c r="J1436" i="1"/>
  <c r="M1436" i="1" s="1"/>
  <c r="G1436" i="1"/>
  <c r="H1437" i="1" s="1"/>
  <c r="F1436" i="1"/>
  <c r="D1436" i="1"/>
  <c r="L1436" i="1" s="1"/>
  <c r="K1435" i="1"/>
  <c r="N1435" i="1" s="1"/>
  <c r="J1435" i="1"/>
  <c r="M1435" i="1" s="1"/>
  <c r="G1435" i="1"/>
  <c r="H1436" i="1" s="1"/>
  <c r="F1435" i="1"/>
  <c r="D1435" i="1"/>
  <c r="L1435" i="1" s="1"/>
  <c r="K1434" i="1"/>
  <c r="N1434" i="1" s="1"/>
  <c r="J1434" i="1"/>
  <c r="M1434" i="1" s="1"/>
  <c r="G1434" i="1"/>
  <c r="H1435" i="1" s="1"/>
  <c r="F1434" i="1"/>
  <c r="D1434" i="1"/>
  <c r="L1434" i="1" s="1"/>
  <c r="K1433" i="1"/>
  <c r="N1433" i="1" s="1"/>
  <c r="J1433" i="1"/>
  <c r="M1433" i="1" s="1"/>
  <c r="G1433" i="1"/>
  <c r="H1434" i="1" s="1"/>
  <c r="F1433" i="1"/>
  <c r="D1433" i="1"/>
  <c r="L1433" i="1" s="1"/>
  <c r="K1432" i="1"/>
  <c r="N1432" i="1" s="1"/>
  <c r="J1432" i="1"/>
  <c r="M1432" i="1" s="1"/>
  <c r="G1432" i="1"/>
  <c r="H1433" i="1" s="1"/>
  <c r="F1432" i="1"/>
  <c r="D1432" i="1"/>
  <c r="L1432" i="1" s="1"/>
  <c r="K1431" i="1"/>
  <c r="N1431" i="1" s="1"/>
  <c r="J1431" i="1"/>
  <c r="M1431" i="1" s="1"/>
  <c r="G1431" i="1"/>
  <c r="H1432" i="1" s="1"/>
  <c r="F1431" i="1"/>
  <c r="D1431" i="1"/>
  <c r="L1431" i="1" s="1"/>
  <c r="K1430" i="1"/>
  <c r="N1430" i="1" s="1"/>
  <c r="J1430" i="1"/>
  <c r="M1430" i="1" s="1"/>
  <c r="G1430" i="1"/>
  <c r="H1431" i="1" s="1"/>
  <c r="F1430" i="1"/>
  <c r="D1430" i="1"/>
  <c r="L1430" i="1" s="1"/>
  <c r="K1429" i="1"/>
  <c r="N1429" i="1" s="1"/>
  <c r="J1429" i="1"/>
  <c r="M1429" i="1" s="1"/>
  <c r="G1429" i="1"/>
  <c r="H1430" i="1" s="1"/>
  <c r="F1429" i="1"/>
  <c r="D1429" i="1"/>
  <c r="L1429" i="1" s="1"/>
  <c r="K1428" i="1"/>
  <c r="N1428" i="1" s="1"/>
  <c r="J1428" i="1"/>
  <c r="M1428" i="1" s="1"/>
  <c r="G1428" i="1"/>
  <c r="H1429" i="1" s="1"/>
  <c r="F1428" i="1"/>
  <c r="D1428" i="1"/>
  <c r="L1428" i="1" s="1"/>
  <c r="K1427" i="1"/>
  <c r="N1427" i="1" s="1"/>
  <c r="J1427" i="1"/>
  <c r="M1427" i="1" s="1"/>
  <c r="G1427" i="1"/>
  <c r="H1428" i="1" s="1"/>
  <c r="F1427" i="1"/>
  <c r="D1427" i="1"/>
  <c r="L1427" i="1" s="1"/>
  <c r="K1426" i="1"/>
  <c r="N1426" i="1" s="1"/>
  <c r="J1426" i="1"/>
  <c r="M1426" i="1" s="1"/>
  <c r="G1426" i="1"/>
  <c r="H1427" i="1" s="1"/>
  <c r="F1426" i="1"/>
  <c r="D1426" i="1"/>
  <c r="L1426" i="1" s="1"/>
  <c r="K1425" i="1"/>
  <c r="N1425" i="1" s="1"/>
  <c r="J1425" i="1"/>
  <c r="M1425" i="1" s="1"/>
  <c r="G1425" i="1"/>
  <c r="H1426" i="1" s="1"/>
  <c r="F1425" i="1"/>
  <c r="D1425" i="1"/>
  <c r="L1425" i="1" s="1"/>
  <c r="K1424" i="1"/>
  <c r="N1424" i="1" s="1"/>
  <c r="J1424" i="1"/>
  <c r="M1424" i="1" s="1"/>
  <c r="G1424" i="1"/>
  <c r="H1425" i="1" s="1"/>
  <c r="F1424" i="1"/>
  <c r="D1424" i="1"/>
  <c r="L1424" i="1" s="1"/>
  <c r="K1423" i="1"/>
  <c r="N1423" i="1" s="1"/>
  <c r="J1423" i="1"/>
  <c r="M1423" i="1" s="1"/>
  <c r="G1423" i="1"/>
  <c r="H1424" i="1" s="1"/>
  <c r="F1423" i="1"/>
  <c r="D1423" i="1"/>
  <c r="L1423" i="1" s="1"/>
  <c r="K1422" i="1"/>
  <c r="N1422" i="1" s="1"/>
  <c r="J1422" i="1"/>
  <c r="M1422" i="1" s="1"/>
  <c r="G1422" i="1"/>
  <c r="H1423" i="1" s="1"/>
  <c r="F1422" i="1"/>
  <c r="D1422" i="1"/>
  <c r="L1422" i="1" s="1"/>
  <c r="K1421" i="1"/>
  <c r="N1421" i="1" s="1"/>
  <c r="J1421" i="1"/>
  <c r="M1421" i="1" s="1"/>
  <c r="G1421" i="1"/>
  <c r="H1422" i="1" s="1"/>
  <c r="F1421" i="1"/>
  <c r="D1421" i="1"/>
  <c r="L1421" i="1" s="1"/>
  <c r="K1420" i="1"/>
  <c r="N1420" i="1" s="1"/>
  <c r="J1420" i="1"/>
  <c r="M1420" i="1" s="1"/>
  <c r="G1420" i="1"/>
  <c r="H1421" i="1" s="1"/>
  <c r="F1420" i="1"/>
  <c r="D1420" i="1"/>
  <c r="L1420" i="1" s="1"/>
  <c r="K1419" i="1"/>
  <c r="N1419" i="1" s="1"/>
  <c r="J1419" i="1"/>
  <c r="M1419" i="1" s="1"/>
  <c r="G1419" i="1"/>
  <c r="H1420" i="1" s="1"/>
  <c r="F1419" i="1"/>
  <c r="D1419" i="1"/>
  <c r="L1419" i="1" s="1"/>
  <c r="K1418" i="1"/>
  <c r="N1418" i="1" s="1"/>
  <c r="J1418" i="1"/>
  <c r="M1418" i="1" s="1"/>
  <c r="G1418" i="1"/>
  <c r="H1419" i="1" s="1"/>
  <c r="F1418" i="1"/>
  <c r="D1418" i="1"/>
  <c r="L1418" i="1" s="1"/>
  <c r="K1417" i="1"/>
  <c r="N1417" i="1" s="1"/>
  <c r="J1417" i="1"/>
  <c r="M1417" i="1" s="1"/>
  <c r="G1417" i="1"/>
  <c r="H1418" i="1" s="1"/>
  <c r="F1417" i="1"/>
  <c r="D1417" i="1"/>
  <c r="L1417" i="1" s="1"/>
  <c r="K1416" i="1"/>
  <c r="N1416" i="1" s="1"/>
  <c r="J1416" i="1"/>
  <c r="M1416" i="1" s="1"/>
  <c r="G1416" i="1"/>
  <c r="H1417" i="1" s="1"/>
  <c r="F1416" i="1"/>
  <c r="D1416" i="1"/>
  <c r="L1416" i="1" s="1"/>
  <c r="K1415" i="1"/>
  <c r="N1415" i="1" s="1"/>
  <c r="J1415" i="1"/>
  <c r="M1415" i="1" s="1"/>
  <c r="G1415" i="1"/>
  <c r="H1416" i="1" s="1"/>
  <c r="F1415" i="1"/>
  <c r="D1415" i="1"/>
  <c r="L1415" i="1" s="1"/>
  <c r="K1414" i="1"/>
  <c r="N1414" i="1" s="1"/>
  <c r="J1414" i="1"/>
  <c r="M1414" i="1" s="1"/>
  <c r="G1414" i="1"/>
  <c r="H1415" i="1" s="1"/>
  <c r="F1414" i="1"/>
  <c r="D1414" i="1"/>
  <c r="L1414" i="1" s="1"/>
  <c r="K1413" i="1"/>
  <c r="N1413" i="1" s="1"/>
  <c r="J1413" i="1"/>
  <c r="M1413" i="1" s="1"/>
  <c r="G1413" i="1"/>
  <c r="H1414" i="1" s="1"/>
  <c r="F1413" i="1"/>
  <c r="D1413" i="1"/>
  <c r="L1413" i="1" s="1"/>
  <c r="K1412" i="1"/>
  <c r="N1412" i="1" s="1"/>
  <c r="J1412" i="1"/>
  <c r="M1412" i="1" s="1"/>
  <c r="G1412" i="1"/>
  <c r="H1413" i="1" s="1"/>
  <c r="F1412" i="1"/>
  <c r="D1412" i="1"/>
  <c r="L1412" i="1" s="1"/>
  <c r="K1411" i="1"/>
  <c r="N1411" i="1" s="1"/>
  <c r="J1411" i="1"/>
  <c r="M1411" i="1" s="1"/>
  <c r="G1411" i="1"/>
  <c r="H1412" i="1" s="1"/>
  <c r="F1411" i="1"/>
  <c r="D1411" i="1"/>
  <c r="L1411" i="1" s="1"/>
  <c r="K1410" i="1"/>
  <c r="N1410" i="1" s="1"/>
  <c r="J1410" i="1"/>
  <c r="M1410" i="1" s="1"/>
  <c r="G1410" i="1"/>
  <c r="H1411" i="1" s="1"/>
  <c r="F1410" i="1"/>
  <c r="D1410" i="1"/>
  <c r="L1410" i="1" s="1"/>
  <c r="K1409" i="1"/>
  <c r="N1409" i="1" s="1"/>
  <c r="J1409" i="1"/>
  <c r="M1409" i="1" s="1"/>
  <c r="G1409" i="1"/>
  <c r="H1410" i="1" s="1"/>
  <c r="F1409" i="1"/>
  <c r="D1409" i="1"/>
  <c r="L1409" i="1" s="1"/>
  <c r="K1408" i="1"/>
  <c r="N1408" i="1" s="1"/>
  <c r="J1408" i="1"/>
  <c r="M1408" i="1" s="1"/>
  <c r="G1408" i="1"/>
  <c r="H1409" i="1" s="1"/>
  <c r="F1408" i="1"/>
  <c r="D1408" i="1"/>
  <c r="L1408" i="1" s="1"/>
  <c r="K1407" i="1"/>
  <c r="N1407" i="1" s="1"/>
  <c r="J1407" i="1"/>
  <c r="M1407" i="1" s="1"/>
  <c r="G1407" i="1"/>
  <c r="H1408" i="1" s="1"/>
  <c r="F1407" i="1"/>
  <c r="D1407" i="1"/>
  <c r="L1407" i="1" s="1"/>
  <c r="K1406" i="1"/>
  <c r="N1406" i="1" s="1"/>
  <c r="J1406" i="1"/>
  <c r="M1406" i="1" s="1"/>
  <c r="G1406" i="1"/>
  <c r="H1407" i="1" s="1"/>
  <c r="F1406" i="1"/>
  <c r="D1406" i="1"/>
  <c r="L1406" i="1" s="1"/>
  <c r="K1405" i="1"/>
  <c r="N1405" i="1" s="1"/>
  <c r="J1405" i="1"/>
  <c r="M1405" i="1" s="1"/>
  <c r="G1405" i="1"/>
  <c r="H1406" i="1" s="1"/>
  <c r="F1405" i="1"/>
  <c r="D1405" i="1"/>
  <c r="L1405" i="1" s="1"/>
  <c r="K1404" i="1"/>
  <c r="N1404" i="1" s="1"/>
  <c r="J1404" i="1"/>
  <c r="M1404" i="1" s="1"/>
  <c r="G1404" i="1"/>
  <c r="H1405" i="1" s="1"/>
  <c r="F1404" i="1"/>
  <c r="D1404" i="1"/>
  <c r="L1404" i="1" s="1"/>
  <c r="K1403" i="1"/>
  <c r="N1403" i="1" s="1"/>
  <c r="J1403" i="1"/>
  <c r="M1403" i="1" s="1"/>
  <c r="G1403" i="1"/>
  <c r="H1404" i="1" s="1"/>
  <c r="F1403" i="1"/>
  <c r="D1403" i="1"/>
  <c r="L1403" i="1" s="1"/>
  <c r="K1402" i="1"/>
  <c r="N1402" i="1" s="1"/>
  <c r="J1402" i="1"/>
  <c r="M1402" i="1" s="1"/>
  <c r="G1402" i="1"/>
  <c r="H1403" i="1" s="1"/>
  <c r="F1402" i="1"/>
  <c r="D1402" i="1"/>
  <c r="L1402" i="1" s="1"/>
  <c r="K1401" i="1"/>
  <c r="N1401" i="1" s="1"/>
  <c r="J1401" i="1"/>
  <c r="M1401" i="1" s="1"/>
  <c r="G1401" i="1"/>
  <c r="H1402" i="1" s="1"/>
  <c r="F1401" i="1"/>
  <c r="D1401" i="1"/>
  <c r="L1401" i="1" s="1"/>
  <c r="K1400" i="1"/>
  <c r="N1400" i="1" s="1"/>
  <c r="J1400" i="1"/>
  <c r="M1400" i="1" s="1"/>
  <c r="G1400" i="1"/>
  <c r="H1401" i="1" s="1"/>
  <c r="F1400" i="1"/>
  <c r="D1400" i="1"/>
  <c r="L1400" i="1" s="1"/>
  <c r="K1399" i="1"/>
  <c r="N1399" i="1" s="1"/>
  <c r="J1399" i="1"/>
  <c r="M1399" i="1" s="1"/>
  <c r="G1399" i="1"/>
  <c r="H1400" i="1" s="1"/>
  <c r="F1399" i="1"/>
  <c r="D1399" i="1"/>
  <c r="L1399" i="1" s="1"/>
  <c r="K1398" i="1"/>
  <c r="N1398" i="1" s="1"/>
  <c r="J1398" i="1"/>
  <c r="M1398" i="1" s="1"/>
  <c r="G1398" i="1"/>
  <c r="H1399" i="1" s="1"/>
  <c r="F1398" i="1"/>
  <c r="D1398" i="1"/>
  <c r="L1398" i="1" s="1"/>
  <c r="K1397" i="1"/>
  <c r="N1397" i="1" s="1"/>
  <c r="J1397" i="1"/>
  <c r="M1397" i="1" s="1"/>
  <c r="G1397" i="1"/>
  <c r="H1398" i="1" s="1"/>
  <c r="F1397" i="1"/>
  <c r="D1397" i="1"/>
  <c r="L1397" i="1" s="1"/>
  <c r="K1396" i="1"/>
  <c r="N1396" i="1" s="1"/>
  <c r="J1396" i="1"/>
  <c r="M1396" i="1" s="1"/>
  <c r="G1396" i="1"/>
  <c r="H1397" i="1" s="1"/>
  <c r="F1396" i="1"/>
  <c r="D1396" i="1"/>
  <c r="L1396" i="1" s="1"/>
  <c r="K1395" i="1"/>
  <c r="N1395" i="1" s="1"/>
  <c r="J1395" i="1"/>
  <c r="M1395" i="1" s="1"/>
  <c r="G1395" i="1"/>
  <c r="H1396" i="1" s="1"/>
  <c r="F1395" i="1"/>
  <c r="D1395" i="1"/>
  <c r="L1395" i="1" s="1"/>
  <c r="K1394" i="1"/>
  <c r="N1394" i="1" s="1"/>
  <c r="J1394" i="1"/>
  <c r="M1394" i="1" s="1"/>
  <c r="G1394" i="1"/>
  <c r="H1395" i="1" s="1"/>
  <c r="F1394" i="1"/>
  <c r="D1394" i="1"/>
  <c r="L1394" i="1" s="1"/>
  <c r="K1393" i="1"/>
  <c r="N1393" i="1" s="1"/>
  <c r="J1393" i="1"/>
  <c r="M1393" i="1" s="1"/>
  <c r="G1393" i="1"/>
  <c r="H1394" i="1" s="1"/>
  <c r="F1393" i="1"/>
  <c r="D1393" i="1"/>
  <c r="L1393" i="1" s="1"/>
  <c r="K1392" i="1"/>
  <c r="N1392" i="1" s="1"/>
  <c r="J1392" i="1"/>
  <c r="M1392" i="1" s="1"/>
  <c r="G1392" i="1"/>
  <c r="H1393" i="1" s="1"/>
  <c r="F1392" i="1"/>
  <c r="D1392" i="1"/>
  <c r="L1392" i="1" s="1"/>
  <c r="K1391" i="1"/>
  <c r="N1391" i="1" s="1"/>
  <c r="J1391" i="1"/>
  <c r="M1391" i="1" s="1"/>
  <c r="G1391" i="1"/>
  <c r="H1392" i="1" s="1"/>
  <c r="F1391" i="1"/>
  <c r="D1391" i="1"/>
  <c r="L1391" i="1" s="1"/>
  <c r="K1390" i="1"/>
  <c r="N1390" i="1" s="1"/>
  <c r="J1390" i="1"/>
  <c r="M1390" i="1" s="1"/>
  <c r="G1390" i="1"/>
  <c r="H1391" i="1" s="1"/>
  <c r="F1390" i="1"/>
  <c r="D1390" i="1"/>
  <c r="L1390" i="1" s="1"/>
  <c r="K1389" i="1"/>
  <c r="N1389" i="1" s="1"/>
  <c r="J1389" i="1"/>
  <c r="M1389" i="1" s="1"/>
  <c r="G1389" i="1"/>
  <c r="H1390" i="1" s="1"/>
  <c r="F1389" i="1"/>
  <c r="D1389" i="1"/>
  <c r="L1389" i="1" s="1"/>
  <c r="K1388" i="1"/>
  <c r="N1388" i="1" s="1"/>
  <c r="J1388" i="1"/>
  <c r="M1388" i="1" s="1"/>
  <c r="G1388" i="1"/>
  <c r="H1389" i="1" s="1"/>
  <c r="F1388" i="1"/>
  <c r="D1388" i="1"/>
  <c r="L1388" i="1" s="1"/>
  <c r="K1387" i="1"/>
  <c r="N1387" i="1" s="1"/>
  <c r="J1387" i="1"/>
  <c r="M1387" i="1" s="1"/>
  <c r="G1387" i="1"/>
  <c r="H1388" i="1" s="1"/>
  <c r="F1387" i="1"/>
  <c r="D1387" i="1"/>
  <c r="L1387" i="1" s="1"/>
  <c r="K1386" i="1"/>
  <c r="N1386" i="1" s="1"/>
  <c r="J1386" i="1"/>
  <c r="M1386" i="1" s="1"/>
  <c r="G1386" i="1"/>
  <c r="H1387" i="1" s="1"/>
  <c r="F1386" i="1"/>
  <c r="D1386" i="1"/>
  <c r="L1386" i="1" s="1"/>
  <c r="K1385" i="1"/>
  <c r="N1385" i="1" s="1"/>
  <c r="J1385" i="1"/>
  <c r="M1385" i="1" s="1"/>
  <c r="G1385" i="1"/>
  <c r="H1386" i="1" s="1"/>
  <c r="F1385" i="1"/>
  <c r="D1385" i="1"/>
  <c r="L1385" i="1" s="1"/>
  <c r="K1384" i="1"/>
  <c r="N1384" i="1" s="1"/>
  <c r="J1384" i="1"/>
  <c r="M1384" i="1" s="1"/>
  <c r="G1384" i="1"/>
  <c r="H1385" i="1" s="1"/>
  <c r="F1384" i="1"/>
  <c r="D1384" i="1"/>
  <c r="L1384" i="1" s="1"/>
  <c r="K1383" i="1"/>
  <c r="N1383" i="1" s="1"/>
  <c r="J1383" i="1"/>
  <c r="M1383" i="1" s="1"/>
  <c r="G1383" i="1"/>
  <c r="H1384" i="1" s="1"/>
  <c r="F1383" i="1"/>
  <c r="D1383" i="1"/>
  <c r="L1383" i="1" s="1"/>
  <c r="K1382" i="1"/>
  <c r="N1382" i="1" s="1"/>
  <c r="J1382" i="1"/>
  <c r="M1382" i="1" s="1"/>
  <c r="G1382" i="1"/>
  <c r="H1383" i="1" s="1"/>
  <c r="F1382" i="1"/>
  <c r="D1382" i="1"/>
  <c r="L1382" i="1" s="1"/>
  <c r="K1381" i="1"/>
  <c r="N1381" i="1" s="1"/>
  <c r="J1381" i="1"/>
  <c r="M1381" i="1" s="1"/>
  <c r="G1381" i="1"/>
  <c r="H1382" i="1" s="1"/>
  <c r="F1381" i="1"/>
  <c r="D1381" i="1"/>
  <c r="L1381" i="1" s="1"/>
  <c r="K1380" i="1"/>
  <c r="N1380" i="1" s="1"/>
  <c r="J1380" i="1"/>
  <c r="M1380" i="1" s="1"/>
  <c r="G1380" i="1"/>
  <c r="H1381" i="1" s="1"/>
  <c r="F1380" i="1"/>
  <c r="D1380" i="1"/>
  <c r="L1380" i="1" s="1"/>
  <c r="K1379" i="1"/>
  <c r="N1379" i="1" s="1"/>
  <c r="J1379" i="1"/>
  <c r="M1379" i="1" s="1"/>
  <c r="G1379" i="1"/>
  <c r="H1380" i="1" s="1"/>
  <c r="F1379" i="1"/>
  <c r="D1379" i="1"/>
  <c r="L1379" i="1" s="1"/>
  <c r="K1378" i="1"/>
  <c r="N1378" i="1" s="1"/>
  <c r="J1378" i="1"/>
  <c r="M1378" i="1" s="1"/>
  <c r="G1378" i="1"/>
  <c r="H1379" i="1" s="1"/>
  <c r="F1378" i="1"/>
  <c r="D1378" i="1"/>
  <c r="L1378" i="1" s="1"/>
  <c r="K1377" i="1"/>
  <c r="N1377" i="1" s="1"/>
  <c r="J1377" i="1"/>
  <c r="M1377" i="1" s="1"/>
  <c r="G1377" i="1"/>
  <c r="H1378" i="1" s="1"/>
  <c r="F1377" i="1"/>
  <c r="D1377" i="1"/>
  <c r="L1377" i="1" s="1"/>
  <c r="K1376" i="1"/>
  <c r="N1376" i="1" s="1"/>
  <c r="J1376" i="1"/>
  <c r="M1376" i="1" s="1"/>
  <c r="G1376" i="1"/>
  <c r="H1377" i="1" s="1"/>
  <c r="F1376" i="1"/>
  <c r="D1376" i="1"/>
  <c r="L1376" i="1" s="1"/>
  <c r="K1375" i="1"/>
  <c r="N1375" i="1" s="1"/>
  <c r="J1375" i="1"/>
  <c r="M1375" i="1" s="1"/>
  <c r="G1375" i="1"/>
  <c r="H1376" i="1" s="1"/>
  <c r="F1375" i="1"/>
  <c r="D1375" i="1"/>
  <c r="L1375" i="1" s="1"/>
  <c r="K1374" i="1"/>
  <c r="N1374" i="1" s="1"/>
  <c r="J1374" i="1"/>
  <c r="M1374" i="1" s="1"/>
  <c r="G1374" i="1"/>
  <c r="H1375" i="1" s="1"/>
  <c r="F1374" i="1"/>
  <c r="D1374" i="1"/>
  <c r="L1374" i="1" s="1"/>
  <c r="K1373" i="1"/>
  <c r="N1373" i="1" s="1"/>
  <c r="J1373" i="1"/>
  <c r="M1373" i="1" s="1"/>
  <c r="G1373" i="1"/>
  <c r="H1374" i="1" s="1"/>
  <c r="F1373" i="1"/>
  <c r="D1373" i="1"/>
  <c r="L1373" i="1" s="1"/>
  <c r="K1372" i="1"/>
  <c r="N1372" i="1" s="1"/>
  <c r="J1372" i="1"/>
  <c r="M1372" i="1" s="1"/>
  <c r="G1372" i="1"/>
  <c r="H1373" i="1" s="1"/>
  <c r="F1372" i="1"/>
  <c r="D1372" i="1"/>
  <c r="L1372" i="1" s="1"/>
  <c r="K1371" i="1"/>
  <c r="N1371" i="1" s="1"/>
  <c r="J1371" i="1"/>
  <c r="M1371" i="1" s="1"/>
  <c r="G1371" i="1"/>
  <c r="H1372" i="1" s="1"/>
  <c r="F1371" i="1"/>
  <c r="D1371" i="1"/>
  <c r="L1371" i="1" s="1"/>
  <c r="K1370" i="1"/>
  <c r="N1370" i="1" s="1"/>
  <c r="J1370" i="1"/>
  <c r="M1370" i="1" s="1"/>
  <c r="G1370" i="1"/>
  <c r="H1371" i="1" s="1"/>
  <c r="F1370" i="1"/>
  <c r="D1370" i="1"/>
  <c r="L1370" i="1" s="1"/>
  <c r="K1369" i="1"/>
  <c r="N1369" i="1" s="1"/>
  <c r="J1369" i="1"/>
  <c r="M1369" i="1" s="1"/>
  <c r="G1369" i="1"/>
  <c r="H1370" i="1" s="1"/>
  <c r="F1369" i="1"/>
  <c r="D1369" i="1"/>
  <c r="L1369" i="1" s="1"/>
  <c r="K1368" i="1"/>
  <c r="N1368" i="1" s="1"/>
  <c r="J1368" i="1"/>
  <c r="M1368" i="1" s="1"/>
  <c r="G1368" i="1"/>
  <c r="H1369" i="1" s="1"/>
  <c r="F1368" i="1"/>
  <c r="D1368" i="1"/>
  <c r="L1368" i="1" s="1"/>
  <c r="K1367" i="1"/>
  <c r="N1367" i="1" s="1"/>
  <c r="J1367" i="1"/>
  <c r="M1367" i="1" s="1"/>
  <c r="G1367" i="1"/>
  <c r="H1368" i="1" s="1"/>
  <c r="F1367" i="1"/>
  <c r="D1367" i="1"/>
  <c r="L1367" i="1" s="1"/>
  <c r="K1366" i="1"/>
  <c r="N1366" i="1" s="1"/>
  <c r="J1366" i="1"/>
  <c r="M1366" i="1" s="1"/>
  <c r="G1366" i="1"/>
  <c r="H1367" i="1" s="1"/>
  <c r="F1366" i="1"/>
  <c r="D1366" i="1"/>
  <c r="L1366" i="1" s="1"/>
  <c r="K1365" i="1"/>
  <c r="N1365" i="1" s="1"/>
  <c r="J1365" i="1"/>
  <c r="M1365" i="1" s="1"/>
  <c r="G1365" i="1"/>
  <c r="H1366" i="1" s="1"/>
  <c r="F1365" i="1"/>
  <c r="D1365" i="1"/>
  <c r="L1365" i="1" s="1"/>
  <c r="K1364" i="1"/>
  <c r="N1364" i="1" s="1"/>
  <c r="J1364" i="1"/>
  <c r="M1364" i="1" s="1"/>
  <c r="G1364" i="1"/>
  <c r="H1365" i="1" s="1"/>
  <c r="F1364" i="1"/>
  <c r="D1364" i="1"/>
  <c r="L1364" i="1" s="1"/>
  <c r="K1363" i="1"/>
  <c r="N1363" i="1" s="1"/>
  <c r="J1363" i="1"/>
  <c r="M1363" i="1" s="1"/>
  <c r="G1363" i="1"/>
  <c r="H1364" i="1" s="1"/>
  <c r="F1363" i="1"/>
  <c r="D1363" i="1"/>
  <c r="L1363" i="1" s="1"/>
  <c r="K1362" i="1"/>
  <c r="N1362" i="1" s="1"/>
  <c r="J1362" i="1"/>
  <c r="M1362" i="1" s="1"/>
  <c r="G1362" i="1"/>
  <c r="H1363" i="1" s="1"/>
  <c r="F1362" i="1"/>
  <c r="D1362" i="1"/>
  <c r="L1362" i="1" s="1"/>
  <c r="K1361" i="1"/>
  <c r="N1361" i="1" s="1"/>
  <c r="J1361" i="1"/>
  <c r="M1361" i="1" s="1"/>
  <c r="G1361" i="1"/>
  <c r="H1362" i="1" s="1"/>
  <c r="F1361" i="1"/>
  <c r="D1361" i="1"/>
  <c r="L1361" i="1" s="1"/>
  <c r="K1360" i="1"/>
  <c r="N1360" i="1" s="1"/>
  <c r="J1360" i="1"/>
  <c r="M1360" i="1" s="1"/>
  <c r="G1360" i="1"/>
  <c r="H1361" i="1" s="1"/>
  <c r="F1360" i="1"/>
  <c r="D1360" i="1"/>
  <c r="L1360" i="1" s="1"/>
  <c r="K1359" i="1"/>
  <c r="N1359" i="1" s="1"/>
  <c r="J1359" i="1"/>
  <c r="M1359" i="1" s="1"/>
  <c r="G1359" i="1"/>
  <c r="H1360" i="1" s="1"/>
  <c r="F1359" i="1"/>
  <c r="D1359" i="1"/>
  <c r="L1359" i="1" s="1"/>
  <c r="K1358" i="1"/>
  <c r="N1358" i="1" s="1"/>
  <c r="J1358" i="1"/>
  <c r="M1358" i="1" s="1"/>
  <c r="G1358" i="1"/>
  <c r="H1359" i="1" s="1"/>
  <c r="F1358" i="1"/>
  <c r="D1358" i="1"/>
  <c r="L1358" i="1" s="1"/>
  <c r="K1357" i="1"/>
  <c r="N1357" i="1" s="1"/>
  <c r="J1357" i="1"/>
  <c r="M1357" i="1" s="1"/>
  <c r="G1357" i="1"/>
  <c r="H1358" i="1" s="1"/>
  <c r="F1357" i="1"/>
  <c r="D1357" i="1"/>
  <c r="L1357" i="1" s="1"/>
  <c r="K1356" i="1"/>
  <c r="N1356" i="1" s="1"/>
  <c r="J1356" i="1"/>
  <c r="M1356" i="1" s="1"/>
  <c r="G1356" i="1"/>
  <c r="H1357" i="1" s="1"/>
  <c r="F1356" i="1"/>
  <c r="D1356" i="1"/>
  <c r="L1356" i="1" s="1"/>
  <c r="K1355" i="1"/>
  <c r="N1355" i="1" s="1"/>
  <c r="J1355" i="1"/>
  <c r="M1355" i="1" s="1"/>
  <c r="G1355" i="1"/>
  <c r="H1356" i="1" s="1"/>
  <c r="F1355" i="1"/>
  <c r="D1355" i="1"/>
  <c r="L1355" i="1" s="1"/>
  <c r="K1354" i="1"/>
  <c r="N1354" i="1" s="1"/>
  <c r="J1354" i="1"/>
  <c r="M1354" i="1" s="1"/>
  <c r="G1354" i="1"/>
  <c r="H1355" i="1" s="1"/>
  <c r="F1354" i="1"/>
  <c r="D1354" i="1"/>
  <c r="L1354" i="1" s="1"/>
  <c r="K1353" i="1"/>
  <c r="N1353" i="1" s="1"/>
  <c r="J1353" i="1"/>
  <c r="M1353" i="1" s="1"/>
  <c r="G1353" i="1"/>
  <c r="H1354" i="1" s="1"/>
  <c r="F1353" i="1"/>
  <c r="D1353" i="1"/>
  <c r="L1353" i="1" s="1"/>
  <c r="K1352" i="1"/>
  <c r="N1352" i="1" s="1"/>
  <c r="J1352" i="1"/>
  <c r="M1352" i="1" s="1"/>
  <c r="G1352" i="1"/>
  <c r="H1353" i="1" s="1"/>
  <c r="F1352" i="1"/>
  <c r="D1352" i="1"/>
  <c r="L1352" i="1" s="1"/>
  <c r="K1351" i="1"/>
  <c r="N1351" i="1" s="1"/>
  <c r="J1351" i="1"/>
  <c r="M1351" i="1" s="1"/>
  <c r="G1351" i="1"/>
  <c r="H1352" i="1" s="1"/>
  <c r="F1351" i="1"/>
  <c r="D1351" i="1"/>
  <c r="L1351" i="1" s="1"/>
  <c r="K1350" i="1"/>
  <c r="N1350" i="1" s="1"/>
  <c r="J1350" i="1"/>
  <c r="M1350" i="1" s="1"/>
  <c r="G1350" i="1"/>
  <c r="H1351" i="1" s="1"/>
  <c r="F1350" i="1"/>
  <c r="D1350" i="1"/>
  <c r="L1350" i="1" s="1"/>
  <c r="K1349" i="1"/>
  <c r="N1349" i="1" s="1"/>
  <c r="J1349" i="1"/>
  <c r="M1349" i="1" s="1"/>
  <c r="G1349" i="1"/>
  <c r="H1350" i="1" s="1"/>
  <c r="F1349" i="1"/>
  <c r="D1349" i="1"/>
  <c r="L1349" i="1" s="1"/>
  <c r="K1348" i="1"/>
  <c r="N1348" i="1" s="1"/>
  <c r="J1348" i="1"/>
  <c r="M1348" i="1" s="1"/>
  <c r="G1348" i="1"/>
  <c r="H1349" i="1" s="1"/>
  <c r="F1348" i="1"/>
  <c r="D1348" i="1"/>
  <c r="L1348" i="1" s="1"/>
  <c r="K1347" i="1"/>
  <c r="N1347" i="1" s="1"/>
  <c r="J1347" i="1"/>
  <c r="M1347" i="1" s="1"/>
  <c r="G1347" i="1"/>
  <c r="H1348" i="1" s="1"/>
  <c r="F1347" i="1"/>
  <c r="D1347" i="1"/>
  <c r="L1347" i="1" s="1"/>
  <c r="K1346" i="1"/>
  <c r="N1346" i="1" s="1"/>
  <c r="J1346" i="1"/>
  <c r="M1346" i="1" s="1"/>
  <c r="G1346" i="1"/>
  <c r="H1347" i="1" s="1"/>
  <c r="F1346" i="1"/>
  <c r="D1346" i="1"/>
  <c r="L1346" i="1" s="1"/>
  <c r="K1345" i="1"/>
  <c r="N1345" i="1" s="1"/>
  <c r="J1345" i="1"/>
  <c r="M1345" i="1" s="1"/>
  <c r="G1345" i="1"/>
  <c r="H1346" i="1" s="1"/>
  <c r="F1345" i="1"/>
  <c r="D1345" i="1"/>
  <c r="L1345" i="1" s="1"/>
  <c r="K1344" i="1"/>
  <c r="N1344" i="1" s="1"/>
  <c r="J1344" i="1"/>
  <c r="M1344" i="1" s="1"/>
  <c r="G1344" i="1"/>
  <c r="H1345" i="1" s="1"/>
  <c r="F1344" i="1"/>
  <c r="D1344" i="1"/>
  <c r="L1344" i="1" s="1"/>
  <c r="K1343" i="1"/>
  <c r="N1343" i="1" s="1"/>
  <c r="J1343" i="1"/>
  <c r="M1343" i="1" s="1"/>
  <c r="G1343" i="1"/>
  <c r="H1344" i="1" s="1"/>
  <c r="F1343" i="1"/>
  <c r="D1343" i="1"/>
  <c r="L1343" i="1" s="1"/>
  <c r="K1342" i="1"/>
  <c r="N1342" i="1" s="1"/>
  <c r="J1342" i="1"/>
  <c r="M1342" i="1" s="1"/>
  <c r="G1342" i="1"/>
  <c r="H1343" i="1" s="1"/>
  <c r="F1342" i="1"/>
  <c r="D1342" i="1"/>
  <c r="L1342" i="1" s="1"/>
  <c r="K1341" i="1"/>
  <c r="N1341" i="1" s="1"/>
  <c r="J1341" i="1"/>
  <c r="M1341" i="1" s="1"/>
  <c r="G1341" i="1"/>
  <c r="H1342" i="1" s="1"/>
  <c r="F1341" i="1"/>
  <c r="D1341" i="1"/>
  <c r="L1341" i="1" s="1"/>
  <c r="K1340" i="1"/>
  <c r="N1340" i="1" s="1"/>
  <c r="J1340" i="1"/>
  <c r="M1340" i="1" s="1"/>
  <c r="G1340" i="1"/>
  <c r="H1341" i="1" s="1"/>
  <c r="F1340" i="1"/>
  <c r="D1340" i="1"/>
  <c r="L1340" i="1" s="1"/>
  <c r="K1339" i="1"/>
  <c r="N1339" i="1" s="1"/>
  <c r="J1339" i="1"/>
  <c r="M1339" i="1" s="1"/>
  <c r="G1339" i="1"/>
  <c r="H1340" i="1" s="1"/>
  <c r="F1339" i="1"/>
  <c r="D1339" i="1"/>
  <c r="L1339" i="1" s="1"/>
  <c r="K1338" i="1"/>
  <c r="N1338" i="1" s="1"/>
  <c r="J1338" i="1"/>
  <c r="M1338" i="1" s="1"/>
  <c r="G1338" i="1"/>
  <c r="H1339" i="1" s="1"/>
  <c r="F1338" i="1"/>
  <c r="D1338" i="1"/>
  <c r="L1338" i="1" s="1"/>
  <c r="K1337" i="1"/>
  <c r="N1337" i="1" s="1"/>
  <c r="J1337" i="1"/>
  <c r="M1337" i="1" s="1"/>
  <c r="G1337" i="1"/>
  <c r="H1338" i="1" s="1"/>
  <c r="F1337" i="1"/>
  <c r="D1337" i="1"/>
  <c r="L1337" i="1" s="1"/>
  <c r="K1336" i="1"/>
  <c r="N1336" i="1" s="1"/>
  <c r="J1336" i="1"/>
  <c r="M1336" i="1" s="1"/>
  <c r="G1336" i="1"/>
  <c r="H1337" i="1" s="1"/>
  <c r="F1336" i="1"/>
  <c r="D1336" i="1"/>
  <c r="L1336" i="1" s="1"/>
  <c r="K1335" i="1"/>
  <c r="N1335" i="1" s="1"/>
  <c r="J1335" i="1"/>
  <c r="M1335" i="1" s="1"/>
  <c r="G1335" i="1"/>
  <c r="H1336" i="1" s="1"/>
  <c r="F1335" i="1"/>
  <c r="D1335" i="1"/>
  <c r="L1335" i="1" s="1"/>
  <c r="K1334" i="1"/>
  <c r="N1334" i="1" s="1"/>
  <c r="J1334" i="1"/>
  <c r="M1334" i="1" s="1"/>
  <c r="G1334" i="1"/>
  <c r="H1335" i="1" s="1"/>
  <c r="F1334" i="1"/>
  <c r="D1334" i="1"/>
  <c r="L1334" i="1" s="1"/>
  <c r="K1333" i="1"/>
  <c r="N1333" i="1" s="1"/>
  <c r="J1333" i="1"/>
  <c r="M1333" i="1" s="1"/>
  <c r="G1333" i="1"/>
  <c r="H1334" i="1" s="1"/>
  <c r="F1333" i="1"/>
  <c r="D1333" i="1"/>
  <c r="L1333" i="1" s="1"/>
  <c r="K1332" i="1"/>
  <c r="N1332" i="1" s="1"/>
  <c r="J1332" i="1"/>
  <c r="M1332" i="1" s="1"/>
  <c r="G1332" i="1"/>
  <c r="H1333" i="1" s="1"/>
  <c r="F1332" i="1"/>
  <c r="D1332" i="1"/>
  <c r="L1332" i="1" s="1"/>
  <c r="K1331" i="1"/>
  <c r="N1331" i="1" s="1"/>
  <c r="J1331" i="1"/>
  <c r="M1331" i="1" s="1"/>
  <c r="G1331" i="1"/>
  <c r="H1332" i="1" s="1"/>
  <c r="F1331" i="1"/>
  <c r="D1331" i="1"/>
  <c r="L1331" i="1" s="1"/>
  <c r="K1330" i="1"/>
  <c r="N1330" i="1" s="1"/>
  <c r="J1330" i="1"/>
  <c r="M1330" i="1" s="1"/>
  <c r="G1330" i="1"/>
  <c r="H1331" i="1" s="1"/>
  <c r="F1330" i="1"/>
  <c r="D1330" i="1"/>
  <c r="L1330" i="1" s="1"/>
  <c r="K1329" i="1"/>
  <c r="N1329" i="1" s="1"/>
  <c r="J1329" i="1"/>
  <c r="M1329" i="1" s="1"/>
  <c r="G1329" i="1"/>
  <c r="H1330" i="1" s="1"/>
  <c r="F1329" i="1"/>
  <c r="D1329" i="1"/>
  <c r="L1329" i="1" s="1"/>
  <c r="K1328" i="1"/>
  <c r="N1328" i="1" s="1"/>
  <c r="J1328" i="1"/>
  <c r="M1328" i="1" s="1"/>
  <c r="G1328" i="1"/>
  <c r="H1329" i="1" s="1"/>
  <c r="F1328" i="1"/>
  <c r="D1328" i="1"/>
  <c r="L1328" i="1" s="1"/>
  <c r="K1327" i="1"/>
  <c r="N1327" i="1" s="1"/>
  <c r="J1327" i="1"/>
  <c r="M1327" i="1" s="1"/>
  <c r="G1327" i="1"/>
  <c r="H1328" i="1" s="1"/>
  <c r="F1327" i="1"/>
  <c r="D1327" i="1"/>
  <c r="L1327" i="1" s="1"/>
  <c r="K1326" i="1"/>
  <c r="N1326" i="1" s="1"/>
  <c r="J1326" i="1"/>
  <c r="M1326" i="1" s="1"/>
  <c r="G1326" i="1"/>
  <c r="H1327" i="1" s="1"/>
  <c r="F1326" i="1"/>
  <c r="D1326" i="1"/>
  <c r="L1326" i="1" s="1"/>
  <c r="K1325" i="1"/>
  <c r="N1325" i="1" s="1"/>
  <c r="J1325" i="1"/>
  <c r="M1325" i="1" s="1"/>
  <c r="G1325" i="1"/>
  <c r="H1326" i="1" s="1"/>
  <c r="F1325" i="1"/>
  <c r="D1325" i="1"/>
  <c r="L1325" i="1" s="1"/>
  <c r="K1324" i="1"/>
  <c r="N1324" i="1" s="1"/>
  <c r="J1324" i="1"/>
  <c r="M1324" i="1" s="1"/>
  <c r="G1324" i="1"/>
  <c r="H1325" i="1" s="1"/>
  <c r="F1324" i="1"/>
  <c r="D1324" i="1"/>
  <c r="L1324" i="1" s="1"/>
  <c r="K1323" i="1"/>
  <c r="N1323" i="1" s="1"/>
  <c r="J1323" i="1"/>
  <c r="M1323" i="1" s="1"/>
  <c r="G1323" i="1"/>
  <c r="H1324" i="1" s="1"/>
  <c r="F1323" i="1"/>
  <c r="D1323" i="1"/>
  <c r="L1323" i="1" s="1"/>
  <c r="K1322" i="1"/>
  <c r="N1322" i="1" s="1"/>
  <c r="J1322" i="1"/>
  <c r="M1322" i="1" s="1"/>
  <c r="G1322" i="1"/>
  <c r="H1323" i="1" s="1"/>
  <c r="F1322" i="1"/>
  <c r="D1322" i="1"/>
  <c r="L1322" i="1" s="1"/>
  <c r="K1321" i="1"/>
  <c r="N1321" i="1" s="1"/>
  <c r="J1321" i="1"/>
  <c r="M1321" i="1" s="1"/>
  <c r="G1321" i="1"/>
  <c r="H1322" i="1" s="1"/>
  <c r="F1321" i="1"/>
  <c r="D1321" i="1"/>
  <c r="L1321" i="1" s="1"/>
  <c r="K1320" i="1"/>
  <c r="N1320" i="1" s="1"/>
  <c r="J1320" i="1"/>
  <c r="M1320" i="1" s="1"/>
  <c r="G1320" i="1"/>
  <c r="H1321" i="1" s="1"/>
  <c r="F1320" i="1"/>
  <c r="D1320" i="1"/>
  <c r="L1320" i="1" s="1"/>
  <c r="K1319" i="1"/>
  <c r="N1319" i="1" s="1"/>
  <c r="J1319" i="1"/>
  <c r="M1319" i="1" s="1"/>
  <c r="G1319" i="1"/>
  <c r="H1320" i="1" s="1"/>
  <c r="F1319" i="1"/>
  <c r="D1319" i="1"/>
  <c r="L1319" i="1" s="1"/>
  <c r="K1318" i="1"/>
  <c r="N1318" i="1" s="1"/>
  <c r="J1318" i="1"/>
  <c r="M1318" i="1" s="1"/>
  <c r="G1318" i="1"/>
  <c r="H1319" i="1" s="1"/>
  <c r="F1318" i="1"/>
  <c r="D1318" i="1"/>
  <c r="L1318" i="1" s="1"/>
  <c r="K1317" i="1"/>
  <c r="N1317" i="1" s="1"/>
  <c r="J1317" i="1"/>
  <c r="M1317" i="1" s="1"/>
  <c r="G1317" i="1"/>
  <c r="H1318" i="1" s="1"/>
  <c r="F1317" i="1"/>
  <c r="D1317" i="1"/>
  <c r="L1317" i="1" s="1"/>
  <c r="K1316" i="1"/>
  <c r="N1316" i="1" s="1"/>
  <c r="J1316" i="1"/>
  <c r="M1316" i="1" s="1"/>
  <c r="G1316" i="1"/>
  <c r="H1317" i="1" s="1"/>
  <c r="F1316" i="1"/>
  <c r="D1316" i="1"/>
  <c r="L1316" i="1" s="1"/>
  <c r="K1315" i="1"/>
  <c r="N1315" i="1" s="1"/>
  <c r="J1315" i="1"/>
  <c r="M1315" i="1" s="1"/>
  <c r="G1315" i="1"/>
  <c r="H1316" i="1" s="1"/>
  <c r="F1315" i="1"/>
  <c r="D1315" i="1"/>
  <c r="L1315" i="1" s="1"/>
  <c r="K1314" i="1"/>
  <c r="N1314" i="1" s="1"/>
  <c r="J1314" i="1"/>
  <c r="M1314" i="1" s="1"/>
  <c r="G1314" i="1"/>
  <c r="H1315" i="1" s="1"/>
  <c r="F1314" i="1"/>
  <c r="D1314" i="1"/>
  <c r="L1314" i="1" s="1"/>
  <c r="K1313" i="1"/>
  <c r="N1313" i="1" s="1"/>
  <c r="J1313" i="1"/>
  <c r="M1313" i="1" s="1"/>
  <c r="G1313" i="1"/>
  <c r="H1314" i="1" s="1"/>
  <c r="F1313" i="1"/>
  <c r="D1313" i="1"/>
  <c r="L1313" i="1" s="1"/>
  <c r="K1312" i="1"/>
  <c r="N1312" i="1" s="1"/>
  <c r="J1312" i="1"/>
  <c r="M1312" i="1" s="1"/>
  <c r="G1312" i="1"/>
  <c r="H1313" i="1" s="1"/>
  <c r="F1312" i="1"/>
  <c r="D1312" i="1"/>
  <c r="L1312" i="1" s="1"/>
  <c r="K1311" i="1"/>
  <c r="N1311" i="1" s="1"/>
  <c r="J1311" i="1"/>
  <c r="M1311" i="1" s="1"/>
  <c r="G1311" i="1"/>
  <c r="H1312" i="1" s="1"/>
  <c r="F1311" i="1"/>
  <c r="D1311" i="1"/>
  <c r="L1311" i="1" s="1"/>
  <c r="K1310" i="1"/>
  <c r="N1310" i="1" s="1"/>
  <c r="J1310" i="1"/>
  <c r="M1310" i="1" s="1"/>
  <c r="G1310" i="1"/>
  <c r="H1311" i="1" s="1"/>
  <c r="F1310" i="1"/>
  <c r="D1310" i="1"/>
  <c r="L1310" i="1" s="1"/>
  <c r="K1309" i="1"/>
  <c r="N1309" i="1" s="1"/>
  <c r="J1309" i="1"/>
  <c r="M1309" i="1" s="1"/>
  <c r="G1309" i="1"/>
  <c r="H1310" i="1" s="1"/>
  <c r="F1309" i="1"/>
  <c r="D1309" i="1"/>
  <c r="L1309" i="1" s="1"/>
  <c r="K1308" i="1"/>
  <c r="N1308" i="1" s="1"/>
  <c r="J1308" i="1"/>
  <c r="M1308" i="1" s="1"/>
  <c r="G1308" i="1"/>
  <c r="H1309" i="1" s="1"/>
  <c r="F1308" i="1"/>
  <c r="D1308" i="1"/>
  <c r="L1308" i="1" s="1"/>
  <c r="K1307" i="1"/>
  <c r="N1307" i="1" s="1"/>
  <c r="J1307" i="1"/>
  <c r="M1307" i="1" s="1"/>
  <c r="G1307" i="1"/>
  <c r="H1308" i="1" s="1"/>
  <c r="F1307" i="1"/>
  <c r="D1307" i="1"/>
  <c r="L1307" i="1" s="1"/>
  <c r="K1306" i="1"/>
  <c r="N1306" i="1" s="1"/>
  <c r="J1306" i="1"/>
  <c r="M1306" i="1" s="1"/>
  <c r="G1306" i="1"/>
  <c r="H1307" i="1" s="1"/>
  <c r="F1306" i="1"/>
  <c r="D1306" i="1"/>
  <c r="L1306" i="1" s="1"/>
  <c r="K1305" i="1"/>
  <c r="N1305" i="1" s="1"/>
  <c r="J1305" i="1"/>
  <c r="M1305" i="1" s="1"/>
  <c r="G1305" i="1"/>
  <c r="H1306" i="1" s="1"/>
  <c r="F1305" i="1"/>
  <c r="D1305" i="1"/>
  <c r="L1305" i="1" s="1"/>
  <c r="K1304" i="1"/>
  <c r="N1304" i="1" s="1"/>
  <c r="J1304" i="1"/>
  <c r="M1304" i="1" s="1"/>
  <c r="G1304" i="1"/>
  <c r="H1305" i="1" s="1"/>
  <c r="F1304" i="1"/>
  <c r="D1304" i="1"/>
  <c r="L1304" i="1" s="1"/>
  <c r="K1303" i="1"/>
  <c r="N1303" i="1" s="1"/>
  <c r="J1303" i="1"/>
  <c r="M1303" i="1" s="1"/>
  <c r="G1303" i="1"/>
  <c r="H1304" i="1" s="1"/>
  <c r="F1303" i="1"/>
  <c r="D1303" i="1"/>
  <c r="L1303" i="1" s="1"/>
  <c r="K1302" i="1"/>
  <c r="N1302" i="1" s="1"/>
  <c r="J1302" i="1"/>
  <c r="M1302" i="1" s="1"/>
  <c r="G1302" i="1"/>
  <c r="H1303" i="1" s="1"/>
  <c r="F1302" i="1"/>
  <c r="D1302" i="1"/>
  <c r="L1302" i="1" s="1"/>
  <c r="K1301" i="1"/>
  <c r="N1301" i="1" s="1"/>
  <c r="J1301" i="1"/>
  <c r="M1301" i="1" s="1"/>
  <c r="G1301" i="1"/>
  <c r="H1302" i="1" s="1"/>
  <c r="F1301" i="1"/>
  <c r="D1301" i="1"/>
  <c r="L1301" i="1" s="1"/>
  <c r="K1300" i="1"/>
  <c r="N1300" i="1" s="1"/>
  <c r="J1300" i="1"/>
  <c r="M1300" i="1" s="1"/>
  <c r="G1300" i="1"/>
  <c r="H1301" i="1" s="1"/>
  <c r="F1300" i="1"/>
  <c r="D1300" i="1"/>
  <c r="L1300" i="1" s="1"/>
  <c r="K1299" i="1"/>
  <c r="N1299" i="1" s="1"/>
  <c r="J1299" i="1"/>
  <c r="M1299" i="1" s="1"/>
  <c r="G1299" i="1"/>
  <c r="H1300" i="1" s="1"/>
  <c r="F1299" i="1"/>
  <c r="D1299" i="1"/>
  <c r="L1299" i="1" s="1"/>
  <c r="K1298" i="1"/>
  <c r="N1298" i="1" s="1"/>
  <c r="J1298" i="1"/>
  <c r="M1298" i="1" s="1"/>
  <c r="G1298" i="1"/>
  <c r="H1299" i="1" s="1"/>
  <c r="F1298" i="1"/>
  <c r="D1298" i="1"/>
  <c r="L1298" i="1" s="1"/>
  <c r="K1297" i="1"/>
  <c r="N1297" i="1" s="1"/>
  <c r="J1297" i="1"/>
  <c r="M1297" i="1" s="1"/>
  <c r="G1297" i="1"/>
  <c r="H1298" i="1" s="1"/>
  <c r="F1297" i="1"/>
  <c r="D1297" i="1"/>
  <c r="L1297" i="1" s="1"/>
  <c r="K1296" i="1"/>
  <c r="N1296" i="1" s="1"/>
  <c r="J1296" i="1"/>
  <c r="M1296" i="1" s="1"/>
  <c r="G1296" i="1"/>
  <c r="H1297" i="1" s="1"/>
  <c r="F1296" i="1"/>
  <c r="D1296" i="1"/>
  <c r="L1296" i="1" s="1"/>
  <c r="K1295" i="1"/>
  <c r="N1295" i="1" s="1"/>
  <c r="J1295" i="1"/>
  <c r="M1295" i="1" s="1"/>
  <c r="G1295" i="1"/>
  <c r="H1296" i="1" s="1"/>
  <c r="F1295" i="1"/>
  <c r="D1295" i="1"/>
  <c r="L1295" i="1" s="1"/>
  <c r="K1294" i="1"/>
  <c r="N1294" i="1" s="1"/>
  <c r="J1294" i="1"/>
  <c r="M1294" i="1" s="1"/>
  <c r="G1294" i="1"/>
  <c r="H1295" i="1" s="1"/>
  <c r="F1294" i="1"/>
  <c r="D1294" i="1"/>
  <c r="L1294" i="1" s="1"/>
  <c r="K1293" i="1"/>
  <c r="N1293" i="1" s="1"/>
  <c r="J1293" i="1"/>
  <c r="M1293" i="1" s="1"/>
  <c r="G1293" i="1"/>
  <c r="H1294" i="1" s="1"/>
  <c r="F1293" i="1"/>
  <c r="D1293" i="1"/>
  <c r="L1293" i="1" s="1"/>
  <c r="K1292" i="1"/>
  <c r="N1292" i="1" s="1"/>
  <c r="J1292" i="1"/>
  <c r="M1292" i="1" s="1"/>
  <c r="G1292" i="1"/>
  <c r="H1293" i="1" s="1"/>
  <c r="F1292" i="1"/>
  <c r="D1292" i="1"/>
  <c r="L1292" i="1" s="1"/>
  <c r="K1291" i="1"/>
  <c r="N1291" i="1" s="1"/>
  <c r="J1291" i="1"/>
  <c r="M1291" i="1" s="1"/>
  <c r="G1291" i="1"/>
  <c r="H1292" i="1" s="1"/>
  <c r="F1291" i="1"/>
  <c r="D1291" i="1"/>
  <c r="L1291" i="1" s="1"/>
  <c r="K1290" i="1"/>
  <c r="N1290" i="1" s="1"/>
  <c r="J1290" i="1"/>
  <c r="M1290" i="1" s="1"/>
  <c r="G1290" i="1"/>
  <c r="H1291" i="1" s="1"/>
  <c r="F1290" i="1"/>
  <c r="D1290" i="1"/>
  <c r="L1290" i="1" s="1"/>
  <c r="K1289" i="1"/>
  <c r="N1289" i="1" s="1"/>
  <c r="J1289" i="1"/>
  <c r="M1289" i="1" s="1"/>
  <c r="G1289" i="1"/>
  <c r="H1290" i="1" s="1"/>
  <c r="F1289" i="1"/>
  <c r="D1289" i="1"/>
  <c r="L1289" i="1" s="1"/>
  <c r="K1288" i="1"/>
  <c r="N1288" i="1" s="1"/>
  <c r="J1288" i="1"/>
  <c r="M1288" i="1" s="1"/>
  <c r="G1288" i="1"/>
  <c r="H1289" i="1" s="1"/>
  <c r="F1288" i="1"/>
  <c r="D1288" i="1"/>
  <c r="L1288" i="1" s="1"/>
  <c r="K1287" i="1"/>
  <c r="N1287" i="1" s="1"/>
  <c r="J1287" i="1"/>
  <c r="M1287" i="1" s="1"/>
  <c r="G1287" i="1"/>
  <c r="H1288" i="1" s="1"/>
  <c r="F1287" i="1"/>
  <c r="D1287" i="1"/>
  <c r="L1287" i="1" s="1"/>
  <c r="K1286" i="1"/>
  <c r="N1286" i="1" s="1"/>
  <c r="J1286" i="1"/>
  <c r="M1286" i="1" s="1"/>
  <c r="G1286" i="1"/>
  <c r="H1287" i="1" s="1"/>
  <c r="F1286" i="1"/>
  <c r="D1286" i="1"/>
  <c r="L1286" i="1" s="1"/>
  <c r="K1285" i="1"/>
  <c r="N1285" i="1" s="1"/>
  <c r="J1285" i="1"/>
  <c r="M1285" i="1" s="1"/>
  <c r="G1285" i="1"/>
  <c r="H1286" i="1" s="1"/>
  <c r="F1285" i="1"/>
  <c r="D1285" i="1"/>
  <c r="L1285" i="1" s="1"/>
  <c r="K1284" i="1"/>
  <c r="N1284" i="1" s="1"/>
  <c r="J1284" i="1"/>
  <c r="M1284" i="1" s="1"/>
  <c r="G1284" i="1"/>
  <c r="H1285" i="1" s="1"/>
  <c r="F1284" i="1"/>
  <c r="D1284" i="1"/>
  <c r="L1284" i="1" s="1"/>
  <c r="K1283" i="1"/>
  <c r="N1283" i="1" s="1"/>
  <c r="J1283" i="1"/>
  <c r="M1283" i="1" s="1"/>
  <c r="G1283" i="1"/>
  <c r="H1284" i="1" s="1"/>
  <c r="F1283" i="1"/>
  <c r="D1283" i="1"/>
  <c r="L1283" i="1" s="1"/>
  <c r="K1282" i="1"/>
  <c r="N1282" i="1" s="1"/>
  <c r="J1282" i="1"/>
  <c r="M1282" i="1" s="1"/>
  <c r="G1282" i="1"/>
  <c r="H1283" i="1" s="1"/>
  <c r="F1282" i="1"/>
  <c r="D1282" i="1"/>
  <c r="L1282" i="1" s="1"/>
  <c r="K1281" i="1"/>
  <c r="N1281" i="1" s="1"/>
  <c r="J1281" i="1"/>
  <c r="M1281" i="1" s="1"/>
  <c r="G1281" i="1"/>
  <c r="H1282" i="1" s="1"/>
  <c r="F1281" i="1"/>
  <c r="D1281" i="1"/>
  <c r="L1281" i="1" s="1"/>
  <c r="K1280" i="1"/>
  <c r="N1280" i="1" s="1"/>
  <c r="J1280" i="1"/>
  <c r="M1280" i="1" s="1"/>
  <c r="G1280" i="1"/>
  <c r="H1281" i="1" s="1"/>
  <c r="F1280" i="1"/>
  <c r="D1280" i="1"/>
  <c r="L1280" i="1" s="1"/>
  <c r="K1279" i="1"/>
  <c r="N1279" i="1" s="1"/>
  <c r="J1279" i="1"/>
  <c r="M1279" i="1" s="1"/>
  <c r="G1279" i="1"/>
  <c r="H1280" i="1" s="1"/>
  <c r="F1279" i="1"/>
  <c r="D1279" i="1"/>
  <c r="L1279" i="1" s="1"/>
  <c r="K1278" i="1"/>
  <c r="N1278" i="1" s="1"/>
  <c r="J1278" i="1"/>
  <c r="M1278" i="1" s="1"/>
  <c r="G1278" i="1"/>
  <c r="H1279" i="1" s="1"/>
  <c r="F1278" i="1"/>
  <c r="D1278" i="1"/>
  <c r="L1278" i="1" s="1"/>
  <c r="K1277" i="1"/>
  <c r="N1277" i="1" s="1"/>
  <c r="J1277" i="1"/>
  <c r="M1277" i="1" s="1"/>
  <c r="G1277" i="1"/>
  <c r="H1278" i="1" s="1"/>
  <c r="F1277" i="1"/>
  <c r="D1277" i="1"/>
  <c r="L1277" i="1" s="1"/>
  <c r="K1276" i="1"/>
  <c r="N1276" i="1" s="1"/>
  <c r="J1276" i="1"/>
  <c r="M1276" i="1" s="1"/>
  <c r="G1276" i="1"/>
  <c r="H1277" i="1" s="1"/>
  <c r="F1276" i="1"/>
  <c r="D1276" i="1"/>
  <c r="L1276" i="1" s="1"/>
  <c r="K1275" i="1"/>
  <c r="N1275" i="1" s="1"/>
  <c r="J1275" i="1"/>
  <c r="M1275" i="1" s="1"/>
  <c r="G1275" i="1"/>
  <c r="H1276" i="1" s="1"/>
  <c r="F1275" i="1"/>
  <c r="D1275" i="1"/>
  <c r="L1275" i="1" s="1"/>
  <c r="K1274" i="1"/>
  <c r="N1274" i="1" s="1"/>
  <c r="J1274" i="1"/>
  <c r="M1274" i="1" s="1"/>
  <c r="G1274" i="1"/>
  <c r="H1275" i="1" s="1"/>
  <c r="F1274" i="1"/>
  <c r="D1274" i="1"/>
  <c r="L1274" i="1" s="1"/>
  <c r="K1273" i="1"/>
  <c r="N1273" i="1" s="1"/>
  <c r="J1273" i="1"/>
  <c r="M1273" i="1" s="1"/>
  <c r="G1273" i="1"/>
  <c r="H1274" i="1" s="1"/>
  <c r="F1273" i="1"/>
  <c r="D1273" i="1"/>
  <c r="L1273" i="1" s="1"/>
  <c r="K1272" i="1"/>
  <c r="N1272" i="1" s="1"/>
  <c r="J1272" i="1"/>
  <c r="M1272" i="1" s="1"/>
  <c r="G1272" i="1"/>
  <c r="H1273" i="1" s="1"/>
  <c r="F1272" i="1"/>
  <c r="D1272" i="1"/>
  <c r="L1272" i="1" s="1"/>
  <c r="K1271" i="1"/>
  <c r="N1271" i="1" s="1"/>
  <c r="J1271" i="1"/>
  <c r="M1271" i="1" s="1"/>
  <c r="G1271" i="1"/>
  <c r="H1272" i="1" s="1"/>
  <c r="F1271" i="1"/>
  <c r="D1271" i="1"/>
  <c r="L1271" i="1" s="1"/>
  <c r="K1270" i="1"/>
  <c r="N1270" i="1" s="1"/>
  <c r="J1270" i="1"/>
  <c r="M1270" i="1" s="1"/>
  <c r="G1270" i="1"/>
  <c r="H1271" i="1" s="1"/>
  <c r="F1270" i="1"/>
  <c r="D1270" i="1"/>
  <c r="L1270" i="1" s="1"/>
  <c r="K1269" i="1"/>
  <c r="N1269" i="1" s="1"/>
  <c r="J1269" i="1"/>
  <c r="M1269" i="1" s="1"/>
  <c r="G1269" i="1"/>
  <c r="H1270" i="1" s="1"/>
  <c r="F1269" i="1"/>
  <c r="D1269" i="1"/>
  <c r="L1269" i="1" s="1"/>
  <c r="K1268" i="1"/>
  <c r="N1268" i="1" s="1"/>
  <c r="J1268" i="1"/>
  <c r="M1268" i="1" s="1"/>
  <c r="G1268" i="1"/>
  <c r="H1269" i="1" s="1"/>
  <c r="F1268" i="1"/>
  <c r="D1268" i="1"/>
  <c r="L1268" i="1" s="1"/>
  <c r="K1267" i="1"/>
  <c r="N1267" i="1" s="1"/>
  <c r="J1267" i="1"/>
  <c r="M1267" i="1" s="1"/>
  <c r="G1267" i="1"/>
  <c r="H1268" i="1" s="1"/>
  <c r="F1267" i="1"/>
  <c r="D1267" i="1"/>
  <c r="L1267" i="1" s="1"/>
  <c r="K1266" i="1"/>
  <c r="N1266" i="1" s="1"/>
  <c r="J1266" i="1"/>
  <c r="M1266" i="1" s="1"/>
  <c r="G1266" i="1"/>
  <c r="H1267" i="1" s="1"/>
  <c r="F1266" i="1"/>
  <c r="D1266" i="1"/>
  <c r="L1266" i="1" s="1"/>
  <c r="K1265" i="1"/>
  <c r="N1265" i="1" s="1"/>
  <c r="J1265" i="1"/>
  <c r="M1265" i="1" s="1"/>
  <c r="G1265" i="1"/>
  <c r="H1266" i="1" s="1"/>
  <c r="F1265" i="1"/>
  <c r="D1265" i="1"/>
  <c r="L1265" i="1" s="1"/>
  <c r="K1264" i="1"/>
  <c r="N1264" i="1" s="1"/>
  <c r="J1264" i="1"/>
  <c r="M1264" i="1" s="1"/>
  <c r="G1264" i="1"/>
  <c r="H1265" i="1" s="1"/>
  <c r="F1264" i="1"/>
  <c r="D1264" i="1"/>
  <c r="L1264" i="1" s="1"/>
  <c r="K1263" i="1"/>
  <c r="N1263" i="1" s="1"/>
  <c r="J1263" i="1"/>
  <c r="M1263" i="1" s="1"/>
  <c r="G1263" i="1"/>
  <c r="H1264" i="1" s="1"/>
  <c r="F1263" i="1"/>
  <c r="D1263" i="1"/>
  <c r="L1263" i="1" s="1"/>
  <c r="K1262" i="1"/>
  <c r="N1262" i="1" s="1"/>
  <c r="J1262" i="1"/>
  <c r="M1262" i="1" s="1"/>
  <c r="G1262" i="1"/>
  <c r="H1263" i="1" s="1"/>
  <c r="F1262" i="1"/>
  <c r="D1262" i="1"/>
  <c r="L1262" i="1" s="1"/>
  <c r="K1261" i="1"/>
  <c r="N1261" i="1" s="1"/>
  <c r="J1261" i="1"/>
  <c r="M1261" i="1" s="1"/>
  <c r="G1261" i="1"/>
  <c r="H1262" i="1" s="1"/>
  <c r="F1261" i="1"/>
  <c r="D1261" i="1"/>
  <c r="L1261" i="1" s="1"/>
  <c r="K1260" i="1"/>
  <c r="N1260" i="1" s="1"/>
  <c r="J1260" i="1"/>
  <c r="M1260" i="1" s="1"/>
  <c r="G1260" i="1"/>
  <c r="H1261" i="1" s="1"/>
  <c r="F1260" i="1"/>
  <c r="D1260" i="1"/>
  <c r="L1260" i="1" s="1"/>
  <c r="K1259" i="1"/>
  <c r="N1259" i="1" s="1"/>
  <c r="J1259" i="1"/>
  <c r="M1259" i="1" s="1"/>
  <c r="G1259" i="1"/>
  <c r="H1260" i="1" s="1"/>
  <c r="F1259" i="1"/>
  <c r="D1259" i="1"/>
  <c r="L1259" i="1" s="1"/>
  <c r="K1258" i="1"/>
  <c r="N1258" i="1" s="1"/>
  <c r="J1258" i="1"/>
  <c r="M1258" i="1" s="1"/>
  <c r="G1258" i="1"/>
  <c r="H1259" i="1" s="1"/>
  <c r="F1258" i="1"/>
  <c r="D1258" i="1"/>
  <c r="L1258" i="1" s="1"/>
  <c r="K1257" i="1"/>
  <c r="N1257" i="1" s="1"/>
  <c r="J1257" i="1"/>
  <c r="M1257" i="1" s="1"/>
  <c r="G1257" i="1"/>
  <c r="H1258" i="1" s="1"/>
  <c r="F1257" i="1"/>
  <c r="D1257" i="1"/>
  <c r="L1257" i="1" s="1"/>
  <c r="K1256" i="1"/>
  <c r="N1256" i="1" s="1"/>
  <c r="J1256" i="1"/>
  <c r="M1256" i="1" s="1"/>
  <c r="G1256" i="1"/>
  <c r="H1257" i="1" s="1"/>
  <c r="F1256" i="1"/>
  <c r="D1256" i="1"/>
  <c r="L1256" i="1" s="1"/>
  <c r="K1255" i="1"/>
  <c r="N1255" i="1" s="1"/>
  <c r="J1255" i="1"/>
  <c r="M1255" i="1" s="1"/>
  <c r="G1255" i="1"/>
  <c r="H1256" i="1" s="1"/>
  <c r="F1255" i="1"/>
  <c r="D1255" i="1"/>
  <c r="L1255" i="1" s="1"/>
  <c r="K1254" i="1"/>
  <c r="N1254" i="1" s="1"/>
  <c r="J1254" i="1"/>
  <c r="M1254" i="1" s="1"/>
  <c r="G1254" i="1"/>
  <c r="H1255" i="1" s="1"/>
  <c r="F1254" i="1"/>
  <c r="D1254" i="1"/>
  <c r="L1254" i="1" s="1"/>
  <c r="K1253" i="1"/>
  <c r="N1253" i="1" s="1"/>
  <c r="J1253" i="1"/>
  <c r="M1253" i="1" s="1"/>
  <c r="G1253" i="1"/>
  <c r="H1254" i="1" s="1"/>
  <c r="F1253" i="1"/>
  <c r="D1253" i="1"/>
  <c r="L1253" i="1" s="1"/>
  <c r="K1252" i="1"/>
  <c r="N1252" i="1" s="1"/>
  <c r="J1252" i="1"/>
  <c r="M1252" i="1" s="1"/>
  <c r="G1252" i="1"/>
  <c r="H1253" i="1" s="1"/>
  <c r="F1252" i="1"/>
  <c r="D1252" i="1"/>
  <c r="L1252" i="1" s="1"/>
  <c r="K1251" i="1"/>
  <c r="N1251" i="1" s="1"/>
  <c r="J1251" i="1"/>
  <c r="M1251" i="1" s="1"/>
  <c r="G1251" i="1"/>
  <c r="H1252" i="1" s="1"/>
  <c r="F1251" i="1"/>
  <c r="D1251" i="1"/>
  <c r="L1251" i="1" s="1"/>
  <c r="K1250" i="1"/>
  <c r="N1250" i="1" s="1"/>
  <c r="J1250" i="1"/>
  <c r="M1250" i="1" s="1"/>
  <c r="G1250" i="1"/>
  <c r="H1251" i="1" s="1"/>
  <c r="F1250" i="1"/>
  <c r="D1250" i="1"/>
  <c r="L1250" i="1" s="1"/>
  <c r="K1249" i="1"/>
  <c r="N1249" i="1" s="1"/>
  <c r="J1249" i="1"/>
  <c r="M1249" i="1" s="1"/>
  <c r="G1249" i="1"/>
  <c r="H1250" i="1" s="1"/>
  <c r="F1249" i="1"/>
  <c r="D1249" i="1"/>
  <c r="L1249" i="1" s="1"/>
  <c r="K1248" i="1"/>
  <c r="N1248" i="1" s="1"/>
  <c r="J1248" i="1"/>
  <c r="M1248" i="1" s="1"/>
  <c r="G1248" i="1"/>
  <c r="H1249" i="1" s="1"/>
  <c r="F1248" i="1"/>
  <c r="D1248" i="1"/>
  <c r="L1248" i="1" s="1"/>
  <c r="K1247" i="1"/>
  <c r="N1247" i="1" s="1"/>
  <c r="J1247" i="1"/>
  <c r="M1247" i="1" s="1"/>
  <c r="G1247" i="1"/>
  <c r="H1248" i="1" s="1"/>
  <c r="F1247" i="1"/>
  <c r="D1247" i="1"/>
  <c r="L1247" i="1" s="1"/>
  <c r="K1246" i="1"/>
  <c r="N1246" i="1" s="1"/>
  <c r="J1246" i="1"/>
  <c r="M1246" i="1" s="1"/>
  <c r="G1246" i="1"/>
  <c r="H1247" i="1" s="1"/>
  <c r="F1246" i="1"/>
  <c r="D1246" i="1"/>
  <c r="L1246" i="1" s="1"/>
  <c r="K1245" i="1"/>
  <c r="N1245" i="1" s="1"/>
  <c r="J1245" i="1"/>
  <c r="M1245" i="1" s="1"/>
  <c r="G1245" i="1"/>
  <c r="H1246" i="1" s="1"/>
  <c r="F1245" i="1"/>
  <c r="D1245" i="1"/>
  <c r="L1245" i="1" s="1"/>
  <c r="K1244" i="1"/>
  <c r="N1244" i="1" s="1"/>
  <c r="J1244" i="1"/>
  <c r="M1244" i="1" s="1"/>
  <c r="G1244" i="1"/>
  <c r="H1245" i="1" s="1"/>
  <c r="F1244" i="1"/>
  <c r="D1244" i="1"/>
  <c r="L1244" i="1" s="1"/>
  <c r="K1243" i="1"/>
  <c r="N1243" i="1" s="1"/>
  <c r="J1243" i="1"/>
  <c r="M1243" i="1" s="1"/>
  <c r="G1243" i="1"/>
  <c r="H1244" i="1" s="1"/>
  <c r="F1243" i="1"/>
  <c r="D1243" i="1"/>
  <c r="L1243" i="1" s="1"/>
  <c r="K1242" i="1"/>
  <c r="N1242" i="1" s="1"/>
  <c r="J1242" i="1"/>
  <c r="M1242" i="1" s="1"/>
  <c r="G1242" i="1"/>
  <c r="H1243" i="1" s="1"/>
  <c r="F1242" i="1"/>
  <c r="D1242" i="1"/>
  <c r="L1242" i="1" s="1"/>
  <c r="K1241" i="1"/>
  <c r="N1241" i="1" s="1"/>
  <c r="J1241" i="1"/>
  <c r="M1241" i="1" s="1"/>
  <c r="G1241" i="1"/>
  <c r="H1242" i="1" s="1"/>
  <c r="F1241" i="1"/>
  <c r="D1241" i="1"/>
  <c r="L1241" i="1" s="1"/>
  <c r="K1240" i="1"/>
  <c r="N1240" i="1" s="1"/>
  <c r="J1240" i="1"/>
  <c r="M1240" i="1" s="1"/>
  <c r="G1240" i="1"/>
  <c r="H1241" i="1" s="1"/>
  <c r="F1240" i="1"/>
  <c r="D1240" i="1"/>
  <c r="L1240" i="1" s="1"/>
  <c r="K1239" i="1"/>
  <c r="N1239" i="1" s="1"/>
  <c r="J1239" i="1"/>
  <c r="M1239" i="1" s="1"/>
  <c r="G1239" i="1"/>
  <c r="H1240" i="1" s="1"/>
  <c r="F1239" i="1"/>
  <c r="D1239" i="1"/>
  <c r="L1239" i="1" s="1"/>
  <c r="K1238" i="1"/>
  <c r="N1238" i="1" s="1"/>
  <c r="J1238" i="1"/>
  <c r="M1238" i="1" s="1"/>
  <c r="G1238" i="1"/>
  <c r="H1239" i="1" s="1"/>
  <c r="F1238" i="1"/>
  <c r="D1238" i="1"/>
  <c r="L1238" i="1" s="1"/>
  <c r="K1237" i="1"/>
  <c r="N1237" i="1" s="1"/>
  <c r="J1237" i="1"/>
  <c r="M1237" i="1" s="1"/>
  <c r="G1237" i="1"/>
  <c r="H1238" i="1" s="1"/>
  <c r="F1237" i="1"/>
  <c r="D1237" i="1"/>
  <c r="L1237" i="1" s="1"/>
  <c r="K1236" i="1"/>
  <c r="N1236" i="1" s="1"/>
  <c r="J1236" i="1"/>
  <c r="M1236" i="1" s="1"/>
  <c r="G1236" i="1"/>
  <c r="H1237" i="1" s="1"/>
  <c r="F1236" i="1"/>
  <c r="D1236" i="1"/>
  <c r="L1236" i="1" s="1"/>
  <c r="K1235" i="1"/>
  <c r="N1235" i="1" s="1"/>
  <c r="J1235" i="1"/>
  <c r="M1235" i="1" s="1"/>
  <c r="G1235" i="1"/>
  <c r="H1236" i="1" s="1"/>
  <c r="F1235" i="1"/>
  <c r="D1235" i="1"/>
  <c r="L1235" i="1" s="1"/>
  <c r="K1234" i="1"/>
  <c r="N1234" i="1" s="1"/>
  <c r="J1234" i="1"/>
  <c r="M1234" i="1" s="1"/>
  <c r="G1234" i="1"/>
  <c r="H1235" i="1" s="1"/>
  <c r="F1234" i="1"/>
  <c r="D1234" i="1"/>
  <c r="L1234" i="1" s="1"/>
  <c r="K1233" i="1"/>
  <c r="N1233" i="1" s="1"/>
  <c r="J1233" i="1"/>
  <c r="M1233" i="1" s="1"/>
  <c r="G1233" i="1"/>
  <c r="H1234" i="1" s="1"/>
  <c r="F1233" i="1"/>
  <c r="D1233" i="1"/>
  <c r="L1233" i="1" s="1"/>
  <c r="K1232" i="1"/>
  <c r="N1232" i="1" s="1"/>
  <c r="J1232" i="1"/>
  <c r="M1232" i="1" s="1"/>
  <c r="G1232" i="1"/>
  <c r="H1233" i="1" s="1"/>
  <c r="F1232" i="1"/>
  <c r="D1232" i="1"/>
  <c r="L1232" i="1" s="1"/>
  <c r="K1231" i="1"/>
  <c r="N1231" i="1" s="1"/>
  <c r="J1231" i="1"/>
  <c r="M1231" i="1" s="1"/>
  <c r="G1231" i="1"/>
  <c r="H1232" i="1" s="1"/>
  <c r="F1231" i="1"/>
  <c r="D1231" i="1"/>
  <c r="L1231" i="1" s="1"/>
  <c r="K1230" i="1"/>
  <c r="N1230" i="1" s="1"/>
  <c r="J1230" i="1"/>
  <c r="M1230" i="1" s="1"/>
  <c r="G1230" i="1"/>
  <c r="H1231" i="1" s="1"/>
  <c r="F1230" i="1"/>
  <c r="D1230" i="1"/>
  <c r="L1230" i="1" s="1"/>
  <c r="K1229" i="1"/>
  <c r="N1229" i="1" s="1"/>
  <c r="J1229" i="1"/>
  <c r="M1229" i="1" s="1"/>
  <c r="G1229" i="1"/>
  <c r="H1230" i="1" s="1"/>
  <c r="F1229" i="1"/>
  <c r="D1229" i="1"/>
  <c r="L1229" i="1" s="1"/>
  <c r="K1228" i="1"/>
  <c r="N1228" i="1" s="1"/>
  <c r="J1228" i="1"/>
  <c r="M1228" i="1" s="1"/>
  <c r="G1228" i="1"/>
  <c r="H1229" i="1" s="1"/>
  <c r="F1228" i="1"/>
  <c r="D1228" i="1"/>
  <c r="L1228" i="1" s="1"/>
  <c r="K1227" i="1"/>
  <c r="N1227" i="1" s="1"/>
  <c r="J1227" i="1"/>
  <c r="M1227" i="1" s="1"/>
  <c r="G1227" i="1"/>
  <c r="H1228" i="1" s="1"/>
  <c r="F1227" i="1"/>
  <c r="D1227" i="1"/>
  <c r="L1227" i="1" s="1"/>
  <c r="K1226" i="1"/>
  <c r="N1226" i="1" s="1"/>
  <c r="J1226" i="1"/>
  <c r="M1226" i="1" s="1"/>
  <c r="G1226" i="1"/>
  <c r="H1227" i="1" s="1"/>
  <c r="F1226" i="1"/>
  <c r="D1226" i="1"/>
  <c r="L1226" i="1" s="1"/>
  <c r="K1225" i="1"/>
  <c r="N1225" i="1" s="1"/>
  <c r="J1225" i="1"/>
  <c r="M1225" i="1" s="1"/>
  <c r="G1225" i="1"/>
  <c r="H1226" i="1" s="1"/>
  <c r="F1225" i="1"/>
  <c r="D1225" i="1"/>
  <c r="L1225" i="1" s="1"/>
  <c r="K1224" i="1"/>
  <c r="N1224" i="1" s="1"/>
  <c r="J1224" i="1"/>
  <c r="M1224" i="1" s="1"/>
  <c r="G1224" i="1"/>
  <c r="H1225" i="1" s="1"/>
  <c r="F1224" i="1"/>
  <c r="D1224" i="1"/>
  <c r="L1224" i="1" s="1"/>
  <c r="K1223" i="1"/>
  <c r="N1223" i="1" s="1"/>
  <c r="J1223" i="1"/>
  <c r="M1223" i="1" s="1"/>
  <c r="G1223" i="1"/>
  <c r="H1224" i="1" s="1"/>
  <c r="F1223" i="1"/>
  <c r="D1223" i="1"/>
  <c r="L1223" i="1" s="1"/>
  <c r="K1222" i="1"/>
  <c r="N1222" i="1" s="1"/>
  <c r="J1222" i="1"/>
  <c r="M1222" i="1" s="1"/>
  <c r="G1222" i="1"/>
  <c r="H1223" i="1" s="1"/>
  <c r="F1222" i="1"/>
  <c r="D1222" i="1"/>
  <c r="L1222" i="1" s="1"/>
  <c r="K1221" i="1"/>
  <c r="N1221" i="1" s="1"/>
  <c r="J1221" i="1"/>
  <c r="M1221" i="1" s="1"/>
  <c r="G1221" i="1"/>
  <c r="H1222" i="1" s="1"/>
  <c r="F1221" i="1"/>
  <c r="D1221" i="1"/>
  <c r="L1221" i="1" s="1"/>
  <c r="K1220" i="1"/>
  <c r="N1220" i="1" s="1"/>
  <c r="J1220" i="1"/>
  <c r="M1220" i="1" s="1"/>
  <c r="G1220" i="1"/>
  <c r="H1221" i="1" s="1"/>
  <c r="F1220" i="1"/>
  <c r="D1220" i="1"/>
  <c r="L1220" i="1" s="1"/>
  <c r="K1219" i="1"/>
  <c r="N1219" i="1" s="1"/>
  <c r="J1219" i="1"/>
  <c r="M1219" i="1" s="1"/>
  <c r="G1219" i="1"/>
  <c r="H1220" i="1" s="1"/>
  <c r="F1219" i="1"/>
  <c r="D1219" i="1"/>
  <c r="L1219" i="1" s="1"/>
  <c r="K1218" i="1"/>
  <c r="N1218" i="1" s="1"/>
  <c r="J1218" i="1"/>
  <c r="M1218" i="1" s="1"/>
  <c r="G1218" i="1"/>
  <c r="H1219" i="1" s="1"/>
  <c r="F1218" i="1"/>
  <c r="D1218" i="1"/>
  <c r="L1218" i="1" s="1"/>
  <c r="K1217" i="1"/>
  <c r="N1217" i="1" s="1"/>
  <c r="J1217" i="1"/>
  <c r="M1217" i="1" s="1"/>
  <c r="G1217" i="1"/>
  <c r="H1218" i="1" s="1"/>
  <c r="F1217" i="1"/>
  <c r="D1217" i="1"/>
  <c r="L1217" i="1" s="1"/>
  <c r="K1216" i="1"/>
  <c r="N1216" i="1" s="1"/>
  <c r="J1216" i="1"/>
  <c r="M1216" i="1" s="1"/>
  <c r="G1216" i="1"/>
  <c r="H1217" i="1" s="1"/>
  <c r="F1216" i="1"/>
  <c r="D1216" i="1"/>
  <c r="L1216" i="1" s="1"/>
  <c r="K1215" i="1"/>
  <c r="N1215" i="1" s="1"/>
  <c r="J1215" i="1"/>
  <c r="M1215" i="1" s="1"/>
  <c r="G1215" i="1"/>
  <c r="H1216" i="1" s="1"/>
  <c r="F1215" i="1"/>
  <c r="D1215" i="1"/>
  <c r="L1215" i="1" s="1"/>
  <c r="K1214" i="1"/>
  <c r="N1214" i="1" s="1"/>
  <c r="J1214" i="1"/>
  <c r="M1214" i="1" s="1"/>
  <c r="G1214" i="1"/>
  <c r="H1215" i="1" s="1"/>
  <c r="F1214" i="1"/>
  <c r="D1214" i="1"/>
  <c r="L1214" i="1" s="1"/>
  <c r="K1213" i="1"/>
  <c r="N1213" i="1" s="1"/>
  <c r="J1213" i="1"/>
  <c r="M1213" i="1" s="1"/>
  <c r="G1213" i="1"/>
  <c r="H1214" i="1" s="1"/>
  <c r="F1213" i="1"/>
  <c r="D1213" i="1"/>
  <c r="L1213" i="1" s="1"/>
  <c r="K1212" i="1"/>
  <c r="N1212" i="1" s="1"/>
  <c r="J1212" i="1"/>
  <c r="M1212" i="1" s="1"/>
  <c r="G1212" i="1"/>
  <c r="H1213" i="1" s="1"/>
  <c r="F1212" i="1"/>
  <c r="D1212" i="1"/>
  <c r="L1212" i="1" s="1"/>
  <c r="K1211" i="1"/>
  <c r="N1211" i="1" s="1"/>
  <c r="J1211" i="1"/>
  <c r="M1211" i="1" s="1"/>
  <c r="G1211" i="1"/>
  <c r="H1212" i="1" s="1"/>
  <c r="F1211" i="1"/>
  <c r="D1211" i="1"/>
  <c r="L1211" i="1" s="1"/>
  <c r="K1210" i="1"/>
  <c r="N1210" i="1" s="1"/>
  <c r="J1210" i="1"/>
  <c r="M1210" i="1" s="1"/>
  <c r="G1210" i="1"/>
  <c r="H1211" i="1" s="1"/>
  <c r="F1210" i="1"/>
  <c r="D1210" i="1"/>
  <c r="L1210" i="1" s="1"/>
  <c r="K1209" i="1"/>
  <c r="N1209" i="1" s="1"/>
  <c r="J1209" i="1"/>
  <c r="M1209" i="1" s="1"/>
  <c r="G1209" i="1"/>
  <c r="H1210" i="1" s="1"/>
  <c r="F1209" i="1"/>
  <c r="D1209" i="1"/>
  <c r="L1209" i="1" s="1"/>
  <c r="K1208" i="1"/>
  <c r="N1208" i="1" s="1"/>
  <c r="J1208" i="1"/>
  <c r="M1208" i="1" s="1"/>
  <c r="G1208" i="1"/>
  <c r="H1209" i="1" s="1"/>
  <c r="F1208" i="1"/>
  <c r="D1208" i="1"/>
  <c r="L1208" i="1" s="1"/>
  <c r="K1207" i="1"/>
  <c r="N1207" i="1" s="1"/>
  <c r="J1207" i="1"/>
  <c r="M1207" i="1" s="1"/>
  <c r="G1207" i="1"/>
  <c r="H1208" i="1" s="1"/>
  <c r="F1207" i="1"/>
  <c r="D1207" i="1"/>
  <c r="L1207" i="1" s="1"/>
  <c r="K1206" i="1"/>
  <c r="N1206" i="1" s="1"/>
  <c r="J1206" i="1"/>
  <c r="M1206" i="1" s="1"/>
  <c r="G1206" i="1"/>
  <c r="H1207" i="1" s="1"/>
  <c r="F1206" i="1"/>
  <c r="D1206" i="1"/>
  <c r="L1206" i="1" s="1"/>
  <c r="K1205" i="1"/>
  <c r="N1205" i="1" s="1"/>
  <c r="J1205" i="1"/>
  <c r="M1205" i="1" s="1"/>
  <c r="G1205" i="1"/>
  <c r="H1206" i="1" s="1"/>
  <c r="F1205" i="1"/>
  <c r="D1205" i="1"/>
  <c r="L1205" i="1" s="1"/>
  <c r="K1204" i="1"/>
  <c r="N1204" i="1" s="1"/>
  <c r="J1204" i="1"/>
  <c r="M1204" i="1" s="1"/>
  <c r="G1204" i="1"/>
  <c r="H1205" i="1" s="1"/>
  <c r="F1204" i="1"/>
  <c r="D1204" i="1"/>
  <c r="L1204" i="1" s="1"/>
  <c r="K1203" i="1"/>
  <c r="N1203" i="1" s="1"/>
  <c r="J1203" i="1"/>
  <c r="M1203" i="1" s="1"/>
  <c r="G1203" i="1"/>
  <c r="H1204" i="1" s="1"/>
  <c r="F1203" i="1"/>
  <c r="D1203" i="1"/>
  <c r="L1203" i="1" s="1"/>
  <c r="K1202" i="1"/>
  <c r="N1202" i="1" s="1"/>
  <c r="J1202" i="1"/>
  <c r="M1202" i="1" s="1"/>
  <c r="G1202" i="1"/>
  <c r="H1203" i="1" s="1"/>
  <c r="F1202" i="1"/>
  <c r="D1202" i="1"/>
  <c r="L1202" i="1" s="1"/>
  <c r="K1201" i="1"/>
  <c r="N1201" i="1" s="1"/>
  <c r="J1201" i="1"/>
  <c r="M1201" i="1" s="1"/>
  <c r="G1201" i="1"/>
  <c r="H1202" i="1" s="1"/>
  <c r="F1201" i="1"/>
  <c r="D1201" i="1"/>
  <c r="L1201" i="1" s="1"/>
  <c r="K1200" i="1"/>
  <c r="N1200" i="1" s="1"/>
  <c r="J1200" i="1"/>
  <c r="M1200" i="1" s="1"/>
  <c r="G1200" i="1"/>
  <c r="H1201" i="1" s="1"/>
  <c r="F1200" i="1"/>
  <c r="D1200" i="1"/>
  <c r="L1200" i="1" s="1"/>
  <c r="K1199" i="1"/>
  <c r="N1199" i="1" s="1"/>
  <c r="J1199" i="1"/>
  <c r="M1199" i="1" s="1"/>
  <c r="G1199" i="1"/>
  <c r="H1200" i="1" s="1"/>
  <c r="F1199" i="1"/>
  <c r="D1199" i="1"/>
  <c r="L1199" i="1" s="1"/>
  <c r="K1198" i="1"/>
  <c r="N1198" i="1" s="1"/>
  <c r="J1198" i="1"/>
  <c r="M1198" i="1" s="1"/>
  <c r="G1198" i="1"/>
  <c r="H1199" i="1" s="1"/>
  <c r="F1198" i="1"/>
  <c r="D1198" i="1"/>
  <c r="L1198" i="1" s="1"/>
  <c r="K1197" i="1"/>
  <c r="N1197" i="1" s="1"/>
  <c r="J1197" i="1"/>
  <c r="M1197" i="1" s="1"/>
  <c r="G1197" i="1"/>
  <c r="H1198" i="1" s="1"/>
  <c r="F1197" i="1"/>
  <c r="D1197" i="1"/>
  <c r="L1197" i="1" s="1"/>
  <c r="K1196" i="1"/>
  <c r="N1196" i="1" s="1"/>
  <c r="J1196" i="1"/>
  <c r="M1196" i="1" s="1"/>
  <c r="G1196" i="1"/>
  <c r="H1197" i="1" s="1"/>
  <c r="F1196" i="1"/>
  <c r="D1196" i="1"/>
  <c r="L1196" i="1" s="1"/>
  <c r="K1195" i="1"/>
  <c r="N1195" i="1" s="1"/>
  <c r="J1195" i="1"/>
  <c r="M1195" i="1" s="1"/>
  <c r="G1195" i="1"/>
  <c r="H1196" i="1" s="1"/>
  <c r="F1195" i="1"/>
  <c r="D1195" i="1"/>
  <c r="L1195" i="1" s="1"/>
  <c r="K1194" i="1"/>
  <c r="N1194" i="1" s="1"/>
  <c r="J1194" i="1"/>
  <c r="M1194" i="1" s="1"/>
  <c r="G1194" i="1"/>
  <c r="H1195" i="1" s="1"/>
  <c r="F1194" i="1"/>
  <c r="D1194" i="1"/>
  <c r="L1194" i="1" s="1"/>
  <c r="K1193" i="1"/>
  <c r="N1193" i="1" s="1"/>
  <c r="J1193" i="1"/>
  <c r="M1193" i="1" s="1"/>
  <c r="G1193" i="1"/>
  <c r="H1194" i="1" s="1"/>
  <c r="F1193" i="1"/>
  <c r="D1193" i="1"/>
  <c r="L1193" i="1" s="1"/>
  <c r="K1192" i="1"/>
  <c r="N1192" i="1" s="1"/>
  <c r="J1192" i="1"/>
  <c r="M1192" i="1" s="1"/>
  <c r="G1192" i="1"/>
  <c r="H1193" i="1" s="1"/>
  <c r="F1192" i="1"/>
  <c r="D1192" i="1"/>
  <c r="L1192" i="1" s="1"/>
  <c r="K1191" i="1"/>
  <c r="N1191" i="1" s="1"/>
  <c r="J1191" i="1"/>
  <c r="M1191" i="1" s="1"/>
  <c r="G1191" i="1"/>
  <c r="H1192" i="1" s="1"/>
  <c r="F1191" i="1"/>
  <c r="D1191" i="1"/>
  <c r="L1191" i="1" s="1"/>
  <c r="K1190" i="1"/>
  <c r="N1190" i="1" s="1"/>
  <c r="J1190" i="1"/>
  <c r="M1190" i="1" s="1"/>
  <c r="G1190" i="1"/>
  <c r="H1191" i="1" s="1"/>
  <c r="F1190" i="1"/>
  <c r="D1190" i="1"/>
  <c r="L1190" i="1" s="1"/>
  <c r="K1189" i="1"/>
  <c r="N1189" i="1" s="1"/>
  <c r="J1189" i="1"/>
  <c r="M1189" i="1" s="1"/>
  <c r="G1189" i="1"/>
  <c r="H1190" i="1" s="1"/>
  <c r="F1189" i="1"/>
  <c r="D1189" i="1"/>
  <c r="L1189" i="1" s="1"/>
  <c r="K1188" i="1"/>
  <c r="N1188" i="1" s="1"/>
  <c r="J1188" i="1"/>
  <c r="M1188" i="1" s="1"/>
  <c r="G1188" i="1"/>
  <c r="H1189" i="1" s="1"/>
  <c r="F1188" i="1"/>
  <c r="D1188" i="1"/>
  <c r="L1188" i="1" s="1"/>
  <c r="K1187" i="1"/>
  <c r="N1187" i="1" s="1"/>
  <c r="J1187" i="1"/>
  <c r="M1187" i="1" s="1"/>
  <c r="G1187" i="1"/>
  <c r="H1188" i="1" s="1"/>
  <c r="F1187" i="1"/>
  <c r="D1187" i="1"/>
  <c r="L1187" i="1" s="1"/>
  <c r="K1186" i="1"/>
  <c r="N1186" i="1" s="1"/>
  <c r="J1186" i="1"/>
  <c r="M1186" i="1" s="1"/>
  <c r="G1186" i="1"/>
  <c r="H1187" i="1" s="1"/>
  <c r="F1186" i="1"/>
  <c r="D1186" i="1"/>
  <c r="L1186" i="1" s="1"/>
  <c r="K1185" i="1"/>
  <c r="N1185" i="1" s="1"/>
  <c r="J1185" i="1"/>
  <c r="M1185" i="1" s="1"/>
  <c r="G1185" i="1"/>
  <c r="H1186" i="1" s="1"/>
  <c r="F1185" i="1"/>
  <c r="D1185" i="1"/>
  <c r="L1185" i="1" s="1"/>
  <c r="K1184" i="1"/>
  <c r="N1184" i="1" s="1"/>
  <c r="J1184" i="1"/>
  <c r="M1184" i="1" s="1"/>
  <c r="G1184" i="1"/>
  <c r="H1185" i="1" s="1"/>
  <c r="F1184" i="1"/>
  <c r="D1184" i="1"/>
  <c r="L1184" i="1" s="1"/>
  <c r="K1183" i="1"/>
  <c r="N1183" i="1" s="1"/>
  <c r="J1183" i="1"/>
  <c r="M1183" i="1" s="1"/>
  <c r="G1183" i="1"/>
  <c r="H1184" i="1" s="1"/>
  <c r="F1183" i="1"/>
  <c r="D1183" i="1"/>
  <c r="L1183" i="1" s="1"/>
  <c r="K1182" i="1"/>
  <c r="N1182" i="1" s="1"/>
  <c r="J1182" i="1"/>
  <c r="M1182" i="1" s="1"/>
  <c r="G1182" i="1"/>
  <c r="H1183" i="1" s="1"/>
  <c r="F1182" i="1"/>
  <c r="D1182" i="1"/>
  <c r="L1182" i="1" s="1"/>
  <c r="K1181" i="1"/>
  <c r="N1181" i="1" s="1"/>
  <c r="J1181" i="1"/>
  <c r="M1181" i="1" s="1"/>
  <c r="G1181" i="1"/>
  <c r="H1182" i="1" s="1"/>
  <c r="F1181" i="1"/>
  <c r="D1181" i="1"/>
  <c r="L1181" i="1" s="1"/>
  <c r="K1180" i="1"/>
  <c r="N1180" i="1" s="1"/>
  <c r="J1180" i="1"/>
  <c r="M1180" i="1" s="1"/>
  <c r="G1180" i="1"/>
  <c r="H1181" i="1" s="1"/>
  <c r="F1180" i="1"/>
  <c r="D1180" i="1"/>
  <c r="L1180" i="1" s="1"/>
  <c r="K1179" i="1"/>
  <c r="N1179" i="1" s="1"/>
  <c r="J1179" i="1"/>
  <c r="M1179" i="1" s="1"/>
  <c r="G1179" i="1"/>
  <c r="H1180" i="1" s="1"/>
  <c r="F1179" i="1"/>
  <c r="D1179" i="1"/>
  <c r="L1179" i="1" s="1"/>
  <c r="K1178" i="1"/>
  <c r="N1178" i="1" s="1"/>
  <c r="J1178" i="1"/>
  <c r="M1178" i="1" s="1"/>
  <c r="G1178" i="1"/>
  <c r="H1179" i="1" s="1"/>
  <c r="F1178" i="1"/>
  <c r="D1178" i="1"/>
  <c r="L1178" i="1" s="1"/>
  <c r="K1177" i="1"/>
  <c r="N1177" i="1" s="1"/>
  <c r="J1177" i="1"/>
  <c r="M1177" i="1" s="1"/>
  <c r="G1177" i="1"/>
  <c r="H1178" i="1" s="1"/>
  <c r="F1177" i="1"/>
  <c r="D1177" i="1"/>
  <c r="L1177" i="1" s="1"/>
  <c r="K1176" i="1"/>
  <c r="N1176" i="1" s="1"/>
  <c r="J1176" i="1"/>
  <c r="M1176" i="1" s="1"/>
  <c r="G1176" i="1"/>
  <c r="H1177" i="1" s="1"/>
  <c r="F1176" i="1"/>
  <c r="D1176" i="1"/>
  <c r="L1176" i="1" s="1"/>
  <c r="K1175" i="1"/>
  <c r="N1175" i="1" s="1"/>
  <c r="J1175" i="1"/>
  <c r="M1175" i="1" s="1"/>
  <c r="G1175" i="1"/>
  <c r="H1176" i="1" s="1"/>
  <c r="F1175" i="1"/>
  <c r="D1175" i="1"/>
  <c r="L1175" i="1" s="1"/>
  <c r="K1174" i="1"/>
  <c r="N1174" i="1" s="1"/>
  <c r="J1174" i="1"/>
  <c r="M1174" i="1" s="1"/>
  <c r="G1174" i="1"/>
  <c r="H1175" i="1" s="1"/>
  <c r="F1174" i="1"/>
  <c r="D1174" i="1"/>
  <c r="L1174" i="1" s="1"/>
  <c r="K1173" i="1"/>
  <c r="N1173" i="1" s="1"/>
  <c r="J1173" i="1"/>
  <c r="M1173" i="1" s="1"/>
  <c r="G1173" i="1"/>
  <c r="H1174" i="1" s="1"/>
  <c r="F1173" i="1"/>
  <c r="D1173" i="1"/>
  <c r="L1173" i="1" s="1"/>
  <c r="K1172" i="1"/>
  <c r="N1172" i="1" s="1"/>
  <c r="J1172" i="1"/>
  <c r="M1172" i="1" s="1"/>
  <c r="G1172" i="1"/>
  <c r="H1173" i="1" s="1"/>
  <c r="F1172" i="1"/>
  <c r="D1172" i="1"/>
  <c r="L1172" i="1" s="1"/>
  <c r="K1171" i="1"/>
  <c r="N1171" i="1" s="1"/>
  <c r="J1171" i="1"/>
  <c r="M1171" i="1" s="1"/>
  <c r="G1171" i="1"/>
  <c r="H1172" i="1" s="1"/>
  <c r="F1171" i="1"/>
  <c r="D1171" i="1"/>
  <c r="L1171" i="1" s="1"/>
  <c r="K1170" i="1"/>
  <c r="N1170" i="1" s="1"/>
  <c r="J1170" i="1"/>
  <c r="M1170" i="1" s="1"/>
  <c r="G1170" i="1"/>
  <c r="H1171" i="1" s="1"/>
  <c r="F1170" i="1"/>
  <c r="D1170" i="1"/>
  <c r="L1170" i="1" s="1"/>
  <c r="K1169" i="1"/>
  <c r="N1169" i="1" s="1"/>
  <c r="J1169" i="1"/>
  <c r="M1169" i="1" s="1"/>
  <c r="G1169" i="1"/>
  <c r="H1170" i="1" s="1"/>
  <c r="F1169" i="1"/>
  <c r="D1169" i="1"/>
  <c r="L1169" i="1" s="1"/>
  <c r="K1168" i="1"/>
  <c r="N1168" i="1" s="1"/>
  <c r="J1168" i="1"/>
  <c r="M1168" i="1" s="1"/>
  <c r="G1168" i="1"/>
  <c r="H1169" i="1" s="1"/>
  <c r="F1168" i="1"/>
  <c r="D1168" i="1"/>
  <c r="L1168" i="1" s="1"/>
  <c r="K1167" i="1"/>
  <c r="N1167" i="1" s="1"/>
  <c r="J1167" i="1"/>
  <c r="M1167" i="1" s="1"/>
  <c r="G1167" i="1"/>
  <c r="H1168" i="1" s="1"/>
  <c r="F1167" i="1"/>
  <c r="D1167" i="1"/>
  <c r="L1167" i="1" s="1"/>
  <c r="K1166" i="1"/>
  <c r="N1166" i="1" s="1"/>
  <c r="J1166" i="1"/>
  <c r="M1166" i="1" s="1"/>
  <c r="G1166" i="1"/>
  <c r="H1167" i="1" s="1"/>
  <c r="F1166" i="1"/>
  <c r="D1166" i="1"/>
  <c r="L1166" i="1" s="1"/>
  <c r="K1165" i="1"/>
  <c r="N1165" i="1" s="1"/>
  <c r="J1165" i="1"/>
  <c r="M1165" i="1" s="1"/>
  <c r="G1165" i="1"/>
  <c r="H1166" i="1" s="1"/>
  <c r="F1165" i="1"/>
  <c r="D1165" i="1"/>
  <c r="L1165" i="1" s="1"/>
  <c r="K1164" i="1"/>
  <c r="N1164" i="1" s="1"/>
  <c r="J1164" i="1"/>
  <c r="M1164" i="1" s="1"/>
  <c r="G1164" i="1"/>
  <c r="H1165" i="1" s="1"/>
  <c r="F1164" i="1"/>
  <c r="D1164" i="1"/>
  <c r="L1164" i="1" s="1"/>
  <c r="K1163" i="1"/>
  <c r="N1163" i="1" s="1"/>
  <c r="J1163" i="1"/>
  <c r="M1163" i="1" s="1"/>
  <c r="G1163" i="1"/>
  <c r="H1164" i="1" s="1"/>
  <c r="F1163" i="1"/>
  <c r="D1163" i="1"/>
  <c r="L1163" i="1" s="1"/>
  <c r="K1162" i="1"/>
  <c r="N1162" i="1" s="1"/>
  <c r="J1162" i="1"/>
  <c r="M1162" i="1" s="1"/>
  <c r="G1162" i="1"/>
  <c r="H1163" i="1" s="1"/>
  <c r="F1162" i="1"/>
  <c r="D1162" i="1"/>
  <c r="L1162" i="1" s="1"/>
  <c r="K1161" i="1"/>
  <c r="N1161" i="1" s="1"/>
  <c r="J1161" i="1"/>
  <c r="M1161" i="1" s="1"/>
  <c r="G1161" i="1"/>
  <c r="H1162" i="1" s="1"/>
  <c r="F1161" i="1"/>
  <c r="D1161" i="1"/>
  <c r="L1161" i="1" s="1"/>
  <c r="K1160" i="1"/>
  <c r="N1160" i="1" s="1"/>
  <c r="J1160" i="1"/>
  <c r="M1160" i="1" s="1"/>
  <c r="G1160" i="1"/>
  <c r="H1161" i="1" s="1"/>
  <c r="F1160" i="1"/>
  <c r="D1160" i="1"/>
  <c r="L1160" i="1" s="1"/>
  <c r="K1159" i="1"/>
  <c r="N1159" i="1" s="1"/>
  <c r="J1159" i="1"/>
  <c r="M1159" i="1" s="1"/>
  <c r="G1159" i="1"/>
  <c r="H1160" i="1" s="1"/>
  <c r="F1159" i="1"/>
  <c r="D1159" i="1"/>
  <c r="L1159" i="1" s="1"/>
  <c r="K1158" i="1"/>
  <c r="N1158" i="1" s="1"/>
  <c r="J1158" i="1"/>
  <c r="M1158" i="1" s="1"/>
  <c r="G1158" i="1"/>
  <c r="H1159" i="1" s="1"/>
  <c r="F1158" i="1"/>
  <c r="D1158" i="1"/>
  <c r="L1158" i="1" s="1"/>
  <c r="K1157" i="1"/>
  <c r="N1157" i="1" s="1"/>
  <c r="J1157" i="1"/>
  <c r="M1157" i="1" s="1"/>
  <c r="G1157" i="1"/>
  <c r="H1158" i="1" s="1"/>
  <c r="F1157" i="1"/>
  <c r="D1157" i="1"/>
  <c r="L1157" i="1" s="1"/>
  <c r="K1156" i="1"/>
  <c r="N1156" i="1" s="1"/>
  <c r="J1156" i="1"/>
  <c r="M1156" i="1" s="1"/>
  <c r="G1156" i="1"/>
  <c r="H1157" i="1" s="1"/>
  <c r="F1156" i="1"/>
  <c r="D1156" i="1"/>
  <c r="L1156" i="1" s="1"/>
  <c r="K1155" i="1"/>
  <c r="N1155" i="1" s="1"/>
  <c r="J1155" i="1"/>
  <c r="M1155" i="1" s="1"/>
  <c r="G1155" i="1"/>
  <c r="H1156" i="1" s="1"/>
  <c r="F1155" i="1"/>
  <c r="D1155" i="1"/>
  <c r="L1155" i="1" s="1"/>
  <c r="K1154" i="1"/>
  <c r="N1154" i="1" s="1"/>
  <c r="J1154" i="1"/>
  <c r="M1154" i="1" s="1"/>
  <c r="G1154" i="1"/>
  <c r="H1155" i="1" s="1"/>
  <c r="F1154" i="1"/>
  <c r="D1154" i="1"/>
  <c r="L1154" i="1" s="1"/>
  <c r="K1153" i="1"/>
  <c r="N1153" i="1" s="1"/>
  <c r="J1153" i="1"/>
  <c r="M1153" i="1" s="1"/>
  <c r="G1153" i="1"/>
  <c r="H1154" i="1" s="1"/>
  <c r="F1153" i="1"/>
  <c r="D1153" i="1"/>
  <c r="L1153" i="1" s="1"/>
  <c r="K1152" i="1"/>
  <c r="N1152" i="1" s="1"/>
  <c r="J1152" i="1"/>
  <c r="M1152" i="1" s="1"/>
  <c r="G1152" i="1"/>
  <c r="H1153" i="1" s="1"/>
  <c r="F1152" i="1"/>
  <c r="D1152" i="1"/>
  <c r="L1152" i="1" s="1"/>
  <c r="K1151" i="1"/>
  <c r="N1151" i="1" s="1"/>
  <c r="J1151" i="1"/>
  <c r="M1151" i="1" s="1"/>
  <c r="G1151" i="1"/>
  <c r="H1152" i="1" s="1"/>
  <c r="F1151" i="1"/>
  <c r="D1151" i="1"/>
  <c r="L1151" i="1" s="1"/>
  <c r="K1150" i="1"/>
  <c r="N1150" i="1" s="1"/>
  <c r="J1150" i="1"/>
  <c r="M1150" i="1" s="1"/>
  <c r="G1150" i="1"/>
  <c r="H1151" i="1" s="1"/>
  <c r="F1150" i="1"/>
  <c r="D1150" i="1"/>
  <c r="L1150" i="1" s="1"/>
  <c r="K1149" i="1"/>
  <c r="N1149" i="1" s="1"/>
  <c r="J1149" i="1"/>
  <c r="M1149" i="1" s="1"/>
  <c r="G1149" i="1"/>
  <c r="H1150" i="1" s="1"/>
  <c r="F1149" i="1"/>
  <c r="D1149" i="1"/>
  <c r="L1149" i="1" s="1"/>
  <c r="K1148" i="1"/>
  <c r="N1148" i="1" s="1"/>
  <c r="J1148" i="1"/>
  <c r="M1148" i="1" s="1"/>
  <c r="G1148" i="1"/>
  <c r="H1149" i="1" s="1"/>
  <c r="F1148" i="1"/>
  <c r="D1148" i="1"/>
  <c r="L1148" i="1" s="1"/>
  <c r="K1147" i="1"/>
  <c r="N1147" i="1" s="1"/>
  <c r="J1147" i="1"/>
  <c r="M1147" i="1" s="1"/>
  <c r="G1147" i="1"/>
  <c r="H1148" i="1" s="1"/>
  <c r="F1147" i="1"/>
  <c r="D1147" i="1"/>
  <c r="L1147" i="1" s="1"/>
  <c r="K1146" i="1"/>
  <c r="N1146" i="1" s="1"/>
  <c r="J1146" i="1"/>
  <c r="M1146" i="1" s="1"/>
  <c r="G1146" i="1"/>
  <c r="H1147" i="1" s="1"/>
  <c r="F1146" i="1"/>
  <c r="D1146" i="1"/>
  <c r="L1146" i="1" s="1"/>
  <c r="K1145" i="1"/>
  <c r="N1145" i="1" s="1"/>
  <c r="J1145" i="1"/>
  <c r="M1145" i="1" s="1"/>
  <c r="G1145" i="1"/>
  <c r="H1146" i="1" s="1"/>
  <c r="F1145" i="1"/>
  <c r="D1145" i="1"/>
  <c r="L1145" i="1" s="1"/>
  <c r="K1144" i="1"/>
  <c r="N1144" i="1" s="1"/>
  <c r="J1144" i="1"/>
  <c r="M1144" i="1" s="1"/>
  <c r="G1144" i="1"/>
  <c r="H1145" i="1" s="1"/>
  <c r="F1144" i="1"/>
  <c r="D1144" i="1"/>
  <c r="L1144" i="1" s="1"/>
  <c r="K1143" i="1"/>
  <c r="N1143" i="1" s="1"/>
  <c r="J1143" i="1"/>
  <c r="M1143" i="1" s="1"/>
  <c r="G1143" i="1"/>
  <c r="H1144" i="1" s="1"/>
  <c r="F1143" i="1"/>
  <c r="D1143" i="1"/>
  <c r="L1143" i="1" s="1"/>
  <c r="K1142" i="1"/>
  <c r="N1142" i="1" s="1"/>
  <c r="J1142" i="1"/>
  <c r="M1142" i="1" s="1"/>
  <c r="G1142" i="1"/>
  <c r="H1143" i="1" s="1"/>
  <c r="F1142" i="1"/>
  <c r="D1142" i="1"/>
  <c r="L1142" i="1" s="1"/>
  <c r="K1141" i="1"/>
  <c r="N1141" i="1" s="1"/>
  <c r="J1141" i="1"/>
  <c r="M1141" i="1" s="1"/>
  <c r="G1141" i="1"/>
  <c r="H1142" i="1" s="1"/>
  <c r="F1141" i="1"/>
  <c r="D1141" i="1"/>
  <c r="L1141" i="1" s="1"/>
  <c r="K1140" i="1"/>
  <c r="N1140" i="1" s="1"/>
  <c r="J1140" i="1"/>
  <c r="M1140" i="1" s="1"/>
  <c r="G1140" i="1"/>
  <c r="H1141" i="1" s="1"/>
  <c r="F1140" i="1"/>
  <c r="D1140" i="1"/>
  <c r="L1140" i="1" s="1"/>
  <c r="K1139" i="1"/>
  <c r="N1139" i="1" s="1"/>
  <c r="J1139" i="1"/>
  <c r="M1139" i="1" s="1"/>
  <c r="G1139" i="1"/>
  <c r="H1140" i="1" s="1"/>
  <c r="F1139" i="1"/>
  <c r="D1139" i="1"/>
  <c r="L1139" i="1" s="1"/>
  <c r="K1138" i="1"/>
  <c r="N1138" i="1" s="1"/>
  <c r="J1138" i="1"/>
  <c r="M1138" i="1" s="1"/>
  <c r="G1138" i="1"/>
  <c r="H1139" i="1" s="1"/>
  <c r="F1138" i="1"/>
  <c r="D1138" i="1"/>
  <c r="L1138" i="1" s="1"/>
  <c r="K1137" i="1"/>
  <c r="N1137" i="1" s="1"/>
  <c r="J1137" i="1"/>
  <c r="M1137" i="1" s="1"/>
  <c r="G1137" i="1"/>
  <c r="H1138" i="1" s="1"/>
  <c r="F1137" i="1"/>
  <c r="D1137" i="1"/>
  <c r="L1137" i="1" s="1"/>
  <c r="K1136" i="1"/>
  <c r="N1136" i="1" s="1"/>
  <c r="J1136" i="1"/>
  <c r="M1136" i="1" s="1"/>
  <c r="G1136" i="1"/>
  <c r="H1137" i="1" s="1"/>
  <c r="F1136" i="1"/>
  <c r="D1136" i="1"/>
  <c r="L1136" i="1" s="1"/>
  <c r="K1135" i="1"/>
  <c r="N1135" i="1" s="1"/>
  <c r="J1135" i="1"/>
  <c r="M1135" i="1" s="1"/>
  <c r="G1135" i="1"/>
  <c r="H1136" i="1" s="1"/>
  <c r="F1135" i="1"/>
  <c r="D1135" i="1"/>
  <c r="L1135" i="1" s="1"/>
  <c r="K1134" i="1"/>
  <c r="N1134" i="1" s="1"/>
  <c r="J1134" i="1"/>
  <c r="M1134" i="1" s="1"/>
  <c r="G1134" i="1"/>
  <c r="H1135" i="1" s="1"/>
  <c r="F1134" i="1"/>
  <c r="D1134" i="1"/>
  <c r="L1134" i="1" s="1"/>
  <c r="K1133" i="1"/>
  <c r="N1133" i="1" s="1"/>
  <c r="J1133" i="1"/>
  <c r="M1133" i="1" s="1"/>
  <c r="G1133" i="1"/>
  <c r="H1134" i="1" s="1"/>
  <c r="F1133" i="1"/>
  <c r="D1133" i="1"/>
  <c r="L1133" i="1" s="1"/>
  <c r="K1132" i="1"/>
  <c r="N1132" i="1" s="1"/>
  <c r="J1132" i="1"/>
  <c r="M1132" i="1" s="1"/>
  <c r="G1132" i="1"/>
  <c r="H1133" i="1" s="1"/>
  <c r="F1132" i="1"/>
  <c r="D1132" i="1"/>
  <c r="L1132" i="1" s="1"/>
  <c r="K1131" i="1"/>
  <c r="N1131" i="1" s="1"/>
  <c r="J1131" i="1"/>
  <c r="M1131" i="1" s="1"/>
  <c r="G1131" i="1"/>
  <c r="H1132" i="1" s="1"/>
  <c r="F1131" i="1"/>
  <c r="D1131" i="1"/>
  <c r="L1131" i="1" s="1"/>
  <c r="K1130" i="1"/>
  <c r="N1130" i="1" s="1"/>
  <c r="J1130" i="1"/>
  <c r="M1130" i="1" s="1"/>
  <c r="G1130" i="1"/>
  <c r="H1131" i="1" s="1"/>
  <c r="F1130" i="1"/>
  <c r="D1130" i="1"/>
  <c r="L1130" i="1" s="1"/>
  <c r="K1129" i="1"/>
  <c r="N1129" i="1" s="1"/>
  <c r="J1129" i="1"/>
  <c r="M1129" i="1" s="1"/>
  <c r="G1129" i="1"/>
  <c r="H1130" i="1" s="1"/>
  <c r="F1129" i="1"/>
  <c r="D1129" i="1"/>
  <c r="L1129" i="1" s="1"/>
  <c r="K1128" i="1"/>
  <c r="N1128" i="1" s="1"/>
  <c r="J1128" i="1"/>
  <c r="M1128" i="1" s="1"/>
  <c r="G1128" i="1"/>
  <c r="H1129" i="1" s="1"/>
  <c r="F1128" i="1"/>
  <c r="D1128" i="1"/>
  <c r="L1128" i="1" s="1"/>
  <c r="K1127" i="1"/>
  <c r="N1127" i="1" s="1"/>
  <c r="J1127" i="1"/>
  <c r="M1127" i="1" s="1"/>
  <c r="G1127" i="1"/>
  <c r="H1128" i="1" s="1"/>
  <c r="F1127" i="1"/>
  <c r="D1127" i="1"/>
  <c r="L1127" i="1" s="1"/>
  <c r="K1126" i="1"/>
  <c r="N1126" i="1" s="1"/>
  <c r="J1126" i="1"/>
  <c r="M1126" i="1" s="1"/>
  <c r="G1126" i="1"/>
  <c r="H1127" i="1" s="1"/>
  <c r="F1126" i="1"/>
  <c r="D1126" i="1"/>
  <c r="L1126" i="1" s="1"/>
  <c r="K1125" i="1"/>
  <c r="N1125" i="1" s="1"/>
  <c r="J1125" i="1"/>
  <c r="M1125" i="1" s="1"/>
  <c r="G1125" i="1"/>
  <c r="H1126" i="1" s="1"/>
  <c r="F1125" i="1"/>
  <c r="D1125" i="1"/>
  <c r="L1125" i="1" s="1"/>
  <c r="K1124" i="1"/>
  <c r="N1124" i="1" s="1"/>
  <c r="J1124" i="1"/>
  <c r="M1124" i="1" s="1"/>
  <c r="G1124" i="1"/>
  <c r="H1125" i="1" s="1"/>
  <c r="F1124" i="1"/>
  <c r="D1124" i="1"/>
  <c r="L1124" i="1" s="1"/>
  <c r="K1123" i="1"/>
  <c r="N1123" i="1" s="1"/>
  <c r="J1123" i="1"/>
  <c r="M1123" i="1" s="1"/>
  <c r="G1123" i="1"/>
  <c r="H1124" i="1" s="1"/>
  <c r="F1123" i="1"/>
  <c r="D1123" i="1"/>
  <c r="L1123" i="1" s="1"/>
  <c r="K1122" i="1"/>
  <c r="N1122" i="1" s="1"/>
  <c r="J1122" i="1"/>
  <c r="M1122" i="1" s="1"/>
  <c r="G1122" i="1"/>
  <c r="H1123" i="1" s="1"/>
  <c r="F1122" i="1"/>
  <c r="D1122" i="1"/>
  <c r="L1122" i="1" s="1"/>
  <c r="K1121" i="1"/>
  <c r="N1121" i="1" s="1"/>
  <c r="J1121" i="1"/>
  <c r="M1121" i="1" s="1"/>
  <c r="G1121" i="1"/>
  <c r="H1122" i="1" s="1"/>
  <c r="F1121" i="1"/>
  <c r="D1121" i="1"/>
  <c r="L1121" i="1" s="1"/>
  <c r="K1120" i="1"/>
  <c r="N1120" i="1" s="1"/>
  <c r="J1120" i="1"/>
  <c r="M1120" i="1" s="1"/>
  <c r="G1120" i="1"/>
  <c r="H1121" i="1" s="1"/>
  <c r="F1120" i="1"/>
  <c r="D1120" i="1"/>
  <c r="L1120" i="1" s="1"/>
  <c r="K1119" i="1"/>
  <c r="N1119" i="1" s="1"/>
  <c r="J1119" i="1"/>
  <c r="M1119" i="1" s="1"/>
  <c r="G1119" i="1"/>
  <c r="H1120" i="1" s="1"/>
  <c r="F1119" i="1"/>
  <c r="D1119" i="1"/>
  <c r="L1119" i="1" s="1"/>
  <c r="K1118" i="1"/>
  <c r="N1118" i="1" s="1"/>
  <c r="J1118" i="1"/>
  <c r="M1118" i="1" s="1"/>
  <c r="G1118" i="1"/>
  <c r="H1119" i="1" s="1"/>
  <c r="F1118" i="1"/>
  <c r="D1118" i="1"/>
  <c r="L1118" i="1" s="1"/>
  <c r="K1117" i="1"/>
  <c r="N1117" i="1" s="1"/>
  <c r="J1117" i="1"/>
  <c r="M1117" i="1" s="1"/>
  <c r="G1117" i="1"/>
  <c r="H1118" i="1" s="1"/>
  <c r="F1117" i="1"/>
  <c r="D1117" i="1"/>
  <c r="L1117" i="1" s="1"/>
  <c r="K1116" i="1"/>
  <c r="N1116" i="1" s="1"/>
  <c r="J1116" i="1"/>
  <c r="M1116" i="1" s="1"/>
  <c r="G1116" i="1"/>
  <c r="H1117" i="1" s="1"/>
  <c r="F1116" i="1"/>
  <c r="D1116" i="1"/>
  <c r="L1116" i="1" s="1"/>
  <c r="K1115" i="1"/>
  <c r="N1115" i="1" s="1"/>
  <c r="J1115" i="1"/>
  <c r="M1115" i="1" s="1"/>
  <c r="G1115" i="1"/>
  <c r="H1116" i="1" s="1"/>
  <c r="F1115" i="1"/>
  <c r="D1115" i="1"/>
  <c r="L1115" i="1" s="1"/>
  <c r="K1114" i="1"/>
  <c r="N1114" i="1" s="1"/>
  <c r="J1114" i="1"/>
  <c r="M1114" i="1" s="1"/>
  <c r="G1114" i="1"/>
  <c r="H1115" i="1" s="1"/>
  <c r="F1114" i="1"/>
  <c r="D1114" i="1"/>
  <c r="L1114" i="1" s="1"/>
  <c r="K1113" i="1"/>
  <c r="N1113" i="1" s="1"/>
  <c r="J1113" i="1"/>
  <c r="M1113" i="1" s="1"/>
  <c r="G1113" i="1"/>
  <c r="H1114" i="1" s="1"/>
  <c r="F1113" i="1"/>
  <c r="D1113" i="1"/>
  <c r="L1113" i="1" s="1"/>
  <c r="K1112" i="1"/>
  <c r="N1112" i="1" s="1"/>
  <c r="J1112" i="1"/>
  <c r="M1112" i="1" s="1"/>
  <c r="G1112" i="1"/>
  <c r="H1113" i="1" s="1"/>
  <c r="F1112" i="1"/>
  <c r="D1112" i="1"/>
  <c r="L1112" i="1" s="1"/>
  <c r="K1111" i="1"/>
  <c r="N1111" i="1" s="1"/>
  <c r="J1111" i="1"/>
  <c r="M1111" i="1" s="1"/>
  <c r="G1111" i="1"/>
  <c r="H1112" i="1" s="1"/>
  <c r="F1111" i="1"/>
  <c r="D1111" i="1"/>
  <c r="L1111" i="1" s="1"/>
  <c r="K1110" i="1"/>
  <c r="N1110" i="1" s="1"/>
  <c r="J1110" i="1"/>
  <c r="M1110" i="1" s="1"/>
  <c r="G1110" i="1"/>
  <c r="H1111" i="1" s="1"/>
  <c r="F1110" i="1"/>
  <c r="D1110" i="1"/>
  <c r="L1110" i="1" s="1"/>
  <c r="K1109" i="1"/>
  <c r="N1109" i="1" s="1"/>
  <c r="J1109" i="1"/>
  <c r="M1109" i="1" s="1"/>
  <c r="G1109" i="1"/>
  <c r="H1110" i="1" s="1"/>
  <c r="F1109" i="1"/>
  <c r="D1109" i="1"/>
  <c r="L1109" i="1" s="1"/>
  <c r="K1108" i="1"/>
  <c r="N1108" i="1" s="1"/>
  <c r="J1108" i="1"/>
  <c r="M1108" i="1" s="1"/>
  <c r="G1108" i="1"/>
  <c r="H1109" i="1" s="1"/>
  <c r="F1108" i="1"/>
  <c r="D1108" i="1"/>
  <c r="L1108" i="1" s="1"/>
  <c r="K1107" i="1"/>
  <c r="N1107" i="1" s="1"/>
  <c r="J1107" i="1"/>
  <c r="M1107" i="1" s="1"/>
  <c r="G1107" i="1"/>
  <c r="H1108" i="1" s="1"/>
  <c r="F1107" i="1"/>
  <c r="D1107" i="1"/>
  <c r="L1107" i="1" s="1"/>
  <c r="K1106" i="1"/>
  <c r="N1106" i="1" s="1"/>
  <c r="J1106" i="1"/>
  <c r="M1106" i="1" s="1"/>
  <c r="G1106" i="1"/>
  <c r="H1107" i="1" s="1"/>
  <c r="F1106" i="1"/>
  <c r="D1106" i="1"/>
  <c r="L1106" i="1" s="1"/>
  <c r="K1105" i="1"/>
  <c r="N1105" i="1" s="1"/>
  <c r="J1105" i="1"/>
  <c r="M1105" i="1" s="1"/>
  <c r="G1105" i="1"/>
  <c r="H1106" i="1" s="1"/>
  <c r="F1105" i="1"/>
  <c r="D1105" i="1"/>
  <c r="L1105" i="1" s="1"/>
  <c r="K1104" i="1"/>
  <c r="N1104" i="1" s="1"/>
  <c r="J1104" i="1"/>
  <c r="M1104" i="1" s="1"/>
  <c r="G1104" i="1"/>
  <c r="H1105" i="1" s="1"/>
  <c r="F1104" i="1"/>
  <c r="D1104" i="1"/>
  <c r="L1104" i="1" s="1"/>
  <c r="K1103" i="1"/>
  <c r="N1103" i="1" s="1"/>
  <c r="J1103" i="1"/>
  <c r="M1103" i="1" s="1"/>
  <c r="G1103" i="1"/>
  <c r="H1104" i="1" s="1"/>
  <c r="F1103" i="1"/>
  <c r="D1103" i="1"/>
  <c r="L1103" i="1" s="1"/>
  <c r="K1102" i="1"/>
  <c r="N1102" i="1" s="1"/>
  <c r="J1102" i="1"/>
  <c r="M1102" i="1" s="1"/>
  <c r="G1102" i="1"/>
  <c r="H1103" i="1" s="1"/>
  <c r="F1102" i="1"/>
  <c r="D1102" i="1"/>
  <c r="L1102" i="1" s="1"/>
  <c r="K1101" i="1"/>
  <c r="N1101" i="1" s="1"/>
  <c r="J1101" i="1"/>
  <c r="M1101" i="1" s="1"/>
  <c r="G1101" i="1"/>
  <c r="H1102" i="1" s="1"/>
  <c r="F1101" i="1"/>
  <c r="D1101" i="1"/>
  <c r="L1101" i="1" s="1"/>
  <c r="K1100" i="1"/>
  <c r="N1100" i="1" s="1"/>
  <c r="J1100" i="1"/>
  <c r="M1100" i="1" s="1"/>
  <c r="G1100" i="1"/>
  <c r="H1101" i="1" s="1"/>
  <c r="F1100" i="1"/>
  <c r="D1100" i="1"/>
  <c r="L1100" i="1" s="1"/>
  <c r="K1099" i="1"/>
  <c r="N1099" i="1" s="1"/>
  <c r="J1099" i="1"/>
  <c r="M1099" i="1" s="1"/>
  <c r="G1099" i="1"/>
  <c r="H1100" i="1" s="1"/>
  <c r="F1099" i="1"/>
  <c r="D1099" i="1"/>
  <c r="L1099" i="1" s="1"/>
  <c r="K1098" i="1"/>
  <c r="N1098" i="1" s="1"/>
  <c r="J1098" i="1"/>
  <c r="M1098" i="1" s="1"/>
  <c r="G1098" i="1"/>
  <c r="H1099" i="1" s="1"/>
  <c r="F1098" i="1"/>
  <c r="D1098" i="1"/>
  <c r="L1098" i="1" s="1"/>
  <c r="K1097" i="1"/>
  <c r="N1097" i="1" s="1"/>
  <c r="J1097" i="1"/>
  <c r="M1097" i="1" s="1"/>
  <c r="G1097" i="1"/>
  <c r="H1098" i="1" s="1"/>
  <c r="F1097" i="1"/>
  <c r="D1097" i="1"/>
  <c r="L1097" i="1" s="1"/>
  <c r="K1096" i="1"/>
  <c r="N1096" i="1" s="1"/>
  <c r="J1096" i="1"/>
  <c r="M1096" i="1" s="1"/>
  <c r="G1096" i="1"/>
  <c r="H1097" i="1" s="1"/>
  <c r="F1096" i="1"/>
  <c r="D1096" i="1"/>
  <c r="L1096" i="1" s="1"/>
  <c r="K1095" i="1"/>
  <c r="N1095" i="1" s="1"/>
  <c r="J1095" i="1"/>
  <c r="M1095" i="1" s="1"/>
  <c r="G1095" i="1"/>
  <c r="H1096" i="1" s="1"/>
  <c r="F1095" i="1"/>
  <c r="D1095" i="1"/>
  <c r="L1095" i="1" s="1"/>
  <c r="K1094" i="1"/>
  <c r="N1094" i="1" s="1"/>
  <c r="J1094" i="1"/>
  <c r="M1094" i="1" s="1"/>
  <c r="G1094" i="1"/>
  <c r="H1095" i="1" s="1"/>
  <c r="F1094" i="1"/>
  <c r="D1094" i="1"/>
  <c r="L1094" i="1" s="1"/>
  <c r="K1093" i="1"/>
  <c r="N1093" i="1" s="1"/>
  <c r="J1093" i="1"/>
  <c r="M1093" i="1" s="1"/>
  <c r="G1093" i="1"/>
  <c r="H1094" i="1" s="1"/>
  <c r="F1093" i="1"/>
  <c r="D1093" i="1"/>
  <c r="L1093" i="1" s="1"/>
  <c r="K1092" i="1"/>
  <c r="N1092" i="1" s="1"/>
  <c r="J1092" i="1"/>
  <c r="M1092" i="1" s="1"/>
  <c r="G1092" i="1"/>
  <c r="H1093" i="1" s="1"/>
  <c r="F1092" i="1"/>
  <c r="D1092" i="1"/>
  <c r="L1092" i="1" s="1"/>
  <c r="K1091" i="1"/>
  <c r="N1091" i="1" s="1"/>
  <c r="J1091" i="1"/>
  <c r="M1091" i="1" s="1"/>
  <c r="G1091" i="1"/>
  <c r="H1092" i="1" s="1"/>
  <c r="F1091" i="1"/>
  <c r="D1091" i="1"/>
  <c r="L1091" i="1" s="1"/>
  <c r="K1090" i="1"/>
  <c r="N1090" i="1" s="1"/>
  <c r="J1090" i="1"/>
  <c r="M1090" i="1" s="1"/>
  <c r="G1090" i="1"/>
  <c r="H1091" i="1" s="1"/>
  <c r="F1090" i="1"/>
  <c r="D1090" i="1"/>
  <c r="L1090" i="1" s="1"/>
  <c r="K1089" i="1"/>
  <c r="N1089" i="1" s="1"/>
  <c r="J1089" i="1"/>
  <c r="M1089" i="1" s="1"/>
  <c r="G1089" i="1"/>
  <c r="H1090" i="1" s="1"/>
  <c r="F1089" i="1"/>
  <c r="D1089" i="1"/>
  <c r="L1089" i="1" s="1"/>
  <c r="K1088" i="1"/>
  <c r="N1088" i="1" s="1"/>
  <c r="J1088" i="1"/>
  <c r="M1088" i="1" s="1"/>
  <c r="G1088" i="1"/>
  <c r="H1089" i="1" s="1"/>
  <c r="F1088" i="1"/>
  <c r="D1088" i="1"/>
  <c r="L1088" i="1" s="1"/>
  <c r="K1087" i="1"/>
  <c r="N1087" i="1" s="1"/>
  <c r="J1087" i="1"/>
  <c r="M1087" i="1" s="1"/>
  <c r="G1087" i="1"/>
  <c r="H1088" i="1" s="1"/>
  <c r="F1087" i="1"/>
  <c r="D1087" i="1"/>
  <c r="L1087" i="1" s="1"/>
  <c r="K1086" i="1"/>
  <c r="N1086" i="1" s="1"/>
  <c r="J1086" i="1"/>
  <c r="M1086" i="1" s="1"/>
  <c r="G1086" i="1"/>
  <c r="H1087" i="1" s="1"/>
  <c r="F1086" i="1"/>
  <c r="D1086" i="1"/>
  <c r="L1086" i="1" s="1"/>
  <c r="K1085" i="1"/>
  <c r="N1085" i="1" s="1"/>
  <c r="J1085" i="1"/>
  <c r="M1085" i="1" s="1"/>
  <c r="G1085" i="1"/>
  <c r="H1086" i="1" s="1"/>
  <c r="F1085" i="1"/>
  <c r="D1085" i="1"/>
  <c r="L1085" i="1" s="1"/>
  <c r="K1084" i="1"/>
  <c r="N1084" i="1" s="1"/>
  <c r="J1084" i="1"/>
  <c r="M1084" i="1" s="1"/>
  <c r="G1084" i="1"/>
  <c r="H1085" i="1" s="1"/>
  <c r="F1084" i="1"/>
  <c r="D1084" i="1"/>
  <c r="L1084" i="1" s="1"/>
  <c r="K1083" i="1"/>
  <c r="N1083" i="1" s="1"/>
  <c r="J1083" i="1"/>
  <c r="M1083" i="1" s="1"/>
  <c r="G1083" i="1"/>
  <c r="H1084" i="1" s="1"/>
  <c r="F1083" i="1"/>
  <c r="D1083" i="1"/>
  <c r="L1083" i="1" s="1"/>
  <c r="K1082" i="1"/>
  <c r="N1082" i="1" s="1"/>
  <c r="J1082" i="1"/>
  <c r="M1082" i="1" s="1"/>
  <c r="G1082" i="1"/>
  <c r="H1083" i="1" s="1"/>
  <c r="F1082" i="1"/>
  <c r="D1082" i="1"/>
  <c r="L1082" i="1" s="1"/>
  <c r="K1081" i="1"/>
  <c r="N1081" i="1" s="1"/>
  <c r="J1081" i="1"/>
  <c r="M1081" i="1" s="1"/>
  <c r="G1081" i="1"/>
  <c r="H1082" i="1" s="1"/>
  <c r="F1081" i="1"/>
  <c r="D1081" i="1"/>
  <c r="L1081" i="1" s="1"/>
  <c r="K1080" i="1"/>
  <c r="N1080" i="1" s="1"/>
  <c r="J1080" i="1"/>
  <c r="M1080" i="1" s="1"/>
  <c r="G1080" i="1"/>
  <c r="H1081" i="1" s="1"/>
  <c r="F1080" i="1"/>
  <c r="D1080" i="1"/>
  <c r="L1080" i="1" s="1"/>
  <c r="K1079" i="1"/>
  <c r="N1079" i="1" s="1"/>
  <c r="J1079" i="1"/>
  <c r="M1079" i="1" s="1"/>
  <c r="G1079" i="1"/>
  <c r="H1080" i="1" s="1"/>
  <c r="F1079" i="1"/>
  <c r="D1079" i="1"/>
  <c r="L1079" i="1" s="1"/>
  <c r="K1078" i="1"/>
  <c r="N1078" i="1" s="1"/>
  <c r="J1078" i="1"/>
  <c r="M1078" i="1" s="1"/>
  <c r="G1078" i="1"/>
  <c r="H1079" i="1" s="1"/>
  <c r="F1078" i="1"/>
  <c r="D1078" i="1"/>
  <c r="L1078" i="1" s="1"/>
  <c r="K1077" i="1"/>
  <c r="N1077" i="1" s="1"/>
  <c r="J1077" i="1"/>
  <c r="M1077" i="1" s="1"/>
  <c r="G1077" i="1"/>
  <c r="H1078" i="1" s="1"/>
  <c r="F1077" i="1"/>
  <c r="D1077" i="1"/>
  <c r="L1077" i="1" s="1"/>
  <c r="K1076" i="1"/>
  <c r="N1076" i="1" s="1"/>
  <c r="J1076" i="1"/>
  <c r="M1076" i="1" s="1"/>
  <c r="G1076" i="1"/>
  <c r="H1077" i="1" s="1"/>
  <c r="F1076" i="1"/>
  <c r="D1076" i="1"/>
  <c r="L1076" i="1" s="1"/>
  <c r="K1075" i="1"/>
  <c r="N1075" i="1" s="1"/>
  <c r="J1075" i="1"/>
  <c r="M1075" i="1" s="1"/>
  <c r="G1075" i="1"/>
  <c r="H1076" i="1" s="1"/>
  <c r="F1075" i="1"/>
  <c r="D1075" i="1"/>
  <c r="L1075" i="1" s="1"/>
  <c r="K1074" i="1"/>
  <c r="N1074" i="1" s="1"/>
  <c r="J1074" i="1"/>
  <c r="M1074" i="1" s="1"/>
  <c r="G1074" i="1"/>
  <c r="H1075" i="1" s="1"/>
  <c r="F1074" i="1"/>
  <c r="D1074" i="1"/>
  <c r="L1074" i="1" s="1"/>
  <c r="K1073" i="1"/>
  <c r="N1073" i="1" s="1"/>
  <c r="J1073" i="1"/>
  <c r="M1073" i="1" s="1"/>
  <c r="G1073" i="1"/>
  <c r="H1074" i="1" s="1"/>
  <c r="F1073" i="1"/>
  <c r="D1073" i="1"/>
  <c r="L1073" i="1" s="1"/>
  <c r="K1072" i="1"/>
  <c r="N1072" i="1" s="1"/>
  <c r="J1072" i="1"/>
  <c r="M1072" i="1" s="1"/>
  <c r="G1072" i="1"/>
  <c r="H1073" i="1" s="1"/>
  <c r="F1072" i="1"/>
  <c r="D1072" i="1"/>
  <c r="L1072" i="1" s="1"/>
  <c r="K1071" i="1"/>
  <c r="N1071" i="1" s="1"/>
  <c r="J1071" i="1"/>
  <c r="M1071" i="1" s="1"/>
  <c r="G1071" i="1"/>
  <c r="H1072" i="1" s="1"/>
  <c r="F1071" i="1"/>
  <c r="D1071" i="1"/>
  <c r="L1071" i="1" s="1"/>
  <c r="K1070" i="1"/>
  <c r="N1070" i="1" s="1"/>
  <c r="J1070" i="1"/>
  <c r="M1070" i="1" s="1"/>
  <c r="G1070" i="1"/>
  <c r="H1071" i="1" s="1"/>
  <c r="F1070" i="1"/>
  <c r="D1070" i="1"/>
  <c r="L1070" i="1" s="1"/>
  <c r="K1069" i="1"/>
  <c r="N1069" i="1" s="1"/>
  <c r="J1069" i="1"/>
  <c r="M1069" i="1" s="1"/>
  <c r="G1069" i="1"/>
  <c r="H1070" i="1" s="1"/>
  <c r="F1069" i="1"/>
  <c r="D1069" i="1"/>
  <c r="L1069" i="1" s="1"/>
  <c r="K1068" i="1"/>
  <c r="N1068" i="1" s="1"/>
  <c r="J1068" i="1"/>
  <c r="M1068" i="1" s="1"/>
  <c r="G1068" i="1"/>
  <c r="H1069" i="1" s="1"/>
  <c r="F1068" i="1"/>
  <c r="D1068" i="1"/>
  <c r="L1068" i="1" s="1"/>
  <c r="K1067" i="1"/>
  <c r="N1067" i="1" s="1"/>
  <c r="J1067" i="1"/>
  <c r="M1067" i="1" s="1"/>
  <c r="G1067" i="1"/>
  <c r="H1068" i="1" s="1"/>
  <c r="F1067" i="1"/>
  <c r="D1067" i="1"/>
  <c r="L1067" i="1" s="1"/>
  <c r="K1066" i="1"/>
  <c r="N1066" i="1" s="1"/>
  <c r="J1066" i="1"/>
  <c r="M1066" i="1" s="1"/>
  <c r="G1066" i="1"/>
  <c r="H1067" i="1" s="1"/>
  <c r="F1066" i="1"/>
  <c r="D1066" i="1"/>
  <c r="L1066" i="1" s="1"/>
  <c r="K1065" i="1"/>
  <c r="N1065" i="1" s="1"/>
  <c r="J1065" i="1"/>
  <c r="M1065" i="1" s="1"/>
  <c r="G1065" i="1"/>
  <c r="H1066" i="1" s="1"/>
  <c r="F1065" i="1"/>
  <c r="D1065" i="1"/>
  <c r="L1065" i="1" s="1"/>
  <c r="K1064" i="1"/>
  <c r="N1064" i="1" s="1"/>
  <c r="J1064" i="1"/>
  <c r="M1064" i="1" s="1"/>
  <c r="G1064" i="1"/>
  <c r="H1065" i="1" s="1"/>
  <c r="F1064" i="1"/>
  <c r="D1064" i="1"/>
  <c r="L1064" i="1" s="1"/>
  <c r="K1063" i="1"/>
  <c r="N1063" i="1" s="1"/>
  <c r="J1063" i="1"/>
  <c r="M1063" i="1" s="1"/>
  <c r="G1063" i="1"/>
  <c r="H1064" i="1" s="1"/>
  <c r="F1063" i="1"/>
  <c r="D1063" i="1"/>
  <c r="L1063" i="1" s="1"/>
  <c r="K1062" i="1"/>
  <c r="N1062" i="1" s="1"/>
  <c r="J1062" i="1"/>
  <c r="M1062" i="1" s="1"/>
  <c r="G1062" i="1"/>
  <c r="H1063" i="1" s="1"/>
  <c r="F1062" i="1"/>
  <c r="D1062" i="1"/>
  <c r="L1062" i="1" s="1"/>
  <c r="K1061" i="1"/>
  <c r="N1061" i="1" s="1"/>
  <c r="J1061" i="1"/>
  <c r="M1061" i="1" s="1"/>
  <c r="G1061" i="1"/>
  <c r="H1062" i="1" s="1"/>
  <c r="F1061" i="1"/>
  <c r="D1061" i="1"/>
  <c r="L1061" i="1" s="1"/>
  <c r="K1060" i="1"/>
  <c r="N1060" i="1" s="1"/>
  <c r="J1060" i="1"/>
  <c r="M1060" i="1" s="1"/>
  <c r="G1060" i="1"/>
  <c r="H1061" i="1" s="1"/>
  <c r="F1060" i="1"/>
  <c r="D1060" i="1"/>
  <c r="L1060" i="1" s="1"/>
  <c r="K1059" i="1"/>
  <c r="N1059" i="1" s="1"/>
  <c r="J1059" i="1"/>
  <c r="M1059" i="1" s="1"/>
  <c r="G1059" i="1"/>
  <c r="H1060" i="1" s="1"/>
  <c r="F1059" i="1"/>
  <c r="D1059" i="1"/>
  <c r="L1059" i="1" s="1"/>
  <c r="K1058" i="1"/>
  <c r="N1058" i="1" s="1"/>
  <c r="J1058" i="1"/>
  <c r="M1058" i="1" s="1"/>
  <c r="G1058" i="1"/>
  <c r="H1059" i="1" s="1"/>
  <c r="F1058" i="1"/>
  <c r="D1058" i="1"/>
  <c r="L1058" i="1" s="1"/>
  <c r="K1057" i="1"/>
  <c r="N1057" i="1" s="1"/>
  <c r="J1057" i="1"/>
  <c r="M1057" i="1" s="1"/>
  <c r="G1057" i="1"/>
  <c r="H1058" i="1" s="1"/>
  <c r="F1057" i="1"/>
  <c r="D1057" i="1"/>
  <c r="L1057" i="1" s="1"/>
  <c r="K1056" i="1"/>
  <c r="N1056" i="1" s="1"/>
  <c r="J1056" i="1"/>
  <c r="M1056" i="1" s="1"/>
  <c r="G1056" i="1"/>
  <c r="H1057" i="1" s="1"/>
  <c r="F1056" i="1"/>
  <c r="D1056" i="1"/>
  <c r="L1056" i="1" s="1"/>
  <c r="K1055" i="1"/>
  <c r="N1055" i="1" s="1"/>
  <c r="J1055" i="1"/>
  <c r="M1055" i="1" s="1"/>
  <c r="G1055" i="1"/>
  <c r="H1056" i="1" s="1"/>
  <c r="F1055" i="1"/>
  <c r="D1055" i="1"/>
  <c r="L1055" i="1" s="1"/>
  <c r="K1054" i="1"/>
  <c r="N1054" i="1" s="1"/>
  <c r="J1054" i="1"/>
  <c r="M1054" i="1" s="1"/>
  <c r="G1054" i="1"/>
  <c r="H1055" i="1" s="1"/>
  <c r="F1054" i="1"/>
  <c r="D1054" i="1"/>
  <c r="L1054" i="1" s="1"/>
  <c r="K1053" i="1"/>
  <c r="N1053" i="1" s="1"/>
  <c r="J1053" i="1"/>
  <c r="M1053" i="1" s="1"/>
  <c r="G1053" i="1"/>
  <c r="H1054" i="1" s="1"/>
  <c r="F1053" i="1"/>
  <c r="D1053" i="1"/>
  <c r="L1053" i="1" s="1"/>
  <c r="K1052" i="1"/>
  <c r="N1052" i="1" s="1"/>
  <c r="J1052" i="1"/>
  <c r="M1052" i="1" s="1"/>
  <c r="G1052" i="1"/>
  <c r="H1053" i="1" s="1"/>
  <c r="F1052" i="1"/>
  <c r="D1052" i="1"/>
  <c r="L1052" i="1" s="1"/>
  <c r="K1051" i="1"/>
  <c r="N1051" i="1" s="1"/>
  <c r="J1051" i="1"/>
  <c r="M1051" i="1" s="1"/>
  <c r="G1051" i="1"/>
  <c r="H1052" i="1" s="1"/>
  <c r="F1051" i="1"/>
  <c r="D1051" i="1"/>
  <c r="L1051" i="1" s="1"/>
  <c r="K1050" i="1"/>
  <c r="N1050" i="1" s="1"/>
  <c r="J1050" i="1"/>
  <c r="M1050" i="1" s="1"/>
  <c r="G1050" i="1"/>
  <c r="H1051" i="1" s="1"/>
  <c r="F1050" i="1"/>
  <c r="D1050" i="1"/>
  <c r="L1050" i="1" s="1"/>
  <c r="K1049" i="1"/>
  <c r="N1049" i="1" s="1"/>
  <c r="J1049" i="1"/>
  <c r="M1049" i="1" s="1"/>
  <c r="G1049" i="1"/>
  <c r="H1050" i="1" s="1"/>
  <c r="F1049" i="1"/>
  <c r="D1049" i="1"/>
  <c r="L1049" i="1" s="1"/>
  <c r="K1048" i="1"/>
  <c r="N1048" i="1" s="1"/>
  <c r="J1048" i="1"/>
  <c r="M1048" i="1" s="1"/>
  <c r="G1048" i="1"/>
  <c r="H1049" i="1" s="1"/>
  <c r="F1048" i="1"/>
  <c r="D1048" i="1"/>
  <c r="L1048" i="1" s="1"/>
  <c r="K1047" i="1"/>
  <c r="N1047" i="1" s="1"/>
  <c r="J1047" i="1"/>
  <c r="M1047" i="1" s="1"/>
  <c r="G1047" i="1"/>
  <c r="H1048" i="1" s="1"/>
  <c r="F1047" i="1"/>
  <c r="D1047" i="1"/>
  <c r="L1047" i="1" s="1"/>
  <c r="K1046" i="1"/>
  <c r="N1046" i="1" s="1"/>
  <c r="J1046" i="1"/>
  <c r="M1046" i="1" s="1"/>
  <c r="G1046" i="1"/>
  <c r="H1047" i="1" s="1"/>
  <c r="F1046" i="1"/>
  <c r="D1046" i="1"/>
  <c r="L1046" i="1" s="1"/>
  <c r="K1045" i="1"/>
  <c r="N1045" i="1" s="1"/>
  <c r="J1045" i="1"/>
  <c r="M1045" i="1" s="1"/>
  <c r="G1045" i="1"/>
  <c r="H1046" i="1" s="1"/>
  <c r="F1045" i="1"/>
  <c r="D1045" i="1"/>
  <c r="L1045" i="1" s="1"/>
  <c r="K1044" i="1"/>
  <c r="N1044" i="1" s="1"/>
  <c r="J1044" i="1"/>
  <c r="M1044" i="1" s="1"/>
  <c r="G1044" i="1"/>
  <c r="H1045" i="1" s="1"/>
  <c r="F1044" i="1"/>
  <c r="D1044" i="1"/>
  <c r="L1044" i="1" s="1"/>
  <c r="K1043" i="1"/>
  <c r="N1043" i="1" s="1"/>
  <c r="J1043" i="1"/>
  <c r="M1043" i="1" s="1"/>
  <c r="G1043" i="1"/>
  <c r="H1044" i="1" s="1"/>
  <c r="F1043" i="1"/>
  <c r="D1043" i="1"/>
  <c r="L1043" i="1" s="1"/>
  <c r="K1042" i="1"/>
  <c r="N1042" i="1" s="1"/>
  <c r="J1042" i="1"/>
  <c r="M1042" i="1" s="1"/>
  <c r="G1042" i="1"/>
  <c r="H1043" i="1" s="1"/>
  <c r="F1042" i="1"/>
  <c r="D1042" i="1"/>
  <c r="L1042" i="1" s="1"/>
  <c r="K1041" i="1"/>
  <c r="N1041" i="1" s="1"/>
  <c r="J1041" i="1"/>
  <c r="M1041" i="1" s="1"/>
  <c r="G1041" i="1"/>
  <c r="H1042" i="1" s="1"/>
  <c r="F1041" i="1"/>
  <c r="D1041" i="1"/>
  <c r="L1041" i="1" s="1"/>
  <c r="K1040" i="1"/>
  <c r="N1040" i="1" s="1"/>
  <c r="J1040" i="1"/>
  <c r="M1040" i="1" s="1"/>
  <c r="G1040" i="1"/>
  <c r="H1041" i="1" s="1"/>
  <c r="F1040" i="1"/>
  <c r="D1040" i="1"/>
  <c r="L1040" i="1" s="1"/>
  <c r="K1039" i="1"/>
  <c r="N1039" i="1" s="1"/>
  <c r="J1039" i="1"/>
  <c r="M1039" i="1" s="1"/>
  <c r="G1039" i="1"/>
  <c r="H1040" i="1" s="1"/>
  <c r="F1039" i="1"/>
  <c r="D1039" i="1"/>
  <c r="L1039" i="1" s="1"/>
  <c r="K1038" i="1"/>
  <c r="N1038" i="1" s="1"/>
  <c r="J1038" i="1"/>
  <c r="M1038" i="1" s="1"/>
  <c r="G1038" i="1"/>
  <c r="H1039" i="1" s="1"/>
  <c r="F1038" i="1"/>
  <c r="D1038" i="1"/>
  <c r="L1038" i="1" s="1"/>
  <c r="K1037" i="1"/>
  <c r="N1037" i="1" s="1"/>
  <c r="J1037" i="1"/>
  <c r="M1037" i="1" s="1"/>
  <c r="G1037" i="1"/>
  <c r="H1038" i="1" s="1"/>
  <c r="F1037" i="1"/>
  <c r="D1037" i="1"/>
  <c r="L1037" i="1" s="1"/>
  <c r="K1036" i="1"/>
  <c r="N1036" i="1" s="1"/>
  <c r="J1036" i="1"/>
  <c r="M1036" i="1" s="1"/>
  <c r="G1036" i="1"/>
  <c r="H1037" i="1" s="1"/>
  <c r="F1036" i="1"/>
  <c r="D1036" i="1"/>
  <c r="L1036" i="1" s="1"/>
  <c r="K1035" i="1"/>
  <c r="N1035" i="1" s="1"/>
  <c r="J1035" i="1"/>
  <c r="M1035" i="1" s="1"/>
  <c r="G1035" i="1"/>
  <c r="H1036" i="1" s="1"/>
  <c r="F1035" i="1"/>
  <c r="D1035" i="1"/>
  <c r="L1035" i="1" s="1"/>
  <c r="K1034" i="1"/>
  <c r="N1034" i="1" s="1"/>
  <c r="J1034" i="1"/>
  <c r="M1034" i="1" s="1"/>
  <c r="G1034" i="1"/>
  <c r="H1035" i="1" s="1"/>
  <c r="F1034" i="1"/>
  <c r="D1034" i="1"/>
  <c r="L1034" i="1" s="1"/>
  <c r="K1033" i="1"/>
  <c r="N1033" i="1" s="1"/>
  <c r="J1033" i="1"/>
  <c r="M1033" i="1" s="1"/>
  <c r="G1033" i="1"/>
  <c r="H1034" i="1" s="1"/>
  <c r="F1033" i="1"/>
  <c r="D1033" i="1"/>
  <c r="L1033" i="1" s="1"/>
  <c r="K1032" i="1"/>
  <c r="N1032" i="1" s="1"/>
  <c r="J1032" i="1"/>
  <c r="M1032" i="1" s="1"/>
  <c r="G1032" i="1"/>
  <c r="H1033" i="1" s="1"/>
  <c r="F1032" i="1"/>
  <c r="D1032" i="1"/>
  <c r="L1032" i="1" s="1"/>
  <c r="K1031" i="1"/>
  <c r="N1031" i="1" s="1"/>
  <c r="J1031" i="1"/>
  <c r="M1031" i="1" s="1"/>
  <c r="G1031" i="1"/>
  <c r="H1032" i="1" s="1"/>
  <c r="F1031" i="1"/>
  <c r="D1031" i="1"/>
  <c r="L1031" i="1" s="1"/>
  <c r="K1030" i="1"/>
  <c r="N1030" i="1" s="1"/>
  <c r="J1030" i="1"/>
  <c r="M1030" i="1" s="1"/>
  <c r="G1030" i="1"/>
  <c r="H1031" i="1" s="1"/>
  <c r="F1030" i="1"/>
  <c r="D1030" i="1"/>
  <c r="L1030" i="1" s="1"/>
  <c r="K1029" i="1"/>
  <c r="N1029" i="1" s="1"/>
  <c r="J1029" i="1"/>
  <c r="M1029" i="1" s="1"/>
  <c r="G1029" i="1"/>
  <c r="H1030" i="1" s="1"/>
  <c r="F1029" i="1"/>
  <c r="D1029" i="1"/>
  <c r="L1029" i="1" s="1"/>
  <c r="K1028" i="1"/>
  <c r="N1028" i="1" s="1"/>
  <c r="J1028" i="1"/>
  <c r="M1028" i="1" s="1"/>
  <c r="G1028" i="1"/>
  <c r="H1029" i="1" s="1"/>
  <c r="F1028" i="1"/>
  <c r="D1028" i="1"/>
  <c r="L1028" i="1" s="1"/>
  <c r="K1027" i="1"/>
  <c r="N1027" i="1" s="1"/>
  <c r="J1027" i="1"/>
  <c r="M1027" i="1" s="1"/>
  <c r="G1027" i="1"/>
  <c r="H1028" i="1" s="1"/>
  <c r="F1027" i="1"/>
  <c r="D1027" i="1"/>
  <c r="L1027" i="1" s="1"/>
  <c r="K1026" i="1"/>
  <c r="N1026" i="1" s="1"/>
  <c r="J1026" i="1"/>
  <c r="M1026" i="1" s="1"/>
  <c r="G1026" i="1"/>
  <c r="H1027" i="1" s="1"/>
  <c r="F1026" i="1"/>
  <c r="D1026" i="1"/>
  <c r="L1026" i="1" s="1"/>
  <c r="K1025" i="1"/>
  <c r="N1025" i="1" s="1"/>
  <c r="J1025" i="1"/>
  <c r="M1025" i="1" s="1"/>
  <c r="G1025" i="1"/>
  <c r="H1026" i="1" s="1"/>
  <c r="F1025" i="1"/>
  <c r="D1025" i="1"/>
  <c r="L1025" i="1" s="1"/>
  <c r="K1024" i="1"/>
  <c r="N1024" i="1" s="1"/>
  <c r="J1024" i="1"/>
  <c r="M1024" i="1" s="1"/>
  <c r="G1024" i="1"/>
  <c r="H1025" i="1" s="1"/>
  <c r="F1024" i="1"/>
  <c r="D1024" i="1"/>
  <c r="L1024" i="1" s="1"/>
  <c r="K1023" i="1"/>
  <c r="N1023" i="1" s="1"/>
  <c r="J1023" i="1"/>
  <c r="M1023" i="1" s="1"/>
  <c r="G1023" i="1"/>
  <c r="H1024" i="1" s="1"/>
  <c r="F1023" i="1"/>
  <c r="D1023" i="1"/>
  <c r="L1023" i="1" s="1"/>
  <c r="K1022" i="1"/>
  <c r="N1022" i="1" s="1"/>
  <c r="J1022" i="1"/>
  <c r="M1022" i="1" s="1"/>
  <c r="G1022" i="1"/>
  <c r="H1023" i="1" s="1"/>
  <c r="F1022" i="1"/>
  <c r="D1022" i="1"/>
  <c r="L1022" i="1" s="1"/>
  <c r="K1021" i="1"/>
  <c r="N1021" i="1" s="1"/>
  <c r="J1021" i="1"/>
  <c r="M1021" i="1" s="1"/>
  <c r="G1021" i="1"/>
  <c r="H1022" i="1" s="1"/>
  <c r="F1021" i="1"/>
  <c r="D1021" i="1"/>
  <c r="L1021" i="1" s="1"/>
  <c r="K1020" i="1"/>
  <c r="N1020" i="1" s="1"/>
  <c r="J1020" i="1"/>
  <c r="M1020" i="1" s="1"/>
  <c r="G1020" i="1"/>
  <c r="H1021" i="1" s="1"/>
  <c r="F1020" i="1"/>
  <c r="D1020" i="1"/>
  <c r="L1020" i="1" s="1"/>
  <c r="K1019" i="1"/>
  <c r="N1019" i="1" s="1"/>
  <c r="J1019" i="1"/>
  <c r="M1019" i="1" s="1"/>
  <c r="G1019" i="1"/>
  <c r="H1020" i="1" s="1"/>
  <c r="F1019" i="1"/>
  <c r="D1019" i="1"/>
  <c r="L1019" i="1" s="1"/>
  <c r="K1018" i="1"/>
  <c r="N1018" i="1" s="1"/>
  <c r="J1018" i="1"/>
  <c r="M1018" i="1" s="1"/>
  <c r="G1018" i="1"/>
  <c r="H1019" i="1" s="1"/>
  <c r="F1018" i="1"/>
  <c r="D1018" i="1"/>
  <c r="L1018" i="1" s="1"/>
  <c r="K1017" i="1"/>
  <c r="N1017" i="1" s="1"/>
  <c r="J1017" i="1"/>
  <c r="M1017" i="1" s="1"/>
  <c r="G1017" i="1"/>
  <c r="H1018" i="1" s="1"/>
  <c r="F1017" i="1"/>
  <c r="D1017" i="1"/>
  <c r="L1017" i="1" s="1"/>
  <c r="K1016" i="1"/>
  <c r="N1016" i="1" s="1"/>
  <c r="J1016" i="1"/>
  <c r="M1016" i="1" s="1"/>
  <c r="G1016" i="1"/>
  <c r="H1017" i="1" s="1"/>
  <c r="F1016" i="1"/>
  <c r="D1016" i="1"/>
  <c r="L1016" i="1" s="1"/>
  <c r="K1015" i="1"/>
  <c r="N1015" i="1" s="1"/>
  <c r="J1015" i="1"/>
  <c r="M1015" i="1" s="1"/>
  <c r="G1015" i="1"/>
  <c r="H1016" i="1" s="1"/>
  <c r="F1015" i="1"/>
  <c r="D1015" i="1"/>
  <c r="L1015" i="1" s="1"/>
  <c r="K1014" i="1"/>
  <c r="N1014" i="1" s="1"/>
  <c r="J1014" i="1"/>
  <c r="M1014" i="1" s="1"/>
  <c r="G1014" i="1"/>
  <c r="H1015" i="1" s="1"/>
  <c r="F1014" i="1"/>
  <c r="D1014" i="1"/>
  <c r="L1014" i="1" s="1"/>
  <c r="K1013" i="1"/>
  <c r="N1013" i="1" s="1"/>
  <c r="J1013" i="1"/>
  <c r="M1013" i="1" s="1"/>
  <c r="G1013" i="1"/>
  <c r="H1014" i="1" s="1"/>
  <c r="F1013" i="1"/>
  <c r="D1013" i="1"/>
  <c r="L1013" i="1" s="1"/>
  <c r="K1012" i="1"/>
  <c r="N1012" i="1" s="1"/>
  <c r="J1012" i="1"/>
  <c r="M1012" i="1" s="1"/>
  <c r="G1012" i="1"/>
  <c r="H1013" i="1" s="1"/>
  <c r="F1012" i="1"/>
  <c r="D1012" i="1"/>
  <c r="L1012" i="1" s="1"/>
  <c r="K1011" i="1"/>
  <c r="N1011" i="1" s="1"/>
  <c r="J1011" i="1"/>
  <c r="M1011" i="1" s="1"/>
  <c r="G1011" i="1"/>
  <c r="H1012" i="1" s="1"/>
  <c r="F1011" i="1"/>
  <c r="D1011" i="1"/>
  <c r="L1011" i="1" s="1"/>
  <c r="K1010" i="1"/>
  <c r="N1010" i="1" s="1"/>
  <c r="J1010" i="1"/>
  <c r="M1010" i="1" s="1"/>
  <c r="G1010" i="1"/>
  <c r="H1011" i="1" s="1"/>
  <c r="F1010" i="1"/>
  <c r="D1010" i="1"/>
  <c r="L1010" i="1" s="1"/>
  <c r="K1009" i="1"/>
  <c r="N1009" i="1" s="1"/>
  <c r="J1009" i="1"/>
  <c r="M1009" i="1" s="1"/>
  <c r="G1009" i="1"/>
  <c r="H1010" i="1" s="1"/>
  <c r="F1009" i="1"/>
  <c r="D1009" i="1"/>
  <c r="L1009" i="1" s="1"/>
  <c r="K1008" i="1"/>
  <c r="N1008" i="1" s="1"/>
  <c r="J1008" i="1"/>
  <c r="M1008" i="1" s="1"/>
  <c r="G1008" i="1"/>
  <c r="H1009" i="1" s="1"/>
  <c r="F1008" i="1"/>
  <c r="D1008" i="1"/>
  <c r="L1008" i="1" s="1"/>
  <c r="K1007" i="1"/>
  <c r="N1007" i="1" s="1"/>
  <c r="J1007" i="1"/>
  <c r="M1007" i="1" s="1"/>
  <c r="G1007" i="1"/>
  <c r="H1008" i="1" s="1"/>
  <c r="F1007" i="1"/>
  <c r="D1007" i="1"/>
  <c r="L1007" i="1" s="1"/>
  <c r="K1006" i="1"/>
  <c r="N1006" i="1" s="1"/>
  <c r="J1006" i="1"/>
  <c r="M1006" i="1" s="1"/>
  <c r="G1006" i="1"/>
  <c r="H1007" i="1" s="1"/>
  <c r="F1006" i="1"/>
  <c r="D1006" i="1"/>
  <c r="L1006" i="1" s="1"/>
  <c r="K1005" i="1"/>
  <c r="N1005" i="1" s="1"/>
  <c r="J1005" i="1"/>
  <c r="M1005" i="1" s="1"/>
  <c r="G1005" i="1"/>
  <c r="H1006" i="1" s="1"/>
  <c r="F1005" i="1"/>
  <c r="D1005" i="1"/>
  <c r="L1005" i="1" s="1"/>
  <c r="K1004" i="1"/>
  <c r="N1004" i="1" s="1"/>
  <c r="J1004" i="1"/>
  <c r="M1004" i="1" s="1"/>
  <c r="G1004" i="1"/>
  <c r="H1005" i="1" s="1"/>
  <c r="F1004" i="1"/>
  <c r="D1004" i="1"/>
  <c r="L1004" i="1" s="1"/>
  <c r="K1003" i="1"/>
  <c r="N1003" i="1" s="1"/>
  <c r="J1003" i="1"/>
  <c r="M1003" i="1" s="1"/>
  <c r="G1003" i="1"/>
  <c r="H1004" i="1" s="1"/>
  <c r="F1003" i="1"/>
  <c r="D1003" i="1"/>
  <c r="L1003" i="1" s="1"/>
  <c r="K1002" i="1"/>
  <c r="N1002" i="1" s="1"/>
  <c r="J1002" i="1"/>
  <c r="M1002" i="1" s="1"/>
  <c r="G1002" i="1"/>
  <c r="H1003" i="1" s="1"/>
  <c r="F1002" i="1"/>
  <c r="D1002" i="1"/>
  <c r="L1002" i="1" s="1"/>
  <c r="K1001" i="1"/>
  <c r="N1001" i="1" s="1"/>
  <c r="J1001" i="1"/>
  <c r="M1001" i="1" s="1"/>
  <c r="G1001" i="1"/>
  <c r="H1002" i="1" s="1"/>
  <c r="F1001" i="1"/>
  <c r="D1001" i="1"/>
  <c r="L1001" i="1" s="1"/>
  <c r="K1000" i="1"/>
  <c r="N1000" i="1" s="1"/>
  <c r="J1000" i="1"/>
  <c r="M1000" i="1" s="1"/>
  <c r="G1000" i="1"/>
  <c r="H1001" i="1" s="1"/>
  <c r="F1000" i="1"/>
  <c r="D1000" i="1"/>
  <c r="L1000" i="1" s="1"/>
  <c r="K999" i="1"/>
  <c r="N999" i="1" s="1"/>
  <c r="J999" i="1"/>
  <c r="M999" i="1" s="1"/>
  <c r="G999" i="1"/>
  <c r="H1000" i="1" s="1"/>
  <c r="F999" i="1"/>
  <c r="D999" i="1"/>
  <c r="L999" i="1" s="1"/>
  <c r="K998" i="1"/>
  <c r="N998" i="1" s="1"/>
  <c r="J998" i="1"/>
  <c r="M998" i="1" s="1"/>
  <c r="G998" i="1"/>
  <c r="H999" i="1" s="1"/>
  <c r="F998" i="1"/>
  <c r="D998" i="1"/>
  <c r="L998" i="1" s="1"/>
  <c r="K997" i="1"/>
  <c r="N997" i="1" s="1"/>
  <c r="J997" i="1"/>
  <c r="M997" i="1" s="1"/>
  <c r="G997" i="1"/>
  <c r="H998" i="1" s="1"/>
  <c r="F997" i="1"/>
  <c r="D997" i="1"/>
  <c r="L997" i="1" s="1"/>
  <c r="K996" i="1"/>
  <c r="N996" i="1" s="1"/>
  <c r="J996" i="1"/>
  <c r="M996" i="1" s="1"/>
  <c r="G996" i="1"/>
  <c r="H997" i="1" s="1"/>
  <c r="F996" i="1"/>
  <c r="D996" i="1"/>
  <c r="L996" i="1" s="1"/>
  <c r="K995" i="1"/>
  <c r="N995" i="1" s="1"/>
  <c r="J995" i="1"/>
  <c r="M995" i="1" s="1"/>
  <c r="G995" i="1"/>
  <c r="H996" i="1" s="1"/>
  <c r="F995" i="1"/>
  <c r="D995" i="1"/>
  <c r="L995" i="1" s="1"/>
  <c r="K994" i="1"/>
  <c r="N994" i="1" s="1"/>
  <c r="J994" i="1"/>
  <c r="M994" i="1" s="1"/>
  <c r="G994" i="1"/>
  <c r="H995" i="1" s="1"/>
  <c r="F994" i="1"/>
  <c r="D994" i="1"/>
  <c r="L994" i="1" s="1"/>
  <c r="K993" i="1"/>
  <c r="N993" i="1" s="1"/>
  <c r="J993" i="1"/>
  <c r="M993" i="1" s="1"/>
  <c r="G993" i="1"/>
  <c r="H994" i="1" s="1"/>
  <c r="F993" i="1"/>
  <c r="D993" i="1"/>
  <c r="L993" i="1" s="1"/>
  <c r="K992" i="1"/>
  <c r="N992" i="1" s="1"/>
  <c r="J992" i="1"/>
  <c r="M992" i="1" s="1"/>
  <c r="G992" i="1"/>
  <c r="H993" i="1" s="1"/>
  <c r="F992" i="1"/>
  <c r="D992" i="1"/>
  <c r="L992" i="1" s="1"/>
  <c r="K991" i="1"/>
  <c r="N991" i="1" s="1"/>
  <c r="J991" i="1"/>
  <c r="M991" i="1" s="1"/>
  <c r="G991" i="1"/>
  <c r="H992" i="1" s="1"/>
  <c r="F991" i="1"/>
  <c r="D991" i="1"/>
  <c r="L991" i="1" s="1"/>
  <c r="K990" i="1"/>
  <c r="N990" i="1" s="1"/>
  <c r="J990" i="1"/>
  <c r="M990" i="1" s="1"/>
  <c r="G990" i="1"/>
  <c r="H991" i="1" s="1"/>
  <c r="F990" i="1"/>
  <c r="D990" i="1"/>
  <c r="L990" i="1" s="1"/>
  <c r="K989" i="1"/>
  <c r="N989" i="1" s="1"/>
  <c r="J989" i="1"/>
  <c r="M989" i="1" s="1"/>
  <c r="G989" i="1"/>
  <c r="H990" i="1" s="1"/>
  <c r="F989" i="1"/>
  <c r="D989" i="1"/>
  <c r="L989" i="1" s="1"/>
  <c r="K988" i="1"/>
  <c r="N988" i="1" s="1"/>
  <c r="J988" i="1"/>
  <c r="M988" i="1" s="1"/>
  <c r="G988" i="1"/>
  <c r="H989" i="1" s="1"/>
  <c r="F988" i="1"/>
  <c r="D988" i="1"/>
  <c r="L988" i="1" s="1"/>
  <c r="K987" i="1"/>
  <c r="N987" i="1" s="1"/>
  <c r="J987" i="1"/>
  <c r="M987" i="1" s="1"/>
  <c r="G987" i="1"/>
  <c r="H988" i="1" s="1"/>
  <c r="F987" i="1"/>
  <c r="D987" i="1"/>
  <c r="L987" i="1" s="1"/>
  <c r="K986" i="1"/>
  <c r="N986" i="1" s="1"/>
  <c r="J986" i="1"/>
  <c r="M986" i="1" s="1"/>
  <c r="G986" i="1"/>
  <c r="H987" i="1" s="1"/>
  <c r="F986" i="1"/>
  <c r="D986" i="1"/>
  <c r="L986" i="1" s="1"/>
  <c r="K985" i="1"/>
  <c r="N985" i="1" s="1"/>
  <c r="J985" i="1"/>
  <c r="M985" i="1" s="1"/>
  <c r="G985" i="1"/>
  <c r="H986" i="1" s="1"/>
  <c r="F985" i="1"/>
  <c r="D985" i="1"/>
  <c r="L985" i="1" s="1"/>
  <c r="K984" i="1"/>
  <c r="N984" i="1" s="1"/>
  <c r="J984" i="1"/>
  <c r="M984" i="1" s="1"/>
  <c r="G984" i="1"/>
  <c r="H985" i="1" s="1"/>
  <c r="F984" i="1"/>
  <c r="D984" i="1"/>
  <c r="L984" i="1" s="1"/>
  <c r="K983" i="1"/>
  <c r="N983" i="1" s="1"/>
  <c r="J983" i="1"/>
  <c r="M983" i="1" s="1"/>
  <c r="G983" i="1"/>
  <c r="H984" i="1" s="1"/>
  <c r="F983" i="1"/>
  <c r="D983" i="1"/>
  <c r="L983" i="1" s="1"/>
  <c r="K982" i="1"/>
  <c r="N982" i="1" s="1"/>
  <c r="J982" i="1"/>
  <c r="M982" i="1" s="1"/>
  <c r="G982" i="1"/>
  <c r="H983" i="1" s="1"/>
  <c r="F982" i="1"/>
  <c r="D982" i="1"/>
  <c r="L982" i="1" s="1"/>
  <c r="K981" i="1"/>
  <c r="N981" i="1" s="1"/>
  <c r="J981" i="1"/>
  <c r="M981" i="1" s="1"/>
  <c r="G981" i="1"/>
  <c r="H982" i="1" s="1"/>
  <c r="F981" i="1"/>
  <c r="D981" i="1"/>
  <c r="L981" i="1" s="1"/>
  <c r="K980" i="1"/>
  <c r="N980" i="1" s="1"/>
  <c r="J980" i="1"/>
  <c r="M980" i="1" s="1"/>
  <c r="G980" i="1"/>
  <c r="H981" i="1" s="1"/>
  <c r="F980" i="1"/>
  <c r="D980" i="1"/>
  <c r="L980" i="1" s="1"/>
  <c r="K979" i="1"/>
  <c r="N979" i="1" s="1"/>
  <c r="J979" i="1"/>
  <c r="M979" i="1" s="1"/>
  <c r="G979" i="1"/>
  <c r="H980" i="1" s="1"/>
  <c r="F979" i="1"/>
  <c r="D979" i="1"/>
  <c r="L979" i="1" s="1"/>
  <c r="K978" i="1"/>
  <c r="N978" i="1" s="1"/>
  <c r="J978" i="1"/>
  <c r="M978" i="1" s="1"/>
  <c r="G978" i="1"/>
  <c r="H979" i="1" s="1"/>
  <c r="F978" i="1"/>
  <c r="D978" i="1"/>
  <c r="L978" i="1" s="1"/>
  <c r="K977" i="1"/>
  <c r="N977" i="1" s="1"/>
  <c r="J977" i="1"/>
  <c r="M977" i="1" s="1"/>
  <c r="G977" i="1"/>
  <c r="H978" i="1" s="1"/>
  <c r="F977" i="1"/>
  <c r="D977" i="1"/>
  <c r="L977" i="1" s="1"/>
  <c r="K976" i="1"/>
  <c r="N976" i="1" s="1"/>
  <c r="J976" i="1"/>
  <c r="M976" i="1" s="1"/>
  <c r="G976" i="1"/>
  <c r="H977" i="1" s="1"/>
  <c r="F976" i="1"/>
  <c r="D976" i="1"/>
  <c r="L976" i="1" s="1"/>
  <c r="K975" i="1"/>
  <c r="N975" i="1" s="1"/>
  <c r="J975" i="1"/>
  <c r="M975" i="1" s="1"/>
  <c r="G975" i="1"/>
  <c r="H976" i="1" s="1"/>
  <c r="F975" i="1"/>
  <c r="D975" i="1"/>
  <c r="L975" i="1" s="1"/>
  <c r="K974" i="1"/>
  <c r="N974" i="1" s="1"/>
  <c r="J974" i="1"/>
  <c r="M974" i="1" s="1"/>
  <c r="G974" i="1"/>
  <c r="H975" i="1" s="1"/>
  <c r="F974" i="1"/>
  <c r="D974" i="1"/>
  <c r="L974" i="1" s="1"/>
  <c r="K973" i="1"/>
  <c r="N973" i="1" s="1"/>
  <c r="J973" i="1"/>
  <c r="M973" i="1" s="1"/>
  <c r="G973" i="1"/>
  <c r="H974" i="1" s="1"/>
  <c r="F973" i="1"/>
  <c r="D973" i="1"/>
  <c r="L973" i="1" s="1"/>
  <c r="K972" i="1"/>
  <c r="N972" i="1" s="1"/>
  <c r="J972" i="1"/>
  <c r="M972" i="1" s="1"/>
  <c r="G972" i="1"/>
  <c r="H973" i="1" s="1"/>
  <c r="F972" i="1"/>
  <c r="D972" i="1"/>
  <c r="L972" i="1" s="1"/>
  <c r="K971" i="1"/>
  <c r="N971" i="1" s="1"/>
  <c r="J971" i="1"/>
  <c r="M971" i="1" s="1"/>
  <c r="G971" i="1"/>
  <c r="H972" i="1" s="1"/>
  <c r="F971" i="1"/>
  <c r="D971" i="1"/>
  <c r="L971" i="1" s="1"/>
  <c r="K970" i="1"/>
  <c r="N970" i="1" s="1"/>
  <c r="J970" i="1"/>
  <c r="M970" i="1" s="1"/>
  <c r="G970" i="1"/>
  <c r="H971" i="1" s="1"/>
  <c r="F970" i="1"/>
  <c r="D970" i="1"/>
  <c r="L970" i="1" s="1"/>
  <c r="K969" i="1"/>
  <c r="N969" i="1" s="1"/>
  <c r="J969" i="1"/>
  <c r="M969" i="1" s="1"/>
  <c r="G969" i="1"/>
  <c r="H970" i="1" s="1"/>
  <c r="F969" i="1"/>
  <c r="D969" i="1"/>
  <c r="L969" i="1" s="1"/>
  <c r="K968" i="1"/>
  <c r="N968" i="1" s="1"/>
  <c r="J968" i="1"/>
  <c r="M968" i="1" s="1"/>
  <c r="G968" i="1"/>
  <c r="H969" i="1" s="1"/>
  <c r="F968" i="1"/>
  <c r="D968" i="1"/>
  <c r="L968" i="1" s="1"/>
  <c r="K967" i="1"/>
  <c r="N967" i="1" s="1"/>
  <c r="J967" i="1"/>
  <c r="M967" i="1" s="1"/>
  <c r="G967" i="1"/>
  <c r="H968" i="1" s="1"/>
  <c r="F967" i="1"/>
  <c r="D967" i="1"/>
  <c r="L967" i="1" s="1"/>
  <c r="K966" i="1"/>
  <c r="N966" i="1" s="1"/>
  <c r="J966" i="1"/>
  <c r="M966" i="1" s="1"/>
  <c r="G966" i="1"/>
  <c r="H967" i="1" s="1"/>
  <c r="F966" i="1"/>
  <c r="D966" i="1"/>
  <c r="L966" i="1" s="1"/>
  <c r="K965" i="1"/>
  <c r="N965" i="1" s="1"/>
  <c r="J965" i="1"/>
  <c r="M965" i="1" s="1"/>
  <c r="G965" i="1"/>
  <c r="H966" i="1" s="1"/>
  <c r="F965" i="1"/>
  <c r="D965" i="1"/>
  <c r="L965" i="1" s="1"/>
  <c r="K964" i="1"/>
  <c r="N964" i="1" s="1"/>
  <c r="J964" i="1"/>
  <c r="M964" i="1" s="1"/>
  <c r="G964" i="1"/>
  <c r="H965" i="1" s="1"/>
  <c r="F964" i="1"/>
  <c r="D964" i="1"/>
  <c r="L964" i="1" s="1"/>
  <c r="K963" i="1"/>
  <c r="N963" i="1" s="1"/>
  <c r="J963" i="1"/>
  <c r="M963" i="1" s="1"/>
  <c r="G963" i="1"/>
  <c r="H964" i="1" s="1"/>
  <c r="F963" i="1"/>
  <c r="D963" i="1"/>
  <c r="L963" i="1" s="1"/>
  <c r="K962" i="1"/>
  <c r="N962" i="1" s="1"/>
  <c r="J962" i="1"/>
  <c r="M962" i="1" s="1"/>
  <c r="G962" i="1"/>
  <c r="H963" i="1" s="1"/>
  <c r="F962" i="1"/>
  <c r="D962" i="1"/>
  <c r="L962" i="1" s="1"/>
  <c r="K961" i="1"/>
  <c r="N961" i="1" s="1"/>
  <c r="J961" i="1"/>
  <c r="M961" i="1" s="1"/>
  <c r="G961" i="1"/>
  <c r="H962" i="1" s="1"/>
  <c r="F961" i="1"/>
  <c r="D961" i="1"/>
  <c r="L961" i="1" s="1"/>
  <c r="K960" i="1"/>
  <c r="N960" i="1" s="1"/>
  <c r="J960" i="1"/>
  <c r="M960" i="1" s="1"/>
  <c r="G960" i="1"/>
  <c r="H961" i="1" s="1"/>
  <c r="F960" i="1"/>
  <c r="D960" i="1"/>
  <c r="L960" i="1" s="1"/>
  <c r="K959" i="1"/>
  <c r="N959" i="1" s="1"/>
  <c r="J959" i="1"/>
  <c r="M959" i="1" s="1"/>
  <c r="G959" i="1"/>
  <c r="H960" i="1" s="1"/>
  <c r="F959" i="1"/>
  <c r="D959" i="1"/>
  <c r="L959" i="1" s="1"/>
  <c r="K958" i="1"/>
  <c r="N958" i="1" s="1"/>
  <c r="J958" i="1"/>
  <c r="M958" i="1" s="1"/>
  <c r="G958" i="1"/>
  <c r="H959" i="1" s="1"/>
  <c r="F958" i="1"/>
  <c r="D958" i="1"/>
  <c r="L958" i="1" s="1"/>
  <c r="K957" i="1"/>
  <c r="N957" i="1" s="1"/>
  <c r="J957" i="1"/>
  <c r="M957" i="1" s="1"/>
  <c r="G957" i="1"/>
  <c r="H958" i="1" s="1"/>
  <c r="F957" i="1"/>
  <c r="D957" i="1"/>
  <c r="L957" i="1" s="1"/>
  <c r="K956" i="1"/>
  <c r="N956" i="1" s="1"/>
  <c r="J956" i="1"/>
  <c r="M956" i="1" s="1"/>
  <c r="G956" i="1"/>
  <c r="H957" i="1" s="1"/>
  <c r="F956" i="1"/>
  <c r="D956" i="1"/>
  <c r="L956" i="1" s="1"/>
  <c r="K955" i="1"/>
  <c r="N955" i="1" s="1"/>
  <c r="J955" i="1"/>
  <c r="M955" i="1" s="1"/>
  <c r="G955" i="1"/>
  <c r="H956" i="1" s="1"/>
  <c r="F955" i="1"/>
  <c r="D955" i="1"/>
  <c r="L955" i="1" s="1"/>
  <c r="K954" i="1"/>
  <c r="N954" i="1" s="1"/>
  <c r="J954" i="1"/>
  <c r="M954" i="1" s="1"/>
  <c r="G954" i="1"/>
  <c r="H955" i="1" s="1"/>
  <c r="F954" i="1"/>
  <c r="D954" i="1"/>
  <c r="L954" i="1" s="1"/>
  <c r="K953" i="1"/>
  <c r="N953" i="1" s="1"/>
  <c r="J953" i="1"/>
  <c r="M953" i="1" s="1"/>
  <c r="G953" i="1"/>
  <c r="H954" i="1" s="1"/>
  <c r="F953" i="1"/>
  <c r="D953" i="1"/>
  <c r="L953" i="1" s="1"/>
  <c r="K952" i="1"/>
  <c r="N952" i="1" s="1"/>
  <c r="J952" i="1"/>
  <c r="M952" i="1" s="1"/>
  <c r="G952" i="1"/>
  <c r="H953" i="1" s="1"/>
  <c r="F952" i="1"/>
  <c r="D952" i="1"/>
  <c r="L952" i="1" s="1"/>
  <c r="K951" i="1"/>
  <c r="N951" i="1" s="1"/>
  <c r="J951" i="1"/>
  <c r="M951" i="1" s="1"/>
  <c r="G951" i="1"/>
  <c r="H952" i="1" s="1"/>
  <c r="F951" i="1"/>
  <c r="D951" i="1"/>
  <c r="L951" i="1" s="1"/>
  <c r="K950" i="1"/>
  <c r="N950" i="1" s="1"/>
  <c r="J950" i="1"/>
  <c r="M950" i="1" s="1"/>
  <c r="G950" i="1"/>
  <c r="H951" i="1" s="1"/>
  <c r="F950" i="1"/>
  <c r="D950" i="1"/>
  <c r="L950" i="1" s="1"/>
  <c r="K949" i="1"/>
  <c r="N949" i="1" s="1"/>
  <c r="J949" i="1"/>
  <c r="M949" i="1" s="1"/>
  <c r="G949" i="1"/>
  <c r="H950" i="1" s="1"/>
  <c r="F949" i="1"/>
  <c r="D949" i="1"/>
  <c r="L949" i="1" s="1"/>
  <c r="K948" i="1"/>
  <c r="N948" i="1" s="1"/>
  <c r="J948" i="1"/>
  <c r="M948" i="1" s="1"/>
  <c r="G948" i="1"/>
  <c r="H949" i="1" s="1"/>
  <c r="F948" i="1"/>
  <c r="D948" i="1"/>
  <c r="L948" i="1" s="1"/>
  <c r="K947" i="1"/>
  <c r="N947" i="1" s="1"/>
  <c r="J947" i="1"/>
  <c r="M947" i="1" s="1"/>
  <c r="G947" i="1"/>
  <c r="H948" i="1" s="1"/>
  <c r="F947" i="1"/>
  <c r="D947" i="1"/>
  <c r="L947" i="1" s="1"/>
  <c r="K946" i="1"/>
  <c r="N946" i="1" s="1"/>
  <c r="J946" i="1"/>
  <c r="M946" i="1" s="1"/>
  <c r="G946" i="1"/>
  <c r="H947" i="1" s="1"/>
  <c r="F946" i="1"/>
  <c r="D946" i="1"/>
  <c r="L946" i="1" s="1"/>
  <c r="K945" i="1"/>
  <c r="N945" i="1" s="1"/>
  <c r="J945" i="1"/>
  <c r="M945" i="1" s="1"/>
  <c r="G945" i="1"/>
  <c r="H946" i="1" s="1"/>
  <c r="F945" i="1"/>
  <c r="D945" i="1"/>
  <c r="L945" i="1" s="1"/>
  <c r="K944" i="1"/>
  <c r="N944" i="1" s="1"/>
  <c r="J944" i="1"/>
  <c r="M944" i="1" s="1"/>
  <c r="G944" i="1"/>
  <c r="H945" i="1" s="1"/>
  <c r="F944" i="1"/>
  <c r="D944" i="1"/>
  <c r="L944" i="1" s="1"/>
  <c r="K943" i="1"/>
  <c r="N943" i="1" s="1"/>
  <c r="J943" i="1"/>
  <c r="M943" i="1" s="1"/>
  <c r="G943" i="1"/>
  <c r="H944" i="1" s="1"/>
  <c r="F943" i="1"/>
  <c r="D943" i="1"/>
  <c r="L943" i="1" s="1"/>
  <c r="K942" i="1"/>
  <c r="N942" i="1" s="1"/>
  <c r="J942" i="1"/>
  <c r="M942" i="1" s="1"/>
  <c r="G942" i="1"/>
  <c r="H943" i="1" s="1"/>
  <c r="F942" i="1"/>
  <c r="D942" i="1"/>
  <c r="L942" i="1" s="1"/>
  <c r="K941" i="1"/>
  <c r="N941" i="1" s="1"/>
  <c r="J941" i="1"/>
  <c r="M941" i="1" s="1"/>
  <c r="G941" i="1"/>
  <c r="H942" i="1" s="1"/>
  <c r="F941" i="1"/>
  <c r="D941" i="1"/>
  <c r="L941" i="1" s="1"/>
  <c r="K940" i="1"/>
  <c r="N940" i="1" s="1"/>
  <c r="J940" i="1"/>
  <c r="M940" i="1" s="1"/>
  <c r="G940" i="1"/>
  <c r="H941" i="1" s="1"/>
  <c r="F940" i="1"/>
  <c r="D940" i="1"/>
  <c r="L940" i="1" s="1"/>
  <c r="K939" i="1"/>
  <c r="N939" i="1" s="1"/>
  <c r="J939" i="1"/>
  <c r="M939" i="1" s="1"/>
  <c r="G939" i="1"/>
  <c r="H940" i="1" s="1"/>
  <c r="F939" i="1"/>
  <c r="D939" i="1"/>
  <c r="L939" i="1" s="1"/>
  <c r="K938" i="1"/>
  <c r="N938" i="1" s="1"/>
  <c r="J938" i="1"/>
  <c r="M938" i="1" s="1"/>
  <c r="G938" i="1"/>
  <c r="H939" i="1" s="1"/>
  <c r="F938" i="1"/>
  <c r="D938" i="1"/>
  <c r="L938" i="1" s="1"/>
  <c r="K937" i="1"/>
  <c r="N937" i="1" s="1"/>
  <c r="J937" i="1"/>
  <c r="M937" i="1" s="1"/>
  <c r="G937" i="1"/>
  <c r="H938" i="1" s="1"/>
  <c r="F937" i="1"/>
  <c r="D937" i="1"/>
  <c r="L937" i="1" s="1"/>
  <c r="K936" i="1"/>
  <c r="N936" i="1" s="1"/>
  <c r="J936" i="1"/>
  <c r="M936" i="1" s="1"/>
  <c r="G936" i="1"/>
  <c r="H937" i="1" s="1"/>
  <c r="F936" i="1"/>
  <c r="D936" i="1"/>
  <c r="L936" i="1" s="1"/>
  <c r="K935" i="1"/>
  <c r="N935" i="1" s="1"/>
  <c r="J935" i="1"/>
  <c r="M935" i="1" s="1"/>
  <c r="G935" i="1"/>
  <c r="H936" i="1" s="1"/>
  <c r="F935" i="1"/>
  <c r="D935" i="1"/>
  <c r="L935" i="1" s="1"/>
  <c r="K934" i="1"/>
  <c r="N934" i="1" s="1"/>
  <c r="J934" i="1"/>
  <c r="M934" i="1" s="1"/>
  <c r="G934" i="1"/>
  <c r="H935" i="1" s="1"/>
  <c r="F934" i="1"/>
  <c r="D934" i="1"/>
  <c r="L934" i="1" s="1"/>
  <c r="K933" i="1"/>
  <c r="N933" i="1" s="1"/>
  <c r="J933" i="1"/>
  <c r="M933" i="1" s="1"/>
  <c r="G933" i="1"/>
  <c r="H934" i="1" s="1"/>
  <c r="F933" i="1"/>
  <c r="D933" i="1"/>
  <c r="L933" i="1" s="1"/>
  <c r="K932" i="1"/>
  <c r="N932" i="1" s="1"/>
  <c r="J932" i="1"/>
  <c r="M932" i="1" s="1"/>
  <c r="G932" i="1"/>
  <c r="H933" i="1" s="1"/>
  <c r="F932" i="1"/>
  <c r="D932" i="1"/>
  <c r="L932" i="1" s="1"/>
  <c r="K931" i="1"/>
  <c r="N931" i="1" s="1"/>
  <c r="J931" i="1"/>
  <c r="M931" i="1" s="1"/>
  <c r="G931" i="1"/>
  <c r="H932" i="1" s="1"/>
  <c r="F931" i="1"/>
  <c r="D931" i="1"/>
  <c r="L931" i="1" s="1"/>
  <c r="K930" i="1"/>
  <c r="N930" i="1" s="1"/>
  <c r="J930" i="1"/>
  <c r="M930" i="1" s="1"/>
  <c r="G930" i="1"/>
  <c r="H931" i="1" s="1"/>
  <c r="F930" i="1"/>
  <c r="D930" i="1"/>
  <c r="L930" i="1" s="1"/>
  <c r="K929" i="1"/>
  <c r="N929" i="1" s="1"/>
  <c r="J929" i="1"/>
  <c r="M929" i="1" s="1"/>
  <c r="G929" i="1"/>
  <c r="H930" i="1" s="1"/>
  <c r="F929" i="1"/>
  <c r="D929" i="1"/>
  <c r="L929" i="1" s="1"/>
  <c r="K928" i="1"/>
  <c r="N928" i="1" s="1"/>
  <c r="J928" i="1"/>
  <c r="M928" i="1" s="1"/>
  <c r="G928" i="1"/>
  <c r="H929" i="1" s="1"/>
  <c r="F928" i="1"/>
  <c r="D928" i="1"/>
  <c r="L928" i="1" s="1"/>
  <c r="K927" i="1"/>
  <c r="N927" i="1" s="1"/>
  <c r="J927" i="1"/>
  <c r="M927" i="1" s="1"/>
  <c r="G927" i="1"/>
  <c r="H928" i="1" s="1"/>
  <c r="F927" i="1"/>
  <c r="D927" i="1"/>
  <c r="L927" i="1" s="1"/>
  <c r="K926" i="1"/>
  <c r="N926" i="1" s="1"/>
  <c r="J926" i="1"/>
  <c r="M926" i="1" s="1"/>
  <c r="G926" i="1"/>
  <c r="H927" i="1" s="1"/>
  <c r="F926" i="1"/>
  <c r="D926" i="1"/>
  <c r="L926" i="1" s="1"/>
  <c r="K925" i="1"/>
  <c r="N925" i="1" s="1"/>
  <c r="J925" i="1"/>
  <c r="M925" i="1" s="1"/>
  <c r="G925" i="1"/>
  <c r="H926" i="1" s="1"/>
  <c r="F925" i="1"/>
  <c r="D925" i="1"/>
  <c r="L925" i="1" s="1"/>
  <c r="K924" i="1"/>
  <c r="N924" i="1" s="1"/>
  <c r="J924" i="1"/>
  <c r="M924" i="1" s="1"/>
  <c r="G924" i="1"/>
  <c r="H925" i="1" s="1"/>
  <c r="F924" i="1"/>
  <c r="D924" i="1"/>
  <c r="L924" i="1" s="1"/>
  <c r="K923" i="1"/>
  <c r="N923" i="1" s="1"/>
  <c r="J923" i="1"/>
  <c r="M923" i="1" s="1"/>
  <c r="G923" i="1"/>
  <c r="H924" i="1" s="1"/>
  <c r="F923" i="1"/>
  <c r="D923" i="1"/>
  <c r="L923" i="1" s="1"/>
  <c r="K922" i="1"/>
  <c r="N922" i="1" s="1"/>
  <c r="J922" i="1"/>
  <c r="M922" i="1" s="1"/>
  <c r="G922" i="1"/>
  <c r="H923" i="1" s="1"/>
  <c r="F922" i="1"/>
  <c r="D922" i="1"/>
  <c r="L922" i="1" s="1"/>
  <c r="K921" i="1"/>
  <c r="N921" i="1" s="1"/>
  <c r="J921" i="1"/>
  <c r="M921" i="1" s="1"/>
  <c r="G921" i="1"/>
  <c r="H922" i="1" s="1"/>
  <c r="F921" i="1"/>
  <c r="D921" i="1"/>
  <c r="L921" i="1" s="1"/>
  <c r="K920" i="1"/>
  <c r="N920" i="1" s="1"/>
  <c r="J920" i="1"/>
  <c r="M920" i="1" s="1"/>
  <c r="G920" i="1"/>
  <c r="H921" i="1" s="1"/>
  <c r="F920" i="1"/>
  <c r="D920" i="1"/>
  <c r="L920" i="1" s="1"/>
  <c r="K919" i="1"/>
  <c r="N919" i="1" s="1"/>
  <c r="J919" i="1"/>
  <c r="M919" i="1" s="1"/>
  <c r="G919" i="1"/>
  <c r="H920" i="1" s="1"/>
  <c r="F919" i="1"/>
  <c r="D919" i="1"/>
  <c r="L919" i="1" s="1"/>
  <c r="K918" i="1"/>
  <c r="N918" i="1" s="1"/>
  <c r="J918" i="1"/>
  <c r="M918" i="1" s="1"/>
  <c r="G918" i="1"/>
  <c r="H919" i="1" s="1"/>
  <c r="F918" i="1"/>
  <c r="D918" i="1"/>
  <c r="L918" i="1" s="1"/>
  <c r="K917" i="1"/>
  <c r="N917" i="1" s="1"/>
  <c r="J917" i="1"/>
  <c r="M917" i="1" s="1"/>
  <c r="G917" i="1"/>
  <c r="H918" i="1" s="1"/>
  <c r="F917" i="1"/>
  <c r="D917" i="1"/>
  <c r="L917" i="1" s="1"/>
  <c r="K916" i="1"/>
  <c r="N916" i="1" s="1"/>
  <c r="J916" i="1"/>
  <c r="M916" i="1" s="1"/>
  <c r="G916" i="1"/>
  <c r="H917" i="1" s="1"/>
  <c r="F916" i="1"/>
  <c r="D916" i="1"/>
  <c r="L916" i="1" s="1"/>
  <c r="K915" i="1"/>
  <c r="N915" i="1" s="1"/>
  <c r="J915" i="1"/>
  <c r="M915" i="1" s="1"/>
  <c r="G915" i="1"/>
  <c r="H916" i="1" s="1"/>
  <c r="F915" i="1"/>
  <c r="D915" i="1"/>
  <c r="L915" i="1" s="1"/>
  <c r="K914" i="1"/>
  <c r="N914" i="1" s="1"/>
  <c r="J914" i="1"/>
  <c r="M914" i="1" s="1"/>
  <c r="G914" i="1"/>
  <c r="H915" i="1" s="1"/>
  <c r="F914" i="1"/>
  <c r="D914" i="1"/>
  <c r="L914" i="1" s="1"/>
  <c r="K913" i="1"/>
  <c r="N913" i="1" s="1"/>
  <c r="J913" i="1"/>
  <c r="M913" i="1" s="1"/>
  <c r="G913" i="1"/>
  <c r="H914" i="1" s="1"/>
  <c r="F913" i="1"/>
  <c r="D913" i="1"/>
  <c r="L913" i="1" s="1"/>
  <c r="K912" i="1"/>
  <c r="N912" i="1" s="1"/>
  <c r="J912" i="1"/>
  <c r="M912" i="1" s="1"/>
  <c r="G912" i="1"/>
  <c r="H913" i="1" s="1"/>
  <c r="F912" i="1"/>
  <c r="D912" i="1"/>
  <c r="L912" i="1" s="1"/>
  <c r="K911" i="1"/>
  <c r="N911" i="1" s="1"/>
  <c r="J911" i="1"/>
  <c r="M911" i="1" s="1"/>
  <c r="G911" i="1"/>
  <c r="H912" i="1" s="1"/>
  <c r="F911" i="1"/>
  <c r="D911" i="1"/>
  <c r="L911" i="1" s="1"/>
  <c r="K910" i="1"/>
  <c r="N910" i="1" s="1"/>
  <c r="J910" i="1"/>
  <c r="M910" i="1" s="1"/>
  <c r="G910" i="1"/>
  <c r="H911" i="1" s="1"/>
  <c r="F910" i="1"/>
  <c r="D910" i="1"/>
  <c r="L910" i="1" s="1"/>
  <c r="K909" i="1"/>
  <c r="N909" i="1" s="1"/>
  <c r="J909" i="1"/>
  <c r="M909" i="1" s="1"/>
  <c r="G909" i="1"/>
  <c r="H910" i="1" s="1"/>
  <c r="F909" i="1"/>
  <c r="D909" i="1"/>
  <c r="L909" i="1" s="1"/>
  <c r="K908" i="1"/>
  <c r="N908" i="1" s="1"/>
  <c r="J908" i="1"/>
  <c r="M908" i="1" s="1"/>
  <c r="G908" i="1"/>
  <c r="H909" i="1" s="1"/>
  <c r="F908" i="1"/>
  <c r="D908" i="1"/>
  <c r="L908" i="1" s="1"/>
  <c r="K907" i="1"/>
  <c r="N907" i="1" s="1"/>
  <c r="J907" i="1"/>
  <c r="M907" i="1" s="1"/>
  <c r="G907" i="1"/>
  <c r="H908" i="1" s="1"/>
  <c r="F907" i="1"/>
  <c r="D907" i="1"/>
  <c r="L907" i="1" s="1"/>
  <c r="K906" i="1"/>
  <c r="N906" i="1" s="1"/>
  <c r="J906" i="1"/>
  <c r="M906" i="1" s="1"/>
  <c r="G906" i="1"/>
  <c r="H907" i="1" s="1"/>
  <c r="F906" i="1"/>
  <c r="D906" i="1"/>
  <c r="L906" i="1" s="1"/>
  <c r="K905" i="1"/>
  <c r="N905" i="1" s="1"/>
  <c r="J905" i="1"/>
  <c r="M905" i="1" s="1"/>
  <c r="G905" i="1"/>
  <c r="H906" i="1" s="1"/>
  <c r="F905" i="1"/>
  <c r="D905" i="1"/>
  <c r="L905" i="1" s="1"/>
  <c r="K904" i="1"/>
  <c r="N904" i="1" s="1"/>
  <c r="J904" i="1"/>
  <c r="M904" i="1" s="1"/>
  <c r="G904" i="1"/>
  <c r="H905" i="1" s="1"/>
  <c r="F904" i="1"/>
  <c r="D904" i="1"/>
  <c r="L904" i="1" s="1"/>
  <c r="K903" i="1"/>
  <c r="N903" i="1" s="1"/>
  <c r="J903" i="1"/>
  <c r="M903" i="1" s="1"/>
  <c r="G903" i="1"/>
  <c r="H904" i="1" s="1"/>
  <c r="F903" i="1"/>
  <c r="D903" i="1"/>
  <c r="L903" i="1" s="1"/>
  <c r="K902" i="1"/>
  <c r="N902" i="1" s="1"/>
  <c r="J902" i="1"/>
  <c r="M902" i="1" s="1"/>
  <c r="G902" i="1"/>
  <c r="H903" i="1" s="1"/>
  <c r="F902" i="1"/>
  <c r="D902" i="1"/>
  <c r="L902" i="1" s="1"/>
  <c r="K901" i="1"/>
  <c r="N901" i="1" s="1"/>
  <c r="J901" i="1"/>
  <c r="M901" i="1" s="1"/>
  <c r="G901" i="1"/>
  <c r="H902" i="1" s="1"/>
  <c r="F901" i="1"/>
  <c r="D901" i="1"/>
  <c r="L901" i="1" s="1"/>
  <c r="K900" i="1"/>
  <c r="N900" i="1" s="1"/>
  <c r="J900" i="1"/>
  <c r="M900" i="1" s="1"/>
  <c r="G900" i="1"/>
  <c r="H901" i="1" s="1"/>
  <c r="F900" i="1"/>
  <c r="D900" i="1"/>
  <c r="L900" i="1" s="1"/>
  <c r="K899" i="1"/>
  <c r="N899" i="1" s="1"/>
  <c r="J899" i="1"/>
  <c r="M899" i="1" s="1"/>
  <c r="G899" i="1"/>
  <c r="H900" i="1" s="1"/>
  <c r="F899" i="1"/>
  <c r="D899" i="1"/>
  <c r="L899" i="1" s="1"/>
  <c r="K898" i="1"/>
  <c r="N898" i="1" s="1"/>
  <c r="J898" i="1"/>
  <c r="M898" i="1" s="1"/>
  <c r="G898" i="1"/>
  <c r="H899" i="1" s="1"/>
  <c r="F898" i="1"/>
  <c r="D898" i="1"/>
  <c r="L898" i="1" s="1"/>
  <c r="K897" i="1"/>
  <c r="N897" i="1" s="1"/>
  <c r="J897" i="1"/>
  <c r="M897" i="1" s="1"/>
  <c r="G897" i="1"/>
  <c r="H898" i="1" s="1"/>
  <c r="F897" i="1"/>
  <c r="D897" i="1"/>
  <c r="L897" i="1" s="1"/>
  <c r="K896" i="1"/>
  <c r="N896" i="1" s="1"/>
  <c r="J896" i="1"/>
  <c r="M896" i="1" s="1"/>
  <c r="G896" i="1"/>
  <c r="H897" i="1" s="1"/>
  <c r="F896" i="1"/>
  <c r="D896" i="1"/>
  <c r="L896" i="1" s="1"/>
  <c r="K895" i="1"/>
  <c r="N895" i="1" s="1"/>
  <c r="J895" i="1"/>
  <c r="M895" i="1" s="1"/>
  <c r="G895" i="1"/>
  <c r="H896" i="1" s="1"/>
  <c r="F895" i="1"/>
  <c r="D895" i="1"/>
  <c r="L895" i="1" s="1"/>
  <c r="K894" i="1"/>
  <c r="N894" i="1" s="1"/>
  <c r="J894" i="1"/>
  <c r="M894" i="1" s="1"/>
  <c r="G894" i="1"/>
  <c r="H895" i="1" s="1"/>
  <c r="F894" i="1"/>
  <c r="D894" i="1"/>
  <c r="L894" i="1" s="1"/>
  <c r="K893" i="1"/>
  <c r="N893" i="1" s="1"/>
  <c r="J893" i="1"/>
  <c r="M893" i="1" s="1"/>
  <c r="G893" i="1"/>
  <c r="H894" i="1" s="1"/>
  <c r="F893" i="1"/>
  <c r="D893" i="1"/>
  <c r="L893" i="1" s="1"/>
  <c r="K892" i="1"/>
  <c r="N892" i="1" s="1"/>
  <c r="J892" i="1"/>
  <c r="M892" i="1" s="1"/>
  <c r="G892" i="1"/>
  <c r="H893" i="1" s="1"/>
  <c r="F892" i="1"/>
  <c r="D892" i="1"/>
  <c r="L892" i="1" s="1"/>
  <c r="K891" i="1"/>
  <c r="N891" i="1" s="1"/>
  <c r="J891" i="1"/>
  <c r="M891" i="1" s="1"/>
  <c r="G891" i="1"/>
  <c r="H892" i="1" s="1"/>
  <c r="F891" i="1"/>
  <c r="D891" i="1"/>
  <c r="L891" i="1" s="1"/>
  <c r="K890" i="1"/>
  <c r="N890" i="1" s="1"/>
  <c r="J890" i="1"/>
  <c r="M890" i="1" s="1"/>
  <c r="G890" i="1"/>
  <c r="H891" i="1" s="1"/>
  <c r="F890" i="1"/>
  <c r="D890" i="1"/>
  <c r="L890" i="1" s="1"/>
  <c r="K889" i="1"/>
  <c r="N889" i="1" s="1"/>
  <c r="J889" i="1"/>
  <c r="M889" i="1" s="1"/>
  <c r="G889" i="1"/>
  <c r="H890" i="1" s="1"/>
  <c r="F889" i="1"/>
  <c r="D889" i="1"/>
  <c r="L889" i="1" s="1"/>
  <c r="K888" i="1"/>
  <c r="N888" i="1" s="1"/>
  <c r="J888" i="1"/>
  <c r="M888" i="1" s="1"/>
  <c r="G888" i="1"/>
  <c r="H889" i="1" s="1"/>
  <c r="F888" i="1"/>
  <c r="D888" i="1"/>
  <c r="L888" i="1" s="1"/>
  <c r="K887" i="1"/>
  <c r="N887" i="1" s="1"/>
  <c r="J887" i="1"/>
  <c r="M887" i="1" s="1"/>
  <c r="G887" i="1"/>
  <c r="H888" i="1" s="1"/>
  <c r="F887" i="1"/>
  <c r="D887" i="1"/>
  <c r="L887" i="1" s="1"/>
  <c r="K886" i="1"/>
  <c r="N886" i="1" s="1"/>
  <c r="J886" i="1"/>
  <c r="M886" i="1" s="1"/>
  <c r="G886" i="1"/>
  <c r="H887" i="1" s="1"/>
  <c r="F886" i="1"/>
  <c r="D886" i="1"/>
  <c r="L886" i="1" s="1"/>
  <c r="K885" i="1"/>
  <c r="N885" i="1" s="1"/>
  <c r="J885" i="1"/>
  <c r="M885" i="1" s="1"/>
  <c r="G885" i="1"/>
  <c r="H886" i="1" s="1"/>
  <c r="F885" i="1"/>
  <c r="D885" i="1"/>
  <c r="L885" i="1" s="1"/>
  <c r="K884" i="1"/>
  <c r="N884" i="1" s="1"/>
  <c r="J884" i="1"/>
  <c r="M884" i="1" s="1"/>
  <c r="G884" i="1"/>
  <c r="H885" i="1" s="1"/>
  <c r="F884" i="1"/>
  <c r="D884" i="1"/>
  <c r="L884" i="1" s="1"/>
  <c r="K883" i="1"/>
  <c r="N883" i="1" s="1"/>
  <c r="J883" i="1"/>
  <c r="M883" i="1" s="1"/>
  <c r="G883" i="1"/>
  <c r="H884" i="1" s="1"/>
  <c r="F883" i="1"/>
  <c r="D883" i="1"/>
  <c r="L883" i="1" s="1"/>
  <c r="K882" i="1"/>
  <c r="N882" i="1" s="1"/>
  <c r="J882" i="1"/>
  <c r="M882" i="1" s="1"/>
  <c r="G882" i="1"/>
  <c r="H883" i="1" s="1"/>
  <c r="F882" i="1"/>
  <c r="D882" i="1"/>
  <c r="L882" i="1" s="1"/>
  <c r="K881" i="1"/>
  <c r="N881" i="1" s="1"/>
  <c r="J881" i="1"/>
  <c r="M881" i="1" s="1"/>
  <c r="G881" i="1"/>
  <c r="H882" i="1" s="1"/>
  <c r="F881" i="1"/>
  <c r="D881" i="1"/>
  <c r="L881" i="1" s="1"/>
  <c r="K880" i="1"/>
  <c r="N880" i="1" s="1"/>
  <c r="J880" i="1"/>
  <c r="M880" i="1" s="1"/>
  <c r="G880" i="1"/>
  <c r="H881" i="1" s="1"/>
  <c r="F880" i="1"/>
  <c r="D880" i="1"/>
  <c r="L880" i="1" s="1"/>
  <c r="K879" i="1"/>
  <c r="N879" i="1" s="1"/>
  <c r="J879" i="1"/>
  <c r="M879" i="1" s="1"/>
  <c r="G879" i="1"/>
  <c r="H880" i="1" s="1"/>
  <c r="F879" i="1"/>
  <c r="D879" i="1"/>
  <c r="L879" i="1" s="1"/>
  <c r="K878" i="1"/>
  <c r="N878" i="1" s="1"/>
  <c r="J878" i="1"/>
  <c r="M878" i="1" s="1"/>
  <c r="G878" i="1"/>
  <c r="H879" i="1" s="1"/>
  <c r="F878" i="1"/>
  <c r="D878" i="1"/>
  <c r="L878" i="1" s="1"/>
  <c r="K877" i="1"/>
  <c r="N877" i="1" s="1"/>
  <c r="J877" i="1"/>
  <c r="M877" i="1" s="1"/>
  <c r="G877" i="1"/>
  <c r="H878" i="1" s="1"/>
  <c r="F877" i="1"/>
  <c r="D877" i="1"/>
  <c r="L877" i="1" s="1"/>
  <c r="K876" i="1"/>
  <c r="N876" i="1" s="1"/>
  <c r="J876" i="1"/>
  <c r="M876" i="1" s="1"/>
  <c r="G876" i="1"/>
  <c r="H877" i="1" s="1"/>
  <c r="F876" i="1"/>
  <c r="D876" i="1"/>
  <c r="L876" i="1" s="1"/>
  <c r="K875" i="1"/>
  <c r="N875" i="1" s="1"/>
  <c r="J875" i="1"/>
  <c r="M875" i="1" s="1"/>
  <c r="G875" i="1"/>
  <c r="H876" i="1" s="1"/>
  <c r="F875" i="1"/>
  <c r="D875" i="1"/>
  <c r="L875" i="1" s="1"/>
  <c r="K874" i="1"/>
  <c r="N874" i="1" s="1"/>
  <c r="J874" i="1"/>
  <c r="M874" i="1" s="1"/>
  <c r="G874" i="1"/>
  <c r="H875" i="1" s="1"/>
  <c r="F874" i="1"/>
  <c r="D874" i="1"/>
  <c r="L874" i="1" s="1"/>
  <c r="K873" i="1"/>
  <c r="N873" i="1" s="1"/>
  <c r="J873" i="1"/>
  <c r="M873" i="1" s="1"/>
  <c r="G873" i="1"/>
  <c r="H874" i="1" s="1"/>
  <c r="F873" i="1"/>
  <c r="D873" i="1"/>
  <c r="L873" i="1" s="1"/>
  <c r="K872" i="1"/>
  <c r="N872" i="1" s="1"/>
  <c r="J872" i="1"/>
  <c r="M872" i="1" s="1"/>
  <c r="G872" i="1"/>
  <c r="H873" i="1" s="1"/>
  <c r="F872" i="1"/>
  <c r="D872" i="1"/>
  <c r="L872" i="1" s="1"/>
  <c r="K871" i="1"/>
  <c r="N871" i="1" s="1"/>
  <c r="J871" i="1"/>
  <c r="M871" i="1" s="1"/>
  <c r="G871" i="1"/>
  <c r="H872" i="1" s="1"/>
  <c r="F871" i="1"/>
  <c r="D871" i="1"/>
  <c r="L871" i="1" s="1"/>
  <c r="K870" i="1"/>
  <c r="N870" i="1" s="1"/>
  <c r="J870" i="1"/>
  <c r="M870" i="1" s="1"/>
  <c r="G870" i="1"/>
  <c r="H871" i="1" s="1"/>
  <c r="F870" i="1"/>
  <c r="D870" i="1"/>
  <c r="L870" i="1" s="1"/>
  <c r="K869" i="1"/>
  <c r="N869" i="1" s="1"/>
  <c r="J869" i="1"/>
  <c r="M869" i="1" s="1"/>
  <c r="G869" i="1"/>
  <c r="H870" i="1" s="1"/>
  <c r="F869" i="1"/>
  <c r="D869" i="1"/>
  <c r="L869" i="1" s="1"/>
  <c r="K868" i="1"/>
  <c r="N868" i="1" s="1"/>
  <c r="J868" i="1"/>
  <c r="M868" i="1" s="1"/>
  <c r="G868" i="1"/>
  <c r="H869" i="1" s="1"/>
  <c r="F868" i="1"/>
  <c r="D868" i="1"/>
  <c r="L868" i="1" s="1"/>
  <c r="K867" i="1"/>
  <c r="N867" i="1" s="1"/>
  <c r="J867" i="1"/>
  <c r="M867" i="1" s="1"/>
  <c r="G867" i="1"/>
  <c r="H868" i="1" s="1"/>
  <c r="F867" i="1"/>
  <c r="D867" i="1"/>
  <c r="L867" i="1" s="1"/>
  <c r="K866" i="1"/>
  <c r="N866" i="1" s="1"/>
  <c r="J866" i="1"/>
  <c r="M866" i="1" s="1"/>
  <c r="G866" i="1"/>
  <c r="H867" i="1" s="1"/>
  <c r="F866" i="1"/>
  <c r="D866" i="1"/>
  <c r="L866" i="1" s="1"/>
  <c r="K865" i="1"/>
  <c r="N865" i="1" s="1"/>
  <c r="J865" i="1"/>
  <c r="M865" i="1" s="1"/>
  <c r="G865" i="1"/>
  <c r="H866" i="1" s="1"/>
  <c r="F865" i="1"/>
  <c r="D865" i="1"/>
  <c r="L865" i="1" s="1"/>
  <c r="K864" i="1"/>
  <c r="N864" i="1" s="1"/>
  <c r="J864" i="1"/>
  <c r="M864" i="1" s="1"/>
  <c r="G864" i="1"/>
  <c r="H865" i="1" s="1"/>
  <c r="F864" i="1"/>
  <c r="D864" i="1"/>
  <c r="L864" i="1" s="1"/>
  <c r="K863" i="1"/>
  <c r="N863" i="1" s="1"/>
  <c r="J863" i="1"/>
  <c r="M863" i="1" s="1"/>
  <c r="G863" i="1"/>
  <c r="H864" i="1" s="1"/>
  <c r="F863" i="1"/>
  <c r="D863" i="1"/>
  <c r="L863" i="1" s="1"/>
  <c r="K862" i="1"/>
  <c r="N862" i="1" s="1"/>
  <c r="J862" i="1"/>
  <c r="M862" i="1" s="1"/>
  <c r="G862" i="1"/>
  <c r="H863" i="1" s="1"/>
  <c r="F862" i="1"/>
  <c r="D862" i="1"/>
  <c r="L862" i="1" s="1"/>
  <c r="K861" i="1"/>
  <c r="N861" i="1" s="1"/>
  <c r="J861" i="1"/>
  <c r="M861" i="1" s="1"/>
  <c r="G861" i="1"/>
  <c r="H862" i="1" s="1"/>
  <c r="F861" i="1"/>
  <c r="D861" i="1"/>
  <c r="L861" i="1" s="1"/>
  <c r="K860" i="1"/>
  <c r="N860" i="1" s="1"/>
  <c r="J860" i="1"/>
  <c r="M860" i="1" s="1"/>
  <c r="G860" i="1"/>
  <c r="H861" i="1" s="1"/>
  <c r="F860" i="1"/>
  <c r="D860" i="1"/>
  <c r="L860" i="1" s="1"/>
  <c r="K859" i="1"/>
  <c r="N859" i="1" s="1"/>
  <c r="J859" i="1"/>
  <c r="M859" i="1" s="1"/>
  <c r="G859" i="1"/>
  <c r="H860" i="1" s="1"/>
  <c r="F859" i="1"/>
  <c r="D859" i="1"/>
  <c r="L859" i="1" s="1"/>
  <c r="K858" i="1"/>
  <c r="N858" i="1" s="1"/>
  <c r="J858" i="1"/>
  <c r="M858" i="1" s="1"/>
  <c r="G858" i="1"/>
  <c r="H859" i="1" s="1"/>
  <c r="F858" i="1"/>
  <c r="D858" i="1"/>
  <c r="L858" i="1" s="1"/>
  <c r="K857" i="1"/>
  <c r="N857" i="1" s="1"/>
  <c r="J857" i="1"/>
  <c r="M857" i="1" s="1"/>
  <c r="G857" i="1"/>
  <c r="H858" i="1" s="1"/>
  <c r="F857" i="1"/>
  <c r="D857" i="1"/>
  <c r="L857" i="1" s="1"/>
  <c r="K856" i="1"/>
  <c r="N856" i="1" s="1"/>
  <c r="J856" i="1"/>
  <c r="M856" i="1" s="1"/>
  <c r="G856" i="1"/>
  <c r="H857" i="1" s="1"/>
  <c r="F856" i="1"/>
  <c r="D856" i="1"/>
  <c r="L856" i="1" s="1"/>
  <c r="K855" i="1"/>
  <c r="N855" i="1" s="1"/>
  <c r="J855" i="1"/>
  <c r="M855" i="1" s="1"/>
  <c r="G855" i="1"/>
  <c r="H856" i="1" s="1"/>
  <c r="F855" i="1"/>
  <c r="D855" i="1"/>
  <c r="L855" i="1" s="1"/>
  <c r="K854" i="1"/>
  <c r="N854" i="1" s="1"/>
  <c r="J854" i="1"/>
  <c r="M854" i="1" s="1"/>
  <c r="G854" i="1"/>
  <c r="H855" i="1" s="1"/>
  <c r="F854" i="1"/>
  <c r="D854" i="1"/>
  <c r="L854" i="1" s="1"/>
  <c r="K853" i="1"/>
  <c r="N853" i="1" s="1"/>
  <c r="J853" i="1"/>
  <c r="M853" i="1" s="1"/>
  <c r="G853" i="1"/>
  <c r="H854" i="1" s="1"/>
  <c r="F853" i="1"/>
  <c r="D853" i="1"/>
  <c r="L853" i="1" s="1"/>
  <c r="K852" i="1"/>
  <c r="N852" i="1" s="1"/>
  <c r="J852" i="1"/>
  <c r="M852" i="1" s="1"/>
  <c r="G852" i="1"/>
  <c r="H853" i="1" s="1"/>
  <c r="F852" i="1"/>
  <c r="D852" i="1"/>
  <c r="L852" i="1" s="1"/>
  <c r="K851" i="1"/>
  <c r="N851" i="1" s="1"/>
  <c r="J851" i="1"/>
  <c r="M851" i="1" s="1"/>
  <c r="G851" i="1"/>
  <c r="H852" i="1" s="1"/>
  <c r="F851" i="1"/>
  <c r="D851" i="1"/>
  <c r="L851" i="1" s="1"/>
  <c r="K850" i="1"/>
  <c r="N850" i="1" s="1"/>
  <c r="J850" i="1"/>
  <c r="M850" i="1" s="1"/>
  <c r="G850" i="1"/>
  <c r="H851" i="1" s="1"/>
  <c r="F850" i="1"/>
  <c r="D850" i="1"/>
  <c r="L850" i="1" s="1"/>
  <c r="K849" i="1"/>
  <c r="N849" i="1" s="1"/>
  <c r="J849" i="1"/>
  <c r="M849" i="1" s="1"/>
  <c r="G849" i="1"/>
  <c r="H850" i="1" s="1"/>
  <c r="F849" i="1"/>
  <c r="D849" i="1"/>
  <c r="L849" i="1" s="1"/>
  <c r="K848" i="1"/>
  <c r="N848" i="1" s="1"/>
  <c r="J848" i="1"/>
  <c r="M848" i="1" s="1"/>
  <c r="G848" i="1"/>
  <c r="H849" i="1" s="1"/>
  <c r="F848" i="1"/>
  <c r="D848" i="1"/>
  <c r="L848" i="1" s="1"/>
  <c r="K847" i="1"/>
  <c r="N847" i="1" s="1"/>
  <c r="J847" i="1"/>
  <c r="M847" i="1" s="1"/>
  <c r="G847" i="1"/>
  <c r="H848" i="1" s="1"/>
  <c r="F847" i="1"/>
  <c r="D847" i="1"/>
  <c r="L847" i="1" s="1"/>
  <c r="K846" i="1"/>
  <c r="N846" i="1" s="1"/>
  <c r="J846" i="1"/>
  <c r="M846" i="1" s="1"/>
  <c r="G846" i="1"/>
  <c r="H847" i="1" s="1"/>
  <c r="F846" i="1"/>
  <c r="D846" i="1"/>
  <c r="L846" i="1" s="1"/>
  <c r="K845" i="1"/>
  <c r="N845" i="1" s="1"/>
  <c r="J845" i="1"/>
  <c r="M845" i="1" s="1"/>
  <c r="G845" i="1"/>
  <c r="H846" i="1" s="1"/>
  <c r="F845" i="1"/>
  <c r="D845" i="1"/>
  <c r="L845" i="1" s="1"/>
  <c r="K844" i="1"/>
  <c r="N844" i="1" s="1"/>
  <c r="J844" i="1"/>
  <c r="M844" i="1" s="1"/>
  <c r="G844" i="1"/>
  <c r="H845" i="1" s="1"/>
  <c r="F844" i="1"/>
  <c r="D844" i="1"/>
  <c r="L844" i="1" s="1"/>
  <c r="K843" i="1"/>
  <c r="N843" i="1" s="1"/>
  <c r="J843" i="1"/>
  <c r="M843" i="1" s="1"/>
  <c r="G843" i="1"/>
  <c r="H844" i="1" s="1"/>
  <c r="F843" i="1"/>
  <c r="D843" i="1"/>
  <c r="L843" i="1" s="1"/>
  <c r="K842" i="1"/>
  <c r="N842" i="1" s="1"/>
  <c r="J842" i="1"/>
  <c r="M842" i="1" s="1"/>
  <c r="G842" i="1"/>
  <c r="H843" i="1" s="1"/>
  <c r="F842" i="1"/>
  <c r="D842" i="1"/>
  <c r="L842" i="1" s="1"/>
  <c r="K841" i="1"/>
  <c r="N841" i="1" s="1"/>
  <c r="J841" i="1"/>
  <c r="M841" i="1" s="1"/>
  <c r="G841" i="1"/>
  <c r="H842" i="1" s="1"/>
  <c r="F841" i="1"/>
  <c r="D841" i="1"/>
  <c r="L841" i="1" s="1"/>
  <c r="K840" i="1"/>
  <c r="N840" i="1" s="1"/>
  <c r="J840" i="1"/>
  <c r="M840" i="1" s="1"/>
  <c r="G840" i="1"/>
  <c r="H841" i="1" s="1"/>
  <c r="F840" i="1"/>
  <c r="D840" i="1"/>
  <c r="L840" i="1" s="1"/>
  <c r="K839" i="1"/>
  <c r="N839" i="1" s="1"/>
  <c r="J839" i="1"/>
  <c r="M839" i="1" s="1"/>
  <c r="G839" i="1"/>
  <c r="H840" i="1" s="1"/>
  <c r="F839" i="1"/>
  <c r="D839" i="1"/>
  <c r="L839" i="1" s="1"/>
  <c r="K838" i="1"/>
  <c r="N838" i="1" s="1"/>
  <c r="J838" i="1"/>
  <c r="M838" i="1" s="1"/>
  <c r="G838" i="1"/>
  <c r="H839" i="1" s="1"/>
  <c r="F838" i="1"/>
  <c r="D838" i="1"/>
  <c r="L838" i="1" s="1"/>
  <c r="K837" i="1"/>
  <c r="N837" i="1" s="1"/>
  <c r="J837" i="1"/>
  <c r="M837" i="1" s="1"/>
  <c r="G837" i="1"/>
  <c r="H838" i="1" s="1"/>
  <c r="F837" i="1"/>
  <c r="D837" i="1"/>
  <c r="L837" i="1" s="1"/>
  <c r="K836" i="1"/>
  <c r="N836" i="1" s="1"/>
  <c r="J836" i="1"/>
  <c r="M836" i="1" s="1"/>
  <c r="G836" i="1"/>
  <c r="H837" i="1" s="1"/>
  <c r="F836" i="1"/>
  <c r="D836" i="1"/>
  <c r="L836" i="1" s="1"/>
  <c r="K835" i="1"/>
  <c r="N835" i="1" s="1"/>
  <c r="J835" i="1"/>
  <c r="M835" i="1" s="1"/>
  <c r="G835" i="1"/>
  <c r="H836" i="1" s="1"/>
  <c r="F835" i="1"/>
  <c r="D835" i="1"/>
  <c r="L835" i="1" s="1"/>
  <c r="K834" i="1"/>
  <c r="N834" i="1" s="1"/>
  <c r="J834" i="1"/>
  <c r="M834" i="1" s="1"/>
  <c r="G834" i="1"/>
  <c r="H835" i="1" s="1"/>
  <c r="F834" i="1"/>
  <c r="D834" i="1"/>
  <c r="L834" i="1" s="1"/>
  <c r="K833" i="1"/>
  <c r="N833" i="1" s="1"/>
  <c r="J833" i="1"/>
  <c r="M833" i="1" s="1"/>
  <c r="G833" i="1"/>
  <c r="H834" i="1" s="1"/>
  <c r="F833" i="1"/>
  <c r="D833" i="1"/>
  <c r="L833" i="1" s="1"/>
  <c r="K832" i="1"/>
  <c r="N832" i="1" s="1"/>
  <c r="J832" i="1"/>
  <c r="M832" i="1" s="1"/>
  <c r="G832" i="1"/>
  <c r="H833" i="1" s="1"/>
  <c r="F832" i="1"/>
  <c r="D832" i="1"/>
  <c r="L832" i="1" s="1"/>
  <c r="K831" i="1"/>
  <c r="N831" i="1" s="1"/>
  <c r="J831" i="1"/>
  <c r="M831" i="1" s="1"/>
  <c r="G831" i="1"/>
  <c r="H832" i="1" s="1"/>
  <c r="F831" i="1"/>
  <c r="D831" i="1"/>
  <c r="L831" i="1" s="1"/>
  <c r="K830" i="1"/>
  <c r="N830" i="1" s="1"/>
  <c r="J830" i="1"/>
  <c r="M830" i="1" s="1"/>
  <c r="G830" i="1"/>
  <c r="H831" i="1" s="1"/>
  <c r="F830" i="1"/>
  <c r="D830" i="1"/>
  <c r="L830" i="1" s="1"/>
  <c r="K829" i="1"/>
  <c r="N829" i="1" s="1"/>
  <c r="J829" i="1"/>
  <c r="M829" i="1" s="1"/>
  <c r="G829" i="1"/>
  <c r="H830" i="1" s="1"/>
  <c r="F829" i="1"/>
  <c r="D829" i="1"/>
  <c r="L829" i="1" s="1"/>
  <c r="K828" i="1"/>
  <c r="N828" i="1" s="1"/>
  <c r="J828" i="1"/>
  <c r="M828" i="1" s="1"/>
  <c r="G828" i="1"/>
  <c r="H829" i="1" s="1"/>
  <c r="F828" i="1"/>
  <c r="D828" i="1"/>
  <c r="L828" i="1" s="1"/>
  <c r="K827" i="1"/>
  <c r="N827" i="1" s="1"/>
  <c r="J827" i="1"/>
  <c r="M827" i="1" s="1"/>
  <c r="G827" i="1"/>
  <c r="H828" i="1" s="1"/>
  <c r="F827" i="1"/>
  <c r="D827" i="1"/>
  <c r="L827" i="1" s="1"/>
  <c r="K826" i="1"/>
  <c r="N826" i="1" s="1"/>
  <c r="J826" i="1"/>
  <c r="M826" i="1" s="1"/>
  <c r="G826" i="1"/>
  <c r="H827" i="1" s="1"/>
  <c r="F826" i="1"/>
  <c r="D826" i="1"/>
  <c r="L826" i="1" s="1"/>
  <c r="K825" i="1"/>
  <c r="N825" i="1" s="1"/>
  <c r="J825" i="1"/>
  <c r="M825" i="1" s="1"/>
  <c r="G825" i="1"/>
  <c r="H826" i="1" s="1"/>
  <c r="F825" i="1"/>
  <c r="D825" i="1"/>
  <c r="L825" i="1" s="1"/>
  <c r="K824" i="1"/>
  <c r="N824" i="1" s="1"/>
  <c r="J824" i="1"/>
  <c r="M824" i="1" s="1"/>
  <c r="G824" i="1"/>
  <c r="H825" i="1" s="1"/>
  <c r="F824" i="1"/>
  <c r="D824" i="1"/>
  <c r="L824" i="1" s="1"/>
  <c r="K823" i="1"/>
  <c r="N823" i="1" s="1"/>
  <c r="J823" i="1"/>
  <c r="M823" i="1" s="1"/>
  <c r="G823" i="1"/>
  <c r="H824" i="1" s="1"/>
  <c r="F823" i="1"/>
  <c r="D823" i="1"/>
  <c r="L823" i="1" s="1"/>
  <c r="K822" i="1"/>
  <c r="N822" i="1" s="1"/>
  <c r="J822" i="1"/>
  <c r="M822" i="1" s="1"/>
  <c r="G822" i="1"/>
  <c r="H823" i="1" s="1"/>
  <c r="F822" i="1"/>
  <c r="D822" i="1"/>
  <c r="L822" i="1" s="1"/>
  <c r="K821" i="1"/>
  <c r="N821" i="1" s="1"/>
  <c r="J821" i="1"/>
  <c r="M821" i="1" s="1"/>
  <c r="G821" i="1"/>
  <c r="H822" i="1" s="1"/>
  <c r="F821" i="1"/>
  <c r="D821" i="1"/>
  <c r="L821" i="1" s="1"/>
  <c r="K820" i="1"/>
  <c r="N820" i="1" s="1"/>
  <c r="J820" i="1"/>
  <c r="M820" i="1" s="1"/>
  <c r="G820" i="1"/>
  <c r="H821" i="1" s="1"/>
  <c r="F820" i="1"/>
  <c r="D820" i="1"/>
  <c r="L820" i="1" s="1"/>
  <c r="K819" i="1"/>
  <c r="N819" i="1" s="1"/>
  <c r="J819" i="1"/>
  <c r="M819" i="1" s="1"/>
  <c r="G819" i="1"/>
  <c r="H820" i="1" s="1"/>
  <c r="F819" i="1"/>
  <c r="D819" i="1"/>
  <c r="L819" i="1" s="1"/>
  <c r="K818" i="1"/>
  <c r="N818" i="1" s="1"/>
  <c r="J818" i="1"/>
  <c r="M818" i="1" s="1"/>
  <c r="G818" i="1"/>
  <c r="H819" i="1" s="1"/>
  <c r="F818" i="1"/>
  <c r="D818" i="1"/>
  <c r="L818" i="1" s="1"/>
  <c r="K817" i="1"/>
  <c r="N817" i="1" s="1"/>
  <c r="J817" i="1"/>
  <c r="M817" i="1" s="1"/>
  <c r="G817" i="1"/>
  <c r="H818" i="1" s="1"/>
  <c r="F817" i="1"/>
  <c r="D817" i="1"/>
  <c r="L817" i="1" s="1"/>
  <c r="K816" i="1"/>
  <c r="N816" i="1" s="1"/>
  <c r="J816" i="1"/>
  <c r="M816" i="1" s="1"/>
  <c r="G816" i="1"/>
  <c r="H817" i="1" s="1"/>
  <c r="F816" i="1"/>
  <c r="D816" i="1"/>
  <c r="L816" i="1" s="1"/>
  <c r="K815" i="1"/>
  <c r="N815" i="1" s="1"/>
  <c r="J815" i="1"/>
  <c r="M815" i="1" s="1"/>
  <c r="G815" i="1"/>
  <c r="H816" i="1" s="1"/>
  <c r="F815" i="1"/>
  <c r="D815" i="1"/>
  <c r="L815" i="1" s="1"/>
  <c r="K814" i="1"/>
  <c r="N814" i="1" s="1"/>
  <c r="J814" i="1"/>
  <c r="M814" i="1" s="1"/>
  <c r="G814" i="1"/>
  <c r="H815" i="1" s="1"/>
  <c r="F814" i="1"/>
  <c r="D814" i="1"/>
  <c r="L814" i="1" s="1"/>
  <c r="K813" i="1"/>
  <c r="N813" i="1" s="1"/>
  <c r="J813" i="1"/>
  <c r="M813" i="1" s="1"/>
  <c r="G813" i="1"/>
  <c r="H814" i="1" s="1"/>
  <c r="F813" i="1"/>
  <c r="D813" i="1"/>
  <c r="L813" i="1" s="1"/>
  <c r="K812" i="1"/>
  <c r="N812" i="1" s="1"/>
  <c r="J812" i="1"/>
  <c r="M812" i="1" s="1"/>
  <c r="G812" i="1"/>
  <c r="H813" i="1" s="1"/>
  <c r="F812" i="1"/>
  <c r="D812" i="1"/>
  <c r="L812" i="1" s="1"/>
  <c r="K811" i="1"/>
  <c r="N811" i="1" s="1"/>
  <c r="J811" i="1"/>
  <c r="M811" i="1" s="1"/>
  <c r="G811" i="1"/>
  <c r="H812" i="1" s="1"/>
  <c r="F811" i="1"/>
  <c r="D811" i="1"/>
  <c r="L811" i="1" s="1"/>
  <c r="K810" i="1"/>
  <c r="N810" i="1" s="1"/>
  <c r="J810" i="1"/>
  <c r="M810" i="1" s="1"/>
  <c r="G810" i="1"/>
  <c r="H811" i="1" s="1"/>
  <c r="F810" i="1"/>
  <c r="D810" i="1"/>
  <c r="L810" i="1" s="1"/>
  <c r="K809" i="1"/>
  <c r="N809" i="1" s="1"/>
  <c r="J809" i="1"/>
  <c r="M809" i="1" s="1"/>
  <c r="G809" i="1"/>
  <c r="H810" i="1" s="1"/>
  <c r="F809" i="1"/>
  <c r="D809" i="1"/>
  <c r="L809" i="1" s="1"/>
  <c r="K808" i="1"/>
  <c r="N808" i="1" s="1"/>
  <c r="J808" i="1"/>
  <c r="M808" i="1" s="1"/>
  <c r="G808" i="1"/>
  <c r="H809" i="1" s="1"/>
  <c r="F808" i="1"/>
  <c r="D808" i="1"/>
  <c r="L808" i="1" s="1"/>
  <c r="K807" i="1"/>
  <c r="N807" i="1" s="1"/>
  <c r="J807" i="1"/>
  <c r="M807" i="1" s="1"/>
  <c r="G807" i="1"/>
  <c r="H808" i="1" s="1"/>
  <c r="F807" i="1"/>
  <c r="D807" i="1"/>
  <c r="L807" i="1" s="1"/>
  <c r="K806" i="1"/>
  <c r="N806" i="1" s="1"/>
  <c r="J806" i="1"/>
  <c r="M806" i="1" s="1"/>
  <c r="G806" i="1"/>
  <c r="H807" i="1" s="1"/>
  <c r="F806" i="1"/>
  <c r="D806" i="1"/>
  <c r="L806" i="1" s="1"/>
  <c r="K805" i="1"/>
  <c r="N805" i="1" s="1"/>
  <c r="J805" i="1"/>
  <c r="M805" i="1" s="1"/>
  <c r="G805" i="1"/>
  <c r="H806" i="1" s="1"/>
  <c r="F805" i="1"/>
  <c r="D805" i="1"/>
  <c r="L805" i="1" s="1"/>
  <c r="K804" i="1"/>
  <c r="N804" i="1" s="1"/>
  <c r="J804" i="1"/>
  <c r="M804" i="1" s="1"/>
  <c r="G804" i="1"/>
  <c r="H805" i="1" s="1"/>
  <c r="F804" i="1"/>
  <c r="D804" i="1"/>
  <c r="L804" i="1" s="1"/>
  <c r="K803" i="1"/>
  <c r="N803" i="1" s="1"/>
  <c r="J803" i="1"/>
  <c r="M803" i="1" s="1"/>
  <c r="G803" i="1"/>
  <c r="H804" i="1" s="1"/>
  <c r="F803" i="1"/>
  <c r="D803" i="1"/>
  <c r="L803" i="1" s="1"/>
  <c r="K802" i="1"/>
  <c r="N802" i="1" s="1"/>
  <c r="J802" i="1"/>
  <c r="M802" i="1" s="1"/>
  <c r="G802" i="1"/>
  <c r="H803" i="1" s="1"/>
  <c r="F802" i="1"/>
  <c r="D802" i="1"/>
  <c r="L802" i="1" s="1"/>
  <c r="K801" i="1"/>
  <c r="N801" i="1" s="1"/>
  <c r="J801" i="1"/>
  <c r="M801" i="1" s="1"/>
  <c r="G801" i="1"/>
  <c r="H802" i="1" s="1"/>
  <c r="F801" i="1"/>
  <c r="D801" i="1"/>
  <c r="L801" i="1" s="1"/>
  <c r="K800" i="1"/>
  <c r="N800" i="1" s="1"/>
  <c r="J800" i="1"/>
  <c r="M800" i="1" s="1"/>
  <c r="G800" i="1"/>
  <c r="H801" i="1" s="1"/>
  <c r="F800" i="1"/>
  <c r="D800" i="1"/>
  <c r="L800" i="1" s="1"/>
  <c r="K799" i="1"/>
  <c r="N799" i="1" s="1"/>
  <c r="J799" i="1"/>
  <c r="M799" i="1" s="1"/>
  <c r="G799" i="1"/>
  <c r="H800" i="1" s="1"/>
  <c r="F799" i="1"/>
  <c r="D799" i="1"/>
  <c r="L799" i="1" s="1"/>
  <c r="K798" i="1"/>
  <c r="N798" i="1" s="1"/>
  <c r="J798" i="1"/>
  <c r="M798" i="1" s="1"/>
  <c r="G798" i="1"/>
  <c r="H799" i="1" s="1"/>
  <c r="F798" i="1"/>
  <c r="D798" i="1"/>
  <c r="L798" i="1" s="1"/>
  <c r="K797" i="1"/>
  <c r="N797" i="1" s="1"/>
  <c r="J797" i="1"/>
  <c r="M797" i="1" s="1"/>
  <c r="G797" i="1"/>
  <c r="H798" i="1" s="1"/>
  <c r="F797" i="1"/>
  <c r="D797" i="1"/>
  <c r="L797" i="1" s="1"/>
  <c r="K796" i="1"/>
  <c r="N796" i="1" s="1"/>
  <c r="J796" i="1"/>
  <c r="M796" i="1" s="1"/>
  <c r="G796" i="1"/>
  <c r="H797" i="1" s="1"/>
  <c r="F796" i="1"/>
  <c r="D796" i="1"/>
  <c r="L796" i="1" s="1"/>
  <c r="K795" i="1"/>
  <c r="N795" i="1" s="1"/>
  <c r="J795" i="1"/>
  <c r="M795" i="1" s="1"/>
  <c r="G795" i="1"/>
  <c r="H796" i="1" s="1"/>
  <c r="F795" i="1"/>
  <c r="D795" i="1"/>
  <c r="L795" i="1" s="1"/>
  <c r="K794" i="1"/>
  <c r="N794" i="1" s="1"/>
  <c r="J794" i="1"/>
  <c r="M794" i="1" s="1"/>
  <c r="G794" i="1"/>
  <c r="H795" i="1" s="1"/>
  <c r="F794" i="1"/>
  <c r="D794" i="1"/>
  <c r="L794" i="1" s="1"/>
  <c r="K793" i="1"/>
  <c r="N793" i="1" s="1"/>
  <c r="J793" i="1"/>
  <c r="M793" i="1" s="1"/>
  <c r="G793" i="1"/>
  <c r="H794" i="1" s="1"/>
  <c r="F793" i="1"/>
  <c r="D793" i="1"/>
  <c r="L793" i="1" s="1"/>
  <c r="K792" i="1"/>
  <c r="N792" i="1" s="1"/>
  <c r="J792" i="1"/>
  <c r="M792" i="1" s="1"/>
  <c r="G792" i="1"/>
  <c r="H793" i="1" s="1"/>
  <c r="F792" i="1"/>
  <c r="D792" i="1"/>
  <c r="L792" i="1" s="1"/>
  <c r="K791" i="1"/>
  <c r="N791" i="1" s="1"/>
  <c r="J791" i="1"/>
  <c r="M791" i="1" s="1"/>
  <c r="G791" i="1"/>
  <c r="H792" i="1" s="1"/>
  <c r="F791" i="1"/>
  <c r="D791" i="1"/>
  <c r="L791" i="1" s="1"/>
  <c r="K790" i="1"/>
  <c r="N790" i="1" s="1"/>
  <c r="J790" i="1"/>
  <c r="M790" i="1" s="1"/>
  <c r="G790" i="1"/>
  <c r="H791" i="1" s="1"/>
  <c r="F790" i="1"/>
  <c r="D790" i="1"/>
  <c r="L790" i="1" s="1"/>
  <c r="K789" i="1"/>
  <c r="N789" i="1" s="1"/>
  <c r="J789" i="1"/>
  <c r="M789" i="1" s="1"/>
  <c r="G789" i="1"/>
  <c r="H790" i="1" s="1"/>
  <c r="F789" i="1"/>
  <c r="D789" i="1"/>
  <c r="L789" i="1" s="1"/>
  <c r="K788" i="1"/>
  <c r="N788" i="1" s="1"/>
  <c r="J788" i="1"/>
  <c r="M788" i="1" s="1"/>
  <c r="G788" i="1"/>
  <c r="H789" i="1" s="1"/>
  <c r="F788" i="1"/>
  <c r="D788" i="1"/>
  <c r="L788" i="1" s="1"/>
  <c r="K787" i="1"/>
  <c r="N787" i="1" s="1"/>
  <c r="J787" i="1"/>
  <c r="M787" i="1" s="1"/>
  <c r="G787" i="1"/>
  <c r="H788" i="1" s="1"/>
  <c r="F787" i="1"/>
  <c r="D787" i="1"/>
  <c r="L787" i="1" s="1"/>
  <c r="K786" i="1"/>
  <c r="N786" i="1" s="1"/>
  <c r="J786" i="1"/>
  <c r="M786" i="1" s="1"/>
  <c r="G786" i="1"/>
  <c r="H787" i="1" s="1"/>
  <c r="F786" i="1"/>
  <c r="D786" i="1"/>
  <c r="L786" i="1" s="1"/>
  <c r="K785" i="1"/>
  <c r="N785" i="1" s="1"/>
  <c r="J785" i="1"/>
  <c r="M785" i="1" s="1"/>
  <c r="G785" i="1"/>
  <c r="H786" i="1" s="1"/>
  <c r="F785" i="1"/>
  <c r="D785" i="1"/>
  <c r="L785" i="1" s="1"/>
  <c r="K784" i="1"/>
  <c r="N784" i="1" s="1"/>
  <c r="J784" i="1"/>
  <c r="M784" i="1" s="1"/>
  <c r="G784" i="1"/>
  <c r="H785" i="1" s="1"/>
  <c r="F784" i="1"/>
  <c r="D784" i="1"/>
  <c r="L784" i="1" s="1"/>
  <c r="K783" i="1"/>
  <c r="N783" i="1" s="1"/>
  <c r="J783" i="1"/>
  <c r="M783" i="1" s="1"/>
  <c r="G783" i="1"/>
  <c r="H784" i="1" s="1"/>
  <c r="F783" i="1"/>
  <c r="D783" i="1"/>
  <c r="L783" i="1" s="1"/>
  <c r="K782" i="1"/>
  <c r="N782" i="1" s="1"/>
  <c r="J782" i="1"/>
  <c r="M782" i="1" s="1"/>
  <c r="G782" i="1"/>
  <c r="H783" i="1" s="1"/>
  <c r="F782" i="1"/>
  <c r="D782" i="1"/>
  <c r="L782" i="1" s="1"/>
  <c r="K781" i="1"/>
  <c r="N781" i="1" s="1"/>
  <c r="J781" i="1"/>
  <c r="M781" i="1" s="1"/>
  <c r="G781" i="1"/>
  <c r="H782" i="1" s="1"/>
  <c r="F781" i="1"/>
  <c r="D781" i="1"/>
  <c r="L781" i="1" s="1"/>
  <c r="K780" i="1"/>
  <c r="N780" i="1" s="1"/>
  <c r="J780" i="1"/>
  <c r="M780" i="1" s="1"/>
  <c r="G780" i="1"/>
  <c r="H781" i="1" s="1"/>
  <c r="F780" i="1"/>
  <c r="D780" i="1"/>
  <c r="L780" i="1" s="1"/>
  <c r="K779" i="1"/>
  <c r="N779" i="1" s="1"/>
  <c r="J779" i="1"/>
  <c r="M779" i="1" s="1"/>
  <c r="G779" i="1"/>
  <c r="H780" i="1" s="1"/>
  <c r="F779" i="1"/>
  <c r="D779" i="1"/>
  <c r="L779" i="1" s="1"/>
  <c r="K778" i="1"/>
  <c r="N778" i="1" s="1"/>
  <c r="J778" i="1"/>
  <c r="M778" i="1" s="1"/>
  <c r="G778" i="1"/>
  <c r="H779" i="1" s="1"/>
  <c r="F778" i="1"/>
  <c r="D778" i="1"/>
  <c r="L778" i="1" s="1"/>
  <c r="K777" i="1"/>
  <c r="N777" i="1" s="1"/>
  <c r="J777" i="1"/>
  <c r="M777" i="1" s="1"/>
  <c r="G777" i="1"/>
  <c r="H778" i="1" s="1"/>
  <c r="F777" i="1"/>
  <c r="D777" i="1"/>
  <c r="L777" i="1" s="1"/>
  <c r="K776" i="1"/>
  <c r="N776" i="1" s="1"/>
  <c r="J776" i="1"/>
  <c r="M776" i="1" s="1"/>
  <c r="G776" i="1"/>
  <c r="H777" i="1" s="1"/>
  <c r="F776" i="1"/>
  <c r="D776" i="1"/>
  <c r="L776" i="1" s="1"/>
  <c r="K775" i="1"/>
  <c r="N775" i="1" s="1"/>
  <c r="J775" i="1"/>
  <c r="M775" i="1" s="1"/>
  <c r="G775" i="1"/>
  <c r="H776" i="1" s="1"/>
  <c r="F775" i="1"/>
  <c r="D775" i="1"/>
  <c r="L775" i="1" s="1"/>
  <c r="K774" i="1"/>
  <c r="N774" i="1" s="1"/>
  <c r="J774" i="1"/>
  <c r="M774" i="1" s="1"/>
  <c r="G774" i="1"/>
  <c r="H775" i="1" s="1"/>
  <c r="F774" i="1"/>
  <c r="D774" i="1"/>
  <c r="L774" i="1" s="1"/>
  <c r="K773" i="1"/>
  <c r="N773" i="1" s="1"/>
  <c r="J773" i="1"/>
  <c r="M773" i="1" s="1"/>
  <c r="G773" i="1"/>
  <c r="H774" i="1" s="1"/>
  <c r="F773" i="1"/>
  <c r="D773" i="1"/>
  <c r="L773" i="1" s="1"/>
  <c r="K772" i="1"/>
  <c r="N772" i="1" s="1"/>
  <c r="J772" i="1"/>
  <c r="M772" i="1" s="1"/>
  <c r="G772" i="1"/>
  <c r="H773" i="1" s="1"/>
  <c r="F772" i="1"/>
  <c r="D772" i="1"/>
  <c r="L772" i="1" s="1"/>
  <c r="K771" i="1"/>
  <c r="N771" i="1" s="1"/>
  <c r="J771" i="1"/>
  <c r="M771" i="1" s="1"/>
  <c r="G771" i="1"/>
  <c r="H772" i="1" s="1"/>
  <c r="F771" i="1"/>
  <c r="D771" i="1"/>
  <c r="L771" i="1" s="1"/>
  <c r="K770" i="1"/>
  <c r="N770" i="1" s="1"/>
  <c r="J770" i="1"/>
  <c r="M770" i="1" s="1"/>
  <c r="G770" i="1"/>
  <c r="H771" i="1" s="1"/>
  <c r="F770" i="1"/>
  <c r="D770" i="1"/>
  <c r="L770" i="1" s="1"/>
  <c r="K769" i="1"/>
  <c r="N769" i="1" s="1"/>
  <c r="J769" i="1"/>
  <c r="M769" i="1" s="1"/>
  <c r="G769" i="1"/>
  <c r="H770" i="1" s="1"/>
  <c r="F769" i="1"/>
  <c r="D769" i="1"/>
  <c r="L769" i="1" s="1"/>
  <c r="K768" i="1"/>
  <c r="N768" i="1" s="1"/>
  <c r="J768" i="1"/>
  <c r="M768" i="1" s="1"/>
  <c r="G768" i="1"/>
  <c r="H769" i="1" s="1"/>
  <c r="F768" i="1"/>
  <c r="D768" i="1"/>
  <c r="L768" i="1" s="1"/>
  <c r="K767" i="1"/>
  <c r="N767" i="1" s="1"/>
  <c r="J767" i="1"/>
  <c r="M767" i="1" s="1"/>
  <c r="G767" i="1"/>
  <c r="H768" i="1" s="1"/>
  <c r="F767" i="1"/>
  <c r="D767" i="1"/>
  <c r="L767" i="1" s="1"/>
  <c r="K766" i="1"/>
  <c r="N766" i="1" s="1"/>
  <c r="J766" i="1"/>
  <c r="M766" i="1" s="1"/>
  <c r="G766" i="1"/>
  <c r="H767" i="1" s="1"/>
  <c r="F766" i="1"/>
  <c r="D766" i="1"/>
  <c r="L766" i="1" s="1"/>
  <c r="K765" i="1"/>
  <c r="N765" i="1" s="1"/>
  <c r="J765" i="1"/>
  <c r="M765" i="1" s="1"/>
  <c r="G765" i="1"/>
  <c r="H766" i="1" s="1"/>
  <c r="F765" i="1"/>
  <c r="D765" i="1"/>
  <c r="L765" i="1" s="1"/>
  <c r="K764" i="1"/>
  <c r="N764" i="1" s="1"/>
  <c r="J764" i="1"/>
  <c r="M764" i="1" s="1"/>
  <c r="G764" i="1"/>
  <c r="H765" i="1" s="1"/>
  <c r="F764" i="1"/>
  <c r="D764" i="1"/>
  <c r="L764" i="1" s="1"/>
  <c r="K763" i="1"/>
  <c r="N763" i="1" s="1"/>
  <c r="J763" i="1"/>
  <c r="M763" i="1" s="1"/>
  <c r="G763" i="1"/>
  <c r="H764" i="1" s="1"/>
  <c r="F763" i="1"/>
  <c r="D763" i="1"/>
  <c r="L763" i="1" s="1"/>
  <c r="K762" i="1"/>
  <c r="N762" i="1" s="1"/>
  <c r="J762" i="1"/>
  <c r="M762" i="1" s="1"/>
  <c r="G762" i="1"/>
  <c r="H763" i="1" s="1"/>
  <c r="F762" i="1"/>
  <c r="D762" i="1"/>
  <c r="L762" i="1" s="1"/>
  <c r="K761" i="1"/>
  <c r="N761" i="1" s="1"/>
  <c r="J761" i="1"/>
  <c r="M761" i="1" s="1"/>
  <c r="G761" i="1"/>
  <c r="H762" i="1" s="1"/>
  <c r="F761" i="1"/>
  <c r="D761" i="1"/>
  <c r="L761" i="1" s="1"/>
  <c r="K760" i="1"/>
  <c r="N760" i="1" s="1"/>
  <c r="J760" i="1"/>
  <c r="M760" i="1" s="1"/>
  <c r="G760" i="1"/>
  <c r="H761" i="1" s="1"/>
  <c r="F760" i="1"/>
  <c r="D760" i="1"/>
  <c r="L760" i="1" s="1"/>
  <c r="K759" i="1"/>
  <c r="N759" i="1" s="1"/>
  <c r="J759" i="1"/>
  <c r="M759" i="1" s="1"/>
  <c r="G759" i="1"/>
  <c r="H760" i="1" s="1"/>
  <c r="F759" i="1"/>
  <c r="D759" i="1"/>
  <c r="L759" i="1" s="1"/>
  <c r="K758" i="1"/>
  <c r="N758" i="1" s="1"/>
  <c r="J758" i="1"/>
  <c r="M758" i="1" s="1"/>
  <c r="G758" i="1"/>
  <c r="H759" i="1" s="1"/>
  <c r="F758" i="1"/>
  <c r="D758" i="1"/>
  <c r="L758" i="1" s="1"/>
  <c r="K757" i="1"/>
  <c r="N757" i="1" s="1"/>
  <c r="J757" i="1"/>
  <c r="M757" i="1" s="1"/>
  <c r="G757" i="1"/>
  <c r="H758" i="1" s="1"/>
  <c r="F757" i="1"/>
  <c r="D757" i="1"/>
  <c r="L757" i="1" s="1"/>
  <c r="K756" i="1"/>
  <c r="N756" i="1" s="1"/>
  <c r="J756" i="1"/>
  <c r="M756" i="1" s="1"/>
  <c r="G756" i="1"/>
  <c r="H757" i="1" s="1"/>
  <c r="F756" i="1"/>
  <c r="D756" i="1"/>
  <c r="L756" i="1" s="1"/>
  <c r="K755" i="1"/>
  <c r="N755" i="1" s="1"/>
  <c r="J755" i="1"/>
  <c r="M755" i="1" s="1"/>
  <c r="G755" i="1"/>
  <c r="H756" i="1" s="1"/>
  <c r="F755" i="1"/>
  <c r="D755" i="1"/>
  <c r="L755" i="1" s="1"/>
  <c r="K754" i="1"/>
  <c r="N754" i="1" s="1"/>
  <c r="J754" i="1"/>
  <c r="M754" i="1" s="1"/>
  <c r="G754" i="1"/>
  <c r="H755" i="1" s="1"/>
  <c r="F754" i="1"/>
  <c r="D754" i="1"/>
  <c r="L754" i="1" s="1"/>
  <c r="K753" i="1"/>
  <c r="N753" i="1" s="1"/>
  <c r="J753" i="1"/>
  <c r="M753" i="1" s="1"/>
  <c r="G753" i="1"/>
  <c r="H754" i="1" s="1"/>
  <c r="F753" i="1"/>
  <c r="D753" i="1"/>
  <c r="L753" i="1" s="1"/>
  <c r="K752" i="1"/>
  <c r="N752" i="1" s="1"/>
  <c r="J752" i="1"/>
  <c r="M752" i="1" s="1"/>
  <c r="G752" i="1"/>
  <c r="H753" i="1" s="1"/>
  <c r="F752" i="1"/>
  <c r="D752" i="1"/>
  <c r="L752" i="1" s="1"/>
  <c r="K751" i="1"/>
  <c r="N751" i="1" s="1"/>
  <c r="J751" i="1"/>
  <c r="M751" i="1" s="1"/>
  <c r="G751" i="1"/>
  <c r="H752" i="1" s="1"/>
  <c r="F751" i="1"/>
  <c r="D751" i="1"/>
  <c r="L751" i="1" s="1"/>
  <c r="K750" i="1"/>
  <c r="N750" i="1" s="1"/>
  <c r="J750" i="1"/>
  <c r="M750" i="1" s="1"/>
  <c r="G750" i="1"/>
  <c r="H751" i="1" s="1"/>
  <c r="F750" i="1"/>
  <c r="D750" i="1"/>
  <c r="L750" i="1" s="1"/>
  <c r="K749" i="1"/>
  <c r="N749" i="1" s="1"/>
  <c r="J749" i="1"/>
  <c r="M749" i="1" s="1"/>
  <c r="G749" i="1"/>
  <c r="H750" i="1" s="1"/>
  <c r="F749" i="1"/>
  <c r="D749" i="1"/>
  <c r="L749" i="1" s="1"/>
  <c r="K748" i="1"/>
  <c r="N748" i="1" s="1"/>
  <c r="J748" i="1"/>
  <c r="M748" i="1" s="1"/>
  <c r="G748" i="1"/>
  <c r="H749" i="1" s="1"/>
  <c r="F748" i="1"/>
  <c r="D748" i="1"/>
  <c r="L748" i="1" s="1"/>
  <c r="K747" i="1"/>
  <c r="N747" i="1" s="1"/>
  <c r="J747" i="1"/>
  <c r="M747" i="1" s="1"/>
  <c r="G747" i="1"/>
  <c r="H748" i="1" s="1"/>
  <c r="F747" i="1"/>
  <c r="D747" i="1"/>
  <c r="L747" i="1" s="1"/>
  <c r="K746" i="1"/>
  <c r="N746" i="1" s="1"/>
  <c r="J746" i="1"/>
  <c r="M746" i="1" s="1"/>
  <c r="G746" i="1"/>
  <c r="H747" i="1" s="1"/>
  <c r="F746" i="1"/>
  <c r="D746" i="1"/>
  <c r="L746" i="1" s="1"/>
  <c r="K745" i="1"/>
  <c r="N745" i="1" s="1"/>
  <c r="J745" i="1"/>
  <c r="M745" i="1" s="1"/>
  <c r="G745" i="1"/>
  <c r="H746" i="1" s="1"/>
  <c r="F745" i="1"/>
  <c r="D745" i="1"/>
  <c r="L745" i="1" s="1"/>
  <c r="K744" i="1"/>
  <c r="N744" i="1" s="1"/>
  <c r="J744" i="1"/>
  <c r="M744" i="1" s="1"/>
  <c r="G744" i="1"/>
  <c r="H745" i="1" s="1"/>
  <c r="F744" i="1"/>
  <c r="D744" i="1"/>
  <c r="L744" i="1" s="1"/>
  <c r="K743" i="1"/>
  <c r="N743" i="1" s="1"/>
  <c r="J743" i="1"/>
  <c r="M743" i="1" s="1"/>
  <c r="G743" i="1"/>
  <c r="H744" i="1" s="1"/>
  <c r="F743" i="1"/>
  <c r="D743" i="1"/>
  <c r="L743" i="1" s="1"/>
  <c r="K742" i="1"/>
  <c r="N742" i="1" s="1"/>
  <c r="J742" i="1"/>
  <c r="M742" i="1" s="1"/>
  <c r="G742" i="1"/>
  <c r="H743" i="1" s="1"/>
  <c r="F742" i="1"/>
  <c r="D742" i="1"/>
  <c r="L742" i="1" s="1"/>
  <c r="K741" i="1"/>
  <c r="N741" i="1" s="1"/>
  <c r="J741" i="1"/>
  <c r="M741" i="1" s="1"/>
  <c r="G741" i="1"/>
  <c r="H742" i="1" s="1"/>
  <c r="F741" i="1"/>
  <c r="D741" i="1"/>
  <c r="L741" i="1" s="1"/>
  <c r="K740" i="1"/>
  <c r="N740" i="1" s="1"/>
  <c r="J740" i="1"/>
  <c r="M740" i="1" s="1"/>
  <c r="G740" i="1"/>
  <c r="H741" i="1" s="1"/>
  <c r="F740" i="1"/>
  <c r="D740" i="1"/>
  <c r="L740" i="1" s="1"/>
  <c r="K739" i="1"/>
  <c r="N739" i="1" s="1"/>
  <c r="J739" i="1"/>
  <c r="M739" i="1" s="1"/>
  <c r="G739" i="1"/>
  <c r="H740" i="1" s="1"/>
  <c r="F739" i="1"/>
  <c r="D739" i="1"/>
  <c r="L739" i="1" s="1"/>
  <c r="K738" i="1"/>
  <c r="N738" i="1" s="1"/>
  <c r="J738" i="1"/>
  <c r="M738" i="1" s="1"/>
  <c r="G738" i="1"/>
  <c r="H739" i="1" s="1"/>
  <c r="F738" i="1"/>
  <c r="D738" i="1"/>
  <c r="L738" i="1" s="1"/>
  <c r="K737" i="1"/>
  <c r="N737" i="1" s="1"/>
  <c r="J737" i="1"/>
  <c r="M737" i="1" s="1"/>
  <c r="G737" i="1"/>
  <c r="H738" i="1" s="1"/>
  <c r="F737" i="1"/>
  <c r="D737" i="1"/>
  <c r="L737" i="1" s="1"/>
  <c r="K736" i="1"/>
  <c r="N736" i="1" s="1"/>
  <c r="J736" i="1"/>
  <c r="M736" i="1" s="1"/>
  <c r="G736" i="1"/>
  <c r="H737" i="1" s="1"/>
  <c r="F736" i="1"/>
  <c r="D736" i="1"/>
  <c r="L736" i="1" s="1"/>
  <c r="K735" i="1"/>
  <c r="N735" i="1" s="1"/>
  <c r="J735" i="1"/>
  <c r="M735" i="1" s="1"/>
  <c r="G735" i="1"/>
  <c r="H736" i="1" s="1"/>
  <c r="F735" i="1"/>
  <c r="D735" i="1"/>
  <c r="L735" i="1" s="1"/>
  <c r="K734" i="1"/>
  <c r="N734" i="1" s="1"/>
  <c r="J734" i="1"/>
  <c r="M734" i="1" s="1"/>
  <c r="G734" i="1"/>
  <c r="H735" i="1" s="1"/>
  <c r="F734" i="1"/>
  <c r="D734" i="1"/>
  <c r="L734" i="1" s="1"/>
  <c r="K733" i="1"/>
  <c r="N733" i="1" s="1"/>
  <c r="J733" i="1"/>
  <c r="M733" i="1" s="1"/>
  <c r="G733" i="1"/>
  <c r="H734" i="1" s="1"/>
  <c r="F733" i="1"/>
  <c r="D733" i="1"/>
  <c r="L733" i="1" s="1"/>
  <c r="K732" i="1"/>
  <c r="N732" i="1" s="1"/>
  <c r="J732" i="1"/>
  <c r="M732" i="1" s="1"/>
  <c r="G732" i="1"/>
  <c r="H733" i="1" s="1"/>
  <c r="F732" i="1"/>
  <c r="D732" i="1"/>
  <c r="L732" i="1" s="1"/>
  <c r="K731" i="1"/>
  <c r="N731" i="1" s="1"/>
  <c r="J731" i="1"/>
  <c r="M731" i="1" s="1"/>
  <c r="G731" i="1"/>
  <c r="H732" i="1" s="1"/>
  <c r="F731" i="1"/>
  <c r="D731" i="1"/>
  <c r="L731" i="1" s="1"/>
  <c r="K730" i="1"/>
  <c r="N730" i="1" s="1"/>
  <c r="J730" i="1"/>
  <c r="M730" i="1" s="1"/>
  <c r="G730" i="1"/>
  <c r="H731" i="1" s="1"/>
  <c r="F730" i="1"/>
  <c r="D730" i="1"/>
  <c r="L730" i="1" s="1"/>
  <c r="K729" i="1"/>
  <c r="N729" i="1" s="1"/>
  <c r="J729" i="1"/>
  <c r="M729" i="1" s="1"/>
  <c r="G729" i="1"/>
  <c r="H730" i="1" s="1"/>
  <c r="F729" i="1"/>
  <c r="D729" i="1"/>
  <c r="L729" i="1" s="1"/>
  <c r="K728" i="1"/>
  <c r="N728" i="1" s="1"/>
  <c r="J728" i="1"/>
  <c r="M728" i="1" s="1"/>
  <c r="G728" i="1"/>
  <c r="H729" i="1" s="1"/>
  <c r="F728" i="1"/>
  <c r="D728" i="1"/>
  <c r="L728" i="1" s="1"/>
  <c r="K727" i="1"/>
  <c r="N727" i="1" s="1"/>
  <c r="J727" i="1"/>
  <c r="M727" i="1" s="1"/>
  <c r="G727" i="1"/>
  <c r="H728" i="1" s="1"/>
  <c r="F727" i="1"/>
  <c r="D727" i="1"/>
  <c r="L727" i="1" s="1"/>
  <c r="K726" i="1"/>
  <c r="N726" i="1" s="1"/>
  <c r="J726" i="1"/>
  <c r="M726" i="1" s="1"/>
  <c r="G726" i="1"/>
  <c r="H727" i="1" s="1"/>
  <c r="F726" i="1"/>
  <c r="D726" i="1"/>
  <c r="L726" i="1" s="1"/>
  <c r="K725" i="1"/>
  <c r="N725" i="1" s="1"/>
  <c r="J725" i="1"/>
  <c r="M725" i="1" s="1"/>
  <c r="G725" i="1"/>
  <c r="H726" i="1" s="1"/>
  <c r="F725" i="1"/>
  <c r="D725" i="1"/>
  <c r="L725" i="1" s="1"/>
  <c r="K724" i="1"/>
  <c r="N724" i="1" s="1"/>
  <c r="J724" i="1"/>
  <c r="M724" i="1" s="1"/>
  <c r="G724" i="1"/>
  <c r="H725" i="1" s="1"/>
  <c r="F724" i="1"/>
  <c r="D724" i="1"/>
  <c r="L724" i="1" s="1"/>
  <c r="K723" i="1"/>
  <c r="N723" i="1" s="1"/>
  <c r="J723" i="1"/>
  <c r="M723" i="1" s="1"/>
  <c r="G723" i="1"/>
  <c r="H724" i="1" s="1"/>
  <c r="F723" i="1"/>
  <c r="D723" i="1"/>
  <c r="L723" i="1" s="1"/>
  <c r="K722" i="1"/>
  <c r="N722" i="1" s="1"/>
  <c r="J722" i="1"/>
  <c r="M722" i="1" s="1"/>
  <c r="G722" i="1"/>
  <c r="H723" i="1" s="1"/>
  <c r="F722" i="1"/>
  <c r="D722" i="1"/>
  <c r="L722" i="1" s="1"/>
  <c r="K721" i="1"/>
  <c r="N721" i="1" s="1"/>
  <c r="J721" i="1"/>
  <c r="M721" i="1" s="1"/>
  <c r="G721" i="1"/>
  <c r="H722" i="1" s="1"/>
  <c r="F721" i="1"/>
  <c r="D721" i="1"/>
  <c r="L721" i="1" s="1"/>
  <c r="K720" i="1"/>
  <c r="N720" i="1" s="1"/>
  <c r="J720" i="1"/>
  <c r="M720" i="1" s="1"/>
  <c r="G720" i="1"/>
  <c r="H721" i="1" s="1"/>
  <c r="F720" i="1"/>
  <c r="D720" i="1"/>
  <c r="L720" i="1" s="1"/>
  <c r="K719" i="1"/>
  <c r="N719" i="1" s="1"/>
  <c r="J719" i="1"/>
  <c r="M719" i="1" s="1"/>
  <c r="G719" i="1"/>
  <c r="H720" i="1" s="1"/>
  <c r="F719" i="1"/>
  <c r="D719" i="1"/>
  <c r="L719" i="1" s="1"/>
  <c r="K718" i="1"/>
  <c r="N718" i="1" s="1"/>
  <c r="J718" i="1"/>
  <c r="M718" i="1" s="1"/>
  <c r="G718" i="1"/>
  <c r="H719" i="1" s="1"/>
  <c r="F718" i="1"/>
  <c r="D718" i="1"/>
  <c r="L718" i="1" s="1"/>
  <c r="K717" i="1"/>
  <c r="N717" i="1" s="1"/>
  <c r="J717" i="1"/>
  <c r="M717" i="1" s="1"/>
  <c r="G717" i="1"/>
  <c r="H718" i="1" s="1"/>
  <c r="F717" i="1"/>
  <c r="D717" i="1"/>
  <c r="L717" i="1" s="1"/>
  <c r="K716" i="1"/>
  <c r="N716" i="1" s="1"/>
  <c r="J716" i="1"/>
  <c r="M716" i="1" s="1"/>
  <c r="G716" i="1"/>
  <c r="H717" i="1" s="1"/>
  <c r="F716" i="1"/>
  <c r="D716" i="1"/>
  <c r="L716" i="1" s="1"/>
  <c r="K715" i="1"/>
  <c r="N715" i="1" s="1"/>
  <c r="J715" i="1"/>
  <c r="M715" i="1" s="1"/>
  <c r="G715" i="1"/>
  <c r="H716" i="1" s="1"/>
  <c r="F715" i="1"/>
  <c r="D715" i="1"/>
  <c r="L715" i="1" s="1"/>
  <c r="K714" i="1"/>
  <c r="N714" i="1" s="1"/>
  <c r="J714" i="1"/>
  <c r="M714" i="1" s="1"/>
  <c r="G714" i="1"/>
  <c r="H715" i="1" s="1"/>
  <c r="F714" i="1"/>
  <c r="D714" i="1"/>
  <c r="L714" i="1" s="1"/>
  <c r="K713" i="1"/>
  <c r="N713" i="1" s="1"/>
  <c r="J713" i="1"/>
  <c r="M713" i="1" s="1"/>
  <c r="G713" i="1"/>
  <c r="H714" i="1" s="1"/>
  <c r="F713" i="1"/>
  <c r="D713" i="1"/>
  <c r="L713" i="1" s="1"/>
  <c r="K712" i="1"/>
  <c r="N712" i="1" s="1"/>
  <c r="J712" i="1"/>
  <c r="M712" i="1" s="1"/>
  <c r="G712" i="1"/>
  <c r="H713" i="1" s="1"/>
  <c r="F712" i="1"/>
  <c r="D712" i="1"/>
  <c r="L712" i="1" s="1"/>
  <c r="K711" i="1"/>
  <c r="N711" i="1" s="1"/>
  <c r="J711" i="1"/>
  <c r="M711" i="1" s="1"/>
  <c r="G711" i="1"/>
  <c r="H712" i="1" s="1"/>
  <c r="F711" i="1"/>
  <c r="D711" i="1"/>
  <c r="L711" i="1" s="1"/>
  <c r="K710" i="1"/>
  <c r="N710" i="1" s="1"/>
  <c r="J710" i="1"/>
  <c r="M710" i="1" s="1"/>
  <c r="G710" i="1"/>
  <c r="H711" i="1" s="1"/>
  <c r="F710" i="1"/>
  <c r="D710" i="1"/>
  <c r="L710" i="1" s="1"/>
  <c r="K709" i="1"/>
  <c r="N709" i="1" s="1"/>
  <c r="J709" i="1"/>
  <c r="M709" i="1" s="1"/>
  <c r="G709" i="1"/>
  <c r="H710" i="1" s="1"/>
  <c r="F709" i="1"/>
  <c r="D709" i="1"/>
  <c r="L709" i="1" s="1"/>
  <c r="K708" i="1"/>
  <c r="N708" i="1" s="1"/>
  <c r="J708" i="1"/>
  <c r="M708" i="1" s="1"/>
  <c r="G708" i="1"/>
  <c r="H709" i="1" s="1"/>
  <c r="F708" i="1"/>
  <c r="D708" i="1"/>
  <c r="L708" i="1" s="1"/>
  <c r="K707" i="1"/>
  <c r="N707" i="1" s="1"/>
  <c r="J707" i="1"/>
  <c r="M707" i="1" s="1"/>
  <c r="G707" i="1"/>
  <c r="H708" i="1" s="1"/>
  <c r="F707" i="1"/>
  <c r="D707" i="1"/>
  <c r="L707" i="1" s="1"/>
  <c r="K706" i="1"/>
  <c r="N706" i="1" s="1"/>
  <c r="J706" i="1"/>
  <c r="M706" i="1" s="1"/>
  <c r="G706" i="1"/>
  <c r="H707" i="1" s="1"/>
  <c r="F706" i="1"/>
  <c r="D706" i="1"/>
  <c r="L706" i="1" s="1"/>
  <c r="K705" i="1"/>
  <c r="N705" i="1" s="1"/>
  <c r="J705" i="1"/>
  <c r="M705" i="1" s="1"/>
  <c r="G705" i="1"/>
  <c r="H706" i="1" s="1"/>
  <c r="F705" i="1"/>
  <c r="D705" i="1"/>
  <c r="L705" i="1" s="1"/>
  <c r="K704" i="1"/>
  <c r="N704" i="1" s="1"/>
  <c r="J704" i="1"/>
  <c r="M704" i="1" s="1"/>
  <c r="G704" i="1"/>
  <c r="H705" i="1" s="1"/>
  <c r="F704" i="1"/>
  <c r="D704" i="1"/>
  <c r="L704" i="1" s="1"/>
  <c r="K703" i="1"/>
  <c r="N703" i="1" s="1"/>
  <c r="J703" i="1"/>
  <c r="M703" i="1" s="1"/>
  <c r="G703" i="1"/>
  <c r="H704" i="1" s="1"/>
  <c r="F703" i="1"/>
  <c r="D703" i="1"/>
  <c r="L703" i="1" s="1"/>
  <c r="K702" i="1"/>
  <c r="N702" i="1" s="1"/>
  <c r="J702" i="1"/>
  <c r="M702" i="1" s="1"/>
  <c r="G702" i="1"/>
  <c r="H703" i="1" s="1"/>
  <c r="F702" i="1"/>
  <c r="D702" i="1"/>
  <c r="L702" i="1" s="1"/>
  <c r="K701" i="1"/>
  <c r="N701" i="1" s="1"/>
  <c r="J701" i="1"/>
  <c r="M701" i="1" s="1"/>
  <c r="G701" i="1"/>
  <c r="H702" i="1" s="1"/>
  <c r="F701" i="1"/>
  <c r="D701" i="1"/>
  <c r="L701" i="1" s="1"/>
  <c r="K700" i="1"/>
  <c r="N700" i="1" s="1"/>
  <c r="J700" i="1"/>
  <c r="M700" i="1" s="1"/>
  <c r="G700" i="1"/>
  <c r="H701" i="1" s="1"/>
  <c r="F700" i="1"/>
  <c r="D700" i="1"/>
  <c r="L700" i="1" s="1"/>
  <c r="K699" i="1"/>
  <c r="N699" i="1" s="1"/>
  <c r="J699" i="1"/>
  <c r="M699" i="1" s="1"/>
  <c r="G699" i="1"/>
  <c r="H700" i="1" s="1"/>
  <c r="F699" i="1"/>
  <c r="D699" i="1"/>
  <c r="L699" i="1" s="1"/>
  <c r="K698" i="1"/>
  <c r="N698" i="1" s="1"/>
  <c r="J698" i="1"/>
  <c r="M698" i="1" s="1"/>
  <c r="G698" i="1"/>
  <c r="H699" i="1" s="1"/>
  <c r="F698" i="1"/>
  <c r="D698" i="1"/>
  <c r="L698" i="1" s="1"/>
  <c r="K697" i="1"/>
  <c r="N697" i="1" s="1"/>
  <c r="J697" i="1"/>
  <c r="M697" i="1" s="1"/>
  <c r="G697" i="1"/>
  <c r="H698" i="1" s="1"/>
  <c r="F697" i="1"/>
  <c r="D697" i="1"/>
  <c r="L697" i="1" s="1"/>
  <c r="K696" i="1"/>
  <c r="N696" i="1" s="1"/>
  <c r="J696" i="1"/>
  <c r="M696" i="1" s="1"/>
  <c r="G696" i="1"/>
  <c r="H697" i="1" s="1"/>
  <c r="F696" i="1"/>
  <c r="D696" i="1"/>
  <c r="L696" i="1" s="1"/>
  <c r="K695" i="1"/>
  <c r="N695" i="1" s="1"/>
  <c r="J695" i="1"/>
  <c r="M695" i="1" s="1"/>
  <c r="G695" i="1"/>
  <c r="H696" i="1" s="1"/>
  <c r="F695" i="1"/>
  <c r="D695" i="1"/>
  <c r="L695" i="1" s="1"/>
  <c r="K694" i="1"/>
  <c r="N694" i="1" s="1"/>
  <c r="J694" i="1"/>
  <c r="M694" i="1" s="1"/>
  <c r="G694" i="1"/>
  <c r="H695" i="1" s="1"/>
  <c r="F694" i="1"/>
  <c r="D694" i="1"/>
  <c r="L694" i="1" s="1"/>
  <c r="K693" i="1"/>
  <c r="N693" i="1" s="1"/>
  <c r="J693" i="1"/>
  <c r="M693" i="1" s="1"/>
  <c r="G693" i="1"/>
  <c r="H694" i="1" s="1"/>
  <c r="F693" i="1"/>
  <c r="D693" i="1"/>
  <c r="L693" i="1" s="1"/>
  <c r="K692" i="1"/>
  <c r="N692" i="1" s="1"/>
  <c r="J692" i="1"/>
  <c r="M692" i="1" s="1"/>
  <c r="G692" i="1"/>
  <c r="H693" i="1" s="1"/>
  <c r="F692" i="1"/>
  <c r="D692" i="1"/>
  <c r="L692" i="1" s="1"/>
  <c r="K691" i="1"/>
  <c r="N691" i="1" s="1"/>
  <c r="J691" i="1"/>
  <c r="M691" i="1" s="1"/>
  <c r="G691" i="1"/>
  <c r="H692" i="1" s="1"/>
  <c r="F691" i="1"/>
  <c r="D691" i="1"/>
  <c r="L691" i="1" s="1"/>
  <c r="K690" i="1"/>
  <c r="N690" i="1" s="1"/>
  <c r="J690" i="1"/>
  <c r="M690" i="1" s="1"/>
  <c r="G690" i="1"/>
  <c r="H691" i="1" s="1"/>
  <c r="F690" i="1"/>
  <c r="D690" i="1"/>
  <c r="L690" i="1" s="1"/>
  <c r="K689" i="1"/>
  <c r="N689" i="1" s="1"/>
  <c r="J689" i="1"/>
  <c r="M689" i="1" s="1"/>
  <c r="G689" i="1"/>
  <c r="H690" i="1" s="1"/>
  <c r="F689" i="1"/>
  <c r="D689" i="1"/>
  <c r="L689" i="1" s="1"/>
  <c r="K688" i="1"/>
  <c r="N688" i="1" s="1"/>
  <c r="J688" i="1"/>
  <c r="M688" i="1" s="1"/>
  <c r="G688" i="1"/>
  <c r="H689" i="1" s="1"/>
  <c r="F688" i="1"/>
  <c r="D688" i="1"/>
  <c r="L688" i="1" s="1"/>
  <c r="K687" i="1"/>
  <c r="N687" i="1" s="1"/>
  <c r="J687" i="1"/>
  <c r="M687" i="1" s="1"/>
  <c r="G687" i="1"/>
  <c r="H688" i="1" s="1"/>
  <c r="F687" i="1"/>
  <c r="D687" i="1"/>
  <c r="L687" i="1" s="1"/>
  <c r="K686" i="1"/>
  <c r="N686" i="1" s="1"/>
  <c r="J686" i="1"/>
  <c r="M686" i="1" s="1"/>
  <c r="G686" i="1"/>
  <c r="H687" i="1" s="1"/>
  <c r="F686" i="1"/>
  <c r="D686" i="1"/>
  <c r="L686" i="1" s="1"/>
  <c r="K685" i="1"/>
  <c r="N685" i="1" s="1"/>
  <c r="J685" i="1"/>
  <c r="M685" i="1" s="1"/>
  <c r="G685" i="1"/>
  <c r="H686" i="1" s="1"/>
  <c r="F685" i="1"/>
  <c r="D685" i="1"/>
  <c r="L685" i="1" s="1"/>
  <c r="K684" i="1"/>
  <c r="N684" i="1" s="1"/>
  <c r="J684" i="1"/>
  <c r="M684" i="1" s="1"/>
  <c r="G684" i="1"/>
  <c r="H685" i="1" s="1"/>
  <c r="F684" i="1"/>
  <c r="D684" i="1"/>
  <c r="L684" i="1" s="1"/>
  <c r="K683" i="1"/>
  <c r="N683" i="1" s="1"/>
  <c r="J683" i="1"/>
  <c r="M683" i="1" s="1"/>
  <c r="G683" i="1"/>
  <c r="H684" i="1" s="1"/>
  <c r="F683" i="1"/>
  <c r="D683" i="1"/>
  <c r="L683" i="1" s="1"/>
  <c r="K682" i="1"/>
  <c r="N682" i="1" s="1"/>
  <c r="J682" i="1"/>
  <c r="M682" i="1" s="1"/>
  <c r="G682" i="1"/>
  <c r="H683" i="1" s="1"/>
  <c r="F682" i="1"/>
  <c r="D682" i="1"/>
  <c r="L682" i="1" s="1"/>
  <c r="K681" i="1"/>
  <c r="N681" i="1" s="1"/>
  <c r="J681" i="1"/>
  <c r="M681" i="1" s="1"/>
  <c r="G681" i="1"/>
  <c r="H682" i="1" s="1"/>
  <c r="F681" i="1"/>
  <c r="D681" i="1"/>
  <c r="L681" i="1" s="1"/>
  <c r="K680" i="1"/>
  <c r="N680" i="1" s="1"/>
  <c r="J680" i="1"/>
  <c r="M680" i="1" s="1"/>
  <c r="G680" i="1"/>
  <c r="H681" i="1" s="1"/>
  <c r="F680" i="1"/>
  <c r="D680" i="1"/>
  <c r="L680" i="1" s="1"/>
  <c r="K679" i="1"/>
  <c r="N679" i="1" s="1"/>
  <c r="J679" i="1"/>
  <c r="M679" i="1" s="1"/>
  <c r="G679" i="1"/>
  <c r="H680" i="1" s="1"/>
  <c r="F679" i="1"/>
  <c r="D679" i="1"/>
  <c r="L679" i="1" s="1"/>
  <c r="K678" i="1"/>
  <c r="N678" i="1" s="1"/>
  <c r="J678" i="1"/>
  <c r="M678" i="1" s="1"/>
  <c r="G678" i="1"/>
  <c r="H679" i="1" s="1"/>
  <c r="F678" i="1"/>
  <c r="D678" i="1"/>
  <c r="L678" i="1" s="1"/>
  <c r="K677" i="1"/>
  <c r="N677" i="1" s="1"/>
  <c r="J677" i="1"/>
  <c r="M677" i="1" s="1"/>
  <c r="G677" i="1"/>
  <c r="H678" i="1" s="1"/>
  <c r="F677" i="1"/>
  <c r="D677" i="1"/>
  <c r="L677" i="1" s="1"/>
  <c r="K676" i="1"/>
  <c r="N676" i="1" s="1"/>
  <c r="J676" i="1"/>
  <c r="M676" i="1" s="1"/>
  <c r="G676" i="1"/>
  <c r="H677" i="1" s="1"/>
  <c r="F676" i="1"/>
  <c r="D676" i="1"/>
  <c r="L676" i="1" s="1"/>
  <c r="K675" i="1"/>
  <c r="N675" i="1" s="1"/>
  <c r="J675" i="1"/>
  <c r="M675" i="1" s="1"/>
  <c r="G675" i="1"/>
  <c r="H676" i="1" s="1"/>
  <c r="F675" i="1"/>
  <c r="D675" i="1"/>
  <c r="L675" i="1" s="1"/>
  <c r="K674" i="1"/>
  <c r="N674" i="1" s="1"/>
  <c r="J674" i="1"/>
  <c r="M674" i="1" s="1"/>
  <c r="G674" i="1"/>
  <c r="H675" i="1" s="1"/>
  <c r="F674" i="1"/>
  <c r="D674" i="1"/>
  <c r="L674" i="1" s="1"/>
  <c r="K673" i="1"/>
  <c r="N673" i="1" s="1"/>
  <c r="J673" i="1"/>
  <c r="M673" i="1" s="1"/>
  <c r="G673" i="1"/>
  <c r="H674" i="1" s="1"/>
  <c r="F673" i="1"/>
  <c r="D673" i="1"/>
  <c r="L673" i="1" s="1"/>
  <c r="K672" i="1"/>
  <c r="N672" i="1" s="1"/>
  <c r="J672" i="1"/>
  <c r="M672" i="1" s="1"/>
  <c r="G672" i="1"/>
  <c r="H673" i="1" s="1"/>
  <c r="F672" i="1"/>
  <c r="D672" i="1"/>
  <c r="L672" i="1" s="1"/>
  <c r="K671" i="1"/>
  <c r="N671" i="1" s="1"/>
  <c r="J671" i="1"/>
  <c r="M671" i="1" s="1"/>
  <c r="G671" i="1"/>
  <c r="H672" i="1" s="1"/>
  <c r="F671" i="1"/>
  <c r="D671" i="1"/>
  <c r="L671" i="1" s="1"/>
  <c r="K670" i="1"/>
  <c r="N670" i="1" s="1"/>
  <c r="J670" i="1"/>
  <c r="M670" i="1" s="1"/>
  <c r="G670" i="1"/>
  <c r="H671" i="1" s="1"/>
  <c r="F670" i="1"/>
  <c r="D670" i="1"/>
  <c r="L670" i="1" s="1"/>
  <c r="K669" i="1"/>
  <c r="N669" i="1" s="1"/>
  <c r="J669" i="1"/>
  <c r="M669" i="1" s="1"/>
  <c r="G669" i="1"/>
  <c r="H670" i="1" s="1"/>
  <c r="F669" i="1"/>
  <c r="D669" i="1"/>
  <c r="L669" i="1" s="1"/>
  <c r="K668" i="1"/>
  <c r="N668" i="1" s="1"/>
  <c r="J668" i="1"/>
  <c r="M668" i="1" s="1"/>
  <c r="G668" i="1"/>
  <c r="H669" i="1" s="1"/>
  <c r="F668" i="1"/>
  <c r="D668" i="1"/>
  <c r="L668" i="1" s="1"/>
  <c r="K667" i="1"/>
  <c r="N667" i="1" s="1"/>
  <c r="J667" i="1"/>
  <c r="M667" i="1" s="1"/>
  <c r="G667" i="1"/>
  <c r="H668" i="1" s="1"/>
  <c r="F667" i="1"/>
  <c r="D667" i="1"/>
  <c r="L667" i="1" s="1"/>
  <c r="K666" i="1"/>
  <c r="N666" i="1" s="1"/>
  <c r="J666" i="1"/>
  <c r="M666" i="1" s="1"/>
  <c r="G666" i="1"/>
  <c r="H667" i="1" s="1"/>
  <c r="F666" i="1"/>
  <c r="D666" i="1"/>
  <c r="L666" i="1" s="1"/>
  <c r="K665" i="1"/>
  <c r="N665" i="1" s="1"/>
  <c r="J665" i="1"/>
  <c r="M665" i="1" s="1"/>
  <c r="G665" i="1"/>
  <c r="H666" i="1" s="1"/>
  <c r="F665" i="1"/>
  <c r="D665" i="1"/>
  <c r="L665" i="1" s="1"/>
  <c r="K664" i="1"/>
  <c r="N664" i="1" s="1"/>
  <c r="J664" i="1"/>
  <c r="M664" i="1" s="1"/>
  <c r="G664" i="1"/>
  <c r="H665" i="1" s="1"/>
  <c r="F664" i="1"/>
  <c r="D664" i="1"/>
  <c r="L664" i="1" s="1"/>
  <c r="K663" i="1"/>
  <c r="N663" i="1" s="1"/>
  <c r="J663" i="1"/>
  <c r="M663" i="1" s="1"/>
  <c r="G663" i="1"/>
  <c r="H664" i="1" s="1"/>
  <c r="F663" i="1"/>
  <c r="D663" i="1"/>
  <c r="L663" i="1" s="1"/>
  <c r="K662" i="1"/>
  <c r="N662" i="1" s="1"/>
  <c r="J662" i="1"/>
  <c r="M662" i="1" s="1"/>
  <c r="G662" i="1"/>
  <c r="H663" i="1" s="1"/>
  <c r="F662" i="1"/>
  <c r="D662" i="1"/>
  <c r="L662" i="1" s="1"/>
  <c r="K661" i="1"/>
  <c r="N661" i="1" s="1"/>
  <c r="J661" i="1"/>
  <c r="M661" i="1" s="1"/>
  <c r="G661" i="1"/>
  <c r="H662" i="1" s="1"/>
  <c r="F661" i="1"/>
  <c r="D661" i="1"/>
  <c r="L661" i="1" s="1"/>
  <c r="K660" i="1"/>
  <c r="N660" i="1" s="1"/>
  <c r="J660" i="1"/>
  <c r="M660" i="1" s="1"/>
  <c r="G660" i="1"/>
  <c r="H661" i="1" s="1"/>
  <c r="F660" i="1"/>
  <c r="D660" i="1"/>
  <c r="L660" i="1" s="1"/>
  <c r="K659" i="1"/>
  <c r="N659" i="1" s="1"/>
  <c r="J659" i="1"/>
  <c r="M659" i="1" s="1"/>
  <c r="G659" i="1"/>
  <c r="H660" i="1" s="1"/>
  <c r="F659" i="1"/>
  <c r="D659" i="1"/>
  <c r="L659" i="1" s="1"/>
  <c r="K658" i="1"/>
  <c r="N658" i="1" s="1"/>
  <c r="J658" i="1"/>
  <c r="M658" i="1" s="1"/>
  <c r="G658" i="1"/>
  <c r="H659" i="1" s="1"/>
  <c r="F658" i="1"/>
  <c r="D658" i="1"/>
  <c r="L658" i="1" s="1"/>
  <c r="K657" i="1"/>
  <c r="N657" i="1" s="1"/>
  <c r="J657" i="1"/>
  <c r="M657" i="1" s="1"/>
  <c r="G657" i="1"/>
  <c r="H658" i="1" s="1"/>
  <c r="F657" i="1"/>
  <c r="D657" i="1"/>
  <c r="L657" i="1" s="1"/>
  <c r="K656" i="1"/>
  <c r="N656" i="1" s="1"/>
  <c r="J656" i="1"/>
  <c r="M656" i="1" s="1"/>
  <c r="G656" i="1"/>
  <c r="H657" i="1" s="1"/>
  <c r="F656" i="1"/>
  <c r="D656" i="1"/>
  <c r="L656" i="1" s="1"/>
  <c r="K655" i="1"/>
  <c r="N655" i="1" s="1"/>
  <c r="J655" i="1"/>
  <c r="M655" i="1" s="1"/>
  <c r="G655" i="1"/>
  <c r="H656" i="1" s="1"/>
  <c r="F655" i="1"/>
  <c r="D655" i="1"/>
  <c r="L655" i="1" s="1"/>
  <c r="K654" i="1"/>
  <c r="N654" i="1" s="1"/>
  <c r="J654" i="1"/>
  <c r="M654" i="1" s="1"/>
  <c r="G654" i="1"/>
  <c r="H655" i="1" s="1"/>
  <c r="F654" i="1"/>
  <c r="D654" i="1"/>
  <c r="L654" i="1" s="1"/>
  <c r="K653" i="1"/>
  <c r="N653" i="1" s="1"/>
  <c r="J653" i="1"/>
  <c r="M653" i="1" s="1"/>
  <c r="G653" i="1"/>
  <c r="H654" i="1" s="1"/>
  <c r="F653" i="1"/>
  <c r="D653" i="1"/>
  <c r="L653" i="1" s="1"/>
  <c r="K652" i="1"/>
  <c r="N652" i="1" s="1"/>
  <c r="J652" i="1"/>
  <c r="M652" i="1" s="1"/>
  <c r="G652" i="1"/>
  <c r="H653" i="1" s="1"/>
  <c r="F652" i="1"/>
  <c r="D652" i="1"/>
  <c r="L652" i="1" s="1"/>
  <c r="K651" i="1"/>
  <c r="N651" i="1" s="1"/>
  <c r="J651" i="1"/>
  <c r="M651" i="1" s="1"/>
  <c r="G651" i="1"/>
  <c r="H652" i="1" s="1"/>
  <c r="F651" i="1"/>
  <c r="D651" i="1"/>
  <c r="L651" i="1" s="1"/>
  <c r="K650" i="1"/>
  <c r="N650" i="1" s="1"/>
  <c r="J650" i="1"/>
  <c r="M650" i="1" s="1"/>
  <c r="G650" i="1"/>
  <c r="H651" i="1" s="1"/>
  <c r="F650" i="1"/>
  <c r="D650" i="1"/>
  <c r="L650" i="1" s="1"/>
  <c r="K649" i="1"/>
  <c r="N649" i="1" s="1"/>
  <c r="J649" i="1"/>
  <c r="M649" i="1" s="1"/>
  <c r="G649" i="1"/>
  <c r="H650" i="1" s="1"/>
  <c r="F649" i="1"/>
  <c r="D649" i="1"/>
  <c r="L649" i="1" s="1"/>
  <c r="K648" i="1"/>
  <c r="N648" i="1" s="1"/>
  <c r="J648" i="1"/>
  <c r="M648" i="1" s="1"/>
  <c r="G648" i="1"/>
  <c r="H649" i="1" s="1"/>
  <c r="F648" i="1"/>
  <c r="D648" i="1"/>
  <c r="L648" i="1" s="1"/>
  <c r="K647" i="1"/>
  <c r="N647" i="1" s="1"/>
  <c r="J647" i="1"/>
  <c r="M647" i="1" s="1"/>
  <c r="G647" i="1"/>
  <c r="H648" i="1" s="1"/>
  <c r="F647" i="1"/>
  <c r="D647" i="1"/>
  <c r="L647" i="1" s="1"/>
  <c r="K646" i="1"/>
  <c r="N646" i="1" s="1"/>
  <c r="J646" i="1"/>
  <c r="M646" i="1" s="1"/>
  <c r="G646" i="1"/>
  <c r="H647" i="1" s="1"/>
  <c r="F646" i="1"/>
  <c r="D646" i="1"/>
  <c r="L646" i="1" s="1"/>
  <c r="K645" i="1"/>
  <c r="N645" i="1" s="1"/>
  <c r="J645" i="1"/>
  <c r="M645" i="1" s="1"/>
  <c r="G645" i="1"/>
  <c r="H646" i="1" s="1"/>
  <c r="F645" i="1"/>
  <c r="D645" i="1"/>
  <c r="L645" i="1" s="1"/>
  <c r="K644" i="1"/>
  <c r="N644" i="1" s="1"/>
  <c r="J644" i="1"/>
  <c r="M644" i="1" s="1"/>
  <c r="G644" i="1"/>
  <c r="H645" i="1" s="1"/>
  <c r="F644" i="1"/>
  <c r="D644" i="1"/>
  <c r="L644" i="1" s="1"/>
  <c r="K643" i="1"/>
  <c r="N643" i="1" s="1"/>
  <c r="J643" i="1"/>
  <c r="M643" i="1" s="1"/>
  <c r="G643" i="1"/>
  <c r="H644" i="1" s="1"/>
  <c r="F643" i="1"/>
  <c r="D643" i="1"/>
  <c r="L643" i="1" s="1"/>
  <c r="K642" i="1"/>
  <c r="N642" i="1" s="1"/>
  <c r="J642" i="1"/>
  <c r="M642" i="1" s="1"/>
  <c r="G642" i="1"/>
  <c r="H643" i="1" s="1"/>
  <c r="F642" i="1"/>
  <c r="D642" i="1"/>
  <c r="L642" i="1" s="1"/>
  <c r="K641" i="1"/>
  <c r="N641" i="1" s="1"/>
  <c r="J641" i="1"/>
  <c r="M641" i="1" s="1"/>
  <c r="G641" i="1"/>
  <c r="H642" i="1" s="1"/>
  <c r="F641" i="1"/>
  <c r="D641" i="1"/>
  <c r="L641" i="1" s="1"/>
  <c r="K640" i="1"/>
  <c r="N640" i="1" s="1"/>
  <c r="J640" i="1"/>
  <c r="M640" i="1" s="1"/>
  <c r="G640" i="1"/>
  <c r="H641" i="1" s="1"/>
  <c r="F640" i="1"/>
  <c r="D640" i="1"/>
  <c r="L640" i="1" s="1"/>
  <c r="K639" i="1"/>
  <c r="N639" i="1" s="1"/>
  <c r="J639" i="1"/>
  <c r="M639" i="1" s="1"/>
  <c r="G639" i="1"/>
  <c r="H640" i="1" s="1"/>
  <c r="F639" i="1"/>
  <c r="D639" i="1"/>
  <c r="L639" i="1" s="1"/>
  <c r="K638" i="1"/>
  <c r="N638" i="1" s="1"/>
  <c r="J638" i="1"/>
  <c r="M638" i="1" s="1"/>
  <c r="G638" i="1"/>
  <c r="H639" i="1" s="1"/>
  <c r="F638" i="1"/>
  <c r="D638" i="1"/>
  <c r="L638" i="1" s="1"/>
  <c r="K637" i="1"/>
  <c r="N637" i="1" s="1"/>
  <c r="J637" i="1"/>
  <c r="M637" i="1" s="1"/>
  <c r="G637" i="1"/>
  <c r="H638" i="1" s="1"/>
  <c r="F637" i="1"/>
  <c r="D637" i="1"/>
  <c r="L637" i="1" s="1"/>
  <c r="K636" i="1"/>
  <c r="N636" i="1" s="1"/>
  <c r="J636" i="1"/>
  <c r="M636" i="1" s="1"/>
  <c r="G636" i="1"/>
  <c r="H637" i="1" s="1"/>
  <c r="F636" i="1"/>
  <c r="D636" i="1"/>
  <c r="L636" i="1" s="1"/>
  <c r="K635" i="1"/>
  <c r="N635" i="1" s="1"/>
  <c r="J635" i="1"/>
  <c r="M635" i="1" s="1"/>
  <c r="G635" i="1"/>
  <c r="H636" i="1" s="1"/>
  <c r="F635" i="1"/>
  <c r="D635" i="1"/>
  <c r="L635" i="1" s="1"/>
  <c r="K634" i="1"/>
  <c r="N634" i="1" s="1"/>
  <c r="J634" i="1"/>
  <c r="M634" i="1" s="1"/>
  <c r="G634" i="1"/>
  <c r="H635" i="1" s="1"/>
  <c r="F634" i="1"/>
  <c r="D634" i="1"/>
  <c r="L634" i="1" s="1"/>
  <c r="K633" i="1"/>
  <c r="N633" i="1" s="1"/>
  <c r="J633" i="1"/>
  <c r="M633" i="1" s="1"/>
  <c r="G633" i="1"/>
  <c r="H634" i="1" s="1"/>
  <c r="F633" i="1"/>
  <c r="D633" i="1"/>
  <c r="L633" i="1" s="1"/>
  <c r="K632" i="1"/>
  <c r="N632" i="1" s="1"/>
  <c r="J632" i="1"/>
  <c r="M632" i="1" s="1"/>
  <c r="G632" i="1"/>
  <c r="H633" i="1" s="1"/>
  <c r="F632" i="1"/>
  <c r="D632" i="1"/>
  <c r="L632" i="1" s="1"/>
  <c r="K631" i="1"/>
  <c r="N631" i="1" s="1"/>
  <c r="J631" i="1"/>
  <c r="M631" i="1" s="1"/>
  <c r="G631" i="1"/>
  <c r="H632" i="1" s="1"/>
  <c r="F631" i="1"/>
  <c r="D631" i="1"/>
  <c r="L631" i="1" s="1"/>
  <c r="K630" i="1"/>
  <c r="N630" i="1" s="1"/>
  <c r="J630" i="1"/>
  <c r="M630" i="1" s="1"/>
  <c r="G630" i="1"/>
  <c r="H631" i="1" s="1"/>
  <c r="F630" i="1"/>
  <c r="D630" i="1"/>
  <c r="L630" i="1" s="1"/>
  <c r="K629" i="1"/>
  <c r="N629" i="1" s="1"/>
  <c r="J629" i="1"/>
  <c r="M629" i="1" s="1"/>
  <c r="G629" i="1"/>
  <c r="H630" i="1" s="1"/>
  <c r="F629" i="1"/>
  <c r="D629" i="1"/>
  <c r="L629" i="1" s="1"/>
  <c r="K628" i="1"/>
  <c r="N628" i="1" s="1"/>
  <c r="J628" i="1"/>
  <c r="M628" i="1" s="1"/>
  <c r="G628" i="1"/>
  <c r="H629" i="1" s="1"/>
  <c r="F628" i="1"/>
  <c r="D628" i="1"/>
  <c r="L628" i="1" s="1"/>
  <c r="K627" i="1"/>
  <c r="N627" i="1" s="1"/>
  <c r="J627" i="1"/>
  <c r="M627" i="1" s="1"/>
  <c r="G627" i="1"/>
  <c r="H628" i="1" s="1"/>
  <c r="F627" i="1"/>
  <c r="D627" i="1"/>
  <c r="L627" i="1" s="1"/>
  <c r="K626" i="1"/>
  <c r="N626" i="1" s="1"/>
  <c r="J626" i="1"/>
  <c r="M626" i="1" s="1"/>
  <c r="G626" i="1"/>
  <c r="H627" i="1" s="1"/>
  <c r="F626" i="1"/>
  <c r="D626" i="1"/>
  <c r="L626" i="1" s="1"/>
  <c r="K625" i="1"/>
  <c r="N625" i="1" s="1"/>
  <c r="J625" i="1"/>
  <c r="M625" i="1" s="1"/>
  <c r="G625" i="1"/>
  <c r="H626" i="1" s="1"/>
  <c r="F625" i="1"/>
  <c r="D625" i="1"/>
  <c r="L625" i="1" s="1"/>
  <c r="K624" i="1"/>
  <c r="N624" i="1" s="1"/>
  <c r="J624" i="1"/>
  <c r="M624" i="1" s="1"/>
  <c r="G624" i="1"/>
  <c r="H625" i="1" s="1"/>
  <c r="F624" i="1"/>
  <c r="D624" i="1"/>
  <c r="L624" i="1" s="1"/>
  <c r="K623" i="1"/>
  <c r="N623" i="1" s="1"/>
  <c r="J623" i="1"/>
  <c r="M623" i="1" s="1"/>
  <c r="G623" i="1"/>
  <c r="H624" i="1" s="1"/>
  <c r="F623" i="1"/>
  <c r="D623" i="1"/>
  <c r="L623" i="1" s="1"/>
  <c r="K622" i="1"/>
  <c r="N622" i="1" s="1"/>
  <c r="J622" i="1"/>
  <c r="M622" i="1" s="1"/>
  <c r="G622" i="1"/>
  <c r="H623" i="1" s="1"/>
  <c r="F622" i="1"/>
  <c r="D622" i="1"/>
  <c r="L622" i="1" s="1"/>
  <c r="K621" i="1"/>
  <c r="N621" i="1" s="1"/>
  <c r="J621" i="1"/>
  <c r="M621" i="1" s="1"/>
  <c r="G621" i="1"/>
  <c r="H622" i="1" s="1"/>
  <c r="F621" i="1"/>
  <c r="D621" i="1"/>
  <c r="L621" i="1" s="1"/>
  <c r="K620" i="1"/>
  <c r="N620" i="1" s="1"/>
  <c r="J620" i="1"/>
  <c r="M620" i="1" s="1"/>
  <c r="G620" i="1"/>
  <c r="H621" i="1" s="1"/>
  <c r="F620" i="1"/>
  <c r="D620" i="1"/>
  <c r="L620" i="1" s="1"/>
  <c r="K619" i="1"/>
  <c r="N619" i="1" s="1"/>
  <c r="J619" i="1"/>
  <c r="M619" i="1" s="1"/>
  <c r="G619" i="1"/>
  <c r="H620" i="1" s="1"/>
  <c r="F619" i="1"/>
  <c r="D619" i="1"/>
  <c r="L619" i="1" s="1"/>
  <c r="K618" i="1"/>
  <c r="N618" i="1" s="1"/>
  <c r="J618" i="1"/>
  <c r="M618" i="1" s="1"/>
  <c r="G618" i="1"/>
  <c r="H619" i="1" s="1"/>
  <c r="F618" i="1"/>
  <c r="D618" i="1"/>
  <c r="L618" i="1" s="1"/>
  <c r="K617" i="1"/>
  <c r="N617" i="1" s="1"/>
  <c r="J617" i="1"/>
  <c r="M617" i="1" s="1"/>
  <c r="G617" i="1"/>
  <c r="H618" i="1" s="1"/>
  <c r="F617" i="1"/>
  <c r="D617" i="1"/>
  <c r="L617" i="1" s="1"/>
  <c r="K616" i="1"/>
  <c r="N616" i="1" s="1"/>
  <c r="J616" i="1"/>
  <c r="M616" i="1" s="1"/>
  <c r="G616" i="1"/>
  <c r="H617" i="1" s="1"/>
  <c r="F616" i="1"/>
  <c r="D616" i="1"/>
  <c r="L616" i="1" s="1"/>
  <c r="K615" i="1"/>
  <c r="N615" i="1" s="1"/>
  <c r="J615" i="1"/>
  <c r="M615" i="1" s="1"/>
  <c r="G615" i="1"/>
  <c r="H616" i="1" s="1"/>
  <c r="F615" i="1"/>
  <c r="D615" i="1"/>
  <c r="L615" i="1" s="1"/>
  <c r="K614" i="1"/>
  <c r="N614" i="1" s="1"/>
  <c r="J614" i="1"/>
  <c r="M614" i="1" s="1"/>
  <c r="G614" i="1"/>
  <c r="H615" i="1" s="1"/>
  <c r="F614" i="1"/>
  <c r="D614" i="1"/>
  <c r="L614" i="1" s="1"/>
  <c r="K613" i="1"/>
  <c r="N613" i="1" s="1"/>
  <c r="J613" i="1"/>
  <c r="M613" i="1" s="1"/>
  <c r="G613" i="1"/>
  <c r="H614" i="1" s="1"/>
  <c r="F613" i="1"/>
  <c r="D613" i="1"/>
  <c r="L613" i="1" s="1"/>
  <c r="K612" i="1"/>
  <c r="N612" i="1" s="1"/>
  <c r="J612" i="1"/>
  <c r="M612" i="1" s="1"/>
  <c r="G612" i="1"/>
  <c r="H613" i="1" s="1"/>
  <c r="F612" i="1"/>
  <c r="D612" i="1"/>
  <c r="L612" i="1" s="1"/>
  <c r="K611" i="1"/>
  <c r="N611" i="1" s="1"/>
  <c r="J611" i="1"/>
  <c r="M611" i="1" s="1"/>
  <c r="G611" i="1"/>
  <c r="H612" i="1" s="1"/>
  <c r="F611" i="1"/>
  <c r="D611" i="1"/>
  <c r="L611" i="1" s="1"/>
  <c r="K610" i="1"/>
  <c r="N610" i="1" s="1"/>
  <c r="J610" i="1"/>
  <c r="M610" i="1" s="1"/>
  <c r="G610" i="1"/>
  <c r="H611" i="1" s="1"/>
  <c r="F610" i="1"/>
  <c r="D610" i="1"/>
  <c r="L610" i="1" s="1"/>
  <c r="K609" i="1"/>
  <c r="N609" i="1" s="1"/>
  <c r="J609" i="1"/>
  <c r="M609" i="1" s="1"/>
  <c r="G609" i="1"/>
  <c r="H610" i="1" s="1"/>
  <c r="F609" i="1"/>
  <c r="D609" i="1"/>
  <c r="L609" i="1" s="1"/>
  <c r="K608" i="1"/>
  <c r="N608" i="1" s="1"/>
  <c r="J608" i="1"/>
  <c r="M608" i="1" s="1"/>
  <c r="G608" i="1"/>
  <c r="H609" i="1" s="1"/>
  <c r="F608" i="1"/>
  <c r="D608" i="1"/>
  <c r="L608" i="1" s="1"/>
  <c r="K607" i="1"/>
  <c r="N607" i="1" s="1"/>
  <c r="J607" i="1"/>
  <c r="M607" i="1" s="1"/>
  <c r="G607" i="1"/>
  <c r="H608" i="1" s="1"/>
  <c r="F607" i="1"/>
  <c r="D607" i="1"/>
  <c r="L607" i="1" s="1"/>
  <c r="K606" i="1"/>
  <c r="N606" i="1" s="1"/>
  <c r="J606" i="1"/>
  <c r="M606" i="1" s="1"/>
  <c r="G606" i="1"/>
  <c r="H607" i="1" s="1"/>
  <c r="F606" i="1"/>
  <c r="D606" i="1"/>
  <c r="L606" i="1" s="1"/>
  <c r="K605" i="1"/>
  <c r="N605" i="1" s="1"/>
  <c r="J605" i="1"/>
  <c r="M605" i="1" s="1"/>
  <c r="G605" i="1"/>
  <c r="H606" i="1" s="1"/>
  <c r="F605" i="1"/>
  <c r="D605" i="1"/>
  <c r="L605" i="1" s="1"/>
  <c r="K604" i="1"/>
  <c r="N604" i="1" s="1"/>
  <c r="J604" i="1"/>
  <c r="M604" i="1" s="1"/>
  <c r="G604" i="1"/>
  <c r="H605" i="1" s="1"/>
  <c r="F604" i="1"/>
  <c r="D604" i="1"/>
  <c r="L604" i="1" s="1"/>
  <c r="K603" i="1"/>
  <c r="N603" i="1" s="1"/>
  <c r="J603" i="1"/>
  <c r="M603" i="1" s="1"/>
  <c r="G603" i="1"/>
  <c r="H604" i="1" s="1"/>
  <c r="F603" i="1"/>
  <c r="D603" i="1"/>
  <c r="L603" i="1" s="1"/>
  <c r="K602" i="1"/>
  <c r="N602" i="1" s="1"/>
  <c r="J602" i="1"/>
  <c r="M602" i="1" s="1"/>
  <c r="G602" i="1"/>
  <c r="H603" i="1" s="1"/>
  <c r="F602" i="1"/>
  <c r="D602" i="1"/>
  <c r="L602" i="1" s="1"/>
  <c r="K601" i="1"/>
  <c r="N601" i="1" s="1"/>
  <c r="J601" i="1"/>
  <c r="M601" i="1" s="1"/>
  <c r="G601" i="1"/>
  <c r="H602" i="1" s="1"/>
  <c r="F601" i="1"/>
  <c r="D601" i="1"/>
  <c r="L601" i="1" s="1"/>
  <c r="K600" i="1"/>
  <c r="N600" i="1" s="1"/>
  <c r="J600" i="1"/>
  <c r="M600" i="1" s="1"/>
  <c r="G600" i="1"/>
  <c r="H601" i="1" s="1"/>
  <c r="F600" i="1"/>
  <c r="D600" i="1"/>
  <c r="L600" i="1" s="1"/>
  <c r="K599" i="1"/>
  <c r="N599" i="1" s="1"/>
  <c r="J599" i="1"/>
  <c r="M599" i="1" s="1"/>
  <c r="G599" i="1"/>
  <c r="H600" i="1" s="1"/>
  <c r="F599" i="1"/>
  <c r="D599" i="1"/>
  <c r="L599" i="1" s="1"/>
  <c r="K598" i="1"/>
  <c r="N598" i="1" s="1"/>
  <c r="J598" i="1"/>
  <c r="M598" i="1" s="1"/>
  <c r="G598" i="1"/>
  <c r="H599" i="1" s="1"/>
  <c r="F598" i="1"/>
  <c r="D598" i="1"/>
  <c r="L598" i="1" s="1"/>
  <c r="K597" i="1"/>
  <c r="N597" i="1" s="1"/>
  <c r="J597" i="1"/>
  <c r="M597" i="1" s="1"/>
  <c r="G597" i="1"/>
  <c r="H598" i="1" s="1"/>
  <c r="F597" i="1"/>
  <c r="D597" i="1"/>
  <c r="L597" i="1" s="1"/>
  <c r="K596" i="1"/>
  <c r="N596" i="1" s="1"/>
  <c r="J596" i="1"/>
  <c r="M596" i="1" s="1"/>
  <c r="G596" i="1"/>
  <c r="H597" i="1" s="1"/>
  <c r="F596" i="1"/>
  <c r="D596" i="1"/>
  <c r="L596" i="1" s="1"/>
  <c r="K595" i="1"/>
  <c r="N595" i="1" s="1"/>
  <c r="J595" i="1"/>
  <c r="M595" i="1" s="1"/>
  <c r="G595" i="1"/>
  <c r="H596" i="1" s="1"/>
  <c r="F595" i="1"/>
  <c r="D595" i="1"/>
  <c r="L595" i="1" s="1"/>
  <c r="K594" i="1"/>
  <c r="N594" i="1" s="1"/>
  <c r="J594" i="1"/>
  <c r="M594" i="1" s="1"/>
  <c r="G594" i="1"/>
  <c r="H595" i="1" s="1"/>
  <c r="F594" i="1"/>
  <c r="D594" i="1"/>
  <c r="L594" i="1" s="1"/>
  <c r="K593" i="1"/>
  <c r="N593" i="1" s="1"/>
  <c r="J593" i="1"/>
  <c r="M593" i="1" s="1"/>
  <c r="G593" i="1"/>
  <c r="H594" i="1" s="1"/>
  <c r="F593" i="1"/>
  <c r="D593" i="1"/>
  <c r="L593" i="1" s="1"/>
  <c r="K592" i="1"/>
  <c r="N592" i="1" s="1"/>
  <c r="J592" i="1"/>
  <c r="M592" i="1" s="1"/>
  <c r="G592" i="1"/>
  <c r="H593" i="1" s="1"/>
  <c r="F592" i="1"/>
  <c r="D592" i="1"/>
  <c r="L592" i="1" s="1"/>
  <c r="K591" i="1"/>
  <c r="N591" i="1" s="1"/>
  <c r="J591" i="1"/>
  <c r="M591" i="1" s="1"/>
  <c r="G591" i="1"/>
  <c r="H592" i="1" s="1"/>
  <c r="F591" i="1"/>
  <c r="D591" i="1"/>
  <c r="L591" i="1" s="1"/>
  <c r="K590" i="1"/>
  <c r="N590" i="1" s="1"/>
  <c r="J590" i="1"/>
  <c r="M590" i="1" s="1"/>
  <c r="G590" i="1"/>
  <c r="H591" i="1" s="1"/>
  <c r="F590" i="1"/>
  <c r="D590" i="1"/>
  <c r="L590" i="1" s="1"/>
  <c r="K589" i="1"/>
  <c r="N589" i="1" s="1"/>
  <c r="J589" i="1"/>
  <c r="M589" i="1" s="1"/>
  <c r="G589" i="1"/>
  <c r="H590" i="1" s="1"/>
  <c r="F589" i="1"/>
  <c r="D589" i="1"/>
  <c r="L589" i="1" s="1"/>
  <c r="K588" i="1"/>
  <c r="N588" i="1" s="1"/>
  <c r="J588" i="1"/>
  <c r="M588" i="1" s="1"/>
  <c r="G588" i="1"/>
  <c r="H589" i="1" s="1"/>
  <c r="F588" i="1"/>
  <c r="D588" i="1"/>
  <c r="L588" i="1" s="1"/>
  <c r="K587" i="1"/>
  <c r="N587" i="1" s="1"/>
  <c r="J587" i="1"/>
  <c r="M587" i="1" s="1"/>
  <c r="G587" i="1"/>
  <c r="H588" i="1" s="1"/>
  <c r="F587" i="1"/>
  <c r="D587" i="1"/>
  <c r="L587" i="1" s="1"/>
  <c r="K586" i="1"/>
  <c r="N586" i="1" s="1"/>
  <c r="J586" i="1"/>
  <c r="M586" i="1" s="1"/>
  <c r="G586" i="1"/>
  <c r="H587" i="1" s="1"/>
  <c r="F586" i="1"/>
  <c r="D586" i="1"/>
  <c r="L586" i="1" s="1"/>
  <c r="K585" i="1"/>
  <c r="N585" i="1" s="1"/>
  <c r="J585" i="1"/>
  <c r="M585" i="1" s="1"/>
  <c r="G585" i="1"/>
  <c r="H586" i="1" s="1"/>
  <c r="F585" i="1"/>
  <c r="D585" i="1"/>
  <c r="L585" i="1" s="1"/>
  <c r="K584" i="1"/>
  <c r="N584" i="1" s="1"/>
  <c r="J584" i="1"/>
  <c r="M584" i="1" s="1"/>
  <c r="G584" i="1"/>
  <c r="H585" i="1" s="1"/>
  <c r="F584" i="1"/>
  <c r="D584" i="1"/>
  <c r="L584" i="1" s="1"/>
  <c r="K583" i="1"/>
  <c r="N583" i="1" s="1"/>
  <c r="J583" i="1"/>
  <c r="M583" i="1" s="1"/>
  <c r="G583" i="1"/>
  <c r="H584" i="1" s="1"/>
  <c r="F583" i="1"/>
  <c r="D583" i="1"/>
  <c r="L583" i="1" s="1"/>
  <c r="K582" i="1"/>
  <c r="N582" i="1" s="1"/>
  <c r="J582" i="1"/>
  <c r="M582" i="1" s="1"/>
  <c r="G582" i="1"/>
  <c r="H583" i="1" s="1"/>
  <c r="F582" i="1"/>
  <c r="D582" i="1"/>
  <c r="L582" i="1" s="1"/>
  <c r="K581" i="1"/>
  <c r="N581" i="1" s="1"/>
  <c r="J581" i="1"/>
  <c r="M581" i="1" s="1"/>
  <c r="G581" i="1"/>
  <c r="H582" i="1" s="1"/>
  <c r="F581" i="1"/>
  <c r="D581" i="1"/>
  <c r="L581" i="1" s="1"/>
  <c r="K580" i="1"/>
  <c r="N580" i="1" s="1"/>
  <c r="J580" i="1"/>
  <c r="M580" i="1" s="1"/>
  <c r="G580" i="1"/>
  <c r="H581" i="1" s="1"/>
  <c r="F580" i="1"/>
  <c r="D580" i="1"/>
  <c r="L580" i="1" s="1"/>
  <c r="K579" i="1"/>
  <c r="N579" i="1" s="1"/>
  <c r="J579" i="1"/>
  <c r="M579" i="1" s="1"/>
  <c r="G579" i="1"/>
  <c r="H580" i="1" s="1"/>
  <c r="F579" i="1"/>
  <c r="D579" i="1"/>
  <c r="L579" i="1" s="1"/>
  <c r="K578" i="1"/>
  <c r="N578" i="1" s="1"/>
  <c r="J578" i="1"/>
  <c r="M578" i="1" s="1"/>
  <c r="G578" i="1"/>
  <c r="H579" i="1" s="1"/>
  <c r="F578" i="1"/>
  <c r="D578" i="1"/>
  <c r="L578" i="1" s="1"/>
  <c r="K577" i="1"/>
  <c r="N577" i="1" s="1"/>
  <c r="J577" i="1"/>
  <c r="M577" i="1" s="1"/>
  <c r="G577" i="1"/>
  <c r="H578" i="1" s="1"/>
  <c r="F577" i="1"/>
  <c r="D577" i="1"/>
  <c r="L577" i="1" s="1"/>
  <c r="K576" i="1"/>
  <c r="N576" i="1" s="1"/>
  <c r="J576" i="1"/>
  <c r="M576" i="1" s="1"/>
  <c r="G576" i="1"/>
  <c r="H577" i="1" s="1"/>
  <c r="F576" i="1"/>
  <c r="D576" i="1"/>
  <c r="L576" i="1" s="1"/>
  <c r="K575" i="1"/>
  <c r="N575" i="1" s="1"/>
  <c r="J575" i="1"/>
  <c r="M575" i="1" s="1"/>
  <c r="G575" i="1"/>
  <c r="H576" i="1" s="1"/>
  <c r="F575" i="1"/>
  <c r="D575" i="1"/>
  <c r="L575" i="1" s="1"/>
  <c r="K574" i="1"/>
  <c r="N574" i="1" s="1"/>
  <c r="J574" i="1"/>
  <c r="M574" i="1" s="1"/>
  <c r="G574" i="1"/>
  <c r="H575" i="1" s="1"/>
  <c r="F574" i="1"/>
  <c r="D574" i="1"/>
  <c r="L574" i="1" s="1"/>
  <c r="K573" i="1"/>
  <c r="N573" i="1" s="1"/>
  <c r="J573" i="1"/>
  <c r="M573" i="1" s="1"/>
  <c r="G573" i="1"/>
  <c r="H574" i="1" s="1"/>
  <c r="F573" i="1"/>
  <c r="D573" i="1"/>
  <c r="L573" i="1" s="1"/>
  <c r="K572" i="1"/>
  <c r="N572" i="1" s="1"/>
  <c r="J572" i="1"/>
  <c r="M572" i="1" s="1"/>
  <c r="G572" i="1"/>
  <c r="H573" i="1" s="1"/>
  <c r="F572" i="1"/>
  <c r="D572" i="1"/>
  <c r="L572" i="1" s="1"/>
  <c r="K571" i="1"/>
  <c r="N571" i="1" s="1"/>
  <c r="J571" i="1"/>
  <c r="M571" i="1" s="1"/>
  <c r="G571" i="1"/>
  <c r="H572" i="1" s="1"/>
  <c r="F571" i="1"/>
  <c r="D571" i="1"/>
  <c r="L571" i="1" s="1"/>
  <c r="K570" i="1"/>
  <c r="N570" i="1" s="1"/>
  <c r="J570" i="1"/>
  <c r="M570" i="1" s="1"/>
  <c r="G570" i="1"/>
  <c r="H571" i="1" s="1"/>
  <c r="F570" i="1"/>
  <c r="D570" i="1"/>
  <c r="L570" i="1" s="1"/>
  <c r="K569" i="1"/>
  <c r="N569" i="1" s="1"/>
  <c r="J569" i="1"/>
  <c r="M569" i="1" s="1"/>
  <c r="G569" i="1"/>
  <c r="H570" i="1" s="1"/>
  <c r="F569" i="1"/>
  <c r="D569" i="1"/>
  <c r="L569" i="1" s="1"/>
  <c r="K568" i="1"/>
  <c r="N568" i="1" s="1"/>
  <c r="J568" i="1"/>
  <c r="M568" i="1" s="1"/>
  <c r="G568" i="1"/>
  <c r="H569" i="1" s="1"/>
  <c r="F568" i="1"/>
  <c r="D568" i="1"/>
  <c r="L568" i="1" s="1"/>
  <c r="K567" i="1"/>
  <c r="N567" i="1" s="1"/>
  <c r="J567" i="1"/>
  <c r="M567" i="1" s="1"/>
  <c r="G567" i="1"/>
  <c r="H568" i="1" s="1"/>
  <c r="F567" i="1"/>
  <c r="D567" i="1"/>
  <c r="L567" i="1" s="1"/>
  <c r="K566" i="1"/>
  <c r="N566" i="1" s="1"/>
  <c r="J566" i="1"/>
  <c r="M566" i="1" s="1"/>
  <c r="G566" i="1"/>
  <c r="H567" i="1" s="1"/>
  <c r="F566" i="1"/>
  <c r="D566" i="1"/>
  <c r="L566" i="1" s="1"/>
  <c r="K565" i="1"/>
  <c r="N565" i="1" s="1"/>
  <c r="J565" i="1"/>
  <c r="M565" i="1" s="1"/>
  <c r="G565" i="1"/>
  <c r="H566" i="1" s="1"/>
  <c r="F565" i="1"/>
  <c r="D565" i="1"/>
  <c r="L565" i="1" s="1"/>
  <c r="K564" i="1"/>
  <c r="N564" i="1" s="1"/>
  <c r="J564" i="1"/>
  <c r="M564" i="1" s="1"/>
  <c r="G564" i="1"/>
  <c r="H565" i="1" s="1"/>
  <c r="F564" i="1"/>
  <c r="D564" i="1"/>
  <c r="L564" i="1" s="1"/>
  <c r="K563" i="1"/>
  <c r="N563" i="1" s="1"/>
  <c r="J563" i="1"/>
  <c r="M563" i="1" s="1"/>
  <c r="G563" i="1"/>
  <c r="H564" i="1" s="1"/>
  <c r="F563" i="1"/>
  <c r="D563" i="1"/>
  <c r="L563" i="1" s="1"/>
  <c r="K562" i="1"/>
  <c r="N562" i="1" s="1"/>
  <c r="J562" i="1"/>
  <c r="M562" i="1" s="1"/>
  <c r="G562" i="1"/>
  <c r="H563" i="1" s="1"/>
  <c r="F562" i="1"/>
  <c r="D562" i="1"/>
  <c r="L562" i="1" s="1"/>
  <c r="K561" i="1"/>
  <c r="N561" i="1" s="1"/>
  <c r="J561" i="1"/>
  <c r="M561" i="1" s="1"/>
  <c r="G561" i="1"/>
  <c r="H562" i="1" s="1"/>
  <c r="F561" i="1"/>
  <c r="D561" i="1"/>
  <c r="L561" i="1" s="1"/>
  <c r="K560" i="1"/>
  <c r="N560" i="1" s="1"/>
  <c r="J560" i="1"/>
  <c r="M560" i="1" s="1"/>
  <c r="G560" i="1"/>
  <c r="H561" i="1" s="1"/>
  <c r="F560" i="1"/>
  <c r="D560" i="1"/>
  <c r="L560" i="1" s="1"/>
  <c r="K559" i="1"/>
  <c r="N559" i="1" s="1"/>
  <c r="J559" i="1"/>
  <c r="M559" i="1" s="1"/>
  <c r="G559" i="1"/>
  <c r="H560" i="1" s="1"/>
  <c r="F559" i="1"/>
  <c r="D559" i="1"/>
  <c r="L559" i="1" s="1"/>
  <c r="K558" i="1"/>
  <c r="N558" i="1" s="1"/>
  <c r="J558" i="1"/>
  <c r="M558" i="1" s="1"/>
  <c r="G558" i="1"/>
  <c r="H559" i="1" s="1"/>
  <c r="F558" i="1"/>
  <c r="D558" i="1"/>
  <c r="L558" i="1" s="1"/>
  <c r="K557" i="1"/>
  <c r="N557" i="1" s="1"/>
  <c r="J557" i="1"/>
  <c r="M557" i="1" s="1"/>
  <c r="G557" i="1"/>
  <c r="H558" i="1" s="1"/>
  <c r="F557" i="1"/>
  <c r="D557" i="1"/>
  <c r="L557" i="1" s="1"/>
  <c r="K556" i="1"/>
  <c r="N556" i="1" s="1"/>
  <c r="J556" i="1"/>
  <c r="M556" i="1" s="1"/>
  <c r="G556" i="1"/>
  <c r="H557" i="1" s="1"/>
  <c r="F556" i="1"/>
  <c r="D556" i="1"/>
  <c r="L556" i="1" s="1"/>
  <c r="K555" i="1"/>
  <c r="N555" i="1" s="1"/>
  <c r="J555" i="1"/>
  <c r="M555" i="1" s="1"/>
  <c r="G555" i="1"/>
  <c r="H556" i="1" s="1"/>
  <c r="F555" i="1"/>
  <c r="D555" i="1"/>
  <c r="L555" i="1" s="1"/>
  <c r="K554" i="1"/>
  <c r="N554" i="1" s="1"/>
  <c r="J554" i="1"/>
  <c r="M554" i="1" s="1"/>
  <c r="G554" i="1"/>
  <c r="H555" i="1" s="1"/>
  <c r="F554" i="1"/>
  <c r="D554" i="1"/>
  <c r="L554" i="1" s="1"/>
  <c r="K553" i="1"/>
  <c r="N553" i="1" s="1"/>
  <c r="J553" i="1"/>
  <c r="M553" i="1" s="1"/>
  <c r="G553" i="1"/>
  <c r="H554" i="1" s="1"/>
  <c r="F553" i="1"/>
  <c r="D553" i="1"/>
  <c r="L553" i="1" s="1"/>
  <c r="K552" i="1"/>
  <c r="N552" i="1" s="1"/>
  <c r="J552" i="1"/>
  <c r="M552" i="1" s="1"/>
  <c r="G552" i="1"/>
  <c r="H553" i="1" s="1"/>
  <c r="F552" i="1"/>
  <c r="D552" i="1"/>
  <c r="L552" i="1" s="1"/>
  <c r="K551" i="1"/>
  <c r="N551" i="1" s="1"/>
  <c r="J551" i="1"/>
  <c r="M551" i="1" s="1"/>
  <c r="G551" i="1"/>
  <c r="H552" i="1" s="1"/>
  <c r="F551" i="1"/>
  <c r="D551" i="1"/>
  <c r="L551" i="1" s="1"/>
  <c r="K550" i="1"/>
  <c r="N550" i="1" s="1"/>
  <c r="J550" i="1"/>
  <c r="M550" i="1" s="1"/>
  <c r="G550" i="1"/>
  <c r="H551" i="1" s="1"/>
  <c r="F550" i="1"/>
  <c r="D550" i="1"/>
  <c r="L550" i="1" s="1"/>
  <c r="K549" i="1"/>
  <c r="N549" i="1" s="1"/>
  <c r="J549" i="1"/>
  <c r="M549" i="1" s="1"/>
  <c r="G549" i="1"/>
  <c r="H550" i="1" s="1"/>
  <c r="F549" i="1"/>
  <c r="D549" i="1"/>
  <c r="L549" i="1" s="1"/>
  <c r="K548" i="1"/>
  <c r="N548" i="1" s="1"/>
  <c r="J548" i="1"/>
  <c r="M548" i="1" s="1"/>
  <c r="G548" i="1"/>
  <c r="H549" i="1" s="1"/>
  <c r="F548" i="1"/>
  <c r="D548" i="1"/>
  <c r="L548" i="1" s="1"/>
  <c r="K547" i="1"/>
  <c r="N547" i="1" s="1"/>
  <c r="J547" i="1"/>
  <c r="M547" i="1" s="1"/>
  <c r="G547" i="1"/>
  <c r="H548" i="1" s="1"/>
  <c r="F547" i="1"/>
  <c r="D547" i="1"/>
  <c r="L547" i="1" s="1"/>
  <c r="K546" i="1"/>
  <c r="N546" i="1" s="1"/>
  <c r="J546" i="1"/>
  <c r="M546" i="1" s="1"/>
  <c r="G546" i="1"/>
  <c r="H547" i="1" s="1"/>
  <c r="F546" i="1"/>
  <c r="D546" i="1"/>
  <c r="L546" i="1" s="1"/>
  <c r="K545" i="1"/>
  <c r="N545" i="1" s="1"/>
  <c r="J545" i="1"/>
  <c r="M545" i="1" s="1"/>
  <c r="G545" i="1"/>
  <c r="H546" i="1" s="1"/>
  <c r="F545" i="1"/>
  <c r="D545" i="1"/>
  <c r="L545" i="1" s="1"/>
  <c r="K544" i="1"/>
  <c r="N544" i="1" s="1"/>
  <c r="J544" i="1"/>
  <c r="M544" i="1" s="1"/>
  <c r="G544" i="1"/>
  <c r="H545" i="1" s="1"/>
  <c r="F544" i="1"/>
  <c r="D544" i="1"/>
  <c r="L544" i="1" s="1"/>
  <c r="K543" i="1"/>
  <c r="N543" i="1" s="1"/>
  <c r="J543" i="1"/>
  <c r="M543" i="1" s="1"/>
  <c r="G543" i="1"/>
  <c r="H544" i="1" s="1"/>
  <c r="F543" i="1"/>
  <c r="D543" i="1"/>
  <c r="L543" i="1" s="1"/>
  <c r="K542" i="1"/>
  <c r="N542" i="1" s="1"/>
  <c r="J542" i="1"/>
  <c r="M542" i="1" s="1"/>
  <c r="G542" i="1"/>
  <c r="H543" i="1" s="1"/>
  <c r="F542" i="1"/>
  <c r="D542" i="1"/>
  <c r="L542" i="1" s="1"/>
  <c r="K541" i="1"/>
  <c r="N541" i="1" s="1"/>
  <c r="J541" i="1"/>
  <c r="M541" i="1" s="1"/>
  <c r="G541" i="1"/>
  <c r="H542" i="1" s="1"/>
  <c r="F541" i="1"/>
  <c r="D541" i="1"/>
  <c r="L541" i="1" s="1"/>
  <c r="K540" i="1"/>
  <c r="N540" i="1" s="1"/>
  <c r="J540" i="1"/>
  <c r="M540" i="1" s="1"/>
  <c r="G540" i="1"/>
  <c r="H541" i="1" s="1"/>
  <c r="F540" i="1"/>
  <c r="D540" i="1"/>
  <c r="L540" i="1" s="1"/>
  <c r="K539" i="1"/>
  <c r="N539" i="1" s="1"/>
  <c r="J539" i="1"/>
  <c r="M539" i="1" s="1"/>
  <c r="G539" i="1"/>
  <c r="H540" i="1" s="1"/>
  <c r="F539" i="1"/>
  <c r="D539" i="1"/>
  <c r="L539" i="1" s="1"/>
  <c r="K538" i="1"/>
  <c r="N538" i="1" s="1"/>
  <c r="J538" i="1"/>
  <c r="M538" i="1" s="1"/>
  <c r="G538" i="1"/>
  <c r="H539" i="1" s="1"/>
  <c r="F538" i="1"/>
  <c r="D538" i="1"/>
  <c r="L538" i="1" s="1"/>
  <c r="K537" i="1"/>
  <c r="N537" i="1" s="1"/>
  <c r="J537" i="1"/>
  <c r="M537" i="1" s="1"/>
  <c r="G537" i="1"/>
  <c r="H538" i="1" s="1"/>
  <c r="F537" i="1"/>
  <c r="D537" i="1"/>
  <c r="L537" i="1" s="1"/>
  <c r="K536" i="1"/>
  <c r="N536" i="1" s="1"/>
  <c r="J536" i="1"/>
  <c r="M536" i="1" s="1"/>
  <c r="G536" i="1"/>
  <c r="H537" i="1" s="1"/>
  <c r="F536" i="1"/>
  <c r="D536" i="1"/>
  <c r="L536" i="1" s="1"/>
  <c r="K535" i="1"/>
  <c r="N535" i="1" s="1"/>
  <c r="J535" i="1"/>
  <c r="M535" i="1" s="1"/>
  <c r="G535" i="1"/>
  <c r="H536" i="1" s="1"/>
  <c r="F535" i="1"/>
  <c r="D535" i="1"/>
  <c r="L535" i="1" s="1"/>
  <c r="K534" i="1"/>
  <c r="N534" i="1" s="1"/>
  <c r="J534" i="1"/>
  <c r="M534" i="1" s="1"/>
  <c r="G534" i="1"/>
  <c r="H535" i="1" s="1"/>
  <c r="F534" i="1"/>
  <c r="D534" i="1"/>
  <c r="L534" i="1" s="1"/>
  <c r="K533" i="1"/>
  <c r="N533" i="1" s="1"/>
  <c r="J533" i="1"/>
  <c r="M533" i="1" s="1"/>
  <c r="G533" i="1"/>
  <c r="H534" i="1" s="1"/>
  <c r="F533" i="1"/>
  <c r="D533" i="1"/>
  <c r="L533" i="1" s="1"/>
  <c r="K532" i="1"/>
  <c r="N532" i="1" s="1"/>
  <c r="J532" i="1"/>
  <c r="M532" i="1" s="1"/>
  <c r="G532" i="1"/>
  <c r="H533" i="1" s="1"/>
  <c r="F532" i="1"/>
  <c r="D532" i="1"/>
  <c r="L532" i="1" s="1"/>
  <c r="K531" i="1"/>
  <c r="N531" i="1" s="1"/>
  <c r="J531" i="1"/>
  <c r="M531" i="1" s="1"/>
  <c r="G531" i="1"/>
  <c r="H532" i="1" s="1"/>
  <c r="F531" i="1"/>
  <c r="D531" i="1"/>
  <c r="L531" i="1" s="1"/>
  <c r="K530" i="1"/>
  <c r="N530" i="1" s="1"/>
  <c r="J530" i="1"/>
  <c r="M530" i="1" s="1"/>
  <c r="G530" i="1"/>
  <c r="H531" i="1" s="1"/>
  <c r="F530" i="1"/>
  <c r="D530" i="1"/>
  <c r="L530" i="1" s="1"/>
  <c r="K529" i="1"/>
  <c r="N529" i="1" s="1"/>
  <c r="J529" i="1"/>
  <c r="M529" i="1" s="1"/>
  <c r="G529" i="1"/>
  <c r="H530" i="1" s="1"/>
  <c r="F529" i="1"/>
  <c r="D529" i="1"/>
  <c r="L529" i="1" s="1"/>
  <c r="K528" i="1"/>
  <c r="N528" i="1" s="1"/>
  <c r="J528" i="1"/>
  <c r="M528" i="1" s="1"/>
  <c r="G528" i="1"/>
  <c r="H529" i="1" s="1"/>
  <c r="F528" i="1"/>
  <c r="D528" i="1"/>
  <c r="L528" i="1" s="1"/>
  <c r="K527" i="1"/>
  <c r="N527" i="1" s="1"/>
  <c r="J527" i="1"/>
  <c r="M527" i="1" s="1"/>
  <c r="G527" i="1"/>
  <c r="H528" i="1" s="1"/>
  <c r="F527" i="1"/>
  <c r="D527" i="1"/>
  <c r="L527" i="1" s="1"/>
  <c r="K526" i="1"/>
  <c r="N526" i="1" s="1"/>
  <c r="J526" i="1"/>
  <c r="M526" i="1" s="1"/>
  <c r="G526" i="1"/>
  <c r="H527" i="1" s="1"/>
  <c r="F526" i="1"/>
  <c r="D526" i="1"/>
  <c r="L526" i="1" s="1"/>
  <c r="K525" i="1"/>
  <c r="N525" i="1" s="1"/>
  <c r="J525" i="1"/>
  <c r="M525" i="1" s="1"/>
  <c r="G525" i="1"/>
  <c r="H526" i="1" s="1"/>
  <c r="F525" i="1"/>
  <c r="D525" i="1"/>
  <c r="L525" i="1" s="1"/>
  <c r="K524" i="1"/>
  <c r="N524" i="1" s="1"/>
  <c r="J524" i="1"/>
  <c r="M524" i="1" s="1"/>
  <c r="G524" i="1"/>
  <c r="H525" i="1" s="1"/>
  <c r="F524" i="1"/>
  <c r="D524" i="1"/>
  <c r="L524" i="1" s="1"/>
  <c r="K523" i="1"/>
  <c r="N523" i="1" s="1"/>
  <c r="J523" i="1"/>
  <c r="M523" i="1" s="1"/>
  <c r="G523" i="1"/>
  <c r="H524" i="1" s="1"/>
  <c r="F523" i="1"/>
  <c r="D523" i="1"/>
  <c r="L523" i="1" s="1"/>
  <c r="K522" i="1"/>
  <c r="N522" i="1" s="1"/>
  <c r="J522" i="1"/>
  <c r="M522" i="1" s="1"/>
  <c r="G522" i="1"/>
  <c r="H523" i="1" s="1"/>
  <c r="F522" i="1"/>
  <c r="D522" i="1"/>
  <c r="L522" i="1" s="1"/>
  <c r="K521" i="1"/>
  <c r="N521" i="1" s="1"/>
  <c r="J521" i="1"/>
  <c r="M521" i="1" s="1"/>
  <c r="G521" i="1"/>
  <c r="H522" i="1" s="1"/>
  <c r="F521" i="1"/>
  <c r="D521" i="1"/>
  <c r="L521" i="1" s="1"/>
  <c r="K520" i="1"/>
  <c r="N520" i="1" s="1"/>
  <c r="J520" i="1"/>
  <c r="M520" i="1" s="1"/>
  <c r="G520" i="1"/>
  <c r="H521" i="1" s="1"/>
  <c r="F520" i="1"/>
  <c r="D520" i="1"/>
  <c r="L520" i="1" s="1"/>
  <c r="K519" i="1"/>
  <c r="N519" i="1" s="1"/>
  <c r="J519" i="1"/>
  <c r="M519" i="1" s="1"/>
  <c r="G519" i="1"/>
  <c r="H520" i="1" s="1"/>
  <c r="F519" i="1"/>
  <c r="D519" i="1"/>
  <c r="L519" i="1" s="1"/>
  <c r="K518" i="1"/>
  <c r="N518" i="1" s="1"/>
  <c r="J518" i="1"/>
  <c r="M518" i="1" s="1"/>
  <c r="G518" i="1"/>
  <c r="H519" i="1" s="1"/>
  <c r="F518" i="1"/>
  <c r="D518" i="1"/>
  <c r="L518" i="1" s="1"/>
  <c r="K517" i="1"/>
  <c r="N517" i="1" s="1"/>
  <c r="J517" i="1"/>
  <c r="M517" i="1" s="1"/>
  <c r="G517" i="1"/>
  <c r="H518" i="1" s="1"/>
  <c r="F517" i="1"/>
  <c r="D517" i="1"/>
  <c r="L517" i="1" s="1"/>
  <c r="K516" i="1"/>
  <c r="N516" i="1" s="1"/>
  <c r="J516" i="1"/>
  <c r="M516" i="1" s="1"/>
  <c r="G516" i="1"/>
  <c r="H517" i="1" s="1"/>
  <c r="F516" i="1"/>
  <c r="D516" i="1"/>
  <c r="L516" i="1" s="1"/>
  <c r="K515" i="1"/>
  <c r="N515" i="1" s="1"/>
  <c r="J515" i="1"/>
  <c r="M515" i="1" s="1"/>
  <c r="G515" i="1"/>
  <c r="H516" i="1" s="1"/>
  <c r="F515" i="1"/>
  <c r="D515" i="1"/>
  <c r="L515" i="1" s="1"/>
  <c r="K514" i="1"/>
  <c r="N514" i="1" s="1"/>
  <c r="J514" i="1"/>
  <c r="M514" i="1" s="1"/>
  <c r="G514" i="1"/>
  <c r="H515" i="1" s="1"/>
  <c r="F514" i="1"/>
  <c r="D514" i="1"/>
  <c r="L514" i="1" s="1"/>
  <c r="K513" i="1"/>
  <c r="N513" i="1" s="1"/>
  <c r="J513" i="1"/>
  <c r="M513" i="1" s="1"/>
  <c r="G513" i="1"/>
  <c r="H514" i="1" s="1"/>
  <c r="F513" i="1"/>
  <c r="D513" i="1"/>
  <c r="L513" i="1" s="1"/>
  <c r="K512" i="1"/>
  <c r="N512" i="1" s="1"/>
  <c r="J512" i="1"/>
  <c r="M512" i="1" s="1"/>
  <c r="G512" i="1"/>
  <c r="H513" i="1" s="1"/>
  <c r="F512" i="1"/>
  <c r="D512" i="1"/>
  <c r="L512" i="1" s="1"/>
  <c r="K511" i="1"/>
  <c r="N511" i="1" s="1"/>
  <c r="J511" i="1"/>
  <c r="M511" i="1" s="1"/>
  <c r="G511" i="1"/>
  <c r="H512" i="1" s="1"/>
  <c r="F511" i="1"/>
  <c r="D511" i="1"/>
  <c r="L511" i="1" s="1"/>
  <c r="K510" i="1"/>
  <c r="N510" i="1" s="1"/>
  <c r="J510" i="1"/>
  <c r="M510" i="1" s="1"/>
  <c r="G510" i="1"/>
  <c r="H511" i="1" s="1"/>
  <c r="F510" i="1"/>
  <c r="D510" i="1"/>
  <c r="L510" i="1" s="1"/>
  <c r="K509" i="1"/>
  <c r="N509" i="1" s="1"/>
  <c r="J509" i="1"/>
  <c r="M509" i="1" s="1"/>
  <c r="G509" i="1"/>
  <c r="H510" i="1" s="1"/>
  <c r="F509" i="1"/>
  <c r="D509" i="1"/>
  <c r="L509" i="1" s="1"/>
  <c r="K508" i="1"/>
  <c r="N508" i="1" s="1"/>
  <c r="J508" i="1"/>
  <c r="M508" i="1" s="1"/>
  <c r="G508" i="1"/>
  <c r="H509" i="1" s="1"/>
  <c r="F508" i="1"/>
  <c r="D508" i="1"/>
  <c r="L508" i="1" s="1"/>
  <c r="K507" i="1"/>
  <c r="N507" i="1" s="1"/>
  <c r="J507" i="1"/>
  <c r="M507" i="1" s="1"/>
  <c r="G507" i="1"/>
  <c r="H508" i="1" s="1"/>
  <c r="F507" i="1"/>
  <c r="D507" i="1"/>
  <c r="L507" i="1" s="1"/>
  <c r="K506" i="1"/>
  <c r="N506" i="1" s="1"/>
  <c r="J506" i="1"/>
  <c r="M506" i="1" s="1"/>
  <c r="G506" i="1"/>
  <c r="H507" i="1" s="1"/>
  <c r="F506" i="1"/>
  <c r="D506" i="1"/>
  <c r="L506" i="1" s="1"/>
  <c r="K505" i="1"/>
  <c r="N505" i="1" s="1"/>
  <c r="J505" i="1"/>
  <c r="M505" i="1" s="1"/>
  <c r="G505" i="1"/>
  <c r="H506" i="1" s="1"/>
  <c r="F505" i="1"/>
  <c r="D505" i="1"/>
  <c r="L505" i="1" s="1"/>
  <c r="K504" i="1"/>
  <c r="N504" i="1" s="1"/>
  <c r="J504" i="1"/>
  <c r="M504" i="1" s="1"/>
  <c r="G504" i="1"/>
  <c r="H505" i="1" s="1"/>
  <c r="F504" i="1"/>
  <c r="D504" i="1"/>
  <c r="L504" i="1" s="1"/>
  <c r="K503" i="1"/>
  <c r="N503" i="1" s="1"/>
  <c r="J503" i="1"/>
  <c r="M503" i="1" s="1"/>
  <c r="G503" i="1"/>
  <c r="H504" i="1" s="1"/>
  <c r="F503" i="1"/>
  <c r="D503" i="1"/>
  <c r="L503" i="1" s="1"/>
  <c r="K502" i="1"/>
  <c r="N502" i="1" s="1"/>
  <c r="J502" i="1"/>
  <c r="M502" i="1" s="1"/>
  <c r="G502" i="1"/>
  <c r="H503" i="1" s="1"/>
  <c r="F502" i="1"/>
  <c r="D502" i="1"/>
  <c r="L502" i="1" s="1"/>
  <c r="K501" i="1"/>
  <c r="N501" i="1" s="1"/>
  <c r="J501" i="1"/>
  <c r="M501" i="1" s="1"/>
  <c r="G501" i="1"/>
  <c r="H502" i="1" s="1"/>
  <c r="F501" i="1"/>
  <c r="D501" i="1"/>
  <c r="L501" i="1" s="1"/>
  <c r="K500" i="1"/>
  <c r="N500" i="1" s="1"/>
  <c r="J500" i="1"/>
  <c r="M500" i="1" s="1"/>
  <c r="G500" i="1"/>
  <c r="H501" i="1" s="1"/>
  <c r="F500" i="1"/>
  <c r="D500" i="1"/>
  <c r="L500" i="1" s="1"/>
  <c r="K499" i="1"/>
  <c r="N499" i="1" s="1"/>
  <c r="J499" i="1"/>
  <c r="M499" i="1" s="1"/>
  <c r="G499" i="1"/>
  <c r="H500" i="1" s="1"/>
  <c r="F499" i="1"/>
  <c r="D499" i="1"/>
  <c r="L499" i="1" s="1"/>
  <c r="K498" i="1"/>
  <c r="N498" i="1" s="1"/>
  <c r="J498" i="1"/>
  <c r="M498" i="1" s="1"/>
  <c r="G498" i="1"/>
  <c r="H499" i="1" s="1"/>
  <c r="F498" i="1"/>
  <c r="D498" i="1"/>
  <c r="L498" i="1" s="1"/>
  <c r="K497" i="1"/>
  <c r="N497" i="1" s="1"/>
  <c r="J497" i="1"/>
  <c r="M497" i="1" s="1"/>
  <c r="G497" i="1"/>
  <c r="H498" i="1" s="1"/>
  <c r="F497" i="1"/>
  <c r="D497" i="1"/>
  <c r="L497" i="1" s="1"/>
  <c r="K496" i="1"/>
  <c r="N496" i="1" s="1"/>
  <c r="J496" i="1"/>
  <c r="M496" i="1" s="1"/>
  <c r="G496" i="1"/>
  <c r="H497" i="1" s="1"/>
  <c r="F496" i="1"/>
  <c r="D496" i="1"/>
  <c r="L496" i="1" s="1"/>
  <c r="K495" i="1"/>
  <c r="N495" i="1" s="1"/>
  <c r="J495" i="1"/>
  <c r="M495" i="1" s="1"/>
  <c r="G495" i="1"/>
  <c r="H496" i="1" s="1"/>
  <c r="F495" i="1"/>
  <c r="D495" i="1"/>
  <c r="L495" i="1" s="1"/>
  <c r="K494" i="1"/>
  <c r="N494" i="1" s="1"/>
  <c r="J494" i="1"/>
  <c r="M494" i="1" s="1"/>
  <c r="G494" i="1"/>
  <c r="H495" i="1" s="1"/>
  <c r="F494" i="1"/>
  <c r="D494" i="1"/>
  <c r="L494" i="1" s="1"/>
  <c r="K493" i="1"/>
  <c r="N493" i="1" s="1"/>
  <c r="J493" i="1"/>
  <c r="M493" i="1" s="1"/>
  <c r="G493" i="1"/>
  <c r="H494" i="1" s="1"/>
  <c r="F493" i="1"/>
  <c r="D493" i="1"/>
  <c r="L493" i="1" s="1"/>
  <c r="K492" i="1"/>
  <c r="N492" i="1" s="1"/>
  <c r="J492" i="1"/>
  <c r="M492" i="1" s="1"/>
  <c r="G492" i="1"/>
  <c r="H493" i="1" s="1"/>
  <c r="F492" i="1"/>
  <c r="D492" i="1"/>
  <c r="L492" i="1" s="1"/>
  <c r="K491" i="1"/>
  <c r="N491" i="1" s="1"/>
  <c r="J491" i="1"/>
  <c r="M491" i="1" s="1"/>
  <c r="G491" i="1"/>
  <c r="H492" i="1" s="1"/>
  <c r="F491" i="1"/>
  <c r="D491" i="1"/>
  <c r="L491" i="1" s="1"/>
  <c r="K490" i="1"/>
  <c r="N490" i="1" s="1"/>
  <c r="J490" i="1"/>
  <c r="M490" i="1" s="1"/>
  <c r="G490" i="1"/>
  <c r="H491" i="1" s="1"/>
  <c r="F490" i="1"/>
  <c r="D490" i="1"/>
  <c r="L490" i="1" s="1"/>
  <c r="K489" i="1"/>
  <c r="N489" i="1" s="1"/>
  <c r="J489" i="1"/>
  <c r="M489" i="1" s="1"/>
  <c r="G489" i="1"/>
  <c r="H490" i="1" s="1"/>
  <c r="F489" i="1"/>
  <c r="D489" i="1"/>
  <c r="L489" i="1" s="1"/>
  <c r="K488" i="1"/>
  <c r="N488" i="1" s="1"/>
  <c r="J488" i="1"/>
  <c r="M488" i="1" s="1"/>
  <c r="G488" i="1"/>
  <c r="H489" i="1" s="1"/>
  <c r="F488" i="1"/>
  <c r="D488" i="1"/>
  <c r="L488" i="1" s="1"/>
  <c r="K487" i="1"/>
  <c r="N487" i="1" s="1"/>
  <c r="J487" i="1"/>
  <c r="M487" i="1" s="1"/>
  <c r="G487" i="1"/>
  <c r="H488" i="1" s="1"/>
  <c r="F487" i="1"/>
  <c r="D487" i="1"/>
  <c r="L487" i="1" s="1"/>
  <c r="K486" i="1"/>
  <c r="N486" i="1" s="1"/>
  <c r="J486" i="1"/>
  <c r="M486" i="1" s="1"/>
  <c r="G486" i="1"/>
  <c r="H487" i="1" s="1"/>
  <c r="F486" i="1"/>
  <c r="D486" i="1"/>
  <c r="L486" i="1" s="1"/>
  <c r="K485" i="1"/>
  <c r="N485" i="1" s="1"/>
  <c r="J485" i="1"/>
  <c r="M485" i="1" s="1"/>
  <c r="G485" i="1"/>
  <c r="H486" i="1" s="1"/>
  <c r="F485" i="1"/>
  <c r="D485" i="1"/>
  <c r="L485" i="1" s="1"/>
  <c r="K484" i="1"/>
  <c r="N484" i="1" s="1"/>
  <c r="J484" i="1"/>
  <c r="M484" i="1" s="1"/>
  <c r="G484" i="1"/>
  <c r="H485" i="1" s="1"/>
  <c r="F484" i="1"/>
  <c r="D484" i="1"/>
  <c r="L484" i="1" s="1"/>
  <c r="K483" i="1"/>
  <c r="N483" i="1" s="1"/>
  <c r="J483" i="1"/>
  <c r="M483" i="1" s="1"/>
  <c r="G483" i="1"/>
  <c r="H484" i="1" s="1"/>
  <c r="F483" i="1"/>
  <c r="D483" i="1"/>
  <c r="L483" i="1" s="1"/>
  <c r="K482" i="1"/>
  <c r="N482" i="1" s="1"/>
  <c r="J482" i="1"/>
  <c r="M482" i="1" s="1"/>
  <c r="G482" i="1"/>
  <c r="H483" i="1" s="1"/>
  <c r="F482" i="1"/>
  <c r="D482" i="1"/>
  <c r="L482" i="1" s="1"/>
  <c r="K481" i="1"/>
  <c r="N481" i="1" s="1"/>
  <c r="J481" i="1"/>
  <c r="M481" i="1" s="1"/>
  <c r="G481" i="1"/>
  <c r="H482" i="1" s="1"/>
  <c r="F481" i="1"/>
  <c r="D481" i="1"/>
  <c r="L481" i="1" s="1"/>
  <c r="K480" i="1"/>
  <c r="N480" i="1" s="1"/>
  <c r="J480" i="1"/>
  <c r="M480" i="1" s="1"/>
  <c r="G480" i="1"/>
  <c r="H481" i="1" s="1"/>
  <c r="F480" i="1"/>
  <c r="D480" i="1"/>
  <c r="L480" i="1" s="1"/>
  <c r="K479" i="1"/>
  <c r="N479" i="1" s="1"/>
  <c r="J479" i="1"/>
  <c r="M479" i="1" s="1"/>
  <c r="G479" i="1"/>
  <c r="H480" i="1" s="1"/>
  <c r="F479" i="1"/>
  <c r="D479" i="1"/>
  <c r="L479" i="1" s="1"/>
  <c r="K478" i="1"/>
  <c r="N478" i="1" s="1"/>
  <c r="J478" i="1"/>
  <c r="M478" i="1" s="1"/>
  <c r="G478" i="1"/>
  <c r="H479" i="1" s="1"/>
  <c r="F478" i="1"/>
  <c r="D478" i="1"/>
  <c r="L478" i="1" s="1"/>
  <c r="K477" i="1"/>
  <c r="N477" i="1" s="1"/>
  <c r="J477" i="1"/>
  <c r="M477" i="1" s="1"/>
  <c r="G477" i="1"/>
  <c r="H478" i="1" s="1"/>
  <c r="F477" i="1"/>
  <c r="D477" i="1"/>
  <c r="L477" i="1" s="1"/>
  <c r="K476" i="1"/>
  <c r="N476" i="1" s="1"/>
  <c r="J476" i="1"/>
  <c r="M476" i="1" s="1"/>
  <c r="G476" i="1"/>
  <c r="H477" i="1" s="1"/>
  <c r="F476" i="1"/>
  <c r="D476" i="1"/>
  <c r="L476" i="1" s="1"/>
  <c r="K475" i="1"/>
  <c r="N475" i="1" s="1"/>
  <c r="J475" i="1"/>
  <c r="M475" i="1" s="1"/>
  <c r="G475" i="1"/>
  <c r="H476" i="1" s="1"/>
  <c r="F475" i="1"/>
  <c r="D475" i="1"/>
  <c r="L475" i="1" s="1"/>
  <c r="K474" i="1"/>
  <c r="N474" i="1" s="1"/>
  <c r="J474" i="1"/>
  <c r="M474" i="1" s="1"/>
  <c r="G474" i="1"/>
  <c r="H475" i="1" s="1"/>
  <c r="F474" i="1"/>
  <c r="D474" i="1"/>
  <c r="L474" i="1" s="1"/>
  <c r="K473" i="1"/>
  <c r="N473" i="1" s="1"/>
  <c r="J473" i="1"/>
  <c r="M473" i="1" s="1"/>
  <c r="G473" i="1"/>
  <c r="H474" i="1" s="1"/>
  <c r="F473" i="1"/>
  <c r="D473" i="1"/>
  <c r="L473" i="1" s="1"/>
  <c r="K472" i="1"/>
  <c r="N472" i="1" s="1"/>
  <c r="J472" i="1"/>
  <c r="M472" i="1" s="1"/>
  <c r="G472" i="1"/>
  <c r="H473" i="1" s="1"/>
  <c r="F472" i="1"/>
  <c r="D472" i="1"/>
  <c r="L472" i="1" s="1"/>
  <c r="K471" i="1"/>
  <c r="N471" i="1" s="1"/>
  <c r="J471" i="1"/>
  <c r="M471" i="1" s="1"/>
  <c r="G471" i="1"/>
  <c r="H472" i="1" s="1"/>
  <c r="F471" i="1"/>
  <c r="D471" i="1"/>
  <c r="L471" i="1" s="1"/>
  <c r="K470" i="1"/>
  <c r="N470" i="1" s="1"/>
  <c r="J470" i="1"/>
  <c r="M470" i="1" s="1"/>
  <c r="G470" i="1"/>
  <c r="H471" i="1" s="1"/>
  <c r="F470" i="1"/>
  <c r="D470" i="1"/>
  <c r="L470" i="1" s="1"/>
  <c r="K469" i="1"/>
  <c r="N469" i="1" s="1"/>
  <c r="J469" i="1"/>
  <c r="M469" i="1" s="1"/>
  <c r="G469" i="1"/>
  <c r="H470" i="1" s="1"/>
  <c r="F469" i="1"/>
  <c r="D469" i="1"/>
  <c r="L469" i="1" s="1"/>
  <c r="K468" i="1"/>
  <c r="N468" i="1" s="1"/>
  <c r="J468" i="1"/>
  <c r="M468" i="1" s="1"/>
  <c r="G468" i="1"/>
  <c r="H469" i="1" s="1"/>
  <c r="F468" i="1"/>
  <c r="D468" i="1"/>
  <c r="L468" i="1" s="1"/>
  <c r="K467" i="1"/>
  <c r="N467" i="1" s="1"/>
  <c r="J467" i="1"/>
  <c r="M467" i="1" s="1"/>
  <c r="G467" i="1"/>
  <c r="H468" i="1" s="1"/>
  <c r="F467" i="1"/>
  <c r="D467" i="1"/>
  <c r="L467" i="1" s="1"/>
  <c r="K466" i="1"/>
  <c r="N466" i="1" s="1"/>
  <c r="J466" i="1"/>
  <c r="M466" i="1" s="1"/>
  <c r="G466" i="1"/>
  <c r="H467" i="1" s="1"/>
  <c r="F466" i="1"/>
  <c r="D466" i="1"/>
  <c r="L466" i="1" s="1"/>
  <c r="K465" i="1"/>
  <c r="N465" i="1" s="1"/>
  <c r="J465" i="1"/>
  <c r="M465" i="1" s="1"/>
  <c r="G465" i="1"/>
  <c r="H466" i="1" s="1"/>
  <c r="F465" i="1"/>
  <c r="D465" i="1"/>
  <c r="L465" i="1" s="1"/>
  <c r="K464" i="1"/>
  <c r="N464" i="1" s="1"/>
  <c r="J464" i="1"/>
  <c r="M464" i="1" s="1"/>
  <c r="G464" i="1"/>
  <c r="H465" i="1" s="1"/>
  <c r="F464" i="1"/>
  <c r="D464" i="1"/>
  <c r="L464" i="1" s="1"/>
  <c r="K463" i="1"/>
  <c r="N463" i="1" s="1"/>
  <c r="J463" i="1"/>
  <c r="M463" i="1" s="1"/>
  <c r="G463" i="1"/>
  <c r="H464" i="1" s="1"/>
  <c r="F463" i="1"/>
  <c r="D463" i="1"/>
  <c r="L463" i="1" s="1"/>
  <c r="K462" i="1"/>
  <c r="N462" i="1" s="1"/>
  <c r="J462" i="1"/>
  <c r="M462" i="1" s="1"/>
  <c r="G462" i="1"/>
  <c r="H463" i="1" s="1"/>
  <c r="F462" i="1"/>
  <c r="D462" i="1"/>
  <c r="L462" i="1" s="1"/>
  <c r="K461" i="1"/>
  <c r="N461" i="1" s="1"/>
  <c r="J461" i="1"/>
  <c r="M461" i="1" s="1"/>
  <c r="G461" i="1"/>
  <c r="H462" i="1" s="1"/>
  <c r="F461" i="1"/>
  <c r="D461" i="1"/>
  <c r="L461" i="1" s="1"/>
  <c r="K460" i="1"/>
  <c r="N460" i="1" s="1"/>
  <c r="J460" i="1"/>
  <c r="M460" i="1" s="1"/>
  <c r="G460" i="1"/>
  <c r="H461" i="1" s="1"/>
  <c r="F460" i="1"/>
  <c r="D460" i="1"/>
  <c r="L460" i="1" s="1"/>
  <c r="K459" i="1"/>
  <c r="N459" i="1" s="1"/>
  <c r="J459" i="1"/>
  <c r="M459" i="1" s="1"/>
  <c r="G459" i="1"/>
  <c r="H460" i="1" s="1"/>
  <c r="F459" i="1"/>
  <c r="D459" i="1"/>
  <c r="L459" i="1" s="1"/>
  <c r="K458" i="1"/>
  <c r="N458" i="1" s="1"/>
  <c r="J458" i="1"/>
  <c r="M458" i="1" s="1"/>
  <c r="G458" i="1"/>
  <c r="H459" i="1" s="1"/>
  <c r="F458" i="1"/>
  <c r="D458" i="1"/>
  <c r="L458" i="1" s="1"/>
  <c r="K457" i="1"/>
  <c r="N457" i="1" s="1"/>
  <c r="J457" i="1"/>
  <c r="M457" i="1" s="1"/>
  <c r="G457" i="1"/>
  <c r="H458" i="1" s="1"/>
  <c r="F457" i="1"/>
  <c r="D457" i="1"/>
  <c r="L457" i="1" s="1"/>
  <c r="K456" i="1"/>
  <c r="N456" i="1" s="1"/>
  <c r="J456" i="1"/>
  <c r="M456" i="1" s="1"/>
  <c r="G456" i="1"/>
  <c r="H457" i="1" s="1"/>
  <c r="F456" i="1"/>
  <c r="D456" i="1"/>
  <c r="L456" i="1" s="1"/>
  <c r="K455" i="1"/>
  <c r="N455" i="1" s="1"/>
  <c r="J455" i="1"/>
  <c r="M455" i="1" s="1"/>
  <c r="G455" i="1"/>
  <c r="H456" i="1" s="1"/>
  <c r="F455" i="1"/>
  <c r="D455" i="1"/>
  <c r="L455" i="1" s="1"/>
  <c r="K454" i="1"/>
  <c r="N454" i="1" s="1"/>
  <c r="J454" i="1"/>
  <c r="M454" i="1" s="1"/>
  <c r="G454" i="1"/>
  <c r="H455" i="1" s="1"/>
  <c r="F454" i="1"/>
  <c r="D454" i="1"/>
  <c r="L454" i="1" s="1"/>
  <c r="K453" i="1"/>
  <c r="N453" i="1" s="1"/>
  <c r="J453" i="1"/>
  <c r="M453" i="1" s="1"/>
  <c r="G453" i="1"/>
  <c r="H454" i="1" s="1"/>
  <c r="F453" i="1"/>
  <c r="D453" i="1"/>
  <c r="L453" i="1" s="1"/>
  <c r="K452" i="1"/>
  <c r="N452" i="1" s="1"/>
  <c r="J452" i="1"/>
  <c r="M452" i="1" s="1"/>
  <c r="G452" i="1"/>
  <c r="H453" i="1" s="1"/>
  <c r="F452" i="1"/>
  <c r="D452" i="1"/>
  <c r="L452" i="1" s="1"/>
  <c r="K451" i="1"/>
  <c r="N451" i="1" s="1"/>
  <c r="J451" i="1"/>
  <c r="M451" i="1" s="1"/>
  <c r="G451" i="1"/>
  <c r="H452" i="1" s="1"/>
  <c r="F451" i="1"/>
  <c r="D451" i="1"/>
  <c r="L451" i="1" s="1"/>
  <c r="K450" i="1"/>
  <c r="N450" i="1" s="1"/>
  <c r="J450" i="1"/>
  <c r="M450" i="1" s="1"/>
  <c r="G450" i="1"/>
  <c r="H451" i="1" s="1"/>
  <c r="F450" i="1"/>
  <c r="D450" i="1"/>
  <c r="L450" i="1" s="1"/>
  <c r="K449" i="1"/>
  <c r="N449" i="1" s="1"/>
  <c r="J449" i="1"/>
  <c r="M449" i="1" s="1"/>
  <c r="G449" i="1"/>
  <c r="H450" i="1" s="1"/>
  <c r="F449" i="1"/>
  <c r="D449" i="1"/>
  <c r="L449" i="1" s="1"/>
  <c r="K448" i="1"/>
  <c r="N448" i="1" s="1"/>
  <c r="J448" i="1"/>
  <c r="M448" i="1" s="1"/>
  <c r="G448" i="1"/>
  <c r="H449" i="1" s="1"/>
  <c r="F448" i="1"/>
  <c r="D448" i="1"/>
  <c r="L448" i="1" s="1"/>
  <c r="K447" i="1"/>
  <c r="N447" i="1" s="1"/>
  <c r="J447" i="1"/>
  <c r="M447" i="1" s="1"/>
  <c r="G447" i="1"/>
  <c r="H448" i="1" s="1"/>
  <c r="F447" i="1"/>
  <c r="D447" i="1"/>
  <c r="L447" i="1" s="1"/>
  <c r="K446" i="1"/>
  <c r="N446" i="1" s="1"/>
  <c r="J446" i="1"/>
  <c r="M446" i="1" s="1"/>
  <c r="G446" i="1"/>
  <c r="H447" i="1" s="1"/>
  <c r="F446" i="1"/>
  <c r="D446" i="1"/>
  <c r="L446" i="1" s="1"/>
  <c r="K445" i="1"/>
  <c r="N445" i="1" s="1"/>
  <c r="J445" i="1"/>
  <c r="M445" i="1" s="1"/>
  <c r="G445" i="1"/>
  <c r="H446" i="1" s="1"/>
  <c r="F445" i="1"/>
  <c r="D445" i="1"/>
  <c r="L445" i="1" s="1"/>
  <c r="K444" i="1"/>
  <c r="N444" i="1" s="1"/>
  <c r="J444" i="1"/>
  <c r="M444" i="1" s="1"/>
  <c r="G444" i="1"/>
  <c r="H445" i="1" s="1"/>
  <c r="F444" i="1"/>
  <c r="D444" i="1"/>
  <c r="L444" i="1" s="1"/>
  <c r="K443" i="1"/>
  <c r="N443" i="1" s="1"/>
  <c r="J443" i="1"/>
  <c r="M443" i="1" s="1"/>
  <c r="G443" i="1"/>
  <c r="H444" i="1" s="1"/>
  <c r="F443" i="1"/>
  <c r="D443" i="1"/>
  <c r="L443" i="1" s="1"/>
  <c r="K442" i="1"/>
  <c r="N442" i="1" s="1"/>
  <c r="J442" i="1"/>
  <c r="M442" i="1" s="1"/>
  <c r="G442" i="1"/>
  <c r="H443" i="1" s="1"/>
  <c r="F442" i="1"/>
  <c r="D442" i="1"/>
  <c r="L442" i="1" s="1"/>
  <c r="K441" i="1"/>
  <c r="N441" i="1" s="1"/>
  <c r="J441" i="1"/>
  <c r="M441" i="1" s="1"/>
  <c r="G441" i="1"/>
  <c r="H442" i="1" s="1"/>
  <c r="F441" i="1"/>
  <c r="D441" i="1"/>
  <c r="L441" i="1" s="1"/>
  <c r="K440" i="1"/>
  <c r="N440" i="1" s="1"/>
  <c r="J440" i="1"/>
  <c r="M440" i="1" s="1"/>
  <c r="G440" i="1"/>
  <c r="H441" i="1" s="1"/>
  <c r="F440" i="1"/>
  <c r="D440" i="1"/>
  <c r="L440" i="1" s="1"/>
  <c r="K439" i="1"/>
  <c r="N439" i="1" s="1"/>
  <c r="J439" i="1"/>
  <c r="M439" i="1" s="1"/>
  <c r="G439" i="1"/>
  <c r="H440" i="1" s="1"/>
  <c r="F439" i="1"/>
  <c r="D439" i="1"/>
  <c r="L439" i="1" s="1"/>
  <c r="K438" i="1"/>
  <c r="N438" i="1" s="1"/>
  <c r="J438" i="1"/>
  <c r="M438" i="1" s="1"/>
  <c r="G438" i="1"/>
  <c r="H439" i="1" s="1"/>
  <c r="F438" i="1"/>
  <c r="D438" i="1"/>
  <c r="L438" i="1" s="1"/>
  <c r="K437" i="1"/>
  <c r="N437" i="1" s="1"/>
  <c r="J437" i="1"/>
  <c r="M437" i="1" s="1"/>
  <c r="G437" i="1"/>
  <c r="H438" i="1" s="1"/>
  <c r="F437" i="1"/>
  <c r="D437" i="1"/>
  <c r="L437" i="1" s="1"/>
  <c r="K436" i="1"/>
  <c r="N436" i="1" s="1"/>
  <c r="J436" i="1"/>
  <c r="M436" i="1" s="1"/>
  <c r="G436" i="1"/>
  <c r="H437" i="1" s="1"/>
  <c r="F436" i="1"/>
  <c r="D436" i="1"/>
  <c r="L436" i="1" s="1"/>
  <c r="K435" i="1"/>
  <c r="N435" i="1" s="1"/>
  <c r="J435" i="1"/>
  <c r="M435" i="1" s="1"/>
  <c r="G435" i="1"/>
  <c r="H436" i="1" s="1"/>
  <c r="F435" i="1"/>
  <c r="D435" i="1"/>
  <c r="L435" i="1" s="1"/>
  <c r="K434" i="1"/>
  <c r="N434" i="1" s="1"/>
  <c r="J434" i="1"/>
  <c r="M434" i="1" s="1"/>
  <c r="G434" i="1"/>
  <c r="H435" i="1" s="1"/>
  <c r="F434" i="1"/>
  <c r="D434" i="1"/>
  <c r="L434" i="1" s="1"/>
  <c r="K433" i="1"/>
  <c r="N433" i="1" s="1"/>
  <c r="J433" i="1"/>
  <c r="M433" i="1" s="1"/>
  <c r="G433" i="1"/>
  <c r="H434" i="1" s="1"/>
  <c r="F433" i="1"/>
  <c r="D433" i="1"/>
  <c r="L433" i="1" s="1"/>
  <c r="K432" i="1"/>
  <c r="N432" i="1" s="1"/>
  <c r="J432" i="1"/>
  <c r="M432" i="1" s="1"/>
  <c r="G432" i="1"/>
  <c r="H433" i="1" s="1"/>
  <c r="F432" i="1"/>
  <c r="D432" i="1"/>
  <c r="L432" i="1" s="1"/>
  <c r="K431" i="1"/>
  <c r="N431" i="1" s="1"/>
  <c r="J431" i="1"/>
  <c r="M431" i="1" s="1"/>
  <c r="G431" i="1"/>
  <c r="H432" i="1" s="1"/>
  <c r="F431" i="1"/>
  <c r="D431" i="1"/>
  <c r="L431" i="1" s="1"/>
  <c r="K430" i="1"/>
  <c r="N430" i="1" s="1"/>
  <c r="J430" i="1"/>
  <c r="M430" i="1" s="1"/>
  <c r="G430" i="1"/>
  <c r="H431" i="1" s="1"/>
  <c r="F430" i="1"/>
  <c r="D430" i="1"/>
  <c r="L430" i="1" s="1"/>
  <c r="K429" i="1"/>
  <c r="N429" i="1" s="1"/>
  <c r="J429" i="1"/>
  <c r="M429" i="1" s="1"/>
  <c r="G429" i="1"/>
  <c r="H430" i="1" s="1"/>
  <c r="F429" i="1"/>
  <c r="D429" i="1"/>
  <c r="L429" i="1" s="1"/>
  <c r="K428" i="1"/>
  <c r="N428" i="1" s="1"/>
  <c r="J428" i="1"/>
  <c r="M428" i="1" s="1"/>
  <c r="G428" i="1"/>
  <c r="H429" i="1" s="1"/>
  <c r="F428" i="1"/>
  <c r="D428" i="1"/>
  <c r="L428" i="1" s="1"/>
  <c r="K427" i="1"/>
  <c r="N427" i="1" s="1"/>
  <c r="J427" i="1"/>
  <c r="M427" i="1" s="1"/>
  <c r="G427" i="1"/>
  <c r="H428" i="1" s="1"/>
  <c r="F427" i="1"/>
  <c r="D427" i="1"/>
  <c r="L427" i="1" s="1"/>
  <c r="K426" i="1"/>
  <c r="N426" i="1" s="1"/>
  <c r="J426" i="1"/>
  <c r="M426" i="1" s="1"/>
  <c r="G426" i="1"/>
  <c r="H427" i="1" s="1"/>
  <c r="F426" i="1"/>
  <c r="D426" i="1"/>
  <c r="L426" i="1" s="1"/>
  <c r="K425" i="1"/>
  <c r="N425" i="1" s="1"/>
  <c r="J425" i="1"/>
  <c r="M425" i="1" s="1"/>
  <c r="G425" i="1"/>
  <c r="H426" i="1" s="1"/>
  <c r="F425" i="1"/>
  <c r="D425" i="1"/>
  <c r="L425" i="1" s="1"/>
  <c r="K424" i="1"/>
  <c r="N424" i="1" s="1"/>
  <c r="J424" i="1"/>
  <c r="M424" i="1" s="1"/>
  <c r="G424" i="1"/>
  <c r="H425" i="1" s="1"/>
  <c r="F424" i="1"/>
  <c r="D424" i="1"/>
  <c r="L424" i="1" s="1"/>
  <c r="K423" i="1"/>
  <c r="N423" i="1" s="1"/>
  <c r="J423" i="1"/>
  <c r="M423" i="1" s="1"/>
  <c r="G423" i="1"/>
  <c r="H424" i="1" s="1"/>
  <c r="F423" i="1"/>
  <c r="D423" i="1"/>
  <c r="L423" i="1" s="1"/>
  <c r="K422" i="1"/>
  <c r="N422" i="1" s="1"/>
  <c r="J422" i="1"/>
  <c r="M422" i="1" s="1"/>
  <c r="G422" i="1"/>
  <c r="H423" i="1" s="1"/>
  <c r="F422" i="1"/>
  <c r="D422" i="1"/>
  <c r="L422" i="1" s="1"/>
  <c r="K421" i="1"/>
  <c r="N421" i="1" s="1"/>
  <c r="J421" i="1"/>
  <c r="M421" i="1" s="1"/>
  <c r="G421" i="1"/>
  <c r="H422" i="1" s="1"/>
  <c r="F421" i="1"/>
  <c r="D421" i="1"/>
  <c r="L421" i="1" s="1"/>
  <c r="K420" i="1"/>
  <c r="N420" i="1" s="1"/>
  <c r="J420" i="1"/>
  <c r="M420" i="1" s="1"/>
  <c r="G420" i="1"/>
  <c r="H421" i="1" s="1"/>
  <c r="F420" i="1"/>
  <c r="D420" i="1"/>
  <c r="L420" i="1" s="1"/>
  <c r="K419" i="1"/>
  <c r="N419" i="1" s="1"/>
  <c r="J419" i="1"/>
  <c r="M419" i="1" s="1"/>
  <c r="G419" i="1"/>
  <c r="H420" i="1" s="1"/>
  <c r="F419" i="1"/>
  <c r="D419" i="1"/>
  <c r="L419" i="1" s="1"/>
  <c r="K418" i="1"/>
  <c r="N418" i="1" s="1"/>
  <c r="J418" i="1"/>
  <c r="M418" i="1" s="1"/>
  <c r="G418" i="1"/>
  <c r="H419" i="1" s="1"/>
  <c r="F418" i="1"/>
  <c r="D418" i="1"/>
  <c r="L418" i="1" s="1"/>
  <c r="K417" i="1"/>
  <c r="N417" i="1" s="1"/>
  <c r="J417" i="1"/>
  <c r="M417" i="1" s="1"/>
  <c r="G417" i="1"/>
  <c r="H418" i="1" s="1"/>
  <c r="F417" i="1"/>
  <c r="D417" i="1"/>
  <c r="L417" i="1" s="1"/>
  <c r="K416" i="1"/>
  <c r="N416" i="1" s="1"/>
  <c r="J416" i="1"/>
  <c r="M416" i="1" s="1"/>
  <c r="G416" i="1"/>
  <c r="H417" i="1" s="1"/>
  <c r="F416" i="1"/>
  <c r="D416" i="1"/>
  <c r="L416" i="1" s="1"/>
  <c r="K415" i="1"/>
  <c r="N415" i="1" s="1"/>
  <c r="J415" i="1"/>
  <c r="M415" i="1" s="1"/>
  <c r="G415" i="1"/>
  <c r="H416" i="1" s="1"/>
  <c r="F415" i="1"/>
  <c r="D415" i="1"/>
  <c r="L415" i="1" s="1"/>
  <c r="K414" i="1"/>
  <c r="N414" i="1" s="1"/>
  <c r="J414" i="1"/>
  <c r="M414" i="1" s="1"/>
  <c r="G414" i="1"/>
  <c r="H415" i="1" s="1"/>
  <c r="F414" i="1"/>
  <c r="D414" i="1"/>
  <c r="L414" i="1" s="1"/>
  <c r="K413" i="1"/>
  <c r="N413" i="1" s="1"/>
  <c r="J413" i="1"/>
  <c r="M413" i="1" s="1"/>
  <c r="G413" i="1"/>
  <c r="H414" i="1" s="1"/>
  <c r="F413" i="1"/>
  <c r="D413" i="1"/>
  <c r="L413" i="1" s="1"/>
  <c r="K412" i="1"/>
  <c r="N412" i="1" s="1"/>
  <c r="J412" i="1"/>
  <c r="M412" i="1" s="1"/>
  <c r="G412" i="1"/>
  <c r="H413" i="1" s="1"/>
  <c r="F412" i="1"/>
  <c r="D412" i="1"/>
  <c r="L412" i="1" s="1"/>
  <c r="K411" i="1"/>
  <c r="N411" i="1" s="1"/>
  <c r="J411" i="1"/>
  <c r="M411" i="1" s="1"/>
  <c r="G411" i="1"/>
  <c r="H412" i="1" s="1"/>
  <c r="F411" i="1"/>
  <c r="D411" i="1"/>
  <c r="L411" i="1" s="1"/>
  <c r="K410" i="1"/>
  <c r="N410" i="1" s="1"/>
  <c r="J410" i="1"/>
  <c r="M410" i="1" s="1"/>
  <c r="G410" i="1"/>
  <c r="H411" i="1" s="1"/>
  <c r="F410" i="1"/>
  <c r="D410" i="1"/>
  <c r="L410" i="1" s="1"/>
  <c r="K409" i="1"/>
  <c r="N409" i="1" s="1"/>
  <c r="J409" i="1"/>
  <c r="M409" i="1" s="1"/>
  <c r="G409" i="1"/>
  <c r="H410" i="1" s="1"/>
  <c r="F409" i="1"/>
  <c r="D409" i="1"/>
  <c r="L409" i="1" s="1"/>
  <c r="K408" i="1"/>
  <c r="N408" i="1" s="1"/>
  <c r="J408" i="1"/>
  <c r="M408" i="1" s="1"/>
  <c r="G408" i="1"/>
  <c r="H409" i="1" s="1"/>
  <c r="F408" i="1"/>
  <c r="D408" i="1"/>
  <c r="L408" i="1" s="1"/>
  <c r="K407" i="1"/>
  <c r="N407" i="1" s="1"/>
  <c r="J407" i="1"/>
  <c r="M407" i="1" s="1"/>
  <c r="G407" i="1"/>
  <c r="H408" i="1" s="1"/>
  <c r="F407" i="1"/>
  <c r="D407" i="1"/>
  <c r="L407" i="1" s="1"/>
  <c r="K406" i="1"/>
  <c r="N406" i="1" s="1"/>
  <c r="J406" i="1"/>
  <c r="M406" i="1" s="1"/>
  <c r="G406" i="1"/>
  <c r="H407" i="1" s="1"/>
  <c r="F406" i="1"/>
  <c r="D406" i="1"/>
  <c r="L406" i="1" s="1"/>
  <c r="K405" i="1"/>
  <c r="N405" i="1" s="1"/>
  <c r="J405" i="1"/>
  <c r="M405" i="1" s="1"/>
  <c r="G405" i="1"/>
  <c r="H406" i="1" s="1"/>
  <c r="F405" i="1"/>
  <c r="D405" i="1"/>
  <c r="L405" i="1" s="1"/>
  <c r="K404" i="1"/>
  <c r="N404" i="1" s="1"/>
  <c r="J404" i="1"/>
  <c r="M404" i="1" s="1"/>
  <c r="G404" i="1"/>
  <c r="H405" i="1" s="1"/>
  <c r="F404" i="1"/>
  <c r="D404" i="1"/>
  <c r="L404" i="1" s="1"/>
  <c r="K403" i="1"/>
  <c r="N403" i="1" s="1"/>
  <c r="J403" i="1"/>
  <c r="M403" i="1" s="1"/>
  <c r="G403" i="1"/>
  <c r="H404" i="1" s="1"/>
  <c r="F403" i="1"/>
  <c r="D403" i="1"/>
  <c r="L403" i="1" s="1"/>
  <c r="K402" i="1"/>
  <c r="N402" i="1" s="1"/>
  <c r="J402" i="1"/>
  <c r="M402" i="1" s="1"/>
  <c r="G402" i="1"/>
  <c r="H403" i="1" s="1"/>
  <c r="F402" i="1"/>
  <c r="D402" i="1"/>
  <c r="L402" i="1" s="1"/>
  <c r="K401" i="1"/>
  <c r="N401" i="1" s="1"/>
  <c r="J401" i="1"/>
  <c r="M401" i="1" s="1"/>
  <c r="G401" i="1"/>
  <c r="H402" i="1" s="1"/>
  <c r="F401" i="1"/>
  <c r="D401" i="1"/>
  <c r="L401" i="1" s="1"/>
  <c r="K400" i="1"/>
  <c r="N400" i="1" s="1"/>
  <c r="J400" i="1"/>
  <c r="M400" i="1" s="1"/>
  <c r="G400" i="1"/>
  <c r="H401" i="1" s="1"/>
  <c r="F400" i="1"/>
  <c r="D400" i="1"/>
  <c r="L400" i="1" s="1"/>
  <c r="K399" i="1"/>
  <c r="N399" i="1" s="1"/>
  <c r="J399" i="1"/>
  <c r="M399" i="1" s="1"/>
  <c r="G399" i="1"/>
  <c r="H400" i="1" s="1"/>
  <c r="F399" i="1"/>
  <c r="D399" i="1"/>
  <c r="L399" i="1" s="1"/>
  <c r="K398" i="1"/>
  <c r="N398" i="1" s="1"/>
  <c r="J398" i="1"/>
  <c r="M398" i="1" s="1"/>
  <c r="G398" i="1"/>
  <c r="H399" i="1" s="1"/>
  <c r="F398" i="1"/>
  <c r="D398" i="1"/>
  <c r="L398" i="1" s="1"/>
  <c r="K397" i="1"/>
  <c r="N397" i="1" s="1"/>
  <c r="J397" i="1"/>
  <c r="M397" i="1" s="1"/>
  <c r="G397" i="1"/>
  <c r="H398" i="1" s="1"/>
  <c r="F397" i="1"/>
  <c r="D397" i="1"/>
  <c r="L397" i="1" s="1"/>
  <c r="K396" i="1"/>
  <c r="N396" i="1" s="1"/>
  <c r="J396" i="1"/>
  <c r="M396" i="1" s="1"/>
  <c r="G396" i="1"/>
  <c r="H397" i="1" s="1"/>
  <c r="F396" i="1"/>
  <c r="D396" i="1"/>
  <c r="L396" i="1" s="1"/>
  <c r="K395" i="1"/>
  <c r="N395" i="1" s="1"/>
  <c r="J395" i="1"/>
  <c r="M395" i="1" s="1"/>
  <c r="G395" i="1"/>
  <c r="H396" i="1" s="1"/>
  <c r="F395" i="1"/>
  <c r="D395" i="1"/>
  <c r="L395" i="1" s="1"/>
  <c r="K394" i="1"/>
  <c r="N394" i="1" s="1"/>
  <c r="J394" i="1"/>
  <c r="M394" i="1" s="1"/>
  <c r="G394" i="1"/>
  <c r="H395" i="1" s="1"/>
  <c r="F394" i="1"/>
  <c r="D394" i="1"/>
  <c r="L394" i="1" s="1"/>
  <c r="K393" i="1"/>
  <c r="N393" i="1" s="1"/>
  <c r="J393" i="1"/>
  <c r="M393" i="1" s="1"/>
  <c r="G393" i="1"/>
  <c r="H394" i="1" s="1"/>
  <c r="F393" i="1"/>
  <c r="D393" i="1"/>
  <c r="L393" i="1" s="1"/>
  <c r="K392" i="1"/>
  <c r="N392" i="1" s="1"/>
  <c r="J392" i="1"/>
  <c r="M392" i="1" s="1"/>
  <c r="G392" i="1"/>
  <c r="H393" i="1" s="1"/>
  <c r="F392" i="1"/>
  <c r="D392" i="1"/>
  <c r="L392" i="1" s="1"/>
  <c r="K391" i="1"/>
  <c r="N391" i="1" s="1"/>
  <c r="J391" i="1"/>
  <c r="M391" i="1" s="1"/>
  <c r="G391" i="1"/>
  <c r="H392" i="1" s="1"/>
  <c r="F391" i="1"/>
  <c r="D391" i="1"/>
  <c r="L391" i="1" s="1"/>
  <c r="K390" i="1"/>
  <c r="N390" i="1" s="1"/>
  <c r="J390" i="1"/>
  <c r="M390" i="1" s="1"/>
  <c r="G390" i="1"/>
  <c r="H391" i="1" s="1"/>
  <c r="F390" i="1"/>
  <c r="D390" i="1"/>
  <c r="L390" i="1" s="1"/>
  <c r="K389" i="1"/>
  <c r="N389" i="1" s="1"/>
  <c r="J389" i="1"/>
  <c r="M389" i="1" s="1"/>
  <c r="G389" i="1"/>
  <c r="H390" i="1" s="1"/>
  <c r="F389" i="1"/>
  <c r="D389" i="1"/>
  <c r="L389" i="1" s="1"/>
  <c r="K388" i="1"/>
  <c r="N388" i="1" s="1"/>
  <c r="J388" i="1"/>
  <c r="M388" i="1" s="1"/>
  <c r="G388" i="1"/>
  <c r="H389" i="1" s="1"/>
  <c r="F388" i="1"/>
  <c r="D388" i="1"/>
  <c r="L388" i="1" s="1"/>
  <c r="K387" i="1"/>
  <c r="N387" i="1" s="1"/>
  <c r="J387" i="1"/>
  <c r="M387" i="1" s="1"/>
  <c r="G387" i="1"/>
  <c r="H388" i="1" s="1"/>
  <c r="F387" i="1"/>
  <c r="D387" i="1"/>
  <c r="L387" i="1" s="1"/>
  <c r="K386" i="1"/>
  <c r="N386" i="1" s="1"/>
  <c r="J386" i="1"/>
  <c r="M386" i="1" s="1"/>
  <c r="G386" i="1"/>
  <c r="H387" i="1" s="1"/>
  <c r="F386" i="1"/>
  <c r="D386" i="1"/>
  <c r="L386" i="1" s="1"/>
  <c r="K385" i="1"/>
  <c r="N385" i="1" s="1"/>
  <c r="J385" i="1"/>
  <c r="M385" i="1" s="1"/>
  <c r="G385" i="1"/>
  <c r="H386" i="1" s="1"/>
  <c r="F385" i="1"/>
  <c r="D385" i="1"/>
  <c r="L385" i="1" s="1"/>
  <c r="K384" i="1"/>
  <c r="N384" i="1" s="1"/>
  <c r="J384" i="1"/>
  <c r="M384" i="1" s="1"/>
  <c r="G384" i="1"/>
  <c r="H385" i="1" s="1"/>
  <c r="F384" i="1"/>
  <c r="D384" i="1"/>
  <c r="L384" i="1" s="1"/>
  <c r="K383" i="1"/>
  <c r="N383" i="1" s="1"/>
  <c r="J383" i="1"/>
  <c r="M383" i="1" s="1"/>
  <c r="G383" i="1"/>
  <c r="H384" i="1" s="1"/>
  <c r="F383" i="1"/>
  <c r="D383" i="1"/>
  <c r="L383" i="1" s="1"/>
  <c r="K382" i="1"/>
  <c r="N382" i="1" s="1"/>
  <c r="J382" i="1"/>
  <c r="M382" i="1" s="1"/>
  <c r="G382" i="1"/>
  <c r="H383" i="1" s="1"/>
  <c r="F382" i="1"/>
  <c r="D382" i="1"/>
  <c r="L382" i="1" s="1"/>
  <c r="K381" i="1"/>
  <c r="N381" i="1" s="1"/>
  <c r="J381" i="1"/>
  <c r="M381" i="1" s="1"/>
  <c r="G381" i="1"/>
  <c r="H382" i="1" s="1"/>
  <c r="F381" i="1"/>
  <c r="D381" i="1"/>
  <c r="L381" i="1" s="1"/>
  <c r="K380" i="1"/>
  <c r="N380" i="1" s="1"/>
  <c r="J380" i="1"/>
  <c r="M380" i="1" s="1"/>
  <c r="G380" i="1"/>
  <c r="H381" i="1" s="1"/>
  <c r="F380" i="1"/>
  <c r="D380" i="1"/>
  <c r="L380" i="1" s="1"/>
  <c r="K379" i="1"/>
  <c r="N379" i="1" s="1"/>
  <c r="J379" i="1"/>
  <c r="M379" i="1" s="1"/>
  <c r="G379" i="1"/>
  <c r="H380" i="1" s="1"/>
  <c r="F379" i="1"/>
  <c r="D379" i="1"/>
  <c r="L379" i="1" s="1"/>
  <c r="K378" i="1"/>
  <c r="N378" i="1" s="1"/>
  <c r="J378" i="1"/>
  <c r="M378" i="1" s="1"/>
  <c r="G378" i="1"/>
  <c r="H379" i="1" s="1"/>
  <c r="F378" i="1"/>
  <c r="D378" i="1"/>
  <c r="L378" i="1" s="1"/>
  <c r="K377" i="1"/>
  <c r="N377" i="1" s="1"/>
  <c r="J377" i="1"/>
  <c r="M377" i="1" s="1"/>
  <c r="G377" i="1"/>
  <c r="H378" i="1" s="1"/>
  <c r="F377" i="1"/>
  <c r="D377" i="1"/>
  <c r="L377" i="1" s="1"/>
  <c r="K376" i="1"/>
  <c r="N376" i="1" s="1"/>
  <c r="J376" i="1"/>
  <c r="M376" i="1" s="1"/>
  <c r="G376" i="1"/>
  <c r="H377" i="1" s="1"/>
  <c r="F376" i="1"/>
  <c r="D376" i="1"/>
  <c r="L376" i="1" s="1"/>
  <c r="K375" i="1"/>
  <c r="N375" i="1" s="1"/>
  <c r="J375" i="1"/>
  <c r="M375" i="1" s="1"/>
  <c r="G375" i="1"/>
  <c r="H376" i="1" s="1"/>
  <c r="F375" i="1"/>
  <c r="D375" i="1"/>
  <c r="L375" i="1" s="1"/>
  <c r="K374" i="1"/>
  <c r="N374" i="1" s="1"/>
  <c r="J374" i="1"/>
  <c r="M374" i="1" s="1"/>
  <c r="G374" i="1"/>
  <c r="H375" i="1" s="1"/>
  <c r="F374" i="1"/>
  <c r="D374" i="1"/>
  <c r="L374" i="1" s="1"/>
  <c r="K373" i="1"/>
  <c r="N373" i="1" s="1"/>
  <c r="J373" i="1"/>
  <c r="M373" i="1" s="1"/>
  <c r="G373" i="1"/>
  <c r="H374" i="1" s="1"/>
  <c r="F373" i="1"/>
  <c r="D373" i="1"/>
  <c r="L373" i="1" s="1"/>
  <c r="K372" i="1"/>
  <c r="N372" i="1" s="1"/>
  <c r="J372" i="1"/>
  <c r="M372" i="1" s="1"/>
  <c r="G372" i="1"/>
  <c r="H373" i="1" s="1"/>
  <c r="F372" i="1"/>
  <c r="D372" i="1"/>
  <c r="L372" i="1" s="1"/>
  <c r="K371" i="1"/>
  <c r="N371" i="1" s="1"/>
  <c r="J371" i="1"/>
  <c r="M371" i="1" s="1"/>
  <c r="G371" i="1"/>
  <c r="H372" i="1" s="1"/>
  <c r="F371" i="1"/>
  <c r="D371" i="1"/>
  <c r="L371" i="1" s="1"/>
  <c r="K370" i="1"/>
  <c r="N370" i="1" s="1"/>
  <c r="J370" i="1"/>
  <c r="M370" i="1" s="1"/>
  <c r="G370" i="1"/>
  <c r="H371" i="1" s="1"/>
  <c r="F370" i="1"/>
  <c r="D370" i="1"/>
  <c r="L370" i="1" s="1"/>
  <c r="K369" i="1"/>
  <c r="N369" i="1" s="1"/>
  <c r="J369" i="1"/>
  <c r="M369" i="1" s="1"/>
  <c r="G369" i="1"/>
  <c r="H370" i="1" s="1"/>
  <c r="F369" i="1"/>
  <c r="D369" i="1"/>
  <c r="L369" i="1" s="1"/>
  <c r="K368" i="1"/>
  <c r="N368" i="1" s="1"/>
  <c r="J368" i="1"/>
  <c r="M368" i="1" s="1"/>
  <c r="G368" i="1"/>
  <c r="H369" i="1" s="1"/>
  <c r="F368" i="1"/>
  <c r="D368" i="1"/>
  <c r="L368" i="1" s="1"/>
  <c r="K367" i="1"/>
  <c r="N367" i="1" s="1"/>
  <c r="J367" i="1"/>
  <c r="M367" i="1" s="1"/>
  <c r="G367" i="1"/>
  <c r="H368" i="1" s="1"/>
  <c r="F367" i="1"/>
  <c r="D367" i="1"/>
  <c r="L367" i="1" s="1"/>
  <c r="K366" i="1"/>
  <c r="N366" i="1" s="1"/>
  <c r="J366" i="1"/>
  <c r="M366" i="1" s="1"/>
  <c r="G366" i="1"/>
  <c r="H367" i="1" s="1"/>
  <c r="F366" i="1"/>
  <c r="D366" i="1"/>
  <c r="L366" i="1" s="1"/>
  <c r="K365" i="1"/>
  <c r="N365" i="1" s="1"/>
  <c r="J365" i="1"/>
  <c r="M365" i="1" s="1"/>
  <c r="G365" i="1"/>
  <c r="H366" i="1" s="1"/>
  <c r="F365" i="1"/>
  <c r="D365" i="1"/>
  <c r="L365" i="1" s="1"/>
  <c r="K364" i="1"/>
  <c r="N364" i="1" s="1"/>
  <c r="J364" i="1"/>
  <c r="M364" i="1" s="1"/>
  <c r="G364" i="1"/>
  <c r="H365" i="1" s="1"/>
  <c r="F364" i="1"/>
  <c r="D364" i="1"/>
  <c r="L364" i="1" s="1"/>
  <c r="K363" i="1"/>
  <c r="N363" i="1" s="1"/>
  <c r="J363" i="1"/>
  <c r="M363" i="1" s="1"/>
  <c r="G363" i="1"/>
  <c r="H364" i="1" s="1"/>
  <c r="F363" i="1"/>
  <c r="D363" i="1"/>
  <c r="L363" i="1" s="1"/>
  <c r="K362" i="1"/>
  <c r="N362" i="1" s="1"/>
  <c r="J362" i="1"/>
  <c r="M362" i="1" s="1"/>
  <c r="G362" i="1"/>
  <c r="H363" i="1" s="1"/>
  <c r="F362" i="1"/>
  <c r="D362" i="1"/>
  <c r="L362" i="1" s="1"/>
  <c r="K361" i="1"/>
  <c r="N361" i="1" s="1"/>
  <c r="J361" i="1"/>
  <c r="M361" i="1" s="1"/>
  <c r="G361" i="1"/>
  <c r="H362" i="1" s="1"/>
  <c r="F361" i="1"/>
  <c r="D361" i="1"/>
  <c r="L361" i="1" s="1"/>
  <c r="K360" i="1"/>
  <c r="N360" i="1" s="1"/>
  <c r="J360" i="1"/>
  <c r="M360" i="1" s="1"/>
  <c r="G360" i="1"/>
  <c r="H361" i="1" s="1"/>
  <c r="F360" i="1"/>
  <c r="D360" i="1"/>
  <c r="L360" i="1" s="1"/>
  <c r="K359" i="1"/>
  <c r="N359" i="1" s="1"/>
  <c r="J359" i="1"/>
  <c r="M359" i="1" s="1"/>
  <c r="G359" i="1"/>
  <c r="H360" i="1" s="1"/>
  <c r="F359" i="1"/>
  <c r="D359" i="1"/>
  <c r="L359" i="1" s="1"/>
  <c r="K358" i="1"/>
  <c r="N358" i="1" s="1"/>
  <c r="J358" i="1"/>
  <c r="M358" i="1" s="1"/>
  <c r="G358" i="1"/>
  <c r="H359" i="1" s="1"/>
  <c r="F358" i="1"/>
  <c r="D358" i="1"/>
  <c r="L358" i="1" s="1"/>
  <c r="K357" i="1"/>
  <c r="N357" i="1" s="1"/>
  <c r="J357" i="1"/>
  <c r="M357" i="1" s="1"/>
  <c r="G357" i="1"/>
  <c r="H358" i="1" s="1"/>
  <c r="F357" i="1"/>
  <c r="D357" i="1"/>
  <c r="L357" i="1" s="1"/>
  <c r="K356" i="1"/>
  <c r="N356" i="1" s="1"/>
  <c r="J356" i="1"/>
  <c r="M356" i="1" s="1"/>
  <c r="G356" i="1"/>
  <c r="H357" i="1" s="1"/>
  <c r="F356" i="1"/>
  <c r="D356" i="1"/>
  <c r="L356" i="1" s="1"/>
  <c r="K355" i="1"/>
  <c r="N355" i="1" s="1"/>
  <c r="J355" i="1"/>
  <c r="M355" i="1" s="1"/>
  <c r="G355" i="1"/>
  <c r="H356" i="1" s="1"/>
  <c r="F355" i="1"/>
  <c r="D355" i="1"/>
  <c r="L355" i="1" s="1"/>
  <c r="K354" i="1"/>
  <c r="N354" i="1" s="1"/>
  <c r="J354" i="1"/>
  <c r="M354" i="1" s="1"/>
  <c r="G354" i="1"/>
  <c r="H355" i="1" s="1"/>
  <c r="F354" i="1"/>
  <c r="D354" i="1"/>
  <c r="L354" i="1" s="1"/>
  <c r="K353" i="1"/>
  <c r="N353" i="1" s="1"/>
  <c r="J353" i="1"/>
  <c r="M353" i="1" s="1"/>
  <c r="G353" i="1"/>
  <c r="H354" i="1" s="1"/>
  <c r="F353" i="1"/>
  <c r="D353" i="1"/>
  <c r="L353" i="1" s="1"/>
  <c r="K352" i="1"/>
  <c r="N352" i="1" s="1"/>
  <c r="J352" i="1"/>
  <c r="M352" i="1" s="1"/>
  <c r="G352" i="1"/>
  <c r="H353" i="1" s="1"/>
  <c r="F352" i="1"/>
  <c r="D352" i="1"/>
  <c r="L352" i="1" s="1"/>
  <c r="K351" i="1"/>
  <c r="N351" i="1" s="1"/>
  <c r="J351" i="1"/>
  <c r="M351" i="1" s="1"/>
  <c r="G351" i="1"/>
  <c r="H352" i="1" s="1"/>
  <c r="F351" i="1"/>
  <c r="D351" i="1"/>
  <c r="L351" i="1" s="1"/>
  <c r="K350" i="1"/>
  <c r="N350" i="1" s="1"/>
  <c r="J350" i="1"/>
  <c r="M350" i="1" s="1"/>
  <c r="G350" i="1"/>
  <c r="H351" i="1" s="1"/>
  <c r="F350" i="1"/>
  <c r="D350" i="1"/>
  <c r="L350" i="1" s="1"/>
  <c r="K349" i="1"/>
  <c r="N349" i="1" s="1"/>
  <c r="J349" i="1"/>
  <c r="M349" i="1" s="1"/>
  <c r="G349" i="1"/>
  <c r="H350" i="1" s="1"/>
  <c r="F349" i="1"/>
  <c r="D349" i="1"/>
  <c r="L349" i="1" s="1"/>
  <c r="K348" i="1"/>
  <c r="N348" i="1" s="1"/>
  <c r="J348" i="1"/>
  <c r="M348" i="1" s="1"/>
  <c r="G348" i="1"/>
  <c r="H349" i="1" s="1"/>
  <c r="F348" i="1"/>
  <c r="D348" i="1"/>
  <c r="L348" i="1" s="1"/>
  <c r="K347" i="1"/>
  <c r="N347" i="1" s="1"/>
  <c r="J347" i="1"/>
  <c r="M347" i="1" s="1"/>
  <c r="G347" i="1"/>
  <c r="H348" i="1" s="1"/>
  <c r="F347" i="1"/>
  <c r="D347" i="1"/>
  <c r="L347" i="1" s="1"/>
  <c r="K346" i="1"/>
  <c r="N346" i="1" s="1"/>
  <c r="J346" i="1"/>
  <c r="M346" i="1" s="1"/>
  <c r="G346" i="1"/>
  <c r="H347" i="1" s="1"/>
  <c r="F346" i="1"/>
  <c r="D346" i="1"/>
  <c r="L346" i="1" s="1"/>
  <c r="K345" i="1"/>
  <c r="N345" i="1" s="1"/>
  <c r="J345" i="1"/>
  <c r="M345" i="1" s="1"/>
  <c r="G345" i="1"/>
  <c r="H346" i="1" s="1"/>
  <c r="F345" i="1"/>
  <c r="D345" i="1"/>
  <c r="L345" i="1" s="1"/>
  <c r="K344" i="1"/>
  <c r="N344" i="1" s="1"/>
  <c r="J344" i="1"/>
  <c r="M344" i="1" s="1"/>
  <c r="G344" i="1"/>
  <c r="H345" i="1" s="1"/>
  <c r="F344" i="1"/>
  <c r="D344" i="1"/>
  <c r="L344" i="1" s="1"/>
  <c r="K343" i="1"/>
  <c r="N343" i="1" s="1"/>
  <c r="J343" i="1"/>
  <c r="M343" i="1" s="1"/>
  <c r="G343" i="1"/>
  <c r="H344" i="1" s="1"/>
  <c r="F343" i="1"/>
  <c r="D343" i="1"/>
  <c r="L343" i="1" s="1"/>
  <c r="K342" i="1"/>
  <c r="N342" i="1" s="1"/>
  <c r="J342" i="1"/>
  <c r="M342" i="1" s="1"/>
  <c r="G342" i="1"/>
  <c r="H343" i="1" s="1"/>
  <c r="F342" i="1"/>
  <c r="D342" i="1"/>
  <c r="L342" i="1" s="1"/>
  <c r="K341" i="1"/>
  <c r="N341" i="1" s="1"/>
  <c r="J341" i="1"/>
  <c r="M341" i="1" s="1"/>
  <c r="G341" i="1"/>
  <c r="H342" i="1" s="1"/>
  <c r="F341" i="1"/>
  <c r="D341" i="1"/>
  <c r="L341" i="1" s="1"/>
  <c r="K340" i="1"/>
  <c r="N340" i="1" s="1"/>
  <c r="J340" i="1"/>
  <c r="M340" i="1" s="1"/>
  <c r="G340" i="1"/>
  <c r="H341" i="1" s="1"/>
  <c r="F340" i="1"/>
  <c r="D340" i="1"/>
  <c r="L340" i="1" s="1"/>
  <c r="K339" i="1"/>
  <c r="N339" i="1" s="1"/>
  <c r="J339" i="1"/>
  <c r="M339" i="1" s="1"/>
  <c r="G339" i="1"/>
  <c r="H340" i="1" s="1"/>
  <c r="F339" i="1"/>
  <c r="D339" i="1"/>
  <c r="L339" i="1" s="1"/>
  <c r="K338" i="1"/>
  <c r="N338" i="1" s="1"/>
  <c r="J338" i="1"/>
  <c r="M338" i="1" s="1"/>
  <c r="G338" i="1"/>
  <c r="H339" i="1" s="1"/>
  <c r="F338" i="1"/>
  <c r="D338" i="1"/>
  <c r="L338" i="1" s="1"/>
  <c r="K337" i="1"/>
  <c r="N337" i="1" s="1"/>
  <c r="J337" i="1"/>
  <c r="M337" i="1" s="1"/>
  <c r="G337" i="1"/>
  <c r="H338" i="1" s="1"/>
  <c r="F337" i="1"/>
  <c r="D337" i="1"/>
  <c r="L337" i="1" s="1"/>
  <c r="K336" i="1"/>
  <c r="N336" i="1" s="1"/>
  <c r="J336" i="1"/>
  <c r="M336" i="1" s="1"/>
  <c r="G336" i="1"/>
  <c r="H337" i="1" s="1"/>
  <c r="F336" i="1"/>
  <c r="D336" i="1"/>
  <c r="L336" i="1" s="1"/>
  <c r="K335" i="1"/>
  <c r="N335" i="1" s="1"/>
  <c r="J335" i="1"/>
  <c r="M335" i="1" s="1"/>
  <c r="G335" i="1"/>
  <c r="H336" i="1" s="1"/>
  <c r="F335" i="1"/>
  <c r="D335" i="1"/>
  <c r="L335" i="1" s="1"/>
  <c r="K334" i="1"/>
  <c r="N334" i="1" s="1"/>
  <c r="J334" i="1"/>
  <c r="M334" i="1" s="1"/>
  <c r="G334" i="1"/>
  <c r="H335" i="1" s="1"/>
  <c r="F334" i="1"/>
  <c r="D334" i="1"/>
  <c r="L334" i="1" s="1"/>
  <c r="K333" i="1"/>
  <c r="N333" i="1" s="1"/>
  <c r="J333" i="1"/>
  <c r="M333" i="1" s="1"/>
  <c r="G333" i="1"/>
  <c r="H334" i="1" s="1"/>
  <c r="F333" i="1"/>
  <c r="D333" i="1"/>
  <c r="L333" i="1" s="1"/>
  <c r="K332" i="1"/>
  <c r="N332" i="1" s="1"/>
  <c r="J332" i="1"/>
  <c r="M332" i="1" s="1"/>
  <c r="G332" i="1"/>
  <c r="H333" i="1" s="1"/>
  <c r="F332" i="1"/>
  <c r="D332" i="1"/>
  <c r="L332" i="1" s="1"/>
  <c r="K331" i="1"/>
  <c r="N331" i="1" s="1"/>
  <c r="J331" i="1"/>
  <c r="M331" i="1" s="1"/>
  <c r="G331" i="1"/>
  <c r="H332" i="1" s="1"/>
  <c r="F331" i="1"/>
  <c r="D331" i="1"/>
  <c r="L331" i="1" s="1"/>
  <c r="K330" i="1"/>
  <c r="N330" i="1" s="1"/>
  <c r="J330" i="1"/>
  <c r="M330" i="1" s="1"/>
  <c r="G330" i="1"/>
  <c r="H331" i="1" s="1"/>
  <c r="F330" i="1"/>
  <c r="D330" i="1"/>
  <c r="L330" i="1" s="1"/>
  <c r="K329" i="1"/>
  <c r="N329" i="1" s="1"/>
  <c r="J329" i="1"/>
  <c r="M329" i="1" s="1"/>
  <c r="G329" i="1"/>
  <c r="H330" i="1" s="1"/>
  <c r="F329" i="1"/>
  <c r="D329" i="1"/>
  <c r="L329" i="1" s="1"/>
  <c r="K328" i="1"/>
  <c r="N328" i="1" s="1"/>
  <c r="J328" i="1"/>
  <c r="M328" i="1" s="1"/>
  <c r="G328" i="1"/>
  <c r="H329" i="1" s="1"/>
  <c r="F328" i="1"/>
  <c r="D328" i="1"/>
  <c r="L328" i="1" s="1"/>
  <c r="K327" i="1"/>
  <c r="N327" i="1" s="1"/>
  <c r="J327" i="1"/>
  <c r="M327" i="1" s="1"/>
  <c r="G327" i="1"/>
  <c r="H328" i="1" s="1"/>
  <c r="F327" i="1"/>
  <c r="D327" i="1"/>
  <c r="L327" i="1" s="1"/>
  <c r="K326" i="1"/>
  <c r="N326" i="1" s="1"/>
  <c r="J326" i="1"/>
  <c r="M326" i="1" s="1"/>
  <c r="G326" i="1"/>
  <c r="H327" i="1" s="1"/>
  <c r="F326" i="1"/>
  <c r="D326" i="1"/>
  <c r="L326" i="1" s="1"/>
  <c r="K325" i="1"/>
  <c r="N325" i="1" s="1"/>
  <c r="J325" i="1"/>
  <c r="M325" i="1" s="1"/>
  <c r="G325" i="1"/>
  <c r="H326" i="1" s="1"/>
  <c r="F325" i="1"/>
  <c r="D325" i="1"/>
  <c r="L325" i="1" s="1"/>
  <c r="K324" i="1"/>
  <c r="N324" i="1" s="1"/>
  <c r="J324" i="1"/>
  <c r="M324" i="1" s="1"/>
  <c r="G324" i="1"/>
  <c r="H325" i="1" s="1"/>
  <c r="F324" i="1"/>
  <c r="D324" i="1"/>
  <c r="L324" i="1" s="1"/>
  <c r="K323" i="1"/>
  <c r="N323" i="1" s="1"/>
  <c r="J323" i="1"/>
  <c r="M323" i="1" s="1"/>
  <c r="G323" i="1"/>
  <c r="H324" i="1" s="1"/>
  <c r="F323" i="1"/>
  <c r="D323" i="1"/>
  <c r="L323" i="1" s="1"/>
  <c r="K322" i="1"/>
  <c r="N322" i="1" s="1"/>
  <c r="J322" i="1"/>
  <c r="M322" i="1" s="1"/>
  <c r="G322" i="1"/>
  <c r="H323" i="1" s="1"/>
  <c r="F322" i="1"/>
  <c r="D322" i="1"/>
  <c r="L322" i="1" s="1"/>
  <c r="K321" i="1"/>
  <c r="N321" i="1" s="1"/>
  <c r="J321" i="1"/>
  <c r="M321" i="1" s="1"/>
  <c r="G321" i="1"/>
  <c r="H322" i="1" s="1"/>
  <c r="F321" i="1"/>
  <c r="D321" i="1"/>
  <c r="L321" i="1" s="1"/>
  <c r="K320" i="1"/>
  <c r="N320" i="1" s="1"/>
  <c r="J320" i="1"/>
  <c r="M320" i="1" s="1"/>
  <c r="G320" i="1"/>
  <c r="H321" i="1" s="1"/>
  <c r="F320" i="1"/>
  <c r="D320" i="1"/>
  <c r="L320" i="1" s="1"/>
  <c r="K319" i="1"/>
  <c r="N319" i="1" s="1"/>
  <c r="J319" i="1"/>
  <c r="M319" i="1" s="1"/>
  <c r="G319" i="1"/>
  <c r="H320" i="1" s="1"/>
  <c r="F319" i="1"/>
  <c r="D319" i="1"/>
  <c r="L319" i="1" s="1"/>
  <c r="K318" i="1"/>
  <c r="N318" i="1" s="1"/>
  <c r="J318" i="1"/>
  <c r="M318" i="1" s="1"/>
  <c r="G318" i="1"/>
  <c r="H319" i="1" s="1"/>
  <c r="F318" i="1"/>
  <c r="D318" i="1"/>
  <c r="L318" i="1" s="1"/>
  <c r="K317" i="1"/>
  <c r="N317" i="1" s="1"/>
  <c r="J317" i="1"/>
  <c r="M317" i="1" s="1"/>
  <c r="G317" i="1"/>
  <c r="H318" i="1" s="1"/>
  <c r="F317" i="1"/>
  <c r="D317" i="1"/>
  <c r="L317" i="1" s="1"/>
  <c r="K316" i="1"/>
  <c r="N316" i="1" s="1"/>
  <c r="J316" i="1"/>
  <c r="M316" i="1" s="1"/>
  <c r="G316" i="1"/>
  <c r="H317" i="1" s="1"/>
  <c r="F316" i="1"/>
  <c r="D316" i="1"/>
  <c r="L316" i="1" s="1"/>
  <c r="K315" i="1"/>
  <c r="N315" i="1" s="1"/>
  <c r="J315" i="1"/>
  <c r="M315" i="1" s="1"/>
  <c r="G315" i="1"/>
  <c r="H316" i="1" s="1"/>
  <c r="F315" i="1"/>
  <c r="D315" i="1"/>
  <c r="L315" i="1" s="1"/>
  <c r="K314" i="1"/>
  <c r="N314" i="1" s="1"/>
  <c r="J314" i="1"/>
  <c r="M314" i="1" s="1"/>
  <c r="G314" i="1"/>
  <c r="H315" i="1" s="1"/>
  <c r="F314" i="1"/>
  <c r="D314" i="1"/>
  <c r="L314" i="1" s="1"/>
  <c r="K313" i="1"/>
  <c r="N313" i="1" s="1"/>
  <c r="J313" i="1"/>
  <c r="M313" i="1" s="1"/>
  <c r="G313" i="1"/>
  <c r="H314" i="1" s="1"/>
  <c r="F313" i="1"/>
  <c r="D313" i="1"/>
  <c r="L313" i="1" s="1"/>
  <c r="K312" i="1"/>
  <c r="N312" i="1" s="1"/>
  <c r="J312" i="1"/>
  <c r="M312" i="1" s="1"/>
  <c r="G312" i="1"/>
  <c r="H313" i="1" s="1"/>
  <c r="F312" i="1"/>
  <c r="D312" i="1"/>
  <c r="L312" i="1" s="1"/>
  <c r="K311" i="1"/>
  <c r="N311" i="1" s="1"/>
  <c r="J311" i="1"/>
  <c r="M311" i="1" s="1"/>
  <c r="G311" i="1"/>
  <c r="H312" i="1" s="1"/>
  <c r="F311" i="1"/>
  <c r="D311" i="1"/>
  <c r="L311" i="1" s="1"/>
  <c r="K310" i="1"/>
  <c r="N310" i="1" s="1"/>
  <c r="J310" i="1"/>
  <c r="M310" i="1" s="1"/>
  <c r="G310" i="1"/>
  <c r="H311" i="1" s="1"/>
  <c r="F310" i="1"/>
  <c r="D310" i="1"/>
  <c r="L310" i="1" s="1"/>
  <c r="K309" i="1"/>
  <c r="N309" i="1" s="1"/>
  <c r="J309" i="1"/>
  <c r="M309" i="1" s="1"/>
  <c r="G309" i="1"/>
  <c r="H310" i="1" s="1"/>
  <c r="F309" i="1"/>
  <c r="D309" i="1"/>
  <c r="L309" i="1" s="1"/>
  <c r="K308" i="1"/>
  <c r="N308" i="1" s="1"/>
  <c r="J308" i="1"/>
  <c r="M308" i="1" s="1"/>
  <c r="G308" i="1"/>
  <c r="H309" i="1" s="1"/>
  <c r="F308" i="1"/>
  <c r="D308" i="1"/>
  <c r="L308" i="1" s="1"/>
  <c r="K307" i="1"/>
  <c r="N307" i="1" s="1"/>
  <c r="J307" i="1"/>
  <c r="M307" i="1" s="1"/>
  <c r="G307" i="1"/>
  <c r="H308" i="1" s="1"/>
  <c r="F307" i="1"/>
  <c r="D307" i="1"/>
  <c r="L307" i="1" s="1"/>
  <c r="K306" i="1"/>
  <c r="N306" i="1" s="1"/>
  <c r="J306" i="1"/>
  <c r="M306" i="1" s="1"/>
  <c r="G306" i="1"/>
  <c r="H307" i="1" s="1"/>
  <c r="F306" i="1"/>
  <c r="D306" i="1"/>
  <c r="L306" i="1" s="1"/>
  <c r="K305" i="1"/>
  <c r="N305" i="1" s="1"/>
  <c r="J305" i="1"/>
  <c r="M305" i="1" s="1"/>
  <c r="G305" i="1"/>
  <c r="H306" i="1" s="1"/>
  <c r="F305" i="1"/>
  <c r="D305" i="1"/>
  <c r="L305" i="1" s="1"/>
  <c r="K304" i="1"/>
  <c r="N304" i="1" s="1"/>
  <c r="J304" i="1"/>
  <c r="M304" i="1" s="1"/>
  <c r="G304" i="1"/>
  <c r="H305" i="1" s="1"/>
  <c r="F304" i="1"/>
  <c r="D304" i="1"/>
  <c r="L304" i="1" s="1"/>
  <c r="K303" i="1"/>
  <c r="N303" i="1" s="1"/>
  <c r="J303" i="1"/>
  <c r="M303" i="1" s="1"/>
  <c r="G303" i="1"/>
  <c r="H304" i="1" s="1"/>
  <c r="F303" i="1"/>
  <c r="D303" i="1"/>
  <c r="L303" i="1" s="1"/>
  <c r="K302" i="1"/>
  <c r="N302" i="1" s="1"/>
  <c r="J302" i="1"/>
  <c r="M302" i="1" s="1"/>
  <c r="G302" i="1"/>
  <c r="H303" i="1" s="1"/>
  <c r="F302" i="1"/>
  <c r="D302" i="1"/>
  <c r="L302" i="1" s="1"/>
  <c r="K301" i="1"/>
  <c r="N301" i="1" s="1"/>
  <c r="J301" i="1"/>
  <c r="M301" i="1" s="1"/>
  <c r="G301" i="1"/>
  <c r="H302" i="1" s="1"/>
  <c r="F301" i="1"/>
  <c r="D301" i="1"/>
  <c r="L301" i="1" s="1"/>
  <c r="K300" i="1"/>
  <c r="N300" i="1" s="1"/>
  <c r="J300" i="1"/>
  <c r="M300" i="1" s="1"/>
  <c r="G300" i="1"/>
  <c r="H301" i="1" s="1"/>
  <c r="F300" i="1"/>
  <c r="D300" i="1"/>
  <c r="L300" i="1" s="1"/>
  <c r="K299" i="1"/>
  <c r="N299" i="1" s="1"/>
  <c r="J299" i="1"/>
  <c r="M299" i="1" s="1"/>
  <c r="G299" i="1"/>
  <c r="H300" i="1" s="1"/>
  <c r="F299" i="1"/>
  <c r="D299" i="1"/>
  <c r="L299" i="1" s="1"/>
  <c r="K298" i="1"/>
  <c r="N298" i="1" s="1"/>
  <c r="J298" i="1"/>
  <c r="M298" i="1" s="1"/>
  <c r="G298" i="1"/>
  <c r="H299" i="1" s="1"/>
  <c r="F298" i="1"/>
  <c r="D298" i="1"/>
  <c r="L298" i="1" s="1"/>
  <c r="K297" i="1"/>
  <c r="N297" i="1" s="1"/>
  <c r="J297" i="1"/>
  <c r="M297" i="1" s="1"/>
  <c r="G297" i="1"/>
  <c r="H298" i="1" s="1"/>
  <c r="F297" i="1"/>
  <c r="D297" i="1"/>
  <c r="L297" i="1" s="1"/>
  <c r="K296" i="1"/>
  <c r="N296" i="1" s="1"/>
  <c r="J296" i="1"/>
  <c r="M296" i="1" s="1"/>
  <c r="G296" i="1"/>
  <c r="H297" i="1" s="1"/>
  <c r="F296" i="1"/>
  <c r="D296" i="1"/>
  <c r="L296" i="1" s="1"/>
  <c r="K295" i="1"/>
  <c r="N295" i="1" s="1"/>
  <c r="J295" i="1"/>
  <c r="M295" i="1" s="1"/>
  <c r="G295" i="1"/>
  <c r="H296" i="1" s="1"/>
  <c r="F295" i="1"/>
  <c r="D295" i="1"/>
  <c r="L295" i="1" s="1"/>
  <c r="K294" i="1"/>
  <c r="N294" i="1" s="1"/>
  <c r="J294" i="1"/>
  <c r="M294" i="1" s="1"/>
  <c r="G294" i="1"/>
  <c r="H295" i="1" s="1"/>
  <c r="F294" i="1"/>
  <c r="D294" i="1"/>
  <c r="L294" i="1" s="1"/>
  <c r="K293" i="1"/>
  <c r="N293" i="1" s="1"/>
  <c r="J293" i="1"/>
  <c r="M293" i="1" s="1"/>
  <c r="G293" i="1"/>
  <c r="H294" i="1" s="1"/>
  <c r="F293" i="1"/>
  <c r="D293" i="1"/>
  <c r="L293" i="1" s="1"/>
  <c r="K292" i="1"/>
  <c r="N292" i="1" s="1"/>
  <c r="J292" i="1"/>
  <c r="M292" i="1" s="1"/>
  <c r="G292" i="1"/>
  <c r="H293" i="1" s="1"/>
  <c r="F292" i="1"/>
  <c r="D292" i="1"/>
  <c r="L292" i="1" s="1"/>
  <c r="K291" i="1"/>
  <c r="N291" i="1" s="1"/>
  <c r="J291" i="1"/>
  <c r="M291" i="1" s="1"/>
  <c r="G291" i="1"/>
  <c r="H292" i="1" s="1"/>
  <c r="F291" i="1"/>
  <c r="D291" i="1"/>
  <c r="L291" i="1" s="1"/>
  <c r="K290" i="1"/>
  <c r="N290" i="1" s="1"/>
  <c r="J290" i="1"/>
  <c r="M290" i="1" s="1"/>
  <c r="G290" i="1"/>
  <c r="H291" i="1" s="1"/>
  <c r="F290" i="1"/>
  <c r="D290" i="1"/>
  <c r="L290" i="1" s="1"/>
  <c r="K289" i="1"/>
  <c r="N289" i="1" s="1"/>
  <c r="J289" i="1"/>
  <c r="M289" i="1" s="1"/>
  <c r="G289" i="1"/>
  <c r="H290" i="1" s="1"/>
  <c r="F289" i="1"/>
  <c r="D289" i="1"/>
  <c r="L289" i="1" s="1"/>
  <c r="K288" i="1"/>
  <c r="N288" i="1" s="1"/>
  <c r="J288" i="1"/>
  <c r="M288" i="1" s="1"/>
  <c r="G288" i="1"/>
  <c r="H289" i="1" s="1"/>
  <c r="F288" i="1"/>
  <c r="D288" i="1"/>
  <c r="L288" i="1" s="1"/>
  <c r="K287" i="1"/>
  <c r="N287" i="1" s="1"/>
  <c r="J287" i="1"/>
  <c r="M287" i="1" s="1"/>
  <c r="G287" i="1"/>
  <c r="H288" i="1" s="1"/>
  <c r="F287" i="1"/>
  <c r="D287" i="1"/>
  <c r="L287" i="1" s="1"/>
  <c r="K286" i="1"/>
  <c r="N286" i="1" s="1"/>
  <c r="J286" i="1"/>
  <c r="M286" i="1" s="1"/>
  <c r="G286" i="1"/>
  <c r="H287" i="1" s="1"/>
  <c r="F286" i="1"/>
  <c r="D286" i="1"/>
  <c r="L286" i="1" s="1"/>
  <c r="K285" i="1"/>
  <c r="N285" i="1" s="1"/>
  <c r="J285" i="1"/>
  <c r="M285" i="1" s="1"/>
  <c r="G285" i="1"/>
  <c r="H286" i="1" s="1"/>
  <c r="F285" i="1"/>
  <c r="D285" i="1"/>
  <c r="L285" i="1" s="1"/>
  <c r="K284" i="1"/>
  <c r="N284" i="1" s="1"/>
  <c r="J284" i="1"/>
  <c r="M284" i="1" s="1"/>
  <c r="G284" i="1"/>
  <c r="H285" i="1" s="1"/>
  <c r="F284" i="1"/>
  <c r="D284" i="1"/>
  <c r="L284" i="1" s="1"/>
  <c r="K283" i="1"/>
  <c r="N283" i="1" s="1"/>
  <c r="J283" i="1"/>
  <c r="M283" i="1" s="1"/>
  <c r="G283" i="1"/>
  <c r="H284" i="1" s="1"/>
  <c r="F283" i="1"/>
  <c r="D283" i="1"/>
  <c r="L283" i="1" s="1"/>
  <c r="K282" i="1"/>
  <c r="N282" i="1" s="1"/>
  <c r="J282" i="1"/>
  <c r="M282" i="1" s="1"/>
  <c r="G282" i="1"/>
  <c r="H283" i="1" s="1"/>
  <c r="F282" i="1"/>
  <c r="D282" i="1"/>
  <c r="L282" i="1" s="1"/>
  <c r="K281" i="1"/>
  <c r="N281" i="1" s="1"/>
  <c r="J281" i="1"/>
  <c r="M281" i="1" s="1"/>
  <c r="G281" i="1"/>
  <c r="H282" i="1" s="1"/>
  <c r="F281" i="1"/>
  <c r="D281" i="1"/>
  <c r="L281" i="1" s="1"/>
  <c r="K280" i="1"/>
  <c r="N280" i="1" s="1"/>
  <c r="J280" i="1"/>
  <c r="M280" i="1" s="1"/>
  <c r="G280" i="1"/>
  <c r="H281" i="1" s="1"/>
  <c r="F280" i="1"/>
  <c r="D280" i="1"/>
  <c r="L280" i="1" s="1"/>
  <c r="K279" i="1"/>
  <c r="N279" i="1" s="1"/>
  <c r="J279" i="1"/>
  <c r="M279" i="1" s="1"/>
  <c r="G279" i="1"/>
  <c r="H280" i="1" s="1"/>
  <c r="F279" i="1"/>
  <c r="D279" i="1"/>
  <c r="L279" i="1" s="1"/>
  <c r="K278" i="1"/>
  <c r="N278" i="1" s="1"/>
  <c r="J278" i="1"/>
  <c r="M278" i="1" s="1"/>
  <c r="G278" i="1"/>
  <c r="H279" i="1" s="1"/>
  <c r="F278" i="1"/>
  <c r="D278" i="1"/>
  <c r="L278" i="1" s="1"/>
  <c r="K277" i="1"/>
  <c r="N277" i="1" s="1"/>
  <c r="J277" i="1"/>
  <c r="M277" i="1" s="1"/>
  <c r="G277" i="1"/>
  <c r="H278" i="1" s="1"/>
  <c r="F277" i="1"/>
  <c r="D277" i="1"/>
  <c r="L277" i="1" s="1"/>
  <c r="K276" i="1"/>
  <c r="N276" i="1" s="1"/>
  <c r="J276" i="1"/>
  <c r="M276" i="1" s="1"/>
  <c r="G276" i="1"/>
  <c r="H277" i="1" s="1"/>
  <c r="F276" i="1"/>
  <c r="D276" i="1"/>
  <c r="L276" i="1" s="1"/>
  <c r="K275" i="1"/>
  <c r="N275" i="1" s="1"/>
  <c r="J275" i="1"/>
  <c r="M275" i="1" s="1"/>
  <c r="G275" i="1"/>
  <c r="H276" i="1" s="1"/>
  <c r="F275" i="1"/>
  <c r="D275" i="1"/>
  <c r="L275" i="1" s="1"/>
  <c r="K274" i="1"/>
  <c r="N274" i="1" s="1"/>
  <c r="J274" i="1"/>
  <c r="M274" i="1" s="1"/>
  <c r="G274" i="1"/>
  <c r="H275" i="1" s="1"/>
  <c r="F274" i="1"/>
  <c r="D274" i="1"/>
  <c r="L274" i="1" s="1"/>
  <c r="K273" i="1"/>
  <c r="N273" i="1" s="1"/>
  <c r="J273" i="1"/>
  <c r="M273" i="1" s="1"/>
  <c r="G273" i="1"/>
  <c r="H274" i="1" s="1"/>
  <c r="F273" i="1"/>
  <c r="D273" i="1"/>
  <c r="L273" i="1" s="1"/>
  <c r="K272" i="1"/>
  <c r="N272" i="1" s="1"/>
  <c r="J272" i="1"/>
  <c r="M272" i="1" s="1"/>
  <c r="G272" i="1"/>
  <c r="H273" i="1" s="1"/>
  <c r="F272" i="1"/>
  <c r="D272" i="1"/>
  <c r="L272" i="1" s="1"/>
  <c r="K271" i="1"/>
  <c r="N271" i="1" s="1"/>
  <c r="J271" i="1"/>
  <c r="M271" i="1" s="1"/>
  <c r="G271" i="1"/>
  <c r="H272" i="1" s="1"/>
  <c r="F271" i="1"/>
  <c r="D271" i="1"/>
  <c r="L271" i="1" s="1"/>
  <c r="K270" i="1"/>
  <c r="N270" i="1" s="1"/>
  <c r="J270" i="1"/>
  <c r="M270" i="1" s="1"/>
  <c r="G270" i="1"/>
  <c r="H271" i="1" s="1"/>
  <c r="F270" i="1"/>
  <c r="D270" i="1"/>
  <c r="L270" i="1" s="1"/>
  <c r="K269" i="1"/>
  <c r="N269" i="1" s="1"/>
  <c r="J269" i="1"/>
  <c r="M269" i="1" s="1"/>
  <c r="G269" i="1"/>
  <c r="H270" i="1" s="1"/>
  <c r="F269" i="1"/>
  <c r="D269" i="1"/>
  <c r="L269" i="1" s="1"/>
  <c r="K268" i="1"/>
  <c r="N268" i="1" s="1"/>
  <c r="J268" i="1"/>
  <c r="M268" i="1" s="1"/>
  <c r="G268" i="1"/>
  <c r="H269" i="1" s="1"/>
  <c r="F268" i="1"/>
  <c r="D268" i="1"/>
  <c r="L268" i="1" s="1"/>
  <c r="K267" i="1"/>
  <c r="N267" i="1" s="1"/>
  <c r="J267" i="1"/>
  <c r="M267" i="1" s="1"/>
  <c r="G267" i="1"/>
  <c r="H268" i="1" s="1"/>
  <c r="F267" i="1"/>
  <c r="D267" i="1"/>
  <c r="L267" i="1" s="1"/>
  <c r="K266" i="1"/>
  <c r="N266" i="1" s="1"/>
  <c r="J266" i="1"/>
  <c r="M266" i="1" s="1"/>
  <c r="G266" i="1"/>
  <c r="H267" i="1" s="1"/>
  <c r="F266" i="1"/>
  <c r="D266" i="1"/>
  <c r="L266" i="1" s="1"/>
  <c r="K265" i="1"/>
  <c r="N265" i="1" s="1"/>
  <c r="J265" i="1"/>
  <c r="M265" i="1" s="1"/>
  <c r="G265" i="1"/>
  <c r="H266" i="1" s="1"/>
  <c r="F265" i="1"/>
  <c r="D265" i="1"/>
  <c r="L265" i="1" s="1"/>
  <c r="K264" i="1"/>
  <c r="N264" i="1" s="1"/>
  <c r="J264" i="1"/>
  <c r="M264" i="1" s="1"/>
  <c r="G264" i="1"/>
  <c r="H265" i="1" s="1"/>
  <c r="F264" i="1"/>
  <c r="D264" i="1"/>
  <c r="L264" i="1" s="1"/>
  <c r="K263" i="1"/>
  <c r="N263" i="1" s="1"/>
  <c r="J263" i="1"/>
  <c r="M263" i="1" s="1"/>
  <c r="G263" i="1"/>
  <c r="H264" i="1" s="1"/>
  <c r="F263" i="1"/>
  <c r="D263" i="1"/>
  <c r="L263" i="1" s="1"/>
  <c r="K262" i="1"/>
  <c r="N262" i="1" s="1"/>
  <c r="J262" i="1"/>
  <c r="M262" i="1" s="1"/>
  <c r="G262" i="1"/>
  <c r="H263" i="1" s="1"/>
  <c r="F262" i="1"/>
  <c r="D262" i="1"/>
  <c r="L262" i="1" s="1"/>
  <c r="K261" i="1"/>
  <c r="N261" i="1" s="1"/>
  <c r="J261" i="1"/>
  <c r="M261" i="1" s="1"/>
  <c r="G261" i="1"/>
  <c r="H262" i="1" s="1"/>
  <c r="F261" i="1"/>
  <c r="D261" i="1"/>
  <c r="L261" i="1" s="1"/>
  <c r="K260" i="1"/>
  <c r="N260" i="1" s="1"/>
  <c r="J260" i="1"/>
  <c r="M260" i="1" s="1"/>
  <c r="G260" i="1"/>
  <c r="H261" i="1" s="1"/>
  <c r="F260" i="1"/>
  <c r="D260" i="1"/>
  <c r="L260" i="1" s="1"/>
  <c r="K259" i="1"/>
  <c r="N259" i="1" s="1"/>
  <c r="J259" i="1"/>
  <c r="M259" i="1" s="1"/>
  <c r="G259" i="1"/>
  <c r="H260" i="1" s="1"/>
  <c r="F259" i="1"/>
  <c r="D259" i="1"/>
  <c r="L259" i="1" s="1"/>
  <c r="K258" i="1"/>
  <c r="N258" i="1" s="1"/>
  <c r="J258" i="1"/>
  <c r="M258" i="1" s="1"/>
  <c r="G258" i="1"/>
  <c r="H259" i="1" s="1"/>
  <c r="F258" i="1"/>
  <c r="D258" i="1"/>
  <c r="L258" i="1" s="1"/>
  <c r="K257" i="1"/>
  <c r="N257" i="1" s="1"/>
  <c r="J257" i="1"/>
  <c r="M257" i="1" s="1"/>
  <c r="G257" i="1"/>
  <c r="H258" i="1" s="1"/>
  <c r="F257" i="1"/>
  <c r="D257" i="1"/>
  <c r="L257" i="1" s="1"/>
  <c r="K256" i="1"/>
  <c r="N256" i="1" s="1"/>
  <c r="J256" i="1"/>
  <c r="M256" i="1" s="1"/>
  <c r="G256" i="1"/>
  <c r="H257" i="1" s="1"/>
  <c r="F256" i="1"/>
  <c r="D256" i="1"/>
  <c r="L256" i="1" s="1"/>
  <c r="K255" i="1"/>
  <c r="N255" i="1" s="1"/>
  <c r="J255" i="1"/>
  <c r="M255" i="1" s="1"/>
  <c r="G255" i="1"/>
  <c r="H256" i="1" s="1"/>
  <c r="F255" i="1"/>
  <c r="D255" i="1"/>
  <c r="L255" i="1" s="1"/>
  <c r="K254" i="1"/>
  <c r="N254" i="1" s="1"/>
  <c r="J254" i="1"/>
  <c r="M254" i="1" s="1"/>
  <c r="G254" i="1"/>
  <c r="H255" i="1" s="1"/>
  <c r="F254" i="1"/>
  <c r="D254" i="1"/>
  <c r="L254" i="1" s="1"/>
  <c r="K253" i="1"/>
  <c r="N253" i="1" s="1"/>
  <c r="J253" i="1"/>
  <c r="M253" i="1" s="1"/>
  <c r="G253" i="1"/>
  <c r="H254" i="1" s="1"/>
  <c r="F253" i="1"/>
  <c r="D253" i="1"/>
  <c r="L253" i="1" s="1"/>
  <c r="K252" i="1"/>
  <c r="N252" i="1" s="1"/>
  <c r="J252" i="1"/>
  <c r="M252" i="1" s="1"/>
  <c r="G252" i="1"/>
  <c r="H253" i="1" s="1"/>
  <c r="F252" i="1"/>
  <c r="D252" i="1"/>
  <c r="L252" i="1" s="1"/>
  <c r="K251" i="1"/>
  <c r="N251" i="1" s="1"/>
  <c r="J251" i="1"/>
  <c r="M251" i="1" s="1"/>
  <c r="G251" i="1"/>
  <c r="H252" i="1" s="1"/>
  <c r="F251" i="1"/>
  <c r="D251" i="1"/>
  <c r="L251" i="1" s="1"/>
  <c r="K250" i="1"/>
  <c r="N250" i="1" s="1"/>
  <c r="J250" i="1"/>
  <c r="M250" i="1" s="1"/>
  <c r="G250" i="1"/>
  <c r="H251" i="1" s="1"/>
  <c r="F250" i="1"/>
  <c r="D250" i="1"/>
  <c r="L250" i="1" s="1"/>
  <c r="K249" i="1"/>
  <c r="N249" i="1" s="1"/>
  <c r="J249" i="1"/>
  <c r="M249" i="1" s="1"/>
  <c r="G249" i="1"/>
  <c r="H250" i="1" s="1"/>
  <c r="F249" i="1"/>
  <c r="D249" i="1"/>
  <c r="L249" i="1" s="1"/>
  <c r="K248" i="1"/>
  <c r="N248" i="1" s="1"/>
  <c r="J248" i="1"/>
  <c r="M248" i="1" s="1"/>
  <c r="G248" i="1"/>
  <c r="H249" i="1" s="1"/>
  <c r="F248" i="1"/>
  <c r="D248" i="1"/>
  <c r="L248" i="1" s="1"/>
  <c r="K247" i="1"/>
  <c r="N247" i="1" s="1"/>
  <c r="J247" i="1"/>
  <c r="M247" i="1" s="1"/>
  <c r="G247" i="1"/>
  <c r="H248" i="1" s="1"/>
  <c r="F247" i="1"/>
  <c r="D247" i="1"/>
  <c r="L247" i="1" s="1"/>
  <c r="K246" i="1"/>
  <c r="N246" i="1" s="1"/>
  <c r="J246" i="1"/>
  <c r="M246" i="1" s="1"/>
  <c r="G246" i="1"/>
  <c r="H247" i="1" s="1"/>
  <c r="F246" i="1"/>
  <c r="D246" i="1"/>
  <c r="L246" i="1" s="1"/>
  <c r="K245" i="1"/>
  <c r="N245" i="1" s="1"/>
  <c r="J245" i="1"/>
  <c r="M245" i="1" s="1"/>
  <c r="G245" i="1"/>
  <c r="H246" i="1" s="1"/>
  <c r="F245" i="1"/>
  <c r="D245" i="1"/>
  <c r="L245" i="1" s="1"/>
  <c r="K244" i="1"/>
  <c r="N244" i="1" s="1"/>
  <c r="J244" i="1"/>
  <c r="M244" i="1" s="1"/>
  <c r="G244" i="1"/>
  <c r="H245" i="1" s="1"/>
  <c r="F244" i="1"/>
  <c r="D244" i="1"/>
  <c r="L244" i="1" s="1"/>
  <c r="K243" i="1"/>
  <c r="N243" i="1" s="1"/>
  <c r="J243" i="1"/>
  <c r="M243" i="1" s="1"/>
  <c r="G243" i="1"/>
  <c r="H244" i="1" s="1"/>
  <c r="F243" i="1"/>
  <c r="D243" i="1"/>
  <c r="L243" i="1" s="1"/>
  <c r="K242" i="1"/>
  <c r="N242" i="1" s="1"/>
  <c r="J242" i="1"/>
  <c r="M242" i="1" s="1"/>
  <c r="G242" i="1"/>
  <c r="H243" i="1" s="1"/>
  <c r="F242" i="1"/>
  <c r="D242" i="1"/>
  <c r="L242" i="1" s="1"/>
  <c r="K241" i="1"/>
  <c r="N241" i="1" s="1"/>
  <c r="J241" i="1"/>
  <c r="M241" i="1" s="1"/>
  <c r="G241" i="1"/>
  <c r="H242" i="1" s="1"/>
  <c r="F241" i="1"/>
  <c r="D241" i="1"/>
  <c r="L241" i="1" s="1"/>
  <c r="K240" i="1"/>
  <c r="N240" i="1" s="1"/>
  <c r="J240" i="1"/>
  <c r="M240" i="1" s="1"/>
  <c r="G240" i="1"/>
  <c r="H241" i="1" s="1"/>
  <c r="F240" i="1"/>
  <c r="D240" i="1"/>
  <c r="L240" i="1" s="1"/>
  <c r="K239" i="1"/>
  <c r="N239" i="1" s="1"/>
  <c r="J239" i="1"/>
  <c r="M239" i="1" s="1"/>
  <c r="G239" i="1"/>
  <c r="H240" i="1" s="1"/>
  <c r="F239" i="1"/>
  <c r="D239" i="1"/>
  <c r="L239" i="1" s="1"/>
  <c r="K238" i="1"/>
  <c r="N238" i="1" s="1"/>
  <c r="J238" i="1"/>
  <c r="M238" i="1" s="1"/>
  <c r="G238" i="1"/>
  <c r="H239" i="1" s="1"/>
  <c r="F238" i="1"/>
  <c r="D238" i="1"/>
  <c r="L238" i="1" s="1"/>
  <c r="K237" i="1"/>
  <c r="N237" i="1" s="1"/>
  <c r="J237" i="1"/>
  <c r="M237" i="1" s="1"/>
  <c r="G237" i="1"/>
  <c r="H238" i="1" s="1"/>
  <c r="F237" i="1"/>
  <c r="D237" i="1"/>
  <c r="L237" i="1" s="1"/>
  <c r="K236" i="1"/>
  <c r="N236" i="1" s="1"/>
  <c r="J236" i="1"/>
  <c r="M236" i="1" s="1"/>
  <c r="G236" i="1"/>
  <c r="H237" i="1" s="1"/>
  <c r="F236" i="1"/>
  <c r="D236" i="1"/>
  <c r="L236" i="1" s="1"/>
  <c r="K235" i="1"/>
  <c r="N235" i="1" s="1"/>
  <c r="J235" i="1"/>
  <c r="M235" i="1" s="1"/>
  <c r="G235" i="1"/>
  <c r="H236" i="1" s="1"/>
  <c r="F235" i="1"/>
  <c r="D235" i="1"/>
  <c r="L235" i="1" s="1"/>
  <c r="K234" i="1"/>
  <c r="N234" i="1" s="1"/>
  <c r="J234" i="1"/>
  <c r="M234" i="1" s="1"/>
  <c r="G234" i="1"/>
  <c r="H235" i="1" s="1"/>
  <c r="F234" i="1"/>
  <c r="D234" i="1"/>
  <c r="L234" i="1" s="1"/>
  <c r="K233" i="1"/>
  <c r="N233" i="1" s="1"/>
  <c r="J233" i="1"/>
  <c r="M233" i="1" s="1"/>
  <c r="G233" i="1"/>
  <c r="H234" i="1" s="1"/>
  <c r="F233" i="1"/>
  <c r="D233" i="1"/>
  <c r="L233" i="1" s="1"/>
  <c r="K232" i="1"/>
  <c r="N232" i="1" s="1"/>
  <c r="J232" i="1"/>
  <c r="M232" i="1" s="1"/>
  <c r="G232" i="1"/>
  <c r="H233" i="1" s="1"/>
  <c r="F232" i="1"/>
  <c r="D232" i="1"/>
  <c r="L232" i="1" s="1"/>
  <c r="K231" i="1"/>
  <c r="N231" i="1" s="1"/>
  <c r="J231" i="1"/>
  <c r="M231" i="1" s="1"/>
  <c r="G231" i="1"/>
  <c r="H232" i="1" s="1"/>
  <c r="F231" i="1"/>
  <c r="D231" i="1"/>
  <c r="L231" i="1" s="1"/>
  <c r="K230" i="1"/>
  <c r="N230" i="1" s="1"/>
  <c r="J230" i="1"/>
  <c r="M230" i="1" s="1"/>
  <c r="G230" i="1"/>
  <c r="H231" i="1" s="1"/>
  <c r="F230" i="1"/>
  <c r="D230" i="1"/>
  <c r="L230" i="1" s="1"/>
  <c r="K229" i="1"/>
  <c r="N229" i="1" s="1"/>
  <c r="J229" i="1"/>
  <c r="M229" i="1" s="1"/>
  <c r="G229" i="1"/>
  <c r="H230" i="1" s="1"/>
  <c r="F229" i="1"/>
  <c r="D229" i="1"/>
  <c r="L229" i="1" s="1"/>
  <c r="K228" i="1"/>
  <c r="N228" i="1" s="1"/>
  <c r="J228" i="1"/>
  <c r="M228" i="1" s="1"/>
  <c r="G228" i="1"/>
  <c r="H229" i="1" s="1"/>
  <c r="F228" i="1"/>
  <c r="D228" i="1"/>
  <c r="L228" i="1" s="1"/>
  <c r="K227" i="1"/>
  <c r="N227" i="1" s="1"/>
  <c r="J227" i="1"/>
  <c r="M227" i="1" s="1"/>
  <c r="G227" i="1"/>
  <c r="H228" i="1" s="1"/>
  <c r="F227" i="1"/>
  <c r="D227" i="1"/>
  <c r="L227" i="1" s="1"/>
  <c r="K226" i="1"/>
  <c r="N226" i="1" s="1"/>
  <c r="J226" i="1"/>
  <c r="M226" i="1" s="1"/>
  <c r="G226" i="1"/>
  <c r="H227" i="1" s="1"/>
  <c r="F226" i="1"/>
  <c r="D226" i="1"/>
  <c r="L226" i="1" s="1"/>
  <c r="K225" i="1"/>
  <c r="N225" i="1" s="1"/>
  <c r="J225" i="1"/>
  <c r="M225" i="1" s="1"/>
  <c r="G225" i="1"/>
  <c r="H226" i="1" s="1"/>
  <c r="F225" i="1"/>
  <c r="D225" i="1"/>
  <c r="L225" i="1" s="1"/>
  <c r="K224" i="1"/>
  <c r="N224" i="1" s="1"/>
  <c r="J224" i="1"/>
  <c r="M224" i="1" s="1"/>
  <c r="G224" i="1"/>
  <c r="H225" i="1" s="1"/>
  <c r="F224" i="1"/>
  <c r="D224" i="1"/>
  <c r="L224" i="1" s="1"/>
  <c r="K223" i="1"/>
  <c r="N223" i="1" s="1"/>
  <c r="J223" i="1"/>
  <c r="M223" i="1" s="1"/>
  <c r="G223" i="1"/>
  <c r="H224" i="1" s="1"/>
  <c r="F223" i="1"/>
  <c r="D223" i="1"/>
  <c r="L223" i="1" s="1"/>
  <c r="K222" i="1"/>
  <c r="N222" i="1" s="1"/>
  <c r="J222" i="1"/>
  <c r="M222" i="1" s="1"/>
  <c r="G222" i="1"/>
  <c r="H223" i="1" s="1"/>
  <c r="F222" i="1"/>
  <c r="D222" i="1"/>
  <c r="L222" i="1" s="1"/>
  <c r="K221" i="1"/>
  <c r="N221" i="1" s="1"/>
  <c r="J221" i="1"/>
  <c r="M221" i="1" s="1"/>
  <c r="G221" i="1"/>
  <c r="H222" i="1" s="1"/>
  <c r="F221" i="1"/>
  <c r="D221" i="1"/>
  <c r="L221" i="1" s="1"/>
  <c r="K220" i="1"/>
  <c r="N220" i="1" s="1"/>
  <c r="J220" i="1"/>
  <c r="M220" i="1" s="1"/>
  <c r="G220" i="1"/>
  <c r="H221" i="1" s="1"/>
  <c r="F220" i="1"/>
  <c r="D220" i="1"/>
  <c r="L220" i="1" s="1"/>
  <c r="K219" i="1"/>
  <c r="N219" i="1" s="1"/>
  <c r="J219" i="1"/>
  <c r="M219" i="1" s="1"/>
  <c r="G219" i="1"/>
  <c r="H220" i="1" s="1"/>
  <c r="F219" i="1"/>
  <c r="D219" i="1"/>
  <c r="L219" i="1" s="1"/>
  <c r="K218" i="1"/>
  <c r="N218" i="1" s="1"/>
  <c r="J218" i="1"/>
  <c r="M218" i="1" s="1"/>
  <c r="G218" i="1"/>
  <c r="H219" i="1" s="1"/>
  <c r="F218" i="1"/>
  <c r="D218" i="1"/>
  <c r="L218" i="1" s="1"/>
  <c r="K217" i="1"/>
  <c r="N217" i="1" s="1"/>
  <c r="J217" i="1"/>
  <c r="M217" i="1" s="1"/>
  <c r="G217" i="1"/>
  <c r="H218" i="1" s="1"/>
  <c r="F217" i="1"/>
  <c r="D217" i="1"/>
  <c r="L217" i="1" s="1"/>
  <c r="K216" i="1"/>
  <c r="N216" i="1" s="1"/>
  <c r="J216" i="1"/>
  <c r="M216" i="1" s="1"/>
  <c r="G216" i="1"/>
  <c r="H217" i="1" s="1"/>
  <c r="F216" i="1"/>
  <c r="D216" i="1"/>
  <c r="L216" i="1" s="1"/>
  <c r="K215" i="1"/>
  <c r="N215" i="1" s="1"/>
  <c r="J215" i="1"/>
  <c r="M215" i="1" s="1"/>
  <c r="G215" i="1"/>
  <c r="H216" i="1" s="1"/>
  <c r="F215" i="1"/>
  <c r="D215" i="1"/>
  <c r="L215" i="1" s="1"/>
  <c r="K214" i="1"/>
  <c r="N214" i="1" s="1"/>
  <c r="J214" i="1"/>
  <c r="M214" i="1" s="1"/>
  <c r="G214" i="1"/>
  <c r="H215" i="1" s="1"/>
  <c r="F214" i="1"/>
  <c r="D214" i="1"/>
  <c r="L214" i="1" s="1"/>
  <c r="K213" i="1"/>
  <c r="N213" i="1" s="1"/>
  <c r="J213" i="1"/>
  <c r="M213" i="1" s="1"/>
  <c r="G213" i="1"/>
  <c r="H214" i="1" s="1"/>
  <c r="F213" i="1"/>
  <c r="D213" i="1"/>
  <c r="L213" i="1" s="1"/>
  <c r="K212" i="1"/>
  <c r="N212" i="1" s="1"/>
  <c r="J212" i="1"/>
  <c r="M212" i="1" s="1"/>
  <c r="G212" i="1"/>
  <c r="H213" i="1" s="1"/>
  <c r="F212" i="1"/>
  <c r="D212" i="1"/>
  <c r="L212" i="1" s="1"/>
  <c r="K211" i="1"/>
  <c r="N211" i="1" s="1"/>
  <c r="J211" i="1"/>
  <c r="M211" i="1" s="1"/>
  <c r="G211" i="1"/>
  <c r="H212" i="1" s="1"/>
  <c r="F211" i="1"/>
  <c r="D211" i="1"/>
  <c r="L211" i="1" s="1"/>
  <c r="K210" i="1"/>
  <c r="N210" i="1" s="1"/>
  <c r="J210" i="1"/>
  <c r="M210" i="1" s="1"/>
  <c r="G210" i="1"/>
  <c r="H211" i="1" s="1"/>
  <c r="F210" i="1"/>
  <c r="D210" i="1"/>
  <c r="L210" i="1" s="1"/>
  <c r="K209" i="1"/>
  <c r="N209" i="1" s="1"/>
  <c r="J209" i="1"/>
  <c r="M209" i="1" s="1"/>
  <c r="G209" i="1"/>
  <c r="H210" i="1" s="1"/>
  <c r="F209" i="1"/>
  <c r="D209" i="1"/>
  <c r="L209" i="1" s="1"/>
  <c r="K208" i="1"/>
  <c r="N208" i="1" s="1"/>
  <c r="J208" i="1"/>
  <c r="M208" i="1" s="1"/>
  <c r="G208" i="1"/>
  <c r="H209" i="1" s="1"/>
  <c r="F208" i="1"/>
  <c r="D208" i="1"/>
  <c r="L208" i="1" s="1"/>
  <c r="K207" i="1"/>
  <c r="N207" i="1" s="1"/>
  <c r="J207" i="1"/>
  <c r="M207" i="1" s="1"/>
  <c r="G207" i="1"/>
  <c r="H208" i="1" s="1"/>
  <c r="F207" i="1"/>
  <c r="D207" i="1"/>
  <c r="L207" i="1" s="1"/>
  <c r="K206" i="1"/>
  <c r="N206" i="1" s="1"/>
  <c r="J206" i="1"/>
  <c r="M206" i="1" s="1"/>
  <c r="G206" i="1"/>
  <c r="H207" i="1" s="1"/>
  <c r="F206" i="1"/>
  <c r="D206" i="1"/>
  <c r="L206" i="1" s="1"/>
  <c r="K205" i="1"/>
  <c r="N205" i="1" s="1"/>
  <c r="J205" i="1"/>
  <c r="M205" i="1" s="1"/>
  <c r="G205" i="1"/>
  <c r="H206" i="1" s="1"/>
  <c r="F205" i="1"/>
  <c r="D205" i="1"/>
  <c r="L205" i="1" s="1"/>
  <c r="K204" i="1"/>
  <c r="N204" i="1" s="1"/>
  <c r="J204" i="1"/>
  <c r="M204" i="1" s="1"/>
  <c r="G204" i="1"/>
  <c r="H205" i="1" s="1"/>
  <c r="F204" i="1"/>
  <c r="D204" i="1"/>
  <c r="L204" i="1" s="1"/>
  <c r="K203" i="1"/>
  <c r="N203" i="1" s="1"/>
  <c r="J203" i="1"/>
  <c r="M203" i="1" s="1"/>
  <c r="G203" i="1"/>
  <c r="H204" i="1" s="1"/>
  <c r="F203" i="1"/>
  <c r="D203" i="1"/>
  <c r="L203" i="1" s="1"/>
  <c r="K202" i="1"/>
  <c r="N202" i="1" s="1"/>
  <c r="J202" i="1"/>
  <c r="M202" i="1" s="1"/>
  <c r="G202" i="1"/>
  <c r="H203" i="1" s="1"/>
  <c r="F202" i="1"/>
  <c r="D202" i="1"/>
  <c r="L202" i="1" s="1"/>
  <c r="K201" i="1"/>
  <c r="N201" i="1" s="1"/>
  <c r="J201" i="1"/>
  <c r="M201" i="1" s="1"/>
  <c r="G201" i="1"/>
  <c r="H202" i="1" s="1"/>
  <c r="F201" i="1"/>
  <c r="D201" i="1"/>
  <c r="L201" i="1" s="1"/>
  <c r="K200" i="1"/>
  <c r="N200" i="1" s="1"/>
  <c r="J200" i="1"/>
  <c r="M200" i="1" s="1"/>
  <c r="G200" i="1"/>
  <c r="H201" i="1" s="1"/>
  <c r="F200" i="1"/>
  <c r="D200" i="1"/>
  <c r="L200" i="1" s="1"/>
  <c r="K199" i="1"/>
  <c r="N199" i="1" s="1"/>
  <c r="J199" i="1"/>
  <c r="M199" i="1" s="1"/>
  <c r="G199" i="1"/>
  <c r="H200" i="1" s="1"/>
  <c r="F199" i="1"/>
  <c r="D199" i="1"/>
  <c r="L199" i="1" s="1"/>
  <c r="K198" i="1"/>
  <c r="N198" i="1" s="1"/>
  <c r="J198" i="1"/>
  <c r="M198" i="1" s="1"/>
  <c r="G198" i="1"/>
  <c r="H199" i="1" s="1"/>
  <c r="F198" i="1"/>
  <c r="D198" i="1"/>
  <c r="L198" i="1" s="1"/>
  <c r="K197" i="1"/>
  <c r="N197" i="1" s="1"/>
  <c r="J197" i="1"/>
  <c r="M197" i="1" s="1"/>
  <c r="G197" i="1"/>
  <c r="H198" i="1" s="1"/>
  <c r="F197" i="1"/>
  <c r="D197" i="1"/>
  <c r="L197" i="1" s="1"/>
  <c r="K196" i="1"/>
  <c r="N196" i="1" s="1"/>
  <c r="J196" i="1"/>
  <c r="M196" i="1" s="1"/>
  <c r="G196" i="1"/>
  <c r="H197" i="1" s="1"/>
  <c r="F196" i="1"/>
  <c r="D196" i="1"/>
  <c r="L196" i="1" s="1"/>
  <c r="K195" i="1"/>
  <c r="N195" i="1" s="1"/>
  <c r="J195" i="1"/>
  <c r="M195" i="1" s="1"/>
  <c r="G195" i="1"/>
  <c r="H196" i="1" s="1"/>
  <c r="F195" i="1"/>
  <c r="D195" i="1"/>
  <c r="L195" i="1" s="1"/>
  <c r="K194" i="1"/>
  <c r="N194" i="1" s="1"/>
  <c r="J194" i="1"/>
  <c r="M194" i="1" s="1"/>
  <c r="G194" i="1"/>
  <c r="H195" i="1" s="1"/>
  <c r="F194" i="1"/>
  <c r="D194" i="1"/>
  <c r="L194" i="1" s="1"/>
  <c r="K193" i="1"/>
  <c r="N193" i="1" s="1"/>
  <c r="J193" i="1"/>
  <c r="M193" i="1" s="1"/>
  <c r="G193" i="1"/>
  <c r="H194" i="1" s="1"/>
  <c r="F193" i="1"/>
  <c r="D193" i="1"/>
  <c r="L193" i="1" s="1"/>
  <c r="K192" i="1"/>
  <c r="N192" i="1" s="1"/>
  <c r="J192" i="1"/>
  <c r="M192" i="1" s="1"/>
  <c r="G192" i="1"/>
  <c r="H193" i="1" s="1"/>
  <c r="F192" i="1"/>
  <c r="D192" i="1"/>
  <c r="L192" i="1" s="1"/>
  <c r="K191" i="1"/>
  <c r="N191" i="1" s="1"/>
  <c r="J191" i="1"/>
  <c r="M191" i="1" s="1"/>
  <c r="G191" i="1"/>
  <c r="H192" i="1" s="1"/>
  <c r="F191" i="1"/>
  <c r="D191" i="1"/>
  <c r="L191" i="1" s="1"/>
  <c r="K190" i="1"/>
  <c r="N190" i="1" s="1"/>
  <c r="J190" i="1"/>
  <c r="M190" i="1" s="1"/>
  <c r="G190" i="1"/>
  <c r="H191" i="1" s="1"/>
  <c r="F190" i="1"/>
  <c r="D190" i="1"/>
  <c r="L190" i="1" s="1"/>
  <c r="K189" i="1"/>
  <c r="N189" i="1" s="1"/>
  <c r="J189" i="1"/>
  <c r="M189" i="1" s="1"/>
  <c r="G189" i="1"/>
  <c r="H190" i="1" s="1"/>
  <c r="F189" i="1"/>
  <c r="D189" i="1"/>
  <c r="L189" i="1" s="1"/>
  <c r="K188" i="1"/>
  <c r="N188" i="1" s="1"/>
  <c r="J188" i="1"/>
  <c r="M188" i="1" s="1"/>
  <c r="G188" i="1"/>
  <c r="H189" i="1" s="1"/>
  <c r="F188" i="1"/>
  <c r="D188" i="1"/>
  <c r="L188" i="1" s="1"/>
  <c r="K187" i="1"/>
  <c r="N187" i="1" s="1"/>
  <c r="J187" i="1"/>
  <c r="M187" i="1" s="1"/>
  <c r="G187" i="1"/>
  <c r="H188" i="1" s="1"/>
  <c r="F187" i="1"/>
  <c r="D187" i="1"/>
  <c r="L187" i="1" s="1"/>
  <c r="K186" i="1"/>
  <c r="N186" i="1" s="1"/>
  <c r="J186" i="1"/>
  <c r="M186" i="1" s="1"/>
  <c r="G186" i="1"/>
  <c r="H187" i="1" s="1"/>
  <c r="F186" i="1"/>
  <c r="D186" i="1"/>
  <c r="L186" i="1" s="1"/>
  <c r="K185" i="1"/>
  <c r="N185" i="1" s="1"/>
  <c r="J185" i="1"/>
  <c r="M185" i="1" s="1"/>
  <c r="G185" i="1"/>
  <c r="H186" i="1" s="1"/>
  <c r="F185" i="1"/>
  <c r="D185" i="1"/>
  <c r="L185" i="1" s="1"/>
  <c r="K184" i="1"/>
  <c r="N184" i="1" s="1"/>
  <c r="J184" i="1"/>
  <c r="M184" i="1" s="1"/>
  <c r="G184" i="1"/>
  <c r="H185" i="1" s="1"/>
  <c r="F184" i="1"/>
  <c r="D184" i="1"/>
  <c r="L184" i="1" s="1"/>
  <c r="K183" i="1"/>
  <c r="N183" i="1" s="1"/>
  <c r="J183" i="1"/>
  <c r="M183" i="1" s="1"/>
  <c r="G183" i="1"/>
  <c r="H184" i="1" s="1"/>
  <c r="F183" i="1"/>
  <c r="D183" i="1"/>
  <c r="L183" i="1" s="1"/>
  <c r="K182" i="1"/>
  <c r="N182" i="1" s="1"/>
  <c r="J182" i="1"/>
  <c r="M182" i="1" s="1"/>
  <c r="G182" i="1"/>
  <c r="H183" i="1" s="1"/>
  <c r="F182" i="1"/>
  <c r="D182" i="1"/>
  <c r="L182" i="1" s="1"/>
  <c r="K181" i="1"/>
  <c r="N181" i="1" s="1"/>
  <c r="J181" i="1"/>
  <c r="M181" i="1" s="1"/>
  <c r="G181" i="1"/>
  <c r="H182" i="1" s="1"/>
  <c r="F181" i="1"/>
  <c r="D181" i="1"/>
  <c r="L181" i="1" s="1"/>
  <c r="K180" i="1"/>
  <c r="N180" i="1" s="1"/>
  <c r="J180" i="1"/>
  <c r="M180" i="1" s="1"/>
  <c r="G180" i="1"/>
  <c r="H181" i="1" s="1"/>
  <c r="F180" i="1"/>
  <c r="D180" i="1"/>
  <c r="L180" i="1" s="1"/>
  <c r="K179" i="1"/>
  <c r="N179" i="1" s="1"/>
  <c r="J179" i="1"/>
  <c r="M179" i="1" s="1"/>
  <c r="G179" i="1"/>
  <c r="H180" i="1" s="1"/>
  <c r="F179" i="1"/>
  <c r="D179" i="1"/>
  <c r="L179" i="1" s="1"/>
  <c r="K178" i="1"/>
  <c r="N178" i="1" s="1"/>
  <c r="J178" i="1"/>
  <c r="M178" i="1" s="1"/>
  <c r="G178" i="1"/>
  <c r="H179" i="1" s="1"/>
  <c r="F178" i="1"/>
  <c r="D178" i="1"/>
  <c r="L178" i="1" s="1"/>
  <c r="K177" i="1"/>
  <c r="N177" i="1" s="1"/>
  <c r="J177" i="1"/>
  <c r="M177" i="1" s="1"/>
  <c r="G177" i="1"/>
  <c r="H178" i="1" s="1"/>
  <c r="F177" i="1"/>
  <c r="D177" i="1"/>
  <c r="L177" i="1" s="1"/>
  <c r="K176" i="1"/>
  <c r="N176" i="1" s="1"/>
  <c r="J176" i="1"/>
  <c r="M176" i="1" s="1"/>
  <c r="G176" i="1"/>
  <c r="H177" i="1" s="1"/>
  <c r="F176" i="1"/>
  <c r="D176" i="1"/>
  <c r="L176" i="1" s="1"/>
  <c r="K175" i="1"/>
  <c r="N175" i="1" s="1"/>
  <c r="J175" i="1"/>
  <c r="M175" i="1" s="1"/>
  <c r="G175" i="1"/>
  <c r="H176" i="1" s="1"/>
  <c r="F175" i="1"/>
  <c r="D175" i="1"/>
  <c r="L175" i="1" s="1"/>
  <c r="K174" i="1"/>
  <c r="N174" i="1" s="1"/>
  <c r="J174" i="1"/>
  <c r="M174" i="1" s="1"/>
  <c r="G174" i="1"/>
  <c r="H175" i="1" s="1"/>
  <c r="F174" i="1"/>
  <c r="D174" i="1"/>
  <c r="L174" i="1" s="1"/>
  <c r="K173" i="1"/>
  <c r="N173" i="1" s="1"/>
  <c r="J173" i="1"/>
  <c r="M173" i="1" s="1"/>
  <c r="G173" i="1"/>
  <c r="H174" i="1" s="1"/>
  <c r="F173" i="1"/>
  <c r="D173" i="1"/>
  <c r="L173" i="1" s="1"/>
  <c r="K172" i="1"/>
  <c r="N172" i="1" s="1"/>
  <c r="J172" i="1"/>
  <c r="M172" i="1" s="1"/>
  <c r="G172" i="1"/>
  <c r="H173" i="1" s="1"/>
  <c r="F172" i="1"/>
  <c r="D172" i="1"/>
  <c r="L172" i="1" s="1"/>
  <c r="K171" i="1"/>
  <c r="N171" i="1" s="1"/>
  <c r="J171" i="1"/>
  <c r="M171" i="1" s="1"/>
  <c r="G171" i="1"/>
  <c r="H172" i="1" s="1"/>
  <c r="F171" i="1"/>
  <c r="D171" i="1"/>
  <c r="L171" i="1" s="1"/>
  <c r="K170" i="1"/>
  <c r="N170" i="1" s="1"/>
  <c r="J170" i="1"/>
  <c r="M170" i="1" s="1"/>
  <c r="G170" i="1"/>
  <c r="H171" i="1" s="1"/>
  <c r="F170" i="1"/>
  <c r="D170" i="1"/>
  <c r="L170" i="1" s="1"/>
  <c r="K169" i="1"/>
  <c r="N169" i="1" s="1"/>
  <c r="J169" i="1"/>
  <c r="M169" i="1" s="1"/>
  <c r="G169" i="1"/>
  <c r="H170" i="1" s="1"/>
  <c r="F169" i="1"/>
  <c r="D169" i="1"/>
  <c r="L169" i="1" s="1"/>
  <c r="K168" i="1"/>
  <c r="N168" i="1" s="1"/>
  <c r="J168" i="1"/>
  <c r="M168" i="1" s="1"/>
  <c r="G168" i="1"/>
  <c r="H169" i="1" s="1"/>
  <c r="F168" i="1"/>
  <c r="D168" i="1"/>
  <c r="L168" i="1" s="1"/>
  <c r="K167" i="1"/>
  <c r="N167" i="1" s="1"/>
  <c r="J167" i="1"/>
  <c r="M167" i="1" s="1"/>
  <c r="G167" i="1"/>
  <c r="H168" i="1" s="1"/>
  <c r="F167" i="1"/>
  <c r="D167" i="1"/>
  <c r="L167" i="1" s="1"/>
  <c r="K166" i="1"/>
  <c r="N166" i="1" s="1"/>
  <c r="J166" i="1"/>
  <c r="M166" i="1" s="1"/>
  <c r="G166" i="1"/>
  <c r="H167" i="1" s="1"/>
  <c r="F166" i="1"/>
  <c r="D166" i="1"/>
  <c r="L166" i="1" s="1"/>
  <c r="K165" i="1"/>
  <c r="N165" i="1" s="1"/>
  <c r="J165" i="1"/>
  <c r="M165" i="1" s="1"/>
  <c r="G165" i="1"/>
  <c r="H166" i="1" s="1"/>
  <c r="F165" i="1"/>
  <c r="D165" i="1"/>
  <c r="L165" i="1" s="1"/>
  <c r="K164" i="1"/>
  <c r="N164" i="1" s="1"/>
  <c r="J164" i="1"/>
  <c r="M164" i="1" s="1"/>
  <c r="G164" i="1"/>
  <c r="H165" i="1" s="1"/>
  <c r="F164" i="1"/>
  <c r="D164" i="1"/>
  <c r="L164" i="1" s="1"/>
  <c r="K163" i="1"/>
  <c r="N163" i="1" s="1"/>
  <c r="J163" i="1"/>
  <c r="M163" i="1" s="1"/>
  <c r="G163" i="1"/>
  <c r="H164" i="1" s="1"/>
  <c r="F163" i="1"/>
  <c r="D163" i="1"/>
  <c r="L163" i="1" s="1"/>
  <c r="K162" i="1"/>
  <c r="N162" i="1" s="1"/>
  <c r="J162" i="1"/>
  <c r="M162" i="1" s="1"/>
  <c r="G162" i="1"/>
  <c r="H163" i="1" s="1"/>
  <c r="F162" i="1"/>
  <c r="D162" i="1"/>
  <c r="L162" i="1" s="1"/>
  <c r="K161" i="1"/>
  <c r="N161" i="1" s="1"/>
  <c r="J161" i="1"/>
  <c r="M161" i="1" s="1"/>
  <c r="G161" i="1"/>
  <c r="H162" i="1" s="1"/>
  <c r="F161" i="1"/>
  <c r="D161" i="1"/>
  <c r="L161" i="1" s="1"/>
  <c r="K160" i="1"/>
  <c r="N160" i="1" s="1"/>
  <c r="J160" i="1"/>
  <c r="M160" i="1" s="1"/>
  <c r="G160" i="1"/>
  <c r="H161" i="1" s="1"/>
  <c r="F160" i="1"/>
  <c r="D160" i="1"/>
  <c r="L160" i="1" s="1"/>
  <c r="K159" i="1"/>
  <c r="N159" i="1" s="1"/>
  <c r="J159" i="1"/>
  <c r="M159" i="1" s="1"/>
  <c r="G159" i="1"/>
  <c r="H160" i="1" s="1"/>
  <c r="F159" i="1"/>
  <c r="D159" i="1"/>
  <c r="L159" i="1" s="1"/>
  <c r="K158" i="1"/>
  <c r="N158" i="1" s="1"/>
  <c r="J158" i="1"/>
  <c r="M158" i="1" s="1"/>
  <c r="G158" i="1"/>
  <c r="H159" i="1" s="1"/>
  <c r="F158" i="1"/>
  <c r="D158" i="1"/>
  <c r="L158" i="1" s="1"/>
  <c r="K157" i="1"/>
  <c r="N157" i="1" s="1"/>
  <c r="J157" i="1"/>
  <c r="M157" i="1" s="1"/>
  <c r="G157" i="1"/>
  <c r="H158" i="1" s="1"/>
  <c r="F157" i="1"/>
  <c r="D157" i="1"/>
  <c r="L157" i="1" s="1"/>
  <c r="K156" i="1"/>
  <c r="N156" i="1" s="1"/>
  <c r="J156" i="1"/>
  <c r="M156" i="1" s="1"/>
  <c r="G156" i="1"/>
  <c r="H157" i="1" s="1"/>
  <c r="F156" i="1"/>
  <c r="D156" i="1"/>
  <c r="L156" i="1" s="1"/>
  <c r="K155" i="1"/>
  <c r="N155" i="1" s="1"/>
  <c r="J155" i="1"/>
  <c r="M155" i="1" s="1"/>
  <c r="G155" i="1"/>
  <c r="H156" i="1" s="1"/>
  <c r="F155" i="1"/>
  <c r="D155" i="1"/>
  <c r="L155" i="1" s="1"/>
  <c r="K154" i="1"/>
  <c r="N154" i="1" s="1"/>
  <c r="J154" i="1"/>
  <c r="M154" i="1" s="1"/>
  <c r="G154" i="1"/>
  <c r="H155" i="1" s="1"/>
  <c r="F154" i="1"/>
  <c r="D154" i="1"/>
  <c r="L154" i="1" s="1"/>
  <c r="K153" i="1"/>
  <c r="N153" i="1" s="1"/>
  <c r="J153" i="1"/>
  <c r="M153" i="1" s="1"/>
  <c r="G153" i="1"/>
  <c r="H154" i="1" s="1"/>
  <c r="F153" i="1"/>
  <c r="D153" i="1"/>
  <c r="L153" i="1" s="1"/>
  <c r="K152" i="1"/>
  <c r="N152" i="1" s="1"/>
  <c r="J152" i="1"/>
  <c r="M152" i="1" s="1"/>
  <c r="G152" i="1"/>
  <c r="H153" i="1" s="1"/>
  <c r="F152" i="1"/>
  <c r="D152" i="1"/>
  <c r="L152" i="1" s="1"/>
  <c r="K151" i="1"/>
  <c r="N151" i="1" s="1"/>
  <c r="J151" i="1"/>
  <c r="M151" i="1" s="1"/>
  <c r="G151" i="1"/>
  <c r="H152" i="1" s="1"/>
  <c r="F151" i="1"/>
  <c r="D151" i="1"/>
  <c r="L151" i="1" s="1"/>
  <c r="K150" i="1"/>
  <c r="N150" i="1" s="1"/>
  <c r="J150" i="1"/>
  <c r="M150" i="1" s="1"/>
  <c r="G150" i="1"/>
  <c r="H151" i="1" s="1"/>
  <c r="F150" i="1"/>
  <c r="D150" i="1"/>
  <c r="L150" i="1" s="1"/>
  <c r="K149" i="1"/>
  <c r="N149" i="1" s="1"/>
  <c r="J149" i="1"/>
  <c r="M149" i="1" s="1"/>
  <c r="G149" i="1"/>
  <c r="H150" i="1" s="1"/>
  <c r="F149" i="1"/>
  <c r="D149" i="1"/>
  <c r="L149" i="1" s="1"/>
  <c r="K148" i="1"/>
  <c r="N148" i="1" s="1"/>
  <c r="J148" i="1"/>
  <c r="M148" i="1" s="1"/>
  <c r="G148" i="1"/>
  <c r="H149" i="1" s="1"/>
  <c r="F148" i="1"/>
  <c r="D148" i="1"/>
  <c r="L148" i="1" s="1"/>
  <c r="K147" i="1"/>
  <c r="N147" i="1" s="1"/>
  <c r="J147" i="1"/>
  <c r="M147" i="1" s="1"/>
  <c r="G147" i="1"/>
  <c r="H148" i="1" s="1"/>
  <c r="F147" i="1"/>
  <c r="D147" i="1"/>
  <c r="L147" i="1" s="1"/>
  <c r="K146" i="1"/>
  <c r="N146" i="1" s="1"/>
  <c r="J146" i="1"/>
  <c r="M146" i="1" s="1"/>
  <c r="G146" i="1"/>
  <c r="H147" i="1" s="1"/>
  <c r="F146" i="1"/>
  <c r="D146" i="1"/>
  <c r="L146" i="1" s="1"/>
  <c r="K145" i="1"/>
  <c r="N145" i="1" s="1"/>
  <c r="J145" i="1"/>
  <c r="M145" i="1" s="1"/>
  <c r="G145" i="1"/>
  <c r="H146" i="1" s="1"/>
  <c r="F145" i="1"/>
  <c r="D145" i="1"/>
  <c r="L145" i="1" s="1"/>
  <c r="K144" i="1"/>
  <c r="N144" i="1" s="1"/>
  <c r="J144" i="1"/>
  <c r="M144" i="1" s="1"/>
  <c r="G144" i="1"/>
  <c r="H145" i="1" s="1"/>
  <c r="F144" i="1"/>
  <c r="D144" i="1"/>
  <c r="L144" i="1" s="1"/>
  <c r="K143" i="1"/>
  <c r="N143" i="1" s="1"/>
  <c r="J143" i="1"/>
  <c r="M143" i="1" s="1"/>
  <c r="G143" i="1"/>
  <c r="H144" i="1" s="1"/>
  <c r="F143" i="1"/>
  <c r="D143" i="1"/>
  <c r="L143" i="1" s="1"/>
  <c r="K142" i="1"/>
  <c r="N142" i="1" s="1"/>
  <c r="J142" i="1"/>
  <c r="M142" i="1" s="1"/>
  <c r="G142" i="1"/>
  <c r="H143" i="1" s="1"/>
  <c r="F142" i="1"/>
  <c r="D142" i="1"/>
  <c r="L142" i="1" s="1"/>
  <c r="K141" i="1"/>
  <c r="N141" i="1" s="1"/>
  <c r="J141" i="1"/>
  <c r="M141" i="1" s="1"/>
  <c r="G141" i="1"/>
  <c r="H142" i="1" s="1"/>
  <c r="F141" i="1"/>
  <c r="D141" i="1"/>
  <c r="L141" i="1" s="1"/>
  <c r="K140" i="1"/>
  <c r="N140" i="1" s="1"/>
  <c r="J140" i="1"/>
  <c r="M140" i="1" s="1"/>
  <c r="G140" i="1"/>
  <c r="H141" i="1" s="1"/>
  <c r="F140" i="1"/>
  <c r="D140" i="1"/>
  <c r="L140" i="1" s="1"/>
  <c r="K139" i="1"/>
  <c r="N139" i="1" s="1"/>
  <c r="J139" i="1"/>
  <c r="M139" i="1" s="1"/>
  <c r="G139" i="1"/>
  <c r="H140" i="1" s="1"/>
  <c r="F139" i="1"/>
  <c r="D139" i="1"/>
  <c r="L139" i="1" s="1"/>
  <c r="K138" i="1"/>
  <c r="N138" i="1" s="1"/>
  <c r="J138" i="1"/>
  <c r="M138" i="1" s="1"/>
  <c r="G138" i="1"/>
  <c r="H139" i="1" s="1"/>
  <c r="F138" i="1"/>
  <c r="D138" i="1"/>
  <c r="L138" i="1" s="1"/>
  <c r="K137" i="1"/>
  <c r="N137" i="1" s="1"/>
  <c r="J137" i="1"/>
  <c r="M137" i="1" s="1"/>
  <c r="G137" i="1"/>
  <c r="H138" i="1" s="1"/>
  <c r="F137" i="1"/>
  <c r="D137" i="1"/>
  <c r="L137" i="1" s="1"/>
  <c r="K136" i="1"/>
  <c r="N136" i="1" s="1"/>
  <c r="J136" i="1"/>
  <c r="M136" i="1" s="1"/>
  <c r="G136" i="1"/>
  <c r="H137" i="1" s="1"/>
  <c r="F136" i="1"/>
  <c r="D136" i="1"/>
  <c r="L136" i="1" s="1"/>
  <c r="K135" i="1"/>
  <c r="N135" i="1" s="1"/>
  <c r="J135" i="1"/>
  <c r="M135" i="1" s="1"/>
  <c r="G135" i="1"/>
  <c r="H136" i="1" s="1"/>
  <c r="F135" i="1"/>
  <c r="D135" i="1"/>
  <c r="L135" i="1" s="1"/>
  <c r="K134" i="1"/>
  <c r="N134" i="1" s="1"/>
  <c r="J134" i="1"/>
  <c r="M134" i="1" s="1"/>
  <c r="G134" i="1"/>
  <c r="H135" i="1" s="1"/>
  <c r="F134" i="1"/>
  <c r="D134" i="1"/>
  <c r="L134" i="1" s="1"/>
  <c r="K133" i="1"/>
  <c r="N133" i="1" s="1"/>
  <c r="J133" i="1"/>
  <c r="M133" i="1" s="1"/>
  <c r="G133" i="1"/>
  <c r="H134" i="1" s="1"/>
  <c r="F133" i="1"/>
  <c r="D133" i="1"/>
  <c r="L133" i="1" s="1"/>
  <c r="K132" i="1"/>
  <c r="N132" i="1" s="1"/>
  <c r="J132" i="1"/>
  <c r="M132" i="1" s="1"/>
  <c r="G132" i="1"/>
  <c r="H133" i="1" s="1"/>
  <c r="F132" i="1"/>
  <c r="D132" i="1"/>
  <c r="L132" i="1" s="1"/>
  <c r="K131" i="1"/>
  <c r="N131" i="1" s="1"/>
  <c r="J131" i="1"/>
  <c r="M131" i="1" s="1"/>
  <c r="G131" i="1"/>
  <c r="H132" i="1" s="1"/>
  <c r="F131" i="1"/>
  <c r="D131" i="1"/>
  <c r="L131" i="1" s="1"/>
  <c r="K130" i="1"/>
  <c r="N130" i="1" s="1"/>
  <c r="J130" i="1"/>
  <c r="M130" i="1" s="1"/>
  <c r="G130" i="1"/>
  <c r="H131" i="1" s="1"/>
  <c r="F130" i="1"/>
  <c r="D130" i="1"/>
  <c r="L130" i="1" s="1"/>
  <c r="K129" i="1"/>
  <c r="N129" i="1" s="1"/>
  <c r="J129" i="1"/>
  <c r="M129" i="1" s="1"/>
  <c r="G129" i="1"/>
  <c r="H130" i="1" s="1"/>
  <c r="F129" i="1"/>
  <c r="D129" i="1"/>
  <c r="L129" i="1" s="1"/>
  <c r="K128" i="1"/>
  <c r="N128" i="1" s="1"/>
  <c r="J128" i="1"/>
  <c r="M128" i="1" s="1"/>
  <c r="G128" i="1"/>
  <c r="H129" i="1" s="1"/>
  <c r="F128" i="1"/>
  <c r="D128" i="1"/>
  <c r="L128" i="1" s="1"/>
  <c r="K127" i="1"/>
  <c r="N127" i="1" s="1"/>
  <c r="J127" i="1"/>
  <c r="M127" i="1" s="1"/>
  <c r="G127" i="1"/>
  <c r="H128" i="1" s="1"/>
  <c r="F127" i="1"/>
  <c r="D127" i="1"/>
  <c r="L127" i="1" s="1"/>
  <c r="K126" i="1"/>
  <c r="N126" i="1" s="1"/>
  <c r="J126" i="1"/>
  <c r="M126" i="1" s="1"/>
  <c r="G126" i="1"/>
  <c r="H127" i="1" s="1"/>
  <c r="F126" i="1"/>
  <c r="D126" i="1"/>
  <c r="L126" i="1" s="1"/>
  <c r="K125" i="1"/>
  <c r="N125" i="1" s="1"/>
  <c r="J125" i="1"/>
  <c r="M125" i="1" s="1"/>
  <c r="G125" i="1"/>
  <c r="H126" i="1" s="1"/>
  <c r="F125" i="1"/>
  <c r="D125" i="1"/>
  <c r="L125" i="1" s="1"/>
  <c r="K124" i="1"/>
  <c r="N124" i="1" s="1"/>
  <c r="J124" i="1"/>
  <c r="M124" i="1" s="1"/>
  <c r="G124" i="1"/>
  <c r="H125" i="1" s="1"/>
  <c r="F124" i="1"/>
  <c r="D124" i="1"/>
  <c r="L124" i="1" s="1"/>
  <c r="K123" i="1"/>
  <c r="N123" i="1" s="1"/>
  <c r="J123" i="1"/>
  <c r="M123" i="1" s="1"/>
  <c r="G123" i="1"/>
  <c r="H124" i="1" s="1"/>
  <c r="F123" i="1"/>
  <c r="D123" i="1"/>
  <c r="L123" i="1" s="1"/>
  <c r="K122" i="1"/>
  <c r="N122" i="1" s="1"/>
  <c r="J122" i="1"/>
  <c r="M122" i="1" s="1"/>
  <c r="G122" i="1"/>
  <c r="H123" i="1" s="1"/>
  <c r="F122" i="1"/>
  <c r="D122" i="1"/>
  <c r="L122" i="1" s="1"/>
  <c r="K121" i="1"/>
  <c r="N121" i="1" s="1"/>
  <c r="J121" i="1"/>
  <c r="M121" i="1" s="1"/>
  <c r="G121" i="1"/>
  <c r="H122" i="1" s="1"/>
  <c r="F121" i="1"/>
  <c r="D121" i="1"/>
  <c r="L121" i="1" s="1"/>
  <c r="K120" i="1"/>
  <c r="N120" i="1" s="1"/>
  <c r="J120" i="1"/>
  <c r="M120" i="1" s="1"/>
  <c r="G120" i="1"/>
  <c r="H121" i="1" s="1"/>
  <c r="F120" i="1"/>
  <c r="D120" i="1"/>
  <c r="L120" i="1" s="1"/>
  <c r="K119" i="1"/>
  <c r="N119" i="1" s="1"/>
  <c r="J119" i="1"/>
  <c r="M119" i="1" s="1"/>
  <c r="G119" i="1"/>
  <c r="H120" i="1" s="1"/>
  <c r="F119" i="1"/>
  <c r="D119" i="1"/>
  <c r="L119" i="1" s="1"/>
  <c r="K118" i="1"/>
  <c r="N118" i="1" s="1"/>
  <c r="J118" i="1"/>
  <c r="M118" i="1" s="1"/>
  <c r="G118" i="1"/>
  <c r="H119" i="1" s="1"/>
  <c r="F118" i="1"/>
  <c r="D118" i="1"/>
  <c r="L118" i="1" s="1"/>
  <c r="K117" i="1"/>
  <c r="N117" i="1" s="1"/>
  <c r="J117" i="1"/>
  <c r="M117" i="1" s="1"/>
  <c r="G117" i="1"/>
  <c r="H118" i="1" s="1"/>
  <c r="F117" i="1"/>
  <c r="D117" i="1"/>
  <c r="L117" i="1" s="1"/>
  <c r="K116" i="1"/>
  <c r="N116" i="1" s="1"/>
  <c r="J116" i="1"/>
  <c r="M116" i="1" s="1"/>
  <c r="G116" i="1"/>
  <c r="H117" i="1" s="1"/>
  <c r="F116" i="1"/>
  <c r="D116" i="1"/>
  <c r="L116" i="1" s="1"/>
  <c r="K115" i="1"/>
  <c r="N115" i="1" s="1"/>
  <c r="J115" i="1"/>
  <c r="M115" i="1" s="1"/>
  <c r="G115" i="1"/>
  <c r="H116" i="1" s="1"/>
  <c r="F115" i="1"/>
  <c r="D115" i="1"/>
  <c r="L115" i="1" s="1"/>
  <c r="K114" i="1"/>
  <c r="N114" i="1" s="1"/>
  <c r="J114" i="1"/>
  <c r="M114" i="1" s="1"/>
  <c r="G114" i="1"/>
  <c r="H115" i="1" s="1"/>
  <c r="F114" i="1"/>
  <c r="D114" i="1"/>
  <c r="L114" i="1" s="1"/>
  <c r="K113" i="1"/>
  <c r="N113" i="1" s="1"/>
  <c r="J113" i="1"/>
  <c r="M113" i="1" s="1"/>
  <c r="G113" i="1"/>
  <c r="H114" i="1" s="1"/>
  <c r="F113" i="1"/>
  <c r="D113" i="1"/>
  <c r="L113" i="1" s="1"/>
  <c r="K112" i="1"/>
  <c r="N112" i="1" s="1"/>
  <c r="J112" i="1"/>
  <c r="M112" i="1" s="1"/>
  <c r="G112" i="1"/>
  <c r="H113" i="1" s="1"/>
  <c r="F112" i="1"/>
  <c r="D112" i="1"/>
  <c r="L112" i="1" s="1"/>
  <c r="K111" i="1"/>
  <c r="N111" i="1" s="1"/>
  <c r="J111" i="1"/>
  <c r="M111" i="1" s="1"/>
  <c r="G111" i="1"/>
  <c r="H112" i="1" s="1"/>
  <c r="F111" i="1"/>
  <c r="D111" i="1"/>
  <c r="L111" i="1" s="1"/>
  <c r="K110" i="1"/>
  <c r="N110" i="1" s="1"/>
  <c r="J110" i="1"/>
  <c r="M110" i="1" s="1"/>
  <c r="G110" i="1"/>
  <c r="H111" i="1" s="1"/>
  <c r="F110" i="1"/>
  <c r="D110" i="1"/>
  <c r="L110" i="1" s="1"/>
  <c r="K109" i="1"/>
  <c r="N109" i="1" s="1"/>
  <c r="J109" i="1"/>
  <c r="M109" i="1" s="1"/>
  <c r="G109" i="1"/>
  <c r="H110" i="1" s="1"/>
  <c r="F109" i="1"/>
  <c r="D109" i="1"/>
  <c r="L109" i="1" s="1"/>
  <c r="K108" i="1"/>
  <c r="N108" i="1" s="1"/>
  <c r="J108" i="1"/>
  <c r="M108" i="1" s="1"/>
  <c r="G108" i="1"/>
  <c r="H109" i="1" s="1"/>
  <c r="F108" i="1"/>
  <c r="D108" i="1"/>
  <c r="L108" i="1" s="1"/>
  <c r="K107" i="1"/>
  <c r="N107" i="1" s="1"/>
  <c r="J107" i="1"/>
  <c r="M107" i="1" s="1"/>
  <c r="G107" i="1"/>
  <c r="H108" i="1" s="1"/>
  <c r="F107" i="1"/>
  <c r="D107" i="1"/>
  <c r="L107" i="1" s="1"/>
  <c r="K106" i="1"/>
  <c r="N106" i="1" s="1"/>
  <c r="J106" i="1"/>
  <c r="M106" i="1" s="1"/>
  <c r="G106" i="1"/>
  <c r="H107" i="1" s="1"/>
  <c r="F106" i="1"/>
  <c r="D106" i="1"/>
  <c r="L106" i="1" s="1"/>
  <c r="K105" i="1"/>
  <c r="N105" i="1" s="1"/>
  <c r="J105" i="1"/>
  <c r="M105" i="1" s="1"/>
  <c r="G105" i="1"/>
  <c r="H106" i="1" s="1"/>
  <c r="F105" i="1"/>
  <c r="D105" i="1"/>
  <c r="L105" i="1" s="1"/>
  <c r="K104" i="1"/>
  <c r="N104" i="1" s="1"/>
  <c r="J104" i="1"/>
  <c r="M104" i="1" s="1"/>
  <c r="G104" i="1"/>
  <c r="H105" i="1" s="1"/>
  <c r="F104" i="1"/>
  <c r="D104" i="1"/>
  <c r="L104" i="1" s="1"/>
  <c r="K103" i="1"/>
  <c r="N103" i="1" s="1"/>
  <c r="J103" i="1"/>
  <c r="M103" i="1" s="1"/>
  <c r="G103" i="1"/>
  <c r="H104" i="1" s="1"/>
  <c r="F103" i="1"/>
  <c r="D103" i="1"/>
  <c r="L103" i="1" s="1"/>
  <c r="K102" i="1"/>
  <c r="N102" i="1" s="1"/>
  <c r="J102" i="1"/>
  <c r="M102" i="1" s="1"/>
  <c r="G102" i="1"/>
  <c r="H103" i="1" s="1"/>
  <c r="F102" i="1"/>
  <c r="D102" i="1"/>
  <c r="L102" i="1" s="1"/>
  <c r="K101" i="1"/>
  <c r="N101" i="1" s="1"/>
  <c r="J101" i="1"/>
  <c r="M101" i="1" s="1"/>
  <c r="G101" i="1"/>
  <c r="H102" i="1" s="1"/>
  <c r="F101" i="1"/>
  <c r="D101" i="1"/>
  <c r="L101" i="1" s="1"/>
  <c r="K100" i="1"/>
  <c r="N100" i="1" s="1"/>
  <c r="J100" i="1"/>
  <c r="M100" i="1" s="1"/>
  <c r="G100" i="1"/>
  <c r="H101" i="1" s="1"/>
  <c r="F100" i="1"/>
  <c r="D100" i="1"/>
  <c r="L100" i="1" s="1"/>
  <c r="K99" i="1"/>
  <c r="N99" i="1" s="1"/>
  <c r="J99" i="1"/>
  <c r="M99" i="1" s="1"/>
  <c r="G99" i="1"/>
  <c r="H100" i="1" s="1"/>
  <c r="F99" i="1"/>
  <c r="D99" i="1"/>
  <c r="L99" i="1" s="1"/>
  <c r="K98" i="1"/>
  <c r="N98" i="1" s="1"/>
  <c r="J98" i="1"/>
  <c r="M98" i="1" s="1"/>
  <c r="G98" i="1"/>
  <c r="H99" i="1" s="1"/>
  <c r="F98" i="1"/>
  <c r="D98" i="1"/>
  <c r="L98" i="1" s="1"/>
  <c r="K97" i="1"/>
  <c r="N97" i="1" s="1"/>
  <c r="J97" i="1"/>
  <c r="M97" i="1" s="1"/>
  <c r="G97" i="1"/>
  <c r="H98" i="1" s="1"/>
  <c r="F97" i="1"/>
  <c r="D97" i="1"/>
  <c r="L97" i="1" s="1"/>
  <c r="K96" i="1"/>
  <c r="N96" i="1" s="1"/>
  <c r="J96" i="1"/>
  <c r="M96" i="1" s="1"/>
  <c r="G96" i="1"/>
  <c r="H97" i="1" s="1"/>
  <c r="F96" i="1"/>
  <c r="D96" i="1"/>
  <c r="L96" i="1" s="1"/>
  <c r="K95" i="1"/>
  <c r="N95" i="1" s="1"/>
  <c r="J95" i="1"/>
  <c r="M95" i="1" s="1"/>
  <c r="G95" i="1"/>
  <c r="H96" i="1" s="1"/>
  <c r="F95" i="1"/>
  <c r="D95" i="1"/>
  <c r="L95" i="1" s="1"/>
  <c r="K94" i="1"/>
  <c r="N94" i="1" s="1"/>
  <c r="J94" i="1"/>
  <c r="M94" i="1" s="1"/>
  <c r="G94" i="1"/>
  <c r="H95" i="1" s="1"/>
  <c r="F94" i="1"/>
  <c r="D94" i="1"/>
  <c r="L94" i="1" s="1"/>
  <c r="K93" i="1"/>
  <c r="N93" i="1" s="1"/>
  <c r="J93" i="1"/>
  <c r="M93" i="1" s="1"/>
  <c r="G93" i="1"/>
  <c r="H94" i="1" s="1"/>
  <c r="F93" i="1"/>
  <c r="D93" i="1"/>
  <c r="L93" i="1" s="1"/>
  <c r="K92" i="1"/>
  <c r="N92" i="1" s="1"/>
  <c r="J92" i="1"/>
  <c r="M92" i="1" s="1"/>
  <c r="G92" i="1"/>
  <c r="H93" i="1" s="1"/>
  <c r="F92" i="1"/>
  <c r="D92" i="1"/>
  <c r="L92" i="1" s="1"/>
  <c r="K91" i="1"/>
  <c r="N91" i="1" s="1"/>
  <c r="J91" i="1"/>
  <c r="M91" i="1" s="1"/>
  <c r="G91" i="1"/>
  <c r="H92" i="1" s="1"/>
  <c r="F91" i="1"/>
  <c r="D91" i="1"/>
  <c r="L91" i="1" s="1"/>
  <c r="K90" i="1"/>
  <c r="N90" i="1" s="1"/>
  <c r="J90" i="1"/>
  <c r="M90" i="1" s="1"/>
  <c r="G90" i="1"/>
  <c r="H91" i="1" s="1"/>
  <c r="F90" i="1"/>
  <c r="D90" i="1"/>
  <c r="L90" i="1" s="1"/>
  <c r="K89" i="1"/>
  <c r="N89" i="1" s="1"/>
  <c r="J89" i="1"/>
  <c r="M89" i="1" s="1"/>
  <c r="G89" i="1"/>
  <c r="H90" i="1" s="1"/>
  <c r="F89" i="1"/>
  <c r="D89" i="1"/>
  <c r="L89" i="1" s="1"/>
  <c r="K88" i="1"/>
  <c r="N88" i="1" s="1"/>
  <c r="J88" i="1"/>
  <c r="M88" i="1" s="1"/>
  <c r="G88" i="1"/>
  <c r="H89" i="1" s="1"/>
  <c r="F88" i="1"/>
  <c r="D88" i="1"/>
  <c r="L88" i="1" s="1"/>
  <c r="K87" i="1"/>
  <c r="N87" i="1" s="1"/>
  <c r="J87" i="1"/>
  <c r="M87" i="1" s="1"/>
  <c r="G87" i="1"/>
  <c r="H88" i="1" s="1"/>
  <c r="F87" i="1"/>
  <c r="D87" i="1"/>
  <c r="L87" i="1" s="1"/>
  <c r="K86" i="1"/>
  <c r="N86" i="1" s="1"/>
  <c r="J86" i="1"/>
  <c r="M86" i="1" s="1"/>
  <c r="G86" i="1"/>
  <c r="H87" i="1" s="1"/>
  <c r="F86" i="1"/>
  <c r="D86" i="1"/>
  <c r="L86" i="1" s="1"/>
  <c r="K85" i="1"/>
  <c r="N85" i="1" s="1"/>
  <c r="J85" i="1"/>
  <c r="M85" i="1" s="1"/>
  <c r="G85" i="1"/>
  <c r="H86" i="1" s="1"/>
  <c r="F85" i="1"/>
  <c r="D85" i="1"/>
  <c r="L85" i="1" s="1"/>
  <c r="K84" i="1"/>
  <c r="N84" i="1" s="1"/>
  <c r="J84" i="1"/>
  <c r="M84" i="1" s="1"/>
  <c r="G84" i="1"/>
  <c r="H85" i="1" s="1"/>
  <c r="F84" i="1"/>
  <c r="D84" i="1"/>
  <c r="L84" i="1" s="1"/>
  <c r="K83" i="1"/>
  <c r="N83" i="1" s="1"/>
  <c r="J83" i="1"/>
  <c r="M83" i="1" s="1"/>
  <c r="G83" i="1"/>
  <c r="H84" i="1" s="1"/>
  <c r="F83" i="1"/>
  <c r="D83" i="1"/>
  <c r="L83" i="1" s="1"/>
  <c r="K82" i="1"/>
  <c r="N82" i="1" s="1"/>
  <c r="J82" i="1"/>
  <c r="M82" i="1" s="1"/>
  <c r="G82" i="1"/>
  <c r="H83" i="1" s="1"/>
  <c r="F82" i="1"/>
  <c r="D82" i="1"/>
  <c r="L82" i="1" s="1"/>
  <c r="K81" i="1"/>
  <c r="N81" i="1" s="1"/>
  <c r="J81" i="1"/>
  <c r="M81" i="1" s="1"/>
  <c r="G81" i="1"/>
  <c r="H82" i="1" s="1"/>
  <c r="F81" i="1"/>
  <c r="D81" i="1"/>
  <c r="L81" i="1" s="1"/>
  <c r="K80" i="1"/>
  <c r="N80" i="1" s="1"/>
  <c r="J80" i="1"/>
  <c r="M80" i="1" s="1"/>
  <c r="G80" i="1"/>
  <c r="H81" i="1" s="1"/>
  <c r="F80" i="1"/>
  <c r="D80" i="1"/>
  <c r="L80" i="1" s="1"/>
  <c r="K79" i="1"/>
  <c r="N79" i="1" s="1"/>
  <c r="J79" i="1"/>
  <c r="M79" i="1" s="1"/>
  <c r="G79" i="1"/>
  <c r="H80" i="1" s="1"/>
  <c r="F79" i="1"/>
  <c r="D79" i="1"/>
  <c r="L79" i="1" s="1"/>
  <c r="K78" i="1"/>
  <c r="N78" i="1" s="1"/>
  <c r="J78" i="1"/>
  <c r="M78" i="1" s="1"/>
  <c r="G78" i="1"/>
  <c r="H79" i="1" s="1"/>
  <c r="F78" i="1"/>
  <c r="D78" i="1"/>
  <c r="L78" i="1" s="1"/>
  <c r="K77" i="1"/>
  <c r="N77" i="1" s="1"/>
  <c r="J77" i="1"/>
  <c r="M77" i="1" s="1"/>
  <c r="G77" i="1"/>
  <c r="H78" i="1" s="1"/>
  <c r="F77" i="1"/>
  <c r="D77" i="1"/>
  <c r="L77" i="1" s="1"/>
  <c r="K76" i="1"/>
  <c r="N76" i="1" s="1"/>
  <c r="J76" i="1"/>
  <c r="M76" i="1" s="1"/>
  <c r="G76" i="1"/>
  <c r="H77" i="1" s="1"/>
  <c r="F76" i="1"/>
  <c r="D76" i="1"/>
  <c r="L76" i="1" s="1"/>
  <c r="K75" i="1"/>
  <c r="N75" i="1" s="1"/>
  <c r="J75" i="1"/>
  <c r="M75" i="1" s="1"/>
  <c r="G75" i="1"/>
  <c r="H76" i="1" s="1"/>
  <c r="F75" i="1"/>
  <c r="D75" i="1"/>
  <c r="L75" i="1" s="1"/>
  <c r="K74" i="1"/>
  <c r="N74" i="1" s="1"/>
  <c r="J74" i="1"/>
  <c r="M74" i="1" s="1"/>
  <c r="G74" i="1"/>
  <c r="H75" i="1" s="1"/>
  <c r="F74" i="1"/>
  <c r="D74" i="1"/>
  <c r="L74" i="1" s="1"/>
  <c r="K73" i="1"/>
  <c r="N73" i="1" s="1"/>
  <c r="J73" i="1"/>
  <c r="M73" i="1" s="1"/>
  <c r="G73" i="1"/>
  <c r="H74" i="1" s="1"/>
  <c r="F73" i="1"/>
  <c r="D73" i="1"/>
  <c r="L73" i="1" s="1"/>
  <c r="K72" i="1"/>
  <c r="N72" i="1" s="1"/>
  <c r="J72" i="1"/>
  <c r="M72" i="1" s="1"/>
  <c r="G72" i="1"/>
  <c r="H73" i="1" s="1"/>
  <c r="F72" i="1"/>
  <c r="D72" i="1"/>
  <c r="L72" i="1" s="1"/>
  <c r="K71" i="1"/>
  <c r="N71" i="1" s="1"/>
  <c r="J71" i="1"/>
  <c r="M71" i="1" s="1"/>
  <c r="G71" i="1"/>
  <c r="H72" i="1" s="1"/>
  <c r="F71" i="1"/>
  <c r="D71" i="1"/>
  <c r="L71" i="1" s="1"/>
  <c r="K70" i="1"/>
  <c r="N70" i="1" s="1"/>
  <c r="J70" i="1"/>
  <c r="M70" i="1" s="1"/>
  <c r="G70" i="1"/>
  <c r="H71" i="1" s="1"/>
  <c r="F70" i="1"/>
  <c r="D70" i="1"/>
  <c r="L70" i="1" s="1"/>
  <c r="K69" i="1"/>
  <c r="N69" i="1" s="1"/>
  <c r="J69" i="1"/>
  <c r="M69" i="1" s="1"/>
  <c r="G69" i="1"/>
  <c r="H70" i="1" s="1"/>
  <c r="F69" i="1"/>
  <c r="D69" i="1"/>
  <c r="L69" i="1" s="1"/>
  <c r="K68" i="1"/>
  <c r="N68" i="1" s="1"/>
  <c r="J68" i="1"/>
  <c r="M68" i="1" s="1"/>
  <c r="G68" i="1"/>
  <c r="H69" i="1" s="1"/>
  <c r="F68" i="1"/>
  <c r="D68" i="1"/>
  <c r="L68" i="1" s="1"/>
  <c r="K67" i="1"/>
  <c r="N67" i="1" s="1"/>
  <c r="J67" i="1"/>
  <c r="M67" i="1" s="1"/>
  <c r="G67" i="1"/>
  <c r="H68" i="1" s="1"/>
  <c r="F67" i="1"/>
  <c r="D67" i="1"/>
  <c r="L67" i="1" s="1"/>
  <c r="K66" i="1"/>
  <c r="N66" i="1" s="1"/>
  <c r="J66" i="1"/>
  <c r="M66" i="1" s="1"/>
  <c r="G66" i="1"/>
  <c r="H67" i="1" s="1"/>
  <c r="F66" i="1"/>
  <c r="D66" i="1"/>
  <c r="L66" i="1" s="1"/>
  <c r="K65" i="1"/>
  <c r="N65" i="1" s="1"/>
  <c r="J65" i="1"/>
  <c r="M65" i="1" s="1"/>
  <c r="G65" i="1"/>
  <c r="H66" i="1" s="1"/>
  <c r="F65" i="1"/>
  <c r="D65" i="1"/>
  <c r="L65" i="1" s="1"/>
  <c r="K64" i="1"/>
  <c r="N64" i="1" s="1"/>
  <c r="J64" i="1"/>
  <c r="M64" i="1" s="1"/>
  <c r="G64" i="1"/>
  <c r="H65" i="1" s="1"/>
  <c r="F64" i="1"/>
  <c r="D64" i="1"/>
  <c r="L64" i="1" s="1"/>
  <c r="K63" i="1"/>
  <c r="N63" i="1" s="1"/>
  <c r="J63" i="1"/>
  <c r="M63" i="1" s="1"/>
  <c r="G63" i="1"/>
  <c r="H64" i="1" s="1"/>
  <c r="F63" i="1"/>
  <c r="D63" i="1"/>
  <c r="L63" i="1" s="1"/>
  <c r="K62" i="1"/>
  <c r="N62" i="1" s="1"/>
  <c r="J62" i="1"/>
  <c r="M62" i="1" s="1"/>
  <c r="G62" i="1"/>
  <c r="H63" i="1" s="1"/>
  <c r="F62" i="1"/>
  <c r="D62" i="1"/>
  <c r="L62" i="1" s="1"/>
  <c r="K61" i="1"/>
  <c r="N61" i="1" s="1"/>
  <c r="J61" i="1"/>
  <c r="M61" i="1" s="1"/>
  <c r="G61" i="1"/>
  <c r="H62" i="1" s="1"/>
  <c r="F61" i="1"/>
  <c r="D61" i="1"/>
  <c r="L61" i="1" s="1"/>
  <c r="K60" i="1"/>
  <c r="N60" i="1" s="1"/>
  <c r="J60" i="1"/>
  <c r="M60" i="1" s="1"/>
  <c r="G60" i="1"/>
  <c r="H61" i="1" s="1"/>
  <c r="F60" i="1"/>
  <c r="D60" i="1"/>
  <c r="L60" i="1" s="1"/>
  <c r="K59" i="1"/>
  <c r="N59" i="1" s="1"/>
  <c r="J59" i="1"/>
  <c r="M59" i="1" s="1"/>
  <c r="G59" i="1"/>
  <c r="H60" i="1" s="1"/>
  <c r="F59" i="1"/>
  <c r="D59" i="1"/>
  <c r="L59" i="1" s="1"/>
  <c r="K58" i="1"/>
  <c r="N58" i="1" s="1"/>
  <c r="J58" i="1"/>
  <c r="M58" i="1" s="1"/>
  <c r="G58" i="1"/>
  <c r="H59" i="1" s="1"/>
  <c r="F58" i="1"/>
  <c r="D58" i="1"/>
  <c r="L58" i="1" s="1"/>
  <c r="K57" i="1"/>
  <c r="N57" i="1" s="1"/>
  <c r="J57" i="1"/>
  <c r="M57" i="1" s="1"/>
  <c r="G57" i="1"/>
  <c r="H58" i="1" s="1"/>
  <c r="F57" i="1"/>
  <c r="D57" i="1"/>
  <c r="L57" i="1" s="1"/>
  <c r="K56" i="1"/>
  <c r="N56" i="1" s="1"/>
  <c r="J56" i="1"/>
  <c r="M56" i="1" s="1"/>
  <c r="G56" i="1"/>
  <c r="H57" i="1" s="1"/>
  <c r="F56" i="1"/>
  <c r="D56" i="1"/>
  <c r="L56" i="1" s="1"/>
  <c r="K55" i="1"/>
  <c r="N55" i="1" s="1"/>
  <c r="J55" i="1"/>
  <c r="M55" i="1" s="1"/>
  <c r="G55" i="1"/>
  <c r="H56" i="1" s="1"/>
  <c r="F55" i="1"/>
  <c r="D55" i="1"/>
  <c r="L55" i="1" s="1"/>
  <c r="K54" i="1"/>
  <c r="N54" i="1" s="1"/>
  <c r="J54" i="1"/>
  <c r="M54" i="1" s="1"/>
  <c r="G54" i="1"/>
  <c r="H55" i="1" s="1"/>
  <c r="F54" i="1"/>
  <c r="D54" i="1"/>
  <c r="L54" i="1" s="1"/>
  <c r="K53" i="1"/>
  <c r="N53" i="1" s="1"/>
  <c r="J53" i="1"/>
  <c r="M53" i="1" s="1"/>
  <c r="G53" i="1"/>
  <c r="H54" i="1" s="1"/>
  <c r="F53" i="1"/>
  <c r="D53" i="1"/>
  <c r="L53" i="1" s="1"/>
  <c r="K52" i="1"/>
  <c r="N52" i="1" s="1"/>
  <c r="J52" i="1"/>
  <c r="M52" i="1" s="1"/>
  <c r="G52" i="1"/>
  <c r="H53" i="1" s="1"/>
  <c r="F52" i="1"/>
  <c r="D52" i="1"/>
  <c r="L52" i="1" s="1"/>
  <c r="K51" i="1"/>
  <c r="N51" i="1" s="1"/>
  <c r="J51" i="1"/>
  <c r="M51" i="1" s="1"/>
  <c r="G51" i="1"/>
  <c r="H52" i="1" s="1"/>
  <c r="F51" i="1"/>
  <c r="D51" i="1"/>
  <c r="L51" i="1" s="1"/>
  <c r="K50" i="1"/>
  <c r="N50" i="1" s="1"/>
  <c r="J50" i="1"/>
  <c r="M50" i="1" s="1"/>
  <c r="G50" i="1"/>
  <c r="H51" i="1" s="1"/>
  <c r="F50" i="1"/>
  <c r="D50" i="1"/>
  <c r="L50" i="1" s="1"/>
  <c r="K49" i="1"/>
  <c r="N49" i="1" s="1"/>
  <c r="J49" i="1"/>
  <c r="M49" i="1" s="1"/>
  <c r="G49" i="1"/>
  <c r="H50" i="1" s="1"/>
  <c r="F49" i="1"/>
  <c r="D49" i="1"/>
  <c r="L49" i="1" s="1"/>
  <c r="K48" i="1"/>
  <c r="N48" i="1" s="1"/>
  <c r="J48" i="1"/>
  <c r="M48" i="1" s="1"/>
  <c r="G48" i="1"/>
  <c r="H49" i="1" s="1"/>
  <c r="F48" i="1"/>
  <c r="D48" i="1"/>
  <c r="L48" i="1" s="1"/>
  <c r="K47" i="1"/>
  <c r="N47" i="1" s="1"/>
  <c r="J47" i="1"/>
  <c r="M47" i="1" s="1"/>
  <c r="G47" i="1"/>
  <c r="H48" i="1" s="1"/>
  <c r="F47" i="1"/>
  <c r="D47" i="1"/>
  <c r="L47" i="1" s="1"/>
  <c r="K46" i="1"/>
  <c r="N46" i="1" s="1"/>
  <c r="J46" i="1"/>
  <c r="M46" i="1" s="1"/>
  <c r="G46" i="1"/>
  <c r="H47" i="1" s="1"/>
  <c r="F46" i="1"/>
  <c r="D46" i="1"/>
  <c r="L46" i="1" s="1"/>
  <c r="K45" i="1"/>
  <c r="N45" i="1" s="1"/>
  <c r="J45" i="1"/>
  <c r="M45" i="1" s="1"/>
  <c r="G45" i="1"/>
  <c r="H46" i="1" s="1"/>
  <c r="F45" i="1"/>
  <c r="D45" i="1"/>
  <c r="L45" i="1" s="1"/>
  <c r="K44" i="1"/>
  <c r="N44" i="1" s="1"/>
  <c r="J44" i="1"/>
  <c r="M44" i="1" s="1"/>
  <c r="G44" i="1"/>
  <c r="H45" i="1" s="1"/>
  <c r="F44" i="1"/>
  <c r="D44" i="1"/>
  <c r="L44" i="1" s="1"/>
  <c r="K43" i="1"/>
  <c r="N43" i="1" s="1"/>
  <c r="J43" i="1"/>
  <c r="M43" i="1" s="1"/>
  <c r="G43" i="1"/>
  <c r="H44" i="1" s="1"/>
  <c r="F43" i="1"/>
  <c r="D43" i="1"/>
  <c r="L43" i="1" s="1"/>
  <c r="K42" i="1"/>
  <c r="N42" i="1" s="1"/>
  <c r="J42" i="1"/>
  <c r="M42" i="1" s="1"/>
  <c r="G42" i="1"/>
  <c r="H43" i="1" s="1"/>
  <c r="F42" i="1"/>
  <c r="D42" i="1"/>
  <c r="L42" i="1" s="1"/>
  <c r="K41" i="1"/>
  <c r="N41" i="1" s="1"/>
  <c r="J41" i="1"/>
  <c r="M41" i="1" s="1"/>
  <c r="G41" i="1"/>
  <c r="H42" i="1" s="1"/>
  <c r="F41" i="1"/>
  <c r="D41" i="1"/>
  <c r="L41" i="1" s="1"/>
  <c r="K40" i="1"/>
  <c r="N40" i="1" s="1"/>
  <c r="J40" i="1"/>
  <c r="M40" i="1" s="1"/>
  <c r="G40" i="1"/>
  <c r="H41" i="1" s="1"/>
  <c r="F40" i="1"/>
  <c r="D40" i="1"/>
  <c r="L40" i="1" s="1"/>
  <c r="K39" i="1"/>
  <c r="N39" i="1" s="1"/>
  <c r="J39" i="1"/>
  <c r="M39" i="1" s="1"/>
  <c r="G39" i="1"/>
  <c r="H40" i="1" s="1"/>
  <c r="F39" i="1"/>
  <c r="D39" i="1"/>
  <c r="L39" i="1" s="1"/>
  <c r="K38" i="1"/>
  <c r="N38" i="1" s="1"/>
  <c r="J38" i="1"/>
  <c r="M38" i="1" s="1"/>
  <c r="G38" i="1"/>
  <c r="H39" i="1" s="1"/>
  <c r="F38" i="1"/>
  <c r="D38" i="1"/>
  <c r="L38" i="1" s="1"/>
  <c r="K37" i="1"/>
  <c r="N37" i="1" s="1"/>
  <c r="J37" i="1"/>
  <c r="M37" i="1" s="1"/>
  <c r="G37" i="1"/>
  <c r="H38" i="1" s="1"/>
  <c r="F37" i="1"/>
  <c r="D37" i="1"/>
  <c r="L37" i="1" s="1"/>
  <c r="K36" i="1"/>
  <c r="N36" i="1" s="1"/>
  <c r="J36" i="1"/>
  <c r="M36" i="1" s="1"/>
  <c r="G36" i="1"/>
  <c r="H37" i="1" s="1"/>
  <c r="F36" i="1"/>
  <c r="D36" i="1"/>
  <c r="L36" i="1" s="1"/>
  <c r="K35" i="1"/>
  <c r="N35" i="1" s="1"/>
  <c r="J35" i="1"/>
  <c r="M35" i="1" s="1"/>
  <c r="G35" i="1"/>
  <c r="H36" i="1" s="1"/>
  <c r="F35" i="1"/>
  <c r="D35" i="1"/>
  <c r="L35" i="1" s="1"/>
  <c r="K34" i="1"/>
  <c r="N34" i="1" s="1"/>
  <c r="J34" i="1"/>
  <c r="M34" i="1" s="1"/>
  <c r="G34" i="1"/>
  <c r="H35" i="1" s="1"/>
  <c r="F34" i="1"/>
  <c r="D34" i="1"/>
  <c r="L34" i="1" s="1"/>
  <c r="K33" i="1"/>
  <c r="N33" i="1" s="1"/>
  <c r="J33" i="1"/>
  <c r="M33" i="1" s="1"/>
  <c r="G33" i="1"/>
  <c r="H34" i="1" s="1"/>
  <c r="F33" i="1"/>
  <c r="D33" i="1"/>
  <c r="L33" i="1" s="1"/>
  <c r="K32" i="1"/>
  <c r="N32" i="1" s="1"/>
  <c r="J32" i="1"/>
  <c r="M32" i="1" s="1"/>
  <c r="G32" i="1"/>
  <c r="H33" i="1" s="1"/>
  <c r="F32" i="1"/>
  <c r="D32" i="1"/>
  <c r="L32" i="1" s="1"/>
  <c r="K31" i="1"/>
  <c r="N31" i="1" s="1"/>
  <c r="J31" i="1"/>
  <c r="M31" i="1" s="1"/>
  <c r="G31" i="1"/>
  <c r="H32" i="1" s="1"/>
  <c r="F31" i="1"/>
  <c r="D31" i="1"/>
  <c r="L31" i="1" s="1"/>
  <c r="K30" i="1"/>
  <c r="N30" i="1" s="1"/>
  <c r="J30" i="1"/>
  <c r="M30" i="1" s="1"/>
  <c r="G30" i="1"/>
  <c r="H31" i="1" s="1"/>
  <c r="F30" i="1"/>
  <c r="D30" i="1"/>
  <c r="L30" i="1" s="1"/>
  <c r="K29" i="1"/>
  <c r="N29" i="1" s="1"/>
  <c r="J29" i="1"/>
  <c r="M29" i="1" s="1"/>
  <c r="G29" i="1"/>
  <c r="H30" i="1" s="1"/>
  <c r="F29" i="1"/>
  <c r="D29" i="1"/>
  <c r="L29" i="1" s="1"/>
  <c r="K28" i="1"/>
  <c r="N28" i="1" s="1"/>
  <c r="J28" i="1"/>
  <c r="M28" i="1" s="1"/>
  <c r="G28" i="1"/>
  <c r="H29" i="1" s="1"/>
  <c r="F28" i="1"/>
  <c r="D28" i="1"/>
  <c r="L28" i="1" s="1"/>
  <c r="K27" i="1"/>
  <c r="N27" i="1" s="1"/>
  <c r="J27" i="1"/>
  <c r="M27" i="1" s="1"/>
  <c r="G27" i="1"/>
  <c r="H28" i="1" s="1"/>
  <c r="F27" i="1"/>
  <c r="D27" i="1"/>
  <c r="L27" i="1" s="1"/>
  <c r="K26" i="1"/>
  <c r="N26" i="1" s="1"/>
  <c r="J26" i="1"/>
  <c r="M26" i="1" s="1"/>
  <c r="G26" i="1"/>
  <c r="H27" i="1" s="1"/>
  <c r="F26" i="1"/>
  <c r="D26" i="1"/>
  <c r="L26" i="1" s="1"/>
  <c r="K25" i="1"/>
  <c r="N25" i="1" s="1"/>
  <c r="J25" i="1"/>
  <c r="M25" i="1" s="1"/>
  <c r="G25" i="1"/>
  <c r="H26" i="1" s="1"/>
  <c r="F25" i="1"/>
  <c r="D25" i="1"/>
  <c r="L25" i="1" s="1"/>
  <c r="K24" i="1"/>
  <c r="N24" i="1" s="1"/>
  <c r="J24" i="1"/>
  <c r="M24" i="1" s="1"/>
  <c r="G24" i="1"/>
  <c r="H25" i="1" s="1"/>
  <c r="F24" i="1"/>
  <c r="D24" i="1"/>
  <c r="L24" i="1" s="1"/>
  <c r="K23" i="1"/>
  <c r="N23" i="1" s="1"/>
  <c r="J23" i="1"/>
  <c r="M23" i="1" s="1"/>
  <c r="G23" i="1"/>
  <c r="H24" i="1" s="1"/>
  <c r="F23" i="1"/>
  <c r="D23" i="1"/>
  <c r="L23" i="1" s="1"/>
  <c r="K22" i="1"/>
  <c r="N22" i="1" s="1"/>
  <c r="J22" i="1"/>
  <c r="M22" i="1" s="1"/>
  <c r="G22" i="1"/>
  <c r="H23" i="1" s="1"/>
  <c r="F22" i="1"/>
  <c r="D22" i="1"/>
  <c r="L22" i="1" s="1"/>
  <c r="K21" i="1"/>
  <c r="N21" i="1" s="1"/>
  <c r="J21" i="1"/>
  <c r="M21" i="1" s="1"/>
  <c r="G21" i="1"/>
  <c r="H22" i="1" s="1"/>
  <c r="F21" i="1"/>
  <c r="D21" i="1"/>
  <c r="L21" i="1" s="1"/>
  <c r="K20" i="1"/>
  <c r="N20" i="1" s="1"/>
  <c r="J20" i="1"/>
  <c r="M20" i="1" s="1"/>
  <c r="G20" i="1"/>
  <c r="H21" i="1" s="1"/>
  <c r="F20" i="1"/>
  <c r="D20" i="1"/>
  <c r="L20" i="1" s="1"/>
  <c r="K19" i="1"/>
  <c r="N19" i="1" s="1"/>
  <c r="J19" i="1"/>
  <c r="M19" i="1" s="1"/>
  <c r="G19" i="1"/>
  <c r="H20" i="1" s="1"/>
  <c r="F19" i="1"/>
  <c r="D19" i="1"/>
  <c r="L19" i="1" s="1"/>
  <c r="K18" i="1"/>
  <c r="N18" i="1" s="1"/>
  <c r="J18" i="1"/>
  <c r="M18" i="1" s="1"/>
  <c r="G18" i="1"/>
  <c r="H19" i="1" s="1"/>
  <c r="F18" i="1"/>
  <c r="D18" i="1"/>
  <c r="L18" i="1" s="1"/>
  <c r="K17" i="1"/>
  <c r="N17" i="1" s="1"/>
  <c r="J17" i="1"/>
  <c r="M17" i="1" s="1"/>
  <c r="G17" i="1"/>
  <c r="H18" i="1" s="1"/>
  <c r="F17" i="1"/>
  <c r="D17" i="1"/>
  <c r="L17" i="1" s="1"/>
  <c r="K16" i="1"/>
  <c r="N16" i="1" s="1"/>
  <c r="J16" i="1"/>
  <c r="M16" i="1" s="1"/>
  <c r="G16" i="1"/>
  <c r="H17" i="1" s="1"/>
  <c r="F16" i="1"/>
  <c r="D16" i="1"/>
  <c r="L16" i="1" s="1"/>
  <c r="K15" i="1"/>
  <c r="N15" i="1" s="1"/>
  <c r="J15" i="1"/>
  <c r="M15" i="1" s="1"/>
  <c r="G15" i="1"/>
  <c r="H16" i="1" s="1"/>
  <c r="F15" i="1"/>
  <c r="D15" i="1"/>
  <c r="L15" i="1" s="1"/>
  <c r="K14" i="1"/>
  <c r="N14" i="1" s="1"/>
  <c r="J14" i="1"/>
  <c r="M14" i="1" s="1"/>
  <c r="G14" i="1"/>
  <c r="H15" i="1" s="1"/>
  <c r="F14" i="1"/>
  <c r="D14" i="1"/>
  <c r="L14" i="1" s="1"/>
  <c r="K13" i="1"/>
  <c r="N13" i="1" s="1"/>
  <c r="J13" i="1"/>
  <c r="M13" i="1" s="1"/>
  <c r="G13" i="1"/>
  <c r="H14" i="1" s="1"/>
  <c r="F13" i="1"/>
  <c r="D13" i="1"/>
  <c r="L13" i="1" s="1"/>
  <c r="K12" i="1"/>
  <c r="N12" i="1" s="1"/>
  <c r="J12" i="1"/>
  <c r="M12" i="1" s="1"/>
  <c r="G12" i="1"/>
  <c r="H13" i="1" s="1"/>
  <c r="F12" i="1"/>
  <c r="D12" i="1"/>
  <c r="L12" i="1" s="1"/>
  <c r="K11" i="1"/>
  <c r="N11" i="1" s="1"/>
  <c r="J11" i="1"/>
  <c r="M11" i="1" s="1"/>
  <c r="G11" i="1"/>
  <c r="H12" i="1" s="1"/>
  <c r="F11" i="1"/>
  <c r="D11" i="1"/>
  <c r="L11" i="1" s="1"/>
  <c r="K10" i="1"/>
  <c r="N10" i="1" s="1"/>
  <c r="J10" i="1"/>
  <c r="M10" i="1" s="1"/>
  <c r="G10" i="1"/>
  <c r="H11" i="1" s="1"/>
  <c r="F10" i="1"/>
  <c r="D10" i="1"/>
  <c r="L10" i="1" s="1"/>
  <c r="K9" i="1"/>
  <c r="N9" i="1" s="1"/>
  <c r="J9" i="1"/>
  <c r="M9" i="1" s="1"/>
  <c r="G9" i="1"/>
  <c r="H10" i="1" s="1"/>
  <c r="F9" i="1"/>
  <c r="D9" i="1"/>
  <c r="L9" i="1" s="1"/>
  <c r="K8" i="1"/>
  <c r="N8" i="1" s="1"/>
  <c r="J8" i="1"/>
  <c r="M8" i="1" s="1"/>
  <c r="G8" i="1"/>
  <c r="H9" i="1" s="1"/>
  <c r="F8" i="1"/>
  <c r="D8" i="1"/>
  <c r="L8" i="1" s="1"/>
  <c r="K7" i="1"/>
  <c r="N7" i="1" s="1"/>
  <c r="J7" i="1"/>
  <c r="M7" i="1" s="1"/>
  <c r="G7" i="1"/>
  <c r="H8" i="1" s="1"/>
  <c r="F7" i="1"/>
  <c r="D7" i="1"/>
  <c r="L7" i="1" s="1"/>
  <c r="K6" i="1"/>
  <c r="N6" i="1" s="1"/>
  <c r="J6" i="1"/>
  <c r="M6" i="1" s="1"/>
  <c r="G6" i="1"/>
  <c r="H7" i="1" s="1"/>
  <c r="F6" i="1"/>
  <c r="D6" i="1"/>
  <c r="L6" i="1" s="1"/>
  <c r="K5" i="1"/>
  <c r="N5" i="1" s="1"/>
  <c r="J5" i="1"/>
  <c r="M5" i="1" s="1"/>
  <c r="G5" i="1"/>
  <c r="H6" i="1" s="1"/>
  <c r="F5" i="1"/>
  <c r="D5" i="1"/>
  <c r="L5" i="1" s="1"/>
  <c r="K4" i="1"/>
  <c r="N4" i="1" s="1"/>
  <c r="J4" i="1"/>
  <c r="M4" i="1" s="1"/>
  <c r="G4" i="1"/>
  <c r="H5" i="1" s="1"/>
  <c r="F4" i="1"/>
  <c r="D4" i="1"/>
  <c r="L4" i="1" s="1"/>
  <c r="K3" i="1"/>
  <c r="N3" i="1" s="1"/>
  <c r="J3" i="1"/>
  <c r="M3" i="1" s="1"/>
  <c r="G3" i="1"/>
  <c r="H4" i="1" s="1"/>
  <c r="F3" i="1"/>
  <c r="D3" i="1"/>
  <c r="L3" i="1" s="1"/>
  <c r="K2" i="1"/>
  <c r="N2" i="1" s="1"/>
  <c r="J2" i="1"/>
  <c r="M2" i="1" s="1"/>
  <c r="G2" i="1"/>
  <c r="H3" i="1" s="1"/>
  <c r="D2" i="1"/>
  <c r="L2" i="1" s="1"/>
  <c r="D98" i="6" l="1"/>
  <c r="E98" i="6"/>
  <c r="D99" i="6"/>
  <c r="E99" i="6"/>
  <c r="D74" i="6"/>
  <c r="E74" i="6"/>
  <c r="D75" i="6"/>
  <c r="E75" i="6"/>
  <c r="F111" i="6" l="1"/>
  <c r="E80" i="6"/>
  <c r="D80" i="6"/>
  <c r="F80" i="6" s="1"/>
  <c r="E87" i="6"/>
  <c r="E79" i="6"/>
  <c r="E81" i="6" s="1"/>
  <c r="D79" i="6"/>
  <c r="E85" i="6"/>
  <c r="E86" i="6"/>
  <c r="E104" i="6"/>
  <c r="D104" i="6"/>
  <c r="F104" i="6" s="1"/>
  <c r="E111" i="6"/>
  <c r="E103" i="6"/>
  <c r="E105" i="6" s="1"/>
  <c r="D103" i="6"/>
  <c r="F110" i="6" s="1"/>
  <c r="E109" i="6"/>
  <c r="E110" i="6"/>
  <c r="E112" i="6" l="1"/>
  <c r="D105" i="6"/>
  <c r="F103" i="6"/>
  <c r="E88" i="6"/>
  <c r="D81" i="6"/>
  <c r="F81" i="6" s="1"/>
  <c r="F79" i="6"/>
  <c r="F105" i="6" l="1"/>
  <c r="G110" i="6"/>
</calcChain>
</file>

<file path=xl/sharedStrings.xml><?xml version="1.0" encoding="utf-8"?>
<sst xmlns="http://schemas.openxmlformats.org/spreadsheetml/2006/main" count="4748" uniqueCount="186">
  <si>
    <t>Year</t>
  </si>
  <si>
    <t>Month</t>
  </si>
  <si>
    <t>Day</t>
  </si>
  <si>
    <t>Date</t>
  </si>
  <si>
    <t>Rainfall amount (millimetres)</t>
  </si>
  <si>
    <t>Rainfall lag-1</t>
  </si>
  <si>
    <t>Rain?</t>
  </si>
  <si>
    <t>Lag1</t>
  </si>
  <si>
    <t>t</t>
  </si>
  <si>
    <t>Seasonal_sine</t>
  </si>
  <si>
    <t>Seasonal_cosine</t>
  </si>
  <si>
    <t>lag-SOI</t>
  </si>
  <si>
    <t>t_sin</t>
  </si>
  <si>
    <t>t_cos</t>
  </si>
  <si>
    <t>partition</t>
  </si>
  <si>
    <t>v</t>
  </si>
  <si>
    <t>Date: 03-Feb-2015 17:33:29</t>
  </si>
  <si>
    <t>Model</t>
  </si>
  <si>
    <t>Multiple Linear Regression</t>
  </si>
  <si>
    <t>Constant term present</t>
  </si>
  <si>
    <t># Selected Variables</t>
  </si>
  <si>
    <t>Selected Variables</t>
  </si>
  <si>
    <t>E5:H5</t>
  </si>
  <si>
    <t>Variables Offsets</t>
  </si>
  <si>
    <t>E6:H6</t>
  </si>
  <si>
    <t>Variable Role</t>
  </si>
  <si>
    <t>E7:H7</t>
  </si>
  <si>
    <t>Input</t>
  </si>
  <si>
    <t>Output</t>
  </si>
  <si>
    <t>Variable Type</t>
  </si>
  <si>
    <t>E8:H8</t>
  </si>
  <si>
    <t>Scale</t>
  </si>
  <si>
    <t>Estimated Coefficients</t>
  </si>
  <si>
    <t>D10:G10</t>
  </si>
  <si>
    <t>XLMiner : Multiple Linear Regression</t>
  </si>
  <si>
    <t>Output Navigator</t>
  </si>
  <si>
    <t>Elapsed Times in Milliseconds</t>
  </si>
  <si>
    <t>Data read time</t>
  </si>
  <si>
    <t>MLR Time</t>
  </si>
  <si>
    <t>Report Time</t>
  </si>
  <si>
    <t>Total</t>
  </si>
  <si>
    <t>Inputs</t>
  </si>
  <si>
    <t>Data</t>
  </si>
  <si>
    <t>Workbook</t>
  </si>
  <si>
    <t>MelbourneRainfallNew.xlsx</t>
  </si>
  <si>
    <t>Worksheet</t>
  </si>
  <si>
    <t>Sheet1</t>
  </si>
  <si>
    <t># Records in the training data</t>
  </si>
  <si>
    <t># Records in the validation data</t>
  </si>
  <si>
    <t>Variables</t>
  </si>
  <si>
    <t># Input Variables</t>
  </si>
  <si>
    <t>Input variables</t>
  </si>
  <si>
    <t>Output variable</t>
  </si>
  <si>
    <t>Parameters/Options</t>
  </si>
  <si>
    <t>Force constant term to zero</t>
  </si>
  <si>
    <t>No</t>
  </si>
  <si>
    <t>Show fitted values on training data</t>
  </si>
  <si>
    <t>Show ANOVA table</t>
  </si>
  <si>
    <t>Show standardized residuals</t>
  </si>
  <si>
    <t>Show un-standardized residuals</t>
  </si>
  <si>
    <t>Show variance covariance matrix</t>
  </si>
  <si>
    <t>Perform Variable Selection</t>
  </si>
  <si>
    <t>Show studentized residuals</t>
  </si>
  <si>
    <t>Show deleted residuals</t>
  </si>
  <si>
    <t>Show Cook's distance</t>
  </si>
  <si>
    <t>Show DF fits</t>
  </si>
  <si>
    <t>Show covariance ratios</t>
  </si>
  <si>
    <t>Show hat matrix diagonals</t>
  </si>
  <si>
    <t>Output Options Chosen</t>
  </si>
  <si>
    <t>Summary report of scoring on training data</t>
  </si>
  <si>
    <t>Summary report of scoring on validation data</t>
  </si>
  <si>
    <t>Model Predictors</t>
  </si>
  <si>
    <t>Tolerance for Entering the Model</t>
  </si>
  <si>
    <t>Included</t>
  </si>
  <si>
    <t>Excluded</t>
  </si>
  <si>
    <t>Predictor</t>
  </si>
  <si>
    <t>Criteria</t>
  </si>
  <si>
    <t>Intercept</t>
  </si>
  <si>
    <t>Regression Model</t>
  </si>
  <si>
    <t>Input
Variables</t>
  </si>
  <si>
    <t>Coefficient</t>
  </si>
  <si>
    <t>Std. Error</t>
  </si>
  <si>
    <t>t-Statistic</t>
  </si>
  <si>
    <t>P-Value</t>
  </si>
  <si>
    <t>CI Lower</t>
  </si>
  <si>
    <t>CI Upper</t>
  </si>
  <si>
    <t>RSS
Reduction</t>
  </si>
  <si>
    <t>Residual DF</t>
  </si>
  <si>
    <t>R²</t>
  </si>
  <si>
    <t>Adjusted R²</t>
  </si>
  <si>
    <t>Std. Error Estimate</t>
  </si>
  <si>
    <t>RSS</t>
  </si>
  <si>
    <t>Training Data Scoring - Summary Report</t>
  </si>
  <si>
    <t>Total sum of
squared errors</t>
  </si>
  <si>
    <t>RMS Error</t>
  </si>
  <si>
    <t>Average
Error</t>
  </si>
  <si>
    <t>Validation Data Scoring - Summary Report</t>
  </si>
  <si>
    <t>Predictors</t>
  </si>
  <si>
    <t>Regress. Model</t>
  </si>
  <si>
    <t>Train. Score - Summary</t>
  </si>
  <si>
    <t>Valid. Score - Summary</t>
  </si>
  <si>
    <t>Date: 03-Feb-2015 17:38:42</t>
  </si>
  <si>
    <t>Logistic Regression</t>
  </si>
  <si>
    <t>Class Labels</t>
  </si>
  <si>
    <t>E11:F11</t>
  </si>
  <si>
    <t>Success Class Index</t>
  </si>
  <si>
    <t>Success Probability Threshold</t>
  </si>
  <si>
    <t>XLMiner : Logistic Regression - Classification of Validation Data</t>
  </si>
  <si>
    <t>Data Read Time</t>
  </si>
  <si>
    <t>LR Time</t>
  </si>
  <si>
    <t>data</t>
  </si>
  <si>
    <t>Predicted
Class</t>
  </si>
  <si>
    <t>Actual
Class</t>
  </si>
  <si>
    <t>Success
Probability</t>
  </si>
  <si>
    <t>Log Odds</t>
  </si>
  <si>
    <t>Prior Class Prob.</t>
  </si>
  <si>
    <t>Train. Score Summary</t>
  </si>
  <si>
    <t>Valid. Score Summary</t>
  </si>
  <si>
    <t>Valid. Score - Detailed Rep.</t>
  </si>
  <si>
    <t>XLMiner : Logistic Regression</t>
  </si>
  <si>
    <t>Confidence level for odds</t>
  </si>
  <si>
    <t>Maximum Iterations</t>
  </si>
  <si>
    <t>Show covariance matrix of coefficients</t>
  </si>
  <si>
    <t>Show Residuals</t>
  </si>
  <si>
    <t>Detailed report of scoring on validation data</t>
  </si>
  <si>
    <t>Prior Class Probabilities</t>
  </si>
  <si>
    <t>According to relative occurrences in training data</t>
  </si>
  <si>
    <t>Class</t>
  </si>
  <si>
    <t>Prob.</t>
  </si>
  <si>
    <t>Chi2-Statistic</t>
  </si>
  <si>
    <t>Odds</t>
  </si>
  <si>
    <t>Residual Dev.</t>
  </si>
  <si>
    <t># Iterations Used</t>
  </si>
  <si>
    <t>Multiple R²</t>
  </si>
  <si>
    <t>Cutoff probability value for success (UPDATABLE)</t>
  </si>
  <si>
    <t>Updating the value here will NOT update value in detailed report</t>
  </si>
  <si>
    <t>Confusion Matrix</t>
  </si>
  <si>
    <t>Predicted Class</t>
  </si>
  <si>
    <t>Actual Class</t>
  </si>
  <si>
    <t>Error Report</t>
  </si>
  <si>
    <t># Cases</t>
  </si>
  <si>
    <t># Errors</t>
  </si>
  <si>
    <t>% Error</t>
  </si>
  <si>
    <t>Overall</t>
  </si>
  <si>
    <t>Performance</t>
  </si>
  <si>
    <t>Success Class</t>
  </si>
  <si>
    <t>Precision</t>
  </si>
  <si>
    <t>Recall (Sensitivity)</t>
  </si>
  <si>
    <t>Specificity</t>
  </si>
  <si>
    <t>F1-Score</t>
  </si>
  <si>
    <t>Date: 03-Feb-2015 17:50:42</t>
  </si>
  <si>
    <t>Moving Average</t>
  </si>
  <si>
    <t>Model Type</t>
  </si>
  <si>
    <t>Simulate</t>
  </si>
  <si>
    <t>Interval</t>
  </si>
  <si>
    <t>Level</t>
  </si>
  <si>
    <t>Trend</t>
  </si>
  <si>
    <t>Seasonality</t>
  </si>
  <si>
    <t>Period</t>
  </si>
  <si>
    <t>#Forecasts</t>
  </si>
  <si>
    <t>SelectedVariable</t>
  </si>
  <si>
    <t>XLMiner : Time Series - Moving Average Smoothing</t>
  </si>
  <si>
    <t>Date: 03-Feb-2015 17:50:43</t>
  </si>
  <si>
    <t>Smoothing Time</t>
  </si>
  <si>
    <t>Training Error Measures</t>
  </si>
  <si>
    <t>Mean Absolute Percentage Error (MAPE)</t>
  </si>
  <si>
    <t>Mean Absolute Deviation (MAD)</t>
  </si>
  <si>
    <t>Mean Square Error (MSE)</t>
  </si>
  <si>
    <t>Range</t>
  </si>
  <si>
    <t>$A$1:$O$4323</t>
  </si>
  <si>
    <t>Tracking Signal Error (TSE)</t>
  </si>
  <si>
    <t>Selected Variable</t>
  </si>
  <si>
    <t>Cumulative Forecast Error (CFE)</t>
  </si>
  <si>
    <t># Records in Input Data</t>
  </si>
  <si>
    <t>Mean Forecast Error (MFE)</t>
  </si>
  <si>
    <t>Forecast</t>
  </si>
  <si>
    <t>Fitted Model</t>
  </si>
  <si>
    <t>Actual</t>
  </si>
  <si>
    <t>Residuals</t>
  </si>
  <si>
    <t>*</t>
  </si>
  <si>
    <t>Train. Error Measures</t>
  </si>
  <si>
    <t>Date: 03-Feb-2015 18:08:54</t>
  </si>
  <si>
    <t>$A$1:$O$3654</t>
  </si>
  <si>
    <t>Yes</t>
  </si>
  <si>
    <t>LCI</t>
  </si>
  <si>
    <t>UCI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</si>
</sst>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4169E1"/>
      <name val="Calibri"/>
      <family val="2"/>
      <scheme val="minor"/>
    </font>
    <font>
      <b/>
      <sz val="14"/>
      <color rgb="FF4169E1"/>
      <name val="Calibri"/>
      <family val="2"/>
      <scheme val="minor"/>
    </font>
    <font>
      <b/>
      <sz val="14"/>
      <name val="Calibri"/>
      <family val="2"/>
      <scheme val="minor"/>
    </font>
    <font>
      <b/>
      <sz val="12"/>
      <name val="Calibri"/>
      <family val="2"/>
      <scheme val="minor"/>
    </font>
    <font>
      <b/>
      <sz val="10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rgb="FFFFFFFF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EBEBFA"/>
        <bgColor indexed="64"/>
      </patternFill>
    </fill>
    <fill>
      <patternFill patternType="solid">
        <fgColor rgb="FFD3D3D3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538DD5"/>
        <bgColor indexed="64"/>
      </patternFill>
    </fill>
  </fills>
  <borders count="5"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40">
    <xf numFmtId="0" fontId="0" fillId="0" borderId="0" xfId="0"/>
    <xf numFmtId="14" fontId="0" fillId="0" borderId="0" xfId="0" applyNumberFormat="1"/>
    <xf numFmtId="0" fontId="1" fillId="0" borderId="0" xfId="0" applyFont="1" applyAlignment="1">
      <alignment vertical="center"/>
    </xf>
    <xf numFmtId="0" fontId="0" fillId="0" borderId="1" xfId="0" applyFont="1" applyFill="1" applyBorder="1"/>
    <xf numFmtId="0" fontId="2" fillId="2" borderId="1" xfId="0" applyFont="1" applyFill="1" applyBorder="1" applyAlignment="1">
      <alignment horizontal="left"/>
    </xf>
    <xf numFmtId="0" fontId="3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2" fillId="2" borderId="1" xfId="0" applyFont="1" applyFill="1" applyBorder="1" applyAlignment="1">
      <alignment horizontal="center" vertical="center"/>
    </xf>
    <xf numFmtId="0" fontId="6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wrapText="1"/>
    </xf>
    <xf numFmtId="0" fontId="2" fillId="2" borderId="1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left"/>
    </xf>
    <xf numFmtId="0" fontId="5" fillId="3" borderId="3" xfId="0" applyFont="1" applyFill="1" applyBorder="1" applyAlignment="1">
      <alignment horizontal="left"/>
    </xf>
    <xf numFmtId="0" fontId="5" fillId="3" borderId="4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/>
    </xf>
    <xf numFmtId="0" fontId="2" fillId="2" borderId="3" xfId="0" applyFont="1" applyFill="1" applyBorder="1" applyAlignment="1">
      <alignment horizontal="left"/>
    </xf>
    <xf numFmtId="0" fontId="2" fillId="2" borderId="4" xfId="0" applyFont="1" applyFill="1" applyBorder="1" applyAlignment="1">
      <alignment horizontal="left"/>
    </xf>
    <xf numFmtId="0" fontId="0" fillId="0" borderId="2" xfId="0" applyFont="1" applyFill="1" applyBorder="1" applyAlignment="1">
      <alignment horizontal="left"/>
    </xf>
    <xf numFmtId="0" fontId="0" fillId="0" borderId="3" xfId="0" applyFont="1" applyFill="1" applyBorder="1" applyAlignment="1">
      <alignment horizontal="left"/>
    </xf>
    <xf numFmtId="0" fontId="0" fillId="0" borderId="4" xfId="0" applyFont="1" applyFill="1" applyBorder="1" applyAlignment="1">
      <alignment horizontal="left"/>
    </xf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2" fillId="2" borderId="2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3" borderId="4" xfId="0" applyFont="1" applyFill="1" applyBorder="1" applyAlignment="1">
      <alignment horizontal="center" vertical="center"/>
    </xf>
    <xf numFmtId="0" fontId="7" fillId="0" borderId="2" xfId="1" applyFill="1" applyBorder="1"/>
    <xf numFmtId="0" fontId="0" fillId="4" borderId="1" xfId="0" applyFont="1" applyFill="1" applyBorder="1"/>
    <xf numFmtId="0" fontId="0" fillId="0" borderId="1" xfId="0" applyFont="1" applyFill="1" applyBorder="1" applyAlignment="1">
      <alignment horizontal="right"/>
    </xf>
    <xf numFmtId="0" fontId="9" fillId="5" borderId="1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8" fillId="2" borderId="4" xfId="0" applyFont="1" applyFill="1" applyBorder="1" applyAlignment="1">
      <alignment horizontal="center" vertical="center"/>
    </xf>
    <xf numFmtId="0" fontId="2" fillId="2" borderId="2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14" fontId="0" fillId="0" borderId="1" xfId="0" applyNumberFormat="1" applyFont="1" applyFill="1" applyBorder="1"/>
    <xf numFmtId="14" fontId="2" fillId="2" borderId="1" xfId="0" applyNumberFormat="1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 Plot of Actual Vs Forecast (Training Data)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Forecast</c:v>
          </c:tx>
          <c:spPr>
            <a:ln w="6350"/>
          </c:spPr>
          <c:marker>
            <c:symbol val="none"/>
          </c:marker>
          <c:xVal>
            <c:numRef>
              <c:f>MASmoothingOutput1!$B$27:$B$3678</c:f>
              <c:numCache>
                <c:formatCode>m/d/yyyy</c:formatCode>
                <c:ptCount val="3652"/>
                <c:pt idx="0">
                  <c:v>36527</c:v>
                </c:pt>
                <c:pt idx="1">
                  <c:v>36528</c:v>
                </c:pt>
                <c:pt idx="2">
                  <c:v>36529</c:v>
                </c:pt>
                <c:pt idx="3">
                  <c:v>36530</c:v>
                </c:pt>
                <c:pt idx="4">
                  <c:v>36531</c:v>
                </c:pt>
                <c:pt idx="5">
                  <c:v>36532</c:v>
                </c:pt>
                <c:pt idx="6">
                  <c:v>36533</c:v>
                </c:pt>
                <c:pt idx="7">
                  <c:v>36534</c:v>
                </c:pt>
                <c:pt idx="8">
                  <c:v>36535</c:v>
                </c:pt>
                <c:pt idx="9">
                  <c:v>36536</c:v>
                </c:pt>
                <c:pt idx="10">
                  <c:v>36537</c:v>
                </c:pt>
                <c:pt idx="11">
                  <c:v>36538</c:v>
                </c:pt>
                <c:pt idx="12">
                  <c:v>36539</c:v>
                </c:pt>
                <c:pt idx="13">
                  <c:v>36540</c:v>
                </c:pt>
                <c:pt idx="14">
                  <c:v>36541</c:v>
                </c:pt>
                <c:pt idx="15">
                  <c:v>36542</c:v>
                </c:pt>
                <c:pt idx="16">
                  <c:v>36543</c:v>
                </c:pt>
                <c:pt idx="17">
                  <c:v>36544</c:v>
                </c:pt>
                <c:pt idx="18">
                  <c:v>36545</c:v>
                </c:pt>
                <c:pt idx="19">
                  <c:v>36546</c:v>
                </c:pt>
                <c:pt idx="20">
                  <c:v>36547</c:v>
                </c:pt>
                <c:pt idx="21">
                  <c:v>36548</c:v>
                </c:pt>
                <c:pt idx="22">
                  <c:v>36549</c:v>
                </c:pt>
                <c:pt idx="23">
                  <c:v>36550</c:v>
                </c:pt>
                <c:pt idx="24">
                  <c:v>36551</c:v>
                </c:pt>
                <c:pt idx="25">
                  <c:v>36552</c:v>
                </c:pt>
                <c:pt idx="26">
                  <c:v>36553</c:v>
                </c:pt>
                <c:pt idx="27">
                  <c:v>36554</c:v>
                </c:pt>
                <c:pt idx="28">
                  <c:v>36555</c:v>
                </c:pt>
                <c:pt idx="29">
                  <c:v>36556</c:v>
                </c:pt>
                <c:pt idx="30">
                  <c:v>36557</c:v>
                </c:pt>
                <c:pt idx="31">
                  <c:v>36558</c:v>
                </c:pt>
                <c:pt idx="32">
                  <c:v>36559</c:v>
                </c:pt>
                <c:pt idx="33">
                  <c:v>36560</c:v>
                </c:pt>
                <c:pt idx="34">
                  <c:v>36561</c:v>
                </c:pt>
                <c:pt idx="35">
                  <c:v>36562</c:v>
                </c:pt>
                <c:pt idx="36">
                  <c:v>36563</c:v>
                </c:pt>
                <c:pt idx="37">
                  <c:v>36564</c:v>
                </c:pt>
                <c:pt idx="38">
                  <c:v>36565</c:v>
                </c:pt>
                <c:pt idx="39">
                  <c:v>36566</c:v>
                </c:pt>
                <c:pt idx="40">
                  <c:v>36567</c:v>
                </c:pt>
                <c:pt idx="41">
                  <c:v>36568</c:v>
                </c:pt>
                <c:pt idx="42">
                  <c:v>36569</c:v>
                </c:pt>
                <c:pt idx="43">
                  <c:v>36570</c:v>
                </c:pt>
                <c:pt idx="44">
                  <c:v>36571</c:v>
                </c:pt>
                <c:pt idx="45">
                  <c:v>36572</c:v>
                </c:pt>
                <c:pt idx="46">
                  <c:v>36573</c:v>
                </c:pt>
                <c:pt idx="47">
                  <c:v>36574</c:v>
                </c:pt>
                <c:pt idx="48">
                  <c:v>36575</c:v>
                </c:pt>
                <c:pt idx="49">
                  <c:v>36576</c:v>
                </c:pt>
                <c:pt idx="50">
                  <c:v>36577</c:v>
                </c:pt>
                <c:pt idx="51">
                  <c:v>36578</c:v>
                </c:pt>
                <c:pt idx="52">
                  <c:v>36579</c:v>
                </c:pt>
                <c:pt idx="53">
                  <c:v>36580</c:v>
                </c:pt>
                <c:pt idx="54">
                  <c:v>36581</c:v>
                </c:pt>
                <c:pt idx="55">
                  <c:v>36582</c:v>
                </c:pt>
                <c:pt idx="56">
                  <c:v>36583</c:v>
                </c:pt>
                <c:pt idx="57">
                  <c:v>36584</c:v>
                </c:pt>
                <c:pt idx="58">
                  <c:v>36585</c:v>
                </c:pt>
                <c:pt idx="59">
                  <c:v>36586</c:v>
                </c:pt>
                <c:pt idx="60">
                  <c:v>36587</c:v>
                </c:pt>
                <c:pt idx="61">
                  <c:v>36588</c:v>
                </c:pt>
                <c:pt idx="62">
                  <c:v>36589</c:v>
                </c:pt>
                <c:pt idx="63">
                  <c:v>36590</c:v>
                </c:pt>
                <c:pt idx="64">
                  <c:v>36591</c:v>
                </c:pt>
                <c:pt idx="65">
                  <c:v>36592</c:v>
                </c:pt>
                <c:pt idx="66">
                  <c:v>36593</c:v>
                </c:pt>
                <c:pt idx="67">
                  <c:v>36594</c:v>
                </c:pt>
                <c:pt idx="68">
                  <c:v>36595</c:v>
                </c:pt>
                <c:pt idx="69">
                  <c:v>36596</c:v>
                </c:pt>
                <c:pt idx="70">
                  <c:v>36597</c:v>
                </c:pt>
                <c:pt idx="71">
                  <c:v>36598</c:v>
                </c:pt>
                <c:pt idx="72">
                  <c:v>36599</c:v>
                </c:pt>
                <c:pt idx="73">
                  <c:v>36600</c:v>
                </c:pt>
                <c:pt idx="74">
                  <c:v>36601</c:v>
                </c:pt>
                <c:pt idx="75">
                  <c:v>36602</c:v>
                </c:pt>
                <c:pt idx="76">
                  <c:v>36603</c:v>
                </c:pt>
                <c:pt idx="77">
                  <c:v>36604</c:v>
                </c:pt>
                <c:pt idx="78">
                  <c:v>36605</c:v>
                </c:pt>
                <c:pt idx="79">
                  <c:v>36606</c:v>
                </c:pt>
                <c:pt idx="80">
                  <c:v>36607</c:v>
                </c:pt>
                <c:pt idx="81">
                  <c:v>36608</c:v>
                </c:pt>
                <c:pt idx="82">
                  <c:v>36609</c:v>
                </c:pt>
                <c:pt idx="83">
                  <c:v>36610</c:v>
                </c:pt>
                <c:pt idx="84">
                  <c:v>36611</c:v>
                </c:pt>
                <c:pt idx="85">
                  <c:v>36612</c:v>
                </c:pt>
                <c:pt idx="86">
                  <c:v>36613</c:v>
                </c:pt>
                <c:pt idx="87">
                  <c:v>36614</c:v>
                </c:pt>
                <c:pt idx="88">
                  <c:v>36615</c:v>
                </c:pt>
                <c:pt idx="89">
                  <c:v>36616</c:v>
                </c:pt>
                <c:pt idx="90">
                  <c:v>36617</c:v>
                </c:pt>
                <c:pt idx="91">
                  <c:v>36618</c:v>
                </c:pt>
                <c:pt idx="92">
                  <c:v>36619</c:v>
                </c:pt>
                <c:pt idx="93">
                  <c:v>36620</c:v>
                </c:pt>
                <c:pt idx="94">
                  <c:v>36621</c:v>
                </c:pt>
                <c:pt idx="95">
                  <c:v>36622</c:v>
                </c:pt>
                <c:pt idx="96">
                  <c:v>36623</c:v>
                </c:pt>
                <c:pt idx="97">
                  <c:v>36624</c:v>
                </c:pt>
                <c:pt idx="98">
                  <c:v>36625</c:v>
                </c:pt>
                <c:pt idx="99">
                  <c:v>36626</c:v>
                </c:pt>
                <c:pt idx="100">
                  <c:v>36627</c:v>
                </c:pt>
                <c:pt idx="101">
                  <c:v>36628</c:v>
                </c:pt>
                <c:pt idx="102">
                  <c:v>36629</c:v>
                </c:pt>
                <c:pt idx="103">
                  <c:v>36630</c:v>
                </c:pt>
                <c:pt idx="104">
                  <c:v>36631</c:v>
                </c:pt>
                <c:pt idx="105">
                  <c:v>36632</c:v>
                </c:pt>
                <c:pt idx="106">
                  <c:v>36633</c:v>
                </c:pt>
                <c:pt idx="107">
                  <c:v>36634</c:v>
                </c:pt>
                <c:pt idx="108">
                  <c:v>36635</c:v>
                </c:pt>
                <c:pt idx="109">
                  <c:v>36636</c:v>
                </c:pt>
                <c:pt idx="110">
                  <c:v>36637</c:v>
                </c:pt>
                <c:pt idx="111">
                  <c:v>36638</c:v>
                </c:pt>
                <c:pt idx="112">
                  <c:v>36639</c:v>
                </c:pt>
                <c:pt idx="113">
                  <c:v>36640</c:v>
                </c:pt>
                <c:pt idx="114">
                  <c:v>36641</c:v>
                </c:pt>
                <c:pt idx="115">
                  <c:v>36642</c:v>
                </c:pt>
                <c:pt idx="116">
                  <c:v>36643</c:v>
                </c:pt>
                <c:pt idx="117">
                  <c:v>36644</c:v>
                </c:pt>
                <c:pt idx="118">
                  <c:v>36645</c:v>
                </c:pt>
                <c:pt idx="119">
                  <c:v>36646</c:v>
                </c:pt>
                <c:pt idx="120">
                  <c:v>36647</c:v>
                </c:pt>
                <c:pt idx="121">
                  <c:v>36648</c:v>
                </c:pt>
                <c:pt idx="122">
                  <c:v>36649</c:v>
                </c:pt>
                <c:pt idx="123">
                  <c:v>36650</c:v>
                </c:pt>
                <c:pt idx="124">
                  <c:v>36651</c:v>
                </c:pt>
                <c:pt idx="125">
                  <c:v>36652</c:v>
                </c:pt>
                <c:pt idx="126">
                  <c:v>36653</c:v>
                </c:pt>
                <c:pt idx="127">
                  <c:v>36654</c:v>
                </c:pt>
                <c:pt idx="128">
                  <c:v>36655</c:v>
                </c:pt>
                <c:pt idx="129">
                  <c:v>36656</c:v>
                </c:pt>
                <c:pt idx="130">
                  <c:v>36657</c:v>
                </c:pt>
                <c:pt idx="131">
                  <c:v>36658</c:v>
                </c:pt>
                <c:pt idx="132">
                  <c:v>36659</c:v>
                </c:pt>
                <c:pt idx="133">
                  <c:v>36660</c:v>
                </c:pt>
                <c:pt idx="134">
                  <c:v>36661</c:v>
                </c:pt>
                <c:pt idx="135">
                  <c:v>36662</c:v>
                </c:pt>
                <c:pt idx="136">
                  <c:v>36663</c:v>
                </c:pt>
                <c:pt idx="137">
                  <c:v>36664</c:v>
                </c:pt>
                <c:pt idx="138">
                  <c:v>36665</c:v>
                </c:pt>
                <c:pt idx="139">
                  <c:v>36666</c:v>
                </c:pt>
                <c:pt idx="140">
                  <c:v>36667</c:v>
                </c:pt>
                <c:pt idx="141">
                  <c:v>36668</c:v>
                </c:pt>
                <c:pt idx="142">
                  <c:v>36669</c:v>
                </c:pt>
                <c:pt idx="143">
                  <c:v>36670</c:v>
                </c:pt>
                <c:pt idx="144">
                  <c:v>36671</c:v>
                </c:pt>
                <c:pt idx="145">
                  <c:v>36672</c:v>
                </c:pt>
                <c:pt idx="146">
                  <c:v>36673</c:v>
                </c:pt>
                <c:pt idx="147">
                  <c:v>36674</c:v>
                </c:pt>
                <c:pt idx="148">
                  <c:v>36675</c:v>
                </c:pt>
                <c:pt idx="149">
                  <c:v>36676</c:v>
                </c:pt>
                <c:pt idx="150">
                  <c:v>36677</c:v>
                </c:pt>
                <c:pt idx="151">
                  <c:v>36678</c:v>
                </c:pt>
                <c:pt idx="152">
                  <c:v>36679</c:v>
                </c:pt>
                <c:pt idx="153">
                  <c:v>36680</c:v>
                </c:pt>
                <c:pt idx="154">
                  <c:v>36681</c:v>
                </c:pt>
                <c:pt idx="155">
                  <c:v>36682</c:v>
                </c:pt>
                <c:pt idx="156">
                  <c:v>36683</c:v>
                </c:pt>
                <c:pt idx="157">
                  <c:v>36684</c:v>
                </c:pt>
                <c:pt idx="158">
                  <c:v>36685</c:v>
                </c:pt>
                <c:pt idx="159">
                  <c:v>36686</c:v>
                </c:pt>
                <c:pt idx="160">
                  <c:v>36687</c:v>
                </c:pt>
                <c:pt idx="161">
                  <c:v>36688</c:v>
                </c:pt>
                <c:pt idx="162">
                  <c:v>36689</c:v>
                </c:pt>
                <c:pt idx="163">
                  <c:v>36690</c:v>
                </c:pt>
                <c:pt idx="164">
                  <c:v>36691</c:v>
                </c:pt>
                <c:pt idx="165">
                  <c:v>36692</c:v>
                </c:pt>
                <c:pt idx="166">
                  <c:v>36693</c:v>
                </c:pt>
                <c:pt idx="167">
                  <c:v>36694</c:v>
                </c:pt>
                <c:pt idx="168">
                  <c:v>36695</c:v>
                </c:pt>
                <c:pt idx="169">
                  <c:v>36696</c:v>
                </c:pt>
                <c:pt idx="170">
                  <c:v>36697</c:v>
                </c:pt>
                <c:pt idx="171">
                  <c:v>36698</c:v>
                </c:pt>
                <c:pt idx="172">
                  <c:v>36699</c:v>
                </c:pt>
                <c:pt idx="173">
                  <c:v>36700</c:v>
                </c:pt>
                <c:pt idx="174">
                  <c:v>36701</c:v>
                </c:pt>
                <c:pt idx="175">
                  <c:v>36702</c:v>
                </c:pt>
                <c:pt idx="176">
                  <c:v>36703</c:v>
                </c:pt>
                <c:pt idx="177">
                  <c:v>36704</c:v>
                </c:pt>
                <c:pt idx="178">
                  <c:v>36705</c:v>
                </c:pt>
                <c:pt idx="179">
                  <c:v>36706</c:v>
                </c:pt>
                <c:pt idx="180">
                  <c:v>36707</c:v>
                </c:pt>
                <c:pt idx="181">
                  <c:v>36708</c:v>
                </c:pt>
                <c:pt idx="182">
                  <c:v>36709</c:v>
                </c:pt>
                <c:pt idx="183">
                  <c:v>36710</c:v>
                </c:pt>
                <c:pt idx="184">
                  <c:v>36711</c:v>
                </c:pt>
                <c:pt idx="185">
                  <c:v>36712</c:v>
                </c:pt>
                <c:pt idx="186">
                  <c:v>36713</c:v>
                </c:pt>
                <c:pt idx="187">
                  <c:v>36714</c:v>
                </c:pt>
                <c:pt idx="188">
                  <c:v>36715</c:v>
                </c:pt>
                <c:pt idx="189">
                  <c:v>36716</c:v>
                </c:pt>
                <c:pt idx="190">
                  <c:v>36717</c:v>
                </c:pt>
                <c:pt idx="191">
                  <c:v>36718</c:v>
                </c:pt>
                <c:pt idx="192">
                  <c:v>36719</c:v>
                </c:pt>
                <c:pt idx="193">
                  <c:v>36720</c:v>
                </c:pt>
                <c:pt idx="194">
                  <c:v>36721</c:v>
                </c:pt>
                <c:pt idx="195">
                  <c:v>36722</c:v>
                </c:pt>
                <c:pt idx="196">
                  <c:v>36723</c:v>
                </c:pt>
                <c:pt idx="197">
                  <c:v>36724</c:v>
                </c:pt>
                <c:pt idx="198">
                  <c:v>36725</c:v>
                </c:pt>
                <c:pt idx="199">
                  <c:v>36726</c:v>
                </c:pt>
                <c:pt idx="200">
                  <c:v>36727</c:v>
                </c:pt>
                <c:pt idx="201">
                  <c:v>36728</c:v>
                </c:pt>
                <c:pt idx="202">
                  <c:v>36729</c:v>
                </c:pt>
                <c:pt idx="203">
                  <c:v>36730</c:v>
                </c:pt>
                <c:pt idx="204">
                  <c:v>36731</c:v>
                </c:pt>
                <c:pt idx="205">
                  <c:v>36732</c:v>
                </c:pt>
                <c:pt idx="206">
                  <c:v>36733</c:v>
                </c:pt>
                <c:pt idx="207">
                  <c:v>36734</c:v>
                </c:pt>
                <c:pt idx="208">
                  <c:v>36735</c:v>
                </c:pt>
                <c:pt idx="209">
                  <c:v>36736</c:v>
                </c:pt>
                <c:pt idx="210">
                  <c:v>36737</c:v>
                </c:pt>
                <c:pt idx="211">
                  <c:v>36738</c:v>
                </c:pt>
                <c:pt idx="212">
                  <c:v>36739</c:v>
                </c:pt>
                <c:pt idx="213">
                  <c:v>36740</c:v>
                </c:pt>
                <c:pt idx="214">
                  <c:v>36741</c:v>
                </c:pt>
                <c:pt idx="215">
                  <c:v>36742</c:v>
                </c:pt>
                <c:pt idx="216">
                  <c:v>36743</c:v>
                </c:pt>
                <c:pt idx="217">
                  <c:v>36744</c:v>
                </c:pt>
                <c:pt idx="218">
                  <c:v>36745</c:v>
                </c:pt>
                <c:pt idx="219">
                  <c:v>36746</c:v>
                </c:pt>
                <c:pt idx="220">
                  <c:v>36747</c:v>
                </c:pt>
                <c:pt idx="221">
                  <c:v>36748</c:v>
                </c:pt>
                <c:pt idx="222">
                  <c:v>36749</c:v>
                </c:pt>
                <c:pt idx="223">
                  <c:v>36750</c:v>
                </c:pt>
                <c:pt idx="224">
                  <c:v>36751</c:v>
                </c:pt>
                <c:pt idx="225">
                  <c:v>36752</c:v>
                </c:pt>
                <c:pt idx="226">
                  <c:v>36753</c:v>
                </c:pt>
                <c:pt idx="227">
                  <c:v>36754</c:v>
                </c:pt>
                <c:pt idx="228">
                  <c:v>36755</c:v>
                </c:pt>
                <c:pt idx="229">
                  <c:v>36756</c:v>
                </c:pt>
                <c:pt idx="230">
                  <c:v>36757</c:v>
                </c:pt>
                <c:pt idx="231">
                  <c:v>36758</c:v>
                </c:pt>
                <c:pt idx="232">
                  <c:v>36759</c:v>
                </c:pt>
                <c:pt idx="233">
                  <c:v>36760</c:v>
                </c:pt>
                <c:pt idx="234">
                  <c:v>36761</c:v>
                </c:pt>
                <c:pt idx="235">
                  <c:v>36762</c:v>
                </c:pt>
                <c:pt idx="236">
                  <c:v>36763</c:v>
                </c:pt>
                <c:pt idx="237">
                  <c:v>36764</c:v>
                </c:pt>
                <c:pt idx="238">
                  <c:v>36765</c:v>
                </c:pt>
                <c:pt idx="239">
                  <c:v>36766</c:v>
                </c:pt>
                <c:pt idx="240">
                  <c:v>36767</c:v>
                </c:pt>
                <c:pt idx="241">
                  <c:v>36768</c:v>
                </c:pt>
                <c:pt idx="242">
                  <c:v>36769</c:v>
                </c:pt>
                <c:pt idx="243">
                  <c:v>36770</c:v>
                </c:pt>
                <c:pt idx="244">
                  <c:v>36771</c:v>
                </c:pt>
                <c:pt idx="245">
                  <c:v>36772</c:v>
                </c:pt>
                <c:pt idx="246">
                  <c:v>36773</c:v>
                </c:pt>
                <c:pt idx="247">
                  <c:v>36774</c:v>
                </c:pt>
                <c:pt idx="248">
                  <c:v>36775</c:v>
                </c:pt>
                <c:pt idx="249">
                  <c:v>36776</c:v>
                </c:pt>
                <c:pt idx="250">
                  <c:v>36777</c:v>
                </c:pt>
                <c:pt idx="251">
                  <c:v>36778</c:v>
                </c:pt>
                <c:pt idx="252">
                  <c:v>36779</c:v>
                </c:pt>
                <c:pt idx="253">
                  <c:v>36780</c:v>
                </c:pt>
                <c:pt idx="254">
                  <c:v>36781</c:v>
                </c:pt>
                <c:pt idx="255">
                  <c:v>36782</c:v>
                </c:pt>
                <c:pt idx="256">
                  <c:v>36783</c:v>
                </c:pt>
                <c:pt idx="257">
                  <c:v>36784</c:v>
                </c:pt>
                <c:pt idx="258">
                  <c:v>36785</c:v>
                </c:pt>
                <c:pt idx="259">
                  <c:v>36786</c:v>
                </c:pt>
                <c:pt idx="260">
                  <c:v>36787</c:v>
                </c:pt>
                <c:pt idx="261">
                  <c:v>36788</c:v>
                </c:pt>
                <c:pt idx="262">
                  <c:v>36789</c:v>
                </c:pt>
                <c:pt idx="263">
                  <c:v>36790</c:v>
                </c:pt>
                <c:pt idx="264">
                  <c:v>36791</c:v>
                </c:pt>
                <c:pt idx="265">
                  <c:v>36792</c:v>
                </c:pt>
                <c:pt idx="266">
                  <c:v>36793</c:v>
                </c:pt>
                <c:pt idx="267">
                  <c:v>36794</c:v>
                </c:pt>
                <c:pt idx="268">
                  <c:v>36795</c:v>
                </c:pt>
                <c:pt idx="269">
                  <c:v>36796</c:v>
                </c:pt>
                <c:pt idx="270">
                  <c:v>36797</c:v>
                </c:pt>
                <c:pt idx="271">
                  <c:v>36798</c:v>
                </c:pt>
                <c:pt idx="272">
                  <c:v>36799</c:v>
                </c:pt>
                <c:pt idx="273">
                  <c:v>36800</c:v>
                </c:pt>
                <c:pt idx="274">
                  <c:v>36801</c:v>
                </c:pt>
                <c:pt idx="275">
                  <c:v>36802</c:v>
                </c:pt>
                <c:pt idx="276">
                  <c:v>36803</c:v>
                </c:pt>
                <c:pt idx="277">
                  <c:v>36804</c:v>
                </c:pt>
                <c:pt idx="278">
                  <c:v>36805</c:v>
                </c:pt>
                <c:pt idx="279">
                  <c:v>36806</c:v>
                </c:pt>
                <c:pt idx="280">
                  <c:v>36807</c:v>
                </c:pt>
                <c:pt idx="281">
                  <c:v>36808</c:v>
                </c:pt>
                <c:pt idx="282">
                  <c:v>36809</c:v>
                </c:pt>
                <c:pt idx="283">
                  <c:v>36810</c:v>
                </c:pt>
                <c:pt idx="284">
                  <c:v>36811</c:v>
                </c:pt>
                <c:pt idx="285">
                  <c:v>36812</c:v>
                </c:pt>
                <c:pt idx="286">
                  <c:v>36813</c:v>
                </c:pt>
                <c:pt idx="287">
                  <c:v>36814</c:v>
                </c:pt>
                <c:pt idx="288">
                  <c:v>36815</c:v>
                </c:pt>
                <c:pt idx="289">
                  <c:v>36816</c:v>
                </c:pt>
                <c:pt idx="290">
                  <c:v>36817</c:v>
                </c:pt>
                <c:pt idx="291">
                  <c:v>36818</c:v>
                </c:pt>
                <c:pt idx="292">
                  <c:v>36819</c:v>
                </c:pt>
                <c:pt idx="293">
                  <c:v>36820</c:v>
                </c:pt>
                <c:pt idx="294">
                  <c:v>36821</c:v>
                </c:pt>
                <c:pt idx="295">
                  <c:v>36822</c:v>
                </c:pt>
                <c:pt idx="296">
                  <c:v>36823</c:v>
                </c:pt>
                <c:pt idx="297">
                  <c:v>36824</c:v>
                </c:pt>
                <c:pt idx="298">
                  <c:v>36825</c:v>
                </c:pt>
                <c:pt idx="299">
                  <c:v>36826</c:v>
                </c:pt>
                <c:pt idx="300">
                  <c:v>36827</c:v>
                </c:pt>
                <c:pt idx="301">
                  <c:v>36828</c:v>
                </c:pt>
                <c:pt idx="302">
                  <c:v>36829</c:v>
                </c:pt>
                <c:pt idx="303">
                  <c:v>36830</c:v>
                </c:pt>
                <c:pt idx="304">
                  <c:v>36831</c:v>
                </c:pt>
                <c:pt idx="305">
                  <c:v>36832</c:v>
                </c:pt>
                <c:pt idx="306">
                  <c:v>36833</c:v>
                </c:pt>
                <c:pt idx="307">
                  <c:v>36834</c:v>
                </c:pt>
                <c:pt idx="308">
                  <c:v>36835</c:v>
                </c:pt>
                <c:pt idx="309">
                  <c:v>36836</c:v>
                </c:pt>
                <c:pt idx="310">
                  <c:v>36837</c:v>
                </c:pt>
                <c:pt idx="311">
                  <c:v>36838</c:v>
                </c:pt>
                <c:pt idx="312">
                  <c:v>36839</c:v>
                </c:pt>
                <c:pt idx="313">
                  <c:v>36840</c:v>
                </c:pt>
                <c:pt idx="314">
                  <c:v>36841</c:v>
                </c:pt>
                <c:pt idx="315">
                  <c:v>36842</c:v>
                </c:pt>
                <c:pt idx="316">
                  <c:v>36843</c:v>
                </c:pt>
                <c:pt idx="317">
                  <c:v>36844</c:v>
                </c:pt>
                <c:pt idx="318">
                  <c:v>36845</c:v>
                </c:pt>
                <c:pt idx="319">
                  <c:v>36846</c:v>
                </c:pt>
                <c:pt idx="320">
                  <c:v>36847</c:v>
                </c:pt>
                <c:pt idx="321">
                  <c:v>36848</c:v>
                </c:pt>
                <c:pt idx="322">
                  <c:v>36849</c:v>
                </c:pt>
                <c:pt idx="323">
                  <c:v>36850</c:v>
                </c:pt>
                <c:pt idx="324">
                  <c:v>36851</c:v>
                </c:pt>
                <c:pt idx="325">
                  <c:v>36852</c:v>
                </c:pt>
                <c:pt idx="326">
                  <c:v>36853</c:v>
                </c:pt>
                <c:pt idx="327">
                  <c:v>36854</c:v>
                </c:pt>
                <c:pt idx="328">
                  <c:v>36855</c:v>
                </c:pt>
                <c:pt idx="329">
                  <c:v>36856</c:v>
                </c:pt>
                <c:pt idx="330">
                  <c:v>36857</c:v>
                </c:pt>
                <c:pt idx="331">
                  <c:v>36858</c:v>
                </c:pt>
                <c:pt idx="332">
                  <c:v>36859</c:v>
                </c:pt>
                <c:pt idx="333">
                  <c:v>36860</c:v>
                </c:pt>
                <c:pt idx="334">
                  <c:v>36861</c:v>
                </c:pt>
                <c:pt idx="335">
                  <c:v>36862</c:v>
                </c:pt>
                <c:pt idx="336">
                  <c:v>36863</c:v>
                </c:pt>
                <c:pt idx="337">
                  <c:v>36864</c:v>
                </c:pt>
                <c:pt idx="338">
                  <c:v>36865</c:v>
                </c:pt>
                <c:pt idx="339">
                  <c:v>36866</c:v>
                </c:pt>
                <c:pt idx="340">
                  <c:v>36867</c:v>
                </c:pt>
                <c:pt idx="341">
                  <c:v>36868</c:v>
                </c:pt>
                <c:pt idx="342">
                  <c:v>36869</c:v>
                </c:pt>
                <c:pt idx="343">
                  <c:v>36870</c:v>
                </c:pt>
                <c:pt idx="344">
                  <c:v>36871</c:v>
                </c:pt>
                <c:pt idx="345">
                  <c:v>36872</c:v>
                </c:pt>
                <c:pt idx="346">
                  <c:v>36873</c:v>
                </c:pt>
                <c:pt idx="347">
                  <c:v>36874</c:v>
                </c:pt>
                <c:pt idx="348">
                  <c:v>36875</c:v>
                </c:pt>
                <c:pt idx="349">
                  <c:v>36876</c:v>
                </c:pt>
                <c:pt idx="350">
                  <c:v>36877</c:v>
                </c:pt>
                <c:pt idx="351">
                  <c:v>36878</c:v>
                </c:pt>
                <c:pt idx="352">
                  <c:v>36879</c:v>
                </c:pt>
                <c:pt idx="353">
                  <c:v>36880</c:v>
                </c:pt>
                <c:pt idx="354">
                  <c:v>36881</c:v>
                </c:pt>
                <c:pt idx="355">
                  <c:v>36882</c:v>
                </c:pt>
                <c:pt idx="356">
                  <c:v>36883</c:v>
                </c:pt>
                <c:pt idx="357">
                  <c:v>36884</c:v>
                </c:pt>
                <c:pt idx="358">
                  <c:v>36885</c:v>
                </c:pt>
                <c:pt idx="359">
                  <c:v>36886</c:v>
                </c:pt>
                <c:pt idx="360">
                  <c:v>36887</c:v>
                </c:pt>
                <c:pt idx="361">
                  <c:v>36888</c:v>
                </c:pt>
                <c:pt idx="362">
                  <c:v>36889</c:v>
                </c:pt>
                <c:pt idx="363">
                  <c:v>36890</c:v>
                </c:pt>
                <c:pt idx="364">
                  <c:v>36891</c:v>
                </c:pt>
                <c:pt idx="365">
                  <c:v>36892</c:v>
                </c:pt>
                <c:pt idx="366">
                  <c:v>36893</c:v>
                </c:pt>
                <c:pt idx="367">
                  <c:v>36894</c:v>
                </c:pt>
                <c:pt idx="368">
                  <c:v>36895</c:v>
                </c:pt>
                <c:pt idx="369">
                  <c:v>36896</c:v>
                </c:pt>
                <c:pt idx="370">
                  <c:v>36897</c:v>
                </c:pt>
                <c:pt idx="371">
                  <c:v>36898</c:v>
                </c:pt>
                <c:pt idx="372">
                  <c:v>36899</c:v>
                </c:pt>
                <c:pt idx="373">
                  <c:v>36900</c:v>
                </c:pt>
                <c:pt idx="374">
                  <c:v>36901</c:v>
                </c:pt>
                <c:pt idx="375">
                  <c:v>36902</c:v>
                </c:pt>
                <c:pt idx="376">
                  <c:v>36903</c:v>
                </c:pt>
                <c:pt idx="377">
                  <c:v>36904</c:v>
                </c:pt>
                <c:pt idx="378">
                  <c:v>36905</c:v>
                </c:pt>
                <c:pt idx="379">
                  <c:v>36906</c:v>
                </c:pt>
                <c:pt idx="380">
                  <c:v>36907</c:v>
                </c:pt>
                <c:pt idx="381">
                  <c:v>36908</c:v>
                </c:pt>
                <c:pt idx="382">
                  <c:v>36909</c:v>
                </c:pt>
                <c:pt idx="383">
                  <c:v>36910</c:v>
                </c:pt>
                <c:pt idx="384">
                  <c:v>36911</c:v>
                </c:pt>
                <c:pt idx="385">
                  <c:v>36912</c:v>
                </c:pt>
                <c:pt idx="386">
                  <c:v>36913</c:v>
                </c:pt>
                <c:pt idx="387">
                  <c:v>36914</c:v>
                </c:pt>
                <c:pt idx="388">
                  <c:v>36915</c:v>
                </c:pt>
                <c:pt idx="389">
                  <c:v>36916</c:v>
                </c:pt>
                <c:pt idx="390">
                  <c:v>36917</c:v>
                </c:pt>
                <c:pt idx="391">
                  <c:v>36918</c:v>
                </c:pt>
                <c:pt idx="392">
                  <c:v>36919</c:v>
                </c:pt>
                <c:pt idx="393">
                  <c:v>36920</c:v>
                </c:pt>
                <c:pt idx="394">
                  <c:v>36921</c:v>
                </c:pt>
                <c:pt idx="395">
                  <c:v>36922</c:v>
                </c:pt>
                <c:pt idx="396">
                  <c:v>36923</c:v>
                </c:pt>
                <c:pt idx="397">
                  <c:v>36924</c:v>
                </c:pt>
                <c:pt idx="398">
                  <c:v>36925</c:v>
                </c:pt>
                <c:pt idx="399">
                  <c:v>36926</c:v>
                </c:pt>
                <c:pt idx="400">
                  <c:v>36927</c:v>
                </c:pt>
                <c:pt idx="401">
                  <c:v>36928</c:v>
                </c:pt>
                <c:pt idx="402">
                  <c:v>36929</c:v>
                </c:pt>
                <c:pt idx="403">
                  <c:v>36930</c:v>
                </c:pt>
                <c:pt idx="404">
                  <c:v>36931</c:v>
                </c:pt>
                <c:pt idx="405">
                  <c:v>36932</c:v>
                </c:pt>
                <c:pt idx="406">
                  <c:v>36933</c:v>
                </c:pt>
                <c:pt idx="407">
                  <c:v>36934</c:v>
                </c:pt>
                <c:pt idx="408">
                  <c:v>36935</c:v>
                </c:pt>
                <c:pt idx="409">
                  <c:v>36936</c:v>
                </c:pt>
                <c:pt idx="410">
                  <c:v>36937</c:v>
                </c:pt>
                <c:pt idx="411">
                  <c:v>36938</c:v>
                </c:pt>
                <c:pt idx="412">
                  <c:v>36939</c:v>
                </c:pt>
                <c:pt idx="413">
                  <c:v>36940</c:v>
                </c:pt>
                <c:pt idx="414">
                  <c:v>36941</c:v>
                </c:pt>
                <c:pt idx="415">
                  <c:v>36942</c:v>
                </c:pt>
                <c:pt idx="416">
                  <c:v>36943</c:v>
                </c:pt>
                <c:pt idx="417">
                  <c:v>36944</c:v>
                </c:pt>
                <c:pt idx="418">
                  <c:v>36945</c:v>
                </c:pt>
                <c:pt idx="419">
                  <c:v>36946</c:v>
                </c:pt>
                <c:pt idx="420">
                  <c:v>36947</c:v>
                </c:pt>
                <c:pt idx="421">
                  <c:v>36948</c:v>
                </c:pt>
                <c:pt idx="422">
                  <c:v>36949</c:v>
                </c:pt>
                <c:pt idx="423">
                  <c:v>36950</c:v>
                </c:pt>
                <c:pt idx="424">
                  <c:v>36951</c:v>
                </c:pt>
                <c:pt idx="425">
                  <c:v>36952</c:v>
                </c:pt>
                <c:pt idx="426">
                  <c:v>36953</c:v>
                </c:pt>
                <c:pt idx="427">
                  <c:v>36954</c:v>
                </c:pt>
                <c:pt idx="428">
                  <c:v>36955</c:v>
                </c:pt>
                <c:pt idx="429">
                  <c:v>36956</c:v>
                </c:pt>
                <c:pt idx="430">
                  <c:v>36957</c:v>
                </c:pt>
                <c:pt idx="431">
                  <c:v>36958</c:v>
                </c:pt>
                <c:pt idx="432">
                  <c:v>36959</c:v>
                </c:pt>
                <c:pt idx="433">
                  <c:v>36960</c:v>
                </c:pt>
                <c:pt idx="434">
                  <c:v>36961</c:v>
                </c:pt>
                <c:pt idx="435">
                  <c:v>36962</c:v>
                </c:pt>
                <c:pt idx="436">
                  <c:v>36963</c:v>
                </c:pt>
                <c:pt idx="437">
                  <c:v>36964</c:v>
                </c:pt>
                <c:pt idx="438">
                  <c:v>36965</c:v>
                </c:pt>
                <c:pt idx="439">
                  <c:v>36966</c:v>
                </c:pt>
                <c:pt idx="440">
                  <c:v>36967</c:v>
                </c:pt>
                <c:pt idx="441">
                  <c:v>36968</c:v>
                </c:pt>
                <c:pt idx="442">
                  <c:v>36969</c:v>
                </c:pt>
                <c:pt idx="443">
                  <c:v>36970</c:v>
                </c:pt>
                <c:pt idx="444">
                  <c:v>36971</c:v>
                </c:pt>
                <c:pt idx="445">
                  <c:v>36972</c:v>
                </c:pt>
                <c:pt idx="446">
                  <c:v>36973</c:v>
                </c:pt>
                <c:pt idx="447">
                  <c:v>36974</c:v>
                </c:pt>
                <c:pt idx="448">
                  <c:v>36975</c:v>
                </c:pt>
                <c:pt idx="449">
                  <c:v>36976</c:v>
                </c:pt>
                <c:pt idx="450">
                  <c:v>36977</c:v>
                </c:pt>
                <c:pt idx="451">
                  <c:v>36978</c:v>
                </c:pt>
                <c:pt idx="452">
                  <c:v>36979</c:v>
                </c:pt>
                <c:pt idx="453">
                  <c:v>36980</c:v>
                </c:pt>
                <c:pt idx="454">
                  <c:v>36981</c:v>
                </c:pt>
                <c:pt idx="455">
                  <c:v>36982</c:v>
                </c:pt>
                <c:pt idx="456">
                  <c:v>36983</c:v>
                </c:pt>
                <c:pt idx="457">
                  <c:v>36984</c:v>
                </c:pt>
                <c:pt idx="458">
                  <c:v>36985</c:v>
                </c:pt>
                <c:pt idx="459">
                  <c:v>36986</c:v>
                </c:pt>
                <c:pt idx="460">
                  <c:v>36987</c:v>
                </c:pt>
                <c:pt idx="461">
                  <c:v>36988</c:v>
                </c:pt>
                <c:pt idx="462">
                  <c:v>36989</c:v>
                </c:pt>
                <c:pt idx="463">
                  <c:v>36990</c:v>
                </c:pt>
                <c:pt idx="464">
                  <c:v>36991</c:v>
                </c:pt>
                <c:pt idx="465">
                  <c:v>36992</c:v>
                </c:pt>
                <c:pt idx="466">
                  <c:v>36993</c:v>
                </c:pt>
                <c:pt idx="467">
                  <c:v>36994</c:v>
                </c:pt>
                <c:pt idx="468">
                  <c:v>36995</c:v>
                </c:pt>
                <c:pt idx="469">
                  <c:v>36996</c:v>
                </c:pt>
                <c:pt idx="470">
                  <c:v>36997</c:v>
                </c:pt>
                <c:pt idx="471">
                  <c:v>36998</c:v>
                </c:pt>
                <c:pt idx="472">
                  <c:v>36999</c:v>
                </c:pt>
                <c:pt idx="473">
                  <c:v>37000</c:v>
                </c:pt>
                <c:pt idx="474">
                  <c:v>37001</c:v>
                </c:pt>
                <c:pt idx="475">
                  <c:v>37002</c:v>
                </c:pt>
                <c:pt idx="476">
                  <c:v>37003</c:v>
                </c:pt>
                <c:pt idx="477">
                  <c:v>37004</c:v>
                </c:pt>
                <c:pt idx="478">
                  <c:v>37005</c:v>
                </c:pt>
                <c:pt idx="479">
                  <c:v>37006</c:v>
                </c:pt>
                <c:pt idx="480">
                  <c:v>37007</c:v>
                </c:pt>
                <c:pt idx="481">
                  <c:v>37008</c:v>
                </c:pt>
                <c:pt idx="482">
                  <c:v>37009</c:v>
                </c:pt>
                <c:pt idx="483">
                  <c:v>37010</c:v>
                </c:pt>
                <c:pt idx="484">
                  <c:v>37011</c:v>
                </c:pt>
                <c:pt idx="485">
                  <c:v>37012</c:v>
                </c:pt>
                <c:pt idx="486">
                  <c:v>37013</c:v>
                </c:pt>
                <c:pt idx="487">
                  <c:v>37014</c:v>
                </c:pt>
                <c:pt idx="488">
                  <c:v>37015</c:v>
                </c:pt>
                <c:pt idx="489">
                  <c:v>37016</c:v>
                </c:pt>
                <c:pt idx="490">
                  <c:v>37017</c:v>
                </c:pt>
                <c:pt idx="491">
                  <c:v>37018</c:v>
                </c:pt>
                <c:pt idx="492">
                  <c:v>37019</c:v>
                </c:pt>
                <c:pt idx="493">
                  <c:v>37020</c:v>
                </c:pt>
                <c:pt idx="494">
                  <c:v>37021</c:v>
                </c:pt>
                <c:pt idx="495">
                  <c:v>37022</c:v>
                </c:pt>
                <c:pt idx="496">
                  <c:v>37023</c:v>
                </c:pt>
                <c:pt idx="497">
                  <c:v>37024</c:v>
                </c:pt>
                <c:pt idx="498">
                  <c:v>37025</c:v>
                </c:pt>
                <c:pt idx="499">
                  <c:v>37026</c:v>
                </c:pt>
                <c:pt idx="500">
                  <c:v>37027</c:v>
                </c:pt>
                <c:pt idx="501">
                  <c:v>37028</c:v>
                </c:pt>
                <c:pt idx="502">
                  <c:v>37029</c:v>
                </c:pt>
                <c:pt idx="503">
                  <c:v>37030</c:v>
                </c:pt>
                <c:pt idx="504">
                  <c:v>37031</c:v>
                </c:pt>
                <c:pt idx="505">
                  <c:v>37032</c:v>
                </c:pt>
                <c:pt idx="506">
                  <c:v>37033</c:v>
                </c:pt>
                <c:pt idx="507">
                  <c:v>37034</c:v>
                </c:pt>
                <c:pt idx="508">
                  <c:v>37035</c:v>
                </c:pt>
                <c:pt idx="509">
                  <c:v>37036</c:v>
                </c:pt>
                <c:pt idx="510">
                  <c:v>37037</c:v>
                </c:pt>
                <c:pt idx="511">
                  <c:v>37038</c:v>
                </c:pt>
                <c:pt idx="512">
                  <c:v>37039</c:v>
                </c:pt>
                <c:pt idx="513">
                  <c:v>37040</c:v>
                </c:pt>
                <c:pt idx="514">
                  <c:v>37041</c:v>
                </c:pt>
                <c:pt idx="515">
                  <c:v>37042</c:v>
                </c:pt>
                <c:pt idx="516">
                  <c:v>37043</c:v>
                </c:pt>
                <c:pt idx="517">
                  <c:v>37044</c:v>
                </c:pt>
                <c:pt idx="518">
                  <c:v>37045</c:v>
                </c:pt>
                <c:pt idx="519">
                  <c:v>37046</c:v>
                </c:pt>
                <c:pt idx="520">
                  <c:v>37047</c:v>
                </c:pt>
                <c:pt idx="521">
                  <c:v>37048</c:v>
                </c:pt>
                <c:pt idx="522">
                  <c:v>37049</c:v>
                </c:pt>
                <c:pt idx="523">
                  <c:v>37050</c:v>
                </c:pt>
                <c:pt idx="524">
                  <c:v>37051</c:v>
                </c:pt>
                <c:pt idx="525">
                  <c:v>37052</c:v>
                </c:pt>
                <c:pt idx="526">
                  <c:v>37053</c:v>
                </c:pt>
                <c:pt idx="527">
                  <c:v>37054</c:v>
                </c:pt>
                <c:pt idx="528">
                  <c:v>37055</c:v>
                </c:pt>
                <c:pt idx="529">
                  <c:v>37056</c:v>
                </c:pt>
                <c:pt idx="530">
                  <c:v>37057</c:v>
                </c:pt>
                <c:pt idx="531">
                  <c:v>37058</c:v>
                </c:pt>
                <c:pt idx="532">
                  <c:v>37059</c:v>
                </c:pt>
                <c:pt idx="533">
                  <c:v>37060</c:v>
                </c:pt>
                <c:pt idx="534">
                  <c:v>37061</c:v>
                </c:pt>
                <c:pt idx="535">
                  <c:v>37062</c:v>
                </c:pt>
                <c:pt idx="536">
                  <c:v>37063</c:v>
                </c:pt>
                <c:pt idx="537">
                  <c:v>37064</c:v>
                </c:pt>
                <c:pt idx="538">
                  <c:v>37065</c:v>
                </c:pt>
                <c:pt idx="539">
                  <c:v>37066</c:v>
                </c:pt>
                <c:pt idx="540">
                  <c:v>37067</c:v>
                </c:pt>
                <c:pt idx="541">
                  <c:v>37068</c:v>
                </c:pt>
                <c:pt idx="542">
                  <c:v>37069</c:v>
                </c:pt>
                <c:pt idx="543">
                  <c:v>37070</c:v>
                </c:pt>
                <c:pt idx="544">
                  <c:v>37071</c:v>
                </c:pt>
                <c:pt idx="545">
                  <c:v>37072</c:v>
                </c:pt>
                <c:pt idx="546">
                  <c:v>37073</c:v>
                </c:pt>
                <c:pt idx="547">
                  <c:v>37074</c:v>
                </c:pt>
                <c:pt idx="548">
                  <c:v>37075</c:v>
                </c:pt>
                <c:pt idx="549">
                  <c:v>37076</c:v>
                </c:pt>
                <c:pt idx="550">
                  <c:v>37077</c:v>
                </c:pt>
                <c:pt idx="551">
                  <c:v>37078</c:v>
                </c:pt>
                <c:pt idx="552">
                  <c:v>37079</c:v>
                </c:pt>
                <c:pt idx="553">
                  <c:v>37080</c:v>
                </c:pt>
                <c:pt idx="554">
                  <c:v>37081</c:v>
                </c:pt>
                <c:pt idx="555">
                  <c:v>37082</c:v>
                </c:pt>
                <c:pt idx="556">
                  <c:v>37083</c:v>
                </c:pt>
                <c:pt idx="557">
                  <c:v>37084</c:v>
                </c:pt>
                <c:pt idx="558">
                  <c:v>37085</c:v>
                </c:pt>
                <c:pt idx="559">
                  <c:v>37086</c:v>
                </c:pt>
                <c:pt idx="560">
                  <c:v>37087</c:v>
                </c:pt>
                <c:pt idx="561">
                  <c:v>37088</c:v>
                </c:pt>
                <c:pt idx="562">
                  <c:v>37089</c:v>
                </c:pt>
                <c:pt idx="563">
                  <c:v>37090</c:v>
                </c:pt>
                <c:pt idx="564">
                  <c:v>37091</c:v>
                </c:pt>
                <c:pt idx="565">
                  <c:v>37092</c:v>
                </c:pt>
                <c:pt idx="566">
                  <c:v>37093</c:v>
                </c:pt>
                <c:pt idx="567">
                  <c:v>37094</c:v>
                </c:pt>
                <c:pt idx="568">
                  <c:v>37095</c:v>
                </c:pt>
                <c:pt idx="569">
                  <c:v>37096</c:v>
                </c:pt>
                <c:pt idx="570">
                  <c:v>37097</c:v>
                </c:pt>
                <c:pt idx="571">
                  <c:v>37098</c:v>
                </c:pt>
                <c:pt idx="572">
                  <c:v>37099</c:v>
                </c:pt>
                <c:pt idx="573">
                  <c:v>37100</c:v>
                </c:pt>
                <c:pt idx="574">
                  <c:v>37101</c:v>
                </c:pt>
                <c:pt idx="575">
                  <c:v>37102</c:v>
                </c:pt>
                <c:pt idx="576">
                  <c:v>37103</c:v>
                </c:pt>
                <c:pt idx="577">
                  <c:v>37104</c:v>
                </c:pt>
                <c:pt idx="578">
                  <c:v>37105</c:v>
                </c:pt>
                <c:pt idx="579">
                  <c:v>37106</c:v>
                </c:pt>
                <c:pt idx="580">
                  <c:v>37107</c:v>
                </c:pt>
                <c:pt idx="581">
                  <c:v>37108</c:v>
                </c:pt>
                <c:pt idx="582">
                  <c:v>37109</c:v>
                </c:pt>
                <c:pt idx="583">
                  <c:v>37110</c:v>
                </c:pt>
                <c:pt idx="584">
                  <c:v>37111</c:v>
                </c:pt>
                <c:pt idx="585">
                  <c:v>37112</c:v>
                </c:pt>
                <c:pt idx="586">
                  <c:v>37113</c:v>
                </c:pt>
                <c:pt idx="587">
                  <c:v>37114</c:v>
                </c:pt>
                <c:pt idx="588">
                  <c:v>37115</c:v>
                </c:pt>
                <c:pt idx="589">
                  <c:v>37116</c:v>
                </c:pt>
                <c:pt idx="590">
                  <c:v>37117</c:v>
                </c:pt>
                <c:pt idx="591">
                  <c:v>37118</c:v>
                </c:pt>
                <c:pt idx="592">
                  <c:v>37119</c:v>
                </c:pt>
                <c:pt idx="593">
                  <c:v>37120</c:v>
                </c:pt>
                <c:pt idx="594">
                  <c:v>37121</c:v>
                </c:pt>
                <c:pt idx="595">
                  <c:v>37122</c:v>
                </c:pt>
                <c:pt idx="596">
                  <c:v>37123</c:v>
                </c:pt>
                <c:pt idx="597">
                  <c:v>37124</c:v>
                </c:pt>
                <c:pt idx="598">
                  <c:v>37125</c:v>
                </c:pt>
                <c:pt idx="599">
                  <c:v>37126</c:v>
                </c:pt>
                <c:pt idx="600">
                  <c:v>37127</c:v>
                </c:pt>
                <c:pt idx="601">
                  <c:v>37128</c:v>
                </c:pt>
                <c:pt idx="602">
                  <c:v>37129</c:v>
                </c:pt>
                <c:pt idx="603">
                  <c:v>37130</c:v>
                </c:pt>
                <c:pt idx="604">
                  <c:v>37131</c:v>
                </c:pt>
                <c:pt idx="605">
                  <c:v>37132</c:v>
                </c:pt>
                <c:pt idx="606">
                  <c:v>37133</c:v>
                </c:pt>
                <c:pt idx="607">
                  <c:v>37134</c:v>
                </c:pt>
                <c:pt idx="608">
                  <c:v>37135</c:v>
                </c:pt>
                <c:pt idx="609">
                  <c:v>37136</c:v>
                </c:pt>
                <c:pt idx="610">
                  <c:v>37137</c:v>
                </c:pt>
                <c:pt idx="611">
                  <c:v>37138</c:v>
                </c:pt>
                <c:pt idx="612">
                  <c:v>37139</c:v>
                </c:pt>
                <c:pt idx="613">
                  <c:v>37140</c:v>
                </c:pt>
                <c:pt idx="614">
                  <c:v>37141</c:v>
                </c:pt>
                <c:pt idx="615">
                  <c:v>37142</c:v>
                </c:pt>
                <c:pt idx="616">
                  <c:v>37143</c:v>
                </c:pt>
                <c:pt idx="617">
                  <c:v>37144</c:v>
                </c:pt>
                <c:pt idx="618">
                  <c:v>37145</c:v>
                </c:pt>
                <c:pt idx="619">
                  <c:v>37146</c:v>
                </c:pt>
                <c:pt idx="620">
                  <c:v>37147</c:v>
                </c:pt>
                <c:pt idx="621">
                  <c:v>37148</c:v>
                </c:pt>
                <c:pt idx="622">
                  <c:v>37149</c:v>
                </c:pt>
                <c:pt idx="623">
                  <c:v>37150</c:v>
                </c:pt>
                <c:pt idx="624">
                  <c:v>37151</c:v>
                </c:pt>
                <c:pt idx="625">
                  <c:v>37152</c:v>
                </c:pt>
                <c:pt idx="626">
                  <c:v>37153</c:v>
                </c:pt>
                <c:pt idx="627">
                  <c:v>37154</c:v>
                </c:pt>
                <c:pt idx="628">
                  <c:v>37155</c:v>
                </c:pt>
                <c:pt idx="629">
                  <c:v>37156</c:v>
                </c:pt>
                <c:pt idx="630">
                  <c:v>37157</c:v>
                </c:pt>
                <c:pt idx="631">
                  <c:v>37158</c:v>
                </c:pt>
                <c:pt idx="632">
                  <c:v>37159</c:v>
                </c:pt>
                <c:pt idx="633">
                  <c:v>37160</c:v>
                </c:pt>
                <c:pt idx="634">
                  <c:v>37161</c:v>
                </c:pt>
                <c:pt idx="635">
                  <c:v>37162</c:v>
                </c:pt>
                <c:pt idx="636">
                  <c:v>37163</c:v>
                </c:pt>
                <c:pt idx="637">
                  <c:v>37164</c:v>
                </c:pt>
                <c:pt idx="638">
                  <c:v>37165</c:v>
                </c:pt>
                <c:pt idx="639">
                  <c:v>37166</c:v>
                </c:pt>
                <c:pt idx="640">
                  <c:v>37167</c:v>
                </c:pt>
                <c:pt idx="641">
                  <c:v>37168</c:v>
                </c:pt>
                <c:pt idx="642">
                  <c:v>37169</c:v>
                </c:pt>
                <c:pt idx="643">
                  <c:v>37170</c:v>
                </c:pt>
                <c:pt idx="644">
                  <c:v>37171</c:v>
                </c:pt>
                <c:pt idx="645">
                  <c:v>37172</c:v>
                </c:pt>
                <c:pt idx="646">
                  <c:v>37173</c:v>
                </c:pt>
                <c:pt idx="647">
                  <c:v>37174</c:v>
                </c:pt>
                <c:pt idx="648">
                  <c:v>37175</c:v>
                </c:pt>
                <c:pt idx="649">
                  <c:v>37176</c:v>
                </c:pt>
                <c:pt idx="650">
                  <c:v>37177</c:v>
                </c:pt>
                <c:pt idx="651">
                  <c:v>37178</c:v>
                </c:pt>
                <c:pt idx="652">
                  <c:v>37179</c:v>
                </c:pt>
                <c:pt idx="653">
                  <c:v>37180</c:v>
                </c:pt>
                <c:pt idx="654">
                  <c:v>37181</c:v>
                </c:pt>
                <c:pt idx="655">
                  <c:v>37182</c:v>
                </c:pt>
                <c:pt idx="656">
                  <c:v>37183</c:v>
                </c:pt>
                <c:pt idx="657">
                  <c:v>37184</c:v>
                </c:pt>
                <c:pt idx="658">
                  <c:v>37185</c:v>
                </c:pt>
                <c:pt idx="659">
                  <c:v>37186</c:v>
                </c:pt>
                <c:pt idx="660">
                  <c:v>37187</c:v>
                </c:pt>
                <c:pt idx="661">
                  <c:v>37188</c:v>
                </c:pt>
                <c:pt idx="662">
                  <c:v>37189</c:v>
                </c:pt>
                <c:pt idx="663">
                  <c:v>37190</c:v>
                </c:pt>
                <c:pt idx="664">
                  <c:v>37191</c:v>
                </c:pt>
                <c:pt idx="665">
                  <c:v>37192</c:v>
                </c:pt>
                <c:pt idx="666">
                  <c:v>37193</c:v>
                </c:pt>
                <c:pt idx="667">
                  <c:v>37194</c:v>
                </c:pt>
                <c:pt idx="668">
                  <c:v>37195</c:v>
                </c:pt>
                <c:pt idx="669">
                  <c:v>37196</c:v>
                </c:pt>
                <c:pt idx="670">
                  <c:v>37197</c:v>
                </c:pt>
                <c:pt idx="671">
                  <c:v>37198</c:v>
                </c:pt>
                <c:pt idx="672">
                  <c:v>37199</c:v>
                </c:pt>
                <c:pt idx="673">
                  <c:v>37200</c:v>
                </c:pt>
                <c:pt idx="674">
                  <c:v>37201</c:v>
                </c:pt>
                <c:pt idx="675">
                  <c:v>37202</c:v>
                </c:pt>
                <c:pt idx="676">
                  <c:v>37203</c:v>
                </c:pt>
                <c:pt idx="677">
                  <c:v>37204</c:v>
                </c:pt>
                <c:pt idx="678">
                  <c:v>37205</c:v>
                </c:pt>
                <c:pt idx="679">
                  <c:v>37206</c:v>
                </c:pt>
                <c:pt idx="680">
                  <c:v>37207</c:v>
                </c:pt>
                <c:pt idx="681">
                  <c:v>37208</c:v>
                </c:pt>
                <c:pt idx="682">
                  <c:v>37209</c:v>
                </c:pt>
                <c:pt idx="683">
                  <c:v>37210</c:v>
                </c:pt>
                <c:pt idx="684">
                  <c:v>37211</c:v>
                </c:pt>
                <c:pt idx="685">
                  <c:v>37212</c:v>
                </c:pt>
                <c:pt idx="686">
                  <c:v>37213</c:v>
                </c:pt>
                <c:pt idx="687">
                  <c:v>37214</c:v>
                </c:pt>
                <c:pt idx="688">
                  <c:v>37215</c:v>
                </c:pt>
                <c:pt idx="689">
                  <c:v>37216</c:v>
                </c:pt>
                <c:pt idx="690">
                  <c:v>37217</c:v>
                </c:pt>
                <c:pt idx="691">
                  <c:v>37218</c:v>
                </c:pt>
                <c:pt idx="692">
                  <c:v>37219</c:v>
                </c:pt>
                <c:pt idx="693">
                  <c:v>37220</c:v>
                </c:pt>
                <c:pt idx="694">
                  <c:v>37221</c:v>
                </c:pt>
                <c:pt idx="695">
                  <c:v>37222</c:v>
                </c:pt>
                <c:pt idx="696">
                  <c:v>37223</c:v>
                </c:pt>
                <c:pt idx="697">
                  <c:v>37224</c:v>
                </c:pt>
                <c:pt idx="698">
                  <c:v>37225</c:v>
                </c:pt>
                <c:pt idx="699">
                  <c:v>37226</c:v>
                </c:pt>
                <c:pt idx="700">
                  <c:v>37227</c:v>
                </c:pt>
                <c:pt idx="701">
                  <c:v>37228</c:v>
                </c:pt>
                <c:pt idx="702">
                  <c:v>37229</c:v>
                </c:pt>
                <c:pt idx="703">
                  <c:v>37230</c:v>
                </c:pt>
                <c:pt idx="704">
                  <c:v>37231</c:v>
                </c:pt>
                <c:pt idx="705">
                  <c:v>37232</c:v>
                </c:pt>
                <c:pt idx="706">
                  <c:v>37233</c:v>
                </c:pt>
                <c:pt idx="707">
                  <c:v>37234</c:v>
                </c:pt>
                <c:pt idx="708">
                  <c:v>37235</c:v>
                </c:pt>
                <c:pt idx="709">
                  <c:v>37236</c:v>
                </c:pt>
                <c:pt idx="710">
                  <c:v>37237</c:v>
                </c:pt>
                <c:pt idx="711">
                  <c:v>37238</c:v>
                </c:pt>
                <c:pt idx="712">
                  <c:v>37239</c:v>
                </c:pt>
                <c:pt idx="713">
                  <c:v>37240</c:v>
                </c:pt>
                <c:pt idx="714">
                  <c:v>37241</c:v>
                </c:pt>
                <c:pt idx="715">
                  <c:v>37242</c:v>
                </c:pt>
                <c:pt idx="716">
                  <c:v>37243</c:v>
                </c:pt>
                <c:pt idx="717">
                  <c:v>37244</c:v>
                </c:pt>
                <c:pt idx="718">
                  <c:v>37245</c:v>
                </c:pt>
                <c:pt idx="719">
                  <c:v>37246</c:v>
                </c:pt>
                <c:pt idx="720">
                  <c:v>37247</c:v>
                </c:pt>
                <c:pt idx="721">
                  <c:v>37248</c:v>
                </c:pt>
                <c:pt idx="722">
                  <c:v>37249</c:v>
                </c:pt>
                <c:pt idx="723">
                  <c:v>37250</c:v>
                </c:pt>
                <c:pt idx="724">
                  <c:v>37251</c:v>
                </c:pt>
                <c:pt idx="725">
                  <c:v>37252</c:v>
                </c:pt>
                <c:pt idx="726">
                  <c:v>37253</c:v>
                </c:pt>
                <c:pt idx="727">
                  <c:v>37254</c:v>
                </c:pt>
                <c:pt idx="728">
                  <c:v>37255</c:v>
                </c:pt>
                <c:pt idx="729">
                  <c:v>37256</c:v>
                </c:pt>
                <c:pt idx="730">
                  <c:v>37257</c:v>
                </c:pt>
                <c:pt idx="731">
                  <c:v>37258</c:v>
                </c:pt>
                <c:pt idx="732">
                  <c:v>37259</c:v>
                </c:pt>
                <c:pt idx="733">
                  <c:v>37260</c:v>
                </c:pt>
                <c:pt idx="734">
                  <c:v>37261</c:v>
                </c:pt>
                <c:pt idx="735">
                  <c:v>37262</c:v>
                </c:pt>
                <c:pt idx="736">
                  <c:v>37263</c:v>
                </c:pt>
                <c:pt idx="737">
                  <c:v>37264</c:v>
                </c:pt>
                <c:pt idx="738">
                  <c:v>37265</c:v>
                </c:pt>
                <c:pt idx="739">
                  <c:v>37266</c:v>
                </c:pt>
                <c:pt idx="740">
                  <c:v>37267</c:v>
                </c:pt>
                <c:pt idx="741">
                  <c:v>37268</c:v>
                </c:pt>
                <c:pt idx="742">
                  <c:v>37269</c:v>
                </c:pt>
                <c:pt idx="743">
                  <c:v>37270</c:v>
                </c:pt>
                <c:pt idx="744">
                  <c:v>37271</c:v>
                </c:pt>
                <c:pt idx="745">
                  <c:v>37272</c:v>
                </c:pt>
                <c:pt idx="746">
                  <c:v>37273</c:v>
                </c:pt>
                <c:pt idx="747">
                  <c:v>37274</c:v>
                </c:pt>
                <c:pt idx="748">
                  <c:v>37275</c:v>
                </c:pt>
                <c:pt idx="749">
                  <c:v>37276</c:v>
                </c:pt>
                <c:pt idx="750">
                  <c:v>37277</c:v>
                </c:pt>
                <c:pt idx="751">
                  <c:v>37278</c:v>
                </c:pt>
                <c:pt idx="752">
                  <c:v>37279</c:v>
                </c:pt>
                <c:pt idx="753">
                  <c:v>37280</c:v>
                </c:pt>
                <c:pt idx="754">
                  <c:v>37281</c:v>
                </c:pt>
                <c:pt idx="755">
                  <c:v>37282</c:v>
                </c:pt>
                <c:pt idx="756">
                  <c:v>37283</c:v>
                </c:pt>
                <c:pt idx="757">
                  <c:v>37284</c:v>
                </c:pt>
                <c:pt idx="758">
                  <c:v>37285</c:v>
                </c:pt>
                <c:pt idx="759">
                  <c:v>37286</c:v>
                </c:pt>
                <c:pt idx="760">
                  <c:v>37287</c:v>
                </c:pt>
                <c:pt idx="761">
                  <c:v>37288</c:v>
                </c:pt>
                <c:pt idx="762">
                  <c:v>37289</c:v>
                </c:pt>
                <c:pt idx="763">
                  <c:v>37290</c:v>
                </c:pt>
                <c:pt idx="764">
                  <c:v>37291</c:v>
                </c:pt>
                <c:pt idx="765">
                  <c:v>37292</c:v>
                </c:pt>
                <c:pt idx="766">
                  <c:v>37293</c:v>
                </c:pt>
                <c:pt idx="767">
                  <c:v>37294</c:v>
                </c:pt>
                <c:pt idx="768">
                  <c:v>37295</c:v>
                </c:pt>
                <c:pt idx="769">
                  <c:v>37296</c:v>
                </c:pt>
                <c:pt idx="770">
                  <c:v>37297</c:v>
                </c:pt>
                <c:pt idx="771">
                  <c:v>37298</c:v>
                </c:pt>
                <c:pt idx="772">
                  <c:v>37299</c:v>
                </c:pt>
                <c:pt idx="773">
                  <c:v>37300</c:v>
                </c:pt>
                <c:pt idx="774">
                  <c:v>37301</c:v>
                </c:pt>
                <c:pt idx="775">
                  <c:v>37302</c:v>
                </c:pt>
                <c:pt idx="776">
                  <c:v>37303</c:v>
                </c:pt>
                <c:pt idx="777">
                  <c:v>37304</c:v>
                </c:pt>
                <c:pt idx="778">
                  <c:v>37305</c:v>
                </c:pt>
                <c:pt idx="779">
                  <c:v>37306</c:v>
                </c:pt>
                <c:pt idx="780">
                  <c:v>37307</c:v>
                </c:pt>
                <c:pt idx="781">
                  <c:v>37308</c:v>
                </c:pt>
                <c:pt idx="782">
                  <c:v>37309</c:v>
                </c:pt>
                <c:pt idx="783">
                  <c:v>37310</c:v>
                </c:pt>
                <c:pt idx="784">
                  <c:v>37311</c:v>
                </c:pt>
                <c:pt idx="785">
                  <c:v>37312</c:v>
                </c:pt>
                <c:pt idx="786">
                  <c:v>37313</c:v>
                </c:pt>
                <c:pt idx="787">
                  <c:v>37314</c:v>
                </c:pt>
                <c:pt idx="788">
                  <c:v>37315</c:v>
                </c:pt>
                <c:pt idx="789">
                  <c:v>37316</c:v>
                </c:pt>
                <c:pt idx="790">
                  <c:v>37317</c:v>
                </c:pt>
                <c:pt idx="791">
                  <c:v>37318</c:v>
                </c:pt>
                <c:pt idx="792">
                  <c:v>37319</c:v>
                </c:pt>
                <c:pt idx="793">
                  <c:v>37320</c:v>
                </c:pt>
                <c:pt idx="794">
                  <c:v>37321</c:v>
                </c:pt>
                <c:pt idx="795">
                  <c:v>37322</c:v>
                </c:pt>
                <c:pt idx="796">
                  <c:v>37323</c:v>
                </c:pt>
                <c:pt idx="797">
                  <c:v>37324</c:v>
                </c:pt>
                <c:pt idx="798">
                  <c:v>37325</c:v>
                </c:pt>
                <c:pt idx="799">
                  <c:v>37326</c:v>
                </c:pt>
                <c:pt idx="800">
                  <c:v>37327</c:v>
                </c:pt>
                <c:pt idx="801">
                  <c:v>37328</c:v>
                </c:pt>
                <c:pt idx="802">
                  <c:v>37329</c:v>
                </c:pt>
                <c:pt idx="803">
                  <c:v>37330</c:v>
                </c:pt>
                <c:pt idx="804">
                  <c:v>37331</c:v>
                </c:pt>
                <c:pt idx="805">
                  <c:v>37332</c:v>
                </c:pt>
                <c:pt idx="806">
                  <c:v>37333</c:v>
                </c:pt>
                <c:pt idx="807">
                  <c:v>37334</c:v>
                </c:pt>
                <c:pt idx="808">
                  <c:v>37335</c:v>
                </c:pt>
                <c:pt idx="809">
                  <c:v>37336</c:v>
                </c:pt>
                <c:pt idx="810">
                  <c:v>37337</c:v>
                </c:pt>
                <c:pt idx="811">
                  <c:v>37338</c:v>
                </c:pt>
                <c:pt idx="812">
                  <c:v>37339</c:v>
                </c:pt>
                <c:pt idx="813">
                  <c:v>37340</c:v>
                </c:pt>
                <c:pt idx="814">
                  <c:v>37341</c:v>
                </c:pt>
                <c:pt idx="815">
                  <c:v>37342</c:v>
                </c:pt>
                <c:pt idx="816">
                  <c:v>37343</c:v>
                </c:pt>
                <c:pt idx="817">
                  <c:v>37344</c:v>
                </c:pt>
                <c:pt idx="818">
                  <c:v>37345</c:v>
                </c:pt>
                <c:pt idx="819">
                  <c:v>37346</c:v>
                </c:pt>
                <c:pt idx="820">
                  <c:v>37347</c:v>
                </c:pt>
                <c:pt idx="821">
                  <c:v>37348</c:v>
                </c:pt>
                <c:pt idx="822">
                  <c:v>37349</c:v>
                </c:pt>
                <c:pt idx="823">
                  <c:v>37350</c:v>
                </c:pt>
                <c:pt idx="824">
                  <c:v>37351</c:v>
                </c:pt>
                <c:pt idx="825">
                  <c:v>37352</c:v>
                </c:pt>
                <c:pt idx="826">
                  <c:v>37353</c:v>
                </c:pt>
                <c:pt idx="827">
                  <c:v>37354</c:v>
                </c:pt>
                <c:pt idx="828">
                  <c:v>37355</c:v>
                </c:pt>
                <c:pt idx="829">
                  <c:v>37356</c:v>
                </c:pt>
                <c:pt idx="830">
                  <c:v>37357</c:v>
                </c:pt>
                <c:pt idx="831">
                  <c:v>37358</c:v>
                </c:pt>
                <c:pt idx="832">
                  <c:v>37359</c:v>
                </c:pt>
                <c:pt idx="833">
                  <c:v>37360</c:v>
                </c:pt>
                <c:pt idx="834">
                  <c:v>37361</c:v>
                </c:pt>
                <c:pt idx="835">
                  <c:v>37362</c:v>
                </c:pt>
                <c:pt idx="836">
                  <c:v>37363</c:v>
                </c:pt>
                <c:pt idx="837">
                  <c:v>37364</c:v>
                </c:pt>
                <c:pt idx="838">
                  <c:v>37365</c:v>
                </c:pt>
                <c:pt idx="839">
                  <c:v>37366</c:v>
                </c:pt>
                <c:pt idx="840">
                  <c:v>37367</c:v>
                </c:pt>
                <c:pt idx="841">
                  <c:v>37368</c:v>
                </c:pt>
                <c:pt idx="842">
                  <c:v>37369</c:v>
                </c:pt>
                <c:pt idx="843">
                  <c:v>37370</c:v>
                </c:pt>
                <c:pt idx="844">
                  <c:v>37371</c:v>
                </c:pt>
                <c:pt idx="845">
                  <c:v>37372</c:v>
                </c:pt>
                <c:pt idx="846">
                  <c:v>37373</c:v>
                </c:pt>
                <c:pt idx="847">
                  <c:v>37374</c:v>
                </c:pt>
                <c:pt idx="848">
                  <c:v>37375</c:v>
                </c:pt>
                <c:pt idx="849">
                  <c:v>37376</c:v>
                </c:pt>
                <c:pt idx="850">
                  <c:v>37377</c:v>
                </c:pt>
                <c:pt idx="851">
                  <c:v>37378</c:v>
                </c:pt>
                <c:pt idx="852">
                  <c:v>37379</c:v>
                </c:pt>
                <c:pt idx="853">
                  <c:v>37380</c:v>
                </c:pt>
                <c:pt idx="854">
                  <c:v>37381</c:v>
                </c:pt>
                <c:pt idx="855">
                  <c:v>37382</c:v>
                </c:pt>
                <c:pt idx="856">
                  <c:v>37383</c:v>
                </c:pt>
                <c:pt idx="857">
                  <c:v>37384</c:v>
                </c:pt>
                <c:pt idx="858">
                  <c:v>37385</c:v>
                </c:pt>
                <c:pt idx="859">
                  <c:v>37386</c:v>
                </c:pt>
                <c:pt idx="860">
                  <c:v>37387</c:v>
                </c:pt>
                <c:pt idx="861">
                  <c:v>37388</c:v>
                </c:pt>
                <c:pt idx="862">
                  <c:v>37389</c:v>
                </c:pt>
                <c:pt idx="863">
                  <c:v>37390</c:v>
                </c:pt>
                <c:pt idx="864">
                  <c:v>37391</c:v>
                </c:pt>
                <c:pt idx="865">
                  <c:v>37392</c:v>
                </c:pt>
                <c:pt idx="866">
                  <c:v>37393</c:v>
                </c:pt>
                <c:pt idx="867">
                  <c:v>37394</c:v>
                </c:pt>
                <c:pt idx="868">
                  <c:v>37395</c:v>
                </c:pt>
                <c:pt idx="869">
                  <c:v>37396</c:v>
                </c:pt>
                <c:pt idx="870">
                  <c:v>37397</c:v>
                </c:pt>
                <c:pt idx="871">
                  <c:v>37398</c:v>
                </c:pt>
                <c:pt idx="872">
                  <c:v>37399</c:v>
                </c:pt>
                <c:pt idx="873">
                  <c:v>37400</c:v>
                </c:pt>
                <c:pt idx="874">
                  <c:v>37401</c:v>
                </c:pt>
                <c:pt idx="875">
                  <c:v>37402</c:v>
                </c:pt>
                <c:pt idx="876">
                  <c:v>37403</c:v>
                </c:pt>
                <c:pt idx="877">
                  <c:v>37404</c:v>
                </c:pt>
                <c:pt idx="878">
                  <c:v>37405</c:v>
                </c:pt>
                <c:pt idx="879">
                  <c:v>37406</c:v>
                </c:pt>
                <c:pt idx="880">
                  <c:v>37407</c:v>
                </c:pt>
                <c:pt idx="881">
                  <c:v>37408</c:v>
                </c:pt>
                <c:pt idx="882">
                  <c:v>37409</c:v>
                </c:pt>
                <c:pt idx="883">
                  <c:v>37410</c:v>
                </c:pt>
                <c:pt idx="884">
                  <c:v>37411</c:v>
                </c:pt>
                <c:pt idx="885">
                  <c:v>37412</c:v>
                </c:pt>
                <c:pt idx="886">
                  <c:v>37413</c:v>
                </c:pt>
                <c:pt idx="887">
                  <c:v>37414</c:v>
                </c:pt>
                <c:pt idx="888">
                  <c:v>37415</c:v>
                </c:pt>
                <c:pt idx="889">
                  <c:v>37416</c:v>
                </c:pt>
                <c:pt idx="890">
                  <c:v>37417</c:v>
                </c:pt>
                <c:pt idx="891">
                  <c:v>37418</c:v>
                </c:pt>
                <c:pt idx="892">
                  <c:v>37419</c:v>
                </c:pt>
                <c:pt idx="893">
                  <c:v>37420</c:v>
                </c:pt>
                <c:pt idx="894">
                  <c:v>37421</c:v>
                </c:pt>
                <c:pt idx="895">
                  <c:v>37422</c:v>
                </c:pt>
                <c:pt idx="896">
                  <c:v>37423</c:v>
                </c:pt>
                <c:pt idx="897">
                  <c:v>37424</c:v>
                </c:pt>
                <c:pt idx="898">
                  <c:v>37425</c:v>
                </c:pt>
                <c:pt idx="899">
                  <c:v>37426</c:v>
                </c:pt>
                <c:pt idx="900">
                  <c:v>37427</c:v>
                </c:pt>
                <c:pt idx="901">
                  <c:v>37428</c:v>
                </c:pt>
                <c:pt idx="902">
                  <c:v>37429</c:v>
                </c:pt>
                <c:pt idx="903">
                  <c:v>37430</c:v>
                </c:pt>
                <c:pt idx="904">
                  <c:v>37431</c:v>
                </c:pt>
                <c:pt idx="905">
                  <c:v>37432</c:v>
                </c:pt>
                <c:pt idx="906">
                  <c:v>37433</c:v>
                </c:pt>
                <c:pt idx="907">
                  <c:v>37434</c:v>
                </c:pt>
                <c:pt idx="908">
                  <c:v>37435</c:v>
                </c:pt>
                <c:pt idx="909">
                  <c:v>37436</c:v>
                </c:pt>
                <c:pt idx="910">
                  <c:v>37437</c:v>
                </c:pt>
                <c:pt idx="911">
                  <c:v>37438</c:v>
                </c:pt>
                <c:pt idx="912">
                  <c:v>37439</c:v>
                </c:pt>
                <c:pt idx="913">
                  <c:v>37440</c:v>
                </c:pt>
                <c:pt idx="914">
                  <c:v>37441</c:v>
                </c:pt>
                <c:pt idx="915">
                  <c:v>37442</c:v>
                </c:pt>
                <c:pt idx="916">
                  <c:v>37443</c:v>
                </c:pt>
                <c:pt idx="917">
                  <c:v>37444</c:v>
                </c:pt>
                <c:pt idx="918">
                  <c:v>37445</c:v>
                </c:pt>
                <c:pt idx="919">
                  <c:v>37446</c:v>
                </c:pt>
                <c:pt idx="920">
                  <c:v>37447</c:v>
                </c:pt>
                <c:pt idx="921">
                  <c:v>37448</c:v>
                </c:pt>
                <c:pt idx="922">
                  <c:v>37449</c:v>
                </c:pt>
                <c:pt idx="923">
                  <c:v>37450</c:v>
                </c:pt>
                <c:pt idx="924">
                  <c:v>37451</c:v>
                </c:pt>
                <c:pt idx="925">
                  <c:v>37452</c:v>
                </c:pt>
                <c:pt idx="926">
                  <c:v>37453</c:v>
                </c:pt>
                <c:pt idx="927">
                  <c:v>37454</c:v>
                </c:pt>
                <c:pt idx="928">
                  <c:v>37455</c:v>
                </c:pt>
                <c:pt idx="929">
                  <c:v>37456</c:v>
                </c:pt>
                <c:pt idx="930">
                  <c:v>37457</c:v>
                </c:pt>
                <c:pt idx="931">
                  <c:v>37458</c:v>
                </c:pt>
                <c:pt idx="932">
                  <c:v>37459</c:v>
                </c:pt>
                <c:pt idx="933">
                  <c:v>37460</c:v>
                </c:pt>
                <c:pt idx="934">
                  <c:v>37461</c:v>
                </c:pt>
                <c:pt idx="935">
                  <c:v>37462</c:v>
                </c:pt>
                <c:pt idx="936">
                  <c:v>37463</c:v>
                </c:pt>
                <c:pt idx="937">
                  <c:v>37464</c:v>
                </c:pt>
                <c:pt idx="938">
                  <c:v>37465</c:v>
                </c:pt>
                <c:pt idx="939">
                  <c:v>37466</c:v>
                </c:pt>
                <c:pt idx="940">
                  <c:v>37467</c:v>
                </c:pt>
                <c:pt idx="941">
                  <c:v>37468</c:v>
                </c:pt>
                <c:pt idx="942">
                  <c:v>37469</c:v>
                </c:pt>
                <c:pt idx="943">
                  <c:v>37470</c:v>
                </c:pt>
                <c:pt idx="944">
                  <c:v>37471</c:v>
                </c:pt>
                <c:pt idx="945">
                  <c:v>37472</c:v>
                </c:pt>
                <c:pt idx="946">
                  <c:v>37473</c:v>
                </c:pt>
                <c:pt idx="947">
                  <c:v>37474</c:v>
                </c:pt>
                <c:pt idx="948">
                  <c:v>37475</c:v>
                </c:pt>
                <c:pt idx="949">
                  <c:v>37476</c:v>
                </c:pt>
                <c:pt idx="950">
                  <c:v>37477</c:v>
                </c:pt>
                <c:pt idx="951">
                  <c:v>37478</c:v>
                </c:pt>
                <c:pt idx="952">
                  <c:v>37479</c:v>
                </c:pt>
                <c:pt idx="953">
                  <c:v>37480</c:v>
                </c:pt>
                <c:pt idx="954">
                  <c:v>37481</c:v>
                </c:pt>
                <c:pt idx="955">
                  <c:v>37482</c:v>
                </c:pt>
                <c:pt idx="956">
                  <c:v>37483</c:v>
                </c:pt>
                <c:pt idx="957">
                  <c:v>37484</c:v>
                </c:pt>
                <c:pt idx="958">
                  <c:v>37485</c:v>
                </c:pt>
                <c:pt idx="959">
                  <c:v>37486</c:v>
                </c:pt>
                <c:pt idx="960">
                  <c:v>37487</c:v>
                </c:pt>
                <c:pt idx="961">
                  <c:v>37488</c:v>
                </c:pt>
                <c:pt idx="962">
                  <c:v>37489</c:v>
                </c:pt>
                <c:pt idx="963">
                  <c:v>37490</c:v>
                </c:pt>
                <c:pt idx="964">
                  <c:v>37491</c:v>
                </c:pt>
                <c:pt idx="965">
                  <c:v>37492</c:v>
                </c:pt>
                <c:pt idx="966">
                  <c:v>37493</c:v>
                </c:pt>
                <c:pt idx="967">
                  <c:v>37494</c:v>
                </c:pt>
                <c:pt idx="968">
                  <c:v>37495</c:v>
                </c:pt>
                <c:pt idx="969">
                  <c:v>37496</c:v>
                </c:pt>
                <c:pt idx="970">
                  <c:v>37497</c:v>
                </c:pt>
                <c:pt idx="971">
                  <c:v>37498</c:v>
                </c:pt>
                <c:pt idx="972">
                  <c:v>37499</c:v>
                </c:pt>
                <c:pt idx="973">
                  <c:v>37500</c:v>
                </c:pt>
                <c:pt idx="974">
                  <c:v>37501</c:v>
                </c:pt>
                <c:pt idx="975">
                  <c:v>37502</c:v>
                </c:pt>
                <c:pt idx="976">
                  <c:v>37503</c:v>
                </c:pt>
                <c:pt idx="977">
                  <c:v>37504</c:v>
                </c:pt>
                <c:pt idx="978">
                  <c:v>37505</c:v>
                </c:pt>
                <c:pt idx="979">
                  <c:v>37506</c:v>
                </c:pt>
                <c:pt idx="980">
                  <c:v>37507</c:v>
                </c:pt>
                <c:pt idx="981">
                  <c:v>37508</c:v>
                </c:pt>
                <c:pt idx="982">
                  <c:v>37509</c:v>
                </c:pt>
                <c:pt idx="983">
                  <c:v>37510</c:v>
                </c:pt>
                <c:pt idx="984">
                  <c:v>37511</c:v>
                </c:pt>
                <c:pt idx="985">
                  <c:v>37512</c:v>
                </c:pt>
                <c:pt idx="986">
                  <c:v>37513</c:v>
                </c:pt>
                <c:pt idx="987">
                  <c:v>37514</c:v>
                </c:pt>
                <c:pt idx="988">
                  <c:v>37515</c:v>
                </c:pt>
                <c:pt idx="989">
                  <c:v>37516</c:v>
                </c:pt>
                <c:pt idx="990">
                  <c:v>37517</c:v>
                </c:pt>
                <c:pt idx="991">
                  <c:v>37518</c:v>
                </c:pt>
                <c:pt idx="992">
                  <c:v>37519</c:v>
                </c:pt>
                <c:pt idx="993">
                  <c:v>37520</c:v>
                </c:pt>
                <c:pt idx="994">
                  <c:v>37521</c:v>
                </c:pt>
                <c:pt idx="995">
                  <c:v>37522</c:v>
                </c:pt>
                <c:pt idx="996">
                  <c:v>37523</c:v>
                </c:pt>
                <c:pt idx="997">
                  <c:v>37524</c:v>
                </c:pt>
                <c:pt idx="998">
                  <c:v>37525</c:v>
                </c:pt>
                <c:pt idx="999">
                  <c:v>37526</c:v>
                </c:pt>
                <c:pt idx="1000">
                  <c:v>37527</c:v>
                </c:pt>
                <c:pt idx="1001">
                  <c:v>37528</c:v>
                </c:pt>
                <c:pt idx="1002">
                  <c:v>37529</c:v>
                </c:pt>
                <c:pt idx="1003">
                  <c:v>37530</c:v>
                </c:pt>
                <c:pt idx="1004">
                  <c:v>37531</c:v>
                </c:pt>
                <c:pt idx="1005">
                  <c:v>37532</c:v>
                </c:pt>
                <c:pt idx="1006">
                  <c:v>37533</c:v>
                </c:pt>
                <c:pt idx="1007">
                  <c:v>37534</c:v>
                </c:pt>
                <c:pt idx="1008">
                  <c:v>37535</c:v>
                </c:pt>
                <c:pt idx="1009">
                  <c:v>37536</c:v>
                </c:pt>
                <c:pt idx="1010">
                  <c:v>37537</c:v>
                </c:pt>
                <c:pt idx="1011">
                  <c:v>37538</c:v>
                </c:pt>
                <c:pt idx="1012">
                  <c:v>37539</c:v>
                </c:pt>
                <c:pt idx="1013">
                  <c:v>37540</c:v>
                </c:pt>
                <c:pt idx="1014">
                  <c:v>37541</c:v>
                </c:pt>
                <c:pt idx="1015">
                  <c:v>37542</c:v>
                </c:pt>
                <c:pt idx="1016">
                  <c:v>37543</c:v>
                </c:pt>
                <c:pt idx="1017">
                  <c:v>37544</c:v>
                </c:pt>
                <c:pt idx="1018">
                  <c:v>37545</c:v>
                </c:pt>
                <c:pt idx="1019">
                  <c:v>37546</c:v>
                </c:pt>
                <c:pt idx="1020">
                  <c:v>37547</c:v>
                </c:pt>
                <c:pt idx="1021">
                  <c:v>37548</c:v>
                </c:pt>
                <c:pt idx="1022">
                  <c:v>37549</c:v>
                </c:pt>
                <c:pt idx="1023">
                  <c:v>37550</c:v>
                </c:pt>
                <c:pt idx="1024">
                  <c:v>37551</c:v>
                </c:pt>
                <c:pt idx="1025">
                  <c:v>37552</c:v>
                </c:pt>
                <c:pt idx="1026">
                  <c:v>37553</c:v>
                </c:pt>
                <c:pt idx="1027">
                  <c:v>37554</c:v>
                </c:pt>
                <c:pt idx="1028">
                  <c:v>37555</c:v>
                </c:pt>
                <c:pt idx="1029">
                  <c:v>37556</c:v>
                </c:pt>
                <c:pt idx="1030">
                  <c:v>37557</c:v>
                </c:pt>
                <c:pt idx="1031">
                  <c:v>37558</c:v>
                </c:pt>
                <c:pt idx="1032">
                  <c:v>37559</c:v>
                </c:pt>
                <c:pt idx="1033">
                  <c:v>37560</c:v>
                </c:pt>
                <c:pt idx="1034">
                  <c:v>37561</c:v>
                </c:pt>
                <c:pt idx="1035">
                  <c:v>37562</c:v>
                </c:pt>
                <c:pt idx="1036">
                  <c:v>37563</c:v>
                </c:pt>
                <c:pt idx="1037">
                  <c:v>37564</c:v>
                </c:pt>
                <c:pt idx="1038">
                  <c:v>37565</c:v>
                </c:pt>
                <c:pt idx="1039">
                  <c:v>37566</c:v>
                </c:pt>
                <c:pt idx="1040">
                  <c:v>37567</c:v>
                </c:pt>
                <c:pt idx="1041">
                  <c:v>37568</c:v>
                </c:pt>
                <c:pt idx="1042">
                  <c:v>37569</c:v>
                </c:pt>
                <c:pt idx="1043">
                  <c:v>37570</c:v>
                </c:pt>
                <c:pt idx="1044">
                  <c:v>37571</c:v>
                </c:pt>
                <c:pt idx="1045">
                  <c:v>37572</c:v>
                </c:pt>
                <c:pt idx="1046">
                  <c:v>37573</c:v>
                </c:pt>
                <c:pt idx="1047">
                  <c:v>37574</c:v>
                </c:pt>
                <c:pt idx="1048">
                  <c:v>37575</c:v>
                </c:pt>
                <c:pt idx="1049">
                  <c:v>37576</c:v>
                </c:pt>
                <c:pt idx="1050">
                  <c:v>37577</c:v>
                </c:pt>
                <c:pt idx="1051">
                  <c:v>37578</c:v>
                </c:pt>
                <c:pt idx="1052">
                  <c:v>37579</c:v>
                </c:pt>
                <c:pt idx="1053">
                  <c:v>37580</c:v>
                </c:pt>
                <c:pt idx="1054">
                  <c:v>37581</c:v>
                </c:pt>
                <c:pt idx="1055">
                  <c:v>37582</c:v>
                </c:pt>
                <c:pt idx="1056">
                  <c:v>37583</c:v>
                </c:pt>
                <c:pt idx="1057">
                  <c:v>37584</c:v>
                </c:pt>
                <c:pt idx="1058">
                  <c:v>37585</c:v>
                </c:pt>
                <c:pt idx="1059">
                  <c:v>37586</c:v>
                </c:pt>
                <c:pt idx="1060">
                  <c:v>37587</c:v>
                </c:pt>
                <c:pt idx="1061">
                  <c:v>37588</c:v>
                </c:pt>
                <c:pt idx="1062">
                  <c:v>37589</c:v>
                </c:pt>
                <c:pt idx="1063">
                  <c:v>37590</c:v>
                </c:pt>
                <c:pt idx="1064">
                  <c:v>37591</c:v>
                </c:pt>
                <c:pt idx="1065">
                  <c:v>37592</c:v>
                </c:pt>
                <c:pt idx="1066">
                  <c:v>37593</c:v>
                </c:pt>
                <c:pt idx="1067">
                  <c:v>37594</c:v>
                </c:pt>
                <c:pt idx="1068">
                  <c:v>37595</c:v>
                </c:pt>
                <c:pt idx="1069">
                  <c:v>37596</c:v>
                </c:pt>
                <c:pt idx="1070">
                  <c:v>37597</c:v>
                </c:pt>
                <c:pt idx="1071">
                  <c:v>37598</c:v>
                </c:pt>
                <c:pt idx="1072">
                  <c:v>37599</c:v>
                </c:pt>
                <c:pt idx="1073">
                  <c:v>37600</c:v>
                </c:pt>
                <c:pt idx="1074">
                  <c:v>37601</c:v>
                </c:pt>
                <c:pt idx="1075">
                  <c:v>37602</c:v>
                </c:pt>
                <c:pt idx="1076">
                  <c:v>37603</c:v>
                </c:pt>
                <c:pt idx="1077">
                  <c:v>37604</c:v>
                </c:pt>
                <c:pt idx="1078">
                  <c:v>37605</c:v>
                </c:pt>
                <c:pt idx="1079">
                  <c:v>37606</c:v>
                </c:pt>
                <c:pt idx="1080">
                  <c:v>37607</c:v>
                </c:pt>
                <c:pt idx="1081">
                  <c:v>37608</c:v>
                </c:pt>
                <c:pt idx="1082">
                  <c:v>37609</c:v>
                </c:pt>
                <c:pt idx="1083">
                  <c:v>37610</c:v>
                </c:pt>
                <c:pt idx="1084">
                  <c:v>37611</c:v>
                </c:pt>
                <c:pt idx="1085">
                  <c:v>37612</c:v>
                </c:pt>
                <c:pt idx="1086">
                  <c:v>37613</c:v>
                </c:pt>
                <c:pt idx="1087">
                  <c:v>37614</c:v>
                </c:pt>
                <c:pt idx="1088">
                  <c:v>37615</c:v>
                </c:pt>
                <c:pt idx="1089">
                  <c:v>37616</c:v>
                </c:pt>
                <c:pt idx="1090">
                  <c:v>37617</c:v>
                </c:pt>
                <c:pt idx="1091">
                  <c:v>37618</c:v>
                </c:pt>
                <c:pt idx="1092">
                  <c:v>37619</c:v>
                </c:pt>
                <c:pt idx="1093">
                  <c:v>37620</c:v>
                </c:pt>
                <c:pt idx="1094">
                  <c:v>37621</c:v>
                </c:pt>
                <c:pt idx="1095">
                  <c:v>37622</c:v>
                </c:pt>
                <c:pt idx="1096">
                  <c:v>37623</c:v>
                </c:pt>
                <c:pt idx="1097">
                  <c:v>37624</c:v>
                </c:pt>
                <c:pt idx="1098">
                  <c:v>37625</c:v>
                </c:pt>
                <c:pt idx="1099">
                  <c:v>37626</c:v>
                </c:pt>
                <c:pt idx="1100">
                  <c:v>37627</c:v>
                </c:pt>
                <c:pt idx="1101">
                  <c:v>37628</c:v>
                </c:pt>
                <c:pt idx="1102">
                  <c:v>37629</c:v>
                </c:pt>
                <c:pt idx="1103">
                  <c:v>37630</c:v>
                </c:pt>
                <c:pt idx="1104">
                  <c:v>37631</c:v>
                </c:pt>
                <c:pt idx="1105">
                  <c:v>37632</c:v>
                </c:pt>
                <c:pt idx="1106">
                  <c:v>37633</c:v>
                </c:pt>
                <c:pt idx="1107">
                  <c:v>37634</c:v>
                </c:pt>
                <c:pt idx="1108">
                  <c:v>37635</c:v>
                </c:pt>
                <c:pt idx="1109">
                  <c:v>37636</c:v>
                </c:pt>
                <c:pt idx="1110">
                  <c:v>37637</c:v>
                </c:pt>
                <c:pt idx="1111">
                  <c:v>37638</c:v>
                </c:pt>
                <c:pt idx="1112">
                  <c:v>37639</c:v>
                </c:pt>
                <c:pt idx="1113">
                  <c:v>37640</c:v>
                </c:pt>
                <c:pt idx="1114">
                  <c:v>37641</c:v>
                </c:pt>
                <c:pt idx="1115">
                  <c:v>37642</c:v>
                </c:pt>
                <c:pt idx="1116">
                  <c:v>37643</c:v>
                </c:pt>
                <c:pt idx="1117">
                  <c:v>37644</c:v>
                </c:pt>
                <c:pt idx="1118">
                  <c:v>37645</c:v>
                </c:pt>
                <c:pt idx="1119">
                  <c:v>37646</c:v>
                </c:pt>
                <c:pt idx="1120">
                  <c:v>37647</c:v>
                </c:pt>
                <c:pt idx="1121">
                  <c:v>37648</c:v>
                </c:pt>
                <c:pt idx="1122">
                  <c:v>37649</c:v>
                </c:pt>
                <c:pt idx="1123">
                  <c:v>37650</c:v>
                </c:pt>
                <c:pt idx="1124">
                  <c:v>37651</c:v>
                </c:pt>
                <c:pt idx="1125">
                  <c:v>37652</c:v>
                </c:pt>
                <c:pt idx="1126">
                  <c:v>37653</c:v>
                </c:pt>
                <c:pt idx="1127">
                  <c:v>37654</c:v>
                </c:pt>
                <c:pt idx="1128">
                  <c:v>37655</c:v>
                </c:pt>
                <c:pt idx="1129">
                  <c:v>37656</c:v>
                </c:pt>
                <c:pt idx="1130">
                  <c:v>37657</c:v>
                </c:pt>
                <c:pt idx="1131">
                  <c:v>37658</c:v>
                </c:pt>
                <c:pt idx="1132">
                  <c:v>37659</c:v>
                </c:pt>
                <c:pt idx="1133">
                  <c:v>37660</c:v>
                </c:pt>
                <c:pt idx="1134">
                  <c:v>37661</c:v>
                </c:pt>
                <c:pt idx="1135">
                  <c:v>37662</c:v>
                </c:pt>
                <c:pt idx="1136">
                  <c:v>37663</c:v>
                </c:pt>
                <c:pt idx="1137">
                  <c:v>37664</c:v>
                </c:pt>
                <c:pt idx="1138">
                  <c:v>37665</c:v>
                </c:pt>
                <c:pt idx="1139">
                  <c:v>37666</c:v>
                </c:pt>
                <c:pt idx="1140">
                  <c:v>37667</c:v>
                </c:pt>
                <c:pt idx="1141">
                  <c:v>37668</c:v>
                </c:pt>
                <c:pt idx="1142">
                  <c:v>37669</c:v>
                </c:pt>
                <c:pt idx="1143">
                  <c:v>37670</c:v>
                </c:pt>
                <c:pt idx="1144">
                  <c:v>37671</c:v>
                </c:pt>
                <c:pt idx="1145">
                  <c:v>37672</c:v>
                </c:pt>
                <c:pt idx="1146">
                  <c:v>37673</c:v>
                </c:pt>
                <c:pt idx="1147">
                  <c:v>37674</c:v>
                </c:pt>
                <c:pt idx="1148">
                  <c:v>37675</c:v>
                </c:pt>
                <c:pt idx="1149">
                  <c:v>37676</c:v>
                </c:pt>
                <c:pt idx="1150">
                  <c:v>37677</c:v>
                </c:pt>
                <c:pt idx="1151">
                  <c:v>37678</c:v>
                </c:pt>
                <c:pt idx="1152">
                  <c:v>37679</c:v>
                </c:pt>
                <c:pt idx="1153">
                  <c:v>37680</c:v>
                </c:pt>
                <c:pt idx="1154">
                  <c:v>37681</c:v>
                </c:pt>
                <c:pt idx="1155">
                  <c:v>37682</c:v>
                </c:pt>
                <c:pt idx="1156">
                  <c:v>37683</c:v>
                </c:pt>
                <c:pt idx="1157">
                  <c:v>37684</c:v>
                </c:pt>
                <c:pt idx="1158">
                  <c:v>37685</c:v>
                </c:pt>
                <c:pt idx="1159">
                  <c:v>37686</c:v>
                </c:pt>
                <c:pt idx="1160">
                  <c:v>37687</c:v>
                </c:pt>
                <c:pt idx="1161">
                  <c:v>37688</c:v>
                </c:pt>
                <c:pt idx="1162">
                  <c:v>37689</c:v>
                </c:pt>
                <c:pt idx="1163">
                  <c:v>37690</c:v>
                </c:pt>
                <c:pt idx="1164">
                  <c:v>37691</c:v>
                </c:pt>
                <c:pt idx="1165">
                  <c:v>37692</c:v>
                </c:pt>
                <c:pt idx="1166">
                  <c:v>37693</c:v>
                </c:pt>
                <c:pt idx="1167">
                  <c:v>37694</c:v>
                </c:pt>
                <c:pt idx="1168">
                  <c:v>37695</c:v>
                </c:pt>
                <c:pt idx="1169">
                  <c:v>37696</c:v>
                </c:pt>
                <c:pt idx="1170">
                  <c:v>37697</c:v>
                </c:pt>
                <c:pt idx="1171">
                  <c:v>37698</c:v>
                </c:pt>
                <c:pt idx="1172">
                  <c:v>37699</c:v>
                </c:pt>
                <c:pt idx="1173">
                  <c:v>37700</c:v>
                </c:pt>
                <c:pt idx="1174">
                  <c:v>37701</c:v>
                </c:pt>
                <c:pt idx="1175">
                  <c:v>37702</c:v>
                </c:pt>
                <c:pt idx="1176">
                  <c:v>37703</c:v>
                </c:pt>
                <c:pt idx="1177">
                  <c:v>37704</c:v>
                </c:pt>
                <c:pt idx="1178">
                  <c:v>37705</c:v>
                </c:pt>
                <c:pt idx="1179">
                  <c:v>37706</c:v>
                </c:pt>
                <c:pt idx="1180">
                  <c:v>37707</c:v>
                </c:pt>
                <c:pt idx="1181">
                  <c:v>37708</c:v>
                </c:pt>
                <c:pt idx="1182">
                  <c:v>37709</c:v>
                </c:pt>
                <c:pt idx="1183">
                  <c:v>37710</c:v>
                </c:pt>
                <c:pt idx="1184">
                  <c:v>37711</c:v>
                </c:pt>
                <c:pt idx="1185">
                  <c:v>37712</c:v>
                </c:pt>
                <c:pt idx="1186">
                  <c:v>37713</c:v>
                </c:pt>
                <c:pt idx="1187">
                  <c:v>37714</c:v>
                </c:pt>
                <c:pt idx="1188">
                  <c:v>37715</c:v>
                </c:pt>
                <c:pt idx="1189">
                  <c:v>37716</c:v>
                </c:pt>
                <c:pt idx="1190">
                  <c:v>37717</c:v>
                </c:pt>
                <c:pt idx="1191">
                  <c:v>37718</c:v>
                </c:pt>
                <c:pt idx="1192">
                  <c:v>37719</c:v>
                </c:pt>
                <c:pt idx="1193">
                  <c:v>37720</c:v>
                </c:pt>
                <c:pt idx="1194">
                  <c:v>37721</c:v>
                </c:pt>
                <c:pt idx="1195">
                  <c:v>37722</c:v>
                </c:pt>
                <c:pt idx="1196">
                  <c:v>37723</c:v>
                </c:pt>
                <c:pt idx="1197">
                  <c:v>37724</c:v>
                </c:pt>
                <c:pt idx="1198">
                  <c:v>37725</c:v>
                </c:pt>
                <c:pt idx="1199">
                  <c:v>37726</c:v>
                </c:pt>
                <c:pt idx="1200">
                  <c:v>37727</c:v>
                </c:pt>
                <c:pt idx="1201">
                  <c:v>37728</c:v>
                </c:pt>
                <c:pt idx="1202">
                  <c:v>37729</c:v>
                </c:pt>
                <c:pt idx="1203">
                  <c:v>37730</c:v>
                </c:pt>
                <c:pt idx="1204">
                  <c:v>37731</c:v>
                </c:pt>
                <c:pt idx="1205">
                  <c:v>37732</c:v>
                </c:pt>
                <c:pt idx="1206">
                  <c:v>37733</c:v>
                </c:pt>
                <c:pt idx="1207">
                  <c:v>37734</c:v>
                </c:pt>
                <c:pt idx="1208">
                  <c:v>37735</c:v>
                </c:pt>
                <c:pt idx="1209">
                  <c:v>37736</c:v>
                </c:pt>
                <c:pt idx="1210">
                  <c:v>37737</c:v>
                </c:pt>
                <c:pt idx="1211">
                  <c:v>37738</c:v>
                </c:pt>
                <c:pt idx="1212">
                  <c:v>37739</c:v>
                </c:pt>
                <c:pt idx="1213">
                  <c:v>37740</c:v>
                </c:pt>
                <c:pt idx="1214">
                  <c:v>37741</c:v>
                </c:pt>
                <c:pt idx="1215">
                  <c:v>37742</c:v>
                </c:pt>
                <c:pt idx="1216">
                  <c:v>37743</c:v>
                </c:pt>
                <c:pt idx="1217">
                  <c:v>37744</c:v>
                </c:pt>
                <c:pt idx="1218">
                  <c:v>37745</c:v>
                </c:pt>
                <c:pt idx="1219">
                  <c:v>37746</c:v>
                </c:pt>
                <c:pt idx="1220">
                  <c:v>37747</c:v>
                </c:pt>
                <c:pt idx="1221">
                  <c:v>37748</c:v>
                </c:pt>
                <c:pt idx="1222">
                  <c:v>37749</c:v>
                </c:pt>
                <c:pt idx="1223">
                  <c:v>37750</c:v>
                </c:pt>
                <c:pt idx="1224">
                  <c:v>37751</c:v>
                </c:pt>
                <c:pt idx="1225">
                  <c:v>37752</c:v>
                </c:pt>
                <c:pt idx="1226">
                  <c:v>37753</c:v>
                </c:pt>
                <c:pt idx="1227">
                  <c:v>37754</c:v>
                </c:pt>
                <c:pt idx="1228">
                  <c:v>37755</c:v>
                </c:pt>
                <c:pt idx="1229">
                  <c:v>37756</c:v>
                </c:pt>
                <c:pt idx="1230">
                  <c:v>37757</c:v>
                </c:pt>
                <c:pt idx="1231">
                  <c:v>37758</c:v>
                </c:pt>
                <c:pt idx="1232">
                  <c:v>37759</c:v>
                </c:pt>
                <c:pt idx="1233">
                  <c:v>37760</c:v>
                </c:pt>
                <c:pt idx="1234">
                  <c:v>37761</c:v>
                </c:pt>
                <c:pt idx="1235">
                  <c:v>37762</c:v>
                </c:pt>
                <c:pt idx="1236">
                  <c:v>37763</c:v>
                </c:pt>
                <c:pt idx="1237">
                  <c:v>37764</c:v>
                </c:pt>
                <c:pt idx="1238">
                  <c:v>37765</c:v>
                </c:pt>
                <c:pt idx="1239">
                  <c:v>37766</c:v>
                </c:pt>
                <c:pt idx="1240">
                  <c:v>37767</c:v>
                </c:pt>
                <c:pt idx="1241">
                  <c:v>37768</c:v>
                </c:pt>
                <c:pt idx="1242">
                  <c:v>37769</c:v>
                </c:pt>
                <c:pt idx="1243">
                  <c:v>37770</c:v>
                </c:pt>
                <c:pt idx="1244">
                  <c:v>37771</c:v>
                </c:pt>
                <c:pt idx="1245">
                  <c:v>37772</c:v>
                </c:pt>
                <c:pt idx="1246">
                  <c:v>37773</c:v>
                </c:pt>
                <c:pt idx="1247">
                  <c:v>37774</c:v>
                </c:pt>
                <c:pt idx="1248">
                  <c:v>37775</c:v>
                </c:pt>
                <c:pt idx="1249">
                  <c:v>37776</c:v>
                </c:pt>
                <c:pt idx="1250">
                  <c:v>37777</c:v>
                </c:pt>
                <c:pt idx="1251">
                  <c:v>37778</c:v>
                </c:pt>
                <c:pt idx="1252">
                  <c:v>37779</c:v>
                </c:pt>
                <c:pt idx="1253">
                  <c:v>37780</c:v>
                </c:pt>
                <c:pt idx="1254">
                  <c:v>37781</c:v>
                </c:pt>
                <c:pt idx="1255">
                  <c:v>37782</c:v>
                </c:pt>
                <c:pt idx="1256">
                  <c:v>37783</c:v>
                </c:pt>
                <c:pt idx="1257">
                  <c:v>37784</c:v>
                </c:pt>
                <c:pt idx="1258">
                  <c:v>37785</c:v>
                </c:pt>
                <c:pt idx="1259">
                  <c:v>37786</c:v>
                </c:pt>
                <c:pt idx="1260">
                  <c:v>37787</c:v>
                </c:pt>
                <c:pt idx="1261">
                  <c:v>37788</c:v>
                </c:pt>
                <c:pt idx="1262">
                  <c:v>37789</c:v>
                </c:pt>
                <c:pt idx="1263">
                  <c:v>37790</c:v>
                </c:pt>
                <c:pt idx="1264">
                  <c:v>37791</c:v>
                </c:pt>
                <c:pt idx="1265">
                  <c:v>37792</c:v>
                </c:pt>
                <c:pt idx="1266">
                  <c:v>37793</c:v>
                </c:pt>
                <c:pt idx="1267">
                  <c:v>37794</c:v>
                </c:pt>
                <c:pt idx="1268">
                  <c:v>37795</c:v>
                </c:pt>
                <c:pt idx="1269">
                  <c:v>37796</c:v>
                </c:pt>
                <c:pt idx="1270">
                  <c:v>37797</c:v>
                </c:pt>
                <c:pt idx="1271">
                  <c:v>37798</c:v>
                </c:pt>
                <c:pt idx="1272">
                  <c:v>37799</c:v>
                </c:pt>
                <c:pt idx="1273">
                  <c:v>37800</c:v>
                </c:pt>
                <c:pt idx="1274">
                  <c:v>37801</c:v>
                </c:pt>
                <c:pt idx="1275">
                  <c:v>37802</c:v>
                </c:pt>
                <c:pt idx="1276">
                  <c:v>37803</c:v>
                </c:pt>
                <c:pt idx="1277">
                  <c:v>37804</c:v>
                </c:pt>
                <c:pt idx="1278">
                  <c:v>37805</c:v>
                </c:pt>
                <c:pt idx="1279">
                  <c:v>37806</c:v>
                </c:pt>
                <c:pt idx="1280">
                  <c:v>37807</c:v>
                </c:pt>
                <c:pt idx="1281">
                  <c:v>37808</c:v>
                </c:pt>
                <c:pt idx="1282">
                  <c:v>37809</c:v>
                </c:pt>
                <c:pt idx="1283">
                  <c:v>37810</c:v>
                </c:pt>
                <c:pt idx="1284">
                  <c:v>37811</c:v>
                </c:pt>
                <c:pt idx="1285">
                  <c:v>37812</c:v>
                </c:pt>
                <c:pt idx="1286">
                  <c:v>37813</c:v>
                </c:pt>
                <c:pt idx="1287">
                  <c:v>37814</c:v>
                </c:pt>
                <c:pt idx="1288">
                  <c:v>37815</c:v>
                </c:pt>
                <c:pt idx="1289">
                  <c:v>37816</c:v>
                </c:pt>
                <c:pt idx="1290">
                  <c:v>37817</c:v>
                </c:pt>
                <c:pt idx="1291">
                  <c:v>37818</c:v>
                </c:pt>
                <c:pt idx="1292">
                  <c:v>37819</c:v>
                </c:pt>
                <c:pt idx="1293">
                  <c:v>37820</c:v>
                </c:pt>
                <c:pt idx="1294">
                  <c:v>37821</c:v>
                </c:pt>
                <c:pt idx="1295">
                  <c:v>37822</c:v>
                </c:pt>
                <c:pt idx="1296">
                  <c:v>37823</c:v>
                </c:pt>
                <c:pt idx="1297">
                  <c:v>37824</c:v>
                </c:pt>
                <c:pt idx="1298">
                  <c:v>37825</c:v>
                </c:pt>
                <c:pt idx="1299">
                  <c:v>37826</c:v>
                </c:pt>
                <c:pt idx="1300">
                  <c:v>37827</c:v>
                </c:pt>
                <c:pt idx="1301">
                  <c:v>37828</c:v>
                </c:pt>
                <c:pt idx="1302">
                  <c:v>37829</c:v>
                </c:pt>
                <c:pt idx="1303">
                  <c:v>37830</c:v>
                </c:pt>
                <c:pt idx="1304">
                  <c:v>37831</c:v>
                </c:pt>
                <c:pt idx="1305">
                  <c:v>37832</c:v>
                </c:pt>
                <c:pt idx="1306">
                  <c:v>37833</c:v>
                </c:pt>
                <c:pt idx="1307">
                  <c:v>37834</c:v>
                </c:pt>
                <c:pt idx="1308">
                  <c:v>37835</c:v>
                </c:pt>
                <c:pt idx="1309">
                  <c:v>37836</c:v>
                </c:pt>
                <c:pt idx="1310">
                  <c:v>37837</c:v>
                </c:pt>
                <c:pt idx="1311">
                  <c:v>37838</c:v>
                </c:pt>
                <c:pt idx="1312">
                  <c:v>37839</c:v>
                </c:pt>
                <c:pt idx="1313">
                  <c:v>37840</c:v>
                </c:pt>
                <c:pt idx="1314">
                  <c:v>37841</c:v>
                </c:pt>
                <c:pt idx="1315">
                  <c:v>37842</c:v>
                </c:pt>
                <c:pt idx="1316">
                  <c:v>37843</c:v>
                </c:pt>
                <c:pt idx="1317">
                  <c:v>37844</c:v>
                </c:pt>
                <c:pt idx="1318">
                  <c:v>37845</c:v>
                </c:pt>
                <c:pt idx="1319">
                  <c:v>37846</c:v>
                </c:pt>
                <c:pt idx="1320">
                  <c:v>37847</c:v>
                </c:pt>
                <c:pt idx="1321">
                  <c:v>37848</c:v>
                </c:pt>
                <c:pt idx="1322">
                  <c:v>37849</c:v>
                </c:pt>
                <c:pt idx="1323">
                  <c:v>37850</c:v>
                </c:pt>
                <c:pt idx="1324">
                  <c:v>37851</c:v>
                </c:pt>
                <c:pt idx="1325">
                  <c:v>37852</c:v>
                </c:pt>
                <c:pt idx="1326">
                  <c:v>37853</c:v>
                </c:pt>
                <c:pt idx="1327">
                  <c:v>37854</c:v>
                </c:pt>
                <c:pt idx="1328">
                  <c:v>37855</c:v>
                </c:pt>
                <c:pt idx="1329">
                  <c:v>37856</c:v>
                </c:pt>
                <c:pt idx="1330">
                  <c:v>37857</c:v>
                </c:pt>
                <c:pt idx="1331">
                  <c:v>37858</c:v>
                </c:pt>
                <c:pt idx="1332">
                  <c:v>37859</c:v>
                </c:pt>
                <c:pt idx="1333">
                  <c:v>37860</c:v>
                </c:pt>
                <c:pt idx="1334">
                  <c:v>37861</c:v>
                </c:pt>
                <c:pt idx="1335">
                  <c:v>37862</c:v>
                </c:pt>
                <c:pt idx="1336">
                  <c:v>37863</c:v>
                </c:pt>
                <c:pt idx="1337">
                  <c:v>37864</c:v>
                </c:pt>
                <c:pt idx="1338">
                  <c:v>37865</c:v>
                </c:pt>
                <c:pt idx="1339">
                  <c:v>37866</c:v>
                </c:pt>
                <c:pt idx="1340">
                  <c:v>37867</c:v>
                </c:pt>
                <c:pt idx="1341">
                  <c:v>37868</c:v>
                </c:pt>
                <c:pt idx="1342">
                  <c:v>37869</c:v>
                </c:pt>
                <c:pt idx="1343">
                  <c:v>37870</c:v>
                </c:pt>
                <c:pt idx="1344">
                  <c:v>37871</c:v>
                </c:pt>
                <c:pt idx="1345">
                  <c:v>37872</c:v>
                </c:pt>
                <c:pt idx="1346">
                  <c:v>37873</c:v>
                </c:pt>
                <c:pt idx="1347">
                  <c:v>37874</c:v>
                </c:pt>
                <c:pt idx="1348">
                  <c:v>37875</c:v>
                </c:pt>
                <c:pt idx="1349">
                  <c:v>37876</c:v>
                </c:pt>
                <c:pt idx="1350">
                  <c:v>37877</c:v>
                </c:pt>
                <c:pt idx="1351">
                  <c:v>37878</c:v>
                </c:pt>
                <c:pt idx="1352">
                  <c:v>37879</c:v>
                </c:pt>
                <c:pt idx="1353">
                  <c:v>37880</c:v>
                </c:pt>
                <c:pt idx="1354">
                  <c:v>37881</c:v>
                </c:pt>
                <c:pt idx="1355">
                  <c:v>37882</c:v>
                </c:pt>
                <c:pt idx="1356">
                  <c:v>37883</c:v>
                </c:pt>
                <c:pt idx="1357">
                  <c:v>37884</c:v>
                </c:pt>
                <c:pt idx="1358">
                  <c:v>37885</c:v>
                </c:pt>
                <c:pt idx="1359">
                  <c:v>37886</c:v>
                </c:pt>
                <c:pt idx="1360">
                  <c:v>37887</c:v>
                </c:pt>
                <c:pt idx="1361">
                  <c:v>37888</c:v>
                </c:pt>
                <c:pt idx="1362">
                  <c:v>37889</c:v>
                </c:pt>
                <c:pt idx="1363">
                  <c:v>37890</c:v>
                </c:pt>
                <c:pt idx="1364">
                  <c:v>37891</c:v>
                </c:pt>
                <c:pt idx="1365">
                  <c:v>37892</c:v>
                </c:pt>
                <c:pt idx="1366">
                  <c:v>37893</c:v>
                </c:pt>
                <c:pt idx="1367">
                  <c:v>37894</c:v>
                </c:pt>
                <c:pt idx="1368">
                  <c:v>37895</c:v>
                </c:pt>
                <c:pt idx="1369">
                  <c:v>37896</c:v>
                </c:pt>
                <c:pt idx="1370">
                  <c:v>37897</c:v>
                </c:pt>
                <c:pt idx="1371">
                  <c:v>37898</c:v>
                </c:pt>
                <c:pt idx="1372">
                  <c:v>37899</c:v>
                </c:pt>
                <c:pt idx="1373">
                  <c:v>37900</c:v>
                </c:pt>
                <c:pt idx="1374">
                  <c:v>37901</c:v>
                </c:pt>
                <c:pt idx="1375">
                  <c:v>37902</c:v>
                </c:pt>
                <c:pt idx="1376">
                  <c:v>37903</c:v>
                </c:pt>
                <c:pt idx="1377">
                  <c:v>37904</c:v>
                </c:pt>
                <c:pt idx="1378">
                  <c:v>37905</c:v>
                </c:pt>
                <c:pt idx="1379">
                  <c:v>37906</c:v>
                </c:pt>
                <c:pt idx="1380">
                  <c:v>37907</c:v>
                </c:pt>
                <c:pt idx="1381">
                  <c:v>37908</c:v>
                </c:pt>
                <c:pt idx="1382">
                  <c:v>37909</c:v>
                </c:pt>
                <c:pt idx="1383">
                  <c:v>37910</c:v>
                </c:pt>
                <c:pt idx="1384">
                  <c:v>37911</c:v>
                </c:pt>
                <c:pt idx="1385">
                  <c:v>37912</c:v>
                </c:pt>
                <c:pt idx="1386">
                  <c:v>37913</c:v>
                </c:pt>
                <c:pt idx="1387">
                  <c:v>37914</c:v>
                </c:pt>
                <c:pt idx="1388">
                  <c:v>37915</c:v>
                </c:pt>
                <c:pt idx="1389">
                  <c:v>37916</c:v>
                </c:pt>
                <c:pt idx="1390">
                  <c:v>37917</c:v>
                </c:pt>
                <c:pt idx="1391">
                  <c:v>37918</c:v>
                </c:pt>
                <c:pt idx="1392">
                  <c:v>37919</c:v>
                </c:pt>
                <c:pt idx="1393">
                  <c:v>37920</c:v>
                </c:pt>
                <c:pt idx="1394">
                  <c:v>37921</c:v>
                </c:pt>
                <c:pt idx="1395">
                  <c:v>37922</c:v>
                </c:pt>
                <c:pt idx="1396">
                  <c:v>37923</c:v>
                </c:pt>
                <c:pt idx="1397">
                  <c:v>37924</c:v>
                </c:pt>
                <c:pt idx="1398">
                  <c:v>37925</c:v>
                </c:pt>
                <c:pt idx="1399">
                  <c:v>37926</c:v>
                </c:pt>
                <c:pt idx="1400">
                  <c:v>37927</c:v>
                </c:pt>
                <c:pt idx="1401">
                  <c:v>37928</c:v>
                </c:pt>
                <c:pt idx="1402">
                  <c:v>37929</c:v>
                </c:pt>
                <c:pt idx="1403">
                  <c:v>37930</c:v>
                </c:pt>
                <c:pt idx="1404">
                  <c:v>37931</c:v>
                </c:pt>
                <c:pt idx="1405">
                  <c:v>37932</c:v>
                </c:pt>
                <c:pt idx="1406">
                  <c:v>37933</c:v>
                </c:pt>
                <c:pt idx="1407">
                  <c:v>37934</c:v>
                </c:pt>
                <c:pt idx="1408">
                  <c:v>37935</c:v>
                </c:pt>
                <c:pt idx="1409">
                  <c:v>37936</c:v>
                </c:pt>
                <c:pt idx="1410">
                  <c:v>37937</c:v>
                </c:pt>
                <c:pt idx="1411">
                  <c:v>37938</c:v>
                </c:pt>
                <c:pt idx="1412">
                  <c:v>37939</c:v>
                </c:pt>
                <c:pt idx="1413">
                  <c:v>37940</c:v>
                </c:pt>
                <c:pt idx="1414">
                  <c:v>37941</c:v>
                </c:pt>
                <c:pt idx="1415">
                  <c:v>37942</c:v>
                </c:pt>
                <c:pt idx="1416">
                  <c:v>37943</c:v>
                </c:pt>
                <c:pt idx="1417">
                  <c:v>37944</c:v>
                </c:pt>
                <c:pt idx="1418">
                  <c:v>37945</c:v>
                </c:pt>
                <c:pt idx="1419">
                  <c:v>37946</c:v>
                </c:pt>
                <c:pt idx="1420">
                  <c:v>37947</c:v>
                </c:pt>
                <c:pt idx="1421">
                  <c:v>37948</c:v>
                </c:pt>
                <c:pt idx="1422">
                  <c:v>37949</c:v>
                </c:pt>
                <c:pt idx="1423">
                  <c:v>37950</c:v>
                </c:pt>
                <c:pt idx="1424">
                  <c:v>37951</c:v>
                </c:pt>
                <c:pt idx="1425">
                  <c:v>37952</c:v>
                </c:pt>
                <c:pt idx="1426">
                  <c:v>37953</c:v>
                </c:pt>
                <c:pt idx="1427">
                  <c:v>37954</c:v>
                </c:pt>
                <c:pt idx="1428">
                  <c:v>37955</c:v>
                </c:pt>
                <c:pt idx="1429">
                  <c:v>37956</c:v>
                </c:pt>
                <c:pt idx="1430">
                  <c:v>37957</c:v>
                </c:pt>
                <c:pt idx="1431">
                  <c:v>37958</c:v>
                </c:pt>
                <c:pt idx="1432">
                  <c:v>37959</c:v>
                </c:pt>
                <c:pt idx="1433">
                  <c:v>37960</c:v>
                </c:pt>
                <c:pt idx="1434">
                  <c:v>37961</c:v>
                </c:pt>
                <c:pt idx="1435">
                  <c:v>37962</c:v>
                </c:pt>
                <c:pt idx="1436">
                  <c:v>37963</c:v>
                </c:pt>
                <c:pt idx="1437">
                  <c:v>37964</c:v>
                </c:pt>
                <c:pt idx="1438">
                  <c:v>37965</c:v>
                </c:pt>
                <c:pt idx="1439">
                  <c:v>37966</c:v>
                </c:pt>
                <c:pt idx="1440">
                  <c:v>37967</c:v>
                </c:pt>
                <c:pt idx="1441">
                  <c:v>37968</c:v>
                </c:pt>
                <c:pt idx="1442">
                  <c:v>37969</c:v>
                </c:pt>
                <c:pt idx="1443">
                  <c:v>37970</c:v>
                </c:pt>
                <c:pt idx="1444">
                  <c:v>37971</c:v>
                </c:pt>
                <c:pt idx="1445">
                  <c:v>37972</c:v>
                </c:pt>
                <c:pt idx="1446">
                  <c:v>37973</c:v>
                </c:pt>
                <c:pt idx="1447">
                  <c:v>37974</c:v>
                </c:pt>
                <c:pt idx="1448">
                  <c:v>37975</c:v>
                </c:pt>
                <c:pt idx="1449">
                  <c:v>37976</c:v>
                </c:pt>
                <c:pt idx="1450">
                  <c:v>37977</c:v>
                </c:pt>
                <c:pt idx="1451">
                  <c:v>37978</c:v>
                </c:pt>
                <c:pt idx="1452">
                  <c:v>37979</c:v>
                </c:pt>
                <c:pt idx="1453">
                  <c:v>37980</c:v>
                </c:pt>
                <c:pt idx="1454">
                  <c:v>37981</c:v>
                </c:pt>
                <c:pt idx="1455">
                  <c:v>37982</c:v>
                </c:pt>
                <c:pt idx="1456">
                  <c:v>37983</c:v>
                </c:pt>
                <c:pt idx="1457">
                  <c:v>37984</c:v>
                </c:pt>
                <c:pt idx="1458">
                  <c:v>37985</c:v>
                </c:pt>
                <c:pt idx="1459">
                  <c:v>37986</c:v>
                </c:pt>
                <c:pt idx="1460">
                  <c:v>37987</c:v>
                </c:pt>
                <c:pt idx="1461">
                  <c:v>37988</c:v>
                </c:pt>
                <c:pt idx="1462">
                  <c:v>37989</c:v>
                </c:pt>
                <c:pt idx="1463">
                  <c:v>37990</c:v>
                </c:pt>
                <c:pt idx="1464">
                  <c:v>37991</c:v>
                </c:pt>
                <c:pt idx="1465">
                  <c:v>37992</c:v>
                </c:pt>
                <c:pt idx="1466">
                  <c:v>37993</c:v>
                </c:pt>
                <c:pt idx="1467">
                  <c:v>37994</c:v>
                </c:pt>
                <c:pt idx="1468">
                  <c:v>37995</c:v>
                </c:pt>
                <c:pt idx="1469">
                  <c:v>37996</c:v>
                </c:pt>
                <c:pt idx="1470">
                  <c:v>37997</c:v>
                </c:pt>
                <c:pt idx="1471">
                  <c:v>37998</c:v>
                </c:pt>
                <c:pt idx="1472">
                  <c:v>37999</c:v>
                </c:pt>
                <c:pt idx="1473">
                  <c:v>38000</c:v>
                </c:pt>
                <c:pt idx="1474">
                  <c:v>38001</c:v>
                </c:pt>
                <c:pt idx="1475">
                  <c:v>38002</c:v>
                </c:pt>
                <c:pt idx="1476">
                  <c:v>38003</c:v>
                </c:pt>
                <c:pt idx="1477">
                  <c:v>38004</c:v>
                </c:pt>
                <c:pt idx="1478">
                  <c:v>38005</c:v>
                </c:pt>
                <c:pt idx="1479">
                  <c:v>38006</c:v>
                </c:pt>
                <c:pt idx="1480">
                  <c:v>38007</c:v>
                </c:pt>
                <c:pt idx="1481">
                  <c:v>38008</c:v>
                </c:pt>
                <c:pt idx="1482">
                  <c:v>38009</c:v>
                </c:pt>
                <c:pt idx="1483">
                  <c:v>38010</c:v>
                </c:pt>
                <c:pt idx="1484">
                  <c:v>38011</c:v>
                </c:pt>
                <c:pt idx="1485">
                  <c:v>38012</c:v>
                </c:pt>
                <c:pt idx="1486">
                  <c:v>38013</c:v>
                </c:pt>
                <c:pt idx="1487">
                  <c:v>38014</c:v>
                </c:pt>
                <c:pt idx="1488">
                  <c:v>38015</c:v>
                </c:pt>
                <c:pt idx="1489">
                  <c:v>38016</c:v>
                </c:pt>
                <c:pt idx="1490">
                  <c:v>38017</c:v>
                </c:pt>
                <c:pt idx="1491">
                  <c:v>38018</c:v>
                </c:pt>
                <c:pt idx="1492">
                  <c:v>38019</c:v>
                </c:pt>
                <c:pt idx="1493">
                  <c:v>38020</c:v>
                </c:pt>
                <c:pt idx="1494">
                  <c:v>38021</c:v>
                </c:pt>
                <c:pt idx="1495">
                  <c:v>38022</c:v>
                </c:pt>
                <c:pt idx="1496">
                  <c:v>38023</c:v>
                </c:pt>
                <c:pt idx="1497">
                  <c:v>38024</c:v>
                </c:pt>
                <c:pt idx="1498">
                  <c:v>38025</c:v>
                </c:pt>
                <c:pt idx="1499">
                  <c:v>38026</c:v>
                </c:pt>
                <c:pt idx="1500">
                  <c:v>38027</c:v>
                </c:pt>
                <c:pt idx="1501">
                  <c:v>38028</c:v>
                </c:pt>
                <c:pt idx="1502">
                  <c:v>38029</c:v>
                </c:pt>
                <c:pt idx="1503">
                  <c:v>38030</c:v>
                </c:pt>
                <c:pt idx="1504">
                  <c:v>38031</c:v>
                </c:pt>
                <c:pt idx="1505">
                  <c:v>38032</c:v>
                </c:pt>
                <c:pt idx="1506">
                  <c:v>38033</c:v>
                </c:pt>
                <c:pt idx="1507">
                  <c:v>38034</c:v>
                </c:pt>
                <c:pt idx="1508">
                  <c:v>38035</c:v>
                </c:pt>
                <c:pt idx="1509">
                  <c:v>38036</c:v>
                </c:pt>
                <c:pt idx="1510">
                  <c:v>38037</c:v>
                </c:pt>
                <c:pt idx="1511">
                  <c:v>38038</c:v>
                </c:pt>
                <c:pt idx="1512">
                  <c:v>38039</c:v>
                </c:pt>
                <c:pt idx="1513">
                  <c:v>38040</c:v>
                </c:pt>
                <c:pt idx="1514">
                  <c:v>38041</c:v>
                </c:pt>
                <c:pt idx="1515">
                  <c:v>38042</c:v>
                </c:pt>
                <c:pt idx="1516">
                  <c:v>38043</c:v>
                </c:pt>
                <c:pt idx="1517">
                  <c:v>38044</c:v>
                </c:pt>
                <c:pt idx="1518">
                  <c:v>38045</c:v>
                </c:pt>
                <c:pt idx="1519">
                  <c:v>38046</c:v>
                </c:pt>
                <c:pt idx="1520">
                  <c:v>38047</c:v>
                </c:pt>
                <c:pt idx="1521">
                  <c:v>38048</c:v>
                </c:pt>
                <c:pt idx="1522">
                  <c:v>38049</c:v>
                </c:pt>
                <c:pt idx="1523">
                  <c:v>38050</c:v>
                </c:pt>
                <c:pt idx="1524">
                  <c:v>38051</c:v>
                </c:pt>
                <c:pt idx="1525">
                  <c:v>38052</c:v>
                </c:pt>
                <c:pt idx="1526">
                  <c:v>38053</c:v>
                </c:pt>
                <c:pt idx="1527">
                  <c:v>38054</c:v>
                </c:pt>
                <c:pt idx="1528">
                  <c:v>38055</c:v>
                </c:pt>
                <c:pt idx="1529">
                  <c:v>38056</c:v>
                </c:pt>
                <c:pt idx="1530">
                  <c:v>38057</c:v>
                </c:pt>
                <c:pt idx="1531">
                  <c:v>38058</c:v>
                </c:pt>
                <c:pt idx="1532">
                  <c:v>38059</c:v>
                </c:pt>
                <c:pt idx="1533">
                  <c:v>38060</c:v>
                </c:pt>
                <c:pt idx="1534">
                  <c:v>38061</c:v>
                </c:pt>
                <c:pt idx="1535">
                  <c:v>38062</c:v>
                </c:pt>
                <c:pt idx="1536">
                  <c:v>38063</c:v>
                </c:pt>
                <c:pt idx="1537">
                  <c:v>38064</c:v>
                </c:pt>
                <c:pt idx="1538">
                  <c:v>38065</c:v>
                </c:pt>
                <c:pt idx="1539">
                  <c:v>38066</c:v>
                </c:pt>
                <c:pt idx="1540">
                  <c:v>38067</c:v>
                </c:pt>
                <c:pt idx="1541">
                  <c:v>38068</c:v>
                </c:pt>
                <c:pt idx="1542">
                  <c:v>38069</c:v>
                </c:pt>
                <c:pt idx="1543">
                  <c:v>38070</c:v>
                </c:pt>
                <c:pt idx="1544">
                  <c:v>38071</c:v>
                </c:pt>
                <c:pt idx="1545">
                  <c:v>38072</c:v>
                </c:pt>
                <c:pt idx="1546">
                  <c:v>38073</c:v>
                </c:pt>
                <c:pt idx="1547">
                  <c:v>38074</c:v>
                </c:pt>
                <c:pt idx="1548">
                  <c:v>38075</c:v>
                </c:pt>
                <c:pt idx="1549">
                  <c:v>38076</c:v>
                </c:pt>
                <c:pt idx="1550">
                  <c:v>38077</c:v>
                </c:pt>
                <c:pt idx="1551">
                  <c:v>38078</c:v>
                </c:pt>
                <c:pt idx="1552">
                  <c:v>38079</c:v>
                </c:pt>
                <c:pt idx="1553">
                  <c:v>38080</c:v>
                </c:pt>
                <c:pt idx="1554">
                  <c:v>38081</c:v>
                </c:pt>
                <c:pt idx="1555">
                  <c:v>38082</c:v>
                </c:pt>
                <c:pt idx="1556">
                  <c:v>38083</c:v>
                </c:pt>
                <c:pt idx="1557">
                  <c:v>38084</c:v>
                </c:pt>
                <c:pt idx="1558">
                  <c:v>38085</c:v>
                </c:pt>
                <c:pt idx="1559">
                  <c:v>38086</c:v>
                </c:pt>
                <c:pt idx="1560">
                  <c:v>38087</c:v>
                </c:pt>
                <c:pt idx="1561">
                  <c:v>38088</c:v>
                </c:pt>
                <c:pt idx="1562">
                  <c:v>38089</c:v>
                </c:pt>
                <c:pt idx="1563">
                  <c:v>38090</c:v>
                </c:pt>
                <c:pt idx="1564">
                  <c:v>38091</c:v>
                </c:pt>
                <c:pt idx="1565">
                  <c:v>38092</c:v>
                </c:pt>
                <c:pt idx="1566">
                  <c:v>38093</c:v>
                </c:pt>
                <c:pt idx="1567">
                  <c:v>38094</c:v>
                </c:pt>
                <c:pt idx="1568">
                  <c:v>38095</c:v>
                </c:pt>
                <c:pt idx="1569">
                  <c:v>38096</c:v>
                </c:pt>
                <c:pt idx="1570">
                  <c:v>38097</c:v>
                </c:pt>
                <c:pt idx="1571">
                  <c:v>38098</c:v>
                </c:pt>
                <c:pt idx="1572">
                  <c:v>38099</c:v>
                </c:pt>
                <c:pt idx="1573">
                  <c:v>38100</c:v>
                </c:pt>
                <c:pt idx="1574">
                  <c:v>38101</c:v>
                </c:pt>
                <c:pt idx="1575">
                  <c:v>38102</c:v>
                </c:pt>
                <c:pt idx="1576">
                  <c:v>38103</c:v>
                </c:pt>
                <c:pt idx="1577">
                  <c:v>38104</c:v>
                </c:pt>
                <c:pt idx="1578">
                  <c:v>38105</c:v>
                </c:pt>
                <c:pt idx="1579">
                  <c:v>38106</c:v>
                </c:pt>
                <c:pt idx="1580">
                  <c:v>38107</c:v>
                </c:pt>
                <c:pt idx="1581">
                  <c:v>38108</c:v>
                </c:pt>
                <c:pt idx="1582">
                  <c:v>38109</c:v>
                </c:pt>
                <c:pt idx="1583">
                  <c:v>38110</c:v>
                </c:pt>
                <c:pt idx="1584">
                  <c:v>38111</c:v>
                </c:pt>
                <c:pt idx="1585">
                  <c:v>38112</c:v>
                </c:pt>
                <c:pt idx="1586">
                  <c:v>38113</c:v>
                </c:pt>
                <c:pt idx="1587">
                  <c:v>38114</c:v>
                </c:pt>
                <c:pt idx="1588">
                  <c:v>38115</c:v>
                </c:pt>
                <c:pt idx="1589">
                  <c:v>38116</c:v>
                </c:pt>
                <c:pt idx="1590">
                  <c:v>38117</c:v>
                </c:pt>
                <c:pt idx="1591">
                  <c:v>38118</c:v>
                </c:pt>
                <c:pt idx="1592">
                  <c:v>38119</c:v>
                </c:pt>
                <c:pt idx="1593">
                  <c:v>38120</c:v>
                </c:pt>
                <c:pt idx="1594">
                  <c:v>38121</c:v>
                </c:pt>
                <c:pt idx="1595">
                  <c:v>38122</c:v>
                </c:pt>
                <c:pt idx="1596">
                  <c:v>38123</c:v>
                </c:pt>
                <c:pt idx="1597">
                  <c:v>38124</c:v>
                </c:pt>
                <c:pt idx="1598">
                  <c:v>38125</c:v>
                </c:pt>
                <c:pt idx="1599">
                  <c:v>38126</c:v>
                </c:pt>
                <c:pt idx="1600">
                  <c:v>38127</c:v>
                </c:pt>
                <c:pt idx="1601">
                  <c:v>38128</c:v>
                </c:pt>
                <c:pt idx="1602">
                  <c:v>38129</c:v>
                </c:pt>
                <c:pt idx="1603">
                  <c:v>38130</c:v>
                </c:pt>
                <c:pt idx="1604">
                  <c:v>38131</c:v>
                </c:pt>
                <c:pt idx="1605">
                  <c:v>38132</c:v>
                </c:pt>
                <c:pt idx="1606">
                  <c:v>38133</c:v>
                </c:pt>
                <c:pt idx="1607">
                  <c:v>38134</c:v>
                </c:pt>
                <c:pt idx="1608">
                  <c:v>38135</c:v>
                </c:pt>
                <c:pt idx="1609">
                  <c:v>38136</c:v>
                </c:pt>
                <c:pt idx="1610">
                  <c:v>38137</c:v>
                </c:pt>
                <c:pt idx="1611">
                  <c:v>38138</c:v>
                </c:pt>
                <c:pt idx="1612">
                  <c:v>38139</c:v>
                </c:pt>
                <c:pt idx="1613">
                  <c:v>38140</c:v>
                </c:pt>
                <c:pt idx="1614">
                  <c:v>38141</c:v>
                </c:pt>
                <c:pt idx="1615">
                  <c:v>38142</c:v>
                </c:pt>
                <c:pt idx="1616">
                  <c:v>38143</c:v>
                </c:pt>
                <c:pt idx="1617">
                  <c:v>38144</c:v>
                </c:pt>
                <c:pt idx="1618">
                  <c:v>38145</c:v>
                </c:pt>
                <c:pt idx="1619">
                  <c:v>38146</c:v>
                </c:pt>
                <c:pt idx="1620">
                  <c:v>38147</c:v>
                </c:pt>
                <c:pt idx="1621">
                  <c:v>38148</c:v>
                </c:pt>
                <c:pt idx="1622">
                  <c:v>38149</c:v>
                </c:pt>
                <c:pt idx="1623">
                  <c:v>38150</c:v>
                </c:pt>
                <c:pt idx="1624">
                  <c:v>38151</c:v>
                </c:pt>
                <c:pt idx="1625">
                  <c:v>38152</c:v>
                </c:pt>
                <c:pt idx="1626">
                  <c:v>38153</c:v>
                </c:pt>
                <c:pt idx="1627">
                  <c:v>38154</c:v>
                </c:pt>
                <c:pt idx="1628">
                  <c:v>38155</c:v>
                </c:pt>
                <c:pt idx="1629">
                  <c:v>38156</c:v>
                </c:pt>
                <c:pt idx="1630">
                  <c:v>38157</c:v>
                </c:pt>
                <c:pt idx="1631">
                  <c:v>38158</c:v>
                </c:pt>
                <c:pt idx="1632">
                  <c:v>38159</c:v>
                </c:pt>
                <c:pt idx="1633">
                  <c:v>38160</c:v>
                </c:pt>
                <c:pt idx="1634">
                  <c:v>38161</c:v>
                </c:pt>
                <c:pt idx="1635">
                  <c:v>38162</c:v>
                </c:pt>
                <c:pt idx="1636">
                  <c:v>38163</c:v>
                </c:pt>
                <c:pt idx="1637">
                  <c:v>38164</c:v>
                </c:pt>
                <c:pt idx="1638">
                  <c:v>38165</c:v>
                </c:pt>
                <c:pt idx="1639">
                  <c:v>38166</c:v>
                </c:pt>
                <c:pt idx="1640">
                  <c:v>38167</c:v>
                </c:pt>
                <c:pt idx="1641">
                  <c:v>38168</c:v>
                </c:pt>
                <c:pt idx="1642">
                  <c:v>38169</c:v>
                </c:pt>
                <c:pt idx="1643">
                  <c:v>38170</c:v>
                </c:pt>
                <c:pt idx="1644">
                  <c:v>38171</c:v>
                </c:pt>
                <c:pt idx="1645">
                  <c:v>38172</c:v>
                </c:pt>
                <c:pt idx="1646">
                  <c:v>38173</c:v>
                </c:pt>
                <c:pt idx="1647">
                  <c:v>38174</c:v>
                </c:pt>
                <c:pt idx="1648">
                  <c:v>38175</c:v>
                </c:pt>
                <c:pt idx="1649">
                  <c:v>38176</c:v>
                </c:pt>
                <c:pt idx="1650">
                  <c:v>38177</c:v>
                </c:pt>
                <c:pt idx="1651">
                  <c:v>38178</c:v>
                </c:pt>
                <c:pt idx="1652">
                  <c:v>38179</c:v>
                </c:pt>
                <c:pt idx="1653">
                  <c:v>38180</c:v>
                </c:pt>
                <c:pt idx="1654">
                  <c:v>38181</c:v>
                </c:pt>
                <c:pt idx="1655">
                  <c:v>38182</c:v>
                </c:pt>
                <c:pt idx="1656">
                  <c:v>38183</c:v>
                </c:pt>
                <c:pt idx="1657">
                  <c:v>38184</c:v>
                </c:pt>
                <c:pt idx="1658">
                  <c:v>38185</c:v>
                </c:pt>
                <c:pt idx="1659">
                  <c:v>38186</c:v>
                </c:pt>
                <c:pt idx="1660">
                  <c:v>38187</c:v>
                </c:pt>
                <c:pt idx="1661">
                  <c:v>38188</c:v>
                </c:pt>
                <c:pt idx="1662">
                  <c:v>38189</c:v>
                </c:pt>
                <c:pt idx="1663">
                  <c:v>38190</c:v>
                </c:pt>
                <c:pt idx="1664">
                  <c:v>38191</c:v>
                </c:pt>
                <c:pt idx="1665">
                  <c:v>38192</c:v>
                </c:pt>
                <c:pt idx="1666">
                  <c:v>38193</c:v>
                </c:pt>
                <c:pt idx="1667">
                  <c:v>38194</c:v>
                </c:pt>
                <c:pt idx="1668">
                  <c:v>38195</c:v>
                </c:pt>
                <c:pt idx="1669">
                  <c:v>38196</c:v>
                </c:pt>
                <c:pt idx="1670">
                  <c:v>38197</c:v>
                </c:pt>
                <c:pt idx="1671">
                  <c:v>38198</c:v>
                </c:pt>
                <c:pt idx="1672">
                  <c:v>38199</c:v>
                </c:pt>
                <c:pt idx="1673">
                  <c:v>38200</c:v>
                </c:pt>
                <c:pt idx="1674">
                  <c:v>38201</c:v>
                </c:pt>
                <c:pt idx="1675">
                  <c:v>38202</c:v>
                </c:pt>
                <c:pt idx="1676">
                  <c:v>38203</c:v>
                </c:pt>
                <c:pt idx="1677">
                  <c:v>38204</c:v>
                </c:pt>
                <c:pt idx="1678">
                  <c:v>38205</c:v>
                </c:pt>
                <c:pt idx="1679">
                  <c:v>38206</c:v>
                </c:pt>
                <c:pt idx="1680">
                  <c:v>38207</c:v>
                </c:pt>
                <c:pt idx="1681">
                  <c:v>38208</c:v>
                </c:pt>
                <c:pt idx="1682">
                  <c:v>38209</c:v>
                </c:pt>
                <c:pt idx="1683">
                  <c:v>38210</c:v>
                </c:pt>
                <c:pt idx="1684">
                  <c:v>38211</c:v>
                </c:pt>
                <c:pt idx="1685">
                  <c:v>38212</c:v>
                </c:pt>
                <c:pt idx="1686">
                  <c:v>38213</c:v>
                </c:pt>
                <c:pt idx="1687">
                  <c:v>38214</c:v>
                </c:pt>
                <c:pt idx="1688">
                  <c:v>38215</c:v>
                </c:pt>
                <c:pt idx="1689">
                  <c:v>38216</c:v>
                </c:pt>
                <c:pt idx="1690">
                  <c:v>38217</c:v>
                </c:pt>
                <c:pt idx="1691">
                  <c:v>38218</c:v>
                </c:pt>
                <c:pt idx="1692">
                  <c:v>38219</c:v>
                </c:pt>
                <c:pt idx="1693">
                  <c:v>38220</c:v>
                </c:pt>
                <c:pt idx="1694">
                  <c:v>38221</c:v>
                </c:pt>
                <c:pt idx="1695">
                  <c:v>38222</c:v>
                </c:pt>
                <c:pt idx="1696">
                  <c:v>38223</c:v>
                </c:pt>
                <c:pt idx="1697">
                  <c:v>38224</c:v>
                </c:pt>
                <c:pt idx="1698">
                  <c:v>38225</c:v>
                </c:pt>
                <c:pt idx="1699">
                  <c:v>38226</c:v>
                </c:pt>
                <c:pt idx="1700">
                  <c:v>38227</c:v>
                </c:pt>
                <c:pt idx="1701">
                  <c:v>38228</c:v>
                </c:pt>
                <c:pt idx="1702">
                  <c:v>38229</c:v>
                </c:pt>
                <c:pt idx="1703">
                  <c:v>38230</c:v>
                </c:pt>
                <c:pt idx="1704">
                  <c:v>38231</c:v>
                </c:pt>
                <c:pt idx="1705">
                  <c:v>38232</c:v>
                </c:pt>
                <c:pt idx="1706">
                  <c:v>38233</c:v>
                </c:pt>
                <c:pt idx="1707">
                  <c:v>38234</c:v>
                </c:pt>
                <c:pt idx="1708">
                  <c:v>38235</c:v>
                </c:pt>
                <c:pt idx="1709">
                  <c:v>38236</c:v>
                </c:pt>
                <c:pt idx="1710">
                  <c:v>38237</c:v>
                </c:pt>
                <c:pt idx="1711">
                  <c:v>38238</c:v>
                </c:pt>
                <c:pt idx="1712">
                  <c:v>38239</c:v>
                </c:pt>
                <c:pt idx="1713">
                  <c:v>38240</c:v>
                </c:pt>
                <c:pt idx="1714">
                  <c:v>38241</c:v>
                </c:pt>
                <c:pt idx="1715">
                  <c:v>38242</c:v>
                </c:pt>
                <c:pt idx="1716">
                  <c:v>38243</c:v>
                </c:pt>
                <c:pt idx="1717">
                  <c:v>38244</c:v>
                </c:pt>
                <c:pt idx="1718">
                  <c:v>38245</c:v>
                </c:pt>
                <c:pt idx="1719">
                  <c:v>38246</c:v>
                </c:pt>
                <c:pt idx="1720">
                  <c:v>38247</c:v>
                </c:pt>
                <c:pt idx="1721">
                  <c:v>38248</c:v>
                </c:pt>
                <c:pt idx="1722">
                  <c:v>38249</c:v>
                </c:pt>
                <c:pt idx="1723">
                  <c:v>38250</c:v>
                </c:pt>
                <c:pt idx="1724">
                  <c:v>38251</c:v>
                </c:pt>
                <c:pt idx="1725">
                  <c:v>38252</c:v>
                </c:pt>
                <c:pt idx="1726">
                  <c:v>38253</c:v>
                </c:pt>
                <c:pt idx="1727">
                  <c:v>38254</c:v>
                </c:pt>
                <c:pt idx="1728">
                  <c:v>38255</c:v>
                </c:pt>
                <c:pt idx="1729">
                  <c:v>38256</c:v>
                </c:pt>
                <c:pt idx="1730">
                  <c:v>38257</c:v>
                </c:pt>
                <c:pt idx="1731">
                  <c:v>38258</c:v>
                </c:pt>
                <c:pt idx="1732">
                  <c:v>38259</c:v>
                </c:pt>
                <c:pt idx="1733">
                  <c:v>38260</c:v>
                </c:pt>
                <c:pt idx="1734">
                  <c:v>38261</c:v>
                </c:pt>
                <c:pt idx="1735">
                  <c:v>38262</c:v>
                </c:pt>
                <c:pt idx="1736">
                  <c:v>38263</c:v>
                </c:pt>
                <c:pt idx="1737">
                  <c:v>38264</c:v>
                </c:pt>
                <c:pt idx="1738">
                  <c:v>38265</c:v>
                </c:pt>
                <c:pt idx="1739">
                  <c:v>38266</c:v>
                </c:pt>
                <c:pt idx="1740">
                  <c:v>38267</c:v>
                </c:pt>
                <c:pt idx="1741">
                  <c:v>38268</c:v>
                </c:pt>
                <c:pt idx="1742">
                  <c:v>38269</c:v>
                </c:pt>
                <c:pt idx="1743">
                  <c:v>38270</c:v>
                </c:pt>
                <c:pt idx="1744">
                  <c:v>38271</c:v>
                </c:pt>
                <c:pt idx="1745">
                  <c:v>38272</c:v>
                </c:pt>
                <c:pt idx="1746">
                  <c:v>38273</c:v>
                </c:pt>
                <c:pt idx="1747">
                  <c:v>38274</c:v>
                </c:pt>
                <c:pt idx="1748">
                  <c:v>38275</c:v>
                </c:pt>
                <c:pt idx="1749">
                  <c:v>38276</c:v>
                </c:pt>
                <c:pt idx="1750">
                  <c:v>38277</c:v>
                </c:pt>
                <c:pt idx="1751">
                  <c:v>38278</c:v>
                </c:pt>
                <c:pt idx="1752">
                  <c:v>38279</c:v>
                </c:pt>
                <c:pt idx="1753">
                  <c:v>38280</c:v>
                </c:pt>
                <c:pt idx="1754">
                  <c:v>38281</c:v>
                </c:pt>
                <c:pt idx="1755">
                  <c:v>38282</c:v>
                </c:pt>
                <c:pt idx="1756">
                  <c:v>38283</c:v>
                </c:pt>
                <c:pt idx="1757">
                  <c:v>38284</c:v>
                </c:pt>
                <c:pt idx="1758">
                  <c:v>38285</c:v>
                </c:pt>
                <c:pt idx="1759">
                  <c:v>38286</c:v>
                </c:pt>
                <c:pt idx="1760">
                  <c:v>38287</c:v>
                </c:pt>
                <c:pt idx="1761">
                  <c:v>38288</c:v>
                </c:pt>
                <c:pt idx="1762">
                  <c:v>38289</c:v>
                </c:pt>
                <c:pt idx="1763">
                  <c:v>38290</c:v>
                </c:pt>
                <c:pt idx="1764">
                  <c:v>38291</c:v>
                </c:pt>
                <c:pt idx="1765">
                  <c:v>38292</c:v>
                </c:pt>
                <c:pt idx="1766">
                  <c:v>38293</c:v>
                </c:pt>
                <c:pt idx="1767">
                  <c:v>38294</c:v>
                </c:pt>
                <c:pt idx="1768">
                  <c:v>38295</c:v>
                </c:pt>
                <c:pt idx="1769">
                  <c:v>38296</c:v>
                </c:pt>
                <c:pt idx="1770">
                  <c:v>38297</c:v>
                </c:pt>
                <c:pt idx="1771">
                  <c:v>38298</c:v>
                </c:pt>
                <c:pt idx="1772">
                  <c:v>38299</c:v>
                </c:pt>
                <c:pt idx="1773">
                  <c:v>38300</c:v>
                </c:pt>
                <c:pt idx="1774">
                  <c:v>38301</c:v>
                </c:pt>
                <c:pt idx="1775">
                  <c:v>38302</c:v>
                </c:pt>
                <c:pt idx="1776">
                  <c:v>38303</c:v>
                </c:pt>
                <c:pt idx="1777">
                  <c:v>38304</c:v>
                </c:pt>
                <c:pt idx="1778">
                  <c:v>38305</c:v>
                </c:pt>
                <c:pt idx="1779">
                  <c:v>38306</c:v>
                </c:pt>
                <c:pt idx="1780">
                  <c:v>38307</c:v>
                </c:pt>
                <c:pt idx="1781">
                  <c:v>38308</c:v>
                </c:pt>
                <c:pt idx="1782">
                  <c:v>38309</c:v>
                </c:pt>
                <c:pt idx="1783">
                  <c:v>38310</c:v>
                </c:pt>
                <c:pt idx="1784">
                  <c:v>38311</c:v>
                </c:pt>
                <c:pt idx="1785">
                  <c:v>38312</c:v>
                </c:pt>
                <c:pt idx="1786">
                  <c:v>38313</c:v>
                </c:pt>
                <c:pt idx="1787">
                  <c:v>38314</c:v>
                </c:pt>
                <c:pt idx="1788">
                  <c:v>38315</c:v>
                </c:pt>
                <c:pt idx="1789">
                  <c:v>38316</c:v>
                </c:pt>
                <c:pt idx="1790">
                  <c:v>38317</c:v>
                </c:pt>
                <c:pt idx="1791">
                  <c:v>38318</c:v>
                </c:pt>
                <c:pt idx="1792">
                  <c:v>38319</c:v>
                </c:pt>
                <c:pt idx="1793">
                  <c:v>38320</c:v>
                </c:pt>
                <c:pt idx="1794">
                  <c:v>38321</c:v>
                </c:pt>
                <c:pt idx="1795">
                  <c:v>38322</c:v>
                </c:pt>
                <c:pt idx="1796">
                  <c:v>38323</c:v>
                </c:pt>
                <c:pt idx="1797">
                  <c:v>38324</c:v>
                </c:pt>
                <c:pt idx="1798">
                  <c:v>38325</c:v>
                </c:pt>
                <c:pt idx="1799">
                  <c:v>38326</c:v>
                </c:pt>
                <c:pt idx="1800">
                  <c:v>38327</c:v>
                </c:pt>
                <c:pt idx="1801">
                  <c:v>38328</c:v>
                </c:pt>
                <c:pt idx="1802">
                  <c:v>38329</c:v>
                </c:pt>
                <c:pt idx="1803">
                  <c:v>38330</c:v>
                </c:pt>
                <c:pt idx="1804">
                  <c:v>38331</c:v>
                </c:pt>
                <c:pt idx="1805">
                  <c:v>38332</c:v>
                </c:pt>
                <c:pt idx="1806">
                  <c:v>38333</c:v>
                </c:pt>
                <c:pt idx="1807">
                  <c:v>38334</c:v>
                </c:pt>
                <c:pt idx="1808">
                  <c:v>38335</c:v>
                </c:pt>
                <c:pt idx="1809">
                  <c:v>38336</c:v>
                </c:pt>
                <c:pt idx="1810">
                  <c:v>38337</c:v>
                </c:pt>
                <c:pt idx="1811">
                  <c:v>38338</c:v>
                </c:pt>
                <c:pt idx="1812">
                  <c:v>38339</c:v>
                </c:pt>
                <c:pt idx="1813">
                  <c:v>38340</c:v>
                </c:pt>
                <c:pt idx="1814">
                  <c:v>38341</c:v>
                </c:pt>
                <c:pt idx="1815">
                  <c:v>38342</c:v>
                </c:pt>
                <c:pt idx="1816">
                  <c:v>38343</c:v>
                </c:pt>
                <c:pt idx="1817">
                  <c:v>38344</c:v>
                </c:pt>
                <c:pt idx="1818">
                  <c:v>38345</c:v>
                </c:pt>
                <c:pt idx="1819">
                  <c:v>38346</c:v>
                </c:pt>
                <c:pt idx="1820">
                  <c:v>38347</c:v>
                </c:pt>
                <c:pt idx="1821">
                  <c:v>38348</c:v>
                </c:pt>
                <c:pt idx="1822">
                  <c:v>38349</c:v>
                </c:pt>
                <c:pt idx="1823">
                  <c:v>38350</c:v>
                </c:pt>
                <c:pt idx="1824">
                  <c:v>38351</c:v>
                </c:pt>
                <c:pt idx="1825">
                  <c:v>38352</c:v>
                </c:pt>
                <c:pt idx="1826">
                  <c:v>38353</c:v>
                </c:pt>
                <c:pt idx="1827">
                  <c:v>38354</c:v>
                </c:pt>
                <c:pt idx="1828">
                  <c:v>38355</c:v>
                </c:pt>
                <c:pt idx="1829">
                  <c:v>38356</c:v>
                </c:pt>
                <c:pt idx="1830">
                  <c:v>38357</c:v>
                </c:pt>
                <c:pt idx="1831">
                  <c:v>38358</c:v>
                </c:pt>
                <c:pt idx="1832">
                  <c:v>38359</c:v>
                </c:pt>
                <c:pt idx="1833">
                  <c:v>38360</c:v>
                </c:pt>
                <c:pt idx="1834">
                  <c:v>38361</c:v>
                </c:pt>
                <c:pt idx="1835">
                  <c:v>38362</c:v>
                </c:pt>
                <c:pt idx="1836">
                  <c:v>38363</c:v>
                </c:pt>
                <c:pt idx="1837">
                  <c:v>38364</c:v>
                </c:pt>
                <c:pt idx="1838">
                  <c:v>38365</c:v>
                </c:pt>
                <c:pt idx="1839">
                  <c:v>38366</c:v>
                </c:pt>
                <c:pt idx="1840">
                  <c:v>38367</c:v>
                </c:pt>
                <c:pt idx="1841">
                  <c:v>38368</c:v>
                </c:pt>
                <c:pt idx="1842">
                  <c:v>38369</c:v>
                </c:pt>
                <c:pt idx="1843">
                  <c:v>38370</c:v>
                </c:pt>
                <c:pt idx="1844">
                  <c:v>38371</c:v>
                </c:pt>
                <c:pt idx="1845">
                  <c:v>38372</c:v>
                </c:pt>
                <c:pt idx="1846">
                  <c:v>38373</c:v>
                </c:pt>
                <c:pt idx="1847">
                  <c:v>38374</c:v>
                </c:pt>
                <c:pt idx="1848">
                  <c:v>38375</c:v>
                </c:pt>
                <c:pt idx="1849">
                  <c:v>38376</c:v>
                </c:pt>
                <c:pt idx="1850">
                  <c:v>38377</c:v>
                </c:pt>
                <c:pt idx="1851">
                  <c:v>38378</c:v>
                </c:pt>
                <c:pt idx="1852">
                  <c:v>38379</c:v>
                </c:pt>
                <c:pt idx="1853">
                  <c:v>38380</c:v>
                </c:pt>
                <c:pt idx="1854">
                  <c:v>38381</c:v>
                </c:pt>
                <c:pt idx="1855">
                  <c:v>38382</c:v>
                </c:pt>
                <c:pt idx="1856">
                  <c:v>38383</c:v>
                </c:pt>
                <c:pt idx="1857">
                  <c:v>38384</c:v>
                </c:pt>
                <c:pt idx="1858">
                  <c:v>38385</c:v>
                </c:pt>
                <c:pt idx="1859">
                  <c:v>38386</c:v>
                </c:pt>
                <c:pt idx="1860">
                  <c:v>38387</c:v>
                </c:pt>
                <c:pt idx="1861">
                  <c:v>38388</c:v>
                </c:pt>
                <c:pt idx="1862">
                  <c:v>38389</c:v>
                </c:pt>
                <c:pt idx="1863">
                  <c:v>38390</c:v>
                </c:pt>
                <c:pt idx="1864">
                  <c:v>38391</c:v>
                </c:pt>
                <c:pt idx="1865">
                  <c:v>38392</c:v>
                </c:pt>
                <c:pt idx="1866">
                  <c:v>38393</c:v>
                </c:pt>
                <c:pt idx="1867">
                  <c:v>38394</c:v>
                </c:pt>
                <c:pt idx="1868">
                  <c:v>38395</c:v>
                </c:pt>
                <c:pt idx="1869">
                  <c:v>38396</c:v>
                </c:pt>
                <c:pt idx="1870">
                  <c:v>38397</c:v>
                </c:pt>
                <c:pt idx="1871">
                  <c:v>38398</c:v>
                </c:pt>
                <c:pt idx="1872">
                  <c:v>38399</c:v>
                </c:pt>
                <c:pt idx="1873">
                  <c:v>38400</c:v>
                </c:pt>
                <c:pt idx="1874">
                  <c:v>38401</c:v>
                </c:pt>
                <c:pt idx="1875">
                  <c:v>38402</c:v>
                </c:pt>
                <c:pt idx="1876">
                  <c:v>38403</c:v>
                </c:pt>
                <c:pt idx="1877">
                  <c:v>38404</c:v>
                </c:pt>
                <c:pt idx="1878">
                  <c:v>38405</c:v>
                </c:pt>
                <c:pt idx="1879">
                  <c:v>38406</c:v>
                </c:pt>
                <c:pt idx="1880">
                  <c:v>38407</c:v>
                </c:pt>
                <c:pt idx="1881">
                  <c:v>38408</c:v>
                </c:pt>
                <c:pt idx="1882">
                  <c:v>38409</c:v>
                </c:pt>
                <c:pt idx="1883">
                  <c:v>38410</c:v>
                </c:pt>
                <c:pt idx="1884">
                  <c:v>38411</c:v>
                </c:pt>
                <c:pt idx="1885">
                  <c:v>38412</c:v>
                </c:pt>
                <c:pt idx="1886">
                  <c:v>38413</c:v>
                </c:pt>
                <c:pt idx="1887">
                  <c:v>38414</c:v>
                </c:pt>
                <c:pt idx="1888">
                  <c:v>38415</c:v>
                </c:pt>
                <c:pt idx="1889">
                  <c:v>38416</c:v>
                </c:pt>
                <c:pt idx="1890">
                  <c:v>38417</c:v>
                </c:pt>
                <c:pt idx="1891">
                  <c:v>38418</c:v>
                </c:pt>
                <c:pt idx="1892">
                  <c:v>38419</c:v>
                </c:pt>
                <c:pt idx="1893">
                  <c:v>38420</c:v>
                </c:pt>
                <c:pt idx="1894">
                  <c:v>38421</c:v>
                </c:pt>
                <c:pt idx="1895">
                  <c:v>38422</c:v>
                </c:pt>
                <c:pt idx="1896">
                  <c:v>38423</c:v>
                </c:pt>
                <c:pt idx="1897">
                  <c:v>38424</c:v>
                </c:pt>
                <c:pt idx="1898">
                  <c:v>38425</c:v>
                </c:pt>
                <c:pt idx="1899">
                  <c:v>38426</c:v>
                </c:pt>
                <c:pt idx="1900">
                  <c:v>38427</c:v>
                </c:pt>
                <c:pt idx="1901">
                  <c:v>38428</c:v>
                </c:pt>
                <c:pt idx="1902">
                  <c:v>38429</c:v>
                </c:pt>
                <c:pt idx="1903">
                  <c:v>38430</c:v>
                </c:pt>
                <c:pt idx="1904">
                  <c:v>38431</c:v>
                </c:pt>
                <c:pt idx="1905">
                  <c:v>38432</c:v>
                </c:pt>
                <c:pt idx="1906">
                  <c:v>38433</c:v>
                </c:pt>
                <c:pt idx="1907">
                  <c:v>38434</c:v>
                </c:pt>
                <c:pt idx="1908">
                  <c:v>38435</c:v>
                </c:pt>
                <c:pt idx="1909">
                  <c:v>38436</c:v>
                </c:pt>
                <c:pt idx="1910">
                  <c:v>38437</c:v>
                </c:pt>
                <c:pt idx="1911">
                  <c:v>38438</c:v>
                </c:pt>
                <c:pt idx="1912">
                  <c:v>38439</c:v>
                </c:pt>
                <c:pt idx="1913">
                  <c:v>38440</c:v>
                </c:pt>
                <c:pt idx="1914">
                  <c:v>38441</c:v>
                </c:pt>
                <c:pt idx="1915">
                  <c:v>38442</c:v>
                </c:pt>
                <c:pt idx="1916">
                  <c:v>38443</c:v>
                </c:pt>
                <c:pt idx="1917">
                  <c:v>38444</c:v>
                </c:pt>
                <c:pt idx="1918">
                  <c:v>38445</c:v>
                </c:pt>
                <c:pt idx="1919">
                  <c:v>38446</c:v>
                </c:pt>
                <c:pt idx="1920">
                  <c:v>38447</c:v>
                </c:pt>
                <c:pt idx="1921">
                  <c:v>38448</c:v>
                </c:pt>
                <c:pt idx="1922">
                  <c:v>38449</c:v>
                </c:pt>
                <c:pt idx="1923">
                  <c:v>38450</c:v>
                </c:pt>
                <c:pt idx="1924">
                  <c:v>38451</c:v>
                </c:pt>
                <c:pt idx="1925">
                  <c:v>38452</c:v>
                </c:pt>
                <c:pt idx="1926">
                  <c:v>38453</c:v>
                </c:pt>
                <c:pt idx="1927">
                  <c:v>38454</c:v>
                </c:pt>
                <c:pt idx="1928">
                  <c:v>38455</c:v>
                </c:pt>
                <c:pt idx="1929">
                  <c:v>38456</c:v>
                </c:pt>
                <c:pt idx="1930">
                  <c:v>38457</c:v>
                </c:pt>
                <c:pt idx="1931">
                  <c:v>38458</c:v>
                </c:pt>
                <c:pt idx="1932">
                  <c:v>38459</c:v>
                </c:pt>
                <c:pt idx="1933">
                  <c:v>38460</c:v>
                </c:pt>
                <c:pt idx="1934">
                  <c:v>38461</c:v>
                </c:pt>
                <c:pt idx="1935">
                  <c:v>38462</c:v>
                </c:pt>
                <c:pt idx="1936">
                  <c:v>38463</c:v>
                </c:pt>
                <c:pt idx="1937">
                  <c:v>38464</c:v>
                </c:pt>
                <c:pt idx="1938">
                  <c:v>38465</c:v>
                </c:pt>
                <c:pt idx="1939">
                  <c:v>38466</c:v>
                </c:pt>
                <c:pt idx="1940">
                  <c:v>38467</c:v>
                </c:pt>
                <c:pt idx="1941">
                  <c:v>38468</c:v>
                </c:pt>
                <c:pt idx="1942">
                  <c:v>38469</c:v>
                </c:pt>
                <c:pt idx="1943">
                  <c:v>38470</c:v>
                </c:pt>
                <c:pt idx="1944">
                  <c:v>38471</c:v>
                </c:pt>
                <c:pt idx="1945">
                  <c:v>38472</c:v>
                </c:pt>
                <c:pt idx="1946">
                  <c:v>38473</c:v>
                </c:pt>
                <c:pt idx="1947">
                  <c:v>38474</c:v>
                </c:pt>
                <c:pt idx="1948">
                  <c:v>38475</c:v>
                </c:pt>
                <c:pt idx="1949">
                  <c:v>38476</c:v>
                </c:pt>
                <c:pt idx="1950">
                  <c:v>38477</c:v>
                </c:pt>
                <c:pt idx="1951">
                  <c:v>38478</c:v>
                </c:pt>
                <c:pt idx="1952">
                  <c:v>38479</c:v>
                </c:pt>
                <c:pt idx="1953">
                  <c:v>38480</c:v>
                </c:pt>
                <c:pt idx="1954">
                  <c:v>38481</c:v>
                </c:pt>
                <c:pt idx="1955">
                  <c:v>38482</c:v>
                </c:pt>
                <c:pt idx="1956">
                  <c:v>38483</c:v>
                </c:pt>
                <c:pt idx="1957">
                  <c:v>38484</c:v>
                </c:pt>
                <c:pt idx="1958">
                  <c:v>38485</c:v>
                </c:pt>
                <c:pt idx="1959">
                  <c:v>38486</c:v>
                </c:pt>
                <c:pt idx="1960">
                  <c:v>38487</c:v>
                </c:pt>
                <c:pt idx="1961">
                  <c:v>38488</c:v>
                </c:pt>
                <c:pt idx="1962">
                  <c:v>38489</c:v>
                </c:pt>
                <c:pt idx="1963">
                  <c:v>38490</c:v>
                </c:pt>
                <c:pt idx="1964">
                  <c:v>38491</c:v>
                </c:pt>
                <c:pt idx="1965">
                  <c:v>38492</c:v>
                </c:pt>
                <c:pt idx="1966">
                  <c:v>38493</c:v>
                </c:pt>
                <c:pt idx="1967">
                  <c:v>38494</c:v>
                </c:pt>
                <c:pt idx="1968">
                  <c:v>38495</c:v>
                </c:pt>
                <c:pt idx="1969">
                  <c:v>38496</c:v>
                </c:pt>
                <c:pt idx="1970">
                  <c:v>38497</c:v>
                </c:pt>
                <c:pt idx="1971">
                  <c:v>38498</c:v>
                </c:pt>
                <c:pt idx="1972">
                  <c:v>38499</c:v>
                </c:pt>
                <c:pt idx="1973">
                  <c:v>38500</c:v>
                </c:pt>
                <c:pt idx="1974">
                  <c:v>38501</c:v>
                </c:pt>
                <c:pt idx="1975">
                  <c:v>38502</c:v>
                </c:pt>
                <c:pt idx="1976">
                  <c:v>38503</c:v>
                </c:pt>
                <c:pt idx="1977">
                  <c:v>38504</c:v>
                </c:pt>
                <c:pt idx="1978">
                  <c:v>38505</c:v>
                </c:pt>
                <c:pt idx="1979">
                  <c:v>38506</c:v>
                </c:pt>
                <c:pt idx="1980">
                  <c:v>38507</c:v>
                </c:pt>
                <c:pt idx="1981">
                  <c:v>38508</c:v>
                </c:pt>
                <c:pt idx="1982">
                  <c:v>38509</c:v>
                </c:pt>
                <c:pt idx="1983">
                  <c:v>38510</c:v>
                </c:pt>
                <c:pt idx="1984">
                  <c:v>38511</c:v>
                </c:pt>
                <c:pt idx="1985">
                  <c:v>38512</c:v>
                </c:pt>
                <c:pt idx="1986">
                  <c:v>38513</c:v>
                </c:pt>
                <c:pt idx="1987">
                  <c:v>38514</c:v>
                </c:pt>
                <c:pt idx="1988">
                  <c:v>38515</c:v>
                </c:pt>
                <c:pt idx="1989">
                  <c:v>38516</c:v>
                </c:pt>
                <c:pt idx="1990">
                  <c:v>38517</c:v>
                </c:pt>
                <c:pt idx="1991">
                  <c:v>38518</c:v>
                </c:pt>
                <c:pt idx="1992">
                  <c:v>38519</c:v>
                </c:pt>
                <c:pt idx="1993">
                  <c:v>38520</c:v>
                </c:pt>
                <c:pt idx="1994">
                  <c:v>38521</c:v>
                </c:pt>
                <c:pt idx="1995">
                  <c:v>38522</c:v>
                </c:pt>
                <c:pt idx="1996">
                  <c:v>38523</c:v>
                </c:pt>
                <c:pt idx="1997">
                  <c:v>38524</c:v>
                </c:pt>
                <c:pt idx="1998">
                  <c:v>38525</c:v>
                </c:pt>
                <c:pt idx="1999">
                  <c:v>38526</c:v>
                </c:pt>
                <c:pt idx="2000">
                  <c:v>38527</c:v>
                </c:pt>
                <c:pt idx="2001">
                  <c:v>38528</c:v>
                </c:pt>
                <c:pt idx="2002">
                  <c:v>38529</c:v>
                </c:pt>
                <c:pt idx="2003">
                  <c:v>38530</c:v>
                </c:pt>
                <c:pt idx="2004">
                  <c:v>38531</c:v>
                </c:pt>
                <c:pt idx="2005">
                  <c:v>38532</c:v>
                </c:pt>
                <c:pt idx="2006">
                  <c:v>38533</c:v>
                </c:pt>
                <c:pt idx="2007">
                  <c:v>38534</c:v>
                </c:pt>
                <c:pt idx="2008">
                  <c:v>38535</c:v>
                </c:pt>
                <c:pt idx="2009">
                  <c:v>38536</c:v>
                </c:pt>
                <c:pt idx="2010">
                  <c:v>38537</c:v>
                </c:pt>
                <c:pt idx="2011">
                  <c:v>38538</c:v>
                </c:pt>
                <c:pt idx="2012">
                  <c:v>38539</c:v>
                </c:pt>
                <c:pt idx="2013">
                  <c:v>38540</c:v>
                </c:pt>
                <c:pt idx="2014">
                  <c:v>38541</c:v>
                </c:pt>
                <c:pt idx="2015">
                  <c:v>38542</c:v>
                </c:pt>
                <c:pt idx="2016">
                  <c:v>38543</c:v>
                </c:pt>
                <c:pt idx="2017">
                  <c:v>38544</c:v>
                </c:pt>
                <c:pt idx="2018">
                  <c:v>38545</c:v>
                </c:pt>
                <c:pt idx="2019">
                  <c:v>38546</c:v>
                </c:pt>
                <c:pt idx="2020">
                  <c:v>38547</c:v>
                </c:pt>
                <c:pt idx="2021">
                  <c:v>38548</c:v>
                </c:pt>
                <c:pt idx="2022">
                  <c:v>38549</c:v>
                </c:pt>
                <c:pt idx="2023">
                  <c:v>38550</c:v>
                </c:pt>
                <c:pt idx="2024">
                  <c:v>38551</c:v>
                </c:pt>
                <c:pt idx="2025">
                  <c:v>38552</c:v>
                </c:pt>
                <c:pt idx="2026">
                  <c:v>38553</c:v>
                </c:pt>
                <c:pt idx="2027">
                  <c:v>38554</c:v>
                </c:pt>
                <c:pt idx="2028">
                  <c:v>38555</c:v>
                </c:pt>
                <c:pt idx="2029">
                  <c:v>38556</c:v>
                </c:pt>
                <c:pt idx="2030">
                  <c:v>38557</c:v>
                </c:pt>
                <c:pt idx="2031">
                  <c:v>38558</c:v>
                </c:pt>
                <c:pt idx="2032">
                  <c:v>38559</c:v>
                </c:pt>
                <c:pt idx="2033">
                  <c:v>38560</c:v>
                </c:pt>
                <c:pt idx="2034">
                  <c:v>38561</c:v>
                </c:pt>
                <c:pt idx="2035">
                  <c:v>38562</c:v>
                </c:pt>
                <c:pt idx="2036">
                  <c:v>38563</c:v>
                </c:pt>
                <c:pt idx="2037">
                  <c:v>38564</c:v>
                </c:pt>
                <c:pt idx="2038">
                  <c:v>38565</c:v>
                </c:pt>
                <c:pt idx="2039">
                  <c:v>38566</c:v>
                </c:pt>
                <c:pt idx="2040">
                  <c:v>38567</c:v>
                </c:pt>
                <c:pt idx="2041">
                  <c:v>38568</c:v>
                </c:pt>
                <c:pt idx="2042">
                  <c:v>38569</c:v>
                </c:pt>
                <c:pt idx="2043">
                  <c:v>38570</c:v>
                </c:pt>
                <c:pt idx="2044">
                  <c:v>38571</c:v>
                </c:pt>
                <c:pt idx="2045">
                  <c:v>38572</c:v>
                </c:pt>
                <c:pt idx="2046">
                  <c:v>38573</c:v>
                </c:pt>
                <c:pt idx="2047">
                  <c:v>38574</c:v>
                </c:pt>
                <c:pt idx="2048">
                  <c:v>38575</c:v>
                </c:pt>
                <c:pt idx="2049">
                  <c:v>38576</c:v>
                </c:pt>
                <c:pt idx="2050">
                  <c:v>38577</c:v>
                </c:pt>
                <c:pt idx="2051">
                  <c:v>38578</c:v>
                </c:pt>
                <c:pt idx="2052">
                  <c:v>38579</c:v>
                </c:pt>
                <c:pt idx="2053">
                  <c:v>38580</c:v>
                </c:pt>
                <c:pt idx="2054">
                  <c:v>38581</c:v>
                </c:pt>
                <c:pt idx="2055">
                  <c:v>38582</c:v>
                </c:pt>
                <c:pt idx="2056">
                  <c:v>38583</c:v>
                </c:pt>
                <c:pt idx="2057">
                  <c:v>38584</c:v>
                </c:pt>
                <c:pt idx="2058">
                  <c:v>38585</c:v>
                </c:pt>
                <c:pt idx="2059">
                  <c:v>38586</c:v>
                </c:pt>
                <c:pt idx="2060">
                  <c:v>38587</c:v>
                </c:pt>
                <c:pt idx="2061">
                  <c:v>38588</c:v>
                </c:pt>
                <c:pt idx="2062">
                  <c:v>38589</c:v>
                </c:pt>
                <c:pt idx="2063">
                  <c:v>38590</c:v>
                </c:pt>
                <c:pt idx="2064">
                  <c:v>38591</c:v>
                </c:pt>
                <c:pt idx="2065">
                  <c:v>38592</c:v>
                </c:pt>
                <c:pt idx="2066">
                  <c:v>38593</c:v>
                </c:pt>
                <c:pt idx="2067">
                  <c:v>38594</c:v>
                </c:pt>
                <c:pt idx="2068">
                  <c:v>38595</c:v>
                </c:pt>
                <c:pt idx="2069">
                  <c:v>38596</c:v>
                </c:pt>
                <c:pt idx="2070">
                  <c:v>38597</c:v>
                </c:pt>
                <c:pt idx="2071">
                  <c:v>38598</c:v>
                </c:pt>
                <c:pt idx="2072">
                  <c:v>38599</c:v>
                </c:pt>
                <c:pt idx="2073">
                  <c:v>38600</c:v>
                </c:pt>
                <c:pt idx="2074">
                  <c:v>38601</c:v>
                </c:pt>
                <c:pt idx="2075">
                  <c:v>38602</c:v>
                </c:pt>
                <c:pt idx="2076">
                  <c:v>38603</c:v>
                </c:pt>
                <c:pt idx="2077">
                  <c:v>38604</c:v>
                </c:pt>
                <c:pt idx="2078">
                  <c:v>38605</c:v>
                </c:pt>
                <c:pt idx="2079">
                  <c:v>38606</c:v>
                </c:pt>
                <c:pt idx="2080">
                  <c:v>38607</c:v>
                </c:pt>
                <c:pt idx="2081">
                  <c:v>38608</c:v>
                </c:pt>
                <c:pt idx="2082">
                  <c:v>38609</c:v>
                </c:pt>
                <c:pt idx="2083">
                  <c:v>38610</c:v>
                </c:pt>
                <c:pt idx="2084">
                  <c:v>38611</c:v>
                </c:pt>
                <c:pt idx="2085">
                  <c:v>38612</c:v>
                </c:pt>
                <c:pt idx="2086">
                  <c:v>38613</c:v>
                </c:pt>
                <c:pt idx="2087">
                  <c:v>38614</c:v>
                </c:pt>
                <c:pt idx="2088">
                  <c:v>38615</c:v>
                </c:pt>
                <c:pt idx="2089">
                  <c:v>38616</c:v>
                </c:pt>
                <c:pt idx="2090">
                  <c:v>38617</c:v>
                </c:pt>
                <c:pt idx="2091">
                  <c:v>38618</c:v>
                </c:pt>
                <c:pt idx="2092">
                  <c:v>38619</c:v>
                </c:pt>
                <c:pt idx="2093">
                  <c:v>38620</c:v>
                </c:pt>
                <c:pt idx="2094">
                  <c:v>38621</c:v>
                </c:pt>
                <c:pt idx="2095">
                  <c:v>38622</c:v>
                </c:pt>
                <c:pt idx="2096">
                  <c:v>38623</c:v>
                </c:pt>
                <c:pt idx="2097">
                  <c:v>38624</c:v>
                </c:pt>
                <c:pt idx="2098">
                  <c:v>38625</c:v>
                </c:pt>
                <c:pt idx="2099">
                  <c:v>38626</c:v>
                </c:pt>
                <c:pt idx="2100">
                  <c:v>38627</c:v>
                </c:pt>
                <c:pt idx="2101">
                  <c:v>38628</c:v>
                </c:pt>
                <c:pt idx="2102">
                  <c:v>38629</c:v>
                </c:pt>
                <c:pt idx="2103">
                  <c:v>38630</c:v>
                </c:pt>
                <c:pt idx="2104">
                  <c:v>38631</c:v>
                </c:pt>
                <c:pt idx="2105">
                  <c:v>38632</c:v>
                </c:pt>
                <c:pt idx="2106">
                  <c:v>38633</c:v>
                </c:pt>
                <c:pt idx="2107">
                  <c:v>38634</c:v>
                </c:pt>
                <c:pt idx="2108">
                  <c:v>38635</c:v>
                </c:pt>
                <c:pt idx="2109">
                  <c:v>38636</c:v>
                </c:pt>
                <c:pt idx="2110">
                  <c:v>38637</c:v>
                </c:pt>
                <c:pt idx="2111">
                  <c:v>38638</c:v>
                </c:pt>
                <c:pt idx="2112">
                  <c:v>38639</c:v>
                </c:pt>
                <c:pt idx="2113">
                  <c:v>38640</c:v>
                </c:pt>
                <c:pt idx="2114">
                  <c:v>38641</c:v>
                </c:pt>
                <c:pt idx="2115">
                  <c:v>38642</c:v>
                </c:pt>
                <c:pt idx="2116">
                  <c:v>38643</c:v>
                </c:pt>
                <c:pt idx="2117">
                  <c:v>38644</c:v>
                </c:pt>
                <c:pt idx="2118">
                  <c:v>38645</c:v>
                </c:pt>
                <c:pt idx="2119">
                  <c:v>38646</c:v>
                </c:pt>
                <c:pt idx="2120">
                  <c:v>38647</c:v>
                </c:pt>
                <c:pt idx="2121">
                  <c:v>38648</c:v>
                </c:pt>
                <c:pt idx="2122">
                  <c:v>38649</c:v>
                </c:pt>
                <c:pt idx="2123">
                  <c:v>38650</c:v>
                </c:pt>
                <c:pt idx="2124">
                  <c:v>38651</c:v>
                </c:pt>
                <c:pt idx="2125">
                  <c:v>38652</c:v>
                </c:pt>
                <c:pt idx="2126">
                  <c:v>38653</c:v>
                </c:pt>
                <c:pt idx="2127">
                  <c:v>38654</c:v>
                </c:pt>
                <c:pt idx="2128">
                  <c:v>38655</c:v>
                </c:pt>
                <c:pt idx="2129">
                  <c:v>38656</c:v>
                </c:pt>
                <c:pt idx="2130">
                  <c:v>38657</c:v>
                </c:pt>
                <c:pt idx="2131">
                  <c:v>38658</c:v>
                </c:pt>
                <c:pt idx="2132">
                  <c:v>38659</c:v>
                </c:pt>
                <c:pt idx="2133">
                  <c:v>38660</c:v>
                </c:pt>
                <c:pt idx="2134">
                  <c:v>38661</c:v>
                </c:pt>
                <c:pt idx="2135">
                  <c:v>38662</c:v>
                </c:pt>
                <c:pt idx="2136">
                  <c:v>38663</c:v>
                </c:pt>
                <c:pt idx="2137">
                  <c:v>38664</c:v>
                </c:pt>
                <c:pt idx="2138">
                  <c:v>38665</c:v>
                </c:pt>
                <c:pt idx="2139">
                  <c:v>38666</c:v>
                </c:pt>
                <c:pt idx="2140">
                  <c:v>38667</c:v>
                </c:pt>
                <c:pt idx="2141">
                  <c:v>38668</c:v>
                </c:pt>
                <c:pt idx="2142">
                  <c:v>38669</c:v>
                </c:pt>
                <c:pt idx="2143">
                  <c:v>38670</c:v>
                </c:pt>
                <c:pt idx="2144">
                  <c:v>38671</c:v>
                </c:pt>
                <c:pt idx="2145">
                  <c:v>38672</c:v>
                </c:pt>
                <c:pt idx="2146">
                  <c:v>38673</c:v>
                </c:pt>
                <c:pt idx="2147">
                  <c:v>38674</c:v>
                </c:pt>
                <c:pt idx="2148">
                  <c:v>38675</c:v>
                </c:pt>
                <c:pt idx="2149">
                  <c:v>38676</c:v>
                </c:pt>
                <c:pt idx="2150">
                  <c:v>38677</c:v>
                </c:pt>
                <c:pt idx="2151">
                  <c:v>38678</c:v>
                </c:pt>
                <c:pt idx="2152">
                  <c:v>38679</c:v>
                </c:pt>
                <c:pt idx="2153">
                  <c:v>38680</c:v>
                </c:pt>
                <c:pt idx="2154">
                  <c:v>38681</c:v>
                </c:pt>
                <c:pt idx="2155">
                  <c:v>38682</c:v>
                </c:pt>
                <c:pt idx="2156">
                  <c:v>38683</c:v>
                </c:pt>
                <c:pt idx="2157">
                  <c:v>38684</c:v>
                </c:pt>
                <c:pt idx="2158">
                  <c:v>38685</c:v>
                </c:pt>
                <c:pt idx="2159">
                  <c:v>38686</c:v>
                </c:pt>
                <c:pt idx="2160">
                  <c:v>38687</c:v>
                </c:pt>
                <c:pt idx="2161">
                  <c:v>38688</c:v>
                </c:pt>
                <c:pt idx="2162">
                  <c:v>38689</c:v>
                </c:pt>
                <c:pt idx="2163">
                  <c:v>38690</c:v>
                </c:pt>
                <c:pt idx="2164">
                  <c:v>38691</c:v>
                </c:pt>
                <c:pt idx="2165">
                  <c:v>38692</c:v>
                </c:pt>
                <c:pt idx="2166">
                  <c:v>38693</c:v>
                </c:pt>
                <c:pt idx="2167">
                  <c:v>38694</c:v>
                </c:pt>
                <c:pt idx="2168">
                  <c:v>38695</c:v>
                </c:pt>
                <c:pt idx="2169">
                  <c:v>38696</c:v>
                </c:pt>
                <c:pt idx="2170">
                  <c:v>38697</c:v>
                </c:pt>
                <c:pt idx="2171">
                  <c:v>38698</c:v>
                </c:pt>
                <c:pt idx="2172">
                  <c:v>38699</c:v>
                </c:pt>
                <c:pt idx="2173">
                  <c:v>38700</c:v>
                </c:pt>
                <c:pt idx="2174">
                  <c:v>38701</c:v>
                </c:pt>
                <c:pt idx="2175">
                  <c:v>38702</c:v>
                </c:pt>
                <c:pt idx="2176">
                  <c:v>38703</c:v>
                </c:pt>
                <c:pt idx="2177">
                  <c:v>38704</c:v>
                </c:pt>
                <c:pt idx="2178">
                  <c:v>38705</c:v>
                </c:pt>
                <c:pt idx="2179">
                  <c:v>38706</c:v>
                </c:pt>
                <c:pt idx="2180">
                  <c:v>38707</c:v>
                </c:pt>
                <c:pt idx="2181">
                  <c:v>38708</c:v>
                </c:pt>
                <c:pt idx="2182">
                  <c:v>38709</c:v>
                </c:pt>
                <c:pt idx="2183">
                  <c:v>38710</c:v>
                </c:pt>
                <c:pt idx="2184">
                  <c:v>38711</c:v>
                </c:pt>
                <c:pt idx="2185">
                  <c:v>38712</c:v>
                </c:pt>
                <c:pt idx="2186">
                  <c:v>38713</c:v>
                </c:pt>
                <c:pt idx="2187">
                  <c:v>38714</c:v>
                </c:pt>
                <c:pt idx="2188">
                  <c:v>38715</c:v>
                </c:pt>
                <c:pt idx="2189">
                  <c:v>38716</c:v>
                </c:pt>
                <c:pt idx="2190">
                  <c:v>38717</c:v>
                </c:pt>
                <c:pt idx="2191">
                  <c:v>38718</c:v>
                </c:pt>
                <c:pt idx="2192">
                  <c:v>38719</c:v>
                </c:pt>
                <c:pt idx="2193">
                  <c:v>38720</c:v>
                </c:pt>
                <c:pt idx="2194">
                  <c:v>38721</c:v>
                </c:pt>
                <c:pt idx="2195">
                  <c:v>38722</c:v>
                </c:pt>
                <c:pt idx="2196">
                  <c:v>38723</c:v>
                </c:pt>
                <c:pt idx="2197">
                  <c:v>38724</c:v>
                </c:pt>
                <c:pt idx="2198">
                  <c:v>38725</c:v>
                </c:pt>
                <c:pt idx="2199">
                  <c:v>38726</c:v>
                </c:pt>
                <c:pt idx="2200">
                  <c:v>38727</c:v>
                </c:pt>
                <c:pt idx="2201">
                  <c:v>38728</c:v>
                </c:pt>
                <c:pt idx="2202">
                  <c:v>38729</c:v>
                </c:pt>
                <c:pt idx="2203">
                  <c:v>38730</c:v>
                </c:pt>
                <c:pt idx="2204">
                  <c:v>38731</c:v>
                </c:pt>
                <c:pt idx="2205">
                  <c:v>38732</c:v>
                </c:pt>
                <c:pt idx="2206">
                  <c:v>38733</c:v>
                </c:pt>
                <c:pt idx="2207">
                  <c:v>38734</c:v>
                </c:pt>
                <c:pt idx="2208">
                  <c:v>38735</c:v>
                </c:pt>
                <c:pt idx="2209">
                  <c:v>38736</c:v>
                </c:pt>
                <c:pt idx="2210">
                  <c:v>38737</c:v>
                </c:pt>
                <c:pt idx="2211">
                  <c:v>38738</c:v>
                </c:pt>
                <c:pt idx="2212">
                  <c:v>38739</c:v>
                </c:pt>
                <c:pt idx="2213">
                  <c:v>38740</c:v>
                </c:pt>
                <c:pt idx="2214">
                  <c:v>38741</c:v>
                </c:pt>
                <c:pt idx="2215">
                  <c:v>38742</c:v>
                </c:pt>
                <c:pt idx="2216">
                  <c:v>38743</c:v>
                </c:pt>
                <c:pt idx="2217">
                  <c:v>38744</c:v>
                </c:pt>
                <c:pt idx="2218">
                  <c:v>38745</c:v>
                </c:pt>
                <c:pt idx="2219">
                  <c:v>38746</c:v>
                </c:pt>
                <c:pt idx="2220">
                  <c:v>38747</c:v>
                </c:pt>
                <c:pt idx="2221">
                  <c:v>38748</c:v>
                </c:pt>
                <c:pt idx="2222">
                  <c:v>38749</c:v>
                </c:pt>
                <c:pt idx="2223">
                  <c:v>38750</c:v>
                </c:pt>
                <c:pt idx="2224">
                  <c:v>38751</c:v>
                </c:pt>
                <c:pt idx="2225">
                  <c:v>38752</c:v>
                </c:pt>
                <c:pt idx="2226">
                  <c:v>38753</c:v>
                </c:pt>
                <c:pt idx="2227">
                  <c:v>38754</c:v>
                </c:pt>
                <c:pt idx="2228">
                  <c:v>38755</c:v>
                </c:pt>
                <c:pt idx="2229">
                  <c:v>38756</c:v>
                </c:pt>
                <c:pt idx="2230">
                  <c:v>38757</c:v>
                </c:pt>
                <c:pt idx="2231">
                  <c:v>38758</c:v>
                </c:pt>
                <c:pt idx="2232">
                  <c:v>38759</c:v>
                </c:pt>
                <c:pt idx="2233">
                  <c:v>38760</c:v>
                </c:pt>
                <c:pt idx="2234">
                  <c:v>38761</c:v>
                </c:pt>
                <c:pt idx="2235">
                  <c:v>38762</c:v>
                </c:pt>
                <c:pt idx="2236">
                  <c:v>38763</c:v>
                </c:pt>
                <c:pt idx="2237">
                  <c:v>38764</c:v>
                </c:pt>
                <c:pt idx="2238">
                  <c:v>38765</c:v>
                </c:pt>
                <c:pt idx="2239">
                  <c:v>38766</c:v>
                </c:pt>
                <c:pt idx="2240">
                  <c:v>38767</c:v>
                </c:pt>
                <c:pt idx="2241">
                  <c:v>38768</c:v>
                </c:pt>
                <c:pt idx="2242">
                  <c:v>38769</c:v>
                </c:pt>
                <c:pt idx="2243">
                  <c:v>38770</c:v>
                </c:pt>
                <c:pt idx="2244">
                  <c:v>38771</c:v>
                </c:pt>
                <c:pt idx="2245">
                  <c:v>38772</c:v>
                </c:pt>
                <c:pt idx="2246">
                  <c:v>38773</c:v>
                </c:pt>
                <c:pt idx="2247">
                  <c:v>38774</c:v>
                </c:pt>
                <c:pt idx="2248">
                  <c:v>38775</c:v>
                </c:pt>
                <c:pt idx="2249">
                  <c:v>38776</c:v>
                </c:pt>
                <c:pt idx="2250">
                  <c:v>38777</c:v>
                </c:pt>
                <c:pt idx="2251">
                  <c:v>38778</c:v>
                </c:pt>
                <c:pt idx="2252">
                  <c:v>38779</c:v>
                </c:pt>
                <c:pt idx="2253">
                  <c:v>38780</c:v>
                </c:pt>
                <c:pt idx="2254">
                  <c:v>38781</c:v>
                </c:pt>
                <c:pt idx="2255">
                  <c:v>38782</c:v>
                </c:pt>
                <c:pt idx="2256">
                  <c:v>38783</c:v>
                </c:pt>
                <c:pt idx="2257">
                  <c:v>38784</c:v>
                </c:pt>
                <c:pt idx="2258">
                  <c:v>38785</c:v>
                </c:pt>
                <c:pt idx="2259">
                  <c:v>38786</c:v>
                </c:pt>
                <c:pt idx="2260">
                  <c:v>38787</c:v>
                </c:pt>
                <c:pt idx="2261">
                  <c:v>38788</c:v>
                </c:pt>
                <c:pt idx="2262">
                  <c:v>38789</c:v>
                </c:pt>
                <c:pt idx="2263">
                  <c:v>38790</c:v>
                </c:pt>
                <c:pt idx="2264">
                  <c:v>38791</c:v>
                </c:pt>
                <c:pt idx="2265">
                  <c:v>38792</c:v>
                </c:pt>
                <c:pt idx="2266">
                  <c:v>38793</c:v>
                </c:pt>
                <c:pt idx="2267">
                  <c:v>38794</c:v>
                </c:pt>
                <c:pt idx="2268">
                  <c:v>38795</c:v>
                </c:pt>
                <c:pt idx="2269">
                  <c:v>38796</c:v>
                </c:pt>
                <c:pt idx="2270">
                  <c:v>38797</c:v>
                </c:pt>
                <c:pt idx="2271">
                  <c:v>38798</c:v>
                </c:pt>
                <c:pt idx="2272">
                  <c:v>38799</c:v>
                </c:pt>
                <c:pt idx="2273">
                  <c:v>38800</c:v>
                </c:pt>
                <c:pt idx="2274">
                  <c:v>38801</c:v>
                </c:pt>
                <c:pt idx="2275">
                  <c:v>38802</c:v>
                </c:pt>
                <c:pt idx="2276">
                  <c:v>38803</c:v>
                </c:pt>
                <c:pt idx="2277">
                  <c:v>38804</c:v>
                </c:pt>
                <c:pt idx="2278">
                  <c:v>38805</c:v>
                </c:pt>
                <c:pt idx="2279">
                  <c:v>38806</c:v>
                </c:pt>
                <c:pt idx="2280">
                  <c:v>38807</c:v>
                </c:pt>
                <c:pt idx="2281">
                  <c:v>38808</c:v>
                </c:pt>
                <c:pt idx="2282">
                  <c:v>38809</c:v>
                </c:pt>
                <c:pt idx="2283">
                  <c:v>38810</c:v>
                </c:pt>
                <c:pt idx="2284">
                  <c:v>38811</c:v>
                </c:pt>
                <c:pt idx="2285">
                  <c:v>38812</c:v>
                </c:pt>
                <c:pt idx="2286">
                  <c:v>38813</c:v>
                </c:pt>
                <c:pt idx="2287">
                  <c:v>38814</c:v>
                </c:pt>
                <c:pt idx="2288">
                  <c:v>38815</c:v>
                </c:pt>
                <c:pt idx="2289">
                  <c:v>38816</c:v>
                </c:pt>
                <c:pt idx="2290">
                  <c:v>38817</c:v>
                </c:pt>
                <c:pt idx="2291">
                  <c:v>38818</c:v>
                </c:pt>
                <c:pt idx="2292">
                  <c:v>38819</c:v>
                </c:pt>
                <c:pt idx="2293">
                  <c:v>38820</c:v>
                </c:pt>
                <c:pt idx="2294">
                  <c:v>38821</c:v>
                </c:pt>
                <c:pt idx="2295">
                  <c:v>38822</c:v>
                </c:pt>
                <c:pt idx="2296">
                  <c:v>38823</c:v>
                </c:pt>
                <c:pt idx="2297">
                  <c:v>38824</c:v>
                </c:pt>
                <c:pt idx="2298">
                  <c:v>38825</c:v>
                </c:pt>
                <c:pt idx="2299">
                  <c:v>38826</c:v>
                </c:pt>
                <c:pt idx="2300">
                  <c:v>38827</c:v>
                </c:pt>
                <c:pt idx="2301">
                  <c:v>38828</c:v>
                </c:pt>
                <c:pt idx="2302">
                  <c:v>38829</c:v>
                </c:pt>
                <c:pt idx="2303">
                  <c:v>38830</c:v>
                </c:pt>
                <c:pt idx="2304">
                  <c:v>38831</c:v>
                </c:pt>
                <c:pt idx="2305">
                  <c:v>38832</c:v>
                </c:pt>
                <c:pt idx="2306">
                  <c:v>38833</c:v>
                </c:pt>
                <c:pt idx="2307">
                  <c:v>38834</c:v>
                </c:pt>
                <c:pt idx="2308">
                  <c:v>38835</c:v>
                </c:pt>
                <c:pt idx="2309">
                  <c:v>38836</c:v>
                </c:pt>
                <c:pt idx="2310">
                  <c:v>38837</c:v>
                </c:pt>
                <c:pt idx="2311">
                  <c:v>38838</c:v>
                </c:pt>
                <c:pt idx="2312">
                  <c:v>38839</c:v>
                </c:pt>
                <c:pt idx="2313">
                  <c:v>38840</c:v>
                </c:pt>
                <c:pt idx="2314">
                  <c:v>38841</c:v>
                </c:pt>
                <c:pt idx="2315">
                  <c:v>38842</c:v>
                </c:pt>
                <c:pt idx="2316">
                  <c:v>38843</c:v>
                </c:pt>
                <c:pt idx="2317">
                  <c:v>38844</c:v>
                </c:pt>
                <c:pt idx="2318">
                  <c:v>38845</c:v>
                </c:pt>
                <c:pt idx="2319">
                  <c:v>38846</c:v>
                </c:pt>
                <c:pt idx="2320">
                  <c:v>38847</c:v>
                </c:pt>
                <c:pt idx="2321">
                  <c:v>38848</c:v>
                </c:pt>
                <c:pt idx="2322">
                  <c:v>38849</c:v>
                </c:pt>
                <c:pt idx="2323">
                  <c:v>38850</c:v>
                </c:pt>
                <c:pt idx="2324">
                  <c:v>38851</c:v>
                </c:pt>
                <c:pt idx="2325">
                  <c:v>38852</c:v>
                </c:pt>
                <c:pt idx="2326">
                  <c:v>38853</c:v>
                </c:pt>
                <c:pt idx="2327">
                  <c:v>38854</c:v>
                </c:pt>
                <c:pt idx="2328">
                  <c:v>38855</c:v>
                </c:pt>
                <c:pt idx="2329">
                  <c:v>38856</c:v>
                </c:pt>
                <c:pt idx="2330">
                  <c:v>38857</c:v>
                </c:pt>
                <c:pt idx="2331">
                  <c:v>38858</c:v>
                </c:pt>
                <c:pt idx="2332">
                  <c:v>38859</c:v>
                </c:pt>
                <c:pt idx="2333">
                  <c:v>38860</c:v>
                </c:pt>
                <c:pt idx="2334">
                  <c:v>38861</c:v>
                </c:pt>
                <c:pt idx="2335">
                  <c:v>38862</c:v>
                </c:pt>
                <c:pt idx="2336">
                  <c:v>38863</c:v>
                </c:pt>
                <c:pt idx="2337">
                  <c:v>38864</c:v>
                </c:pt>
                <c:pt idx="2338">
                  <c:v>38865</c:v>
                </c:pt>
                <c:pt idx="2339">
                  <c:v>38866</c:v>
                </c:pt>
                <c:pt idx="2340">
                  <c:v>38867</c:v>
                </c:pt>
                <c:pt idx="2341">
                  <c:v>38868</c:v>
                </c:pt>
                <c:pt idx="2342">
                  <c:v>38869</c:v>
                </c:pt>
                <c:pt idx="2343">
                  <c:v>38870</c:v>
                </c:pt>
                <c:pt idx="2344">
                  <c:v>38871</c:v>
                </c:pt>
                <c:pt idx="2345">
                  <c:v>38872</c:v>
                </c:pt>
                <c:pt idx="2346">
                  <c:v>38873</c:v>
                </c:pt>
                <c:pt idx="2347">
                  <c:v>38874</c:v>
                </c:pt>
                <c:pt idx="2348">
                  <c:v>38875</c:v>
                </c:pt>
                <c:pt idx="2349">
                  <c:v>38876</c:v>
                </c:pt>
                <c:pt idx="2350">
                  <c:v>38877</c:v>
                </c:pt>
                <c:pt idx="2351">
                  <c:v>38878</c:v>
                </c:pt>
                <c:pt idx="2352">
                  <c:v>38879</c:v>
                </c:pt>
                <c:pt idx="2353">
                  <c:v>38880</c:v>
                </c:pt>
                <c:pt idx="2354">
                  <c:v>38881</c:v>
                </c:pt>
                <c:pt idx="2355">
                  <c:v>38882</c:v>
                </c:pt>
                <c:pt idx="2356">
                  <c:v>38883</c:v>
                </c:pt>
                <c:pt idx="2357">
                  <c:v>38884</c:v>
                </c:pt>
                <c:pt idx="2358">
                  <c:v>38885</c:v>
                </c:pt>
                <c:pt idx="2359">
                  <c:v>38886</c:v>
                </c:pt>
                <c:pt idx="2360">
                  <c:v>38887</c:v>
                </c:pt>
                <c:pt idx="2361">
                  <c:v>38888</c:v>
                </c:pt>
                <c:pt idx="2362">
                  <c:v>38889</c:v>
                </c:pt>
                <c:pt idx="2363">
                  <c:v>38890</c:v>
                </c:pt>
                <c:pt idx="2364">
                  <c:v>38891</c:v>
                </c:pt>
                <c:pt idx="2365">
                  <c:v>38892</c:v>
                </c:pt>
                <c:pt idx="2366">
                  <c:v>38893</c:v>
                </c:pt>
                <c:pt idx="2367">
                  <c:v>38894</c:v>
                </c:pt>
                <c:pt idx="2368">
                  <c:v>38895</c:v>
                </c:pt>
                <c:pt idx="2369">
                  <c:v>38896</c:v>
                </c:pt>
                <c:pt idx="2370">
                  <c:v>38897</c:v>
                </c:pt>
                <c:pt idx="2371">
                  <c:v>38898</c:v>
                </c:pt>
                <c:pt idx="2372">
                  <c:v>38899</c:v>
                </c:pt>
                <c:pt idx="2373">
                  <c:v>38900</c:v>
                </c:pt>
                <c:pt idx="2374">
                  <c:v>38901</c:v>
                </c:pt>
                <c:pt idx="2375">
                  <c:v>38902</c:v>
                </c:pt>
                <c:pt idx="2376">
                  <c:v>38903</c:v>
                </c:pt>
                <c:pt idx="2377">
                  <c:v>38904</c:v>
                </c:pt>
                <c:pt idx="2378">
                  <c:v>38905</c:v>
                </c:pt>
                <c:pt idx="2379">
                  <c:v>38906</c:v>
                </c:pt>
                <c:pt idx="2380">
                  <c:v>38907</c:v>
                </c:pt>
                <c:pt idx="2381">
                  <c:v>38908</c:v>
                </c:pt>
                <c:pt idx="2382">
                  <c:v>38909</c:v>
                </c:pt>
                <c:pt idx="2383">
                  <c:v>38910</c:v>
                </c:pt>
                <c:pt idx="2384">
                  <c:v>38911</c:v>
                </c:pt>
                <c:pt idx="2385">
                  <c:v>38912</c:v>
                </c:pt>
                <c:pt idx="2386">
                  <c:v>38913</c:v>
                </c:pt>
                <c:pt idx="2387">
                  <c:v>38914</c:v>
                </c:pt>
                <c:pt idx="2388">
                  <c:v>38915</c:v>
                </c:pt>
                <c:pt idx="2389">
                  <c:v>38916</c:v>
                </c:pt>
                <c:pt idx="2390">
                  <c:v>38917</c:v>
                </c:pt>
                <c:pt idx="2391">
                  <c:v>38918</c:v>
                </c:pt>
                <c:pt idx="2392">
                  <c:v>38919</c:v>
                </c:pt>
                <c:pt idx="2393">
                  <c:v>38920</c:v>
                </c:pt>
                <c:pt idx="2394">
                  <c:v>38921</c:v>
                </c:pt>
                <c:pt idx="2395">
                  <c:v>38922</c:v>
                </c:pt>
                <c:pt idx="2396">
                  <c:v>38923</c:v>
                </c:pt>
                <c:pt idx="2397">
                  <c:v>38924</c:v>
                </c:pt>
                <c:pt idx="2398">
                  <c:v>38925</c:v>
                </c:pt>
                <c:pt idx="2399">
                  <c:v>38926</c:v>
                </c:pt>
                <c:pt idx="2400">
                  <c:v>38927</c:v>
                </c:pt>
                <c:pt idx="2401">
                  <c:v>38928</c:v>
                </c:pt>
                <c:pt idx="2402">
                  <c:v>38929</c:v>
                </c:pt>
                <c:pt idx="2403">
                  <c:v>38930</c:v>
                </c:pt>
                <c:pt idx="2404">
                  <c:v>38931</c:v>
                </c:pt>
                <c:pt idx="2405">
                  <c:v>38932</c:v>
                </c:pt>
                <c:pt idx="2406">
                  <c:v>38933</c:v>
                </c:pt>
                <c:pt idx="2407">
                  <c:v>38934</c:v>
                </c:pt>
                <c:pt idx="2408">
                  <c:v>38935</c:v>
                </c:pt>
                <c:pt idx="2409">
                  <c:v>38936</c:v>
                </c:pt>
                <c:pt idx="2410">
                  <c:v>38937</c:v>
                </c:pt>
                <c:pt idx="2411">
                  <c:v>38938</c:v>
                </c:pt>
                <c:pt idx="2412">
                  <c:v>38939</c:v>
                </c:pt>
                <c:pt idx="2413">
                  <c:v>38940</c:v>
                </c:pt>
                <c:pt idx="2414">
                  <c:v>38941</c:v>
                </c:pt>
                <c:pt idx="2415">
                  <c:v>38942</c:v>
                </c:pt>
                <c:pt idx="2416">
                  <c:v>38943</c:v>
                </c:pt>
                <c:pt idx="2417">
                  <c:v>38944</c:v>
                </c:pt>
                <c:pt idx="2418">
                  <c:v>38945</c:v>
                </c:pt>
                <c:pt idx="2419">
                  <c:v>38946</c:v>
                </c:pt>
                <c:pt idx="2420">
                  <c:v>38947</c:v>
                </c:pt>
                <c:pt idx="2421">
                  <c:v>38948</c:v>
                </c:pt>
                <c:pt idx="2422">
                  <c:v>38949</c:v>
                </c:pt>
                <c:pt idx="2423">
                  <c:v>38950</c:v>
                </c:pt>
                <c:pt idx="2424">
                  <c:v>38951</c:v>
                </c:pt>
                <c:pt idx="2425">
                  <c:v>38952</c:v>
                </c:pt>
                <c:pt idx="2426">
                  <c:v>38953</c:v>
                </c:pt>
                <c:pt idx="2427">
                  <c:v>38954</c:v>
                </c:pt>
                <c:pt idx="2428">
                  <c:v>38955</c:v>
                </c:pt>
                <c:pt idx="2429">
                  <c:v>38956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38962</c:v>
                </c:pt>
                <c:pt idx="2436">
                  <c:v>38963</c:v>
                </c:pt>
                <c:pt idx="2437">
                  <c:v>38964</c:v>
                </c:pt>
                <c:pt idx="2438">
                  <c:v>38965</c:v>
                </c:pt>
                <c:pt idx="2439">
                  <c:v>38966</c:v>
                </c:pt>
                <c:pt idx="2440">
                  <c:v>38967</c:v>
                </c:pt>
                <c:pt idx="2441">
                  <c:v>38968</c:v>
                </c:pt>
                <c:pt idx="2442">
                  <c:v>38969</c:v>
                </c:pt>
                <c:pt idx="2443">
                  <c:v>38970</c:v>
                </c:pt>
                <c:pt idx="2444">
                  <c:v>38971</c:v>
                </c:pt>
                <c:pt idx="2445">
                  <c:v>38972</c:v>
                </c:pt>
                <c:pt idx="2446">
                  <c:v>38973</c:v>
                </c:pt>
                <c:pt idx="2447">
                  <c:v>38974</c:v>
                </c:pt>
                <c:pt idx="2448">
                  <c:v>38975</c:v>
                </c:pt>
                <c:pt idx="2449">
                  <c:v>38976</c:v>
                </c:pt>
                <c:pt idx="2450">
                  <c:v>38977</c:v>
                </c:pt>
                <c:pt idx="2451">
                  <c:v>38978</c:v>
                </c:pt>
                <c:pt idx="2452">
                  <c:v>38979</c:v>
                </c:pt>
                <c:pt idx="2453">
                  <c:v>38980</c:v>
                </c:pt>
                <c:pt idx="2454">
                  <c:v>38981</c:v>
                </c:pt>
                <c:pt idx="2455">
                  <c:v>38982</c:v>
                </c:pt>
                <c:pt idx="2456">
                  <c:v>38983</c:v>
                </c:pt>
                <c:pt idx="2457">
                  <c:v>38984</c:v>
                </c:pt>
                <c:pt idx="2458">
                  <c:v>38985</c:v>
                </c:pt>
                <c:pt idx="2459">
                  <c:v>38986</c:v>
                </c:pt>
                <c:pt idx="2460">
                  <c:v>38987</c:v>
                </c:pt>
                <c:pt idx="2461">
                  <c:v>38988</c:v>
                </c:pt>
                <c:pt idx="2462">
                  <c:v>38989</c:v>
                </c:pt>
                <c:pt idx="2463">
                  <c:v>38990</c:v>
                </c:pt>
                <c:pt idx="2464">
                  <c:v>38991</c:v>
                </c:pt>
                <c:pt idx="2465">
                  <c:v>38992</c:v>
                </c:pt>
                <c:pt idx="2466">
                  <c:v>38993</c:v>
                </c:pt>
                <c:pt idx="2467">
                  <c:v>38994</c:v>
                </c:pt>
                <c:pt idx="2468">
                  <c:v>38995</c:v>
                </c:pt>
                <c:pt idx="2469">
                  <c:v>38996</c:v>
                </c:pt>
                <c:pt idx="2470">
                  <c:v>38997</c:v>
                </c:pt>
                <c:pt idx="2471">
                  <c:v>38998</c:v>
                </c:pt>
                <c:pt idx="2472">
                  <c:v>38999</c:v>
                </c:pt>
                <c:pt idx="2473">
                  <c:v>39000</c:v>
                </c:pt>
                <c:pt idx="2474">
                  <c:v>39001</c:v>
                </c:pt>
                <c:pt idx="2475">
                  <c:v>39002</c:v>
                </c:pt>
                <c:pt idx="2476">
                  <c:v>39003</c:v>
                </c:pt>
                <c:pt idx="2477">
                  <c:v>39004</c:v>
                </c:pt>
                <c:pt idx="2478">
                  <c:v>39005</c:v>
                </c:pt>
                <c:pt idx="2479">
                  <c:v>39006</c:v>
                </c:pt>
                <c:pt idx="2480">
                  <c:v>39007</c:v>
                </c:pt>
                <c:pt idx="2481">
                  <c:v>39008</c:v>
                </c:pt>
                <c:pt idx="2482">
                  <c:v>39009</c:v>
                </c:pt>
                <c:pt idx="2483">
                  <c:v>39010</c:v>
                </c:pt>
                <c:pt idx="2484">
                  <c:v>39011</c:v>
                </c:pt>
                <c:pt idx="2485">
                  <c:v>39012</c:v>
                </c:pt>
                <c:pt idx="2486">
                  <c:v>39013</c:v>
                </c:pt>
                <c:pt idx="2487">
                  <c:v>39014</c:v>
                </c:pt>
                <c:pt idx="2488">
                  <c:v>39015</c:v>
                </c:pt>
                <c:pt idx="2489">
                  <c:v>39016</c:v>
                </c:pt>
                <c:pt idx="2490">
                  <c:v>39017</c:v>
                </c:pt>
                <c:pt idx="2491">
                  <c:v>39018</c:v>
                </c:pt>
                <c:pt idx="2492">
                  <c:v>39019</c:v>
                </c:pt>
                <c:pt idx="2493">
                  <c:v>39020</c:v>
                </c:pt>
                <c:pt idx="2494">
                  <c:v>39021</c:v>
                </c:pt>
                <c:pt idx="2495">
                  <c:v>39022</c:v>
                </c:pt>
                <c:pt idx="2496">
                  <c:v>39023</c:v>
                </c:pt>
                <c:pt idx="2497">
                  <c:v>39024</c:v>
                </c:pt>
                <c:pt idx="2498">
                  <c:v>39025</c:v>
                </c:pt>
                <c:pt idx="2499">
                  <c:v>39026</c:v>
                </c:pt>
                <c:pt idx="2500">
                  <c:v>39027</c:v>
                </c:pt>
                <c:pt idx="2501">
                  <c:v>39028</c:v>
                </c:pt>
                <c:pt idx="2502">
                  <c:v>39029</c:v>
                </c:pt>
                <c:pt idx="2503">
                  <c:v>39030</c:v>
                </c:pt>
                <c:pt idx="2504">
                  <c:v>39031</c:v>
                </c:pt>
                <c:pt idx="2505">
                  <c:v>39032</c:v>
                </c:pt>
                <c:pt idx="2506">
                  <c:v>39033</c:v>
                </c:pt>
                <c:pt idx="2507">
                  <c:v>39034</c:v>
                </c:pt>
                <c:pt idx="2508">
                  <c:v>39035</c:v>
                </c:pt>
                <c:pt idx="2509">
                  <c:v>39036</c:v>
                </c:pt>
                <c:pt idx="2510">
                  <c:v>39037</c:v>
                </c:pt>
                <c:pt idx="2511">
                  <c:v>39038</c:v>
                </c:pt>
                <c:pt idx="2512">
                  <c:v>39039</c:v>
                </c:pt>
                <c:pt idx="2513">
                  <c:v>39040</c:v>
                </c:pt>
                <c:pt idx="2514">
                  <c:v>39041</c:v>
                </c:pt>
                <c:pt idx="2515">
                  <c:v>39042</c:v>
                </c:pt>
                <c:pt idx="2516">
                  <c:v>39043</c:v>
                </c:pt>
                <c:pt idx="2517">
                  <c:v>39044</c:v>
                </c:pt>
                <c:pt idx="2518">
                  <c:v>39045</c:v>
                </c:pt>
                <c:pt idx="2519">
                  <c:v>39046</c:v>
                </c:pt>
                <c:pt idx="2520">
                  <c:v>39047</c:v>
                </c:pt>
                <c:pt idx="2521">
                  <c:v>39048</c:v>
                </c:pt>
                <c:pt idx="2522">
                  <c:v>39049</c:v>
                </c:pt>
                <c:pt idx="2523">
                  <c:v>39050</c:v>
                </c:pt>
                <c:pt idx="2524">
                  <c:v>39051</c:v>
                </c:pt>
                <c:pt idx="2525">
                  <c:v>39052</c:v>
                </c:pt>
                <c:pt idx="2526">
                  <c:v>39053</c:v>
                </c:pt>
                <c:pt idx="2527">
                  <c:v>39054</c:v>
                </c:pt>
                <c:pt idx="2528">
                  <c:v>39055</c:v>
                </c:pt>
                <c:pt idx="2529">
                  <c:v>39056</c:v>
                </c:pt>
                <c:pt idx="2530">
                  <c:v>39057</c:v>
                </c:pt>
                <c:pt idx="2531">
                  <c:v>39058</c:v>
                </c:pt>
                <c:pt idx="2532">
                  <c:v>39059</c:v>
                </c:pt>
                <c:pt idx="2533">
                  <c:v>39060</c:v>
                </c:pt>
                <c:pt idx="2534">
                  <c:v>39061</c:v>
                </c:pt>
                <c:pt idx="2535">
                  <c:v>39062</c:v>
                </c:pt>
                <c:pt idx="2536">
                  <c:v>39063</c:v>
                </c:pt>
                <c:pt idx="2537">
                  <c:v>39064</c:v>
                </c:pt>
                <c:pt idx="2538">
                  <c:v>39065</c:v>
                </c:pt>
                <c:pt idx="2539">
                  <c:v>39066</c:v>
                </c:pt>
                <c:pt idx="2540">
                  <c:v>39067</c:v>
                </c:pt>
                <c:pt idx="2541">
                  <c:v>39068</c:v>
                </c:pt>
                <c:pt idx="2542">
                  <c:v>39069</c:v>
                </c:pt>
                <c:pt idx="2543">
                  <c:v>39070</c:v>
                </c:pt>
                <c:pt idx="2544">
                  <c:v>39071</c:v>
                </c:pt>
                <c:pt idx="2545">
                  <c:v>39072</c:v>
                </c:pt>
                <c:pt idx="2546">
                  <c:v>39073</c:v>
                </c:pt>
                <c:pt idx="2547">
                  <c:v>39074</c:v>
                </c:pt>
                <c:pt idx="2548">
                  <c:v>39075</c:v>
                </c:pt>
                <c:pt idx="2549">
                  <c:v>39076</c:v>
                </c:pt>
                <c:pt idx="2550">
                  <c:v>39077</c:v>
                </c:pt>
                <c:pt idx="2551">
                  <c:v>39078</c:v>
                </c:pt>
                <c:pt idx="2552">
                  <c:v>39079</c:v>
                </c:pt>
                <c:pt idx="2553">
                  <c:v>39080</c:v>
                </c:pt>
                <c:pt idx="2554">
                  <c:v>39081</c:v>
                </c:pt>
                <c:pt idx="2555">
                  <c:v>39082</c:v>
                </c:pt>
                <c:pt idx="2556">
                  <c:v>39083</c:v>
                </c:pt>
                <c:pt idx="2557">
                  <c:v>39084</c:v>
                </c:pt>
                <c:pt idx="2558">
                  <c:v>39085</c:v>
                </c:pt>
                <c:pt idx="2559">
                  <c:v>39086</c:v>
                </c:pt>
                <c:pt idx="2560">
                  <c:v>39087</c:v>
                </c:pt>
                <c:pt idx="2561">
                  <c:v>39088</c:v>
                </c:pt>
                <c:pt idx="2562">
                  <c:v>39089</c:v>
                </c:pt>
                <c:pt idx="2563">
                  <c:v>39090</c:v>
                </c:pt>
                <c:pt idx="2564">
                  <c:v>39091</c:v>
                </c:pt>
                <c:pt idx="2565">
                  <c:v>39092</c:v>
                </c:pt>
                <c:pt idx="2566">
                  <c:v>39093</c:v>
                </c:pt>
                <c:pt idx="2567">
                  <c:v>39094</c:v>
                </c:pt>
                <c:pt idx="2568">
                  <c:v>39095</c:v>
                </c:pt>
                <c:pt idx="2569">
                  <c:v>39096</c:v>
                </c:pt>
                <c:pt idx="2570">
                  <c:v>39097</c:v>
                </c:pt>
                <c:pt idx="2571">
                  <c:v>39098</c:v>
                </c:pt>
                <c:pt idx="2572">
                  <c:v>39099</c:v>
                </c:pt>
                <c:pt idx="2573">
                  <c:v>39100</c:v>
                </c:pt>
                <c:pt idx="2574">
                  <c:v>39101</c:v>
                </c:pt>
                <c:pt idx="2575">
                  <c:v>39102</c:v>
                </c:pt>
                <c:pt idx="2576">
                  <c:v>39103</c:v>
                </c:pt>
                <c:pt idx="2577">
                  <c:v>39104</c:v>
                </c:pt>
                <c:pt idx="2578">
                  <c:v>39105</c:v>
                </c:pt>
                <c:pt idx="2579">
                  <c:v>39106</c:v>
                </c:pt>
                <c:pt idx="2580">
                  <c:v>39107</c:v>
                </c:pt>
                <c:pt idx="2581">
                  <c:v>39108</c:v>
                </c:pt>
                <c:pt idx="2582">
                  <c:v>39109</c:v>
                </c:pt>
                <c:pt idx="2583">
                  <c:v>39110</c:v>
                </c:pt>
                <c:pt idx="2584">
                  <c:v>39111</c:v>
                </c:pt>
                <c:pt idx="2585">
                  <c:v>39112</c:v>
                </c:pt>
                <c:pt idx="2586">
                  <c:v>39113</c:v>
                </c:pt>
                <c:pt idx="2587">
                  <c:v>39114</c:v>
                </c:pt>
                <c:pt idx="2588">
                  <c:v>39115</c:v>
                </c:pt>
                <c:pt idx="2589">
                  <c:v>39116</c:v>
                </c:pt>
                <c:pt idx="2590">
                  <c:v>39117</c:v>
                </c:pt>
                <c:pt idx="2591">
                  <c:v>39118</c:v>
                </c:pt>
                <c:pt idx="2592">
                  <c:v>39119</c:v>
                </c:pt>
                <c:pt idx="2593">
                  <c:v>39120</c:v>
                </c:pt>
                <c:pt idx="2594">
                  <c:v>39121</c:v>
                </c:pt>
                <c:pt idx="2595">
                  <c:v>39122</c:v>
                </c:pt>
                <c:pt idx="2596">
                  <c:v>39123</c:v>
                </c:pt>
                <c:pt idx="2597">
                  <c:v>39124</c:v>
                </c:pt>
                <c:pt idx="2598">
                  <c:v>39125</c:v>
                </c:pt>
                <c:pt idx="2599">
                  <c:v>39126</c:v>
                </c:pt>
                <c:pt idx="2600">
                  <c:v>39127</c:v>
                </c:pt>
                <c:pt idx="2601">
                  <c:v>39128</c:v>
                </c:pt>
                <c:pt idx="2602">
                  <c:v>39129</c:v>
                </c:pt>
                <c:pt idx="2603">
                  <c:v>39130</c:v>
                </c:pt>
                <c:pt idx="2604">
                  <c:v>39131</c:v>
                </c:pt>
                <c:pt idx="2605">
                  <c:v>39132</c:v>
                </c:pt>
                <c:pt idx="2606">
                  <c:v>39133</c:v>
                </c:pt>
                <c:pt idx="2607">
                  <c:v>39134</c:v>
                </c:pt>
                <c:pt idx="2608">
                  <c:v>39135</c:v>
                </c:pt>
                <c:pt idx="2609">
                  <c:v>39136</c:v>
                </c:pt>
                <c:pt idx="2610">
                  <c:v>39137</c:v>
                </c:pt>
                <c:pt idx="2611">
                  <c:v>39138</c:v>
                </c:pt>
                <c:pt idx="2612">
                  <c:v>39139</c:v>
                </c:pt>
                <c:pt idx="2613">
                  <c:v>39140</c:v>
                </c:pt>
                <c:pt idx="2614">
                  <c:v>39141</c:v>
                </c:pt>
                <c:pt idx="2615">
                  <c:v>39142</c:v>
                </c:pt>
                <c:pt idx="2616">
                  <c:v>39143</c:v>
                </c:pt>
                <c:pt idx="2617">
                  <c:v>39144</c:v>
                </c:pt>
                <c:pt idx="2618">
                  <c:v>39145</c:v>
                </c:pt>
                <c:pt idx="2619">
                  <c:v>39146</c:v>
                </c:pt>
                <c:pt idx="2620">
                  <c:v>39147</c:v>
                </c:pt>
                <c:pt idx="2621">
                  <c:v>39148</c:v>
                </c:pt>
                <c:pt idx="2622">
                  <c:v>39149</c:v>
                </c:pt>
                <c:pt idx="2623">
                  <c:v>39150</c:v>
                </c:pt>
                <c:pt idx="2624">
                  <c:v>39151</c:v>
                </c:pt>
                <c:pt idx="2625">
                  <c:v>39152</c:v>
                </c:pt>
                <c:pt idx="2626">
                  <c:v>39153</c:v>
                </c:pt>
                <c:pt idx="2627">
                  <c:v>39154</c:v>
                </c:pt>
                <c:pt idx="2628">
                  <c:v>39155</c:v>
                </c:pt>
                <c:pt idx="2629">
                  <c:v>39156</c:v>
                </c:pt>
                <c:pt idx="2630">
                  <c:v>39157</c:v>
                </c:pt>
                <c:pt idx="2631">
                  <c:v>39158</c:v>
                </c:pt>
                <c:pt idx="2632">
                  <c:v>39159</c:v>
                </c:pt>
                <c:pt idx="2633">
                  <c:v>39160</c:v>
                </c:pt>
                <c:pt idx="2634">
                  <c:v>39161</c:v>
                </c:pt>
                <c:pt idx="2635">
                  <c:v>39162</c:v>
                </c:pt>
                <c:pt idx="2636">
                  <c:v>39163</c:v>
                </c:pt>
                <c:pt idx="2637">
                  <c:v>39164</c:v>
                </c:pt>
                <c:pt idx="2638">
                  <c:v>39165</c:v>
                </c:pt>
                <c:pt idx="2639">
                  <c:v>39166</c:v>
                </c:pt>
                <c:pt idx="2640">
                  <c:v>39167</c:v>
                </c:pt>
                <c:pt idx="2641">
                  <c:v>39168</c:v>
                </c:pt>
                <c:pt idx="2642">
                  <c:v>39169</c:v>
                </c:pt>
                <c:pt idx="2643">
                  <c:v>39170</c:v>
                </c:pt>
                <c:pt idx="2644">
                  <c:v>39171</c:v>
                </c:pt>
                <c:pt idx="2645">
                  <c:v>39172</c:v>
                </c:pt>
                <c:pt idx="2646">
                  <c:v>39173</c:v>
                </c:pt>
                <c:pt idx="2647">
                  <c:v>39174</c:v>
                </c:pt>
                <c:pt idx="2648">
                  <c:v>39175</c:v>
                </c:pt>
                <c:pt idx="2649">
                  <c:v>39176</c:v>
                </c:pt>
                <c:pt idx="2650">
                  <c:v>39177</c:v>
                </c:pt>
                <c:pt idx="2651">
                  <c:v>39178</c:v>
                </c:pt>
                <c:pt idx="2652">
                  <c:v>39179</c:v>
                </c:pt>
                <c:pt idx="2653">
                  <c:v>39180</c:v>
                </c:pt>
                <c:pt idx="2654">
                  <c:v>39181</c:v>
                </c:pt>
                <c:pt idx="2655">
                  <c:v>39182</c:v>
                </c:pt>
                <c:pt idx="2656">
                  <c:v>39183</c:v>
                </c:pt>
                <c:pt idx="2657">
                  <c:v>39184</c:v>
                </c:pt>
                <c:pt idx="2658">
                  <c:v>39185</c:v>
                </c:pt>
                <c:pt idx="2659">
                  <c:v>39186</c:v>
                </c:pt>
                <c:pt idx="2660">
                  <c:v>39187</c:v>
                </c:pt>
                <c:pt idx="2661">
                  <c:v>39188</c:v>
                </c:pt>
                <c:pt idx="2662">
                  <c:v>39189</c:v>
                </c:pt>
                <c:pt idx="2663">
                  <c:v>39190</c:v>
                </c:pt>
                <c:pt idx="2664">
                  <c:v>39191</c:v>
                </c:pt>
                <c:pt idx="2665">
                  <c:v>39192</c:v>
                </c:pt>
                <c:pt idx="2666">
                  <c:v>39193</c:v>
                </c:pt>
                <c:pt idx="2667">
                  <c:v>39194</c:v>
                </c:pt>
                <c:pt idx="2668">
                  <c:v>39195</c:v>
                </c:pt>
                <c:pt idx="2669">
                  <c:v>39196</c:v>
                </c:pt>
                <c:pt idx="2670">
                  <c:v>39197</c:v>
                </c:pt>
                <c:pt idx="2671">
                  <c:v>39198</c:v>
                </c:pt>
                <c:pt idx="2672">
                  <c:v>39199</c:v>
                </c:pt>
                <c:pt idx="2673">
                  <c:v>39200</c:v>
                </c:pt>
                <c:pt idx="2674">
                  <c:v>39201</c:v>
                </c:pt>
                <c:pt idx="2675">
                  <c:v>39202</c:v>
                </c:pt>
                <c:pt idx="2676">
                  <c:v>39203</c:v>
                </c:pt>
                <c:pt idx="2677">
                  <c:v>39204</c:v>
                </c:pt>
                <c:pt idx="2678">
                  <c:v>39205</c:v>
                </c:pt>
                <c:pt idx="2679">
                  <c:v>39206</c:v>
                </c:pt>
                <c:pt idx="2680">
                  <c:v>39207</c:v>
                </c:pt>
                <c:pt idx="2681">
                  <c:v>39208</c:v>
                </c:pt>
                <c:pt idx="2682">
                  <c:v>39209</c:v>
                </c:pt>
                <c:pt idx="2683">
                  <c:v>39210</c:v>
                </c:pt>
                <c:pt idx="2684">
                  <c:v>39211</c:v>
                </c:pt>
                <c:pt idx="2685">
                  <c:v>39212</c:v>
                </c:pt>
                <c:pt idx="2686">
                  <c:v>39213</c:v>
                </c:pt>
                <c:pt idx="2687">
                  <c:v>39214</c:v>
                </c:pt>
                <c:pt idx="2688">
                  <c:v>39215</c:v>
                </c:pt>
                <c:pt idx="2689">
                  <c:v>39216</c:v>
                </c:pt>
                <c:pt idx="2690">
                  <c:v>39217</c:v>
                </c:pt>
                <c:pt idx="2691">
                  <c:v>39218</c:v>
                </c:pt>
                <c:pt idx="2692">
                  <c:v>39219</c:v>
                </c:pt>
                <c:pt idx="2693">
                  <c:v>39220</c:v>
                </c:pt>
                <c:pt idx="2694">
                  <c:v>39221</c:v>
                </c:pt>
                <c:pt idx="2695">
                  <c:v>39222</c:v>
                </c:pt>
                <c:pt idx="2696">
                  <c:v>39223</c:v>
                </c:pt>
                <c:pt idx="2697">
                  <c:v>39224</c:v>
                </c:pt>
                <c:pt idx="2698">
                  <c:v>39225</c:v>
                </c:pt>
                <c:pt idx="2699">
                  <c:v>39226</c:v>
                </c:pt>
                <c:pt idx="2700">
                  <c:v>39227</c:v>
                </c:pt>
                <c:pt idx="2701">
                  <c:v>39228</c:v>
                </c:pt>
                <c:pt idx="2702">
                  <c:v>39229</c:v>
                </c:pt>
                <c:pt idx="2703">
                  <c:v>39230</c:v>
                </c:pt>
                <c:pt idx="2704">
                  <c:v>39231</c:v>
                </c:pt>
                <c:pt idx="2705">
                  <c:v>39232</c:v>
                </c:pt>
                <c:pt idx="2706">
                  <c:v>39233</c:v>
                </c:pt>
                <c:pt idx="2707">
                  <c:v>39234</c:v>
                </c:pt>
                <c:pt idx="2708">
                  <c:v>39235</c:v>
                </c:pt>
                <c:pt idx="2709">
                  <c:v>39236</c:v>
                </c:pt>
                <c:pt idx="2710">
                  <c:v>39237</c:v>
                </c:pt>
                <c:pt idx="2711">
                  <c:v>39238</c:v>
                </c:pt>
                <c:pt idx="2712">
                  <c:v>39239</c:v>
                </c:pt>
                <c:pt idx="2713">
                  <c:v>39240</c:v>
                </c:pt>
                <c:pt idx="2714">
                  <c:v>39241</c:v>
                </c:pt>
                <c:pt idx="2715">
                  <c:v>39242</c:v>
                </c:pt>
                <c:pt idx="2716">
                  <c:v>39243</c:v>
                </c:pt>
                <c:pt idx="2717">
                  <c:v>39244</c:v>
                </c:pt>
                <c:pt idx="2718">
                  <c:v>39245</c:v>
                </c:pt>
                <c:pt idx="2719">
                  <c:v>39246</c:v>
                </c:pt>
                <c:pt idx="2720">
                  <c:v>39247</c:v>
                </c:pt>
                <c:pt idx="2721">
                  <c:v>39248</c:v>
                </c:pt>
                <c:pt idx="2722">
                  <c:v>39249</c:v>
                </c:pt>
                <c:pt idx="2723">
                  <c:v>39250</c:v>
                </c:pt>
                <c:pt idx="2724">
                  <c:v>39251</c:v>
                </c:pt>
                <c:pt idx="2725">
                  <c:v>39252</c:v>
                </c:pt>
                <c:pt idx="2726">
                  <c:v>39253</c:v>
                </c:pt>
                <c:pt idx="2727">
                  <c:v>39254</c:v>
                </c:pt>
                <c:pt idx="2728">
                  <c:v>39255</c:v>
                </c:pt>
                <c:pt idx="2729">
                  <c:v>39256</c:v>
                </c:pt>
                <c:pt idx="2730">
                  <c:v>39257</c:v>
                </c:pt>
                <c:pt idx="2731">
                  <c:v>39258</c:v>
                </c:pt>
                <c:pt idx="2732">
                  <c:v>39259</c:v>
                </c:pt>
                <c:pt idx="2733">
                  <c:v>39260</c:v>
                </c:pt>
                <c:pt idx="2734">
                  <c:v>39261</c:v>
                </c:pt>
                <c:pt idx="2735">
                  <c:v>39262</c:v>
                </c:pt>
                <c:pt idx="2736">
                  <c:v>39263</c:v>
                </c:pt>
                <c:pt idx="2737">
                  <c:v>39264</c:v>
                </c:pt>
                <c:pt idx="2738">
                  <c:v>39265</c:v>
                </c:pt>
                <c:pt idx="2739">
                  <c:v>39266</c:v>
                </c:pt>
                <c:pt idx="2740">
                  <c:v>39267</c:v>
                </c:pt>
                <c:pt idx="2741">
                  <c:v>39268</c:v>
                </c:pt>
                <c:pt idx="2742">
                  <c:v>39269</c:v>
                </c:pt>
                <c:pt idx="2743">
                  <c:v>39270</c:v>
                </c:pt>
                <c:pt idx="2744">
                  <c:v>39271</c:v>
                </c:pt>
                <c:pt idx="2745">
                  <c:v>39272</c:v>
                </c:pt>
                <c:pt idx="2746">
                  <c:v>39273</c:v>
                </c:pt>
                <c:pt idx="2747">
                  <c:v>39274</c:v>
                </c:pt>
                <c:pt idx="2748">
                  <c:v>39275</c:v>
                </c:pt>
                <c:pt idx="2749">
                  <c:v>39276</c:v>
                </c:pt>
                <c:pt idx="2750">
                  <c:v>39277</c:v>
                </c:pt>
                <c:pt idx="2751">
                  <c:v>39278</c:v>
                </c:pt>
                <c:pt idx="2752">
                  <c:v>39279</c:v>
                </c:pt>
                <c:pt idx="2753">
                  <c:v>39280</c:v>
                </c:pt>
                <c:pt idx="2754">
                  <c:v>39281</c:v>
                </c:pt>
                <c:pt idx="2755">
                  <c:v>39282</c:v>
                </c:pt>
                <c:pt idx="2756">
                  <c:v>39283</c:v>
                </c:pt>
                <c:pt idx="2757">
                  <c:v>39284</c:v>
                </c:pt>
                <c:pt idx="2758">
                  <c:v>39285</c:v>
                </c:pt>
                <c:pt idx="2759">
                  <c:v>39286</c:v>
                </c:pt>
                <c:pt idx="2760">
                  <c:v>39287</c:v>
                </c:pt>
                <c:pt idx="2761">
                  <c:v>39288</c:v>
                </c:pt>
                <c:pt idx="2762">
                  <c:v>39289</c:v>
                </c:pt>
                <c:pt idx="2763">
                  <c:v>39290</c:v>
                </c:pt>
                <c:pt idx="2764">
                  <c:v>39291</c:v>
                </c:pt>
                <c:pt idx="2765">
                  <c:v>39292</c:v>
                </c:pt>
                <c:pt idx="2766">
                  <c:v>39293</c:v>
                </c:pt>
                <c:pt idx="2767">
                  <c:v>39294</c:v>
                </c:pt>
                <c:pt idx="2768">
                  <c:v>39295</c:v>
                </c:pt>
                <c:pt idx="2769">
                  <c:v>39296</c:v>
                </c:pt>
                <c:pt idx="2770">
                  <c:v>39297</c:v>
                </c:pt>
                <c:pt idx="2771">
                  <c:v>39298</c:v>
                </c:pt>
                <c:pt idx="2772">
                  <c:v>39299</c:v>
                </c:pt>
                <c:pt idx="2773">
                  <c:v>39300</c:v>
                </c:pt>
                <c:pt idx="2774">
                  <c:v>39301</c:v>
                </c:pt>
                <c:pt idx="2775">
                  <c:v>39302</c:v>
                </c:pt>
                <c:pt idx="2776">
                  <c:v>39303</c:v>
                </c:pt>
                <c:pt idx="2777">
                  <c:v>39304</c:v>
                </c:pt>
                <c:pt idx="2778">
                  <c:v>39305</c:v>
                </c:pt>
                <c:pt idx="2779">
                  <c:v>39306</c:v>
                </c:pt>
                <c:pt idx="2780">
                  <c:v>39307</c:v>
                </c:pt>
                <c:pt idx="2781">
                  <c:v>39308</c:v>
                </c:pt>
                <c:pt idx="2782">
                  <c:v>39309</c:v>
                </c:pt>
                <c:pt idx="2783">
                  <c:v>39310</c:v>
                </c:pt>
                <c:pt idx="2784">
                  <c:v>39311</c:v>
                </c:pt>
                <c:pt idx="2785">
                  <c:v>39312</c:v>
                </c:pt>
                <c:pt idx="2786">
                  <c:v>39313</c:v>
                </c:pt>
                <c:pt idx="2787">
                  <c:v>39314</c:v>
                </c:pt>
                <c:pt idx="2788">
                  <c:v>39315</c:v>
                </c:pt>
                <c:pt idx="2789">
                  <c:v>39316</c:v>
                </c:pt>
                <c:pt idx="2790">
                  <c:v>39317</c:v>
                </c:pt>
                <c:pt idx="2791">
                  <c:v>39318</c:v>
                </c:pt>
                <c:pt idx="2792">
                  <c:v>39319</c:v>
                </c:pt>
                <c:pt idx="2793">
                  <c:v>39320</c:v>
                </c:pt>
                <c:pt idx="2794">
                  <c:v>39321</c:v>
                </c:pt>
                <c:pt idx="2795">
                  <c:v>39322</c:v>
                </c:pt>
                <c:pt idx="2796">
                  <c:v>39323</c:v>
                </c:pt>
                <c:pt idx="2797">
                  <c:v>39324</c:v>
                </c:pt>
                <c:pt idx="2798">
                  <c:v>39325</c:v>
                </c:pt>
                <c:pt idx="2799">
                  <c:v>39326</c:v>
                </c:pt>
                <c:pt idx="2800">
                  <c:v>39327</c:v>
                </c:pt>
                <c:pt idx="2801">
                  <c:v>39328</c:v>
                </c:pt>
                <c:pt idx="2802">
                  <c:v>39329</c:v>
                </c:pt>
                <c:pt idx="2803">
                  <c:v>39330</c:v>
                </c:pt>
                <c:pt idx="2804">
                  <c:v>39331</c:v>
                </c:pt>
                <c:pt idx="2805">
                  <c:v>39332</c:v>
                </c:pt>
                <c:pt idx="2806">
                  <c:v>39333</c:v>
                </c:pt>
                <c:pt idx="2807">
                  <c:v>39334</c:v>
                </c:pt>
                <c:pt idx="2808">
                  <c:v>39335</c:v>
                </c:pt>
                <c:pt idx="2809">
                  <c:v>39336</c:v>
                </c:pt>
                <c:pt idx="2810">
                  <c:v>39337</c:v>
                </c:pt>
                <c:pt idx="2811">
                  <c:v>39338</c:v>
                </c:pt>
                <c:pt idx="2812">
                  <c:v>39339</c:v>
                </c:pt>
                <c:pt idx="2813">
                  <c:v>39340</c:v>
                </c:pt>
                <c:pt idx="2814">
                  <c:v>39341</c:v>
                </c:pt>
                <c:pt idx="2815">
                  <c:v>39342</c:v>
                </c:pt>
                <c:pt idx="2816">
                  <c:v>39343</c:v>
                </c:pt>
                <c:pt idx="2817">
                  <c:v>39344</c:v>
                </c:pt>
                <c:pt idx="2818">
                  <c:v>39345</c:v>
                </c:pt>
                <c:pt idx="2819">
                  <c:v>39346</c:v>
                </c:pt>
                <c:pt idx="2820">
                  <c:v>39347</c:v>
                </c:pt>
                <c:pt idx="2821">
                  <c:v>39348</c:v>
                </c:pt>
                <c:pt idx="2822">
                  <c:v>39349</c:v>
                </c:pt>
                <c:pt idx="2823">
                  <c:v>39350</c:v>
                </c:pt>
                <c:pt idx="2824">
                  <c:v>39351</c:v>
                </c:pt>
                <c:pt idx="2825">
                  <c:v>39352</c:v>
                </c:pt>
                <c:pt idx="2826">
                  <c:v>39353</c:v>
                </c:pt>
                <c:pt idx="2827">
                  <c:v>39354</c:v>
                </c:pt>
                <c:pt idx="2828">
                  <c:v>39355</c:v>
                </c:pt>
                <c:pt idx="2829">
                  <c:v>39356</c:v>
                </c:pt>
                <c:pt idx="2830">
                  <c:v>39357</c:v>
                </c:pt>
                <c:pt idx="2831">
                  <c:v>39358</c:v>
                </c:pt>
                <c:pt idx="2832">
                  <c:v>39359</c:v>
                </c:pt>
                <c:pt idx="2833">
                  <c:v>39360</c:v>
                </c:pt>
                <c:pt idx="2834">
                  <c:v>39361</c:v>
                </c:pt>
                <c:pt idx="2835">
                  <c:v>39362</c:v>
                </c:pt>
                <c:pt idx="2836">
                  <c:v>39363</c:v>
                </c:pt>
                <c:pt idx="2837">
                  <c:v>39364</c:v>
                </c:pt>
                <c:pt idx="2838">
                  <c:v>39365</c:v>
                </c:pt>
                <c:pt idx="2839">
                  <c:v>39366</c:v>
                </c:pt>
                <c:pt idx="2840">
                  <c:v>39367</c:v>
                </c:pt>
                <c:pt idx="2841">
                  <c:v>39368</c:v>
                </c:pt>
                <c:pt idx="2842">
                  <c:v>39369</c:v>
                </c:pt>
                <c:pt idx="2843">
                  <c:v>39370</c:v>
                </c:pt>
                <c:pt idx="2844">
                  <c:v>39371</c:v>
                </c:pt>
                <c:pt idx="2845">
                  <c:v>39372</c:v>
                </c:pt>
                <c:pt idx="2846">
                  <c:v>39373</c:v>
                </c:pt>
                <c:pt idx="2847">
                  <c:v>39374</c:v>
                </c:pt>
                <c:pt idx="2848">
                  <c:v>39375</c:v>
                </c:pt>
                <c:pt idx="2849">
                  <c:v>39376</c:v>
                </c:pt>
                <c:pt idx="2850">
                  <c:v>39377</c:v>
                </c:pt>
                <c:pt idx="2851">
                  <c:v>39378</c:v>
                </c:pt>
                <c:pt idx="2852">
                  <c:v>39379</c:v>
                </c:pt>
                <c:pt idx="2853">
                  <c:v>39380</c:v>
                </c:pt>
                <c:pt idx="2854">
                  <c:v>39381</c:v>
                </c:pt>
                <c:pt idx="2855">
                  <c:v>39382</c:v>
                </c:pt>
                <c:pt idx="2856">
                  <c:v>39383</c:v>
                </c:pt>
                <c:pt idx="2857">
                  <c:v>39384</c:v>
                </c:pt>
                <c:pt idx="2858">
                  <c:v>39385</c:v>
                </c:pt>
                <c:pt idx="2859">
                  <c:v>39386</c:v>
                </c:pt>
                <c:pt idx="2860">
                  <c:v>39387</c:v>
                </c:pt>
                <c:pt idx="2861">
                  <c:v>39388</c:v>
                </c:pt>
                <c:pt idx="2862">
                  <c:v>39389</c:v>
                </c:pt>
                <c:pt idx="2863">
                  <c:v>39390</c:v>
                </c:pt>
                <c:pt idx="2864">
                  <c:v>39391</c:v>
                </c:pt>
                <c:pt idx="2865">
                  <c:v>39392</c:v>
                </c:pt>
                <c:pt idx="2866">
                  <c:v>39393</c:v>
                </c:pt>
                <c:pt idx="2867">
                  <c:v>39394</c:v>
                </c:pt>
                <c:pt idx="2868">
                  <c:v>39395</c:v>
                </c:pt>
                <c:pt idx="2869">
                  <c:v>39396</c:v>
                </c:pt>
                <c:pt idx="2870">
                  <c:v>39397</c:v>
                </c:pt>
                <c:pt idx="2871">
                  <c:v>39398</c:v>
                </c:pt>
                <c:pt idx="2872">
                  <c:v>39399</c:v>
                </c:pt>
                <c:pt idx="2873">
                  <c:v>39400</c:v>
                </c:pt>
                <c:pt idx="2874">
                  <c:v>39401</c:v>
                </c:pt>
                <c:pt idx="2875">
                  <c:v>39402</c:v>
                </c:pt>
                <c:pt idx="2876">
                  <c:v>39403</c:v>
                </c:pt>
                <c:pt idx="2877">
                  <c:v>39404</c:v>
                </c:pt>
                <c:pt idx="2878">
                  <c:v>39405</c:v>
                </c:pt>
                <c:pt idx="2879">
                  <c:v>39406</c:v>
                </c:pt>
                <c:pt idx="2880">
                  <c:v>39407</c:v>
                </c:pt>
                <c:pt idx="2881">
                  <c:v>39408</c:v>
                </c:pt>
                <c:pt idx="2882">
                  <c:v>39409</c:v>
                </c:pt>
                <c:pt idx="2883">
                  <c:v>39410</c:v>
                </c:pt>
                <c:pt idx="2884">
                  <c:v>39411</c:v>
                </c:pt>
                <c:pt idx="2885">
                  <c:v>39412</c:v>
                </c:pt>
                <c:pt idx="2886">
                  <c:v>39413</c:v>
                </c:pt>
                <c:pt idx="2887">
                  <c:v>39414</c:v>
                </c:pt>
                <c:pt idx="2888">
                  <c:v>39415</c:v>
                </c:pt>
                <c:pt idx="2889">
                  <c:v>39416</c:v>
                </c:pt>
                <c:pt idx="2890">
                  <c:v>39417</c:v>
                </c:pt>
                <c:pt idx="2891">
                  <c:v>39418</c:v>
                </c:pt>
                <c:pt idx="2892">
                  <c:v>39419</c:v>
                </c:pt>
                <c:pt idx="2893">
                  <c:v>39420</c:v>
                </c:pt>
                <c:pt idx="2894">
                  <c:v>39421</c:v>
                </c:pt>
                <c:pt idx="2895">
                  <c:v>39422</c:v>
                </c:pt>
                <c:pt idx="2896">
                  <c:v>39423</c:v>
                </c:pt>
                <c:pt idx="2897">
                  <c:v>39424</c:v>
                </c:pt>
                <c:pt idx="2898">
                  <c:v>39425</c:v>
                </c:pt>
                <c:pt idx="2899">
                  <c:v>39426</c:v>
                </c:pt>
                <c:pt idx="2900">
                  <c:v>39427</c:v>
                </c:pt>
                <c:pt idx="2901">
                  <c:v>39428</c:v>
                </c:pt>
                <c:pt idx="2902">
                  <c:v>39429</c:v>
                </c:pt>
                <c:pt idx="2903">
                  <c:v>39430</c:v>
                </c:pt>
                <c:pt idx="2904">
                  <c:v>39431</c:v>
                </c:pt>
                <c:pt idx="2905">
                  <c:v>39432</c:v>
                </c:pt>
                <c:pt idx="2906">
                  <c:v>39433</c:v>
                </c:pt>
                <c:pt idx="2907">
                  <c:v>39434</c:v>
                </c:pt>
                <c:pt idx="2908">
                  <c:v>39435</c:v>
                </c:pt>
                <c:pt idx="2909">
                  <c:v>39436</c:v>
                </c:pt>
                <c:pt idx="2910">
                  <c:v>39437</c:v>
                </c:pt>
                <c:pt idx="2911">
                  <c:v>39438</c:v>
                </c:pt>
                <c:pt idx="2912">
                  <c:v>39439</c:v>
                </c:pt>
                <c:pt idx="2913">
                  <c:v>39440</c:v>
                </c:pt>
                <c:pt idx="2914">
                  <c:v>39441</c:v>
                </c:pt>
                <c:pt idx="2915">
                  <c:v>39442</c:v>
                </c:pt>
                <c:pt idx="2916">
                  <c:v>39443</c:v>
                </c:pt>
                <c:pt idx="2917">
                  <c:v>39444</c:v>
                </c:pt>
                <c:pt idx="2918">
                  <c:v>39445</c:v>
                </c:pt>
                <c:pt idx="2919">
                  <c:v>39446</c:v>
                </c:pt>
                <c:pt idx="2920">
                  <c:v>39447</c:v>
                </c:pt>
                <c:pt idx="2921">
                  <c:v>39448</c:v>
                </c:pt>
                <c:pt idx="2922">
                  <c:v>39449</c:v>
                </c:pt>
                <c:pt idx="2923">
                  <c:v>39450</c:v>
                </c:pt>
                <c:pt idx="2924">
                  <c:v>39451</c:v>
                </c:pt>
                <c:pt idx="2925">
                  <c:v>39452</c:v>
                </c:pt>
                <c:pt idx="2926">
                  <c:v>39453</c:v>
                </c:pt>
                <c:pt idx="2927">
                  <c:v>39454</c:v>
                </c:pt>
                <c:pt idx="2928">
                  <c:v>39455</c:v>
                </c:pt>
                <c:pt idx="2929">
                  <c:v>39456</c:v>
                </c:pt>
                <c:pt idx="2930">
                  <c:v>39457</c:v>
                </c:pt>
                <c:pt idx="2931">
                  <c:v>39458</c:v>
                </c:pt>
                <c:pt idx="2932">
                  <c:v>39459</c:v>
                </c:pt>
                <c:pt idx="2933">
                  <c:v>39460</c:v>
                </c:pt>
                <c:pt idx="2934">
                  <c:v>39461</c:v>
                </c:pt>
                <c:pt idx="2935">
                  <c:v>39462</c:v>
                </c:pt>
                <c:pt idx="2936">
                  <c:v>39463</c:v>
                </c:pt>
                <c:pt idx="2937">
                  <c:v>39464</c:v>
                </c:pt>
                <c:pt idx="2938">
                  <c:v>39465</c:v>
                </c:pt>
                <c:pt idx="2939">
                  <c:v>39466</c:v>
                </c:pt>
                <c:pt idx="2940">
                  <c:v>39467</c:v>
                </c:pt>
                <c:pt idx="2941">
                  <c:v>39468</c:v>
                </c:pt>
                <c:pt idx="2942">
                  <c:v>39469</c:v>
                </c:pt>
                <c:pt idx="2943">
                  <c:v>39470</c:v>
                </c:pt>
                <c:pt idx="2944">
                  <c:v>39471</c:v>
                </c:pt>
                <c:pt idx="2945">
                  <c:v>39472</c:v>
                </c:pt>
                <c:pt idx="2946">
                  <c:v>39473</c:v>
                </c:pt>
                <c:pt idx="2947">
                  <c:v>39474</c:v>
                </c:pt>
                <c:pt idx="2948">
                  <c:v>39475</c:v>
                </c:pt>
                <c:pt idx="2949">
                  <c:v>39476</c:v>
                </c:pt>
                <c:pt idx="2950">
                  <c:v>39477</c:v>
                </c:pt>
                <c:pt idx="2951">
                  <c:v>39478</c:v>
                </c:pt>
                <c:pt idx="2952">
                  <c:v>39479</c:v>
                </c:pt>
                <c:pt idx="2953">
                  <c:v>39480</c:v>
                </c:pt>
                <c:pt idx="2954">
                  <c:v>39481</c:v>
                </c:pt>
                <c:pt idx="2955">
                  <c:v>39482</c:v>
                </c:pt>
                <c:pt idx="2956">
                  <c:v>39483</c:v>
                </c:pt>
                <c:pt idx="2957">
                  <c:v>39484</c:v>
                </c:pt>
                <c:pt idx="2958">
                  <c:v>39485</c:v>
                </c:pt>
                <c:pt idx="2959">
                  <c:v>39486</c:v>
                </c:pt>
                <c:pt idx="2960">
                  <c:v>39487</c:v>
                </c:pt>
                <c:pt idx="2961">
                  <c:v>39488</c:v>
                </c:pt>
                <c:pt idx="2962">
                  <c:v>39489</c:v>
                </c:pt>
                <c:pt idx="2963">
                  <c:v>39490</c:v>
                </c:pt>
                <c:pt idx="2964">
                  <c:v>39491</c:v>
                </c:pt>
                <c:pt idx="2965">
                  <c:v>39492</c:v>
                </c:pt>
                <c:pt idx="2966">
                  <c:v>39493</c:v>
                </c:pt>
                <c:pt idx="2967">
                  <c:v>39494</c:v>
                </c:pt>
                <c:pt idx="2968">
                  <c:v>39495</c:v>
                </c:pt>
                <c:pt idx="2969">
                  <c:v>39496</c:v>
                </c:pt>
                <c:pt idx="2970">
                  <c:v>39497</c:v>
                </c:pt>
                <c:pt idx="2971">
                  <c:v>39498</c:v>
                </c:pt>
                <c:pt idx="2972">
                  <c:v>39499</c:v>
                </c:pt>
                <c:pt idx="2973">
                  <c:v>39500</c:v>
                </c:pt>
                <c:pt idx="2974">
                  <c:v>39501</c:v>
                </c:pt>
                <c:pt idx="2975">
                  <c:v>39502</c:v>
                </c:pt>
                <c:pt idx="2976">
                  <c:v>39503</c:v>
                </c:pt>
                <c:pt idx="2977">
                  <c:v>39504</c:v>
                </c:pt>
                <c:pt idx="2978">
                  <c:v>39505</c:v>
                </c:pt>
                <c:pt idx="2979">
                  <c:v>39506</c:v>
                </c:pt>
                <c:pt idx="2980">
                  <c:v>39507</c:v>
                </c:pt>
                <c:pt idx="2981">
                  <c:v>39508</c:v>
                </c:pt>
                <c:pt idx="2982">
                  <c:v>39509</c:v>
                </c:pt>
                <c:pt idx="2983">
                  <c:v>39510</c:v>
                </c:pt>
                <c:pt idx="2984">
                  <c:v>39511</c:v>
                </c:pt>
                <c:pt idx="2985">
                  <c:v>39512</c:v>
                </c:pt>
                <c:pt idx="2986">
                  <c:v>39513</c:v>
                </c:pt>
                <c:pt idx="2987">
                  <c:v>39514</c:v>
                </c:pt>
                <c:pt idx="2988">
                  <c:v>39515</c:v>
                </c:pt>
                <c:pt idx="2989">
                  <c:v>39516</c:v>
                </c:pt>
                <c:pt idx="2990">
                  <c:v>39517</c:v>
                </c:pt>
                <c:pt idx="2991">
                  <c:v>39518</c:v>
                </c:pt>
                <c:pt idx="2992">
                  <c:v>39519</c:v>
                </c:pt>
                <c:pt idx="2993">
                  <c:v>39520</c:v>
                </c:pt>
                <c:pt idx="2994">
                  <c:v>39521</c:v>
                </c:pt>
                <c:pt idx="2995">
                  <c:v>39522</c:v>
                </c:pt>
                <c:pt idx="2996">
                  <c:v>39523</c:v>
                </c:pt>
                <c:pt idx="2997">
                  <c:v>39524</c:v>
                </c:pt>
                <c:pt idx="2998">
                  <c:v>39525</c:v>
                </c:pt>
                <c:pt idx="2999">
                  <c:v>39526</c:v>
                </c:pt>
                <c:pt idx="3000">
                  <c:v>39527</c:v>
                </c:pt>
                <c:pt idx="3001">
                  <c:v>39528</c:v>
                </c:pt>
                <c:pt idx="3002">
                  <c:v>39529</c:v>
                </c:pt>
                <c:pt idx="3003">
                  <c:v>39530</c:v>
                </c:pt>
                <c:pt idx="3004">
                  <c:v>39531</c:v>
                </c:pt>
                <c:pt idx="3005">
                  <c:v>39532</c:v>
                </c:pt>
                <c:pt idx="3006">
                  <c:v>39533</c:v>
                </c:pt>
                <c:pt idx="3007">
                  <c:v>39534</c:v>
                </c:pt>
                <c:pt idx="3008">
                  <c:v>39535</c:v>
                </c:pt>
                <c:pt idx="3009">
                  <c:v>39536</c:v>
                </c:pt>
                <c:pt idx="3010">
                  <c:v>39537</c:v>
                </c:pt>
                <c:pt idx="3011">
                  <c:v>39538</c:v>
                </c:pt>
                <c:pt idx="3012">
                  <c:v>39539</c:v>
                </c:pt>
                <c:pt idx="3013">
                  <c:v>39540</c:v>
                </c:pt>
                <c:pt idx="3014">
                  <c:v>39541</c:v>
                </c:pt>
                <c:pt idx="3015">
                  <c:v>39542</c:v>
                </c:pt>
                <c:pt idx="3016">
                  <c:v>39543</c:v>
                </c:pt>
                <c:pt idx="3017">
                  <c:v>39544</c:v>
                </c:pt>
                <c:pt idx="3018">
                  <c:v>39545</c:v>
                </c:pt>
                <c:pt idx="3019">
                  <c:v>39546</c:v>
                </c:pt>
                <c:pt idx="3020">
                  <c:v>39547</c:v>
                </c:pt>
                <c:pt idx="3021">
                  <c:v>39548</c:v>
                </c:pt>
                <c:pt idx="3022">
                  <c:v>39549</c:v>
                </c:pt>
                <c:pt idx="3023">
                  <c:v>39550</c:v>
                </c:pt>
                <c:pt idx="3024">
                  <c:v>39551</c:v>
                </c:pt>
                <c:pt idx="3025">
                  <c:v>39552</c:v>
                </c:pt>
                <c:pt idx="3026">
                  <c:v>39553</c:v>
                </c:pt>
                <c:pt idx="3027">
                  <c:v>39554</c:v>
                </c:pt>
                <c:pt idx="3028">
                  <c:v>39555</c:v>
                </c:pt>
                <c:pt idx="3029">
                  <c:v>39556</c:v>
                </c:pt>
                <c:pt idx="3030">
                  <c:v>39557</c:v>
                </c:pt>
                <c:pt idx="3031">
                  <c:v>39558</c:v>
                </c:pt>
                <c:pt idx="3032">
                  <c:v>39559</c:v>
                </c:pt>
                <c:pt idx="3033">
                  <c:v>39560</c:v>
                </c:pt>
                <c:pt idx="3034">
                  <c:v>39561</c:v>
                </c:pt>
                <c:pt idx="3035">
                  <c:v>39562</c:v>
                </c:pt>
                <c:pt idx="3036">
                  <c:v>39563</c:v>
                </c:pt>
                <c:pt idx="3037">
                  <c:v>39564</c:v>
                </c:pt>
                <c:pt idx="3038">
                  <c:v>39565</c:v>
                </c:pt>
                <c:pt idx="3039">
                  <c:v>39566</c:v>
                </c:pt>
                <c:pt idx="3040">
                  <c:v>39567</c:v>
                </c:pt>
                <c:pt idx="3041">
                  <c:v>39568</c:v>
                </c:pt>
                <c:pt idx="3042">
                  <c:v>39569</c:v>
                </c:pt>
                <c:pt idx="3043">
                  <c:v>39570</c:v>
                </c:pt>
                <c:pt idx="3044">
                  <c:v>39571</c:v>
                </c:pt>
                <c:pt idx="3045">
                  <c:v>39572</c:v>
                </c:pt>
                <c:pt idx="3046">
                  <c:v>39573</c:v>
                </c:pt>
                <c:pt idx="3047">
                  <c:v>39574</c:v>
                </c:pt>
                <c:pt idx="3048">
                  <c:v>39575</c:v>
                </c:pt>
                <c:pt idx="3049">
                  <c:v>39576</c:v>
                </c:pt>
                <c:pt idx="3050">
                  <c:v>39577</c:v>
                </c:pt>
                <c:pt idx="3051">
                  <c:v>39578</c:v>
                </c:pt>
                <c:pt idx="3052">
                  <c:v>39579</c:v>
                </c:pt>
                <c:pt idx="3053">
                  <c:v>39580</c:v>
                </c:pt>
                <c:pt idx="3054">
                  <c:v>39581</c:v>
                </c:pt>
                <c:pt idx="3055">
                  <c:v>39582</c:v>
                </c:pt>
                <c:pt idx="3056">
                  <c:v>39583</c:v>
                </c:pt>
                <c:pt idx="3057">
                  <c:v>39584</c:v>
                </c:pt>
                <c:pt idx="3058">
                  <c:v>39585</c:v>
                </c:pt>
                <c:pt idx="3059">
                  <c:v>39586</c:v>
                </c:pt>
                <c:pt idx="3060">
                  <c:v>39587</c:v>
                </c:pt>
                <c:pt idx="3061">
                  <c:v>39588</c:v>
                </c:pt>
                <c:pt idx="3062">
                  <c:v>39589</c:v>
                </c:pt>
                <c:pt idx="3063">
                  <c:v>39590</c:v>
                </c:pt>
                <c:pt idx="3064">
                  <c:v>39591</c:v>
                </c:pt>
                <c:pt idx="3065">
                  <c:v>39592</c:v>
                </c:pt>
                <c:pt idx="3066">
                  <c:v>39593</c:v>
                </c:pt>
                <c:pt idx="3067">
                  <c:v>39594</c:v>
                </c:pt>
                <c:pt idx="3068">
                  <c:v>39595</c:v>
                </c:pt>
                <c:pt idx="3069">
                  <c:v>39596</c:v>
                </c:pt>
                <c:pt idx="3070">
                  <c:v>39597</c:v>
                </c:pt>
                <c:pt idx="3071">
                  <c:v>39598</c:v>
                </c:pt>
                <c:pt idx="3072">
                  <c:v>39599</c:v>
                </c:pt>
                <c:pt idx="3073">
                  <c:v>39600</c:v>
                </c:pt>
                <c:pt idx="3074">
                  <c:v>39601</c:v>
                </c:pt>
                <c:pt idx="3075">
                  <c:v>39602</c:v>
                </c:pt>
                <c:pt idx="3076">
                  <c:v>39603</c:v>
                </c:pt>
                <c:pt idx="3077">
                  <c:v>39604</c:v>
                </c:pt>
                <c:pt idx="3078">
                  <c:v>39605</c:v>
                </c:pt>
                <c:pt idx="3079">
                  <c:v>39606</c:v>
                </c:pt>
                <c:pt idx="3080">
                  <c:v>39607</c:v>
                </c:pt>
                <c:pt idx="3081">
                  <c:v>39608</c:v>
                </c:pt>
                <c:pt idx="3082">
                  <c:v>39609</c:v>
                </c:pt>
                <c:pt idx="3083">
                  <c:v>39610</c:v>
                </c:pt>
                <c:pt idx="3084">
                  <c:v>39611</c:v>
                </c:pt>
                <c:pt idx="3085">
                  <c:v>39612</c:v>
                </c:pt>
                <c:pt idx="3086">
                  <c:v>39613</c:v>
                </c:pt>
                <c:pt idx="3087">
                  <c:v>39614</c:v>
                </c:pt>
                <c:pt idx="3088">
                  <c:v>39615</c:v>
                </c:pt>
                <c:pt idx="3089">
                  <c:v>39616</c:v>
                </c:pt>
                <c:pt idx="3090">
                  <c:v>39617</c:v>
                </c:pt>
                <c:pt idx="3091">
                  <c:v>39618</c:v>
                </c:pt>
                <c:pt idx="3092">
                  <c:v>39619</c:v>
                </c:pt>
                <c:pt idx="3093">
                  <c:v>39620</c:v>
                </c:pt>
                <c:pt idx="3094">
                  <c:v>39621</c:v>
                </c:pt>
                <c:pt idx="3095">
                  <c:v>39622</c:v>
                </c:pt>
                <c:pt idx="3096">
                  <c:v>39623</c:v>
                </c:pt>
                <c:pt idx="3097">
                  <c:v>39624</c:v>
                </c:pt>
                <c:pt idx="3098">
                  <c:v>39625</c:v>
                </c:pt>
                <c:pt idx="3099">
                  <c:v>39626</c:v>
                </c:pt>
                <c:pt idx="3100">
                  <c:v>39627</c:v>
                </c:pt>
                <c:pt idx="3101">
                  <c:v>39628</c:v>
                </c:pt>
                <c:pt idx="3102">
                  <c:v>39629</c:v>
                </c:pt>
                <c:pt idx="3103">
                  <c:v>39630</c:v>
                </c:pt>
                <c:pt idx="3104">
                  <c:v>39631</c:v>
                </c:pt>
                <c:pt idx="3105">
                  <c:v>39632</c:v>
                </c:pt>
                <c:pt idx="3106">
                  <c:v>39633</c:v>
                </c:pt>
                <c:pt idx="3107">
                  <c:v>39634</c:v>
                </c:pt>
                <c:pt idx="3108">
                  <c:v>39635</c:v>
                </c:pt>
                <c:pt idx="3109">
                  <c:v>39636</c:v>
                </c:pt>
                <c:pt idx="3110">
                  <c:v>39637</c:v>
                </c:pt>
                <c:pt idx="3111">
                  <c:v>39638</c:v>
                </c:pt>
                <c:pt idx="3112">
                  <c:v>39639</c:v>
                </c:pt>
                <c:pt idx="3113">
                  <c:v>39640</c:v>
                </c:pt>
                <c:pt idx="3114">
                  <c:v>39641</c:v>
                </c:pt>
                <c:pt idx="3115">
                  <c:v>39642</c:v>
                </c:pt>
                <c:pt idx="3116">
                  <c:v>39643</c:v>
                </c:pt>
                <c:pt idx="3117">
                  <c:v>39644</c:v>
                </c:pt>
                <c:pt idx="3118">
                  <c:v>39645</c:v>
                </c:pt>
                <c:pt idx="3119">
                  <c:v>39646</c:v>
                </c:pt>
                <c:pt idx="3120">
                  <c:v>39647</c:v>
                </c:pt>
                <c:pt idx="3121">
                  <c:v>39648</c:v>
                </c:pt>
                <c:pt idx="3122">
                  <c:v>39649</c:v>
                </c:pt>
                <c:pt idx="3123">
                  <c:v>39650</c:v>
                </c:pt>
                <c:pt idx="3124">
                  <c:v>39651</c:v>
                </c:pt>
                <c:pt idx="3125">
                  <c:v>39652</c:v>
                </c:pt>
                <c:pt idx="3126">
                  <c:v>39653</c:v>
                </c:pt>
                <c:pt idx="3127">
                  <c:v>39654</c:v>
                </c:pt>
                <c:pt idx="3128">
                  <c:v>39655</c:v>
                </c:pt>
                <c:pt idx="3129">
                  <c:v>39656</c:v>
                </c:pt>
                <c:pt idx="3130">
                  <c:v>39657</c:v>
                </c:pt>
                <c:pt idx="3131">
                  <c:v>39658</c:v>
                </c:pt>
                <c:pt idx="3132">
                  <c:v>39659</c:v>
                </c:pt>
                <c:pt idx="3133">
                  <c:v>39660</c:v>
                </c:pt>
                <c:pt idx="3134">
                  <c:v>39661</c:v>
                </c:pt>
                <c:pt idx="3135">
                  <c:v>39662</c:v>
                </c:pt>
                <c:pt idx="3136">
                  <c:v>39663</c:v>
                </c:pt>
                <c:pt idx="3137">
                  <c:v>39664</c:v>
                </c:pt>
                <c:pt idx="3138">
                  <c:v>39665</c:v>
                </c:pt>
                <c:pt idx="3139">
                  <c:v>39666</c:v>
                </c:pt>
                <c:pt idx="3140">
                  <c:v>39667</c:v>
                </c:pt>
                <c:pt idx="3141">
                  <c:v>39668</c:v>
                </c:pt>
                <c:pt idx="3142">
                  <c:v>39669</c:v>
                </c:pt>
                <c:pt idx="3143">
                  <c:v>39670</c:v>
                </c:pt>
                <c:pt idx="3144">
                  <c:v>39671</c:v>
                </c:pt>
                <c:pt idx="3145">
                  <c:v>39672</c:v>
                </c:pt>
                <c:pt idx="3146">
                  <c:v>39673</c:v>
                </c:pt>
                <c:pt idx="3147">
                  <c:v>39674</c:v>
                </c:pt>
                <c:pt idx="3148">
                  <c:v>39675</c:v>
                </c:pt>
                <c:pt idx="3149">
                  <c:v>39676</c:v>
                </c:pt>
                <c:pt idx="3150">
                  <c:v>39677</c:v>
                </c:pt>
                <c:pt idx="3151">
                  <c:v>39678</c:v>
                </c:pt>
                <c:pt idx="3152">
                  <c:v>39679</c:v>
                </c:pt>
                <c:pt idx="3153">
                  <c:v>39680</c:v>
                </c:pt>
                <c:pt idx="3154">
                  <c:v>39681</c:v>
                </c:pt>
                <c:pt idx="3155">
                  <c:v>39682</c:v>
                </c:pt>
                <c:pt idx="3156">
                  <c:v>39683</c:v>
                </c:pt>
                <c:pt idx="3157">
                  <c:v>39684</c:v>
                </c:pt>
                <c:pt idx="3158">
                  <c:v>39685</c:v>
                </c:pt>
                <c:pt idx="3159">
                  <c:v>39686</c:v>
                </c:pt>
                <c:pt idx="3160">
                  <c:v>39687</c:v>
                </c:pt>
                <c:pt idx="3161">
                  <c:v>39688</c:v>
                </c:pt>
                <c:pt idx="3162">
                  <c:v>39689</c:v>
                </c:pt>
                <c:pt idx="3163">
                  <c:v>39690</c:v>
                </c:pt>
                <c:pt idx="3164">
                  <c:v>39691</c:v>
                </c:pt>
                <c:pt idx="3165">
                  <c:v>39692</c:v>
                </c:pt>
                <c:pt idx="3166">
                  <c:v>39693</c:v>
                </c:pt>
                <c:pt idx="3167">
                  <c:v>39694</c:v>
                </c:pt>
                <c:pt idx="3168">
                  <c:v>39695</c:v>
                </c:pt>
                <c:pt idx="3169">
                  <c:v>39696</c:v>
                </c:pt>
                <c:pt idx="3170">
                  <c:v>39697</c:v>
                </c:pt>
                <c:pt idx="3171">
                  <c:v>39698</c:v>
                </c:pt>
                <c:pt idx="3172">
                  <c:v>39699</c:v>
                </c:pt>
                <c:pt idx="3173">
                  <c:v>39700</c:v>
                </c:pt>
                <c:pt idx="3174">
                  <c:v>39701</c:v>
                </c:pt>
                <c:pt idx="3175">
                  <c:v>39702</c:v>
                </c:pt>
                <c:pt idx="3176">
                  <c:v>39703</c:v>
                </c:pt>
                <c:pt idx="3177">
                  <c:v>39704</c:v>
                </c:pt>
                <c:pt idx="3178">
                  <c:v>39705</c:v>
                </c:pt>
                <c:pt idx="3179">
                  <c:v>39706</c:v>
                </c:pt>
                <c:pt idx="3180">
                  <c:v>39707</c:v>
                </c:pt>
                <c:pt idx="3181">
                  <c:v>39708</c:v>
                </c:pt>
                <c:pt idx="3182">
                  <c:v>39709</c:v>
                </c:pt>
                <c:pt idx="3183">
                  <c:v>39710</c:v>
                </c:pt>
                <c:pt idx="3184">
                  <c:v>39711</c:v>
                </c:pt>
                <c:pt idx="3185">
                  <c:v>39712</c:v>
                </c:pt>
                <c:pt idx="3186">
                  <c:v>39713</c:v>
                </c:pt>
                <c:pt idx="3187">
                  <c:v>39714</c:v>
                </c:pt>
                <c:pt idx="3188">
                  <c:v>39715</c:v>
                </c:pt>
                <c:pt idx="3189">
                  <c:v>39716</c:v>
                </c:pt>
                <c:pt idx="3190">
                  <c:v>39717</c:v>
                </c:pt>
                <c:pt idx="3191">
                  <c:v>39718</c:v>
                </c:pt>
                <c:pt idx="3192">
                  <c:v>39719</c:v>
                </c:pt>
                <c:pt idx="3193">
                  <c:v>39720</c:v>
                </c:pt>
                <c:pt idx="3194">
                  <c:v>39721</c:v>
                </c:pt>
                <c:pt idx="3195">
                  <c:v>39722</c:v>
                </c:pt>
                <c:pt idx="3196">
                  <c:v>39723</c:v>
                </c:pt>
                <c:pt idx="3197">
                  <c:v>39724</c:v>
                </c:pt>
                <c:pt idx="3198">
                  <c:v>39725</c:v>
                </c:pt>
                <c:pt idx="3199">
                  <c:v>39726</c:v>
                </c:pt>
                <c:pt idx="3200">
                  <c:v>39727</c:v>
                </c:pt>
                <c:pt idx="3201">
                  <c:v>39728</c:v>
                </c:pt>
                <c:pt idx="3202">
                  <c:v>39729</c:v>
                </c:pt>
                <c:pt idx="3203">
                  <c:v>39730</c:v>
                </c:pt>
                <c:pt idx="3204">
                  <c:v>39731</c:v>
                </c:pt>
                <c:pt idx="3205">
                  <c:v>39732</c:v>
                </c:pt>
                <c:pt idx="3206">
                  <c:v>39733</c:v>
                </c:pt>
                <c:pt idx="3207">
                  <c:v>39734</c:v>
                </c:pt>
                <c:pt idx="3208">
                  <c:v>39735</c:v>
                </c:pt>
                <c:pt idx="3209">
                  <c:v>39736</c:v>
                </c:pt>
                <c:pt idx="3210">
                  <c:v>39737</c:v>
                </c:pt>
                <c:pt idx="3211">
                  <c:v>39738</c:v>
                </c:pt>
                <c:pt idx="3212">
                  <c:v>39739</c:v>
                </c:pt>
                <c:pt idx="3213">
                  <c:v>39740</c:v>
                </c:pt>
                <c:pt idx="3214">
                  <c:v>39741</c:v>
                </c:pt>
                <c:pt idx="3215">
                  <c:v>39742</c:v>
                </c:pt>
                <c:pt idx="3216">
                  <c:v>39743</c:v>
                </c:pt>
                <c:pt idx="3217">
                  <c:v>39744</c:v>
                </c:pt>
                <c:pt idx="3218">
                  <c:v>39745</c:v>
                </c:pt>
                <c:pt idx="3219">
                  <c:v>39746</c:v>
                </c:pt>
                <c:pt idx="3220">
                  <c:v>39747</c:v>
                </c:pt>
                <c:pt idx="3221">
                  <c:v>39748</c:v>
                </c:pt>
                <c:pt idx="3222">
                  <c:v>39749</c:v>
                </c:pt>
                <c:pt idx="3223">
                  <c:v>39750</c:v>
                </c:pt>
                <c:pt idx="3224">
                  <c:v>39751</c:v>
                </c:pt>
                <c:pt idx="3225">
                  <c:v>39752</c:v>
                </c:pt>
                <c:pt idx="3226">
                  <c:v>39753</c:v>
                </c:pt>
                <c:pt idx="3227">
                  <c:v>39754</c:v>
                </c:pt>
                <c:pt idx="3228">
                  <c:v>39755</c:v>
                </c:pt>
                <c:pt idx="3229">
                  <c:v>39756</c:v>
                </c:pt>
                <c:pt idx="3230">
                  <c:v>39757</c:v>
                </c:pt>
                <c:pt idx="3231">
                  <c:v>39758</c:v>
                </c:pt>
                <c:pt idx="3232">
                  <c:v>39759</c:v>
                </c:pt>
                <c:pt idx="3233">
                  <c:v>39760</c:v>
                </c:pt>
                <c:pt idx="3234">
                  <c:v>39761</c:v>
                </c:pt>
                <c:pt idx="3235">
                  <c:v>39762</c:v>
                </c:pt>
                <c:pt idx="3236">
                  <c:v>39763</c:v>
                </c:pt>
                <c:pt idx="3237">
                  <c:v>39764</c:v>
                </c:pt>
                <c:pt idx="3238">
                  <c:v>39765</c:v>
                </c:pt>
                <c:pt idx="3239">
                  <c:v>39766</c:v>
                </c:pt>
                <c:pt idx="3240">
                  <c:v>39767</c:v>
                </c:pt>
                <c:pt idx="3241">
                  <c:v>39768</c:v>
                </c:pt>
                <c:pt idx="3242">
                  <c:v>39769</c:v>
                </c:pt>
                <c:pt idx="3243">
                  <c:v>39770</c:v>
                </c:pt>
                <c:pt idx="3244">
                  <c:v>39771</c:v>
                </c:pt>
                <c:pt idx="3245">
                  <c:v>39772</c:v>
                </c:pt>
                <c:pt idx="3246">
                  <c:v>39773</c:v>
                </c:pt>
                <c:pt idx="3247">
                  <c:v>39774</c:v>
                </c:pt>
                <c:pt idx="3248">
                  <c:v>39775</c:v>
                </c:pt>
                <c:pt idx="3249">
                  <c:v>39776</c:v>
                </c:pt>
                <c:pt idx="3250">
                  <c:v>39777</c:v>
                </c:pt>
                <c:pt idx="3251">
                  <c:v>39778</c:v>
                </c:pt>
                <c:pt idx="3252">
                  <c:v>39779</c:v>
                </c:pt>
                <c:pt idx="3253">
                  <c:v>39780</c:v>
                </c:pt>
                <c:pt idx="3254">
                  <c:v>39781</c:v>
                </c:pt>
                <c:pt idx="3255">
                  <c:v>39782</c:v>
                </c:pt>
                <c:pt idx="3256">
                  <c:v>39783</c:v>
                </c:pt>
                <c:pt idx="3257">
                  <c:v>39784</c:v>
                </c:pt>
                <c:pt idx="3258">
                  <c:v>39785</c:v>
                </c:pt>
                <c:pt idx="3259">
                  <c:v>39786</c:v>
                </c:pt>
                <c:pt idx="3260">
                  <c:v>39787</c:v>
                </c:pt>
                <c:pt idx="3261">
                  <c:v>39788</c:v>
                </c:pt>
                <c:pt idx="3262">
                  <c:v>39789</c:v>
                </c:pt>
                <c:pt idx="3263">
                  <c:v>39790</c:v>
                </c:pt>
                <c:pt idx="3264">
                  <c:v>39791</c:v>
                </c:pt>
                <c:pt idx="3265">
                  <c:v>39792</c:v>
                </c:pt>
                <c:pt idx="3266">
                  <c:v>39793</c:v>
                </c:pt>
                <c:pt idx="3267">
                  <c:v>39794</c:v>
                </c:pt>
                <c:pt idx="3268">
                  <c:v>39795</c:v>
                </c:pt>
                <c:pt idx="3269">
                  <c:v>39796</c:v>
                </c:pt>
                <c:pt idx="3270">
                  <c:v>39797</c:v>
                </c:pt>
                <c:pt idx="3271">
                  <c:v>39798</c:v>
                </c:pt>
                <c:pt idx="3272">
                  <c:v>39799</c:v>
                </c:pt>
                <c:pt idx="3273">
                  <c:v>39800</c:v>
                </c:pt>
                <c:pt idx="3274">
                  <c:v>39801</c:v>
                </c:pt>
                <c:pt idx="3275">
                  <c:v>39802</c:v>
                </c:pt>
                <c:pt idx="3276">
                  <c:v>39803</c:v>
                </c:pt>
                <c:pt idx="3277">
                  <c:v>39804</c:v>
                </c:pt>
                <c:pt idx="3278">
                  <c:v>39805</c:v>
                </c:pt>
                <c:pt idx="3279">
                  <c:v>39806</c:v>
                </c:pt>
                <c:pt idx="3280">
                  <c:v>39807</c:v>
                </c:pt>
                <c:pt idx="3281">
                  <c:v>39808</c:v>
                </c:pt>
                <c:pt idx="3282">
                  <c:v>39809</c:v>
                </c:pt>
                <c:pt idx="3283">
                  <c:v>39810</c:v>
                </c:pt>
                <c:pt idx="3284">
                  <c:v>39811</c:v>
                </c:pt>
                <c:pt idx="3285">
                  <c:v>39812</c:v>
                </c:pt>
                <c:pt idx="3286">
                  <c:v>39813</c:v>
                </c:pt>
                <c:pt idx="3287">
                  <c:v>39814</c:v>
                </c:pt>
                <c:pt idx="3288">
                  <c:v>39815</c:v>
                </c:pt>
                <c:pt idx="3289">
                  <c:v>39816</c:v>
                </c:pt>
                <c:pt idx="3290">
                  <c:v>39817</c:v>
                </c:pt>
                <c:pt idx="3291">
                  <c:v>39818</c:v>
                </c:pt>
                <c:pt idx="3292">
                  <c:v>39819</c:v>
                </c:pt>
                <c:pt idx="3293">
                  <c:v>39820</c:v>
                </c:pt>
                <c:pt idx="3294">
                  <c:v>39821</c:v>
                </c:pt>
                <c:pt idx="3295">
                  <c:v>39822</c:v>
                </c:pt>
                <c:pt idx="3296">
                  <c:v>39823</c:v>
                </c:pt>
                <c:pt idx="3297">
                  <c:v>39824</c:v>
                </c:pt>
                <c:pt idx="3298">
                  <c:v>39825</c:v>
                </c:pt>
                <c:pt idx="3299">
                  <c:v>39826</c:v>
                </c:pt>
                <c:pt idx="3300">
                  <c:v>39827</c:v>
                </c:pt>
                <c:pt idx="3301">
                  <c:v>39828</c:v>
                </c:pt>
                <c:pt idx="3302">
                  <c:v>39829</c:v>
                </c:pt>
                <c:pt idx="3303">
                  <c:v>39830</c:v>
                </c:pt>
                <c:pt idx="3304">
                  <c:v>39831</c:v>
                </c:pt>
                <c:pt idx="3305">
                  <c:v>39832</c:v>
                </c:pt>
                <c:pt idx="3306">
                  <c:v>39833</c:v>
                </c:pt>
                <c:pt idx="3307">
                  <c:v>39834</c:v>
                </c:pt>
                <c:pt idx="3308">
                  <c:v>39835</c:v>
                </c:pt>
                <c:pt idx="3309">
                  <c:v>39836</c:v>
                </c:pt>
                <c:pt idx="3310">
                  <c:v>39837</c:v>
                </c:pt>
                <c:pt idx="3311">
                  <c:v>39838</c:v>
                </c:pt>
                <c:pt idx="3312">
                  <c:v>39839</c:v>
                </c:pt>
                <c:pt idx="3313">
                  <c:v>39840</c:v>
                </c:pt>
                <c:pt idx="3314">
                  <c:v>39841</c:v>
                </c:pt>
                <c:pt idx="3315">
                  <c:v>39842</c:v>
                </c:pt>
                <c:pt idx="3316">
                  <c:v>39843</c:v>
                </c:pt>
                <c:pt idx="3317">
                  <c:v>39844</c:v>
                </c:pt>
                <c:pt idx="3318">
                  <c:v>39845</c:v>
                </c:pt>
                <c:pt idx="3319">
                  <c:v>39846</c:v>
                </c:pt>
                <c:pt idx="3320">
                  <c:v>39847</c:v>
                </c:pt>
                <c:pt idx="3321">
                  <c:v>39848</c:v>
                </c:pt>
                <c:pt idx="3322">
                  <c:v>39849</c:v>
                </c:pt>
                <c:pt idx="3323">
                  <c:v>39850</c:v>
                </c:pt>
                <c:pt idx="3324">
                  <c:v>39851</c:v>
                </c:pt>
                <c:pt idx="3325">
                  <c:v>39852</c:v>
                </c:pt>
                <c:pt idx="3326">
                  <c:v>39853</c:v>
                </c:pt>
                <c:pt idx="3327">
                  <c:v>39854</c:v>
                </c:pt>
                <c:pt idx="3328">
                  <c:v>39855</c:v>
                </c:pt>
                <c:pt idx="3329">
                  <c:v>39856</c:v>
                </c:pt>
                <c:pt idx="3330">
                  <c:v>39857</c:v>
                </c:pt>
                <c:pt idx="3331">
                  <c:v>39858</c:v>
                </c:pt>
                <c:pt idx="3332">
                  <c:v>39859</c:v>
                </c:pt>
                <c:pt idx="3333">
                  <c:v>39860</c:v>
                </c:pt>
                <c:pt idx="3334">
                  <c:v>39861</c:v>
                </c:pt>
                <c:pt idx="3335">
                  <c:v>39862</c:v>
                </c:pt>
                <c:pt idx="3336">
                  <c:v>39863</c:v>
                </c:pt>
                <c:pt idx="3337">
                  <c:v>39864</c:v>
                </c:pt>
                <c:pt idx="3338">
                  <c:v>39865</c:v>
                </c:pt>
                <c:pt idx="3339">
                  <c:v>39866</c:v>
                </c:pt>
                <c:pt idx="3340">
                  <c:v>39867</c:v>
                </c:pt>
                <c:pt idx="3341">
                  <c:v>39868</c:v>
                </c:pt>
                <c:pt idx="3342">
                  <c:v>39869</c:v>
                </c:pt>
                <c:pt idx="3343">
                  <c:v>39870</c:v>
                </c:pt>
                <c:pt idx="3344">
                  <c:v>39871</c:v>
                </c:pt>
                <c:pt idx="3345">
                  <c:v>39872</c:v>
                </c:pt>
                <c:pt idx="3346">
                  <c:v>39873</c:v>
                </c:pt>
                <c:pt idx="3347">
                  <c:v>39874</c:v>
                </c:pt>
                <c:pt idx="3348">
                  <c:v>39875</c:v>
                </c:pt>
                <c:pt idx="3349">
                  <c:v>39876</c:v>
                </c:pt>
                <c:pt idx="3350">
                  <c:v>39877</c:v>
                </c:pt>
                <c:pt idx="3351">
                  <c:v>39878</c:v>
                </c:pt>
                <c:pt idx="3352">
                  <c:v>39879</c:v>
                </c:pt>
                <c:pt idx="3353">
                  <c:v>39880</c:v>
                </c:pt>
                <c:pt idx="3354">
                  <c:v>39881</c:v>
                </c:pt>
                <c:pt idx="3355">
                  <c:v>39882</c:v>
                </c:pt>
                <c:pt idx="3356">
                  <c:v>39883</c:v>
                </c:pt>
                <c:pt idx="3357">
                  <c:v>39884</c:v>
                </c:pt>
                <c:pt idx="3358">
                  <c:v>39885</c:v>
                </c:pt>
                <c:pt idx="3359">
                  <c:v>39886</c:v>
                </c:pt>
                <c:pt idx="3360">
                  <c:v>39887</c:v>
                </c:pt>
                <c:pt idx="3361">
                  <c:v>39888</c:v>
                </c:pt>
                <c:pt idx="3362">
                  <c:v>39889</c:v>
                </c:pt>
                <c:pt idx="3363">
                  <c:v>39890</c:v>
                </c:pt>
                <c:pt idx="3364">
                  <c:v>39891</c:v>
                </c:pt>
                <c:pt idx="3365">
                  <c:v>39892</c:v>
                </c:pt>
                <c:pt idx="3366">
                  <c:v>39893</c:v>
                </c:pt>
                <c:pt idx="3367">
                  <c:v>39894</c:v>
                </c:pt>
                <c:pt idx="3368">
                  <c:v>39895</c:v>
                </c:pt>
                <c:pt idx="3369">
                  <c:v>39896</c:v>
                </c:pt>
                <c:pt idx="3370">
                  <c:v>39897</c:v>
                </c:pt>
                <c:pt idx="3371">
                  <c:v>39898</c:v>
                </c:pt>
                <c:pt idx="3372">
                  <c:v>39899</c:v>
                </c:pt>
                <c:pt idx="3373">
                  <c:v>39900</c:v>
                </c:pt>
                <c:pt idx="3374">
                  <c:v>39901</c:v>
                </c:pt>
                <c:pt idx="3375">
                  <c:v>39902</c:v>
                </c:pt>
                <c:pt idx="3376">
                  <c:v>39903</c:v>
                </c:pt>
                <c:pt idx="3377">
                  <c:v>39904</c:v>
                </c:pt>
                <c:pt idx="3378">
                  <c:v>39905</c:v>
                </c:pt>
                <c:pt idx="3379">
                  <c:v>39906</c:v>
                </c:pt>
                <c:pt idx="3380">
                  <c:v>39907</c:v>
                </c:pt>
                <c:pt idx="3381">
                  <c:v>39908</c:v>
                </c:pt>
                <c:pt idx="3382">
                  <c:v>39909</c:v>
                </c:pt>
                <c:pt idx="3383">
                  <c:v>39910</c:v>
                </c:pt>
                <c:pt idx="3384">
                  <c:v>39911</c:v>
                </c:pt>
                <c:pt idx="3385">
                  <c:v>39912</c:v>
                </c:pt>
                <c:pt idx="3386">
                  <c:v>39913</c:v>
                </c:pt>
                <c:pt idx="3387">
                  <c:v>39914</c:v>
                </c:pt>
                <c:pt idx="3388">
                  <c:v>39915</c:v>
                </c:pt>
                <c:pt idx="3389">
                  <c:v>39916</c:v>
                </c:pt>
                <c:pt idx="3390">
                  <c:v>39917</c:v>
                </c:pt>
                <c:pt idx="3391">
                  <c:v>39918</c:v>
                </c:pt>
                <c:pt idx="3392">
                  <c:v>39919</c:v>
                </c:pt>
                <c:pt idx="3393">
                  <c:v>39920</c:v>
                </c:pt>
                <c:pt idx="3394">
                  <c:v>39921</c:v>
                </c:pt>
                <c:pt idx="3395">
                  <c:v>39922</c:v>
                </c:pt>
                <c:pt idx="3396">
                  <c:v>39923</c:v>
                </c:pt>
                <c:pt idx="3397">
                  <c:v>39924</c:v>
                </c:pt>
                <c:pt idx="3398">
                  <c:v>39925</c:v>
                </c:pt>
                <c:pt idx="3399">
                  <c:v>39926</c:v>
                </c:pt>
                <c:pt idx="3400">
                  <c:v>39927</c:v>
                </c:pt>
                <c:pt idx="3401">
                  <c:v>39928</c:v>
                </c:pt>
                <c:pt idx="3402">
                  <c:v>39929</c:v>
                </c:pt>
                <c:pt idx="3403">
                  <c:v>39930</c:v>
                </c:pt>
                <c:pt idx="3404">
                  <c:v>39931</c:v>
                </c:pt>
                <c:pt idx="3405">
                  <c:v>39932</c:v>
                </c:pt>
                <c:pt idx="3406">
                  <c:v>39933</c:v>
                </c:pt>
                <c:pt idx="3407">
                  <c:v>39934</c:v>
                </c:pt>
                <c:pt idx="3408">
                  <c:v>39935</c:v>
                </c:pt>
                <c:pt idx="3409">
                  <c:v>39936</c:v>
                </c:pt>
                <c:pt idx="3410">
                  <c:v>39937</c:v>
                </c:pt>
                <c:pt idx="3411">
                  <c:v>39938</c:v>
                </c:pt>
                <c:pt idx="3412">
                  <c:v>39939</c:v>
                </c:pt>
                <c:pt idx="3413">
                  <c:v>39940</c:v>
                </c:pt>
                <c:pt idx="3414">
                  <c:v>39941</c:v>
                </c:pt>
                <c:pt idx="3415">
                  <c:v>39942</c:v>
                </c:pt>
                <c:pt idx="3416">
                  <c:v>39943</c:v>
                </c:pt>
                <c:pt idx="3417">
                  <c:v>39944</c:v>
                </c:pt>
                <c:pt idx="3418">
                  <c:v>39945</c:v>
                </c:pt>
                <c:pt idx="3419">
                  <c:v>39946</c:v>
                </c:pt>
                <c:pt idx="3420">
                  <c:v>39947</c:v>
                </c:pt>
                <c:pt idx="3421">
                  <c:v>39948</c:v>
                </c:pt>
                <c:pt idx="3422">
                  <c:v>39949</c:v>
                </c:pt>
                <c:pt idx="3423">
                  <c:v>39950</c:v>
                </c:pt>
                <c:pt idx="3424">
                  <c:v>39951</c:v>
                </c:pt>
                <c:pt idx="3425">
                  <c:v>39952</c:v>
                </c:pt>
                <c:pt idx="3426">
                  <c:v>39953</c:v>
                </c:pt>
                <c:pt idx="3427">
                  <c:v>39954</c:v>
                </c:pt>
                <c:pt idx="3428">
                  <c:v>39955</c:v>
                </c:pt>
                <c:pt idx="3429">
                  <c:v>39956</c:v>
                </c:pt>
                <c:pt idx="3430">
                  <c:v>39957</c:v>
                </c:pt>
                <c:pt idx="3431">
                  <c:v>39958</c:v>
                </c:pt>
                <c:pt idx="3432">
                  <c:v>39959</c:v>
                </c:pt>
                <c:pt idx="3433">
                  <c:v>39960</c:v>
                </c:pt>
                <c:pt idx="3434">
                  <c:v>39961</c:v>
                </c:pt>
                <c:pt idx="3435">
                  <c:v>39962</c:v>
                </c:pt>
                <c:pt idx="3436">
                  <c:v>39963</c:v>
                </c:pt>
                <c:pt idx="3437">
                  <c:v>39964</c:v>
                </c:pt>
                <c:pt idx="3438">
                  <c:v>39965</c:v>
                </c:pt>
                <c:pt idx="3439">
                  <c:v>39966</c:v>
                </c:pt>
                <c:pt idx="3440">
                  <c:v>39967</c:v>
                </c:pt>
                <c:pt idx="3441">
                  <c:v>39968</c:v>
                </c:pt>
                <c:pt idx="3442">
                  <c:v>39969</c:v>
                </c:pt>
                <c:pt idx="3443">
                  <c:v>39970</c:v>
                </c:pt>
                <c:pt idx="3444">
                  <c:v>39971</c:v>
                </c:pt>
                <c:pt idx="3445">
                  <c:v>39972</c:v>
                </c:pt>
                <c:pt idx="3446">
                  <c:v>39973</c:v>
                </c:pt>
                <c:pt idx="3447">
                  <c:v>39974</c:v>
                </c:pt>
                <c:pt idx="3448">
                  <c:v>39975</c:v>
                </c:pt>
                <c:pt idx="3449">
                  <c:v>39976</c:v>
                </c:pt>
                <c:pt idx="3450">
                  <c:v>39977</c:v>
                </c:pt>
                <c:pt idx="3451">
                  <c:v>39978</c:v>
                </c:pt>
                <c:pt idx="3452">
                  <c:v>39979</c:v>
                </c:pt>
                <c:pt idx="3453">
                  <c:v>39980</c:v>
                </c:pt>
                <c:pt idx="3454">
                  <c:v>39981</c:v>
                </c:pt>
                <c:pt idx="3455">
                  <c:v>39982</c:v>
                </c:pt>
                <c:pt idx="3456">
                  <c:v>39983</c:v>
                </c:pt>
                <c:pt idx="3457">
                  <c:v>39984</c:v>
                </c:pt>
                <c:pt idx="3458">
                  <c:v>39985</c:v>
                </c:pt>
                <c:pt idx="3459">
                  <c:v>39986</c:v>
                </c:pt>
                <c:pt idx="3460">
                  <c:v>39987</c:v>
                </c:pt>
                <c:pt idx="3461">
                  <c:v>39988</c:v>
                </c:pt>
                <c:pt idx="3462">
                  <c:v>39989</c:v>
                </c:pt>
                <c:pt idx="3463">
                  <c:v>39990</c:v>
                </c:pt>
                <c:pt idx="3464">
                  <c:v>39991</c:v>
                </c:pt>
                <c:pt idx="3465">
                  <c:v>39992</c:v>
                </c:pt>
                <c:pt idx="3466">
                  <c:v>39993</c:v>
                </c:pt>
                <c:pt idx="3467">
                  <c:v>39994</c:v>
                </c:pt>
                <c:pt idx="3468">
                  <c:v>39995</c:v>
                </c:pt>
                <c:pt idx="3469">
                  <c:v>39996</c:v>
                </c:pt>
                <c:pt idx="3470">
                  <c:v>39997</c:v>
                </c:pt>
                <c:pt idx="3471">
                  <c:v>39998</c:v>
                </c:pt>
                <c:pt idx="3472">
                  <c:v>39999</c:v>
                </c:pt>
                <c:pt idx="3473">
                  <c:v>40000</c:v>
                </c:pt>
                <c:pt idx="3474">
                  <c:v>40001</c:v>
                </c:pt>
                <c:pt idx="3475">
                  <c:v>40002</c:v>
                </c:pt>
                <c:pt idx="3476">
                  <c:v>40003</c:v>
                </c:pt>
                <c:pt idx="3477">
                  <c:v>40004</c:v>
                </c:pt>
                <c:pt idx="3478">
                  <c:v>40005</c:v>
                </c:pt>
                <c:pt idx="3479">
                  <c:v>40006</c:v>
                </c:pt>
                <c:pt idx="3480">
                  <c:v>40007</c:v>
                </c:pt>
                <c:pt idx="3481">
                  <c:v>40008</c:v>
                </c:pt>
                <c:pt idx="3482">
                  <c:v>40009</c:v>
                </c:pt>
                <c:pt idx="3483">
                  <c:v>40010</c:v>
                </c:pt>
                <c:pt idx="3484">
                  <c:v>40011</c:v>
                </c:pt>
                <c:pt idx="3485">
                  <c:v>40012</c:v>
                </c:pt>
                <c:pt idx="3486">
                  <c:v>40013</c:v>
                </c:pt>
                <c:pt idx="3487">
                  <c:v>40014</c:v>
                </c:pt>
                <c:pt idx="3488">
                  <c:v>40015</c:v>
                </c:pt>
                <c:pt idx="3489">
                  <c:v>40016</c:v>
                </c:pt>
                <c:pt idx="3490">
                  <c:v>40017</c:v>
                </c:pt>
                <c:pt idx="3491">
                  <c:v>40018</c:v>
                </c:pt>
                <c:pt idx="3492">
                  <c:v>40019</c:v>
                </c:pt>
                <c:pt idx="3493">
                  <c:v>40020</c:v>
                </c:pt>
                <c:pt idx="3494">
                  <c:v>40021</c:v>
                </c:pt>
                <c:pt idx="3495">
                  <c:v>40022</c:v>
                </c:pt>
                <c:pt idx="3496">
                  <c:v>40023</c:v>
                </c:pt>
                <c:pt idx="3497">
                  <c:v>40024</c:v>
                </c:pt>
                <c:pt idx="3498">
                  <c:v>40025</c:v>
                </c:pt>
                <c:pt idx="3499">
                  <c:v>40026</c:v>
                </c:pt>
                <c:pt idx="3500">
                  <c:v>40027</c:v>
                </c:pt>
                <c:pt idx="3501">
                  <c:v>40028</c:v>
                </c:pt>
                <c:pt idx="3502">
                  <c:v>40029</c:v>
                </c:pt>
                <c:pt idx="3503">
                  <c:v>40030</c:v>
                </c:pt>
                <c:pt idx="3504">
                  <c:v>40031</c:v>
                </c:pt>
                <c:pt idx="3505">
                  <c:v>40032</c:v>
                </c:pt>
                <c:pt idx="3506">
                  <c:v>40033</c:v>
                </c:pt>
                <c:pt idx="3507">
                  <c:v>40034</c:v>
                </c:pt>
                <c:pt idx="3508">
                  <c:v>40035</c:v>
                </c:pt>
                <c:pt idx="3509">
                  <c:v>40036</c:v>
                </c:pt>
                <c:pt idx="3510">
                  <c:v>40037</c:v>
                </c:pt>
                <c:pt idx="3511">
                  <c:v>40038</c:v>
                </c:pt>
                <c:pt idx="3512">
                  <c:v>40039</c:v>
                </c:pt>
                <c:pt idx="3513">
                  <c:v>40040</c:v>
                </c:pt>
                <c:pt idx="3514">
                  <c:v>40041</c:v>
                </c:pt>
                <c:pt idx="3515">
                  <c:v>40042</c:v>
                </c:pt>
                <c:pt idx="3516">
                  <c:v>40043</c:v>
                </c:pt>
                <c:pt idx="3517">
                  <c:v>40044</c:v>
                </c:pt>
                <c:pt idx="3518">
                  <c:v>40045</c:v>
                </c:pt>
                <c:pt idx="3519">
                  <c:v>40046</c:v>
                </c:pt>
                <c:pt idx="3520">
                  <c:v>40047</c:v>
                </c:pt>
                <c:pt idx="3521">
                  <c:v>40048</c:v>
                </c:pt>
                <c:pt idx="3522">
                  <c:v>40049</c:v>
                </c:pt>
                <c:pt idx="3523">
                  <c:v>40050</c:v>
                </c:pt>
                <c:pt idx="3524">
                  <c:v>40051</c:v>
                </c:pt>
                <c:pt idx="3525">
                  <c:v>40052</c:v>
                </c:pt>
                <c:pt idx="3526">
                  <c:v>40053</c:v>
                </c:pt>
                <c:pt idx="3527">
                  <c:v>40054</c:v>
                </c:pt>
                <c:pt idx="3528">
                  <c:v>40055</c:v>
                </c:pt>
                <c:pt idx="3529">
                  <c:v>40056</c:v>
                </c:pt>
                <c:pt idx="3530">
                  <c:v>40057</c:v>
                </c:pt>
                <c:pt idx="3531">
                  <c:v>40058</c:v>
                </c:pt>
                <c:pt idx="3532">
                  <c:v>40059</c:v>
                </c:pt>
                <c:pt idx="3533">
                  <c:v>40060</c:v>
                </c:pt>
                <c:pt idx="3534">
                  <c:v>40061</c:v>
                </c:pt>
                <c:pt idx="3535">
                  <c:v>40062</c:v>
                </c:pt>
                <c:pt idx="3536">
                  <c:v>40063</c:v>
                </c:pt>
                <c:pt idx="3537">
                  <c:v>40064</c:v>
                </c:pt>
                <c:pt idx="3538">
                  <c:v>40065</c:v>
                </c:pt>
                <c:pt idx="3539">
                  <c:v>40066</c:v>
                </c:pt>
                <c:pt idx="3540">
                  <c:v>40067</c:v>
                </c:pt>
                <c:pt idx="3541">
                  <c:v>40068</c:v>
                </c:pt>
                <c:pt idx="3542">
                  <c:v>40069</c:v>
                </c:pt>
                <c:pt idx="3543">
                  <c:v>40070</c:v>
                </c:pt>
                <c:pt idx="3544">
                  <c:v>40071</c:v>
                </c:pt>
                <c:pt idx="3545">
                  <c:v>40072</c:v>
                </c:pt>
                <c:pt idx="3546">
                  <c:v>40073</c:v>
                </c:pt>
                <c:pt idx="3547">
                  <c:v>40074</c:v>
                </c:pt>
                <c:pt idx="3548">
                  <c:v>40075</c:v>
                </c:pt>
                <c:pt idx="3549">
                  <c:v>40076</c:v>
                </c:pt>
                <c:pt idx="3550">
                  <c:v>40077</c:v>
                </c:pt>
                <c:pt idx="3551">
                  <c:v>40078</c:v>
                </c:pt>
                <c:pt idx="3552">
                  <c:v>40079</c:v>
                </c:pt>
                <c:pt idx="3553">
                  <c:v>40080</c:v>
                </c:pt>
                <c:pt idx="3554">
                  <c:v>40081</c:v>
                </c:pt>
                <c:pt idx="3555">
                  <c:v>40082</c:v>
                </c:pt>
                <c:pt idx="3556">
                  <c:v>40083</c:v>
                </c:pt>
                <c:pt idx="3557">
                  <c:v>40084</c:v>
                </c:pt>
                <c:pt idx="3558">
                  <c:v>40085</c:v>
                </c:pt>
                <c:pt idx="3559">
                  <c:v>40086</c:v>
                </c:pt>
                <c:pt idx="3560">
                  <c:v>40087</c:v>
                </c:pt>
                <c:pt idx="3561">
                  <c:v>40088</c:v>
                </c:pt>
                <c:pt idx="3562">
                  <c:v>40089</c:v>
                </c:pt>
                <c:pt idx="3563">
                  <c:v>40090</c:v>
                </c:pt>
                <c:pt idx="3564">
                  <c:v>40091</c:v>
                </c:pt>
                <c:pt idx="3565">
                  <c:v>40092</c:v>
                </c:pt>
                <c:pt idx="3566">
                  <c:v>40093</c:v>
                </c:pt>
                <c:pt idx="3567">
                  <c:v>40094</c:v>
                </c:pt>
                <c:pt idx="3568">
                  <c:v>40095</c:v>
                </c:pt>
                <c:pt idx="3569">
                  <c:v>40096</c:v>
                </c:pt>
                <c:pt idx="3570">
                  <c:v>40097</c:v>
                </c:pt>
                <c:pt idx="3571">
                  <c:v>40098</c:v>
                </c:pt>
                <c:pt idx="3572">
                  <c:v>40099</c:v>
                </c:pt>
                <c:pt idx="3573">
                  <c:v>40100</c:v>
                </c:pt>
                <c:pt idx="3574">
                  <c:v>40101</c:v>
                </c:pt>
                <c:pt idx="3575">
                  <c:v>40102</c:v>
                </c:pt>
                <c:pt idx="3576">
                  <c:v>40103</c:v>
                </c:pt>
                <c:pt idx="3577">
                  <c:v>40104</c:v>
                </c:pt>
                <c:pt idx="3578">
                  <c:v>40105</c:v>
                </c:pt>
                <c:pt idx="3579">
                  <c:v>40106</c:v>
                </c:pt>
                <c:pt idx="3580">
                  <c:v>40107</c:v>
                </c:pt>
                <c:pt idx="3581">
                  <c:v>40108</c:v>
                </c:pt>
                <c:pt idx="3582">
                  <c:v>40109</c:v>
                </c:pt>
                <c:pt idx="3583">
                  <c:v>40110</c:v>
                </c:pt>
                <c:pt idx="3584">
                  <c:v>40111</c:v>
                </c:pt>
                <c:pt idx="3585">
                  <c:v>40112</c:v>
                </c:pt>
                <c:pt idx="3586">
                  <c:v>40113</c:v>
                </c:pt>
                <c:pt idx="3587">
                  <c:v>40114</c:v>
                </c:pt>
                <c:pt idx="3588">
                  <c:v>40115</c:v>
                </c:pt>
                <c:pt idx="3589">
                  <c:v>40116</c:v>
                </c:pt>
                <c:pt idx="3590">
                  <c:v>40117</c:v>
                </c:pt>
                <c:pt idx="3591">
                  <c:v>40118</c:v>
                </c:pt>
                <c:pt idx="3592">
                  <c:v>40119</c:v>
                </c:pt>
                <c:pt idx="3593">
                  <c:v>40120</c:v>
                </c:pt>
                <c:pt idx="3594">
                  <c:v>40121</c:v>
                </c:pt>
                <c:pt idx="3595">
                  <c:v>40122</c:v>
                </c:pt>
                <c:pt idx="3596">
                  <c:v>40123</c:v>
                </c:pt>
                <c:pt idx="3597">
                  <c:v>40124</c:v>
                </c:pt>
                <c:pt idx="3598">
                  <c:v>40125</c:v>
                </c:pt>
                <c:pt idx="3599">
                  <c:v>40126</c:v>
                </c:pt>
                <c:pt idx="3600">
                  <c:v>40127</c:v>
                </c:pt>
                <c:pt idx="3601">
                  <c:v>40128</c:v>
                </c:pt>
                <c:pt idx="3602">
                  <c:v>40129</c:v>
                </c:pt>
                <c:pt idx="3603">
                  <c:v>40130</c:v>
                </c:pt>
                <c:pt idx="3604">
                  <c:v>40131</c:v>
                </c:pt>
                <c:pt idx="3605">
                  <c:v>40132</c:v>
                </c:pt>
                <c:pt idx="3606">
                  <c:v>40133</c:v>
                </c:pt>
                <c:pt idx="3607">
                  <c:v>40134</c:v>
                </c:pt>
                <c:pt idx="3608">
                  <c:v>40135</c:v>
                </c:pt>
                <c:pt idx="3609">
                  <c:v>40136</c:v>
                </c:pt>
                <c:pt idx="3610">
                  <c:v>40137</c:v>
                </c:pt>
                <c:pt idx="3611">
                  <c:v>40138</c:v>
                </c:pt>
                <c:pt idx="3612">
                  <c:v>40139</c:v>
                </c:pt>
                <c:pt idx="3613">
                  <c:v>40140</c:v>
                </c:pt>
                <c:pt idx="3614">
                  <c:v>40141</c:v>
                </c:pt>
                <c:pt idx="3615">
                  <c:v>40142</c:v>
                </c:pt>
                <c:pt idx="3616">
                  <c:v>40143</c:v>
                </c:pt>
                <c:pt idx="3617">
                  <c:v>40144</c:v>
                </c:pt>
                <c:pt idx="3618">
                  <c:v>40145</c:v>
                </c:pt>
                <c:pt idx="3619">
                  <c:v>40146</c:v>
                </c:pt>
                <c:pt idx="3620">
                  <c:v>40147</c:v>
                </c:pt>
                <c:pt idx="3621">
                  <c:v>40148</c:v>
                </c:pt>
                <c:pt idx="3622">
                  <c:v>40149</c:v>
                </c:pt>
                <c:pt idx="3623">
                  <c:v>40150</c:v>
                </c:pt>
                <c:pt idx="3624">
                  <c:v>40151</c:v>
                </c:pt>
                <c:pt idx="3625">
                  <c:v>40152</c:v>
                </c:pt>
                <c:pt idx="3626">
                  <c:v>40153</c:v>
                </c:pt>
                <c:pt idx="3627">
                  <c:v>40154</c:v>
                </c:pt>
                <c:pt idx="3628">
                  <c:v>40155</c:v>
                </c:pt>
                <c:pt idx="3629">
                  <c:v>40156</c:v>
                </c:pt>
                <c:pt idx="3630">
                  <c:v>40157</c:v>
                </c:pt>
                <c:pt idx="3631">
                  <c:v>40158</c:v>
                </c:pt>
                <c:pt idx="3632">
                  <c:v>40159</c:v>
                </c:pt>
                <c:pt idx="3633">
                  <c:v>40160</c:v>
                </c:pt>
                <c:pt idx="3634">
                  <c:v>40161</c:v>
                </c:pt>
                <c:pt idx="3635">
                  <c:v>40162</c:v>
                </c:pt>
                <c:pt idx="3636">
                  <c:v>40163</c:v>
                </c:pt>
                <c:pt idx="3637">
                  <c:v>40164</c:v>
                </c:pt>
                <c:pt idx="3638">
                  <c:v>40165</c:v>
                </c:pt>
                <c:pt idx="3639">
                  <c:v>40166</c:v>
                </c:pt>
                <c:pt idx="3640">
                  <c:v>40167</c:v>
                </c:pt>
                <c:pt idx="3641">
                  <c:v>40168</c:v>
                </c:pt>
                <c:pt idx="3642">
                  <c:v>40169</c:v>
                </c:pt>
                <c:pt idx="3643">
                  <c:v>40170</c:v>
                </c:pt>
                <c:pt idx="3644">
                  <c:v>40171</c:v>
                </c:pt>
                <c:pt idx="3645">
                  <c:v>40172</c:v>
                </c:pt>
                <c:pt idx="3646">
                  <c:v>40173</c:v>
                </c:pt>
                <c:pt idx="3647">
                  <c:v>40174</c:v>
                </c:pt>
                <c:pt idx="3648">
                  <c:v>40175</c:v>
                </c:pt>
                <c:pt idx="3649">
                  <c:v>40176</c:v>
                </c:pt>
                <c:pt idx="3650">
                  <c:v>40177</c:v>
                </c:pt>
                <c:pt idx="3651">
                  <c:v>40178</c:v>
                </c:pt>
              </c:numCache>
            </c:numRef>
          </c:xVal>
          <c:yVal>
            <c:numRef>
              <c:f>MASmoothingOutput1!$D$27:$D$3678</c:f>
              <c:numCache>
                <c:formatCode>General</c:formatCode>
                <c:ptCount val="3652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1</c:v>
                </c:pt>
                <c:pt idx="1629">
                  <c:v>0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</c:v>
                </c:pt>
                <c:pt idx="1655">
                  <c:v>1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1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0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0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1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0</c:v>
                </c:pt>
                <c:pt idx="2107">
                  <c:v>1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1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0</c:v>
                </c:pt>
                <c:pt idx="2492">
                  <c:v>1</c:v>
                </c:pt>
                <c:pt idx="2493">
                  <c:v>1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1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1</c:v>
                </c:pt>
                <c:pt idx="2766">
                  <c:v>0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1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0</c:v>
                </c:pt>
                <c:pt idx="2830">
                  <c:v>1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1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1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1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1</c:v>
                </c:pt>
                <c:pt idx="3061">
                  <c:v>0</c:v>
                </c:pt>
                <c:pt idx="3062">
                  <c:v>1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1</c:v>
                </c:pt>
                <c:pt idx="3132">
                  <c:v>0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0</c:v>
                </c:pt>
                <c:pt idx="3229">
                  <c:v>1</c:v>
                </c:pt>
                <c:pt idx="3230">
                  <c:v>1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1</c:v>
                </c:pt>
                <c:pt idx="3264">
                  <c:v>0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1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0</c:v>
                </c:pt>
                <c:pt idx="3616">
                  <c:v>0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v>Actual</c:v>
          </c:tx>
          <c:spPr>
            <a:ln w="6350"/>
          </c:spPr>
          <c:marker>
            <c:symbol val="none"/>
          </c:marker>
          <c:xVal>
            <c:numRef>
              <c:f>MASmoothingOutput1!$B$27:$B$3678</c:f>
              <c:numCache>
                <c:formatCode>m/d/yyyy</c:formatCode>
                <c:ptCount val="3652"/>
                <c:pt idx="0">
                  <c:v>36527</c:v>
                </c:pt>
                <c:pt idx="1">
                  <c:v>36528</c:v>
                </c:pt>
                <c:pt idx="2">
                  <c:v>36529</c:v>
                </c:pt>
                <c:pt idx="3">
                  <c:v>36530</c:v>
                </c:pt>
                <c:pt idx="4">
                  <c:v>36531</c:v>
                </c:pt>
                <c:pt idx="5">
                  <c:v>36532</c:v>
                </c:pt>
                <c:pt idx="6">
                  <c:v>36533</c:v>
                </c:pt>
                <c:pt idx="7">
                  <c:v>36534</c:v>
                </c:pt>
                <c:pt idx="8">
                  <c:v>36535</c:v>
                </c:pt>
                <c:pt idx="9">
                  <c:v>36536</c:v>
                </c:pt>
                <c:pt idx="10">
                  <c:v>36537</c:v>
                </c:pt>
                <c:pt idx="11">
                  <c:v>36538</c:v>
                </c:pt>
                <c:pt idx="12">
                  <c:v>36539</c:v>
                </c:pt>
                <c:pt idx="13">
                  <c:v>36540</c:v>
                </c:pt>
                <c:pt idx="14">
                  <c:v>36541</c:v>
                </c:pt>
                <c:pt idx="15">
                  <c:v>36542</c:v>
                </c:pt>
                <c:pt idx="16">
                  <c:v>36543</c:v>
                </c:pt>
                <c:pt idx="17">
                  <c:v>36544</c:v>
                </c:pt>
                <c:pt idx="18">
                  <c:v>36545</c:v>
                </c:pt>
                <c:pt idx="19">
                  <c:v>36546</c:v>
                </c:pt>
                <c:pt idx="20">
                  <c:v>36547</c:v>
                </c:pt>
                <c:pt idx="21">
                  <c:v>36548</c:v>
                </c:pt>
                <c:pt idx="22">
                  <c:v>36549</c:v>
                </c:pt>
                <c:pt idx="23">
                  <c:v>36550</c:v>
                </c:pt>
                <c:pt idx="24">
                  <c:v>36551</c:v>
                </c:pt>
                <c:pt idx="25">
                  <c:v>36552</c:v>
                </c:pt>
                <c:pt idx="26">
                  <c:v>36553</c:v>
                </c:pt>
                <c:pt idx="27">
                  <c:v>36554</c:v>
                </c:pt>
                <c:pt idx="28">
                  <c:v>36555</c:v>
                </c:pt>
                <c:pt idx="29">
                  <c:v>36556</c:v>
                </c:pt>
                <c:pt idx="30">
                  <c:v>36557</c:v>
                </c:pt>
                <c:pt idx="31">
                  <c:v>36558</c:v>
                </c:pt>
                <c:pt idx="32">
                  <c:v>36559</c:v>
                </c:pt>
                <c:pt idx="33">
                  <c:v>36560</c:v>
                </c:pt>
                <c:pt idx="34">
                  <c:v>36561</c:v>
                </c:pt>
                <c:pt idx="35">
                  <c:v>36562</c:v>
                </c:pt>
                <c:pt idx="36">
                  <c:v>36563</c:v>
                </c:pt>
                <c:pt idx="37">
                  <c:v>36564</c:v>
                </c:pt>
                <c:pt idx="38">
                  <c:v>36565</c:v>
                </c:pt>
                <c:pt idx="39">
                  <c:v>36566</c:v>
                </c:pt>
                <c:pt idx="40">
                  <c:v>36567</c:v>
                </c:pt>
                <c:pt idx="41">
                  <c:v>36568</c:v>
                </c:pt>
                <c:pt idx="42">
                  <c:v>36569</c:v>
                </c:pt>
                <c:pt idx="43">
                  <c:v>36570</c:v>
                </c:pt>
                <c:pt idx="44">
                  <c:v>36571</c:v>
                </c:pt>
                <c:pt idx="45">
                  <c:v>36572</c:v>
                </c:pt>
                <c:pt idx="46">
                  <c:v>36573</c:v>
                </c:pt>
                <c:pt idx="47">
                  <c:v>36574</c:v>
                </c:pt>
                <c:pt idx="48">
                  <c:v>36575</c:v>
                </c:pt>
                <c:pt idx="49">
                  <c:v>36576</c:v>
                </c:pt>
                <c:pt idx="50">
                  <c:v>36577</c:v>
                </c:pt>
                <c:pt idx="51">
                  <c:v>36578</c:v>
                </c:pt>
                <c:pt idx="52">
                  <c:v>36579</c:v>
                </c:pt>
                <c:pt idx="53">
                  <c:v>36580</c:v>
                </c:pt>
                <c:pt idx="54">
                  <c:v>36581</c:v>
                </c:pt>
                <c:pt idx="55">
                  <c:v>36582</c:v>
                </c:pt>
                <c:pt idx="56">
                  <c:v>36583</c:v>
                </c:pt>
                <c:pt idx="57">
                  <c:v>36584</c:v>
                </c:pt>
                <c:pt idx="58">
                  <c:v>36585</c:v>
                </c:pt>
                <c:pt idx="59">
                  <c:v>36586</c:v>
                </c:pt>
                <c:pt idx="60">
                  <c:v>36587</c:v>
                </c:pt>
                <c:pt idx="61">
                  <c:v>36588</c:v>
                </c:pt>
                <c:pt idx="62">
                  <c:v>36589</c:v>
                </c:pt>
                <c:pt idx="63">
                  <c:v>36590</c:v>
                </c:pt>
                <c:pt idx="64">
                  <c:v>36591</c:v>
                </c:pt>
                <c:pt idx="65">
                  <c:v>36592</c:v>
                </c:pt>
                <c:pt idx="66">
                  <c:v>36593</c:v>
                </c:pt>
                <c:pt idx="67">
                  <c:v>36594</c:v>
                </c:pt>
                <c:pt idx="68">
                  <c:v>36595</c:v>
                </c:pt>
                <c:pt idx="69">
                  <c:v>36596</c:v>
                </c:pt>
                <c:pt idx="70">
                  <c:v>36597</c:v>
                </c:pt>
                <c:pt idx="71">
                  <c:v>36598</c:v>
                </c:pt>
                <c:pt idx="72">
                  <c:v>36599</c:v>
                </c:pt>
                <c:pt idx="73">
                  <c:v>36600</c:v>
                </c:pt>
                <c:pt idx="74">
                  <c:v>36601</c:v>
                </c:pt>
                <c:pt idx="75">
                  <c:v>36602</c:v>
                </c:pt>
                <c:pt idx="76">
                  <c:v>36603</c:v>
                </c:pt>
                <c:pt idx="77">
                  <c:v>36604</c:v>
                </c:pt>
                <c:pt idx="78">
                  <c:v>36605</c:v>
                </c:pt>
                <c:pt idx="79">
                  <c:v>36606</c:v>
                </c:pt>
                <c:pt idx="80">
                  <c:v>36607</c:v>
                </c:pt>
                <c:pt idx="81">
                  <c:v>36608</c:v>
                </c:pt>
                <c:pt idx="82">
                  <c:v>36609</c:v>
                </c:pt>
                <c:pt idx="83">
                  <c:v>36610</c:v>
                </c:pt>
                <c:pt idx="84">
                  <c:v>36611</c:v>
                </c:pt>
                <c:pt idx="85">
                  <c:v>36612</c:v>
                </c:pt>
                <c:pt idx="86">
                  <c:v>36613</c:v>
                </c:pt>
                <c:pt idx="87">
                  <c:v>36614</c:v>
                </c:pt>
                <c:pt idx="88">
                  <c:v>36615</c:v>
                </c:pt>
                <c:pt idx="89">
                  <c:v>36616</c:v>
                </c:pt>
                <c:pt idx="90">
                  <c:v>36617</c:v>
                </c:pt>
                <c:pt idx="91">
                  <c:v>36618</c:v>
                </c:pt>
                <c:pt idx="92">
                  <c:v>36619</c:v>
                </c:pt>
                <c:pt idx="93">
                  <c:v>36620</c:v>
                </c:pt>
                <c:pt idx="94">
                  <c:v>36621</c:v>
                </c:pt>
                <c:pt idx="95">
                  <c:v>36622</c:v>
                </c:pt>
                <c:pt idx="96">
                  <c:v>36623</c:v>
                </c:pt>
                <c:pt idx="97">
                  <c:v>36624</c:v>
                </c:pt>
                <c:pt idx="98">
                  <c:v>36625</c:v>
                </c:pt>
                <c:pt idx="99">
                  <c:v>36626</c:v>
                </c:pt>
                <c:pt idx="100">
                  <c:v>36627</c:v>
                </c:pt>
                <c:pt idx="101">
                  <c:v>36628</c:v>
                </c:pt>
                <c:pt idx="102">
                  <c:v>36629</c:v>
                </c:pt>
                <c:pt idx="103">
                  <c:v>36630</c:v>
                </c:pt>
                <c:pt idx="104">
                  <c:v>36631</c:v>
                </c:pt>
                <c:pt idx="105">
                  <c:v>36632</c:v>
                </c:pt>
                <c:pt idx="106">
                  <c:v>36633</c:v>
                </c:pt>
                <c:pt idx="107">
                  <c:v>36634</c:v>
                </c:pt>
                <c:pt idx="108">
                  <c:v>36635</c:v>
                </c:pt>
                <c:pt idx="109">
                  <c:v>36636</c:v>
                </c:pt>
                <c:pt idx="110">
                  <c:v>36637</c:v>
                </c:pt>
                <c:pt idx="111">
                  <c:v>36638</c:v>
                </c:pt>
                <c:pt idx="112">
                  <c:v>36639</c:v>
                </c:pt>
                <c:pt idx="113">
                  <c:v>36640</c:v>
                </c:pt>
                <c:pt idx="114">
                  <c:v>36641</c:v>
                </c:pt>
                <c:pt idx="115">
                  <c:v>36642</c:v>
                </c:pt>
                <c:pt idx="116">
                  <c:v>36643</c:v>
                </c:pt>
                <c:pt idx="117">
                  <c:v>36644</c:v>
                </c:pt>
                <c:pt idx="118">
                  <c:v>36645</c:v>
                </c:pt>
                <c:pt idx="119">
                  <c:v>36646</c:v>
                </c:pt>
                <c:pt idx="120">
                  <c:v>36647</c:v>
                </c:pt>
                <c:pt idx="121">
                  <c:v>36648</c:v>
                </c:pt>
                <c:pt idx="122">
                  <c:v>36649</c:v>
                </c:pt>
                <c:pt idx="123">
                  <c:v>36650</c:v>
                </c:pt>
                <c:pt idx="124">
                  <c:v>36651</c:v>
                </c:pt>
                <c:pt idx="125">
                  <c:v>36652</c:v>
                </c:pt>
                <c:pt idx="126">
                  <c:v>36653</c:v>
                </c:pt>
                <c:pt idx="127">
                  <c:v>36654</c:v>
                </c:pt>
                <c:pt idx="128">
                  <c:v>36655</c:v>
                </c:pt>
                <c:pt idx="129">
                  <c:v>36656</c:v>
                </c:pt>
                <c:pt idx="130">
                  <c:v>36657</c:v>
                </c:pt>
                <c:pt idx="131">
                  <c:v>36658</c:v>
                </c:pt>
                <c:pt idx="132">
                  <c:v>36659</c:v>
                </c:pt>
                <c:pt idx="133">
                  <c:v>36660</c:v>
                </c:pt>
                <c:pt idx="134">
                  <c:v>36661</c:v>
                </c:pt>
                <c:pt idx="135">
                  <c:v>36662</c:v>
                </c:pt>
                <c:pt idx="136">
                  <c:v>36663</c:v>
                </c:pt>
                <c:pt idx="137">
                  <c:v>36664</c:v>
                </c:pt>
                <c:pt idx="138">
                  <c:v>36665</c:v>
                </c:pt>
                <c:pt idx="139">
                  <c:v>36666</c:v>
                </c:pt>
                <c:pt idx="140">
                  <c:v>36667</c:v>
                </c:pt>
                <c:pt idx="141">
                  <c:v>36668</c:v>
                </c:pt>
                <c:pt idx="142">
                  <c:v>36669</c:v>
                </c:pt>
                <c:pt idx="143">
                  <c:v>36670</c:v>
                </c:pt>
                <c:pt idx="144">
                  <c:v>36671</c:v>
                </c:pt>
                <c:pt idx="145">
                  <c:v>36672</c:v>
                </c:pt>
                <c:pt idx="146">
                  <c:v>36673</c:v>
                </c:pt>
                <c:pt idx="147">
                  <c:v>36674</c:v>
                </c:pt>
                <c:pt idx="148">
                  <c:v>36675</c:v>
                </c:pt>
                <c:pt idx="149">
                  <c:v>36676</c:v>
                </c:pt>
                <c:pt idx="150">
                  <c:v>36677</c:v>
                </c:pt>
                <c:pt idx="151">
                  <c:v>36678</c:v>
                </c:pt>
                <c:pt idx="152">
                  <c:v>36679</c:v>
                </c:pt>
                <c:pt idx="153">
                  <c:v>36680</c:v>
                </c:pt>
                <c:pt idx="154">
                  <c:v>36681</c:v>
                </c:pt>
                <c:pt idx="155">
                  <c:v>36682</c:v>
                </c:pt>
                <c:pt idx="156">
                  <c:v>36683</c:v>
                </c:pt>
                <c:pt idx="157">
                  <c:v>36684</c:v>
                </c:pt>
                <c:pt idx="158">
                  <c:v>36685</c:v>
                </c:pt>
                <c:pt idx="159">
                  <c:v>36686</c:v>
                </c:pt>
                <c:pt idx="160">
                  <c:v>36687</c:v>
                </c:pt>
                <c:pt idx="161">
                  <c:v>36688</c:v>
                </c:pt>
                <c:pt idx="162">
                  <c:v>36689</c:v>
                </c:pt>
                <c:pt idx="163">
                  <c:v>36690</c:v>
                </c:pt>
                <c:pt idx="164">
                  <c:v>36691</c:v>
                </c:pt>
                <c:pt idx="165">
                  <c:v>36692</c:v>
                </c:pt>
                <c:pt idx="166">
                  <c:v>36693</c:v>
                </c:pt>
                <c:pt idx="167">
                  <c:v>36694</c:v>
                </c:pt>
                <c:pt idx="168">
                  <c:v>36695</c:v>
                </c:pt>
                <c:pt idx="169">
                  <c:v>36696</c:v>
                </c:pt>
                <c:pt idx="170">
                  <c:v>36697</c:v>
                </c:pt>
                <c:pt idx="171">
                  <c:v>36698</c:v>
                </c:pt>
                <c:pt idx="172">
                  <c:v>36699</c:v>
                </c:pt>
                <c:pt idx="173">
                  <c:v>36700</c:v>
                </c:pt>
                <c:pt idx="174">
                  <c:v>36701</c:v>
                </c:pt>
                <c:pt idx="175">
                  <c:v>36702</c:v>
                </c:pt>
                <c:pt idx="176">
                  <c:v>36703</c:v>
                </c:pt>
                <c:pt idx="177">
                  <c:v>36704</c:v>
                </c:pt>
                <c:pt idx="178">
                  <c:v>36705</c:v>
                </c:pt>
                <c:pt idx="179">
                  <c:v>36706</c:v>
                </c:pt>
                <c:pt idx="180">
                  <c:v>36707</c:v>
                </c:pt>
                <c:pt idx="181">
                  <c:v>36708</c:v>
                </c:pt>
                <c:pt idx="182">
                  <c:v>36709</c:v>
                </c:pt>
                <c:pt idx="183">
                  <c:v>36710</c:v>
                </c:pt>
                <c:pt idx="184">
                  <c:v>36711</c:v>
                </c:pt>
                <c:pt idx="185">
                  <c:v>36712</c:v>
                </c:pt>
                <c:pt idx="186">
                  <c:v>36713</c:v>
                </c:pt>
                <c:pt idx="187">
                  <c:v>36714</c:v>
                </c:pt>
                <c:pt idx="188">
                  <c:v>36715</c:v>
                </c:pt>
                <c:pt idx="189">
                  <c:v>36716</c:v>
                </c:pt>
                <c:pt idx="190">
                  <c:v>36717</c:v>
                </c:pt>
                <c:pt idx="191">
                  <c:v>36718</c:v>
                </c:pt>
                <c:pt idx="192">
                  <c:v>36719</c:v>
                </c:pt>
                <c:pt idx="193">
                  <c:v>36720</c:v>
                </c:pt>
                <c:pt idx="194">
                  <c:v>36721</c:v>
                </c:pt>
                <c:pt idx="195">
                  <c:v>36722</c:v>
                </c:pt>
                <c:pt idx="196">
                  <c:v>36723</c:v>
                </c:pt>
                <c:pt idx="197">
                  <c:v>36724</c:v>
                </c:pt>
                <c:pt idx="198">
                  <c:v>36725</c:v>
                </c:pt>
                <c:pt idx="199">
                  <c:v>36726</c:v>
                </c:pt>
                <c:pt idx="200">
                  <c:v>36727</c:v>
                </c:pt>
                <c:pt idx="201">
                  <c:v>36728</c:v>
                </c:pt>
                <c:pt idx="202">
                  <c:v>36729</c:v>
                </c:pt>
                <c:pt idx="203">
                  <c:v>36730</c:v>
                </c:pt>
                <c:pt idx="204">
                  <c:v>36731</c:v>
                </c:pt>
                <c:pt idx="205">
                  <c:v>36732</c:v>
                </c:pt>
                <c:pt idx="206">
                  <c:v>36733</c:v>
                </c:pt>
                <c:pt idx="207">
                  <c:v>36734</c:v>
                </c:pt>
                <c:pt idx="208">
                  <c:v>36735</c:v>
                </c:pt>
                <c:pt idx="209">
                  <c:v>36736</c:v>
                </c:pt>
                <c:pt idx="210">
                  <c:v>36737</c:v>
                </c:pt>
                <c:pt idx="211">
                  <c:v>36738</c:v>
                </c:pt>
                <c:pt idx="212">
                  <c:v>36739</c:v>
                </c:pt>
                <c:pt idx="213">
                  <c:v>36740</c:v>
                </c:pt>
                <c:pt idx="214">
                  <c:v>36741</c:v>
                </c:pt>
                <c:pt idx="215">
                  <c:v>36742</c:v>
                </c:pt>
                <c:pt idx="216">
                  <c:v>36743</c:v>
                </c:pt>
                <c:pt idx="217">
                  <c:v>36744</c:v>
                </c:pt>
                <c:pt idx="218">
                  <c:v>36745</c:v>
                </c:pt>
                <c:pt idx="219">
                  <c:v>36746</c:v>
                </c:pt>
                <c:pt idx="220">
                  <c:v>36747</c:v>
                </c:pt>
                <c:pt idx="221">
                  <c:v>36748</c:v>
                </c:pt>
                <c:pt idx="222">
                  <c:v>36749</c:v>
                </c:pt>
                <c:pt idx="223">
                  <c:v>36750</c:v>
                </c:pt>
                <c:pt idx="224">
                  <c:v>36751</c:v>
                </c:pt>
                <c:pt idx="225">
                  <c:v>36752</c:v>
                </c:pt>
                <c:pt idx="226">
                  <c:v>36753</c:v>
                </c:pt>
                <c:pt idx="227">
                  <c:v>36754</c:v>
                </c:pt>
                <c:pt idx="228">
                  <c:v>36755</c:v>
                </c:pt>
                <c:pt idx="229">
                  <c:v>36756</c:v>
                </c:pt>
                <c:pt idx="230">
                  <c:v>36757</c:v>
                </c:pt>
                <c:pt idx="231">
                  <c:v>36758</c:v>
                </c:pt>
                <c:pt idx="232">
                  <c:v>36759</c:v>
                </c:pt>
                <c:pt idx="233">
                  <c:v>36760</c:v>
                </c:pt>
                <c:pt idx="234">
                  <c:v>36761</c:v>
                </c:pt>
                <c:pt idx="235">
                  <c:v>36762</c:v>
                </c:pt>
                <c:pt idx="236">
                  <c:v>36763</c:v>
                </c:pt>
                <c:pt idx="237">
                  <c:v>36764</c:v>
                </c:pt>
                <c:pt idx="238">
                  <c:v>36765</c:v>
                </c:pt>
                <c:pt idx="239">
                  <c:v>36766</c:v>
                </c:pt>
                <c:pt idx="240">
                  <c:v>36767</c:v>
                </c:pt>
                <c:pt idx="241">
                  <c:v>36768</c:v>
                </c:pt>
                <c:pt idx="242">
                  <c:v>36769</c:v>
                </c:pt>
                <c:pt idx="243">
                  <c:v>36770</c:v>
                </c:pt>
                <c:pt idx="244">
                  <c:v>36771</c:v>
                </c:pt>
                <c:pt idx="245">
                  <c:v>36772</c:v>
                </c:pt>
                <c:pt idx="246">
                  <c:v>36773</c:v>
                </c:pt>
                <c:pt idx="247">
                  <c:v>36774</c:v>
                </c:pt>
                <c:pt idx="248">
                  <c:v>36775</c:v>
                </c:pt>
                <c:pt idx="249">
                  <c:v>36776</c:v>
                </c:pt>
                <c:pt idx="250">
                  <c:v>36777</c:v>
                </c:pt>
                <c:pt idx="251">
                  <c:v>36778</c:v>
                </c:pt>
                <c:pt idx="252">
                  <c:v>36779</c:v>
                </c:pt>
                <c:pt idx="253">
                  <c:v>36780</c:v>
                </c:pt>
                <c:pt idx="254">
                  <c:v>36781</c:v>
                </c:pt>
                <c:pt idx="255">
                  <c:v>36782</c:v>
                </c:pt>
                <c:pt idx="256">
                  <c:v>36783</c:v>
                </c:pt>
                <c:pt idx="257">
                  <c:v>36784</c:v>
                </c:pt>
                <c:pt idx="258">
                  <c:v>36785</c:v>
                </c:pt>
                <c:pt idx="259">
                  <c:v>36786</c:v>
                </c:pt>
                <c:pt idx="260">
                  <c:v>36787</c:v>
                </c:pt>
                <c:pt idx="261">
                  <c:v>36788</c:v>
                </c:pt>
                <c:pt idx="262">
                  <c:v>36789</c:v>
                </c:pt>
                <c:pt idx="263">
                  <c:v>36790</c:v>
                </c:pt>
                <c:pt idx="264">
                  <c:v>36791</c:v>
                </c:pt>
                <c:pt idx="265">
                  <c:v>36792</c:v>
                </c:pt>
                <c:pt idx="266">
                  <c:v>36793</c:v>
                </c:pt>
                <c:pt idx="267">
                  <c:v>36794</c:v>
                </c:pt>
                <c:pt idx="268">
                  <c:v>36795</c:v>
                </c:pt>
                <c:pt idx="269">
                  <c:v>36796</c:v>
                </c:pt>
                <c:pt idx="270">
                  <c:v>36797</c:v>
                </c:pt>
                <c:pt idx="271">
                  <c:v>36798</c:v>
                </c:pt>
                <c:pt idx="272">
                  <c:v>36799</c:v>
                </c:pt>
                <c:pt idx="273">
                  <c:v>36800</c:v>
                </c:pt>
                <c:pt idx="274">
                  <c:v>36801</c:v>
                </c:pt>
                <c:pt idx="275">
                  <c:v>36802</c:v>
                </c:pt>
                <c:pt idx="276">
                  <c:v>36803</c:v>
                </c:pt>
                <c:pt idx="277">
                  <c:v>36804</c:v>
                </c:pt>
                <c:pt idx="278">
                  <c:v>36805</c:v>
                </c:pt>
                <c:pt idx="279">
                  <c:v>36806</c:v>
                </c:pt>
                <c:pt idx="280">
                  <c:v>36807</c:v>
                </c:pt>
                <c:pt idx="281">
                  <c:v>36808</c:v>
                </c:pt>
                <c:pt idx="282">
                  <c:v>36809</c:v>
                </c:pt>
                <c:pt idx="283">
                  <c:v>36810</c:v>
                </c:pt>
                <c:pt idx="284">
                  <c:v>36811</c:v>
                </c:pt>
                <c:pt idx="285">
                  <c:v>36812</c:v>
                </c:pt>
                <c:pt idx="286">
                  <c:v>36813</c:v>
                </c:pt>
                <c:pt idx="287">
                  <c:v>36814</c:v>
                </c:pt>
                <c:pt idx="288">
                  <c:v>36815</c:v>
                </c:pt>
                <c:pt idx="289">
                  <c:v>36816</c:v>
                </c:pt>
                <c:pt idx="290">
                  <c:v>36817</c:v>
                </c:pt>
                <c:pt idx="291">
                  <c:v>36818</c:v>
                </c:pt>
                <c:pt idx="292">
                  <c:v>36819</c:v>
                </c:pt>
                <c:pt idx="293">
                  <c:v>36820</c:v>
                </c:pt>
                <c:pt idx="294">
                  <c:v>36821</c:v>
                </c:pt>
                <c:pt idx="295">
                  <c:v>36822</c:v>
                </c:pt>
                <c:pt idx="296">
                  <c:v>36823</c:v>
                </c:pt>
                <c:pt idx="297">
                  <c:v>36824</c:v>
                </c:pt>
                <c:pt idx="298">
                  <c:v>36825</c:v>
                </c:pt>
                <c:pt idx="299">
                  <c:v>36826</c:v>
                </c:pt>
                <c:pt idx="300">
                  <c:v>36827</c:v>
                </c:pt>
                <c:pt idx="301">
                  <c:v>36828</c:v>
                </c:pt>
                <c:pt idx="302">
                  <c:v>36829</c:v>
                </c:pt>
                <c:pt idx="303">
                  <c:v>36830</c:v>
                </c:pt>
                <c:pt idx="304">
                  <c:v>36831</c:v>
                </c:pt>
                <c:pt idx="305">
                  <c:v>36832</c:v>
                </c:pt>
                <c:pt idx="306">
                  <c:v>36833</c:v>
                </c:pt>
                <c:pt idx="307">
                  <c:v>36834</c:v>
                </c:pt>
                <c:pt idx="308">
                  <c:v>36835</c:v>
                </c:pt>
                <c:pt idx="309">
                  <c:v>36836</c:v>
                </c:pt>
                <c:pt idx="310">
                  <c:v>36837</c:v>
                </c:pt>
                <c:pt idx="311">
                  <c:v>36838</c:v>
                </c:pt>
                <c:pt idx="312">
                  <c:v>36839</c:v>
                </c:pt>
                <c:pt idx="313">
                  <c:v>36840</c:v>
                </c:pt>
                <c:pt idx="314">
                  <c:v>36841</c:v>
                </c:pt>
                <c:pt idx="315">
                  <c:v>36842</c:v>
                </c:pt>
                <c:pt idx="316">
                  <c:v>36843</c:v>
                </c:pt>
                <c:pt idx="317">
                  <c:v>36844</c:v>
                </c:pt>
                <c:pt idx="318">
                  <c:v>36845</c:v>
                </c:pt>
                <c:pt idx="319">
                  <c:v>36846</c:v>
                </c:pt>
                <c:pt idx="320">
                  <c:v>36847</c:v>
                </c:pt>
                <c:pt idx="321">
                  <c:v>36848</c:v>
                </c:pt>
                <c:pt idx="322">
                  <c:v>36849</c:v>
                </c:pt>
                <c:pt idx="323">
                  <c:v>36850</c:v>
                </c:pt>
                <c:pt idx="324">
                  <c:v>36851</c:v>
                </c:pt>
                <c:pt idx="325">
                  <c:v>36852</c:v>
                </c:pt>
                <c:pt idx="326">
                  <c:v>36853</c:v>
                </c:pt>
                <c:pt idx="327">
                  <c:v>36854</c:v>
                </c:pt>
                <c:pt idx="328">
                  <c:v>36855</c:v>
                </c:pt>
                <c:pt idx="329">
                  <c:v>36856</c:v>
                </c:pt>
                <c:pt idx="330">
                  <c:v>36857</c:v>
                </c:pt>
                <c:pt idx="331">
                  <c:v>36858</c:v>
                </c:pt>
                <c:pt idx="332">
                  <c:v>36859</c:v>
                </c:pt>
                <c:pt idx="333">
                  <c:v>36860</c:v>
                </c:pt>
                <c:pt idx="334">
                  <c:v>36861</c:v>
                </c:pt>
                <c:pt idx="335">
                  <c:v>36862</c:v>
                </c:pt>
                <c:pt idx="336">
                  <c:v>36863</c:v>
                </c:pt>
                <c:pt idx="337">
                  <c:v>36864</c:v>
                </c:pt>
                <c:pt idx="338">
                  <c:v>36865</c:v>
                </c:pt>
                <c:pt idx="339">
                  <c:v>36866</c:v>
                </c:pt>
                <c:pt idx="340">
                  <c:v>36867</c:v>
                </c:pt>
                <c:pt idx="341">
                  <c:v>36868</c:v>
                </c:pt>
                <c:pt idx="342">
                  <c:v>36869</c:v>
                </c:pt>
                <c:pt idx="343">
                  <c:v>36870</c:v>
                </c:pt>
                <c:pt idx="344">
                  <c:v>36871</c:v>
                </c:pt>
                <c:pt idx="345">
                  <c:v>36872</c:v>
                </c:pt>
                <c:pt idx="346">
                  <c:v>36873</c:v>
                </c:pt>
                <c:pt idx="347">
                  <c:v>36874</c:v>
                </c:pt>
                <c:pt idx="348">
                  <c:v>36875</c:v>
                </c:pt>
                <c:pt idx="349">
                  <c:v>36876</c:v>
                </c:pt>
                <c:pt idx="350">
                  <c:v>36877</c:v>
                </c:pt>
                <c:pt idx="351">
                  <c:v>36878</c:v>
                </c:pt>
                <c:pt idx="352">
                  <c:v>36879</c:v>
                </c:pt>
                <c:pt idx="353">
                  <c:v>36880</c:v>
                </c:pt>
                <c:pt idx="354">
                  <c:v>36881</c:v>
                </c:pt>
                <c:pt idx="355">
                  <c:v>36882</c:v>
                </c:pt>
                <c:pt idx="356">
                  <c:v>36883</c:v>
                </c:pt>
                <c:pt idx="357">
                  <c:v>36884</c:v>
                </c:pt>
                <c:pt idx="358">
                  <c:v>36885</c:v>
                </c:pt>
                <c:pt idx="359">
                  <c:v>36886</c:v>
                </c:pt>
                <c:pt idx="360">
                  <c:v>36887</c:v>
                </c:pt>
                <c:pt idx="361">
                  <c:v>36888</c:v>
                </c:pt>
                <c:pt idx="362">
                  <c:v>36889</c:v>
                </c:pt>
                <c:pt idx="363">
                  <c:v>36890</c:v>
                </c:pt>
                <c:pt idx="364">
                  <c:v>36891</c:v>
                </c:pt>
                <c:pt idx="365">
                  <c:v>36892</c:v>
                </c:pt>
                <c:pt idx="366">
                  <c:v>36893</c:v>
                </c:pt>
                <c:pt idx="367">
                  <c:v>36894</c:v>
                </c:pt>
                <c:pt idx="368">
                  <c:v>36895</c:v>
                </c:pt>
                <c:pt idx="369">
                  <c:v>36896</c:v>
                </c:pt>
                <c:pt idx="370">
                  <c:v>36897</c:v>
                </c:pt>
                <c:pt idx="371">
                  <c:v>36898</c:v>
                </c:pt>
                <c:pt idx="372">
                  <c:v>36899</c:v>
                </c:pt>
                <c:pt idx="373">
                  <c:v>36900</c:v>
                </c:pt>
                <c:pt idx="374">
                  <c:v>36901</c:v>
                </c:pt>
                <c:pt idx="375">
                  <c:v>36902</c:v>
                </c:pt>
                <c:pt idx="376">
                  <c:v>36903</c:v>
                </c:pt>
                <c:pt idx="377">
                  <c:v>36904</c:v>
                </c:pt>
                <c:pt idx="378">
                  <c:v>36905</c:v>
                </c:pt>
                <c:pt idx="379">
                  <c:v>36906</c:v>
                </c:pt>
                <c:pt idx="380">
                  <c:v>36907</c:v>
                </c:pt>
                <c:pt idx="381">
                  <c:v>36908</c:v>
                </c:pt>
                <c:pt idx="382">
                  <c:v>36909</c:v>
                </c:pt>
                <c:pt idx="383">
                  <c:v>36910</c:v>
                </c:pt>
                <c:pt idx="384">
                  <c:v>36911</c:v>
                </c:pt>
                <c:pt idx="385">
                  <c:v>36912</c:v>
                </c:pt>
                <c:pt idx="386">
                  <c:v>36913</c:v>
                </c:pt>
                <c:pt idx="387">
                  <c:v>36914</c:v>
                </c:pt>
                <c:pt idx="388">
                  <c:v>36915</c:v>
                </c:pt>
                <c:pt idx="389">
                  <c:v>36916</c:v>
                </c:pt>
                <c:pt idx="390">
                  <c:v>36917</c:v>
                </c:pt>
                <c:pt idx="391">
                  <c:v>36918</c:v>
                </c:pt>
                <c:pt idx="392">
                  <c:v>36919</c:v>
                </c:pt>
                <c:pt idx="393">
                  <c:v>36920</c:v>
                </c:pt>
                <c:pt idx="394">
                  <c:v>36921</c:v>
                </c:pt>
                <c:pt idx="395">
                  <c:v>36922</c:v>
                </c:pt>
                <c:pt idx="396">
                  <c:v>36923</c:v>
                </c:pt>
                <c:pt idx="397">
                  <c:v>36924</c:v>
                </c:pt>
                <c:pt idx="398">
                  <c:v>36925</c:v>
                </c:pt>
                <c:pt idx="399">
                  <c:v>36926</c:v>
                </c:pt>
                <c:pt idx="400">
                  <c:v>36927</c:v>
                </c:pt>
                <c:pt idx="401">
                  <c:v>36928</c:v>
                </c:pt>
                <c:pt idx="402">
                  <c:v>36929</c:v>
                </c:pt>
                <c:pt idx="403">
                  <c:v>36930</c:v>
                </c:pt>
                <c:pt idx="404">
                  <c:v>36931</c:v>
                </c:pt>
                <c:pt idx="405">
                  <c:v>36932</c:v>
                </c:pt>
                <c:pt idx="406">
                  <c:v>36933</c:v>
                </c:pt>
                <c:pt idx="407">
                  <c:v>36934</c:v>
                </c:pt>
                <c:pt idx="408">
                  <c:v>36935</c:v>
                </c:pt>
                <c:pt idx="409">
                  <c:v>36936</c:v>
                </c:pt>
                <c:pt idx="410">
                  <c:v>36937</c:v>
                </c:pt>
                <c:pt idx="411">
                  <c:v>36938</c:v>
                </c:pt>
                <c:pt idx="412">
                  <c:v>36939</c:v>
                </c:pt>
                <c:pt idx="413">
                  <c:v>36940</c:v>
                </c:pt>
                <c:pt idx="414">
                  <c:v>36941</c:v>
                </c:pt>
                <c:pt idx="415">
                  <c:v>36942</c:v>
                </c:pt>
                <c:pt idx="416">
                  <c:v>36943</c:v>
                </c:pt>
                <c:pt idx="417">
                  <c:v>36944</c:v>
                </c:pt>
                <c:pt idx="418">
                  <c:v>36945</c:v>
                </c:pt>
                <c:pt idx="419">
                  <c:v>36946</c:v>
                </c:pt>
                <c:pt idx="420">
                  <c:v>36947</c:v>
                </c:pt>
                <c:pt idx="421">
                  <c:v>36948</c:v>
                </c:pt>
                <c:pt idx="422">
                  <c:v>36949</c:v>
                </c:pt>
                <c:pt idx="423">
                  <c:v>36950</c:v>
                </c:pt>
                <c:pt idx="424">
                  <c:v>36951</c:v>
                </c:pt>
                <c:pt idx="425">
                  <c:v>36952</c:v>
                </c:pt>
                <c:pt idx="426">
                  <c:v>36953</c:v>
                </c:pt>
                <c:pt idx="427">
                  <c:v>36954</c:v>
                </c:pt>
                <c:pt idx="428">
                  <c:v>36955</c:v>
                </c:pt>
                <c:pt idx="429">
                  <c:v>36956</c:v>
                </c:pt>
                <c:pt idx="430">
                  <c:v>36957</c:v>
                </c:pt>
                <c:pt idx="431">
                  <c:v>36958</c:v>
                </c:pt>
                <c:pt idx="432">
                  <c:v>36959</c:v>
                </c:pt>
                <c:pt idx="433">
                  <c:v>36960</c:v>
                </c:pt>
                <c:pt idx="434">
                  <c:v>36961</c:v>
                </c:pt>
                <c:pt idx="435">
                  <c:v>36962</c:v>
                </c:pt>
                <c:pt idx="436">
                  <c:v>36963</c:v>
                </c:pt>
                <c:pt idx="437">
                  <c:v>36964</c:v>
                </c:pt>
                <c:pt idx="438">
                  <c:v>36965</c:v>
                </c:pt>
                <c:pt idx="439">
                  <c:v>36966</c:v>
                </c:pt>
                <c:pt idx="440">
                  <c:v>36967</c:v>
                </c:pt>
                <c:pt idx="441">
                  <c:v>36968</c:v>
                </c:pt>
                <c:pt idx="442">
                  <c:v>36969</c:v>
                </c:pt>
                <c:pt idx="443">
                  <c:v>36970</c:v>
                </c:pt>
                <c:pt idx="444">
                  <c:v>36971</c:v>
                </c:pt>
                <c:pt idx="445">
                  <c:v>36972</c:v>
                </c:pt>
                <c:pt idx="446">
                  <c:v>36973</c:v>
                </c:pt>
                <c:pt idx="447">
                  <c:v>36974</c:v>
                </c:pt>
                <c:pt idx="448">
                  <c:v>36975</c:v>
                </c:pt>
                <c:pt idx="449">
                  <c:v>36976</c:v>
                </c:pt>
                <c:pt idx="450">
                  <c:v>36977</c:v>
                </c:pt>
                <c:pt idx="451">
                  <c:v>36978</c:v>
                </c:pt>
                <c:pt idx="452">
                  <c:v>36979</c:v>
                </c:pt>
                <c:pt idx="453">
                  <c:v>36980</c:v>
                </c:pt>
                <c:pt idx="454">
                  <c:v>36981</c:v>
                </c:pt>
                <c:pt idx="455">
                  <c:v>36982</c:v>
                </c:pt>
                <c:pt idx="456">
                  <c:v>36983</c:v>
                </c:pt>
                <c:pt idx="457">
                  <c:v>36984</c:v>
                </c:pt>
                <c:pt idx="458">
                  <c:v>36985</c:v>
                </c:pt>
                <c:pt idx="459">
                  <c:v>36986</c:v>
                </c:pt>
                <c:pt idx="460">
                  <c:v>36987</c:v>
                </c:pt>
                <c:pt idx="461">
                  <c:v>36988</c:v>
                </c:pt>
                <c:pt idx="462">
                  <c:v>36989</c:v>
                </c:pt>
                <c:pt idx="463">
                  <c:v>36990</c:v>
                </c:pt>
                <c:pt idx="464">
                  <c:v>36991</c:v>
                </c:pt>
                <c:pt idx="465">
                  <c:v>36992</c:v>
                </c:pt>
                <c:pt idx="466">
                  <c:v>36993</c:v>
                </c:pt>
                <c:pt idx="467">
                  <c:v>36994</c:v>
                </c:pt>
                <c:pt idx="468">
                  <c:v>36995</c:v>
                </c:pt>
                <c:pt idx="469">
                  <c:v>36996</c:v>
                </c:pt>
                <c:pt idx="470">
                  <c:v>36997</c:v>
                </c:pt>
                <c:pt idx="471">
                  <c:v>36998</c:v>
                </c:pt>
                <c:pt idx="472">
                  <c:v>36999</c:v>
                </c:pt>
                <c:pt idx="473">
                  <c:v>37000</c:v>
                </c:pt>
                <c:pt idx="474">
                  <c:v>37001</c:v>
                </c:pt>
                <c:pt idx="475">
                  <c:v>37002</c:v>
                </c:pt>
                <c:pt idx="476">
                  <c:v>37003</c:v>
                </c:pt>
                <c:pt idx="477">
                  <c:v>37004</c:v>
                </c:pt>
                <c:pt idx="478">
                  <c:v>37005</c:v>
                </c:pt>
                <c:pt idx="479">
                  <c:v>37006</c:v>
                </c:pt>
                <c:pt idx="480">
                  <c:v>37007</c:v>
                </c:pt>
                <c:pt idx="481">
                  <c:v>37008</c:v>
                </c:pt>
                <c:pt idx="482">
                  <c:v>37009</c:v>
                </c:pt>
                <c:pt idx="483">
                  <c:v>37010</c:v>
                </c:pt>
                <c:pt idx="484">
                  <c:v>37011</c:v>
                </c:pt>
                <c:pt idx="485">
                  <c:v>37012</c:v>
                </c:pt>
                <c:pt idx="486">
                  <c:v>37013</c:v>
                </c:pt>
                <c:pt idx="487">
                  <c:v>37014</c:v>
                </c:pt>
                <c:pt idx="488">
                  <c:v>37015</c:v>
                </c:pt>
                <c:pt idx="489">
                  <c:v>37016</c:v>
                </c:pt>
                <c:pt idx="490">
                  <c:v>37017</c:v>
                </c:pt>
                <c:pt idx="491">
                  <c:v>37018</c:v>
                </c:pt>
                <c:pt idx="492">
                  <c:v>37019</c:v>
                </c:pt>
                <c:pt idx="493">
                  <c:v>37020</c:v>
                </c:pt>
                <c:pt idx="494">
                  <c:v>37021</c:v>
                </c:pt>
                <c:pt idx="495">
                  <c:v>37022</c:v>
                </c:pt>
                <c:pt idx="496">
                  <c:v>37023</c:v>
                </c:pt>
                <c:pt idx="497">
                  <c:v>37024</c:v>
                </c:pt>
                <c:pt idx="498">
                  <c:v>37025</c:v>
                </c:pt>
                <c:pt idx="499">
                  <c:v>37026</c:v>
                </c:pt>
                <c:pt idx="500">
                  <c:v>37027</c:v>
                </c:pt>
                <c:pt idx="501">
                  <c:v>37028</c:v>
                </c:pt>
                <c:pt idx="502">
                  <c:v>37029</c:v>
                </c:pt>
                <c:pt idx="503">
                  <c:v>37030</c:v>
                </c:pt>
                <c:pt idx="504">
                  <c:v>37031</c:v>
                </c:pt>
                <c:pt idx="505">
                  <c:v>37032</c:v>
                </c:pt>
                <c:pt idx="506">
                  <c:v>37033</c:v>
                </c:pt>
                <c:pt idx="507">
                  <c:v>37034</c:v>
                </c:pt>
                <c:pt idx="508">
                  <c:v>37035</c:v>
                </c:pt>
                <c:pt idx="509">
                  <c:v>37036</c:v>
                </c:pt>
                <c:pt idx="510">
                  <c:v>37037</c:v>
                </c:pt>
                <c:pt idx="511">
                  <c:v>37038</c:v>
                </c:pt>
                <c:pt idx="512">
                  <c:v>37039</c:v>
                </c:pt>
                <c:pt idx="513">
                  <c:v>37040</c:v>
                </c:pt>
                <c:pt idx="514">
                  <c:v>37041</c:v>
                </c:pt>
                <c:pt idx="515">
                  <c:v>37042</c:v>
                </c:pt>
                <c:pt idx="516">
                  <c:v>37043</c:v>
                </c:pt>
                <c:pt idx="517">
                  <c:v>37044</c:v>
                </c:pt>
                <c:pt idx="518">
                  <c:v>37045</c:v>
                </c:pt>
                <c:pt idx="519">
                  <c:v>37046</c:v>
                </c:pt>
                <c:pt idx="520">
                  <c:v>37047</c:v>
                </c:pt>
                <c:pt idx="521">
                  <c:v>37048</c:v>
                </c:pt>
                <c:pt idx="522">
                  <c:v>37049</c:v>
                </c:pt>
                <c:pt idx="523">
                  <c:v>37050</c:v>
                </c:pt>
                <c:pt idx="524">
                  <c:v>37051</c:v>
                </c:pt>
                <c:pt idx="525">
                  <c:v>37052</c:v>
                </c:pt>
                <c:pt idx="526">
                  <c:v>37053</c:v>
                </c:pt>
                <c:pt idx="527">
                  <c:v>37054</c:v>
                </c:pt>
                <c:pt idx="528">
                  <c:v>37055</c:v>
                </c:pt>
                <c:pt idx="529">
                  <c:v>37056</c:v>
                </c:pt>
                <c:pt idx="530">
                  <c:v>37057</c:v>
                </c:pt>
                <c:pt idx="531">
                  <c:v>37058</c:v>
                </c:pt>
                <c:pt idx="532">
                  <c:v>37059</c:v>
                </c:pt>
                <c:pt idx="533">
                  <c:v>37060</c:v>
                </c:pt>
                <c:pt idx="534">
                  <c:v>37061</c:v>
                </c:pt>
                <c:pt idx="535">
                  <c:v>37062</c:v>
                </c:pt>
                <c:pt idx="536">
                  <c:v>37063</c:v>
                </c:pt>
                <c:pt idx="537">
                  <c:v>37064</c:v>
                </c:pt>
                <c:pt idx="538">
                  <c:v>37065</c:v>
                </c:pt>
                <c:pt idx="539">
                  <c:v>37066</c:v>
                </c:pt>
                <c:pt idx="540">
                  <c:v>37067</c:v>
                </c:pt>
                <c:pt idx="541">
                  <c:v>37068</c:v>
                </c:pt>
                <c:pt idx="542">
                  <c:v>37069</c:v>
                </c:pt>
                <c:pt idx="543">
                  <c:v>37070</c:v>
                </c:pt>
                <c:pt idx="544">
                  <c:v>37071</c:v>
                </c:pt>
                <c:pt idx="545">
                  <c:v>37072</c:v>
                </c:pt>
                <c:pt idx="546">
                  <c:v>37073</c:v>
                </c:pt>
                <c:pt idx="547">
                  <c:v>37074</c:v>
                </c:pt>
                <c:pt idx="548">
                  <c:v>37075</c:v>
                </c:pt>
                <c:pt idx="549">
                  <c:v>37076</c:v>
                </c:pt>
                <c:pt idx="550">
                  <c:v>37077</c:v>
                </c:pt>
                <c:pt idx="551">
                  <c:v>37078</c:v>
                </c:pt>
                <c:pt idx="552">
                  <c:v>37079</c:v>
                </c:pt>
                <c:pt idx="553">
                  <c:v>37080</c:v>
                </c:pt>
                <c:pt idx="554">
                  <c:v>37081</c:v>
                </c:pt>
                <c:pt idx="555">
                  <c:v>37082</c:v>
                </c:pt>
                <c:pt idx="556">
                  <c:v>37083</c:v>
                </c:pt>
                <c:pt idx="557">
                  <c:v>37084</c:v>
                </c:pt>
                <c:pt idx="558">
                  <c:v>37085</c:v>
                </c:pt>
                <c:pt idx="559">
                  <c:v>37086</c:v>
                </c:pt>
                <c:pt idx="560">
                  <c:v>37087</c:v>
                </c:pt>
                <c:pt idx="561">
                  <c:v>37088</c:v>
                </c:pt>
                <c:pt idx="562">
                  <c:v>37089</c:v>
                </c:pt>
                <c:pt idx="563">
                  <c:v>37090</c:v>
                </c:pt>
                <c:pt idx="564">
                  <c:v>37091</c:v>
                </c:pt>
                <c:pt idx="565">
                  <c:v>37092</c:v>
                </c:pt>
                <c:pt idx="566">
                  <c:v>37093</c:v>
                </c:pt>
                <c:pt idx="567">
                  <c:v>37094</c:v>
                </c:pt>
                <c:pt idx="568">
                  <c:v>37095</c:v>
                </c:pt>
                <c:pt idx="569">
                  <c:v>37096</c:v>
                </c:pt>
                <c:pt idx="570">
                  <c:v>37097</c:v>
                </c:pt>
                <c:pt idx="571">
                  <c:v>37098</c:v>
                </c:pt>
                <c:pt idx="572">
                  <c:v>37099</c:v>
                </c:pt>
                <c:pt idx="573">
                  <c:v>37100</c:v>
                </c:pt>
                <c:pt idx="574">
                  <c:v>37101</c:v>
                </c:pt>
                <c:pt idx="575">
                  <c:v>37102</c:v>
                </c:pt>
                <c:pt idx="576">
                  <c:v>37103</c:v>
                </c:pt>
                <c:pt idx="577">
                  <c:v>37104</c:v>
                </c:pt>
                <c:pt idx="578">
                  <c:v>37105</c:v>
                </c:pt>
                <c:pt idx="579">
                  <c:v>37106</c:v>
                </c:pt>
                <c:pt idx="580">
                  <c:v>37107</c:v>
                </c:pt>
                <c:pt idx="581">
                  <c:v>37108</c:v>
                </c:pt>
                <c:pt idx="582">
                  <c:v>37109</c:v>
                </c:pt>
                <c:pt idx="583">
                  <c:v>37110</c:v>
                </c:pt>
                <c:pt idx="584">
                  <c:v>37111</c:v>
                </c:pt>
                <c:pt idx="585">
                  <c:v>37112</c:v>
                </c:pt>
                <c:pt idx="586">
                  <c:v>37113</c:v>
                </c:pt>
                <c:pt idx="587">
                  <c:v>37114</c:v>
                </c:pt>
                <c:pt idx="588">
                  <c:v>37115</c:v>
                </c:pt>
                <c:pt idx="589">
                  <c:v>37116</c:v>
                </c:pt>
                <c:pt idx="590">
                  <c:v>37117</c:v>
                </c:pt>
                <c:pt idx="591">
                  <c:v>37118</c:v>
                </c:pt>
                <c:pt idx="592">
                  <c:v>37119</c:v>
                </c:pt>
                <c:pt idx="593">
                  <c:v>37120</c:v>
                </c:pt>
                <c:pt idx="594">
                  <c:v>37121</c:v>
                </c:pt>
                <c:pt idx="595">
                  <c:v>37122</c:v>
                </c:pt>
                <c:pt idx="596">
                  <c:v>37123</c:v>
                </c:pt>
                <c:pt idx="597">
                  <c:v>37124</c:v>
                </c:pt>
                <c:pt idx="598">
                  <c:v>37125</c:v>
                </c:pt>
                <c:pt idx="599">
                  <c:v>37126</c:v>
                </c:pt>
                <c:pt idx="600">
                  <c:v>37127</c:v>
                </c:pt>
                <c:pt idx="601">
                  <c:v>37128</c:v>
                </c:pt>
                <c:pt idx="602">
                  <c:v>37129</c:v>
                </c:pt>
                <c:pt idx="603">
                  <c:v>37130</c:v>
                </c:pt>
                <c:pt idx="604">
                  <c:v>37131</c:v>
                </c:pt>
                <c:pt idx="605">
                  <c:v>37132</c:v>
                </c:pt>
                <c:pt idx="606">
                  <c:v>37133</c:v>
                </c:pt>
                <c:pt idx="607">
                  <c:v>37134</c:v>
                </c:pt>
                <c:pt idx="608">
                  <c:v>37135</c:v>
                </c:pt>
                <c:pt idx="609">
                  <c:v>37136</c:v>
                </c:pt>
                <c:pt idx="610">
                  <c:v>37137</c:v>
                </c:pt>
                <c:pt idx="611">
                  <c:v>37138</c:v>
                </c:pt>
                <c:pt idx="612">
                  <c:v>37139</c:v>
                </c:pt>
                <c:pt idx="613">
                  <c:v>37140</c:v>
                </c:pt>
                <c:pt idx="614">
                  <c:v>37141</c:v>
                </c:pt>
                <c:pt idx="615">
                  <c:v>37142</c:v>
                </c:pt>
                <c:pt idx="616">
                  <c:v>37143</c:v>
                </c:pt>
                <c:pt idx="617">
                  <c:v>37144</c:v>
                </c:pt>
                <c:pt idx="618">
                  <c:v>37145</c:v>
                </c:pt>
                <c:pt idx="619">
                  <c:v>37146</c:v>
                </c:pt>
                <c:pt idx="620">
                  <c:v>37147</c:v>
                </c:pt>
                <c:pt idx="621">
                  <c:v>37148</c:v>
                </c:pt>
                <c:pt idx="622">
                  <c:v>37149</c:v>
                </c:pt>
                <c:pt idx="623">
                  <c:v>37150</c:v>
                </c:pt>
                <c:pt idx="624">
                  <c:v>37151</c:v>
                </c:pt>
                <c:pt idx="625">
                  <c:v>37152</c:v>
                </c:pt>
                <c:pt idx="626">
                  <c:v>37153</c:v>
                </c:pt>
                <c:pt idx="627">
                  <c:v>37154</c:v>
                </c:pt>
                <c:pt idx="628">
                  <c:v>37155</c:v>
                </c:pt>
                <c:pt idx="629">
                  <c:v>37156</c:v>
                </c:pt>
                <c:pt idx="630">
                  <c:v>37157</c:v>
                </c:pt>
                <c:pt idx="631">
                  <c:v>37158</c:v>
                </c:pt>
                <c:pt idx="632">
                  <c:v>37159</c:v>
                </c:pt>
                <c:pt idx="633">
                  <c:v>37160</c:v>
                </c:pt>
                <c:pt idx="634">
                  <c:v>37161</c:v>
                </c:pt>
                <c:pt idx="635">
                  <c:v>37162</c:v>
                </c:pt>
                <c:pt idx="636">
                  <c:v>37163</c:v>
                </c:pt>
                <c:pt idx="637">
                  <c:v>37164</c:v>
                </c:pt>
                <c:pt idx="638">
                  <c:v>37165</c:v>
                </c:pt>
                <c:pt idx="639">
                  <c:v>37166</c:v>
                </c:pt>
                <c:pt idx="640">
                  <c:v>37167</c:v>
                </c:pt>
                <c:pt idx="641">
                  <c:v>37168</c:v>
                </c:pt>
                <c:pt idx="642">
                  <c:v>37169</c:v>
                </c:pt>
                <c:pt idx="643">
                  <c:v>37170</c:v>
                </c:pt>
                <c:pt idx="644">
                  <c:v>37171</c:v>
                </c:pt>
                <c:pt idx="645">
                  <c:v>37172</c:v>
                </c:pt>
                <c:pt idx="646">
                  <c:v>37173</c:v>
                </c:pt>
                <c:pt idx="647">
                  <c:v>37174</c:v>
                </c:pt>
                <c:pt idx="648">
                  <c:v>37175</c:v>
                </c:pt>
                <c:pt idx="649">
                  <c:v>37176</c:v>
                </c:pt>
                <c:pt idx="650">
                  <c:v>37177</c:v>
                </c:pt>
                <c:pt idx="651">
                  <c:v>37178</c:v>
                </c:pt>
                <c:pt idx="652">
                  <c:v>37179</c:v>
                </c:pt>
                <c:pt idx="653">
                  <c:v>37180</c:v>
                </c:pt>
                <c:pt idx="654">
                  <c:v>37181</c:v>
                </c:pt>
                <c:pt idx="655">
                  <c:v>37182</c:v>
                </c:pt>
                <c:pt idx="656">
                  <c:v>37183</c:v>
                </c:pt>
                <c:pt idx="657">
                  <c:v>37184</c:v>
                </c:pt>
                <c:pt idx="658">
                  <c:v>37185</c:v>
                </c:pt>
                <c:pt idx="659">
                  <c:v>37186</c:v>
                </c:pt>
                <c:pt idx="660">
                  <c:v>37187</c:v>
                </c:pt>
                <c:pt idx="661">
                  <c:v>37188</c:v>
                </c:pt>
                <c:pt idx="662">
                  <c:v>37189</c:v>
                </c:pt>
                <c:pt idx="663">
                  <c:v>37190</c:v>
                </c:pt>
                <c:pt idx="664">
                  <c:v>37191</c:v>
                </c:pt>
                <c:pt idx="665">
                  <c:v>37192</c:v>
                </c:pt>
                <c:pt idx="666">
                  <c:v>37193</c:v>
                </c:pt>
                <c:pt idx="667">
                  <c:v>37194</c:v>
                </c:pt>
                <c:pt idx="668">
                  <c:v>37195</c:v>
                </c:pt>
                <c:pt idx="669">
                  <c:v>37196</c:v>
                </c:pt>
                <c:pt idx="670">
                  <c:v>37197</c:v>
                </c:pt>
                <c:pt idx="671">
                  <c:v>37198</c:v>
                </c:pt>
                <c:pt idx="672">
                  <c:v>37199</c:v>
                </c:pt>
                <c:pt idx="673">
                  <c:v>37200</c:v>
                </c:pt>
                <c:pt idx="674">
                  <c:v>37201</c:v>
                </c:pt>
                <c:pt idx="675">
                  <c:v>37202</c:v>
                </c:pt>
                <c:pt idx="676">
                  <c:v>37203</c:v>
                </c:pt>
                <c:pt idx="677">
                  <c:v>37204</c:v>
                </c:pt>
                <c:pt idx="678">
                  <c:v>37205</c:v>
                </c:pt>
                <c:pt idx="679">
                  <c:v>37206</c:v>
                </c:pt>
                <c:pt idx="680">
                  <c:v>37207</c:v>
                </c:pt>
                <c:pt idx="681">
                  <c:v>37208</c:v>
                </c:pt>
                <c:pt idx="682">
                  <c:v>37209</c:v>
                </c:pt>
                <c:pt idx="683">
                  <c:v>37210</c:v>
                </c:pt>
                <c:pt idx="684">
                  <c:v>37211</c:v>
                </c:pt>
                <c:pt idx="685">
                  <c:v>37212</c:v>
                </c:pt>
                <c:pt idx="686">
                  <c:v>37213</c:v>
                </c:pt>
                <c:pt idx="687">
                  <c:v>37214</c:v>
                </c:pt>
                <c:pt idx="688">
                  <c:v>37215</c:v>
                </c:pt>
                <c:pt idx="689">
                  <c:v>37216</c:v>
                </c:pt>
                <c:pt idx="690">
                  <c:v>37217</c:v>
                </c:pt>
                <c:pt idx="691">
                  <c:v>37218</c:v>
                </c:pt>
                <c:pt idx="692">
                  <c:v>37219</c:v>
                </c:pt>
                <c:pt idx="693">
                  <c:v>37220</c:v>
                </c:pt>
                <c:pt idx="694">
                  <c:v>37221</c:v>
                </c:pt>
                <c:pt idx="695">
                  <c:v>37222</c:v>
                </c:pt>
                <c:pt idx="696">
                  <c:v>37223</c:v>
                </c:pt>
                <c:pt idx="697">
                  <c:v>37224</c:v>
                </c:pt>
                <c:pt idx="698">
                  <c:v>37225</c:v>
                </c:pt>
                <c:pt idx="699">
                  <c:v>37226</c:v>
                </c:pt>
                <c:pt idx="700">
                  <c:v>37227</c:v>
                </c:pt>
                <c:pt idx="701">
                  <c:v>37228</c:v>
                </c:pt>
                <c:pt idx="702">
                  <c:v>37229</c:v>
                </c:pt>
                <c:pt idx="703">
                  <c:v>37230</c:v>
                </c:pt>
                <c:pt idx="704">
                  <c:v>37231</c:v>
                </c:pt>
                <c:pt idx="705">
                  <c:v>37232</c:v>
                </c:pt>
                <c:pt idx="706">
                  <c:v>37233</c:v>
                </c:pt>
                <c:pt idx="707">
                  <c:v>37234</c:v>
                </c:pt>
                <c:pt idx="708">
                  <c:v>37235</c:v>
                </c:pt>
                <c:pt idx="709">
                  <c:v>37236</c:v>
                </c:pt>
                <c:pt idx="710">
                  <c:v>37237</c:v>
                </c:pt>
                <c:pt idx="711">
                  <c:v>37238</c:v>
                </c:pt>
                <c:pt idx="712">
                  <c:v>37239</c:v>
                </c:pt>
                <c:pt idx="713">
                  <c:v>37240</c:v>
                </c:pt>
                <c:pt idx="714">
                  <c:v>37241</c:v>
                </c:pt>
                <c:pt idx="715">
                  <c:v>37242</c:v>
                </c:pt>
                <c:pt idx="716">
                  <c:v>37243</c:v>
                </c:pt>
                <c:pt idx="717">
                  <c:v>37244</c:v>
                </c:pt>
                <c:pt idx="718">
                  <c:v>37245</c:v>
                </c:pt>
                <c:pt idx="719">
                  <c:v>37246</c:v>
                </c:pt>
                <c:pt idx="720">
                  <c:v>37247</c:v>
                </c:pt>
                <c:pt idx="721">
                  <c:v>37248</c:v>
                </c:pt>
                <c:pt idx="722">
                  <c:v>37249</c:v>
                </c:pt>
                <c:pt idx="723">
                  <c:v>37250</c:v>
                </c:pt>
                <c:pt idx="724">
                  <c:v>37251</c:v>
                </c:pt>
                <c:pt idx="725">
                  <c:v>37252</c:v>
                </c:pt>
                <c:pt idx="726">
                  <c:v>37253</c:v>
                </c:pt>
                <c:pt idx="727">
                  <c:v>37254</c:v>
                </c:pt>
                <c:pt idx="728">
                  <c:v>37255</c:v>
                </c:pt>
                <c:pt idx="729">
                  <c:v>37256</c:v>
                </c:pt>
                <c:pt idx="730">
                  <c:v>37257</c:v>
                </c:pt>
                <c:pt idx="731">
                  <c:v>37258</c:v>
                </c:pt>
                <c:pt idx="732">
                  <c:v>37259</c:v>
                </c:pt>
                <c:pt idx="733">
                  <c:v>37260</c:v>
                </c:pt>
                <c:pt idx="734">
                  <c:v>37261</c:v>
                </c:pt>
                <c:pt idx="735">
                  <c:v>37262</c:v>
                </c:pt>
                <c:pt idx="736">
                  <c:v>37263</c:v>
                </c:pt>
                <c:pt idx="737">
                  <c:v>37264</c:v>
                </c:pt>
                <c:pt idx="738">
                  <c:v>37265</c:v>
                </c:pt>
                <c:pt idx="739">
                  <c:v>37266</c:v>
                </c:pt>
                <c:pt idx="740">
                  <c:v>37267</c:v>
                </c:pt>
                <c:pt idx="741">
                  <c:v>37268</c:v>
                </c:pt>
                <c:pt idx="742">
                  <c:v>37269</c:v>
                </c:pt>
                <c:pt idx="743">
                  <c:v>37270</c:v>
                </c:pt>
                <c:pt idx="744">
                  <c:v>37271</c:v>
                </c:pt>
                <c:pt idx="745">
                  <c:v>37272</c:v>
                </c:pt>
                <c:pt idx="746">
                  <c:v>37273</c:v>
                </c:pt>
                <c:pt idx="747">
                  <c:v>37274</c:v>
                </c:pt>
                <c:pt idx="748">
                  <c:v>37275</c:v>
                </c:pt>
                <c:pt idx="749">
                  <c:v>37276</c:v>
                </c:pt>
                <c:pt idx="750">
                  <c:v>37277</c:v>
                </c:pt>
                <c:pt idx="751">
                  <c:v>37278</c:v>
                </c:pt>
                <c:pt idx="752">
                  <c:v>37279</c:v>
                </c:pt>
                <c:pt idx="753">
                  <c:v>37280</c:v>
                </c:pt>
                <c:pt idx="754">
                  <c:v>37281</c:v>
                </c:pt>
                <c:pt idx="755">
                  <c:v>37282</c:v>
                </c:pt>
                <c:pt idx="756">
                  <c:v>37283</c:v>
                </c:pt>
                <c:pt idx="757">
                  <c:v>37284</c:v>
                </c:pt>
                <c:pt idx="758">
                  <c:v>37285</c:v>
                </c:pt>
                <c:pt idx="759">
                  <c:v>37286</c:v>
                </c:pt>
                <c:pt idx="760">
                  <c:v>37287</c:v>
                </c:pt>
                <c:pt idx="761">
                  <c:v>37288</c:v>
                </c:pt>
                <c:pt idx="762">
                  <c:v>37289</c:v>
                </c:pt>
                <c:pt idx="763">
                  <c:v>37290</c:v>
                </c:pt>
                <c:pt idx="764">
                  <c:v>37291</c:v>
                </c:pt>
                <c:pt idx="765">
                  <c:v>37292</c:v>
                </c:pt>
                <c:pt idx="766">
                  <c:v>37293</c:v>
                </c:pt>
                <c:pt idx="767">
                  <c:v>37294</c:v>
                </c:pt>
                <c:pt idx="768">
                  <c:v>37295</c:v>
                </c:pt>
                <c:pt idx="769">
                  <c:v>37296</c:v>
                </c:pt>
                <c:pt idx="770">
                  <c:v>37297</c:v>
                </c:pt>
                <c:pt idx="771">
                  <c:v>37298</c:v>
                </c:pt>
                <c:pt idx="772">
                  <c:v>37299</c:v>
                </c:pt>
                <c:pt idx="773">
                  <c:v>37300</c:v>
                </c:pt>
                <c:pt idx="774">
                  <c:v>37301</c:v>
                </c:pt>
                <c:pt idx="775">
                  <c:v>37302</c:v>
                </c:pt>
                <c:pt idx="776">
                  <c:v>37303</c:v>
                </c:pt>
                <c:pt idx="777">
                  <c:v>37304</c:v>
                </c:pt>
                <c:pt idx="778">
                  <c:v>37305</c:v>
                </c:pt>
                <c:pt idx="779">
                  <c:v>37306</c:v>
                </c:pt>
                <c:pt idx="780">
                  <c:v>37307</c:v>
                </c:pt>
                <c:pt idx="781">
                  <c:v>37308</c:v>
                </c:pt>
                <c:pt idx="782">
                  <c:v>37309</c:v>
                </c:pt>
                <c:pt idx="783">
                  <c:v>37310</c:v>
                </c:pt>
                <c:pt idx="784">
                  <c:v>37311</c:v>
                </c:pt>
                <c:pt idx="785">
                  <c:v>37312</c:v>
                </c:pt>
                <c:pt idx="786">
                  <c:v>37313</c:v>
                </c:pt>
                <c:pt idx="787">
                  <c:v>37314</c:v>
                </c:pt>
                <c:pt idx="788">
                  <c:v>37315</c:v>
                </c:pt>
                <c:pt idx="789">
                  <c:v>37316</c:v>
                </c:pt>
                <c:pt idx="790">
                  <c:v>37317</c:v>
                </c:pt>
                <c:pt idx="791">
                  <c:v>37318</c:v>
                </c:pt>
                <c:pt idx="792">
                  <c:v>37319</c:v>
                </c:pt>
                <c:pt idx="793">
                  <c:v>37320</c:v>
                </c:pt>
                <c:pt idx="794">
                  <c:v>37321</c:v>
                </c:pt>
                <c:pt idx="795">
                  <c:v>37322</c:v>
                </c:pt>
                <c:pt idx="796">
                  <c:v>37323</c:v>
                </c:pt>
                <c:pt idx="797">
                  <c:v>37324</c:v>
                </c:pt>
                <c:pt idx="798">
                  <c:v>37325</c:v>
                </c:pt>
                <c:pt idx="799">
                  <c:v>37326</c:v>
                </c:pt>
                <c:pt idx="800">
                  <c:v>37327</c:v>
                </c:pt>
                <c:pt idx="801">
                  <c:v>37328</c:v>
                </c:pt>
                <c:pt idx="802">
                  <c:v>37329</c:v>
                </c:pt>
                <c:pt idx="803">
                  <c:v>37330</c:v>
                </c:pt>
                <c:pt idx="804">
                  <c:v>37331</c:v>
                </c:pt>
                <c:pt idx="805">
                  <c:v>37332</c:v>
                </c:pt>
                <c:pt idx="806">
                  <c:v>37333</c:v>
                </c:pt>
                <c:pt idx="807">
                  <c:v>37334</c:v>
                </c:pt>
                <c:pt idx="808">
                  <c:v>37335</c:v>
                </c:pt>
                <c:pt idx="809">
                  <c:v>37336</c:v>
                </c:pt>
                <c:pt idx="810">
                  <c:v>37337</c:v>
                </c:pt>
                <c:pt idx="811">
                  <c:v>37338</c:v>
                </c:pt>
                <c:pt idx="812">
                  <c:v>37339</c:v>
                </c:pt>
                <c:pt idx="813">
                  <c:v>37340</c:v>
                </c:pt>
                <c:pt idx="814">
                  <c:v>37341</c:v>
                </c:pt>
                <c:pt idx="815">
                  <c:v>37342</c:v>
                </c:pt>
                <c:pt idx="816">
                  <c:v>37343</c:v>
                </c:pt>
                <c:pt idx="817">
                  <c:v>37344</c:v>
                </c:pt>
                <c:pt idx="818">
                  <c:v>37345</c:v>
                </c:pt>
                <c:pt idx="819">
                  <c:v>37346</c:v>
                </c:pt>
                <c:pt idx="820">
                  <c:v>37347</c:v>
                </c:pt>
                <c:pt idx="821">
                  <c:v>37348</c:v>
                </c:pt>
                <c:pt idx="822">
                  <c:v>37349</c:v>
                </c:pt>
                <c:pt idx="823">
                  <c:v>37350</c:v>
                </c:pt>
                <c:pt idx="824">
                  <c:v>37351</c:v>
                </c:pt>
                <c:pt idx="825">
                  <c:v>37352</c:v>
                </c:pt>
                <c:pt idx="826">
                  <c:v>37353</c:v>
                </c:pt>
                <c:pt idx="827">
                  <c:v>37354</c:v>
                </c:pt>
                <c:pt idx="828">
                  <c:v>37355</c:v>
                </c:pt>
                <c:pt idx="829">
                  <c:v>37356</c:v>
                </c:pt>
                <c:pt idx="830">
                  <c:v>37357</c:v>
                </c:pt>
                <c:pt idx="831">
                  <c:v>37358</c:v>
                </c:pt>
                <c:pt idx="832">
                  <c:v>37359</c:v>
                </c:pt>
                <c:pt idx="833">
                  <c:v>37360</c:v>
                </c:pt>
                <c:pt idx="834">
                  <c:v>37361</c:v>
                </c:pt>
                <c:pt idx="835">
                  <c:v>37362</c:v>
                </c:pt>
                <c:pt idx="836">
                  <c:v>37363</c:v>
                </c:pt>
                <c:pt idx="837">
                  <c:v>37364</c:v>
                </c:pt>
                <c:pt idx="838">
                  <c:v>37365</c:v>
                </c:pt>
                <c:pt idx="839">
                  <c:v>37366</c:v>
                </c:pt>
                <c:pt idx="840">
                  <c:v>37367</c:v>
                </c:pt>
                <c:pt idx="841">
                  <c:v>37368</c:v>
                </c:pt>
                <c:pt idx="842">
                  <c:v>37369</c:v>
                </c:pt>
                <c:pt idx="843">
                  <c:v>37370</c:v>
                </c:pt>
                <c:pt idx="844">
                  <c:v>37371</c:v>
                </c:pt>
                <c:pt idx="845">
                  <c:v>37372</c:v>
                </c:pt>
                <c:pt idx="846">
                  <c:v>37373</c:v>
                </c:pt>
                <c:pt idx="847">
                  <c:v>37374</c:v>
                </c:pt>
                <c:pt idx="848">
                  <c:v>37375</c:v>
                </c:pt>
                <c:pt idx="849">
                  <c:v>37376</c:v>
                </c:pt>
                <c:pt idx="850">
                  <c:v>37377</c:v>
                </c:pt>
                <c:pt idx="851">
                  <c:v>37378</c:v>
                </c:pt>
                <c:pt idx="852">
                  <c:v>37379</c:v>
                </c:pt>
                <c:pt idx="853">
                  <c:v>37380</c:v>
                </c:pt>
                <c:pt idx="854">
                  <c:v>37381</c:v>
                </c:pt>
                <c:pt idx="855">
                  <c:v>37382</c:v>
                </c:pt>
                <c:pt idx="856">
                  <c:v>37383</c:v>
                </c:pt>
                <c:pt idx="857">
                  <c:v>37384</c:v>
                </c:pt>
                <c:pt idx="858">
                  <c:v>37385</c:v>
                </c:pt>
                <c:pt idx="859">
                  <c:v>37386</c:v>
                </c:pt>
                <c:pt idx="860">
                  <c:v>37387</c:v>
                </c:pt>
                <c:pt idx="861">
                  <c:v>37388</c:v>
                </c:pt>
                <c:pt idx="862">
                  <c:v>37389</c:v>
                </c:pt>
                <c:pt idx="863">
                  <c:v>37390</c:v>
                </c:pt>
                <c:pt idx="864">
                  <c:v>37391</c:v>
                </c:pt>
                <c:pt idx="865">
                  <c:v>37392</c:v>
                </c:pt>
                <c:pt idx="866">
                  <c:v>37393</c:v>
                </c:pt>
                <c:pt idx="867">
                  <c:v>37394</c:v>
                </c:pt>
                <c:pt idx="868">
                  <c:v>37395</c:v>
                </c:pt>
                <c:pt idx="869">
                  <c:v>37396</c:v>
                </c:pt>
                <c:pt idx="870">
                  <c:v>37397</c:v>
                </c:pt>
                <c:pt idx="871">
                  <c:v>37398</c:v>
                </c:pt>
                <c:pt idx="872">
                  <c:v>37399</c:v>
                </c:pt>
                <c:pt idx="873">
                  <c:v>37400</c:v>
                </c:pt>
                <c:pt idx="874">
                  <c:v>37401</c:v>
                </c:pt>
                <c:pt idx="875">
                  <c:v>37402</c:v>
                </c:pt>
                <c:pt idx="876">
                  <c:v>37403</c:v>
                </c:pt>
                <c:pt idx="877">
                  <c:v>37404</c:v>
                </c:pt>
                <c:pt idx="878">
                  <c:v>37405</c:v>
                </c:pt>
                <c:pt idx="879">
                  <c:v>37406</c:v>
                </c:pt>
                <c:pt idx="880">
                  <c:v>37407</c:v>
                </c:pt>
                <c:pt idx="881">
                  <c:v>37408</c:v>
                </c:pt>
                <c:pt idx="882">
                  <c:v>37409</c:v>
                </c:pt>
                <c:pt idx="883">
                  <c:v>37410</c:v>
                </c:pt>
                <c:pt idx="884">
                  <c:v>37411</c:v>
                </c:pt>
                <c:pt idx="885">
                  <c:v>37412</c:v>
                </c:pt>
                <c:pt idx="886">
                  <c:v>37413</c:v>
                </c:pt>
                <c:pt idx="887">
                  <c:v>37414</c:v>
                </c:pt>
                <c:pt idx="888">
                  <c:v>37415</c:v>
                </c:pt>
                <c:pt idx="889">
                  <c:v>37416</c:v>
                </c:pt>
                <c:pt idx="890">
                  <c:v>37417</c:v>
                </c:pt>
                <c:pt idx="891">
                  <c:v>37418</c:v>
                </c:pt>
                <c:pt idx="892">
                  <c:v>37419</c:v>
                </c:pt>
                <c:pt idx="893">
                  <c:v>37420</c:v>
                </c:pt>
                <c:pt idx="894">
                  <c:v>37421</c:v>
                </c:pt>
                <c:pt idx="895">
                  <c:v>37422</c:v>
                </c:pt>
                <c:pt idx="896">
                  <c:v>37423</c:v>
                </c:pt>
                <c:pt idx="897">
                  <c:v>37424</c:v>
                </c:pt>
                <c:pt idx="898">
                  <c:v>37425</c:v>
                </c:pt>
                <c:pt idx="899">
                  <c:v>37426</c:v>
                </c:pt>
                <c:pt idx="900">
                  <c:v>37427</c:v>
                </c:pt>
                <c:pt idx="901">
                  <c:v>37428</c:v>
                </c:pt>
                <c:pt idx="902">
                  <c:v>37429</c:v>
                </c:pt>
                <c:pt idx="903">
                  <c:v>37430</c:v>
                </c:pt>
                <c:pt idx="904">
                  <c:v>37431</c:v>
                </c:pt>
                <c:pt idx="905">
                  <c:v>37432</c:v>
                </c:pt>
                <c:pt idx="906">
                  <c:v>37433</c:v>
                </c:pt>
                <c:pt idx="907">
                  <c:v>37434</c:v>
                </c:pt>
                <c:pt idx="908">
                  <c:v>37435</c:v>
                </c:pt>
                <c:pt idx="909">
                  <c:v>37436</c:v>
                </c:pt>
                <c:pt idx="910">
                  <c:v>37437</c:v>
                </c:pt>
                <c:pt idx="911">
                  <c:v>37438</c:v>
                </c:pt>
                <c:pt idx="912">
                  <c:v>37439</c:v>
                </c:pt>
                <c:pt idx="913">
                  <c:v>37440</c:v>
                </c:pt>
                <c:pt idx="914">
                  <c:v>37441</c:v>
                </c:pt>
                <c:pt idx="915">
                  <c:v>37442</c:v>
                </c:pt>
                <c:pt idx="916">
                  <c:v>37443</c:v>
                </c:pt>
                <c:pt idx="917">
                  <c:v>37444</c:v>
                </c:pt>
                <c:pt idx="918">
                  <c:v>37445</c:v>
                </c:pt>
                <c:pt idx="919">
                  <c:v>37446</c:v>
                </c:pt>
                <c:pt idx="920">
                  <c:v>37447</c:v>
                </c:pt>
                <c:pt idx="921">
                  <c:v>37448</c:v>
                </c:pt>
                <c:pt idx="922">
                  <c:v>37449</c:v>
                </c:pt>
                <c:pt idx="923">
                  <c:v>37450</c:v>
                </c:pt>
                <c:pt idx="924">
                  <c:v>37451</c:v>
                </c:pt>
                <c:pt idx="925">
                  <c:v>37452</c:v>
                </c:pt>
                <c:pt idx="926">
                  <c:v>37453</c:v>
                </c:pt>
                <c:pt idx="927">
                  <c:v>37454</c:v>
                </c:pt>
                <c:pt idx="928">
                  <c:v>37455</c:v>
                </c:pt>
                <c:pt idx="929">
                  <c:v>37456</c:v>
                </c:pt>
                <c:pt idx="930">
                  <c:v>37457</c:v>
                </c:pt>
                <c:pt idx="931">
                  <c:v>37458</c:v>
                </c:pt>
                <c:pt idx="932">
                  <c:v>37459</c:v>
                </c:pt>
                <c:pt idx="933">
                  <c:v>37460</c:v>
                </c:pt>
                <c:pt idx="934">
                  <c:v>37461</c:v>
                </c:pt>
                <c:pt idx="935">
                  <c:v>37462</c:v>
                </c:pt>
                <c:pt idx="936">
                  <c:v>37463</c:v>
                </c:pt>
                <c:pt idx="937">
                  <c:v>37464</c:v>
                </c:pt>
                <c:pt idx="938">
                  <c:v>37465</c:v>
                </c:pt>
                <c:pt idx="939">
                  <c:v>37466</c:v>
                </c:pt>
                <c:pt idx="940">
                  <c:v>37467</c:v>
                </c:pt>
                <c:pt idx="941">
                  <c:v>37468</c:v>
                </c:pt>
                <c:pt idx="942">
                  <c:v>37469</c:v>
                </c:pt>
                <c:pt idx="943">
                  <c:v>37470</c:v>
                </c:pt>
                <c:pt idx="944">
                  <c:v>37471</c:v>
                </c:pt>
                <c:pt idx="945">
                  <c:v>37472</c:v>
                </c:pt>
                <c:pt idx="946">
                  <c:v>37473</c:v>
                </c:pt>
                <c:pt idx="947">
                  <c:v>37474</c:v>
                </c:pt>
                <c:pt idx="948">
                  <c:v>37475</c:v>
                </c:pt>
                <c:pt idx="949">
                  <c:v>37476</c:v>
                </c:pt>
                <c:pt idx="950">
                  <c:v>37477</c:v>
                </c:pt>
                <c:pt idx="951">
                  <c:v>37478</c:v>
                </c:pt>
                <c:pt idx="952">
                  <c:v>37479</c:v>
                </c:pt>
                <c:pt idx="953">
                  <c:v>37480</c:v>
                </c:pt>
                <c:pt idx="954">
                  <c:v>37481</c:v>
                </c:pt>
                <c:pt idx="955">
                  <c:v>37482</c:v>
                </c:pt>
                <c:pt idx="956">
                  <c:v>37483</c:v>
                </c:pt>
                <c:pt idx="957">
                  <c:v>37484</c:v>
                </c:pt>
                <c:pt idx="958">
                  <c:v>37485</c:v>
                </c:pt>
                <c:pt idx="959">
                  <c:v>37486</c:v>
                </c:pt>
                <c:pt idx="960">
                  <c:v>37487</c:v>
                </c:pt>
                <c:pt idx="961">
                  <c:v>37488</c:v>
                </c:pt>
                <c:pt idx="962">
                  <c:v>37489</c:v>
                </c:pt>
                <c:pt idx="963">
                  <c:v>37490</c:v>
                </c:pt>
                <c:pt idx="964">
                  <c:v>37491</c:v>
                </c:pt>
                <c:pt idx="965">
                  <c:v>37492</c:v>
                </c:pt>
                <c:pt idx="966">
                  <c:v>37493</c:v>
                </c:pt>
                <c:pt idx="967">
                  <c:v>37494</c:v>
                </c:pt>
                <c:pt idx="968">
                  <c:v>37495</c:v>
                </c:pt>
                <c:pt idx="969">
                  <c:v>37496</c:v>
                </c:pt>
                <c:pt idx="970">
                  <c:v>37497</c:v>
                </c:pt>
                <c:pt idx="971">
                  <c:v>37498</c:v>
                </c:pt>
                <c:pt idx="972">
                  <c:v>37499</c:v>
                </c:pt>
                <c:pt idx="973">
                  <c:v>37500</c:v>
                </c:pt>
                <c:pt idx="974">
                  <c:v>37501</c:v>
                </c:pt>
                <c:pt idx="975">
                  <c:v>37502</c:v>
                </c:pt>
                <c:pt idx="976">
                  <c:v>37503</c:v>
                </c:pt>
                <c:pt idx="977">
                  <c:v>37504</c:v>
                </c:pt>
                <c:pt idx="978">
                  <c:v>37505</c:v>
                </c:pt>
                <c:pt idx="979">
                  <c:v>37506</c:v>
                </c:pt>
                <c:pt idx="980">
                  <c:v>37507</c:v>
                </c:pt>
                <c:pt idx="981">
                  <c:v>37508</c:v>
                </c:pt>
                <c:pt idx="982">
                  <c:v>37509</c:v>
                </c:pt>
                <c:pt idx="983">
                  <c:v>37510</c:v>
                </c:pt>
                <c:pt idx="984">
                  <c:v>37511</c:v>
                </c:pt>
                <c:pt idx="985">
                  <c:v>37512</c:v>
                </c:pt>
                <c:pt idx="986">
                  <c:v>37513</c:v>
                </c:pt>
                <c:pt idx="987">
                  <c:v>37514</c:v>
                </c:pt>
                <c:pt idx="988">
                  <c:v>37515</c:v>
                </c:pt>
                <c:pt idx="989">
                  <c:v>37516</c:v>
                </c:pt>
                <c:pt idx="990">
                  <c:v>37517</c:v>
                </c:pt>
                <c:pt idx="991">
                  <c:v>37518</c:v>
                </c:pt>
                <c:pt idx="992">
                  <c:v>37519</c:v>
                </c:pt>
                <c:pt idx="993">
                  <c:v>37520</c:v>
                </c:pt>
                <c:pt idx="994">
                  <c:v>37521</c:v>
                </c:pt>
                <c:pt idx="995">
                  <c:v>37522</c:v>
                </c:pt>
                <c:pt idx="996">
                  <c:v>37523</c:v>
                </c:pt>
                <c:pt idx="997">
                  <c:v>37524</c:v>
                </c:pt>
                <c:pt idx="998">
                  <c:v>37525</c:v>
                </c:pt>
                <c:pt idx="999">
                  <c:v>37526</c:v>
                </c:pt>
                <c:pt idx="1000">
                  <c:v>37527</c:v>
                </c:pt>
                <c:pt idx="1001">
                  <c:v>37528</c:v>
                </c:pt>
                <c:pt idx="1002">
                  <c:v>37529</c:v>
                </c:pt>
                <c:pt idx="1003">
                  <c:v>37530</c:v>
                </c:pt>
                <c:pt idx="1004">
                  <c:v>37531</c:v>
                </c:pt>
                <c:pt idx="1005">
                  <c:v>37532</c:v>
                </c:pt>
                <c:pt idx="1006">
                  <c:v>37533</c:v>
                </c:pt>
                <c:pt idx="1007">
                  <c:v>37534</c:v>
                </c:pt>
                <c:pt idx="1008">
                  <c:v>37535</c:v>
                </c:pt>
                <c:pt idx="1009">
                  <c:v>37536</c:v>
                </c:pt>
                <c:pt idx="1010">
                  <c:v>37537</c:v>
                </c:pt>
                <c:pt idx="1011">
                  <c:v>37538</c:v>
                </c:pt>
                <c:pt idx="1012">
                  <c:v>37539</c:v>
                </c:pt>
                <c:pt idx="1013">
                  <c:v>37540</c:v>
                </c:pt>
                <c:pt idx="1014">
                  <c:v>37541</c:v>
                </c:pt>
                <c:pt idx="1015">
                  <c:v>37542</c:v>
                </c:pt>
                <c:pt idx="1016">
                  <c:v>37543</c:v>
                </c:pt>
                <c:pt idx="1017">
                  <c:v>37544</c:v>
                </c:pt>
                <c:pt idx="1018">
                  <c:v>37545</c:v>
                </c:pt>
                <c:pt idx="1019">
                  <c:v>37546</c:v>
                </c:pt>
                <c:pt idx="1020">
                  <c:v>37547</c:v>
                </c:pt>
                <c:pt idx="1021">
                  <c:v>37548</c:v>
                </c:pt>
                <c:pt idx="1022">
                  <c:v>37549</c:v>
                </c:pt>
                <c:pt idx="1023">
                  <c:v>37550</c:v>
                </c:pt>
                <c:pt idx="1024">
                  <c:v>37551</c:v>
                </c:pt>
                <c:pt idx="1025">
                  <c:v>37552</c:v>
                </c:pt>
                <c:pt idx="1026">
                  <c:v>37553</c:v>
                </c:pt>
                <c:pt idx="1027">
                  <c:v>37554</c:v>
                </c:pt>
                <c:pt idx="1028">
                  <c:v>37555</c:v>
                </c:pt>
                <c:pt idx="1029">
                  <c:v>37556</c:v>
                </c:pt>
                <c:pt idx="1030">
                  <c:v>37557</c:v>
                </c:pt>
                <c:pt idx="1031">
                  <c:v>37558</c:v>
                </c:pt>
                <c:pt idx="1032">
                  <c:v>37559</c:v>
                </c:pt>
                <c:pt idx="1033">
                  <c:v>37560</c:v>
                </c:pt>
                <c:pt idx="1034">
                  <c:v>37561</c:v>
                </c:pt>
                <c:pt idx="1035">
                  <c:v>37562</c:v>
                </c:pt>
                <c:pt idx="1036">
                  <c:v>37563</c:v>
                </c:pt>
                <c:pt idx="1037">
                  <c:v>37564</c:v>
                </c:pt>
                <c:pt idx="1038">
                  <c:v>37565</c:v>
                </c:pt>
                <c:pt idx="1039">
                  <c:v>37566</c:v>
                </c:pt>
                <c:pt idx="1040">
                  <c:v>37567</c:v>
                </c:pt>
                <c:pt idx="1041">
                  <c:v>37568</c:v>
                </c:pt>
                <c:pt idx="1042">
                  <c:v>37569</c:v>
                </c:pt>
                <c:pt idx="1043">
                  <c:v>37570</c:v>
                </c:pt>
                <c:pt idx="1044">
                  <c:v>37571</c:v>
                </c:pt>
                <c:pt idx="1045">
                  <c:v>37572</c:v>
                </c:pt>
                <c:pt idx="1046">
                  <c:v>37573</c:v>
                </c:pt>
                <c:pt idx="1047">
                  <c:v>37574</c:v>
                </c:pt>
                <c:pt idx="1048">
                  <c:v>37575</c:v>
                </c:pt>
                <c:pt idx="1049">
                  <c:v>37576</c:v>
                </c:pt>
                <c:pt idx="1050">
                  <c:v>37577</c:v>
                </c:pt>
                <c:pt idx="1051">
                  <c:v>37578</c:v>
                </c:pt>
                <c:pt idx="1052">
                  <c:v>37579</c:v>
                </c:pt>
                <c:pt idx="1053">
                  <c:v>37580</c:v>
                </c:pt>
                <c:pt idx="1054">
                  <c:v>37581</c:v>
                </c:pt>
                <c:pt idx="1055">
                  <c:v>37582</c:v>
                </c:pt>
                <c:pt idx="1056">
                  <c:v>37583</c:v>
                </c:pt>
                <c:pt idx="1057">
                  <c:v>37584</c:v>
                </c:pt>
                <c:pt idx="1058">
                  <c:v>37585</c:v>
                </c:pt>
                <c:pt idx="1059">
                  <c:v>37586</c:v>
                </c:pt>
                <c:pt idx="1060">
                  <c:v>37587</c:v>
                </c:pt>
                <c:pt idx="1061">
                  <c:v>37588</c:v>
                </c:pt>
                <c:pt idx="1062">
                  <c:v>37589</c:v>
                </c:pt>
                <c:pt idx="1063">
                  <c:v>37590</c:v>
                </c:pt>
                <c:pt idx="1064">
                  <c:v>37591</c:v>
                </c:pt>
                <c:pt idx="1065">
                  <c:v>37592</c:v>
                </c:pt>
                <c:pt idx="1066">
                  <c:v>37593</c:v>
                </c:pt>
                <c:pt idx="1067">
                  <c:v>37594</c:v>
                </c:pt>
                <c:pt idx="1068">
                  <c:v>37595</c:v>
                </c:pt>
                <c:pt idx="1069">
                  <c:v>37596</c:v>
                </c:pt>
                <c:pt idx="1070">
                  <c:v>37597</c:v>
                </c:pt>
                <c:pt idx="1071">
                  <c:v>37598</c:v>
                </c:pt>
                <c:pt idx="1072">
                  <c:v>37599</c:v>
                </c:pt>
                <c:pt idx="1073">
                  <c:v>37600</c:v>
                </c:pt>
                <c:pt idx="1074">
                  <c:v>37601</c:v>
                </c:pt>
                <c:pt idx="1075">
                  <c:v>37602</c:v>
                </c:pt>
                <c:pt idx="1076">
                  <c:v>37603</c:v>
                </c:pt>
                <c:pt idx="1077">
                  <c:v>37604</c:v>
                </c:pt>
                <c:pt idx="1078">
                  <c:v>37605</c:v>
                </c:pt>
                <c:pt idx="1079">
                  <c:v>37606</c:v>
                </c:pt>
                <c:pt idx="1080">
                  <c:v>37607</c:v>
                </c:pt>
                <c:pt idx="1081">
                  <c:v>37608</c:v>
                </c:pt>
                <c:pt idx="1082">
                  <c:v>37609</c:v>
                </c:pt>
                <c:pt idx="1083">
                  <c:v>37610</c:v>
                </c:pt>
                <c:pt idx="1084">
                  <c:v>37611</c:v>
                </c:pt>
                <c:pt idx="1085">
                  <c:v>37612</c:v>
                </c:pt>
                <c:pt idx="1086">
                  <c:v>37613</c:v>
                </c:pt>
                <c:pt idx="1087">
                  <c:v>37614</c:v>
                </c:pt>
                <c:pt idx="1088">
                  <c:v>37615</c:v>
                </c:pt>
                <c:pt idx="1089">
                  <c:v>37616</c:v>
                </c:pt>
                <c:pt idx="1090">
                  <c:v>37617</c:v>
                </c:pt>
                <c:pt idx="1091">
                  <c:v>37618</c:v>
                </c:pt>
                <c:pt idx="1092">
                  <c:v>37619</c:v>
                </c:pt>
                <c:pt idx="1093">
                  <c:v>37620</c:v>
                </c:pt>
                <c:pt idx="1094">
                  <c:v>37621</c:v>
                </c:pt>
                <c:pt idx="1095">
                  <c:v>37622</c:v>
                </c:pt>
                <c:pt idx="1096">
                  <c:v>37623</c:v>
                </c:pt>
                <c:pt idx="1097">
                  <c:v>37624</c:v>
                </c:pt>
                <c:pt idx="1098">
                  <c:v>37625</c:v>
                </c:pt>
                <c:pt idx="1099">
                  <c:v>37626</c:v>
                </c:pt>
                <c:pt idx="1100">
                  <c:v>37627</c:v>
                </c:pt>
                <c:pt idx="1101">
                  <c:v>37628</c:v>
                </c:pt>
                <c:pt idx="1102">
                  <c:v>37629</c:v>
                </c:pt>
                <c:pt idx="1103">
                  <c:v>37630</c:v>
                </c:pt>
                <c:pt idx="1104">
                  <c:v>37631</c:v>
                </c:pt>
                <c:pt idx="1105">
                  <c:v>37632</c:v>
                </c:pt>
                <c:pt idx="1106">
                  <c:v>37633</c:v>
                </c:pt>
                <c:pt idx="1107">
                  <c:v>37634</c:v>
                </c:pt>
                <c:pt idx="1108">
                  <c:v>37635</c:v>
                </c:pt>
                <c:pt idx="1109">
                  <c:v>37636</c:v>
                </c:pt>
                <c:pt idx="1110">
                  <c:v>37637</c:v>
                </c:pt>
                <c:pt idx="1111">
                  <c:v>37638</c:v>
                </c:pt>
                <c:pt idx="1112">
                  <c:v>37639</c:v>
                </c:pt>
                <c:pt idx="1113">
                  <c:v>37640</c:v>
                </c:pt>
                <c:pt idx="1114">
                  <c:v>37641</c:v>
                </c:pt>
                <c:pt idx="1115">
                  <c:v>37642</c:v>
                </c:pt>
                <c:pt idx="1116">
                  <c:v>37643</c:v>
                </c:pt>
                <c:pt idx="1117">
                  <c:v>37644</c:v>
                </c:pt>
                <c:pt idx="1118">
                  <c:v>37645</c:v>
                </c:pt>
                <c:pt idx="1119">
                  <c:v>37646</c:v>
                </c:pt>
                <c:pt idx="1120">
                  <c:v>37647</c:v>
                </c:pt>
                <c:pt idx="1121">
                  <c:v>37648</c:v>
                </c:pt>
                <c:pt idx="1122">
                  <c:v>37649</c:v>
                </c:pt>
                <c:pt idx="1123">
                  <c:v>37650</c:v>
                </c:pt>
                <c:pt idx="1124">
                  <c:v>37651</c:v>
                </c:pt>
                <c:pt idx="1125">
                  <c:v>37652</c:v>
                </c:pt>
                <c:pt idx="1126">
                  <c:v>37653</c:v>
                </c:pt>
                <c:pt idx="1127">
                  <c:v>37654</c:v>
                </c:pt>
                <c:pt idx="1128">
                  <c:v>37655</c:v>
                </c:pt>
                <c:pt idx="1129">
                  <c:v>37656</c:v>
                </c:pt>
                <c:pt idx="1130">
                  <c:v>37657</c:v>
                </c:pt>
                <c:pt idx="1131">
                  <c:v>37658</c:v>
                </c:pt>
                <c:pt idx="1132">
                  <c:v>37659</c:v>
                </c:pt>
                <c:pt idx="1133">
                  <c:v>37660</c:v>
                </c:pt>
                <c:pt idx="1134">
                  <c:v>37661</c:v>
                </c:pt>
                <c:pt idx="1135">
                  <c:v>37662</c:v>
                </c:pt>
                <c:pt idx="1136">
                  <c:v>37663</c:v>
                </c:pt>
                <c:pt idx="1137">
                  <c:v>37664</c:v>
                </c:pt>
                <c:pt idx="1138">
                  <c:v>37665</c:v>
                </c:pt>
                <c:pt idx="1139">
                  <c:v>37666</c:v>
                </c:pt>
                <c:pt idx="1140">
                  <c:v>37667</c:v>
                </c:pt>
                <c:pt idx="1141">
                  <c:v>37668</c:v>
                </c:pt>
                <c:pt idx="1142">
                  <c:v>37669</c:v>
                </c:pt>
                <c:pt idx="1143">
                  <c:v>37670</c:v>
                </c:pt>
                <c:pt idx="1144">
                  <c:v>37671</c:v>
                </c:pt>
                <c:pt idx="1145">
                  <c:v>37672</c:v>
                </c:pt>
                <c:pt idx="1146">
                  <c:v>37673</c:v>
                </c:pt>
                <c:pt idx="1147">
                  <c:v>37674</c:v>
                </c:pt>
                <c:pt idx="1148">
                  <c:v>37675</c:v>
                </c:pt>
                <c:pt idx="1149">
                  <c:v>37676</c:v>
                </c:pt>
                <c:pt idx="1150">
                  <c:v>37677</c:v>
                </c:pt>
                <c:pt idx="1151">
                  <c:v>37678</c:v>
                </c:pt>
                <c:pt idx="1152">
                  <c:v>37679</c:v>
                </c:pt>
                <c:pt idx="1153">
                  <c:v>37680</c:v>
                </c:pt>
                <c:pt idx="1154">
                  <c:v>37681</c:v>
                </c:pt>
                <c:pt idx="1155">
                  <c:v>37682</c:v>
                </c:pt>
                <c:pt idx="1156">
                  <c:v>37683</c:v>
                </c:pt>
                <c:pt idx="1157">
                  <c:v>37684</c:v>
                </c:pt>
                <c:pt idx="1158">
                  <c:v>37685</c:v>
                </c:pt>
                <c:pt idx="1159">
                  <c:v>37686</c:v>
                </c:pt>
                <c:pt idx="1160">
                  <c:v>37687</c:v>
                </c:pt>
                <c:pt idx="1161">
                  <c:v>37688</c:v>
                </c:pt>
                <c:pt idx="1162">
                  <c:v>37689</c:v>
                </c:pt>
                <c:pt idx="1163">
                  <c:v>37690</c:v>
                </c:pt>
                <c:pt idx="1164">
                  <c:v>37691</c:v>
                </c:pt>
                <c:pt idx="1165">
                  <c:v>37692</c:v>
                </c:pt>
                <c:pt idx="1166">
                  <c:v>37693</c:v>
                </c:pt>
                <c:pt idx="1167">
                  <c:v>37694</c:v>
                </c:pt>
                <c:pt idx="1168">
                  <c:v>37695</c:v>
                </c:pt>
                <c:pt idx="1169">
                  <c:v>37696</c:v>
                </c:pt>
                <c:pt idx="1170">
                  <c:v>37697</c:v>
                </c:pt>
                <c:pt idx="1171">
                  <c:v>37698</c:v>
                </c:pt>
                <c:pt idx="1172">
                  <c:v>37699</c:v>
                </c:pt>
                <c:pt idx="1173">
                  <c:v>37700</c:v>
                </c:pt>
                <c:pt idx="1174">
                  <c:v>37701</c:v>
                </c:pt>
                <c:pt idx="1175">
                  <c:v>37702</c:v>
                </c:pt>
                <c:pt idx="1176">
                  <c:v>37703</c:v>
                </c:pt>
                <c:pt idx="1177">
                  <c:v>37704</c:v>
                </c:pt>
                <c:pt idx="1178">
                  <c:v>37705</c:v>
                </c:pt>
                <c:pt idx="1179">
                  <c:v>37706</c:v>
                </c:pt>
                <c:pt idx="1180">
                  <c:v>37707</c:v>
                </c:pt>
                <c:pt idx="1181">
                  <c:v>37708</c:v>
                </c:pt>
                <c:pt idx="1182">
                  <c:v>37709</c:v>
                </c:pt>
                <c:pt idx="1183">
                  <c:v>37710</c:v>
                </c:pt>
                <c:pt idx="1184">
                  <c:v>37711</c:v>
                </c:pt>
                <c:pt idx="1185">
                  <c:v>37712</c:v>
                </c:pt>
                <c:pt idx="1186">
                  <c:v>37713</c:v>
                </c:pt>
                <c:pt idx="1187">
                  <c:v>37714</c:v>
                </c:pt>
                <c:pt idx="1188">
                  <c:v>37715</c:v>
                </c:pt>
                <c:pt idx="1189">
                  <c:v>37716</c:v>
                </c:pt>
                <c:pt idx="1190">
                  <c:v>37717</c:v>
                </c:pt>
                <c:pt idx="1191">
                  <c:v>37718</c:v>
                </c:pt>
                <c:pt idx="1192">
                  <c:v>37719</c:v>
                </c:pt>
                <c:pt idx="1193">
                  <c:v>37720</c:v>
                </c:pt>
                <c:pt idx="1194">
                  <c:v>37721</c:v>
                </c:pt>
                <c:pt idx="1195">
                  <c:v>37722</c:v>
                </c:pt>
                <c:pt idx="1196">
                  <c:v>37723</c:v>
                </c:pt>
                <c:pt idx="1197">
                  <c:v>37724</c:v>
                </c:pt>
                <c:pt idx="1198">
                  <c:v>37725</c:v>
                </c:pt>
                <c:pt idx="1199">
                  <c:v>37726</c:v>
                </c:pt>
                <c:pt idx="1200">
                  <c:v>37727</c:v>
                </c:pt>
                <c:pt idx="1201">
                  <c:v>37728</c:v>
                </c:pt>
                <c:pt idx="1202">
                  <c:v>37729</c:v>
                </c:pt>
                <c:pt idx="1203">
                  <c:v>37730</c:v>
                </c:pt>
                <c:pt idx="1204">
                  <c:v>37731</c:v>
                </c:pt>
                <c:pt idx="1205">
                  <c:v>37732</c:v>
                </c:pt>
                <c:pt idx="1206">
                  <c:v>37733</c:v>
                </c:pt>
                <c:pt idx="1207">
                  <c:v>37734</c:v>
                </c:pt>
                <c:pt idx="1208">
                  <c:v>37735</c:v>
                </c:pt>
                <c:pt idx="1209">
                  <c:v>37736</c:v>
                </c:pt>
                <c:pt idx="1210">
                  <c:v>37737</c:v>
                </c:pt>
                <c:pt idx="1211">
                  <c:v>37738</c:v>
                </c:pt>
                <c:pt idx="1212">
                  <c:v>37739</c:v>
                </c:pt>
                <c:pt idx="1213">
                  <c:v>37740</c:v>
                </c:pt>
                <c:pt idx="1214">
                  <c:v>37741</c:v>
                </c:pt>
                <c:pt idx="1215">
                  <c:v>37742</c:v>
                </c:pt>
                <c:pt idx="1216">
                  <c:v>37743</c:v>
                </c:pt>
                <c:pt idx="1217">
                  <c:v>37744</c:v>
                </c:pt>
                <c:pt idx="1218">
                  <c:v>37745</c:v>
                </c:pt>
                <c:pt idx="1219">
                  <c:v>37746</c:v>
                </c:pt>
                <c:pt idx="1220">
                  <c:v>37747</c:v>
                </c:pt>
                <c:pt idx="1221">
                  <c:v>37748</c:v>
                </c:pt>
                <c:pt idx="1222">
                  <c:v>37749</c:v>
                </c:pt>
                <c:pt idx="1223">
                  <c:v>37750</c:v>
                </c:pt>
                <c:pt idx="1224">
                  <c:v>37751</c:v>
                </c:pt>
                <c:pt idx="1225">
                  <c:v>37752</c:v>
                </c:pt>
                <c:pt idx="1226">
                  <c:v>37753</c:v>
                </c:pt>
                <c:pt idx="1227">
                  <c:v>37754</c:v>
                </c:pt>
                <c:pt idx="1228">
                  <c:v>37755</c:v>
                </c:pt>
                <c:pt idx="1229">
                  <c:v>37756</c:v>
                </c:pt>
                <c:pt idx="1230">
                  <c:v>37757</c:v>
                </c:pt>
                <c:pt idx="1231">
                  <c:v>37758</c:v>
                </c:pt>
                <c:pt idx="1232">
                  <c:v>37759</c:v>
                </c:pt>
                <c:pt idx="1233">
                  <c:v>37760</c:v>
                </c:pt>
                <c:pt idx="1234">
                  <c:v>37761</c:v>
                </c:pt>
                <c:pt idx="1235">
                  <c:v>37762</c:v>
                </c:pt>
                <c:pt idx="1236">
                  <c:v>37763</c:v>
                </c:pt>
                <c:pt idx="1237">
                  <c:v>37764</c:v>
                </c:pt>
                <c:pt idx="1238">
                  <c:v>37765</c:v>
                </c:pt>
                <c:pt idx="1239">
                  <c:v>37766</c:v>
                </c:pt>
                <c:pt idx="1240">
                  <c:v>37767</c:v>
                </c:pt>
                <c:pt idx="1241">
                  <c:v>37768</c:v>
                </c:pt>
                <c:pt idx="1242">
                  <c:v>37769</c:v>
                </c:pt>
                <c:pt idx="1243">
                  <c:v>37770</c:v>
                </c:pt>
                <c:pt idx="1244">
                  <c:v>37771</c:v>
                </c:pt>
                <c:pt idx="1245">
                  <c:v>37772</c:v>
                </c:pt>
                <c:pt idx="1246">
                  <c:v>37773</c:v>
                </c:pt>
                <c:pt idx="1247">
                  <c:v>37774</c:v>
                </c:pt>
                <c:pt idx="1248">
                  <c:v>37775</c:v>
                </c:pt>
                <c:pt idx="1249">
                  <c:v>37776</c:v>
                </c:pt>
                <c:pt idx="1250">
                  <c:v>37777</c:v>
                </c:pt>
                <c:pt idx="1251">
                  <c:v>37778</c:v>
                </c:pt>
                <c:pt idx="1252">
                  <c:v>37779</c:v>
                </c:pt>
                <c:pt idx="1253">
                  <c:v>37780</c:v>
                </c:pt>
                <c:pt idx="1254">
                  <c:v>37781</c:v>
                </c:pt>
                <c:pt idx="1255">
                  <c:v>37782</c:v>
                </c:pt>
                <c:pt idx="1256">
                  <c:v>37783</c:v>
                </c:pt>
                <c:pt idx="1257">
                  <c:v>37784</c:v>
                </c:pt>
                <c:pt idx="1258">
                  <c:v>37785</c:v>
                </c:pt>
                <c:pt idx="1259">
                  <c:v>37786</c:v>
                </c:pt>
                <c:pt idx="1260">
                  <c:v>37787</c:v>
                </c:pt>
                <c:pt idx="1261">
                  <c:v>37788</c:v>
                </c:pt>
                <c:pt idx="1262">
                  <c:v>37789</c:v>
                </c:pt>
                <c:pt idx="1263">
                  <c:v>37790</c:v>
                </c:pt>
                <c:pt idx="1264">
                  <c:v>37791</c:v>
                </c:pt>
                <c:pt idx="1265">
                  <c:v>37792</c:v>
                </c:pt>
                <c:pt idx="1266">
                  <c:v>37793</c:v>
                </c:pt>
                <c:pt idx="1267">
                  <c:v>37794</c:v>
                </c:pt>
                <c:pt idx="1268">
                  <c:v>37795</c:v>
                </c:pt>
                <c:pt idx="1269">
                  <c:v>37796</c:v>
                </c:pt>
                <c:pt idx="1270">
                  <c:v>37797</c:v>
                </c:pt>
                <c:pt idx="1271">
                  <c:v>37798</c:v>
                </c:pt>
                <c:pt idx="1272">
                  <c:v>37799</c:v>
                </c:pt>
                <c:pt idx="1273">
                  <c:v>37800</c:v>
                </c:pt>
                <c:pt idx="1274">
                  <c:v>37801</c:v>
                </c:pt>
                <c:pt idx="1275">
                  <c:v>37802</c:v>
                </c:pt>
                <c:pt idx="1276">
                  <c:v>37803</c:v>
                </c:pt>
                <c:pt idx="1277">
                  <c:v>37804</c:v>
                </c:pt>
                <c:pt idx="1278">
                  <c:v>37805</c:v>
                </c:pt>
                <c:pt idx="1279">
                  <c:v>37806</c:v>
                </c:pt>
                <c:pt idx="1280">
                  <c:v>37807</c:v>
                </c:pt>
                <c:pt idx="1281">
                  <c:v>37808</c:v>
                </c:pt>
                <c:pt idx="1282">
                  <c:v>37809</c:v>
                </c:pt>
                <c:pt idx="1283">
                  <c:v>37810</c:v>
                </c:pt>
                <c:pt idx="1284">
                  <c:v>37811</c:v>
                </c:pt>
                <c:pt idx="1285">
                  <c:v>37812</c:v>
                </c:pt>
                <c:pt idx="1286">
                  <c:v>37813</c:v>
                </c:pt>
                <c:pt idx="1287">
                  <c:v>37814</c:v>
                </c:pt>
                <c:pt idx="1288">
                  <c:v>37815</c:v>
                </c:pt>
                <c:pt idx="1289">
                  <c:v>37816</c:v>
                </c:pt>
                <c:pt idx="1290">
                  <c:v>37817</c:v>
                </c:pt>
                <c:pt idx="1291">
                  <c:v>37818</c:v>
                </c:pt>
                <c:pt idx="1292">
                  <c:v>37819</c:v>
                </c:pt>
                <c:pt idx="1293">
                  <c:v>37820</c:v>
                </c:pt>
                <c:pt idx="1294">
                  <c:v>37821</c:v>
                </c:pt>
                <c:pt idx="1295">
                  <c:v>37822</c:v>
                </c:pt>
                <c:pt idx="1296">
                  <c:v>37823</c:v>
                </c:pt>
                <c:pt idx="1297">
                  <c:v>37824</c:v>
                </c:pt>
                <c:pt idx="1298">
                  <c:v>37825</c:v>
                </c:pt>
                <c:pt idx="1299">
                  <c:v>37826</c:v>
                </c:pt>
                <c:pt idx="1300">
                  <c:v>37827</c:v>
                </c:pt>
                <c:pt idx="1301">
                  <c:v>37828</c:v>
                </c:pt>
                <c:pt idx="1302">
                  <c:v>37829</c:v>
                </c:pt>
                <c:pt idx="1303">
                  <c:v>37830</c:v>
                </c:pt>
                <c:pt idx="1304">
                  <c:v>37831</c:v>
                </c:pt>
                <c:pt idx="1305">
                  <c:v>37832</c:v>
                </c:pt>
                <c:pt idx="1306">
                  <c:v>37833</c:v>
                </c:pt>
                <c:pt idx="1307">
                  <c:v>37834</c:v>
                </c:pt>
                <c:pt idx="1308">
                  <c:v>37835</c:v>
                </c:pt>
                <c:pt idx="1309">
                  <c:v>37836</c:v>
                </c:pt>
                <c:pt idx="1310">
                  <c:v>37837</c:v>
                </c:pt>
                <c:pt idx="1311">
                  <c:v>37838</c:v>
                </c:pt>
                <c:pt idx="1312">
                  <c:v>37839</c:v>
                </c:pt>
                <c:pt idx="1313">
                  <c:v>37840</c:v>
                </c:pt>
                <c:pt idx="1314">
                  <c:v>37841</c:v>
                </c:pt>
                <c:pt idx="1315">
                  <c:v>37842</c:v>
                </c:pt>
                <c:pt idx="1316">
                  <c:v>37843</c:v>
                </c:pt>
                <c:pt idx="1317">
                  <c:v>37844</c:v>
                </c:pt>
                <c:pt idx="1318">
                  <c:v>37845</c:v>
                </c:pt>
                <c:pt idx="1319">
                  <c:v>37846</c:v>
                </c:pt>
                <c:pt idx="1320">
                  <c:v>37847</c:v>
                </c:pt>
                <c:pt idx="1321">
                  <c:v>37848</c:v>
                </c:pt>
                <c:pt idx="1322">
                  <c:v>37849</c:v>
                </c:pt>
                <c:pt idx="1323">
                  <c:v>37850</c:v>
                </c:pt>
                <c:pt idx="1324">
                  <c:v>37851</c:v>
                </c:pt>
                <c:pt idx="1325">
                  <c:v>37852</c:v>
                </c:pt>
                <c:pt idx="1326">
                  <c:v>37853</c:v>
                </c:pt>
                <c:pt idx="1327">
                  <c:v>37854</c:v>
                </c:pt>
                <c:pt idx="1328">
                  <c:v>37855</c:v>
                </c:pt>
                <c:pt idx="1329">
                  <c:v>37856</c:v>
                </c:pt>
                <c:pt idx="1330">
                  <c:v>37857</c:v>
                </c:pt>
                <c:pt idx="1331">
                  <c:v>37858</c:v>
                </c:pt>
                <c:pt idx="1332">
                  <c:v>37859</c:v>
                </c:pt>
                <c:pt idx="1333">
                  <c:v>37860</c:v>
                </c:pt>
                <c:pt idx="1334">
                  <c:v>37861</c:v>
                </c:pt>
                <c:pt idx="1335">
                  <c:v>37862</c:v>
                </c:pt>
                <c:pt idx="1336">
                  <c:v>37863</c:v>
                </c:pt>
                <c:pt idx="1337">
                  <c:v>37864</c:v>
                </c:pt>
                <c:pt idx="1338">
                  <c:v>37865</c:v>
                </c:pt>
                <c:pt idx="1339">
                  <c:v>37866</c:v>
                </c:pt>
                <c:pt idx="1340">
                  <c:v>37867</c:v>
                </c:pt>
                <c:pt idx="1341">
                  <c:v>37868</c:v>
                </c:pt>
                <c:pt idx="1342">
                  <c:v>37869</c:v>
                </c:pt>
                <c:pt idx="1343">
                  <c:v>37870</c:v>
                </c:pt>
                <c:pt idx="1344">
                  <c:v>37871</c:v>
                </c:pt>
                <c:pt idx="1345">
                  <c:v>37872</c:v>
                </c:pt>
                <c:pt idx="1346">
                  <c:v>37873</c:v>
                </c:pt>
                <c:pt idx="1347">
                  <c:v>37874</c:v>
                </c:pt>
                <c:pt idx="1348">
                  <c:v>37875</c:v>
                </c:pt>
                <c:pt idx="1349">
                  <c:v>37876</c:v>
                </c:pt>
                <c:pt idx="1350">
                  <c:v>37877</c:v>
                </c:pt>
                <c:pt idx="1351">
                  <c:v>37878</c:v>
                </c:pt>
                <c:pt idx="1352">
                  <c:v>37879</c:v>
                </c:pt>
                <c:pt idx="1353">
                  <c:v>37880</c:v>
                </c:pt>
                <c:pt idx="1354">
                  <c:v>37881</c:v>
                </c:pt>
                <c:pt idx="1355">
                  <c:v>37882</c:v>
                </c:pt>
                <c:pt idx="1356">
                  <c:v>37883</c:v>
                </c:pt>
                <c:pt idx="1357">
                  <c:v>37884</c:v>
                </c:pt>
                <c:pt idx="1358">
                  <c:v>37885</c:v>
                </c:pt>
                <c:pt idx="1359">
                  <c:v>37886</c:v>
                </c:pt>
                <c:pt idx="1360">
                  <c:v>37887</c:v>
                </c:pt>
                <c:pt idx="1361">
                  <c:v>37888</c:v>
                </c:pt>
                <c:pt idx="1362">
                  <c:v>37889</c:v>
                </c:pt>
                <c:pt idx="1363">
                  <c:v>37890</c:v>
                </c:pt>
                <c:pt idx="1364">
                  <c:v>37891</c:v>
                </c:pt>
                <c:pt idx="1365">
                  <c:v>37892</c:v>
                </c:pt>
                <c:pt idx="1366">
                  <c:v>37893</c:v>
                </c:pt>
                <c:pt idx="1367">
                  <c:v>37894</c:v>
                </c:pt>
                <c:pt idx="1368">
                  <c:v>37895</c:v>
                </c:pt>
                <c:pt idx="1369">
                  <c:v>37896</c:v>
                </c:pt>
                <c:pt idx="1370">
                  <c:v>37897</c:v>
                </c:pt>
                <c:pt idx="1371">
                  <c:v>37898</c:v>
                </c:pt>
                <c:pt idx="1372">
                  <c:v>37899</c:v>
                </c:pt>
                <c:pt idx="1373">
                  <c:v>37900</c:v>
                </c:pt>
                <c:pt idx="1374">
                  <c:v>37901</c:v>
                </c:pt>
                <c:pt idx="1375">
                  <c:v>37902</c:v>
                </c:pt>
                <c:pt idx="1376">
                  <c:v>37903</c:v>
                </c:pt>
                <c:pt idx="1377">
                  <c:v>37904</c:v>
                </c:pt>
                <c:pt idx="1378">
                  <c:v>37905</c:v>
                </c:pt>
                <c:pt idx="1379">
                  <c:v>37906</c:v>
                </c:pt>
                <c:pt idx="1380">
                  <c:v>37907</c:v>
                </c:pt>
                <c:pt idx="1381">
                  <c:v>37908</c:v>
                </c:pt>
                <c:pt idx="1382">
                  <c:v>37909</c:v>
                </c:pt>
                <c:pt idx="1383">
                  <c:v>37910</c:v>
                </c:pt>
                <c:pt idx="1384">
                  <c:v>37911</c:v>
                </c:pt>
                <c:pt idx="1385">
                  <c:v>37912</c:v>
                </c:pt>
                <c:pt idx="1386">
                  <c:v>37913</c:v>
                </c:pt>
                <c:pt idx="1387">
                  <c:v>37914</c:v>
                </c:pt>
                <c:pt idx="1388">
                  <c:v>37915</c:v>
                </c:pt>
                <c:pt idx="1389">
                  <c:v>37916</c:v>
                </c:pt>
                <c:pt idx="1390">
                  <c:v>37917</c:v>
                </c:pt>
                <c:pt idx="1391">
                  <c:v>37918</c:v>
                </c:pt>
                <c:pt idx="1392">
                  <c:v>37919</c:v>
                </c:pt>
                <c:pt idx="1393">
                  <c:v>37920</c:v>
                </c:pt>
                <c:pt idx="1394">
                  <c:v>37921</c:v>
                </c:pt>
                <c:pt idx="1395">
                  <c:v>37922</c:v>
                </c:pt>
                <c:pt idx="1396">
                  <c:v>37923</c:v>
                </c:pt>
                <c:pt idx="1397">
                  <c:v>37924</c:v>
                </c:pt>
                <c:pt idx="1398">
                  <c:v>37925</c:v>
                </c:pt>
                <c:pt idx="1399">
                  <c:v>37926</c:v>
                </c:pt>
                <c:pt idx="1400">
                  <c:v>37927</c:v>
                </c:pt>
                <c:pt idx="1401">
                  <c:v>37928</c:v>
                </c:pt>
                <c:pt idx="1402">
                  <c:v>37929</c:v>
                </c:pt>
                <c:pt idx="1403">
                  <c:v>37930</c:v>
                </c:pt>
                <c:pt idx="1404">
                  <c:v>37931</c:v>
                </c:pt>
                <c:pt idx="1405">
                  <c:v>37932</c:v>
                </c:pt>
                <c:pt idx="1406">
                  <c:v>37933</c:v>
                </c:pt>
                <c:pt idx="1407">
                  <c:v>37934</c:v>
                </c:pt>
                <c:pt idx="1408">
                  <c:v>37935</c:v>
                </c:pt>
                <c:pt idx="1409">
                  <c:v>37936</c:v>
                </c:pt>
                <c:pt idx="1410">
                  <c:v>37937</c:v>
                </c:pt>
                <c:pt idx="1411">
                  <c:v>37938</c:v>
                </c:pt>
                <c:pt idx="1412">
                  <c:v>37939</c:v>
                </c:pt>
                <c:pt idx="1413">
                  <c:v>37940</c:v>
                </c:pt>
                <c:pt idx="1414">
                  <c:v>37941</c:v>
                </c:pt>
                <c:pt idx="1415">
                  <c:v>37942</c:v>
                </c:pt>
                <c:pt idx="1416">
                  <c:v>37943</c:v>
                </c:pt>
                <c:pt idx="1417">
                  <c:v>37944</c:v>
                </c:pt>
                <c:pt idx="1418">
                  <c:v>37945</c:v>
                </c:pt>
                <c:pt idx="1419">
                  <c:v>37946</c:v>
                </c:pt>
                <c:pt idx="1420">
                  <c:v>37947</c:v>
                </c:pt>
                <c:pt idx="1421">
                  <c:v>37948</c:v>
                </c:pt>
                <c:pt idx="1422">
                  <c:v>37949</c:v>
                </c:pt>
                <c:pt idx="1423">
                  <c:v>37950</c:v>
                </c:pt>
                <c:pt idx="1424">
                  <c:v>37951</c:v>
                </c:pt>
                <c:pt idx="1425">
                  <c:v>37952</c:v>
                </c:pt>
                <c:pt idx="1426">
                  <c:v>37953</c:v>
                </c:pt>
                <c:pt idx="1427">
                  <c:v>37954</c:v>
                </c:pt>
                <c:pt idx="1428">
                  <c:v>37955</c:v>
                </c:pt>
                <c:pt idx="1429">
                  <c:v>37956</c:v>
                </c:pt>
                <c:pt idx="1430">
                  <c:v>37957</c:v>
                </c:pt>
                <c:pt idx="1431">
                  <c:v>37958</c:v>
                </c:pt>
                <c:pt idx="1432">
                  <c:v>37959</c:v>
                </c:pt>
                <c:pt idx="1433">
                  <c:v>37960</c:v>
                </c:pt>
                <c:pt idx="1434">
                  <c:v>37961</c:v>
                </c:pt>
                <c:pt idx="1435">
                  <c:v>37962</c:v>
                </c:pt>
                <c:pt idx="1436">
                  <c:v>37963</c:v>
                </c:pt>
                <c:pt idx="1437">
                  <c:v>37964</c:v>
                </c:pt>
                <c:pt idx="1438">
                  <c:v>37965</c:v>
                </c:pt>
                <c:pt idx="1439">
                  <c:v>37966</c:v>
                </c:pt>
                <c:pt idx="1440">
                  <c:v>37967</c:v>
                </c:pt>
                <c:pt idx="1441">
                  <c:v>37968</c:v>
                </c:pt>
                <c:pt idx="1442">
                  <c:v>37969</c:v>
                </c:pt>
                <c:pt idx="1443">
                  <c:v>37970</c:v>
                </c:pt>
                <c:pt idx="1444">
                  <c:v>37971</c:v>
                </c:pt>
                <c:pt idx="1445">
                  <c:v>37972</c:v>
                </c:pt>
                <c:pt idx="1446">
                  <c:v>37973</c:v>
                </c:pt>
                <c:pt idx="1447">
                  <c:v>37974</c:v>
                </c:pt>
                <c:pt idx="1448">
                  <c:v>37975</c:v>
                </c:pt>
                <c:pt idx="1449">
                  <c:v>37976</c:v>
                </c:pt>
                <c:pt idx="1450">
                  <c:v>37977</c:v>
                </c:pt>
                <c:pt idx="1451">
                  <c:v>37978</c:v>
                </c:pt>
                <c:pt idx="1452">
                  <c:v>37979</c:v>
                </c:pt>
                <c:pt idx="1453">
                  <c:v>37980</c:v>
                </c:pt>
                <c:pt idx="1454">
                  <c:v>37981</c:v>
                </c:pt>
                <c:pt idx="1455">
                  <c:v>37982</c:v>
                </c:pt>
                <c:pt idx="1456">
                  <c:v>37983</c:v>
                </c:pt>
                <c:pt idx="1457">
                  <c:v>37984</c:v>
                </c:pt>
                <c:pt idx="1458">
                  <c:v>37985</c:v>
                </c:pt>
                <c:pt idx="1459">
                  <c:v>37986</c:v>
                </c:pt>
                <c:pt idx="1460">
                  <c:v>37987</c:v>
                </c:pt>
                <c:pt idx="1461">
                  <c:v>37988</c:v>
                </c:pt>
                <c:pt idx="1462">
                  <c:v>37989</c:v>
                </c:pt>
                <c:pt idx="1463">
                  <c:v>37990</c:v>
                </c:pt>
                <c:pt idx="1464">
                  <c:v>37991</c:v>
                </c:pt>
                <c:pt idx="1465">
                  <c:v>37992</c:v>
                </c:pt>
                <c:pt idx="1466">
                  <c:v>37993</c:v>
                </c:pt>
                <c:pt idx="1467">
                  <c:v>37994</c:v>
                </c:pt>
                <c:pt idx="1468">
                  <c:v>37995</c:v>
                </c:pt>
                <c:pt idx="1469">
                  <c:v>37996</c:v>
                </c:pt>
                <c:pt idx="1470">
                  <c:v>37997</c:v>
                </c:pt>
                <c:pt idx="1471">
                  <c:v>37998</c:v>
                </c:pt>
                <c:pt idx="1472">
                  <c:v>37999</c:v>
                </c:pt>
                <c:pt idx="1473">
                  <c:v>38000</c:v>
                </c:pt>
                <c:pt idx="1474">
                  <c:v>38001</c:v>
                </c:pt>
                <c:pt idx="1475">
                  <c:v>38002</c:v>
                </c:pt>
                <c:pt idx="1476">
                  <c:v>38003</c:v>
                </c:pt>
                <c:pt idx="1477">
                  <c:v>38004</c:v>
                </c:pt>
                <c:pt idx="1478">
                  <c:v>38005</c:v>
                </c:pt>
                <c:pt idx="1479">
                  <c:v>38006</c:v>
                </c:pt>
                <c:pt idx="1480">
                  <c:v>38007</c:v>
                </c:pt>
                <c:pt idx="1481">
                  <c:v>38008</c:v>
                </c:pt>
                <c:pt idx="1482">
                  <c:v>38009</c:v>
                </c:pt>
                <c:pt idx="1483">
                  <c:v>38010</c:v>
                </c:pt>
                <c:pt idx="1484">
                  <c:v>38011</c:v>
                </c:pt>
                <c:pt idx="1485">
                  <c:v>38012</c:v>
                </c:pt>
                <c:pt idx="1486">
                  <c:v>38013</c:v>
                </c:pt>
                <c:pt idx="1487">
                  <c:v>38014</c:v>
                </c:pt>
                <c:pt idx="1488">
                  <c:v>38015</c:v>
                </c:pt>
                <c:pt idx="1489">
                  <c:v>38016</c:v>
                </c:pt>
                <c:pt idx="1490">
                  <c:v>38017</c:v>
                </c:pt>
                <c:pt idx="1491">
                  <c:v>38018</c:v>
                </c:pt>
                <c:pt idx="1492">
                  <c:v>38019</c:v>
                </c:pt>
                <c:pt idx="1493">
                  <c:v>38020</c:v>
                </c:pt>
                <c:pt idx="1494">
                  <c:v>38021</c:v>
                </c:pt>
                <c:pt idx="1495">
                  <c:v>38022</c:v>
                </c:pt>
                <c:pt idx="1496">
                  <c:v>38023</c:v>
                </c:pt>
                <c:pt idx="1497">
                  <c:v>38024</c:v>
                </c:pt>
                <c:pt idx="1498">
                  <c:v>38025</c:v>
                </c:pt>
                <c:pt idx="1499">
                  <c:v>38026</c:v>
                </c:pt>
                <c:pt idx="1500">
                  <c:v>38027</c:v>
                </c:pt>
                <c:pt idx="1501">
                  <c:v>38028</c:v>
                </c:pt>
                <c:pt idx="1502">
                  <c:v>38029</c:v>
                </c:pt>
                <c:pt idx="1503">
                  <c:v>38030</c:v>
                </c:pt>
                <c:pt idx="1504">
                  <c:v>38031</c:v>
                </c:pt>
                <c:pt idx="1505">
                  <c:v>38032</c:v>
                </c:pt>
                <c:pt idx="1506">
                  <c:v>38033</c:v>
                </c:pt>
                <c:pt idx="1507">
                  <c:v>38034</c:v>
                </c:pt>
                <c:pt idx="1508">
                  <c:v>38035</c:v>
                </c:pt>
                <c:pt idx="1509">
                  <c:v>38036</c:v>
                </c:pt>
                <c:pt idx="1510">
                  <c:v>38037</c:v>
                </c:pt>
                <c:pt idx="1511">
                  <c:v>38038</c:v>
                </c:pt>
                <c:pt idx="1512">
                  <c:v>38039</c:v>
                </c:pt>
                <c:pt idx="1513">
                  <c:v>38040</c:v>
                </c:pt>
                <c:pt idx="1514">
                  <c:v>38041</c:v>
                </c:pt>
                <c:pt idx="1515">
                  <c:v>38042</c:v>
                </c:pt>
                <c:pt idx="1516">
                  <c:v>38043</c:v>
                </c:pt>
                <c:pt idx="1517">
                  <c:v>38044</c:v>
                </c:pt>
                <c:pt idx="1518">
                  <c:v>38045</c:v>
                </c:pt>
                <c:pt idx="1519">
                  <c:v>38046</c:v>
                </c:pt>
                <c:pt idx="1520">
                  <c:v>38047</c:v>
                </c:pt>
                <c:pt idx="1521">
                  <c:v>38048</c:v>
                </c:pt>
                <c:pt idx="1522">
                  <c:v>38049</c:v>
                </c:pt>
                <c:pt idx="1523">
                  <c:v>38050</c:v>
                </c:pt>
                <c:pt idx="1524">
                  <c:v>38051</c:v>
                </c:pt>
                <c:pt idx="1525">
                  <c:v>38052</c:v>
                </c:pt>
                <c:pt idx="1526">
                  <c:v>38053</c:v>
                </c:pt>
                <c:pt idx="1527">
                  <c:v>38054</c:v>
                </c:pt>
                <c:pt idx="1528">
                  <c:v>38055</c:v>
                </c:pt>
                <c:pt idx="1529">
                  <c:v>38056</c:v>
                </c:pt>
                <c:pt idx="1530">
                  <c:v>38057</c:v>
                </c:pt>
                <c:pt idx="1531">
                  <c:v>38058</c:v>
                </c:pt>
                <c:pt idx="1532">
                  <c:v>38059</c:v>
                </c:pt>
                <c:pt idx="1533">
                  <c:v>38060</c:v>
                </c:pt>
                <c:pt idx="1534">
                  <c:v>38061</c:v>
                </c:pt>
                <c:pt idx="1535">
                  <c:v>38062</c:v>
                </c:pt>
                <c:pt idx="1536">
                  <c:v>38063</c:v>
                </c:pt>
                <c:pt idx="1537">
                  <c:v>38064</c:v>
                </c:pt>
                <c:pt idx="1538">
                  <c:v>38065</c:v>
                </c:pt>
                <c:pt idx="1539">
                  <c:v>38066</c:v>
                </c:pt>
                <c:pt idx="1540">
                  <c:v>38067</c:v>
                </c:pt>
                <c:pt idx="1541">
                  <c:v>38068</c:v>
                </c:pt>
                <c:pt idx="1542">
                  <c:v>38069</c:v>
                </c:pt>
                <c:pt idx="1543">
                  <c:v>38070</c:v>
                </c:pt>
                <c:pt idx="1544">
                  <c:v>38071</c:v>
                </c:pt>
                <c:pt idx="1545">
                  <c:v>38072</c:v>
                </c:pt>
                <c:pt idx="1546">
                  <c:v>38073</c:v>
                </c:pt>
                <c:pt idx="1547">
                  <c:v>38074</c:v>
                </c:pt>
                <c:pt idx="1548">
                  <c:v>38075</c:v>
                </c:pt>
                <c:pt idx="1549">
                  <c:v>38076</c:v>
                </c:pt>
                <c:pt idx="1550">
                  <c:v>38077</c:v>
                </c:pt>
                <c:pt idx="1551">
                  <c:v>38078</c:v>
                </c:pt>
                <c:pt idx="1552">
                  <c:v>38079</c:v>
                </c:pt>
                <c:pt idx="1553">
                  <c:v>38080</c:v>
                </c:pt>
                <c:pt idx="1554">
                  <c:v>38081</c:v>
                </c:pt>
                <c:pt idx="1555">
                  <c:v>38082</c:v>
                </c:pt>
                <c:pt idx="1556">
                  <c:v>38083</c:v>
                </c:pt>
                <c:pt idx="1557">
                  <c:v>38084</c:v>
                </c:pt>
                <c:pt idx="1558">
                  <c:v>38085</c:v>
                </c:pt>
                <c:pt idx="1559">
                  <c:v>38086</c:v>
                </c:pt>
                <c:pt idx="1560">
                  <c:v>38087</c:v>
                </c:pt>
                <c:pt idx="1561">
                  <c:v>38088</c:v>
                </c:pt>
                <c:pt idx="1562">
                  <c:v>38089</c:v>
                </c:pt>
                <c:pt idx="1563">
                  <c:v>38090</c:v>
                </c:pt>
                <c:pt idx="1564">
                  <c:v>38091</c:v>
                </c:pt>
                <c:pt idx="1565">
                  <c:v>38092</c:v>
                </c:pt>
                <c:pt idx="1566">
                  <c:v>38093</c:v>
                </c:pt>
                <c:pt idx="1567">
                  <c:v>38094</c:v>
                </c:pt>
                <c:pt idx="1568">
                  <c:v>38095</c:v>
                </c:pt>
                <c:pt idx="1569">
                  <c:v>38096</c:v>
                </c:pt>
                <c:pt idx="1570">
                  <c:v>38097</c:v>
                </c:pt>
                <c:pt idx="1571">
                  <c:v>38098</c:v>
                </c:pt>
                <c:pt idx="1572">
                  <c:v>38099</c:v>
                </c:pt>
                <c:pt idx="1573">
                  <c:v>38100</c:v>
                </c:pt>
                <c:pt idx="1574">
                  <c:v>38101</c:v>
                </c:pt>
                <c:pt idx="1575">
                  <c:v>38102</c:v>
                </c:pt>
                <c:pt idx="1576">
                  <c:v>38103</c:v>
                </c:pt>
                <c:pt idx="1577">
                  <c:v>38104</c:v>
                </c:pt>
                <c:pt idx="1578">
                  <c:v>38105</c:v>
                </c:pt>
                <c:pt idx="1579">
                  <c:v>38106</c:v>
                </c:pt>
                <c:pt idx="1580">
                  <c:v>38107</c:v>
                </c:pt>
                <c:pt idx="1581">
                  <c:v>38108</c:v>
                </c:pt>
                <c:pt idx="1582">
                  <c:v>38109</c:v>
                </c:pt>
                <c:pt idx="1583">
                  <c:v>38110</c:v>
                </c:pt>
                <c:pt idx="1584">
                  <c:v>38111</c:v>
                </c:pt>
                <c:pt idx="1585">
                  <c:v>38112</c:v>
                </c:pt>
                <c:pt idx="1586">
                  <c:v>38113</c:v>
                </c:pt>
                <c:pt idx="1587">
                  <c:v>38114</c:v>
                </c:pt>
                <c:pt idx="1588">
                  <c:v>38115</c:v>
                </c:pt>
                <c:pt idx="1589">
                  <c:v>38116</c:v>
                </c:pt>
                <c:pt idx="1590">
                  <c:v>38117</c:v>
                </c:pt>
                <c:pt idx="1591">
                  <c:v>38118</c:v>
                </c:pt>
                <c:pt idx="1592">
                  <c:v>38119</c:v>
                </c:pt>
                <c:pt idx="1593">
                  <c:v>38120</c:v>
                </c:pt>
                <c:pt idx="1594">
                  <c:v>38121</c:v>
                </c:pt>
                <c:pt idx="1595">
                  <c:v>38122</c:v>
                </c:pt>
                <c:pt idx="1596">
                  <c:v>38123</c:v>
                </c:pt>
                <c:pt idx="1597">
                  <c:v>38124</c:v>
                </c:pt>
                <c:pt idx="1598">
                  <c:v>38125</c:v>
                </c:pt>
                <c:pt idx="1599">
                  <c:v>38126</c:v>
                </c:pt>
                <c:pt idx="1600">
                  <c:v>38127</c:v>
                </c:pt>
                <c:pt idx="1601">
                  <c:v>38128</c:v>
                </c:pt>
                <c:pt idx="1602">
                  <c:v>38129</c:v>
                </c:pt>
                <c:pt idx="1603">
                  <c:v>38130</c:v>
                </c:pt>
                <c:pt idx="1604">
                  <c:v>38131</c:v>
                </c:pt>
                <c:pt idx="1605">
                  <c:v>38132</c:v>
                </c:pt>
                <c:pt idx="1606">
                  <c:v>38133</c:v>
                </c:pt>
                <c:pt idx="1607">
                  <c:v>38134</c:v>
                </c:pt>
                <c:pt idx="1608">
                  <c:v>38135</c:v>
                </c:pt>
                <c:pt idx="1609">
                  <c:v>38136</c:v>
                </c:pt>
                <c:pt idx="1610">
                  <c:v>38137</c:v>
                </c:pt>
                <c:pt idx="1611">
                  <c:v>38138</c:v>
                </c:pt>
                <c:pt idx="1612">
                  <c:v>38139</c:v>
                </c:pt>
                <c:pt idx="1613">
                  <c:v>38140</c:v>
                </c:pt>
                <c:pt idx="1614">
                  <c:v>38141</c:v>
                </c:pt>
                <c:pt idx="1615">
                  <c:v>38142</c:v>
                </c:pt>
                <c:pt idx="1616">
                  <c:v>38143</c:v>
                </c:pt>
                <c:pt idx="1617">
                  <c:v>38144</c:v>
                </c:pt>
                <c:pt idx="1618">
                  <c:v>38145</c:v>
                </c:pt>
                <c:pt idx="1619">
                  <c:v>38146</c:v>
                </c:pt>
                <c:pt idx="1620">
                  <c:v>38147</c:v>
                </c:pt>
                <c:pt idx="1621">
                  <c:v>38148</c:v>
                </c:pt>
                <c:pt idx="1622">
                  <c:v>38149</c:v>
                </c:pt>
                <c:pt idx="1623">
                  <c:v>38150</c:v>
                </c:pt>
                <c:pt idx="1624">
                  <c:v>38151</c:v>
                </c:pt>
                <c:pt idx="1625">
                  <c:v>38152</c:v>
                </c:pt>
                <c:pt idx="1626">
                  <c:v>38153</c:v>
                </c:pt>
                <c:pt idx="1627">
                  <c:v>38154</c:v>
                </c:pt>
                <c:pt idx="1628">
                  <c:v>38155</c:v>
                </c:pt>
                <c:pt idx="1629">
                  <c:v>38156</c:v>
                </c:pt>
                <c:pt idx="1630">
                  <c:v>38157</c:v>
                </c:pt>
                <c:pt idx="1631">
                  <c:v>38158</c:v>
                </c:pt>
                <c:pt idx="1632">
                  <c:v>38159</c:v>
                </c:pt>
                <c:pt idx="1633">
                  <c:v>38160</c:v>
                </c:pt>
                <c:pt idx="1634">
                  <c:v>38161</c:v>
                </c:pt>
                <c:pt idx="1635">
                  <c:v>38162</c:v>
                </c:pt>
                <c:pt idx="1636">
                  <c:v>38163</c:v>
                </c:pt>
                <c:pt idx="1637">
                  <c:v>38164</c:v>
                </c:pt>
                <c:pt idx="1638">
                  <c:v>38165</c:v>
                </c:pt>
                <c:pt idx="1639">
                  <c:v>38166</c:v>
                </c:pt>
                <c:pt idx="1640">
                  <c:v>38167</c:v>
                </c:pt>
                <c:pt idx="1641">
                  <c:v>38168</c:v>
                </c:pt>
                <c:pt idx="1642">
                  <c:v>38169</c:v>
                </c:pt>
                <c:pt idx="1643">
                  <c:v>38170</c:v>
                </c:pt>
                <c:pt idx="1644">
                  <c:v>38171</c:v>
                </c:pt>
                <c:pt idx="1645">
                  <c:v>38172</c:v>
                </c:pt>
                <c:pt idx="1646">
                  <c:v>38173</c:v>
                </c:pt>
                <c:pt idx="1647">
                  <c:v>38174</c:v>
                </c:pt>
                <c:pt idx="1648">
                  <c:v>38175</c:v>
                </c:pt>
                <c:pt idx="1649">
                  <c:v>38176</c:v>
                </c:pt>
                <c:pt idx="1650">
                  <c:v>38177</c:v>
                </c:pt>
                <c:pt idx="1651">
                  <c:v>38178</c:v>
                </c:pt>
                <c:pt idx="1652">
                  <c:v>38179</c:v>
                </c:pt>
                <c:pt idx="1653">
                  <c:v>38180</c:v>
                </c:pt>
                <c:pt idx="1654">
                  <c:v>38181</c:v>
                </c:pt>
                <c:pt idx="1655">
                  <c:v>38182</c:v>
                </c:pt>
                <c:pt idx="1656">
                  <c:v>38183</c:v>
                </c:pt>
                <c:pt idx="1657">
                  <c:v>38184</c:v>
                </c:pt>
                <c:pt idx="1658">
                  <c:v>38185</c:v>
                </c:pt>
                <c:pt idx="1659">
                  <c:v>38186</c:v>
                </c:pt>
                <c:pt idx="1660">
                  <c:v>38187</c:v>
                </c:pt>
                <c:pt idx="1661">
                  <c:v>38188</c:v>
                </c:pt>
                <c:pt idx="1662">
                  <c:v>38189</c:v>
                </c:pt>
                <c:pt idx="1663">
                  <c:v>38190</c:v>
                </c:pt>
                <c:pt idx="1664">
                  <c:v>38191</c:v>
                </c:pt>
                <c:pt idx="1665">
                  <c:v>38192</c:v>
                </c:pt>
                <c:pt idx="1666">
                  <c:v>38193</c:v>
                </c:pt>
                <c:pt idx="1667">
                  <c:v>38194</c:v>
                </c:pt>
                <c:pt idx="1668">
                  <c:v>38195</c:v>
                </c:pt>
                <c:pt idx="1669">
                  <c:v>38196</c:v>
                </c:pt>
                <c:pt idx="1670">
                  <c:v>38197</c:v>
                </c:pt>
                <c:pt idx="1671">
                  <c:v>38198</c:v>
                </c:pt>
                <c:pt idx="1672">
                  <c:v>38199</c:v>
                </c:pt>
                <c:pt idx="1673">
                  <c:v>38200</c:v>
                </c:pt>
                <c:pt idx="1674">
                  <c:v>38201</c:v>
                </c:pt>
                <c:pt idx="1675">
                  <c:v>38202</c:v>
                </c:pt>
                <c:pt idx="1676">
                  <c:v>38203</c:v>
                </c:pt>
                <c:pt idx="1677">
                  <c:v>38204</c:v>
                </c:pt>
                <c:pt idx="1678">
                  <c:v>38205</c:v>
                </c:pt>
                <c:pt idx="1679">
                  <c:v>38206</c:v>
                </c:pt>
                <c:pt idx="1680">
                  <c:v>38207</c:v>
                </c:pt>
                <c:pt idx="1681">
                  <c:v>38208</c:v>
                </c:pt>
                <c:pt idx="1682">
                  <c:v>38209</c:v>
                </c:pt>
                <c:pt idx="1683">
                  <c:v>38210</c:v>
                </c:pt>
                <c:pt idx="1684">
                  <c:v>38211</c:v>
                </c:pt>
                <c:pt idx="1685">
                  <c:v>38212</c:v>
                </c:pt>
                <c:pt idx="1686">
                  <c:v>38213</c:v>
                </c:pt>
                <c:pt idx="1687">
                  <c:v>38214</c:v>
                </c:pt>
                <c:pt idx="1688">
                  <c:v>38215</c:v>
                </c:pt>
                <c:pt idx="1689">
                  <c:v>38216</c:v>
                </c:pt>
                <c:pt idx="1690">
                  <c:v>38217</c:v>
                </c:pt>
                <c:pt idx="1691">
                  <c:v>38218</c:v>
                </c:pt>
                <c:pt idx="1692">
                  <c:v>38219</c:v>
                </c:pt>
                <c:pt idx="1693">
                  <c:v>38220</c:v>
                </c:pt>
                <c:pt idx="1694">
                  <c:v>38221</c:v>
                </c:pt>
                <c:pt idx="1695">
                  <c:v>38222</c:v>
                </c:pt>
                <c:pt idx="1696">
                  <c:v>38223</c:v>
                </c:pt>
                <c:pt idx="1697">
                  <c:v>38224</c:v>
                </c:pt>
                <c:pt idx="1698">
                  <c:v>38225</c:v>
                </c:pt>
                <c:pt idx="1699">
                  <c:v>38226</c:v>
                </c:pt>
                <c:pt idx="1700">
                  <c:v>38227</c:v>
                </c:pt>
                <c:pt idx="1701">
                  <c:v>38228</c:v>
                </c:pt>
                <c:pt idx="1702">
                  <c:v>38229</c:v>
                </c:pt>
                <c:pt idx="1703">
                  <c:v>38230</c:v>
                </c:pt>
                <c:pt idx="1704">
                  <c:v>38231</c:v>
                </c:pt>
                <c:pt idx="1705">
                  <c:v>38232</c:v>
                </c:pt>
                <c:pt idx="1706">
                  <c:v>38233</c:v>
                </c:pt>
                <c:pt idx="1707">
                  <c:v>38234</c:v>
                </c:pt>
                <c:pt idx="1708">
                  <c:v>38235</c:v>
                </c:pt>
                <c:pt idx="1709">
                  <c:v>38236</c:v>
                </c:pt>
                <c:pt idx="1710">
                  <c:v>38237</c:v>
                </c:pt>
                <c:pt idx="1711">
                  <c:v>38238</c:v>
                </c:pt>
                <c:pt idx="1712">
                  <c:v>38239</c:v>
                </c:pt>
                <c:pt idx="1713">
                  <c:v>38240</c:v>
                </c:pt>
                <c:pt idx="1714">
                  <c:v>38241</c:v>
                </c:pt>
                <c:pt idx="1715">
                  <c:v>38242</c:v>
                </c:pt>
                <c:pt idx="1716">
                  <c:v>38243</c:v>
                </c:pt>
                <c:pt idx="1717">
                  <c:v>38244</c:v>
                </c:pt>
                <c:pt idx="1718">
                  <c:v>38245</c:v>
                </c:pt>
                <c:pt idx="1719">
                  <c:v>38246</c:v>
                </c:pt>
                <c:pt idx="1720">
                  <c:v>38247</c:v>
                </c:pt>
                <c:pt idx="1721">
                  <c:v>38248</c:v>
                </c:pt>
                <c:pt idx="1722">
                  <c:v>38249</c:v>
                </c:pt>
                <c:pt idx="1723">
                  <c:v>38250</c:v>
                </c:pt>
                <c:pt idx="1724">
                  <c:v>38251</c:v>
                </c:pt>
                <c:pt idx="1725">
                  <c:v>38252</c:v>
                </c:pt>
                <c:pt idx="1726">
                  <c:v>38253</c:v>
                </c:pt>
                <c:pt idx="1727">
                  <c:v>38254</c:v>
                </c:pt>
                <c:pt idx="1728">
                  <c:v>38255</c:v>
                </c:pt>
                <c:pt idx="1729">
                  <c:v>38256</c:v>
                </c:pt>
                <c:pt idx="1730">
                  <c:v>38257</c:v>
                </c:pt>
                <c:pt idx="1731">
                  <c:v>38258</c:v>
                </c:pt>
                <c:pt idx="1732">
                  <c:v>38259</c:v>
                </c:pt>
                <c:pt idx="1733">
                  <c:v>38260</c:v>
                </c:pt>
                <c:pt idx="1734">
                  <c:v>38261</c:v>
                </c:pt>
                <c:pt idx="1735">
                  <c:v>38262</c:v>
                </c:pt>
                <c:pt idx="1736">
                  <c:v>38263</c:v>
                </c:pt>
                <c:pt idx="1737">
                  <c:v>38264</c:v>
                </c:pt>
                <c:pt idx="1738">
                  <c:v>38265</c:v>
                </c:pt>
                <c:pt idx="1739">
                  <c:v>38266</c:v>
                </c:pt>
                <c:pt idx="1740">
                  <c:v>38267</c:v>
                </c:pt>
                <c:pt idx="1741">
                  <c:v>38268</c:v>
                </c:pt>
                <c:pt idx="1742">
                  <c:v>38269</c:v>
                </c:pt>
                <c:pt idx="1743">
                  <c:v>38270</c:v>
                </c:pt>
                <c:pt idx="1744">
                  <c:v>38271</c:v>
                </c:pt>
                <c:pt idx="1745">
                  <c:v>38272</c:v>
                </c:pt>
                <c:pt idx="1746">
                  <c:v>38273</c:v>
                </c:pt>
                <c:pt idx="1747">
                  <c:v>38274</c:v>
                </c:pt>
                <c:pt idx="1748">
                  <c:v>38275</c:v>
                </c:pt>
                <c:pt idx="1749">
                  <c:v>38276</c:v>
                </c:pt>
                <c:pt idx="1750">
                  <c:v>38277</c:v>
                </c:pt>
                <c:pt idx="1751">
                  <c:v>38278</c:v>
                </c:pt>
                <c:pt idx="1752">
                  <c:v>38279</c:v>
                </c:pt>
                <c:pt idx="1753">
                  <c:v>38280</c:v>
                </c:pt>
                <c:pt idx="1754">
                  <c:v>38281</c:v>
                </c:pt>
                <c:pt idx="1755">
                  <c:v>38282</c:v>
                </c:pt>
                <c:pt idx="1756">
                  <c:v>38283</c:v>
                </c:pt>
                <c:pt idx="1757">
                  <c:v>38284</c:v>
                </c:pt>
                <c:pt idx="1758">
                  <c:v>38285</c:v>
                </c:pt>
                <c:pt idx="1759">
                  <c:v>38286</c:v>
                </c:pt>
                <c:pt idx="1760">
                  <c:v>38287</c:v>
                </c:pt>
                <c:pt idx="1761">
                  <c:v>38288</c:v>
                </c:pt>
                <c:pt idx="1762">
                  <c:v>38289</c:v>
                </c:pt>
                <c:pt idx="1763">
                  <c:v>38290</c:v>
                </c:pt>
                <c:pt idx="1764">
                  <c:v>38291</c:v>
                </c:pt>
                <c:pt idx="1765">
                  <c:v>38292</c:v>
                </c:pt>
                <c:pt idx="1766">
                  <c:v>38293</c:v>
                </c:pt>
                <c:pt idx="1767">
                  <c:v>38294</c:v>
                </c:pt>
                <c:pt idx="1768">
                  <c:v>38295</c:v>
                </c:pt>
                <c:pt idx="1769">
                  <c:v>38296</c:v>
                </c:pt>
                <c:pt idx="1770">
                  <c:v>38297</c:v>
                </c:pt>
                <c:pt idx="1771">
                  <c:v>38298</c:v>
                </c:pt>
                <c:pt idx="1772">
                  <c:v>38299</c:v>
                </c:pt>
                <c:pt idx="1773">
                  <c:v>38300</c:v>
                </c:pt>
                <c:pt idx="1774">
                  <c:v>38301</c:v>
                </c:pt>
                <c:pt idx="1775">
                  <c:v>38302</c:v>
                </c:pt>
                <c:pt idx="1776">
                  <c:v>38303</c:v>
                </c:pt>
                <c:pt idx="1777">
                  <c:v>38304</c:v>
                </c:pt>
                <c:pt idx="1778">
                  <c:v>38305</c:v>
                </c:pt>
                <c:pt idx="1779">
                  <c:v>38306</c:v>
                </c:pt>
                <c:pt idx="1780">
                  <c:v>38307</c:v>
                </c:pt>
                <c:pt idx="1781">
                  <c:v>38308</c:v>
                </c:pt>
                <c:pt idx="1782">
                  <c:v>38309</c:v>
                </c:pt>
                <c:pt idx="1783">
                  <c:v>38310</c:v>
                </c:pt>
                <c:pt idx="1784">
                  <c:v>38311</c:v>
                </c:pt>
                <c:pt idx="1785">
                  <c:v>38312</c:v>
                </c:pt>
                <c:pt idx="1786">
                  <c:v>38313</c:v>
                </c:pt>
                <c:pt idx="1787">
                  <c:v>38314</c:v>
                </c:pt>
                <c:pt idx="1788">
                  <c:v>38315</c:v>
                </c:pt>
                <c:pt idx="1789">
                  <c:v>38316</c:v>
                </c:pt>
                <c:pt idx="1790">
                  <c:v>38317</c:v>
                </c:pt>
                <c:pt idx="1791">
                  <c:v>38318</c:v>
                </c:pt>
                <c:pt idx="1792">
                  <c:v>38319</c:v>
                </c:pt>
                <c:pt idx="1793">
                  <c:v>38320</c:v>
                </c:pt>
                <c:pt idx="1794">
                  <c:v>38321</c:v>
                </c:pt>
                <c:pt idx="1795">
                  <c:v>38322</c:v>
                </c:pt>
                <c:pt idx="1796">
                  <c:v>38323</c:v>
                </c:pt>
                <c:pt idx="1797">
                  <c:v>38324</c:v>
                </c:pt>
                <c:pt idx="1798">
                  <c:v>38325</c:v>
                </c:pt>
                <c:pt idx="1799">
                  <c:v>38326</c:v>
                </c:pt>
                <c:pt idx="1800">
                  <c:v>38327</c:v>
                </c:pt>
                <c:pt idx="1801">
                  <c:v>38328</c:v>
                </c:pt>
                <c:pt idx="1802">
                  <c:v>38329</c:v>
                </c:pt>
                <c:pt idx="1803">
                  <c:v>38330</c:v>
                </c:pt>
                <c:pt idx="1804">
                  <c:v>38331</c:v>
                </c:pt>
                <c:pt idx="1805">
                  <c:v>38332</c:v>
                </c:pt>
                <c:pt idx="1806">
                  <c:v>38333</c:v>
                </c:pt>
                <c:pt idx="1807">
                  <c:v>38334</c:v>
                </c:pt>
                <c:pt idx="1808">
                  <c:v>38335</c:v>
                </c:pt>
                <c:pt idx="1809">
                  <c:v>38336</c:v>
                </c:pt>
                <c:pt idx="1810">
                  <c:v>38337</c:v>
                </c:pt>
                <c:pt idx="1811">
                  <c:v>38338</c:v>
                </c:pt>
                <c:pt idx="1812">
                  <c:v>38339</c:v>
                </c:pt>
                <c:pt idx="1813">
                  <c:v>38340</c:v>
                </c:pt>
                <c:pt idx="1814">
                  <c:v>38341</c:v>
                </c:pt>
                <c:pt idx="1815">
                  <c:v>38342</c:v>
                </c:pt>
                <c:pt idx="1816">
                  <c:v>38343</c:v>
                </c:pt>
                <c:pt idx="1817">
                  <c:v>38344</c:v>
                </c:pt>
                <c:pt idx="1818">
                  <c:v>38345</c:v>
                </c:pt>
                <c:pt idx="1819">
                  <c:v>38346</c:v>
                </c:pt>
                <c:pt idx="1820">
                  <c:v>38347</c:v>
                </c:pt>
                <c:pt idx="1821">
                  <c:v>38348</c:v>
                </c:pt>
                <c:pt idx="1822">
                  <c:v>38349</c:v>
                </c:pt>
                <c:pt idx="1823">
                  <c:v>38350</c:v>
                </c:pt>
                <c:pt idx="1824">
                  <c:v>38351</c:v>
                </c:pt>
                <c:pt idx="1825">
                  <c:v>38352</c:v>
                </c:pt>
                <c:pt idx="1826">
                  <c:v>38353</c:v>
                </c:pt>
                <c:pt idx="1827">
                  <c:v>38354</c:v>
                </c:pt>
                <c:pt idx="1828">
                  <c:v>38355</c:v>
                </c:pt>
                <c:pt idx="1829">
                  <c:v>38356</c:v>
                </c:pt>
                <c:pt idx="1830">
                  <c:v>38357</c:v>
                </c:pt>
                <c:pt idx="1831">
                  <c:v>38358</c:v>
                </c:pt>
                <c:pt idx="1832">
                  <c:v>38359</c:v>
                </c:pt>
                <c:pt idx="1833">
                  <c:v>38360</c:v>
                </c:pt>
                <c:pt idx="1834">
                  <c:v>38361</c:v>
                </c:pt>
                <c:pt idx="1835">
                  <c:v>38362</c:v>
                </c:pt>
                <c:pt idx="1836">
                  <c:v>38363</c:v>
                </c:pt>
                <c:pt idx="1837">
                  <c:v>38364</c:v>
                </c:pt>
                <c:pt idx="1838">
                  <c:v>38365</c:v>
                </c:pt>
                <c:pt idx="1839">
                  <c:v>38366</c:v>
                </c:pt>
                <c:pt idx="1840">
                  <c:v>38367</c:v>
                </c:pt>
                <c:pt idx="1841">
                  <c:v>38368</c:v>
                </c:pt>
                <c:pt idx="1842">
                  <c:v>38369</c:v>
                </c:pt>
                <c:pt idx="1843">
                  <c:v>38370</c:v>
                </c:pt>
                <c:pt idx="1844">
                  <c:v>38371</c:v>
                </c:pt>
                <c:pt idx="1845">
                  <c:v>38372</c:v>
                </c:pt>
                <c:pt idx="1846">
                  <c:v>38373</c:v>
                </c:pt>
                <c:pt idx="1847">
                  <c:v>38374</c:v>
                </c:pt>
                <c:pt idx="1848">
                  <c:v>38375</c:v>
                </c:pt>
                <c:pt idx="1849">
                  <c:v>38376</c:v>
                </c:pt>
                <c:pt idx="1850">
                  <c:v>38377</c:v>
                </c:pt>
                <c:pt idx="1851">
                  <c:v>38378</c:v>
                </c:pt>
                <c:pt idx="1852">
                  <c:v>38379</c:v>
                </c:pt>
                <c:pt idx="1853">
                  <c:v>38380</c:v>
                </c:pt>
                <c:pt idx="1854">
                  <c:v>38381</c:v>
                </c:pt>
                <c:pt idx="1855">
                  <c:v>38382</c:v>
                </c:pt>
                <c:pt idx="1856">
                  <c:v>38383</c:v>
                </c:pt>
                <c:pt idx="1857">
                  <c:v>38384</c:v>
                </c:pt>
                <c:pt idx="1858">
                  <c:v>38385</c:v>
                </c:pt>
                <c:pt idx="1859">
                  <c:v>38386</c:v>
                </c:pt>
                <c:pt idx="1860">
                  <c:v>38387</c:v>
                </c:pt>
                <c:pt idx="1861">
                  <c:v>38388</c:v>
                </c:pt>
                <c:pt idx="1862">
                  <c:v>38389</c:v>
                </c:pt>
                <c:pt idx="1863">
                  <c:v>38390</c:v>
                </c:pt>
                <c:pt idx="1864">
                  <c:v>38391</c:v>
                </c:pt>
                <c:pt idx="1865">
                  <c:v>38392</c:v>
                </c:pt>
                <c:pt idx="1866">
                  <c:v>38393</c:v>
                </c:pt>
                <c:pt idx="1867">
                  <c:v>38394</c:v>
                </c:pt>
                <c:pt idx="1868">
                  <c:v>38395</c:v>
                </c:pt>
                <c:pt idx="1869">
                  <c:v>38396</c:v>
                </c:pt>
                <c:pt idx="1870">
                  <c:v>38397</c:v>
                </c:pt>
                <c:pt idx="1871">
                  <c:v>38398</c:v>
                </c:pt>
                <c:pt idx="1872">
                  <c:v>38399</c:v>
                </c:pt>
                <c:pt idx="1873">
                  <c:v>38400</c:v>
                </c:pt>
                <c:pt idx="1874">
                  <c:v>38401</c:v>
                </c:pt>
                <c:pt idx="1875">
                  <c:v>38402</c:v>
                </c:pt>
                <c:pt idx="1876">
                  <c:v>38403</c:v>
                </c:pt>
                <c:pt idx="1877">
                  <c:v>38404</c:v>
                </c:pt>
                <c:pt idx="1878">
                  <c:v>38405</c:v>
                </c:pt>
                <c:pt idx="1879">
                  <c:v>38406</c:v>
                </c:pt>
                <c:pt idx="1880">
                  <c:v>38407</c:v>
                </c:pt>
                <c:pt idx="1881">
                  <c:v>38408</c:v>
                </c:pt>
                <c:pt idx="1882">
                  <c:v>38409</c:v>
                </c:pt>
                <c:pt idx="1883">
                  <c:v>38410</c:v>
                </c:pt>
                <c:pt idx="1884">
                  <c:v>38411</c:v>
                </c:pt>
                <c:pt idx="1885">
                  <c:v>38412</c:v>
                </c:pt>
                <c:pt idx="1886">
                  <c:v>38413</c:v>
                </c:pt>
                <c:pt idx="1887">
                  <c:v>38414</c:v>
                </c:pt>
                <c:pt idx="1888">
                  <c:v>38415</c:v>
                </c:pt>
                <c:pt idx="1889">
                  <c:v>38416</c:v>
                </c:pt>
                <c:pt idx="1890">
                  <c:v>38417</c:v>
                </c:pt>
                <c:pt idx="1891">
                  <c:v>38418</c:v>
                </c:pt>
                <c:pt idx="1892">
                  <c:v>38419</c:v>
                </c:pt>
                <c:pt idx="1893">
                  <c:v>38420</c:v>
                </c:pt>
                <c:pt idx="1894">
                  <c:v>38421</c:v>
                </c:pt>
                <c:pt idx="1895">
                  <c:v>38422</c:v>
                </c:pt>
                <c:pt idx="1896">
                  <c:v>38423</c:v>
                </c:pt>
                <c:pt idx="1897">
                  <c:v>38424</c:v>
                </c:pt>
                <c:pt idx="1898">
                  <c:v>38425</c:v>
                </c:pt>
                <c:pt idx="1899">
                  <c:v>38426</c:v>
                </c:pt>
                <c:pt idx="1900">
                  <c:v>38427</c:v>
                </c:pt>
                <c:pt idx="1901">
                  <c:v>38428</c:v>
                </c:pt>
                <c:pt idx="1902">
                  <c:v>38429</c:v>
                </c:pt>
                <c:pt idx="1903">
                  <c:v>38430</c:v>
                </c:pt>
                <c:pt idx="1904">
                  <c:v>38431</c:v>
                </c:pt>
                <c:pt idx="1905">
                  <c:v>38432</c:v>
                </c:pt>
                <c:pt idx="1906">
                  <c:v>38433</c:v>
                </c:pt>
                <c:pt idx="1907">
                  <c:v>38434</c:v>
                </c:pt>
                <c:pt idx="1908">
                  <c:v>38435</c:v>
                </c:pt>
                <c:pt idx="1909">
                  <c:v>38436</c:v>
                </c:pt>
                <c:pt idx="1910">
                  <c:v>38437</c:v>
                </c:pt>
                <c:pt idx="1911">
                  <c:v>38438</c:v>
                </c:pt>
                <c:pt idx="1912">
                  <c:v>38439</c:v>
                </c:pt>
                <c:pt idx="1913">
                  <c:v>38440</c:v>
                </c:pt>
                <c:pt idx="1914">
                  <c:v>38441</c:v>
                </c:pt>
                <c:pt idx="1915">
                  <c:v>38442</c:v>
                </c:pt>
                <c:pt idx="1916">
                  <c:v>38443</c:v>
                </c:pt>
                <c:pt idx="1917">
                  <c:v>38444</c:v>
                </c:pt>
                <c:pt idx="1918">
                  <c:v>38445</c:v>
                </c:pt>
                <c:pt idx="1919">
                  <c:v>38446</c:v>
                </c:pt>
                <c:pt idx="1920">
                  <c:v>38447</c:v>
                </c:pt>
                <c:pt idx="1921">
                  <c:v>38448</c:v>
                </c:pt>
                <c:pt idx="1922">
                  <c:v>38449</c:v>
                </c:pt>
                <c:pt idx="1923">
                  <c:v>38450</c:v>
                </c:pt>
                <c:pt idx="1924">
                  <c:v>38451</c:v>
                </c:pt>
                <c:pt idx="1925">
                  <c:v>38452</c:v>
                </c:pt>
                <c:pt idx="1926">
                  <c:v>38453</c:v>
                </c:pt>
                <c:pt idx="1927">
                  <c:v>38454</c:v>
                </c:pt>
                <c:pt idx="1928">
                  <c:v>38455</c:v>
                </c:pt>
                <c:pt idx="1929">
                  <c:v>38456</c:v>
                </c:pt>
                <c:pt idx="1930">
                  <c:v>38457</c:v>
                </c:pt>
                <c:pt idx="1931">
                  <c:v>38458</c:v>
                </c:pt>
                <c:pt idx="1932">
                  <c:v>38459</c:v>
                </c:pt>
                <c:pt idx="1933">
                  <c:v>38460</c:v>
                </c:pt>
                <c:pt idx="1934">
                  <c:v>38461</c:v>
                </c:pt>
                <c:pt idx="1935">
                  <c:v>38462</c:v>
                </c:pt>
                <c:pt idx="1936">
                  <c:v>38463</c:v>
                </c:pt>
                <c:pt idx="1937">
                  <c:v>38464</c:v>
                </c:pt>
                <c:pt idx="1938">
                  <c:v>38465</c:v>
                </c:pt>
                <c:pt idx="1939">
                  <c:v>38466</c:v>
                </c:pt>
                <c:pt idx="1940">
                  <c:v>38467</c:v>
                </c:pt>
                <c:pt idx="1941">
                  <c:v>38468</c:v>
                </c:pt>
                <c:pt idx="1942">
                  <c:v>38469</c:v>
                </c:pt>
                <c:pt idx="1943">
                  <c:v>38470</c:v>
                </c:pt>
                <c:pt idx="1944">
                  <c:v>38471</c:v>
                </c:pt>
                <c:pt idx="1945">
                  <c:v>38472</c:v>
                </c:pt>
                <c:pt idx="1946">
                  <c:v>38473</c:v>
                </c:pt>
                <c:pt idx="1947">
                  <c:v>38474</c:v>
                </c:pt>
                <c:pt idx="1948">
                  <c:v>38475</c:v>
                </c:pt>
                <c:pt idx="1949">
                  <c:v>38476</c:v>
                </c:pt>
                <c:pt idx="1950">
                  <c:v>38477</c:v>
                </c:pt>
                <c:pt idx="1951">
                  <c:v>38478</c:v>
                </c:pt>
                <c:pt idx="1952">
                  <c:v>38479</c:v>
                </c:pt>
                <c:pt idx="1953">
                  <c:v>38480</c:v>
                </c:pt>
                <c:pt idx="1954">
                  <c:v>38481</c:v>
                </c:pt>
                <c:pt idx="1955">
                  <c:v>38482</c:v>
                </c:pt>
                <c:pt idx="1956">
                  <c:v>38483</c:v>
                </c:pt>
                <c:pt idx="1957">
                  <c:v>38484</c:v>
                </c:pt>
                <c:pt idx="1958">
                  <c:v>38485</c:v>
                </c:pt>
                <c:pt idx="1959">
                  <c:v>38486</c:v>
                </c:pt>
                <c:pt idx="1960">
                  <c:v>38487</c:v>
                </c:pt>
                <c:pt idx="1961">
                  <c:v>38488</c:v>
                </c:pt>
                <c:pt idx="1962">
                  <c:v>38489</c:v>
                </c:pt>
                <c:pt idx="1963">
                  <c:v>38490</c:v>
                </c:pt>
                <c:pt idx="1964">
                  <c:v>38491</c:v>
                </c:pt>
                <c:pt idx="1965">
                  <c:v>38492</c:v>
                </c:pt>
                <c:pt idx="1966">
                  <c:v>38493</c:v>
                </c:pt>
                <c:pt idx="1967">
                  <c:v>38494</c:v>
                </c:pt>
                <c:pt idx="1968">
                  <c:v>38495</c:v>
                </c:pt>
                <c:pt idx="1969">
                  <c:v>38496</c:v>
                </c:pt>
                <c:pt idx="1970">
                  <c:v>38497</c:v>
                </c:pt>
                <c:pt idx="1971">
                  <c:v>38498</c:v>
                </c:pt>
                <c:pt idx="1972">
                  <c:v>38499</c:v>
                </c:pt>
                <c:pt idx="1973">
                  <c:v>38500</c:v>
                </c:pt>
                <c:pt idx="1974">
                  <c:v>38501</c:v>
                </c:pt>
                <c:pt idx="1975">
                  <c:v>38502</c:v>
                </c:pt>
                <c:pt idx="1976">
                  <c:v>38503</c:v>
                </c:pt>
                <c:pt idx="1977">
                  <c:v>38504</c:v>
                </c:pt>
                <c:pt idx="1978">
                  <c:v>38505</c:v>
                </c:pt>
                <c:pt idx="1979">
                  <c:v>38506</c:v>
                </c:pt>
                <c:pt idx="1980">
                  <c:v>38507</c:v>
                </c:pt>
                <c:pt idx="1981">
                  <c:v>38508</c:v>
                </c:pt>
                <c:pt idx="1982">
                  <c:v>38509</c:v>
                </c:pt>
                <c:pt idx="1983">
                  <c:v>38510</c:v>
                </c:pt>
                <c:pt idx="1984">
                  <c:v>38511</c:v>
                </c:pt>
                <c:pt idx="1985">
                  <c:v>38512</c:v>
                </c:pt>
                <c:pt idx="1986">
                  <c:v>38513</c:v>
                </c:pt>
                <c:pt idx="1987">
                  <c:v>38514</c:v>
                </c:pt>
                <c:pt idx="1988">
                  <c:v>38515</c:v>
                </c:pt>
                <c:pt idx="1989">
                  <c:v>38516</c:v>
                </c:pt>
                <c:pt idx="1990">
                  <c:v>38517</c:v>
                </c:pt>
                <c:pt idx="1991">
                  <c:v>38518</c:v>
                </c:pt>
                <c:pt idx="1992">
                  <c:v>38519</c:v>
                </c:pt>
                <c:pt idx="1993">
                  <c:v>38520</c:v>
                </c:pt>
                <c:pt idx="1994">
                  <c:v>38521</c:v>
                </c:pt>
                <c:pt idx="1995">
                  <c:v>38522</c:v>
                </c:pt>
                <c:pt idx="1996">
                  <c:v>38523</c:v>
                </c:pt>
                <c:pt idx="1997">
                  <c:v>38524</c:v>
                </c:pt>
                <c:pt idx="1998">
                  <c:v>38525</c:v>
                </c:pt>
                <c:pt idx="1999">
                  <c:v>38526</c:v>
                </c:pt>
                <c:pt idx="2000">
                  <c:v>38527</c:v>
                </c:pt>
                <c:pt idx="2001">
                  <c:v>38528</c:v>
                </c:pt>
                <c:pt idx="2002">
                  <c:v>38529</c:v>
                </c:pt>
                <c:pt idx="2003">
                  <c:v>38530</c:v>
                </c:pt>
                <c:pt idx="2004">
                  <c:v>38531</c:v>
                </c:pt>
                <c:pt idx="2005">
                  <c:v>38532</c:v>
                </c:pt>
                <c:pt idx="2006">
                  <c:v>38533</c:v>
                </c:pt>
                <c:pt idx="2007">
                  <c:v>38534</c:v>
                </c:pt>
                <c:pt idx="2008">
                  <c:v>38535</c:v>
                </c:pt>
                <c:pt idx="2009">
                  <c:v>38536</c:v>
                </c:pt>
                <c:pt idx="2010">
                  <c:v>38537</c:v>
                </c:pt>
                <c:pt idx="2011">
                  <c:v>38538</c:v>
                </c:pt>
                <c:pt idx="2012">
                  <c:v>38539</c:v>
                </c:pt>
                <c:pt idx="2013">
                  <c:v>38540</c:v>
                </c:pt>
                <c:pt idx="2014">
                  <c:v>38541</c:v>
                </c:pt>
                <c:pt idx="2015">
                  <c:v>38542</c:v>
                </c:pt>
                <c:pt idx="2016">
                  <c:v>38543</c:v>
                </c:pt>
                <c:pt idx="2017">
                  <c:v>38544</c:v>
                </c:pt>
                <c:pt idx="2018">
                  <c:v>38545</c:v>
                </c:pt>
                <c:pt idx="2019">
                  <c:v>38546</c:v>
                </c:pt>
                <c:pt idx="2020">
                  <c:v>38547</c:v>
                </c:pt>
                <c:pt idx="2021">
                  <c:v>38548</c:v>
                </c:pt>
                <c:pt idx="2022">
                  <c:v>38549</c:v>
                </c:pt>
                <c:pt idx="2023">
                  <c:v>38550</c:v>
                </c:pt>
                <c:pt idx="2024">
                  <c:v>38551</c:v>
                </c:pt>
                <c:pt idx="2025">
                  <c:v>38552</c:v>
                </c:pt>
                <c:pt idx="2026">
                  <c:v>38553</c:v>
                </c:pt>
                <c:pt idx="2027">
                  <c:v>38554</c:v>
                </c:pt>
                <c:pt idx="2028">
                  <c:v>38555</c:v>
                </c:pt>
                <c:pt idx="2029">
                  <c:v>38556</c:v>
                </c:pt>
                <c:pt idx="2030">
                  <c:v>38557</c:v>
                </c:pt>
                <c:pt idx="2031">
                  <c:v>38558</c:v>
                </c:pt>
                <c:pt idx="2032">
                  <c:v>38559</c:v>
                </c:pt>
                <c:pt idx="2033">
                  <c:v>38560</c:v>
                </c:pt>
                <c:pt idx="2034">
                  <c:v>38561</c:v>
                </c:pt>
                <c:pt idx="2035">
                  <c:v>38562</c:v>
                </c:pt>
                <c:pt idx="2036">
                  <c:v>38563</c:v>
                </c:pt>
                <c:pt idx="2037">
                  <c:v>38564</c:v>
                </c:pt>
                <c:pt idx="2038">
                  <c:v>38565</c:v>
                </c:pt>
                <c:pt idx="2039">
                  <c:v>38566</c:v>
                </c:pt>
                <c:pt idx="2040">
                  <c:v>38567</c:v>
                </c:pt>
                <c:pt idx="2041">
                  <c:v>38568</c:v>
                </c:pt>
                <c:pt idx="2042">
                  <c:v>38569</c:v>
                </c:pt>
                <c:pt idx="2043">
                  <c:v>38570</c:v>
                </c:pt>
                <c:pt idx="2044">
                  <c:v>38571</c:v>
                </c:pt>
                <c:pt idx="2045">
                  <c:v>38572</c:v>
                </c:pt>
                <c:pt idx="2046">
                  <c:v>38573</c:v>
                </c:pt>
                <c:pt idx="2047">
                  <c:v>38574</c:v>
                </c:pt>
                <c:pt idx="2048">
                  <c:v>38575</c:v>
                </c:pt>
                <c:pt idx="2049">
                  <c:v>38576</c:v>
                </c:pt>
                <c:pt idx="2050">
                  <c:v>38577</c:v>
                </c:pt>
                <c:pt idx="2051">
                  <c:v>38578</c:v>
                </c:pt>
                <c:pt idx="2052">
                  <c:v>38579</c:v>
                </c:pt>
                <c:pt idx="2053">
                  <c:v>38580</c:v>
                </c:pt>
                <c:pt idx="2054">
                  <c:v>38581</c:v>
                </c:pt>
                <c:pt idx="2055">
                  <c:v>38582</c:v>
                </c:pt>
                <c:pt idx="2056">
                  <c:v>38583</c:v>
                </c:pt>
                <c:pt idx="2057">
                  <c:v>38584</c:v>
                </c:pt>
                <c:pt idx="2058">
                  <c:v>38585</c:v>
                </c:pt>
                <c:pt idx="2059">
                  <c:v>38586</c:v>
                </c:pt>
                <c:pt idx="2060">
                  <c:v>38587</c:v>
                </c:pt>
                <c:pt idx="2061">
                  <c:v>38588</c:v>
                </c:pt>
                <c:pt idx="2062">
                  <c:v>38589</c:v>
                </c:pt>
                <c:pt idx="2063">
                  <c:v>38590</c:v>
                </c:pt>
                <c:pt idx="2064">
                  <c:v>38591</c:v>
                </c:pt>
                <c:pt idx="2065">
                  <c:v>38592</c:v>
                </c:pt>
                <c:pt idx="2066">
                  <c:v>38593</c:v>
                </c:pt>
                <c:pt idx="2067">
                  <c:v>38594</c:v>
                </c:pt>
                <c:pt idx="2068">
                  <c:v>38595</c:v>
                </c:pt>
                <c:pt idx="2069">
                  <c:v>38596</c:v>
                </c:pt>
                <c:pt idx="2070">
                  <c:v>38597</c:v>
                </c:pt>
                <c:pt idx="2071">
                  <c:v>38598</c:v>
                </c:pt>
                <c:pt idx="2072">
                  <c:v>38599</c:v>
                </c:pt>
                <c:pt idx="2073">
                  <c:v>38600</c:v>
                </c:pt>
                <c:pt idx="2074">
                  <c:v>38601</c:v>
                </c:pt>
                <c:pt idx="2075">
                  <c:v>38602</c:v>
                </c:pt>
                <c:pt idx="2076">
                  <c:v>38603</c:v>
                </c:pt>
                <c:pt idx="2077">
                  <c:v>38604</c:v>
                </c:pt>
                <c:pt idx="2078">
                  <c:v>38605</c:v>
                </c:pt>
                <c:pt idx="2079">
                  <c:v>38606</c:v>
                </c:pt>
                <c:pt idx="2080">
                  <c:v>38607</c:v>
                </c:pt>
                <c:pt idx="2081">
                  <c:v>38608</c:v>
                </c:pt>
                <c:pt idx="2082">
                  <c:v>38609</c:v>
                </c:pt>
                <c:pt idx="2083">
                  <c:v>38610</c:v>
                </c:pt>
                <c:pt idx="2084">
                  <c:v>38611</c:v>
                </c:pt>
                <c:pt idx="2085">
                  <c:v>38612</c:v>
                </c:pt>
                <c:pt idx="2086">
                  <c:v>38613</c:v>
                </c:pt>
                <c:pt idx="2087">
                  <c:v>38614</c:v>
                </c:pt>
                <c:pt idx="2088">
                  <c:v>38615</c:v>
                </c:pt>
                <c:pt idx="2089">
                  <c:v>38616</c:v>
                </c:pt>
                <c:pt idx="2090">
                  <c:v>38617</c:v>
                </c:pt>
                <c:pt idx="2091">
                  <c:v>38618</c:v>
                </c:pt>
                <c:pt idx="2092">
                  <c:v>38619</c:v>
                </c:pt>
                <c:pt idx="2093">
                  <c:v>38620</c:v>
                </c:pt>
                <c:pt idx="2094">
                  <c:v>38621</c:v>
                </c:pt>
                <c:pt idx="2095">
                  <c:v>38622</c:v>
                </c:pt>
                <c:pt idx="2096">
                  <c:v>38623</c:v>
                </c:pt>
                <c:pt idx="2097">
                  <c:v>38624</c:v>
                </c:pt>
                <c:pt idx="2098">
                  <c:v>38625</c:v>
                </c:pt>
                <c:pt idx="2099">
                  <c:v>38626</c:v>
                </c:pt>
                <c:pt idx="2100">
                  <c:v>38627</c:v>
                </c:pt>
                <c:pt idx="2101">
                  <c:v>38628</c:v>
                </c:pt>
                <c:pt idx="2102">
                  <c:v>38629</c:v>
                </c:pt>
                <c:pt idx="2103">
                  <c:v>38630</c:v>
                </c:pt>
                <c:pt idx="2104">
                  <c:v>38631</c:v>
                </c:pt>
                <c:pt idx="2105">
                  <c:v>38632</c:v>
                </c:pt>
                <c:pt idx="2106">
                  <c:v>38633</c:v>
                </c:pt>
                <c:pt idx="2107">
                  <c:v>38634</c:v>
                </c:pt>
                <c:pt idx="2108">
                  <c:v>38635</c:v>
                </c:pt>
                <c:pt idx="2109">
                  <c:v>38636</c:v>
                </c:pt>
                <c:pt idx="2110">
                  <c:v>38637</c:v>
                </c:pt>
                <c:pt idx="2111">
                  <c:v>38638</c:v>
                </c:pt>
                <c:pt idx="2112">
                  <c:v>38639</c:v>
                </c:pt>
                <c:pt idx="2113">
                  <c:v>38640</c:v>
                </c:pt>
                <c:pt idx="2114">
                  <c:v>38641</c:v>
                </c:pt>
                <c:pt idx="2115">
                  <c:v>38642</c:v>
                </c:pt>
                <c:pt idx="2116">
                  <c:v>38643</c:v>
                </c:pt>
                <c:pt idx="2117">
                  <c:v>38644</c:v>
                </c:pt>
                <c:pt idx="2118">
                  <c:v>38645</c:v>
                </c:pt>
                <c:pt idx="2119">
                  <c:v>38646</c:v>
                </c:pt>
                <c:pt idx="2120">
                  <c:v>38647</c:v>
                </c:pt>
                <c:pt idx="2121">
                  <c:v>38648</c:v>
                </c:pt>
                <c:pt idx="2122">
                  <c:v>38649</c:v>
                </c:pt>
                <c:pt idx="2123">
                  <c:v>38650</c:v>
                </c:pt>
                <c:pt idx="2124">
                  <c:v>38651</c:v>
                </c:pt>
                <c:pt idx="2125">
                  <c:v>38652</c:v>
                </c:pt>
                <c:pt idx="2126">
                  <c:v>38653</c:v>
                </c:pt>
                <c:pt idx="2127">
                  <c:v>38654</c:v>
                </c:pt>
                <c:pt idx="2128">
                  <c:v>38655</c:v>
                </c:pt>
                <c:pt idx="2129">
                  <c:v>38656</c:v>
                </c:pt>
                <c:pt idx="2130">
                  <c:v>38657</c:v>
                </c:pt>
                <c:pt idx="2131">
                  <c:v>38658</c:v>
                </c:pt>
                <c:pt idx="2132">
                  <c:v>38659</c:v>
                </c:pt>
                <c:pt idx="2133">
                  <c:v>38660</c:v>
                </c:pt>
                <c:pt idx="2134">
                  <c:v>38661</c:v>
                </c:pt>
                <c:pt idx="2135">
                  <c:v>38662</c:v>
                </c:pt>
                <c:pt idx="2136">
                  <c:v>38663</c:v>
                </c:pt>
                <c:pt idx="2137">
                  <c:v>38664</c:v>
                </c:pt>
                <c:pt idx="2138">
                  <c:v>38665</c:v>
                </c:pt>
                <c:pt idx="2139">
                  <c:v>38666</c:v>
                </c:pt>
                <c:pt idx="2140">
                  <c:v>38667</c:v>
                </c:pt>
                <c:pt idx="2141">
                  <c:v>38668</c:v>
                </c:pt>
                <c:pt idx="2142">
                  <c:v>38669</c:v>
                </c:pt>
                <c:pt idx="2143">
                  <c:v>38670</c:v>
                </c:pt>
                <c:pt idx="2144">
                  <c:v>38671</c:v>
                </c:pt>
                <c:pt idx="2145">
                  <c:v>38672</c:v>
                </c:pt>
                <c:pt idx="2146">
                  <c:v>38673</c:v>
                </c:pt>
                <c:pt idx="2147">
                  <c:v>38674</c:v>
                </c:pt>
                <c:pt idx="2148">
                  <c:v>38675</c:v>
                </c:pt>
                <c:pt idx="2149">
                  <c:v>38676</c:v>
                </c:pt>
                <c:pt idx="2150">
                  <c:v>38677</c:v>
                </c:pt>
                <c:pt idx="2151">
                  <c:v>38678</c:v>
                </c:pt>
                <c:pt idx="2152">
                  <c:v>38679</c:v>
                </c:pt>
                <c:pt idx="2153">
                  <c:v>38680</c:v>
                </c:pt>
                <c:pt idx="2154">
                  <c:v>38681</c:v>
                </c:pt>
                <c:pt idx="2155">
                  <c:v>38682</c:v>
                </c:pt>
                <c:pt idx="2156">
                  <c:v>38683</c:v>
                </c:pt>
                <c:pt idx="2157">
                  <c:v>38684</c:v>
                </c:pt>
                <c:pt idx="2158">
                  <c:v>38685</c:v>
                </c:pt>
                <c:pt idx="2159">
                  <c:v>38686</c:v>
                </c:pt>
                <c:pt idx="2160">
                  <c:v>38687</c:v>
                </c:pt>
                <c:pt idx="2161">
                  <c:v>38688</c:v>
                </c:pt>
                <c:pt idx="2162">
                  <c:v>38689</c:v>
                </c:pt>
                <c:pt idx="2163">
                  <c:v>38690</c:v>
                </c:pt>
                <c:pt idx="2164">
                  <c:v>38691</c:v>
                </c:pt>
                <c:pt idx="2165">
                  <c:v>38692</c:v>
                </c:pt>
                <c:pt idx="2166">
                  <c:v>38693</c:v>
                </c:pt>
                <c:pt idx="2167">
                  <c:v>38694</c:v>
                </c:pt>
                <c:pt idx="2168">
                  <c:v>38695</c:v>
                </c:pt>
                <c:pt idx="2169">
                  <c:v>38696</c:v>
                </c:pt>
                <c:pt idx="2170">
                  <c:v>38697</c:v>
                </c:pt>
                <c:pt idx="2171">
                  <c:v>38698</c:v>
                </c:pt>
                <c:pt idx="2172">
                  <c:v>38699</c:v>
                </c:pt>
                <c:pt idx="2173">
                  <c:v>38700</c:v>
                </c:pt>
                <c:pt idx="2174">
                  <c:v>38701</c:v>
                </c:pt>
                <c:pt idx="2175">
                  <c:v>38702</c:v>
                </c:pt>
                <c:pt idx="2176">
                  <c:v>38703</c:v>
                </c:pt>
                <c:pt idx="2177">
                  <c:v>38704</c:v>
                </c:pt>
                <c:pt idx="2178">
                  <c:v>38705</c:v>
                </c:pt>
                <c:pt idx="2179">
                  <c:v>38706</c:v>
                </c:pt>
                <c:pt idx="2180">
                  <c:v>38707</c:v>
                </c:pt>
                <c:pt idx="2181">
                  <c:v>38708</c:v>
                </c:pt>
                <c:pt idx="2182">
                  <c:v>38709</c:v>
                </c:pt>
                <c:pt idx="2183">
                  <c:v>38710</c:v>
                </c:pt>
                <c:pt idx="2184">
                  <c:v>38711</c:v>
                </c:pt>
                <c:pt idx="2185">
                  <c:v>38712</c:v>
                </c:pt>
                <c:pt idx="2186">
                  <c:v>38713</c:v>
                </c:pt>
                <c:pt idx="2187">
                  <c:v>38714</c:v>
                </c:pt>
                <c:pt idx="2188">
                  <c:v>38715</c:v>
                </c:pt>
                <c:pt idx="2189">
                  <c:v>38716</c:v>
                </c:pt>
                <c:pt idx="2190">
                  <c:v>38717</c:v>
                </c:pt>
                <c:pt idx="2191">
                  <c:v>38718</c:v>
                </c:pt>
                <c:pt idx="2192">
                  <c:v>38719</c:v>
                </c:pt>
                <c:pt idx="2193">
                  <c:v>38720</c:v>
                </c:pt>
                <c:pt idx="2194">
                  <c:v>38721</c:v>
                </c:pt>
                <c:pt idx="2195">
                  <c:v>38722</c:v>
                </c:pt>
                <c:pt idx="2196">
                  <c:v>38723</c:v>
                </c:pt>
                <c:pt idx="2197">
                  <c:v>38724</c:v>
                </c:pt>
                <c:pt idx="2198">
                  <c:v>38725</c:v>
                </c:pt>
                <c:pt idx="2199">
                  <c:v>38726</c:v>
                </c:pt>
                <c:pt idx="2200">
                  <c:v>38727</c:v>
                </c:pt>
                <c:pt idx="2201">
                  <c:v>38728</c:v>
                </c:pt>
                <c:pt idx="2202">
                  <c:v>38729</c:v>
                </c:pt>
                <c:pt idx="2203">
                  <c:v>38730</c:v>
                </c:pt>
                <c:pt idx="2204">
                  <c:v>38731</c:v>
                </c:pt>
                <c:pt idx="2205">
                  <c:v>38732</c:v>
                </c:pt>
                <c:pt idx="2206">
                  <c:v>38733</c:v>
                </c:pt>
                <c:pt idx="2207">
                  <c:v>38734</c:v>
                </c:pt>
                <c:pt idx="2208">
                  <c:v>38735</c:v>
                </c:pt>
                <c:pt idx="2209">
                  <c:v>38736</c:v>
                </c:pt>
                <c:pt idx="2210">
                  <c:v>38737</c:v>
                </c:pt>
                <c:pt idx="2211">
                  <c:v>38738</c:v>
                </c:pt>
                <c:pt idx="2212">
                  <c:v>38739</c:v>
                </c:pt>
                <c:pt idx="2213">
                  <c:v>38740</c:v>
                </c:pt>
                <c:pt idx="2214">
                  <c:v>38741</c:v>
                </c:pt>
                <c:pt idx="2215">
                  <c:v>38742</c:v>
                </c:pt>
                <c:pt idx="2216">
                  <c:v>38743</c:v>
                </c:pt>
                <c:pt idx="2217">
                  <c:v>38744</c:v>
                </c:pt>
                <c:pt idx="2218">
                  <c:v>38745</c:v>
                </c:pt>
                <c:pt idx="2219">
                  <c:v>38746</c:v>
                </c:pt>
                <c:pt idx="2220">
                  <c:v>38747</c:v>
                </c:pt>
                <c:pt idx="2221">
                  <c:v>38748</c:v>
                </c:pt>
                <c:pt idx="2222">
                  <c:v>38749</c:v>
                </c:pt>
                <c:pt idx="2223">
                  <c:v>38750</c:v>
                </c:pt>
                <c:pt idx="2224">
                  <c:v>38751</c:v>
                </c:pt>
                <c:pt idx="2225">
                  <c:v>38752</c:v>
                </c:pt>
                <c:pt idx="2226">
                  <c:v>38753</c:v>
                </c:pt>
                <c:pt idx="2227">
                  <c:v>38754</c:v>
                </c:pt>
                <c:pt idx="2228">
                  <c:v>38755</c:v>
                </c:pt>
                <c:pt idx="2229">
                  <c:v>38756</c:v>
                </c:pt>
                <c:pt idx="2230">
                  <c:v>38757</c:v>
                </c:pt>
                <c:pt idx="2231">
                  <c:v>38758</c:v>
                </c:pt>
                <c:pt idx="2232">
                  <c:v>38759</c:v>
                </c:pt>
                <c:pt idx="2233">
                  <c:v>38760</c:v>
                </c:pt>
                <c:pt idx="2234">
                  <c:v>38761</c:v>
                </c:pt>
                <c:pt idx="2235">
                  <c:v>38762</c:v>
                </c:pt>
                <c:pt idx="2236">
                  <c:v>38763</c:v>
                </c:pt>
                <c:pt idx="2237">
                  <c:v>38764</c:v>
                </c:pt>
                <c:pt idx="2238">
                  <c:v>38765</c:v>
                </c:pt>
                <c:pt idx="2239">
                  <c:v>38766</c:v>
                </c:pt>
                <c:pt idx="2240">
                  <c:v>38767</c:v>
                </c:pt>
                <c:pt idx="2241">
                  <c:v>38768</c:v>
                </c:pt>
                <c:pt idx="2242">
                  <c:v>38769</c:v>
                </c:pt>
                <c:pt idx="2243">
                  <c:v>38770</c:v>
                </c:pt>
                <c:pt idx="2244">
                  <c:v>38771</c:v>
                </c:pt>
                <c:pt idx="2245">
                  <c:v>38772</c:v>
                </c:pt>
                <c:pt idx="2246">
                  <c:v>38773</c:v>
                </c:pt>
                <c:pt idx="2247">
                  <c:v>38774</c:v>
                </c:pt>
                <c:pt idx="2248">
                  <c:v>38775</c:v>
                </c:pt>
                <c:pt idx="2249">
                  <c:v>38776</c:v>
                </c:pt>
                <c:pt idx="2250">
                  <c:v>38777</c:v>
                </c:pt>
                <c:pt idx="2251">
                  <c:v>38778</c:v>
                </c:pt>
                <c:pt idx="2252">
                  <c:v>38779</c:v>
                </c:pt>
                <c:pt idx="2253">
                  <c:v>38780</c:v>
                </c:pt>
                <c:pt idx="2254">
                  <c:v>38781</c:v>
                </c:pt>
                <c:pt idx="2255">
                  <c:v>38782</c:v>
                </c:pt>
                <c:pt idx="2256">
                  <c:v>38783</c:v>
                </c:pt>
                <c:pt idx="2257">
                  <c:v>38784</c:v>
                </c:pt>
                <c:pt idx="2258">
                  <c:v>38785</c:v>
                </c:pt>
                <c:pt idx="2259">
                  <c:v>38786</c:v>
                </c:pt>
                <c:pt idx="2260">
                  <c:v>38787</c:v>
                </c:pt>
                <c:pt idx="2261">
                  <c:v>38788</c:v>
                </c:pt>
                <c:pt idx="2262">
                  <c:v>38789</c:v>
                </c:pt>
                <c:pt idx="2263">
                  <c:v>38790</c:v>
                </c:pt>
                <c:pt idx="2264">
                  <c:v>38791</c:v>
                </c:pt>
                <c:pt idx="2265">
                  <c:v>38792</c:v>
                </c:pt>
                <c:pt idx="2266">
                  <c:v>38793</c:v>
                </c:pt>
                <c:pt idx="2267">
                  <c:v>38794</c:v>
                </c:pt>
                <c:pt idx="2268">
                  <c:v>38795</c:v>
                </c:pt>
                <c:pt idx="2269">
                  <c:v>38796</c:v>
                </c:pt>
                <c:pt idx="2270">
                  <c:v>38797</c:v>
                </c:pt>
                <c:pt idx="2271">
                  <c:v>38798</c:v>
                </c:pt>
                <c:pt idx="2272">
                  <c:v>38799</c:v>
                </c:pt>
                <c:pt idx="2273">
                  <c:v>38800</c:v>
                </c:pt>
                <c:pt idx="2274">
                  <c:v>38801</c:v>
                </c:pt>
                <c:pt idx="2275">
                  <c:v>38802</c:v>
                </c:pt>
                <c:pt idx="2276">
                  <c:v>38803</c:v>
                </c:pt>
                <c:pt idx="2277">
                  <c:v>38804</c:v>
                </c:pt>
                <c:pt idx="2278">
                  <c:v>38805</c:v>
                </c:pt>
                <c:pt idx="2279">
                  <c:v>38806</c:v>
                </c:pt>
                <c:pt idx="2280">
                  <c:v>38807</c:v>
                </c:pt>
                <c:pt idx="2281">
                  <c:v>38808</c:v>
                </c:pt>
                <c:pt idx="2282">
                  <c:v>38809</c:v>
                </c:pt>
                <c:pt idx="2283">
                  <c:v>38810</c:v>
                </c:pt>
                <c:pt idx="2284">
                  <c:v>38811</c:v>
                </c:pt>
                <c:pt idx="2285">
                  <c:v>38812</c:v>
                </c:pt>
                <c:pt idx="2286">
                  <c:v>38813</c:v>
                </c:pt>
                <c:pt idx="2287">
                  <c:v>38814</c:v>
                </c:pt>
                <c:pt idx="2288">
                  <c:v>38815</c:v>
                </c:pt>
                <c:pt idx="2289">
                  <c:v>38816</c:v>
                </c:pt>
                <c:pt idx="2290">
                  <c:v>38817</c:v>
                </c:pt>
                <c:pt idx="2291">
                  <c:v>38818</c:v>
                </c:pt>
                <c:pt idx="2292">
                  <c:v>38819</c:v>
                </c:pt>
                <c:pt idx="2293">
                  <c:v>38820</c:v>
                </c:pt>
                <c:pt idx="2294">
                  <c:v>38821</c:v>
                </c:pt>
                <c:pt idx="2295">
                  <c:v>38822</c:v>
                </c:pt>
                <c:pt idx="2296">
                  <c:v>38823</c:v>
                </c:pt>
                <c:pt idx="2297">
                  <c:v>38824</c:v>
                </c:pt>
                <c:pt idx="2298">
                  <c:v>38825</c:v>
                </c:pt>
                <c:pt idx="2299">
                  <c:v>38826</c:v>
                </c:pt>
                <c:pt idx="2300">
                  <c:v>38827</c:v>
                </c:pt>
                <c:pt idx="2301">
                  <c:v>38828</c:v>
                </c:pt>
                <c:pt idx="2302">
                  <c:v>38829</c:v>
                </c:pt>
                <c:pt idx="2303">
                  <c:v>38830</c:v>
                </c:pt>
                <c:pt idx="2304">
                  <c:v>38831</c:v>
                </c:pt>
                <c:pt idx="2305">
                  <c:v>38832</c:v>
                </c:pt>
                <c:pt idx="2306">
                  <c:v>38833</c:v>
                </c:pt>
                <c:pt idx="2307">
                  <c:v>38834</c:v>
                </c:pt>
                <c:pt idx="2308">
                  <c:v>38835</c:v>
                </c:pt>
                <c:pt idx="2309">
                  <c:v>38836</c:v>
                </c:pt>
                <c:pt idx="2310">
                  <c:v>38837</c:v>
                </c:pt>
                <c:pt idx="2311">
                  <c:v>38838</c:v>
                </c:pt>
                <c:pt idx="2312">
                  <c:v>38839</c:v>
                </c:pt>
                <c:pt idx="2313">
                  <c:v>38840</c:v>
                </c:pt>
                <c:pt idx="2314">
                  <c:v>38841</c:v>
                </c:pt>
                <c:pt idx="2315">
                  <c:v>38842</c:v>
                </c:pt>
                <c:pt idx="2316">
                  <c:v>38843</c:v>
                </c:pt>
                <c:pt idx="2317">
                  <c:v>38844</c:v>
                </c:pt>
                <c:pt idx="2318">
                  <c:v>38845</c:v>
                </c:pt>
                <c:pt idx="2319">
                  <c:v>38846</c:v>
                </c:pt>
                <c:pt idx="2320">
                  <c:v>38847</c:v>
                </c:pt>
                <c:pt idx="2321">
                  <c:v>38848</c:v>
                </c:pt>
                <c:pt idx="2322">
                  <c:v>38849</c:v>
                </c:pt>
                <c:pt idx="2323">
                  <c:v>38850</c:v>
                </c:pt>
                <c:pt idx="2324">
                  <c:v>38851</c:v>
                </c:pt>
                <c:pt idx="2325">
                  <c:v>38852</c:v>
                </c:pt>
                <c:pt idx="2326">
                  <c:v>38853</c:v>
                </c:pt>
                <c:pt idx="2327">
                  <c:v>38854</c:v>
                </c:pt>
                <c:pt idx="2328">
                  <c:v>38855</c:v>
                </c:pt>
                <c:pt idx="2329">
                  <c:v>38856</c:v>
                </c:pt>
                <c:pt idx="2330">
                  <c:v>38857</c:v>
                </c:pt>
                <c:pt idx="2331">
                  <c:v>38858</c:v>
                </c:pt>
                <c:pt idx="2332">
                  <c:v>38859</c:v>
                </c:pt>
                <c:pt idx="2333">
                  <c:v>38860</c:v>
                </c:pt>
                <c:pt idx="2334">
                  <c:v>38861</c:v>
                </c:pt>
                <c:pt idx="2335">
                  <c:v>38862</c:v>
                </c:pt>
                <c:pt idx="2336">
                  <c:v>38863</c:v>
                </c:pt>
                <c:pt idx="2337">
                  <c:v>38864</c:v>
                </c:pt>
                <c:pt idx="2338">
                  <c:v>38865</c:v>
                </c:pt>
                <c:pt idx="2339">
                  <c:v>38866</c:v>
                </c:pt>
                <c:pt idx="2340">
                  <c:v>38867</c:v>
                </c:pt>
                <c:pt idx="2341">
                  <c:v>38868</c:v>
                </c:pt>
                <c:pt idx="2342">
                  <c:v>38869</c:v>
                </c:pt>
                <c:pt idx="2343">
                  <c:v>38870</c:v>
                </c:pt>
                <c:pt idx="2344">
                  <c:v>38871</c:v>
                </c:pt>
                <c:pt idx="2345">
                  <c:v>38872</c:v>
                </c:pt>
                <c:pt idx="2346">
                  <c:v>38873</c:v>
                </c:pt>
                <c:pt idx="2347">
                  <c:v>38874</c:v>
                </c:pt>
                <c:pt idx="2348">
                  <c:v>38875</c:v>
                </c:pt>
                <c:pt idx="2349">
                  <c:v>38876</c:v>
                </c:pt>
                <c:pt idx="2350">
                  <c:v>38877</c:v>
                </c:pt>
                <c:pt idx="2351">
                  <c:v>38878</c:v>
                </c:pt>
                <c:pt idx="2352">
                  <c:v>38879</c:v>
                </c:pt>
                <c:pt idx="2353">
                  <c:v>38880</c:v>
                </c:pt>
                <c:pt idx="2354">
                  <c:v>38881</c:v>
                </c:pt>
                <c:pt idx="2355">
                  <c:v>38882</c:v>
                </c:pt>
                <c:pt idx="2356">
                  <c:v>38883</c:v>
                </c:pt>
                <c:pt idx="2357">
                  <c:v>38884</c:v>
                </c:pt>
                <c:pt idx="2358">
                  <c:v>38885</c:v>
                </c:pt>
                <c:pt idx="2359">
                  <c:v>38886</c:v>
                </c:pt>
                <c:pt idx="2360">
                  <c:v>38887</c:v>
                </c:pt>
                <c:pt idx="2361">
                  <c:v>38888</c:v>
                </c:pt>
                <c:pt idx="2362">
                  <c:v>38889</c:v>
                </c:pt>
                <c:pt idx="2363">
                  <c:v>38890</c:v>
                </c:pt>
                <c:pt idx="2364">
                  <c:v>38891</c:v>
                </c:pt>
                <c:pt idx="2365">
                  <c:v>38892</c:v>
                </c:pt>
                <c:pt idx="2366">
                  <c:v>38893</c:v>
                </c:pt>
                <c:pt idx="2367">
                  <c:v>38894</c:v>
                </c:pt>
                <c:pt idx="2368">
                  <c:v>38895</c:v>
                </c:pt>
                <c:pt idx="2369">
                  <c:v>38896</c:v>
                </c:pt>
                <c:pt idx="2370">
                  <c:v>38897</c:v>
                </c:pt>
                <c:pt idx="2371">
                  <c:v>38898</c:v>
                </c:pt>
                <c:pt idx="2372">
                  <c:v>38899</c:v>
                </c:pt>
                <c:pt idx="2373">
                  <c:v>38900</c:v>
                </c:pt>
                <c:pt idx="2374">
                  <c:v>38901</c:v>
                </c:pt>
                <c:pt idx="2375">
                  <c:v>38902</c:v>
                </c:pt>
                <c:pt idx="2376">
                  <c:v>38903</c:v>
                </c:pt>
                <c:pt idx="2377">
                  <c:v>38904</c:v>
                </c:pt>
                <c:pt idx="2378">
                  <c:v>38905</c:v>
                </c:pt>
                <c:pt idx="2379">
                  <c:v>38906</c:v>
                </c:pt>
                <c:pt idx="2380">
                  <c:v>38907</c:v>
                </c:pt>
                <c:pt idx="2381">
                  <c:v>38908</c:v>
                </c:pt>
                <c:pt idx="2382">
                  <c:v>38909</c:v>
                </c:pt>
                <c:pt idx="2383">
                  <c:v>38910</c:v>
                </c:pt>
                <c:pt idx="2384">
                  <c:v>38911</c:v>
                </c:pt>
                <c:pt idx="2385">
                  <c:v>38912</c:v>
                </c:pt>
                <c:pt idx="2386">
                  <c:v>38913</c:v>
                </c:pt>
                <c:pt idx="2387">
                  <c:v>38914</c:v>
                </c:pt>
                <c:pt idx="2388">
                  <c:v>38915</c:v>
                </c:pt>
                <c:pt idx="2389">
                  <c:v>38916</c:v>
                </c:pt>
                <c:pt idx="2390">
                  <c:v>38917</c:v>
                </c:pt>
                <c:pt idx="2391">
                  <c:v>38918</c:v>
                </c:pt>
                <c:pt idx="2392">
                  <c:v>38919</c:v>
                </c:pt>
                <c:pt idx="2393">
                  <c:v>38920</c:v>
                </c:pt>
                <c:pt idx="2394">
                  <c:v>38921</c:v>
                </c:pt>
                <c:pt idx="2395">
                  <c:v>38922</c:v>
                </c:pt>
                <c:pt idx="2396">
                  <c:v>38923</c:v>
                </c:pt>
                <c:pt idx="2397">
                  <c:v>38924</c:v>
                </c:pt>
                <c:pt idx="2398">
                  <c:v>38925</c:v>
                </c:pt>
                <c:pt idx="2399">
                  <c:v>38926</c:v>
                </c:pt>
                <c:pt idx="2400">
                  <c:v>38927</c:v>
                </c:pt>
                <c:pt idx="2401">
                  <c:v>38928</c:v>
                </c:pt>
                <c:pt idx="2402">
                  <c:v>38929</c:v>
                </c:pt>
                <c:pt idx="2403">
                  <c:v>38930</c:v>
                </c:pt>
                <c:pt idx="2404">
                  <c:v>38931</c:v>
                </c:pt>
                <c:pt idx="2405">
                  <c:v>38932</c:v>
                </c:pt>
                <c:pt idx="2406">
                  <c:v>38933</c:v>
                </c:pt>
                <c:pt idx="2407">
                  <c:v>38934</c:v>
                </c:pt>
                <c:pt idx="2408">
                  <c:v>38935</c:v>
                </c:pt>
                <c:pt idx="2409">
                  <c:v>38936</c:v>
                </c:pt>
                <c:pt idx="2410">
                  <c:v>38937</c:v>
                </c:pt>
                <c:pt idx="2411">
                  <c:v>38938</c:v>
                </c:pt>
                <c:pt idx="2412">
                  <c:v>38939</c:v>
                </c:pt>
                <c:pt idx="2413">
                  <c:v>38940</c:v>
                </c:pt>
                <c:pt idx="2414">
                  <c:v>38941</c:v>
                </c:pt>
                <c:pt idx="2415">
                  <c:v>38942</c:v>
                </c:pt>
                <c:pt idx="2416">
                  <c:v>38943</c:v>
                </c:pt>
                <c:pt idx="2417">
                  <c:v>38944</c:v>
                </c:pt>
                <c:pt idx="2418">
                  <c:v>38945</c:v>
                </c:pt>
                <c:pt idx="2419">
                  <c:v>38946</c:v>
                </c:pt>
                <c:pt idx="2420">
                  <c:v>38947</c:v>
                </c:pt>
                <c:pt idx="2421">
                  <c:v>38948</c:v>
                </c:pt>
                <c:pt idx="2422">
                  <c:v>38949</c:v>
                </c:pt>
                <c:pt idx="2423">
                  <c:v>38950</c:v>
                </c:pt>
                <c:pt idx="2424">
                  <c:v>38951</c:v>
                </c:pt>
                <c:pt idx="2425">
                  <c:v>38952</c:v>
                </c:pt>
                <c:pt idx="2426">
                  <c:v>38953</c:v>
                </c:pt>
                <c:pt idx="2427">
                  <c:v>38954</c:v>
                </c:pt>
                <c:pt idx="2428">
                  <c:v>38955</c:v>
                </c:pt>
                <c:pt idx="2429">
                  <c:v>38956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38962</c:v>
                </c:pt>
                <c:pt idx="2436">
                  <c:v>38963</c:v>
                </c:pt>
                <c:pt idx="2437">
                  <c:v>38964</c:v>
                </c:pt>
                <c:pt idx="2438">
                  <c:v>38965</c:v>
                </c:pt>
                <c:pt idx="2439">
                  <c:v>38966</c:v>
                </c:pt>
                <c:pt idx="2440">
                  <c:v>38967</c:v>
                </c:pt>
                <c:pt idx="2441">
                  <c:v>38968</c:v>
                </c:pt>
                <c:pt idx="2442">
                  <c:v>38969</c:v>
                </c:pt>
                <c:pt idx="2443">
                  <c:v>38970</c:v>
                </c:pt>
                <c:pt idx="2444">
                  <c:v>38971</c:v>
                </c:pt>
                <c:pt idx="2445">
                  <c:v>38972</c:v>
                </c:pt>
                <c:pt idx="2446">
                  <c:v>38973</c:v>
                </c:pt>
                <c:pt idx="2447">
                  <c:v>38974</c:v>
                </c:pt>
                <c:pt idx="2448">
                  <c:v>38975</c:v>
                </c:pt>
                <c:pt idx="2449">
                  <c:v>38976</c:v>
                </c:pt>
                <c:pt idx="2450">
                  <c:v>38977</c:v>
                </c:pt>
                <c:pt idx="2451">
                  <c:v>38978</c:v>
                </c:pt>
                <c:pt idx="2452">
                  <c:v>38979</c:v>
                </c:pt>
                <c:pt idx="2453">
                  <c:v>38980</c:v>
                </c:pt>
                <c:pt idx="2454">
                  <c:v>38981</c:v>
                </c:pt>
                <c:pt idx="2455">
                  <c:v>38982</c:v>
                </c:pt>
                <c:pt idx="2456">
                  <c:v>38983</c:v>
                </c:pt>
                <c:pt idx="2457">
                  <c:v>38984</c:v>
                </c:pt>
                <c:pt idx="2458">
                  <c:v>38985</c:v>
                </c:pt>
                <c:pt idx="2459">
                  <c:v>38986</c:v>
                </c:pt>
                <c:pt idx="2460">
                  <c:v>38987</c:v>
                </c:pt>
                <c:pt idx="2461">
                  <c:v>38988</c:v>
                </c:pt>
                <c:pt idx="2462">
                  <c:v>38989</c:v>
                </c:pt>
                <c:pt idx="2463">
                  <c:v>38990</c:v>
                </c:pt>
                <c:pt idx="2464">
                  <c:v>38991</c:v>
                </c:pt>
                <c:pt idx="2465">
                  <c:v>38992</c:v>
                </c:pt>
                <c:pt idx="2466">
                  <c:v>38993</c:v>
                </c:pt>
                <c:pt idx="2467">
                  <c:v>38994</c:v>
                </c:pt>
                <c:pt idx="2468">
                  <c:v>38995</c:v>
                </c:pt>
                <c:pt idx="2469">
                  <c:v>38996</c:v>
                </c:pt>
                <c:pt idx="2470">
                  <c:v>38997</c:v>
                </c:pt>
                <c:pt idx="2471">
                  <c:v>38998</c:v>
                </c:pt>
                <c:pt idx="2472">
                  <c:v>38999</c:v>
                </c:pt>
                <c:pt idx="2473">
                  <c:v>39000</c:v>
                </c:pt>
                <c:pt idx="2474">
                  <c:v>39001</c:v>
                </c:pt>
                <c:pt idx="2475">
                  <c:v>39002</c:v>
                </c:pt>
                <c:pt idx="2476">
                  <c:v>39003</c:v>
                </c:pt>
                <c:pt idx="2477">
                  <c:v>39004</c:v>
                </c:pt>
                <c:pt idx="2478">
                  <c:v>39005</c:v>
                </c:pt>
                <c:pt idx="2479">
                  <c:v>39006</c:v>
                </c:pt>
                <c:pt idx="2480">
                  <c:v>39007</c:v>
                </c:pt>
                <c:pt idx="2481">
                  <c:v>39008</c:v>
                </c:pt>
                <c:pt idx="2482">
                  <c:v>39009</c:v>
                </c:pt>
                <c:pt idx="2483">
                  <c:v>39010</c:v>
                </c:pt>
                <c:pt idx="2484">
                  <c:v>39011</c:v>
                </c:pt>
                <c:pt idx="2485">
                  <c:v>39012</c:v>
                </c:pt>
                <c:pt idx="2486">
                  <c:v>39013</c:v>
                </c:pt>
                <c:pt idx="2487">
                  <c:v>39014</c:v>
                </c:pt>
                <c:pt idx="2488">
                  <c:v>39015</c:v>
                </c:pt>
                <c:pt idx="2489">
                  <c:v>39016</c:v>
                </c:pt>
                <c:pt idx="2490">
                  <c:v>39017</c:v>
                </c:pt>
                <c:pt idx="2491">
                  <c:v>39018</c:v>
                </c:pt>
                <c:pt idx="2492">
                  <c:v>39019</c:v>
                </c:pt>
                <c:pt idx="2493">
                  <c:v>39020</c:v>
                </c:pt>
                <c:pt idx="2494">
                  <c:v>39021</c:v>
                </c:pt>
                <c:pt idx="2495">
                  <c:v>39022</c:v>
                </c:pt>
                <c:pt idx="2496">
                  <c:v>39023</c:v>
                </c:pt>
                <c:pt idx="2497">
                  <c:v>39024</c:v>
                </c:pt>
                <c:pt idx="2498">
                  <c:v>39025</c:v>
                </c:pt>
                <c:pt idx="2499">
                  <c:v>39026</c:v>
                </c:pt>
                <c:pt idx="2500">
                  <c:v>39027</c:v>
                </c:pt>
                <c:pt idx="2501">
                  <c:v>39028</c:v>
                </c:pt>
                <c:pt idx="2502">
                  <c:v>39029</c:v>
                </c:pt>
                <c:pt idx="2503">
                  <c:v>39030</c:v>
                </c:pt>
                <c:pt idx="2504">
                  <c:v>39031</c:v>
                </c:pt>
                <c:pt idx="2505">
                  <c:v>39032</c:v>
                </c:pt>
                <c:pt idx="2506">
                  <c:v>39033</c:v>
                </c:pt>
                <c:pt idx="2507">
                  <c:v>39034</c:v>
                </c:pt>
                <c:pt idx="2508">
                  <c:v>39035</c:v>
                </c:pt>
                <c:pt idx="2509">
                  <c:v>39036</c:v>
                </c:pt>
                <c:pt idx="2510">
                  <c:v>39037</c:v>
                </c:pt>
                <c:pt idx="2511">
                  <c:v>39038</c:v>
                </c:pt>
                <c:pt idx="2512">
                  <c:v>39039</c:v>
                </c:pt>
                <c:pt idx="2513">
                  <c:v>39040</c:v>
                </c:pt>
                <c:pt idx="2514">
                  <c:v>39041</c:v>
                </c:pt>
                <c:pt idx="2515">
                  <c:v>39042</c:v>
                </c:pt>
                <c:pt idx="2516">
                  <c:v>39043</c:v>
                </c:pt>
                <c:pt idx="2517">
                  <c:v>39044</c:v>
                </c:pt>
                <c:pt idx="2518">
                  <c:v>39045</c:v>
                </c:pt>
                <c:pt idx="2519">
                  <c:v>39046</c:v>
                </c:pt>
                <c:pt idx="2520">
                  <c:v>39047</c:v>
                </c:pt>
                <c:pt idx="2521">
                  <c:v>39048</c:v>
                </c:pt>
                <c:pt idx="2522">
                  <c:v>39049</c:v>
                </c:pt>
                <c:pt idx="2523">
                  <c:v>39050</c:v>
                </c:pt>
                <c:pt idx="2524">
                  <c:v>39051</c:v>
                </c:pt>
                <c:pt idx="2525">
                  <c:v>39052</c:v>
                </c:pt>
                <c:pt idx="2526">
                  <c:v>39053</c:v>
                </c:pt>
                <c:pt idx="2527">
                  <c:v>39054</c:v>
                </c:pt>
                <c:pt idx="2528">
                  <c:v>39055</c:v>
                </c:pt>
                <c:pt idx="2529">
                  <c:v>39056</c:v>
                </c:pt>
                <c:pt idx="2530">
                  <c:v>39057</c:v>
                </c:pt>
                <c:pt idx="2531">
                  <c:v>39058</c:v>
                </c:pt>
                <c:pt idx="2532">
                  <c:v>39059</c:v>
                </c:pt>
                <c:pt idx="2533">
                  <c:v>39060</c:v>
                </c:pt>
                <c:pt idx="2534">
                  <c:v>39061</c:v>
                </c:pt>
                <c:pt idx="2535">
                  <c:v>39062</c:v>
                </c:pt>
                <c:pt idx="2536">
                  <c:v>39063</c:v>
                </c:pt>
                <c:pt idx="2537">
                  <c:v>39064</c:v>
                </c:pt>
                <c:pt idx="2538">
                  <c:v>39065</c:v>
                </c:pt>
                <c:pt idx="2539">
                  <c:v>39066</c:v>
                </c:pt>
                <c:pt idx="2540">
                  <c:v>39067</c:v>
                </c:pt>
                <c:pt idx="2541">
                  <c:v>39068</c:v>
                </c:pt>
                <c:pt idx="2542">
                  <c:v>39069</c:v>
                </c:pt>
                <c:pt idx="2543">
                  <c:v>39070</c:v>
                </c:pt>
                <c:pt idx="2544">
                  <c:v>39071</c:v>
                </c:pt>
                <c:pt idx="2545">
                  <c:v>39072</c:v>
                </c:pt>
                <c:pt idx="2546">
                  <c:v>39073</c:v>
                </c:pt>
                <c:pt idx="2547">
                  <c:v>39074</c:v>
                </c:pt>
                <c:pt idx="2548">
                  <c:v>39075</c:v>
                </c:pt>
                <c:pt idx="2549">
                  <c:v>39076</c:v>
                </c:pt>
                <c:pt idx="2550">
                  <c:v>39077</c:v>
                </c:pt>
                <c:pt idx="2551">
                  <c:v>39078</c:v>
                </c:pt>
                <c:pt idx="2552">
                  <c:v>39079</c:v>
                </c:pt>
                <c:pt idx="2553">
                  <c:v>39080</c:v>
                </c:pt>
                <c:pt idx="2554">
                  <c:v>39081</c:v>
                </c:pt>
                <c:pt idx="2555">
                  <c:v>39082</c:v>
                </c:pt>
                <c:pt idx="2556">
                  <c:v>39083</c:v>
                </c:pt>
                <c:pt idx="2557">
                  <c:v>39084</c:v>
                </c:pt>
                <c:pt idx="2558">
                  <c:v>39085</c:v>
                </c:pt>
                <c:pt idx="2559">
                  <c:v>39086</c:v>
                </c:pt>
                <c:pt idx="2560">
                  <c:v>39087</c:v>
                </c:pt>
                <c:pt idx="2561">
                  <c:v>39088</c:v>
                </c:pt>
                <c:pt idx="2562">
                  <c:v>39089</c:v>
                </c:pt>
                <c:pt idx="2563">
                  <c:v>39090</c:v>
                </c:pt>
                <c:pt idx="2564">
                  <c:v>39091</c:v>
                </c:pt>
                <c:pt idx="2565">
                  <c:v>39092</c:v>
                </c:pt>
                <c:pt idx="2566">
                  <c:v>39093</c:v>
                </c:pt>
                <c:pt idx="2567">
                  <c:v>39094</c:v>
                </c:pt>
                <c:pt idx="2568">
                  <c:v>39095</c:v>
                </c:pt>
                <c:pt idx="2569">
                  <c:v>39096</c:v>
                </c:pt>
                <c:pt idx="2570">
                  <c:v>39097</c:v>
                </c:pt>
                <c:pt idx="2571">
                  <c:v>39098</c:v>
                </c:pt>
                <c:pt idx="2572">
                  <c:v>39099</c:v>
                </c:pt>
                <c:pt idx="2573">
                  <c:v>39100</c:v>
                </c:pt>
                <c:pt idx="2574">
                  <c:v>39101</c:v>
                </c:pt>
                <c:pt idx="2575">
                  <c:v>39102</c:v>
                </c:pt>
                <c:pt idx="2576">
                  <c:v>39103</c:v>
                </c:pt>
                <c:pt idx="2577">
                  <c:v>39104</c:v>
                </c:pt>
                <c:pt idx="2578">
                  <c:v>39105</c:v>
                </c:pt>
                <c:pt idx="2579">
                  <c:v>39106</c:v>
                </c:pt>
                <c:pt idx="2580">
                  <c:v>39107</c:v>
                </c:pt>
                <c:pt idx="2581">
                  <c:v>39108</c:v>
                </c:pt>
                <c:pt idx="2582">
                  <c:v>39109</c:v>
                </c:pt>
                <c:pt idx="2583">
                  <c:v>39110</c:v>
                </c:pt>
                <c:pt idx="2584">
                  <c:v>39111</c:v>
                </c:pt>
                <c:pt idx="2585">
                  <c:v>39112</c:v>
                </c:pt>
                <c:pt idx="2586">
                  <c:v>39113</c:v>
                </c:pt>
                <c:pt idx="2587">
                  <c:v>39114</c:v>
                </c:pt>
                <c:pt idx="2588">
                  <c:v>39115</c:v>
                </c:pt>
                <c:pt idx="2589">
                  <c:v>39116</c:v>
                </c:pt>
                <c:pt idx="2590">
                  <c:v>39117</c:v>
                </c:pt>
                <c:pt idx="2591">
                  <c:v>39118</c:v>
                </c:pt>
                <c:pt idx="2592">
                  <c:v>39119</c:v>
                </c:pt>
                <c:pt idx="2593">
                  <c:v>39120</c:v>
                </c:pt>
                <c:pt idx="2594">
                  <c:v>39121</c:v>
                </c:pt>
                <c:pt idx="2595">
                  <c:v>39122</c:v>
                </c:pt>
                <c:pt idx="2596">
                  <c:v>39123</c:v>
                </c:pt>
                <c:pt idx="2597">
                  <c:v>39124</c:v>
                </c:pt>
                <c:pt idx="2598">
                  <c:v>39125</c:v>
                </c:pt>
                <c:pt idx="2599">
                  <c:v>39126</c:v>
                </c:pt>
                <c:pt idx="2600">
                  <c:v>39127</c:v>
                </c:pt>
                <c:pt idx="2601">
                  <c:v>39128</c:v>
                </c:pt>
                <c:pt idx="2602">
                  <c:v>39129</c:v>
                </c:pt>
                <c:pt idx="2603">
                  <c:v>39130</c:v>
                </c:pt>
                <c:pt idx="2604">
                  <c:v>39131</c:v>
                </c:pt>
                <c:pt idx="2605">
                  <c:v>39132</c:v>
                </c:pt>
                <c:pt idx="2606">
                  <c:v>39133</c:v>
                </c:pt>
                <c:pt idx="2607">
                  <c:v>39134</c:v>
                </c:pt>
                <c:pt idx="2608">
                  <c:v>39135</c:v>
                </c:pt>
                <c:pt idx="2609">
                  <c:v>39136</c:v>
                </c:pt>
                <c:pt idx="2610">
                  <c:v>39137</c:v>
                </c:pt>
                <c:pt idx="2611">
                  <c:v>39138</c:v>
                </c:pt>
                <c:pt idx="2612">
                  <c:v>39139</c:v>
                </c:pt>
                <c:pt idx="2613">
                  <c:v>39140</c:v>
                </c:pt>
                <c:pt idx="2614">
                  <c:v>39141</c:v>
                </c:pt>
                <c:pt idx="2615">
                  <c:v>39142</c:v>
                </c:pt>
                <c:pt idx="2616">
                  <c:v>39143</c:v>
                </c:pt>
                <c:pt idx="2617">
                  <c:v>39144</c:v>
                </c:pt>
                <c:pt idx="2618">
                  <c:v>39145</c:v>
                </c:pt>
                <c:pt idx="2619">
                  <c:v>39146</c:v>
                </c:pt>
                <c:pt idx="2620">
                  <c:v>39147</c:v>
                </c:pt>
                <c:pt idx="2621">
                  <c:v>39148</c:v>
                </c:pt>
                <c:pt idx="2622">
                  <c:v>39149</c:v>
                </c:pt>
                <c:pt idx="2623">
                  <c:v>39150</c:v>
                </c:pt>
                <c:pt idx="2624">
                  <c:v>39151</c:v>
                </c:pt>
                <c:pt idx="2625">
                  <c:v>39152</c:v>
                </c:pt>
                <c:pt idx="2626">
                  <c:v>39153</c:v>
                </c:pt>
                <c:pt idx="2627">
                  <c:v>39154</c:v>
                </c:pt>
                <c:pt idx="2628">
                  <c:v>39155</c:v>
                </c:pt>
                <c:pt idx="2629">
                  <c:v>39156</c:v>
                </c:pt>
                <c:pt idx="2630">
                  <c:v>39157</c:v>
                </c:pt>
                <c:pt idx="2631">
                  <c:v>39158</c:v>
                </c:pt>
                <c:pt idx="2632">
                  <c:v>39159</c:v>
                </c:pt>
                <c:pt idx="2633">
                  <c:v>39160</c:v>
                </c:pt>
                <c:pt idx="2634">
                  <c:v>39161</c:v>
                </c:pt>
                <c:pt idx="2635">
                  <c:v>39162</c:v>
                </c:pt>
                <c:pt idx="2636">
                  <c:v>39163</c:v>
                </c:pt>
                <c:pt idx="2637">
                  <c:v>39164</c:v>
                </c:pt>
                <c:pt idx="2638">
                  <c:v>39165</c:v>
                </c:pt>
                <c:pt idx="2639">
                  <c:v>39166</c:v>
                </c:pt>
                <c:pt idx="2640">
                  <c:v>39167</c:v>
                </c:pt>
                <c:pt idx="2641">
                  <c:v>39168</c:v>
                </c:pt>
                <c:pt idx="2642">
                  <c:v>39169</c:v>
                </c:pt>
                <c:pt idx="2643">
                  <c:v>39170</c:v>
                </c:pt>
                <c:pt idx="2644">
                  <c:v>39171</c:v>
                </c:pt>
                <c:pt idx="2645">
                  <c:v>39172</c:v>
                </c:pt>
                <c:pt idx="2646">
                  <c:v>39173</c:v>
                </c:pt>
                <c:pt idx="2647">
                  <c:v>39174</c:v>
                </c:pt>
                <c:pt idx="2648">
                  <c:v>39175</c:v>
                </c:pt>
                <c:pt idx="2649">
                  <c:v>39176</c:v>
                </c:pt>
                <c:pt idx="2650">
                  <c:v>39177</c:v>
                </c:pt>
                <c:pt idx="2651">
                  <c:v>39178</c:v>
                </c:pt>
                <c:pt idx="2652">
                  <c:v>39179</c:v>
                </c:pt>
                <c:pt idx="2653">
                  <c:v>39180</c:v>
                </c:pt>
                <c:pt idx="2654">
                  <c:v>39181</c:v>
                </c:pt>
                <c:pt idx="2655">
                  <c:v>39182</c:v>
                </c:pt>
                <c:pt idx="2656">
                  <c:v>39183</c:v>
                </c:pt>
                <c:pt idx="2657">
                  <c:v>39184</c:v>
                </c:pt>
                <c:pt idx="2658">
                  <c:v>39185</c:v>
                </c:pt>
                <c:pt idx="2659">
                  <c:v>39186</c:v>
                </c:pt>
                <c:pt idx="2660">
                  <c:v>39187</c:v>
                </c:pt>
                <c:pt idx="2661">
                  <c:v>39188</c:v>
                </c:pt>
                <c:pt idx="2662">
                  <c:v>39189</c:v>
                </c:pt>
                <c:pt idx="2663">
                  <c:v>39190</c:v>
                </c:pt>
                <c:pt idx="2664">
                  <c:v>39191</c:v>
                </c:pt>
                <c:pt idx="2665">
                  <c:v>39192</c:v>
                </c:pt>
                <c:pt idx="2666">
                  <c:v>39193</c:v>
                </c:pt>
                <c:pt idx="2667">
                  <c:v>39194</c:v>
                </c:pt>
                <c:pt idx="2668">
                  <c:v>39195</c:v>
                </c:pt>
                <c:pt idx="2669">
                  <c:v>39196</c:v>
                </c:pt>
                <c:pt idx="2670">
                  <c:v>39197</c:v>
                </c:pt>
                <c:pt idx="2671">
                  <c:v>39198</c:v>
                </c:pt>
                <c:pt idx="2672">
                  <c:v>39199</c:v>
                </c:pt>
                <c:pt idx="2673">
                  <c:v>39200</c:v>
                </c:pt>
                <c:pt idx="2674">
                  <c:v>39201</c:v>
                </c:pt>
                <c:pt idx="2675">
                  <c:v>39202</c:v>
                </c:pt>
                <c:pt idx="2676">
                  <c:v>39203</c:v>
                </c:pt>
                <c:pt idx="2677">
                  <c:v>39204</c:v>
                </c:pt>
                <c:pt idx="2678">
                  <c:v>39205</c:v>
                </c:pt>
                <c:pt idx="2679">
                  <c:v>39206</c:v>
                </c:pt>
                <c:pt idx="2680">
                  <c:v>39207</c:v>
                </c:pt>
                <c:pt idx="2681">
                  <c:v>39208</c:v>
                </c:pt>
                <c:pt idx="2682">
                  <c:v>39209</c:v>
                </c:pt>
                <c:pt idx="2683">
                  <c:v>39210</c:v>
                </c:pt>
                <c:pt idx="2684">
                  <c:v>39211</c:v>
                </c:pt>
                <c:pt idx="2685">
                  <c:v>39212</c:v>
                </c:pt>
                <c:pt idx="2686">
                  <c:v>39213</c:v>
                </c:pt>
                <c:pt idx="2687">
                  <c:v>39214</c:v>
                </c:pt>
                <c:pt idx="2688">
                  <c:v>39215</c:v>
                </c:pt>
                <c:pt idx="2689">
                  <c:v>39216</c:v>
                </c:pt>
                <c:pt idx="2690">
                  <c:v>39217</c:v>
                </c:pt>
                <c:pt idx="2691">
                  <c:v>39218</c:v>
                </c:pt>
                <c:pt idx="2692">
                  <c:v>39219</c:v>
                </c:pt>
                <c:pt idx="2693">
                  <c:v>39220</c:v>
                </c:pt>
                <c:pt idx="2694">
                  <c:v>39221</c:v>
                </c:pt>
                <c:pt idx="2695">
                  <c:v>39222</c:v>
                </c:pt>
                <c:pt idx="2696">
                  <c:v>39223</c:v>
                </c:pt>
                <c:pt idx="2697">
                  <c:v>39224</c:v>
                </c:pt>
                <c:pt idx="2698">
                  <c:v>39225</c:v>
                </c:pt>
                <c:pt idx="2699">
                  <c:v>39226</c:v>
                </c:pt>
                <c:pt idx="2700">
                  <c:v>39227</c:v>
                </c:pt>
                <c:pt idx="2701">
                  <c:v>39228</c:v>
                </c:pt>
                <c:pt idx="2702">
                  <c:v>39229</c:v>
                </c:pt>
                <c:pt idx="2703">
                  <c:v>39230</c:v>
                </c:pt>
                <c:pt idx="2704">
                  <c:v>39231</c:v>
                </c:pt>
                <c:pt idx="2705">
                  <c:v>39232</c:v>
                </c:pt>
                <c:pt idx="2706">
                  <c:v>39233</c:v>
                </c:pt>
                <c:pt idx="2707">
                  <c:v>39234</c:v>
                </c:pt>
                <c:pt idx="2708">
                  <c:v>39235</c:v>
                </c:pt>
                <c:pt idx="2709">
                  <c:v>39236</c:v>
                </c:pt>
                <c:pt idx="2710">
                  <c:v>39237</c:v>
                </c:pt>
                <c:pt idx="2711">
                  <c:v>39238</c:v>
                </c:pt>
                <c:pt idx="2712">
                  <c:v>39239</c:v>
                </c:pt>
                <c:pt idx="2713">
                  <c:v>39240</c:v>
                </c:pt>
                <c:pt idx="2714">
                  <c:v>39241</c:v>
                </c:pt>
                <c:pt idx="2715">
                  <c:v>39242</c:v>
                </c:pt>
                <c:pt idx="2716">
                  <c:v>39243</c:v>
                </c:pt>
                <c:pt idx="2717">
                  <c:v>39244</c:v>
                </c:pt>
                <c:pt idx="2718">
                  <c:v>39245</c:v>
                </c:pt>
                <c:pt idx="2719">
                  <c:v>39246</c:v>
                </c:pt>
                <c:pt idx="2720">
                  <c:v>39247</c:v>
                </c:pt>
                <c:pt idx="2721">
                  <c:v>39248</c:v>
                </c:pt>
                <c:pt idx="2722">
                  <c:v>39249</c:v>
                </c:pt>
                <c:pt idx="2723">
                  <c:v>39250</c:v>
                </c:pt>
                <c:pt idx="2724">
                  <c:v>39251</c:v>
                </c:pt>
                <c:pt idx="2725">
                  <c:v>39252</c:v>
                </c:pt>
                <c:pt idx="2726">
                  <c:v>39253</c:v>
                </c:pt>
                <c:pt idx="2727">
                  <c:v>39254</c:v>
                </c:pt>
                <c:pt idx="2728">
                  <c:v>39255</c:v>
                </c:pt>
                <c:pt idx="2729">
                  <c:v>39256</c:v>
                </c:pt>
                <c:pt idx="2730">
                  <c:v>39257</c:v>
                </c:pt>
                <c:pt idx="2731">
                  <c:v>39258</c:v>
                </c:pt>
                <c:pt idx="2732">
                  <c:v>39259</c:v>
                </c:pt>
                <c:pt idx="2733">
                  <c:v>39260</c:v>
                </c:pt>
                <c:pt idx="2734">
                  <c:v>39261</c:v>
                </c:pt>
                <c:pt idx="2735">
                  <c:v>39262</c:v>
                </c:pt>
                <c:pt idx="2736">
                  <c:v>39263</c:v>
                </c:pt>
                <c:pt idx="2737">
                  <c:v>39264</c:v>
                </c:pt>
                <c:pt idx="2738">
                  <c:v>39265</c:v>
                </c:pt>
                <c:pt idx="2739">
                  <c:v>39266</c:v>
                </c:pt>
                <c:pt idx="2740">
                  <c:v>39267</c:v>
                </c:pt>
                <c:pt idx="2741">
                  <c:v>39268</c:v>
                </c:pt>
                <c:pt idx="2742">
                  <c:v>39269</c:v>
                </c:pt>
                <c:pt idx="2743">
                  <c:v>39270</c:v>
                </c:pt>
                <c:pt idx="2744">
                  <c:v>39271</c:v>
                </c:pt>
                <c:pt idx="2745">
                  <c:v>39272</c:v>
                </c:pt>
                <c:pt idx="2746">
                  <c:v>39273</c:v>
                </c:pt>
                <c:pt idx="2747">
                  <c:v>39274</c:v>
                </c:pt>
                <c:pt idx="2748">
                  <c:v>39275</c:v>
                </c:pt>
                <c:pt idx="2749">
                  <c:v>39276</c:v>
                </c:pt>
                <c:pt idx="2750">
                  <c:v>39277</c:v>
                </c:pt>
                <c:pt idx="2751">
                  <c:v>39278</c:v>
                </c:pt>
                <c:pt idx="2752">
                  <c:v>39279</c:v>
                </c:pt>
                <c:pt idx="2753">
                  <c:v>39280</c:v>
                </c:pt>
                <c:pt idx="2754">
                  <c:v>39281</c:v>
                </c:pt>
                <c:pt idx="2755">
                  <c:v>39282</c:v>
                </c:pt>
                <c:pt idx="2756">
                  <c:v>39283</c:v>
                </c:pt>
                <c:pt idx="2757">
                  <c:v>39284</c:v>
                </c:pt>
                <c:pt idx="2758">
                  <c:v>39285</c:v>
                </c:pt>
                <c:pt idx="2759">
                  <c:v>39286</c:v>
                </c:pt>
                <c:pt idx="2760">
                  <c:v>39287</c:v>
                </c:pt>
                <c:pt idx="2761">
                  <c:v>39288</c:v>
                </c:pt>
                <c:pt idx="2762">
                  <c:v>39289</c:v>
                </c:pt>
                <c:pt idx="2763">
                  <c:v>39290</c:v>
                </c:pt>
                <c:pt idx="2764">
                  <c:v>39291</c:v>
                </c:pt>
                <c:pt idx="2765">
                  <c:v>39292</c:v>
                </c:pt>
                <c:pt idx="2766">
                  <c:v>39293</c:v>
                </c:pt>
                <c:pt idx="2767">
                  <c:v>39294</c:v>
                </c:pt>
                <c:pt idx="2768">
                  <c:v>39295</c:v>
                </c:pt>
                <c:pt idx="2769">
                  <c:v>39296</c:v>
                </c:pt>
                <c:pt idx="2770">
                  <c:v>39297</c:v>
                </c:pt>
                <c:pt idx="2771">
                  <c:v>39298</c:v>
                </c:pt>
                <c:pt idx="2772">
                  <c:v>39299</c:v>
                </c:pt>
                <c:pt idx="2773">
                  <c:v>39300</c:v>
                </c:pt>
                <c:pt idx="2774">
                  <c:v>39301</c:v>
                </c:pt>
                <c:pt idx="2775">
                  <c:v>39302</c:v>
                </c:pt>
                <c:pt idx="2776">
                  <c:v>39303</c:v>
                </c:pt>
                <c:pt idx="2777">
                  <c:v>39304</c:v>
                </c:pt>
                <c:pt idx="2778">
                  <c:v>39305</c:v>
                </c:pt>
                <c:pt idx="2779">
                  <c:v>39306</c:v>
                </c:pt>
                <c:pt idx="2780">
                  <c:v>39307</c:v>
                </c:pt>
                <c:pt idx="2781">
                  <c:v>39308</c:v>
                </c:pt>
                <c:pt idx="2782">
                  <c:v>39309</c:v>
                </c:pt>
                <c:pt idx="2783">
                  <c:v>39310</c:v>
                </c:pt>
                <c:pt idx="2784">
                  <c:v>39311</c:v>
                </c:pt>
                <c:pt idx="2785">
                  <c:v>39312</c:v>
                </c:pt>
                <c:pt idx="2786">
                  <c:v>39313</c:v>
                </c:pt>
                <c:pt idx="2787">
                  <c:v>39314</c:v>
                </c:pt>
                <c:pt idx="2788">
                  <c:v>39315</c:v>
                </c:pt>
                <c:pt idx="2789">
                  <c:v>39316</c:v>
                </c:pt>
                <c:pt idx="2790">
                  <c:v>39317</c:v>
                </c:pt>
                <c:pt idx="2791">
                  <c:v>39318</c:v>
                </c:pt>
                <c:pt idx="2792">
                  <c:v>39319</c:v>
                </c:pt>
                <c:pt idx="2793">
                  <c:v>39320</c:v>
                </c:pt>
                <c:pt idx="2794">
                  <c:v>39321</c:v>
                </c:pt>
                <c:pt idx="2795">
                  <c:v>39322</c:v>
                </c:pt>
                <c:pt idx="2796">
                  <c:v>39323</c:v>
                </c:pt>
                <c:pt idx="2797">
                  <c:v>39324</c:v>
                </c:pt>
                <c:pt idx="2798">
                  <c:v>39325</c:v>
                </c:pt>
                <c:pt idx="2799">
                  <c:v>39326</c:v>
                </c:pt>
                <c:pt idx="2800">
                  <c:v>39327</c:v>
                </c:pt>
                <c:pt idx="2801">
                  <c:v>39328</c:v>
                </c:pt>
                <c:pt idx="2802">
                  <c:v>39329</c:v>
                </c:pt>
                <c:pt idx="2803">
                  <c:v>39330</c:v>
                </c:pt>
                <c:pt idx="2804">
                  <c:v>39331</c:v>
                </c:pt>
                <c:pt idx="2805">
                  <c:v>39332</c:v>
                </c:pt>
                <c:pt idx="2806">
                  <c:v>39333</c:v>
                </c:pt>
                <c:pt idx="2807">
                  <c:v>39334</c:v>
                </c:pt>
                <c:pt idx="2808">
                  <c:v>39335</c:v>
                </c:pt>
                <c:pt idx="2809">
                  <c:v>39336</c:v>
                </c:pt>
                <c:pt idx="2810">
                  <c:v>39337</c:v>
                </c:pt>
                <c:pt idx="2811">
                  <c:v>39338</c:v>
                </c:pt>
                <c:pt idx="2812">
                  <c:v>39339</c:v>
                </c:pt>
                <c:pt idx="2813">
                  <c:v>39340</c:v>
                </c:pt>
                <c:pt idx="2814">
                  <c:v>39341</c:v>
                </c:pt>
                <c:pt idx="2815">
                  <c:v>39342</c:v>
                </c:pt>
                <c:pt idx="2816">
                  <c:v>39343</c:v>
                </c:pt>
                <c:pt idx="2817">
                  <c:v>39344</c:v>
                </c:pt>
                <c:pt idx="2818">
                  <c:v>39345</c:v>
                </c:pt>
                <c:pt idx="2819">
                  <c:v>39346</c:v>
                </c:pt>
                <c:pt idx="2820">
                  <c:v>39347</c:v>
                </c:pt>
                <c:pt idx="2821">
                  <c:v>39348</c:v>
                </c:pt>
                <c:pt idx="2822">
                  <c:v>39349</c:v>
                </c:pt>
                <c:pt idx="2823">
                  <c:v>39350</c:v>
                </c:pt>
                <c:pt idx="2824">
                  <c:v>39351</c:v>
                </c:pt>
                <c:pt idx="2825">
                  <c:v>39352</c:v>
                </c:pt>
                <c:pt idx="2826">
                  <c:v>39353</c:v>
                </c:pt>
                <c:pt idx="2827">
                  <c:v>39354</c:v>
                </c:pt>
                <c:pt idx="2828">
                  <c:v>39355</c:v>
                </c:pt>
                <c:pt idx="2829">
                  <c:v>39356</c:v>
                </c:pt>
                <c:pt idx="2830">
                  <c:v>39357</c:v>
                </c:pt>
                <c:pt idx="2831">
                  <c:v>39358</c:v>
                </c:pt>
                <c:pt idx="2832">
                  <c:v>39359</c:v>
                </c:pt>
                <c:pt idx="2833">
                  <c:v>39360</c:v>
                </c:pt>
                <c:pt idx="2834">
                  <c:v>39361</c:v>
                </c:pt>
                <c:pt idx="2835">
                  <c:v>39362</c:v>
                </c:pt>
                <c:pt idx="2836">
                  <c:v>39363</c:v>
                </c:pt>
                <c:pt idx="2837">
                  <c:v>39364</c:v>
                </c:pt>
                <c:pt idx="2838">
                  <c:v>39365</c:v>
                </c:pt>
                <c:pt idx="2839">
                  <c:v>39366</c:v>
                </c:pt>
                <c:pt idx="2840">
                  <c:v>39367</c:v>
                </c:pt>
                <c:pt idx="2841">
                  <c:v>39368</c:v>
                </c:pt>
                <c:pt idx="2842">
                  <c:v>39369</c:v>
                </c:pt>
                <c:pt idx="2843">
                  <c:v>39370</c:v>
                </c:pt>
                <c:pt idx="2844">
                  <c:v>39371</c:v>
                </c:pt>
                <c:pt idx="2845">
                  <c:v>39372</c:v>
                </c:pt>
                <c:pt idx="2846">
                  <c:v>39373</c:v>
                </c:pt>
                <c:pt idx="2847">
                  <c:v>39374</c:v>
                </c:pt>
                <c:pt idx="2848">
                  <c:v>39375</c:v>
                </c:pt>
                <c:pt idx="2849">
                  <c:v>39376</c:v>
                </c:pt>
                <c:pt idx="2850">
                  <c:v>39377</c:v>
                </c:pt>
                <c:pt idx="2851">
                  <c:v>39378</c:v>
                </c:pt>
                <c:pt idx="2852">
                  <c:v>39379</c:v>
                </c:pt>
                <c:pt idx="2853">
                  <c:v>39380</c:v>
                </c:pt>
                <c:pt idx="2854">
                  <c:v>39381</c:v>
                </c:pt>
                <c:pt idx="2855">
                  <c:v>39382</c:v>
                </c:pt>
                <c:pt idx="2856">
                  <c:v>39383</c:v>
                </c:pt>
                <c:pt idx="2857">
                  <c:v>39384</c:v>
                </c:pt>
                <c:pt idx="2858">
                  <c:v>39385</c:v>
                </c:pt>
                <c:pt idx="2859">
                  <c:v>39386</c:v>
                </c:pt>
                <c:pt idx="2860">
                  <c:v>39387</c:v>
                </c:pt>
                <c:pt idx="2861">
                  <c:v>39388</c:v>
                </c:pt>
                <c:pt idx="2862">
                  <c:v>39389</c:v>
                </c:pt>
                <c:pt idx="2863">
                  <c:v>39390</c:v>
                </c:pt>
                <c:pt idx="2864">
                  <c:v>39391</c:v>
                </c:pt>
                <c:pt idx="2865">
                  <c:v>39392</c:v>
                </c:pt>
                <c:pt idx="2866">
                  <c:v>39393</c:v>
                </c:pt>
                <c:pt idx="2867">
                  <c:v>39394</c:v>
                </c:pt>
                <c:pt idx="2868">
                  <c:v>39395</c:v>
                </c:pt>
                <c:pt idx="2869">
                  <c:v>39396</c:v>
                </c:pt>
                <c:pt idx="2870">
                  <c:v>39397</c:v>
                </c:pt>
                <c:pt idx="2871">
                  <c:v>39398</c:v>
                </c:pt>
                <c:pt idx="2872">
                  <c:v>39399</c:v>
                </c:pt>
                <c:pt idx="2873">
                  <c:v>39400</c:v>
                </c:pt>
                <c:pt idx="2874">
                  <c:v>39401</c:v>
                </c:pt>
                <c:pt idx="2875">
                  <c:v>39402</c:v>
                </c:pt>
                <c:pt idx="2876">
                  <c:v>39403</c:v>
                </c:pt>
                <c:pt idx="2877">
                  <c:v>39404</c:v>
                </c:pt>
                <c:pt idx="2878">
                  <c:v>39405</c:v>
                </c:pt>
                <c:pt idx="2879">
                  <c:v>39406</c:v>
                </c:pt>
                <c:pt idx="2880">
                  <c:v>39407</c:v>
                </c:pt>
                <c:pt idx="2881">
                  <c:v>39408</c:v>
                </c:pt>
                <c:pt idx="2882">
                  <c:v>39409</c:v>
                </c:pt>
                <c:pt idx="2883">
                  <c:v>39410</c:v>
                </c:pt>
                <c:pt idx="2884">
                  <c:v>39411</c:v>
                </c:pt>
                <c:pt idx="2885">
                  <c:v>39412</c:v>
                </c:pt>
                <c:pt idx="2886">
                  <c:v>39413</c:v>
                </c:pt>
                <c:pt idx="2887">
                  <c:v>39414</c:v>
                </c:pt>
                <c:pt idx="2888">
                  <c:v>39415</c:v>
                </c:pt>
                <c:pt idx="2889">
                  <c:v>39416</c:v>
                </c:pt>
                <c:pt idx="2890">
                  <c:v>39417</c:v>
                </c:pt>
                <c:pt idx="2891">
                  <c:v>39418</c:v>
                </c:pt>
                <c:pt idx="2892">
                  <c:v>39419</c:v>
                </c:pt>
                <c:pt idx="2893">
                  <c:v>39420</c:v>
                </c:pt>
                <c:pt idx="2894">
                  <c:v>39421</c:v>
                </c:pt>
                <c:pt idx="2895">
                  <c:v>39422</c:v>
                </c:pt>
                <c:pt idx="2896">
                  <c:v>39423</c:v>
                </c:pt>
                <c:pt idx="2897">
                  <c:v>39424</c:v>
                </c:pt>
                <c:pt idx="2898">
                  <c:v>39425</c:v>
                </c:pt>
                <c:pt idx="2899">
                  <c:v>39426</c:v>
                </c:pt>
                <c:pt idx="2900">
                  <c:v>39427</c:v>
                </c:pt>
                <c:pt idx="2901">
                  <c:v>39428</c:v>
                </c:pt>
                <c:pt idx="2902">
                  <c:v>39429</c:v>
                </c:pt>
                <c:pt idx="2903">
                  <c:v>39430</c:v>
                </c:pt>
                <c:pt idx="2904">
                  <c:v>39431</c:v>
                </c:pt>
                <c:pt idx="2905">
                  <c:v>39432</c:v>
                </c:pt>
                <c:pt idx="2906">
                  <c:v>39433</c:v>
                </c:pt>
                <c:pt idx="2907">
                  <c:v>39434</c:v>
                </c:pt>
                <c:pt idx="2908">
                  <c:v>39435</c:v>
                </c:pt>
                <c:pt idx="2909">
                  <c:v>39436</c:v>
                </c:pt>
                <c:pt idx="2910">
                  <c:v>39437</c:v>
                </c:pt>
                <c:pt idx="2911">
                  <c:v>39438</c:v>
                </c:pt>
                <c:pt idx="2912">
                  <c:v>39439</c:v>
                </c:pt>
                <c:pt idx="2913">
                  <c:v>39440</c:v>
                </c:pt>
                <c:pt idx="2914">
                  <c:v>39441</c:v>
                </c:pt>
                <c:pt idx="2915">
                  <c:v>39442</c:v>
                </c:pt>
                <c:pt idx="2916">
                  <c:v>39443</c:v>
                </c:pt>
                <c:pt idx="2917">
                  <c:v>39444</c:v>
                </c:pt>
                <c:pt idx="2918">
                  <c:v>39445</c:v>
                </c:pt>
                <c:pt idx="2919">
                  <c:v>39446</c:v>
                </c:pt>
                <c:pt idx="2920">
                  <c:v>39447</c:v>
                </c:pt>
                <c:pt idx="2921">
                  <c:v>39448</c:v>
                </c:pt>
                <c:pt idx="2922">
                  <c:v>39449</c:v>
                </c:pt>
                <c:pt idx="2923">
                  <c:v>39450</c:v>
                </c:pt>
                <c:pt idx="2924">
                  <c:v>39451</c:v>
                </c:pt>
                <c:pt idx="2925">
                  <c:v>39452</c:v>
                </c:pt>
                <c:pt idx="2926">
                  <c:v>39453</c:v>
                </c:pt>
                <c:pt idx="2927">
                  <c:v>39454</c:v>
                </c:pt>
                <c:pt idx="2928">
                  <c:v>39455</c:v>
                </c:pt>
                <c:pt idx="2929">
                  <c:v>39456</c:v>
                </c:pt>
                <c:pt idx="2930">
                  <c:v>39457</c:v>
                </c:pt>
                <c:pt idx="2931">
                  <c:v>39458</c:v>
                </c:pt>
                <c:pt idx="2932">
                  <c:v>39459</c:v>
                </c:pt>
                <c:pt idx="2933">
                  <c:v>39460</c:v>
                </c:pt>
                <c:pt idx="2934">
                  <c:v>39461</c:v>
                </c:pt>
                <c:pt idx="2935">
                  <c:v>39462</c:v>
                </c:pt>
                <c:pt idx="2936">
                  <c:v>39463</c:v>
                </c:pt>
                <c:pt idx="2937">
                  <c:v>39464</c:v>
                </c:pt>
                <c:pt idx="2938">
                  <c:v>39465</c:v>
                </c:pt>
                <c:pt idx="2939">
                  <c:v>39466</c:v>
                </c:pt>
                <c:pt idx="2940">
                  <c:v>39467</c:v>
                </c:pt>
                <c:pt idx="2941">
                  <c:v>39468</c:v>
                </c:pt>
                <c:pt idx="2942">
                  <c:v>39469</c:v>
                </c:pt>
                <c:pt idx="2943">
                  <c:v>39470</c:v>
                </c:pt>
                <c:pt idx="2944">
                  <c:v>39471</c:v>
                </c:pt>
                <c:pt idx="2945">
                  <c:v>39472</c:v>
                </c:pt>
                <c:pt idx="2946">
                  <c:v>39473</c:v>
                </c:pt>
                <c:pt idx="2947">
                  <c:v>39474</c:v>
                </c:pt>
                <c:pt idx="2948">
                  <c:v>39475</c:v>
                </c:pt>
                <c:pt idx="2949">
                  <c:v>39476</c:v>
                </c:pt>
                <c:pt idx="2950">
                  <c:v>39477</c:v>
                </c:pt>
                <c:pt idx="2951">
                  <c:v>39478</c:v>
                </c:pt>
                <c:pt idx="2952">
                  <c:v>39479</c:v>
                </c:pt>
                <c:pt idx="2953">
                  <c:v>39480</c:v>
                </c:pt>
                <c:pt idx="2954">
                  <c:v>39481</c:v>
                </c:pt>
                <c:pt idx="2955">
                  <c:v>39482</c:v>
                </c:pt>
                <c:pt idx="2956">
                  <c:v>39483</c:v>
                </c:pt>
                <c:pt idx="2957">
                  <c:v>39484</c:v>
                </c:pt>
                <c:pt idx="2958">
                  <c:v>39485</c:v>
                </c:pt>
                <c:pt idx="2959">
                  <c:v>39486</c:v>
                </c:pt>
                <c:pt idx="2960">
                  <c:v>39487</c:v>
                </c:pt>
                <c:pt idx="2961">
                  <c:v>39488</c:v>
                </c:pt>
                <c:pt idx="2962">
                  <c:v>39489</c:v>
                </c:pt>
                <c:pt idx="2963">
                  <c:v>39490</c:v>
                </c:pt>
                <c:pt idx="2964">
                  <c:v>39491</c:v>
                </c:pt>
                <c:pt idx="2965">
                  <c:v>39492</c:v>
                </c:pt>
                <c:pt idx="2966">
                  <c:v>39493</c:v>
                </c:pt>
                <c:pt idx="2967">
                  <c:v>39494</c:v>
                </c:pt>
                <c:pt idx="2968">
                  <c:v>39495</c:v>
                </c:pt>
                <c:pt idx="2969">
                  <c:v>39496</c:v>
                </c:pt>
                <c:pt idx="2970">
                  <c:v>39497</c:v>
                </c:pt>
                <c:pt idx="2971">
                  <c:v>39498</c:v>
                </c:pt>
                <c:pt idx="2972">
                  <c:v>39499</c:v>
                </c:pt>
                <c:pt idx="2973">
                  <c:v>39500</c:v>
                </c:pt>
                <c:pt idx="2974">
                  <c:v>39501</c:v>
                </c:pt>
                <c:pt idx="2975">
                  <c:v>39502</c:v>
                </c:pt>
                <c:pt idx="2976">
                  <c:v>39503</c:v>
                </c:pt>
                <c:pt idx="2977">
                  <c:v>39504</c:v>
                </c:pt>
                <c:pt idx="2978">
                  <c:v>39505</c:v>
                </c:pt>
                <c:pt idx="2979">
                  <c:v>39506</c:v>
                </c:pt>
                <c:pt idx="2980">
                  <c:v>39507</c:v>
                </c:pt>
                <c:pt idx="2981">
                  <c:v>39508</c:v>
                </c:pt>
                <c:pt idx="2982">
                  <c:v>39509</c:v>
                </c:pt>
                <c:pt idx="2983">
                  <c:v>39510</c:v>
                </c:pt>
                <c:pt idx="2984">
                  <c:v>39511</c:v>
                </c:pt>
                <c:pt idx="2985">
                  <c:v>39512</c:v>
                </c:pt>
                <c:pt idx="2986">
                  <c:v>39513</c:v>
                </c:pt>
                <c:pt idx="2987">
                  <c:v>39514</c:v>
                </c:pt>
                <c:pt idx="2988">
                  <c:v>39515</c:v>
                </c:pt>
                <c:pt idx="2989">
                  <c:v>39516</c:v>
                </c:pt>
                <c:pt idx="2990">
                  <c:v>39517</c:v>
                </c:pt>
                <c:pt idx="2991">
                  <c:v>39518</c:v>
                </c:pt>
                <c:pt idx="2992">
                  <c:v>39519</c:v>
                </c:pt>
                <c:pt idx="2993">
                  <c:v>39520</c:v>
                </c:pt>
                <c:pt idx="2994">
                  <c:v>39521</c:v>
                </c:pt>
                <c:pt idx="2995">
                  <c:v>39522</c:v>
                </c:pt>
                <c:pt idx="2996">
                  <c:v>39523</c:v>
                </c:pt>
                <c:pt idx="2997">
                  <c:v>39524</c:v>
                </c:pt>
                <c:pt idx="2998">
                  <c:v>39525</c:v>
                </c:pt>
                <c:pt idx="2999">
                  <c:v>39526</c:v>
                </c:pt>
                <c:pt idx="3000">
                  <c:v>39527</c:v>
                </c:pt>
                <c:pt idx="3001">
                  <c:v>39528</c:v>
                </c:pt>
                <c:pt idx="3002">
                  <c:v>39529</c:v>
                </c:pt>
                <c:pt idx="3003">
                  <c:v>39530</c:v>
                </c:pt>
                <c:pt idx="3004">
                  <c:v>39531</c:v>
                </c:pt>
                <c:pt idx="3005">
                  <c:v>39532</c:v>
                </c:pt>
                <c:pt idx="3006">
                  <c:v>39533</c:v>
                </c:pt>
                <c:pt idx="3007">
                  <c:v>39534</c:v>
                </c:pt>
                <c:pt idx="3008">
                  <c:v>39535</c:v>
                </c:pt>
                <c:pt idx="3009">
                  <c:v>39536</c:v>
                </c:pt>
                <c:pt idx="3010">
                  <c:v>39537</c:v>
                </c:pt>
                <c:pt idx="3011">
                  <c:v>39538</c:v>
                </c:pt>
                <c:pt idx="3012">
                  <c:v>39539</c:v>
                </c:pt>
                <c:pt idx="3013">
                  <c:v>39540</c:v>
                </c:pt>
                <c:pt idx="3014">
                  <c:v>39541</c:v>
                </c:pt>
                <c:pt idx="3015">
                  <c:v>39542</c:v>
                </c:pt>
                <c:pt idx="3016">
                  <c:v>39543</c:v>
                </c:pt>
                <c:pt idx="3017">
                  <c:v>39544</c:v>
                </c:pt>
                <c:pt idx="3018">
                  <c:v>39545</c:v>
                </c:pt>
                <c:pt idx="3019">
                  <c:v>39546</c:v>
                </c:pt>
                <c:pt idx="3020">
                  <c:v>39547</c:v>
                </c:pt>
                <c:pt idx="3021">
                  <c:v>39548</c:v>
                </c:pt>
                <c:pt idx="3022">
                  <c:v>39549</c:v>
                </c:pt>
                <c:pt idx="3023">
                  <c:v>39550</c:v>
                </c:pt>
                <c:pt idx="3024">
                  <c:v>39551</c:v>
                </c:pt>
                <c:pt idx="3025">
                  <c:v>39552</c:v>
                </c:pt>
                <c:pt idx="3026">
                  <c:v>39553</c:v>
                </c:pt>
                <c:pt idx="3027">
                  <c:v>39554</c:v>
                </c:pt>
                <c:pt idx="3028">
                  <c:v>39555</c:v>
                </c:pt>
                <c:pt idx="3029">
                  <c:v>39556</c:v>
                </c:pt>
                <c:pt idx="3030">
                  <c:v>39557</c:v>
                </c:pt>
                <c:pt idx="3031">
                  <c:v>39558</c:v>
                </c:pt>
                <c:pt idx="3032">
                  <c:v>39559</c:v>
                </c:pt>
                <c:pt idx="3033">
                  <c:v>39560</c:v>
                </c:pt>
                <c:pt idx="3034">
                  <c:v>39561</c:v>
                </c:pt>
                <c:pt idx="3035">
                  <c:v>39562</c:v>
                </c:pt>
                <c:pt idx="3036">
                  <c:v>39563</c:v>
                </c:pt>
                <c:pt idx="3037">
                  <c:v>39564</c:v>
                </c:pt>
                <c:pt idx="3038">
                  <c:v>39565</c:v>
                </c:pt>
                <c:pt idx="3039">
                  <c:v>39566</c:v>
                </c:pt>
                <c:pt idx="3040">
                  <c:v>39567</c:v>
                </c:pt>
                <c:pt idx="3041">
                  <c:v>39568</c:v>
                </c:pt>
                <c:pt idx="3042">
                  <c:v>39569</c:v>
                </c:pt>
                <c:pt idx="3043">
                  <c:v>39570</c:v>
                </c:pt>
                <c:pt idx="3044">
                  <c:v>39571</c:v>
                </c:pt>
                <c:pt idx="3045">
                  <c:v>39572</c:v>
                </c:pt>
                <c:pt idx="3046">
                  <c:v>39573</c:v>
                </c:pt>
                <c:pt idx="3047">
                  <c:v>39574</c:v>
                </c:pt>
                <c:pt idx="3048">
                  <c:v>39575</c:v>
                </c:pt>
                <c:pt idx="3049">
                  <c:v>39576</c:v>
                </c:pt>
                <c:pt idx="3050">
                  <c:v>39577</c:v>
                </c:pt>
                <c:pt idx="3051">
                  <c:v>39578</c:v>
                </c:pt>
                <c:pt idx="3052">
                  <c:v>39579</c:v>
                </c:pt>
                <c:pt idx="3053">
                  <c:v>39580</c:v>
                </c:pt>
                <c:pt idx="3054">
                  <c:v>39581</c:v>
                </c:pt>
                <c:pt idx="3055">
                  <c:v>39582</c:v>
                </c:pt>
                <c:pt idx="3056">
                  <c:v>39583</c:v>
                </c:pt>
                <c:pt idx="3057">
                  <c:v>39584</c:v>
                </c:pt>
                <c:pt idx="3058">
                  <c:v>39585</c:v>
                </c:pt>
                <c:pt idx="3059">
                  <c:v>39586</c:v>
                </c:pt>
                <c:pt idx="3060">
                  <c:v>39587</c:v>
                </c:pt>
                <c:pt idx="3061">
                  <c:v>39588</c:v>
                </c:pt>
                <c:pt idx="3062">
                  <c:v>39589</c:v>
                </c:pt>
                <c:pt idx="3063">
                  <c:v>39590</c:v>
                </c:pt>
                <c:pt idx="3064">
                  <c:v>39591</c:v>
                </c:pt>
                <c:pt idx="3065">
                  <c:v>39592</c:v>
                </c:pt>
                <c:pt idx="3066">
                  <c:v>39593</c:v>
                </c:pt>
                <c:pt idx="3067">
                  <c:v>39594</c:v>
                </c:pt>
                <c:pt idx="3068">
                  <c:v>39595</c:v>
                </c:pt>
                <c:pt idx="3069">
                  <c:v>39596</c:v>
                </c:pt>
                <c:pt idx="3070">
                  <c:v>39597</c:v>
                </c:pt>
                <c:pt idx="3071">
                  <c:v>39598</c:v>
                </c:pt>
                <c:pt idx="3072">
                  <c:v>39599</c:v>
                </c:pt>
                <c:pt idx="3073">
                  <c:v>39600</c:v>
                </c:pt>
                <c:pt idx="3074">
                  <c:v>39601</c:v>
                </c:pt>
                <c:pt idx="3075">
                  <c:v>39602</c:v>
                </c:pt>
                <c:pt idx="3076">
                  <c:v>39603</c:v>
                </c:pt>
                <c:pt idx="3077">
                  <c:v>39604</c:v>
                </c:pt>
                <c:pt idx="3078">
                  <c:v>39605</c:v>
                </c:pt>
                <c:pt idx="3079">
                  <c:v>39606</c:v>
                </c:pt>
                <c:pt idx="3080">
                  <c:v>39607</c:v>
                </c:pt>
                <c:pt idx="3081">
                  <c:v>39608</c:v>
                </c:pt>
                <c:pt idx="3082">
                  <c:v>39609</c:v>
                </c:pt>
                <c:pt idx="3083">
                  <c:v>39610</c:v>
                </c:pt>
                <c:pt idx="3084">
                  <c:v>39611</c:v>
                </c:pt>
                <c:pt idx="3085">
                  <c:v>39612</c:v>
                </c:pt>
                <c:pt idx="3086">
                  <c:v>39613</c:v>
                </c:pt>
                <c:pt idx="3087">
                  <c:v>39614</c:v>
                </c:pt>
                <c:pt idx="3088">
                  <c:v>39615</c:v>
                </c:pt>
                <c:pt idx="3089">
                  <c:v>39616</c:v>
                </c:pt>
                <c:pt idx="3090">
                  <c:v>39617</c:v>
                </c:pt>
                <c:pt idx="3091">
                  <c:v>39618</c:v>
                </c:pt>
                <c:pt idx="3092">
                  <c:v>39619</c:v>
                </c:pt>
                <c:pt idx="3093">
                  <c:v>39620</c:v>
                </c:pt>
                <c:pt idx="3094">
                  <c:v>39621</c:v>
                </c:pt>
                <c:pt idx="3095">
                  <c:v>39622</c:v>
                </c:pt>
                <c:pt idx="3096">
                  <c:v>39623</c:v>
                </c:pt>
                <c:pt idx="3097">
                  <c:v>39624</c:v>
                </c:pt>
                <c:pt idx="3098">
                  <c:v>39625</c:v>
                </c:pt>
                <c:pt idx="3099">
                  <c:v>39626</c:v>
                </c:pt>
                <c:pt idx="3100">
                  <c:v>39627</c:v>
                </c:pt>
                <c:pt idx="3101">
                  <c:v>39628</c:v>
                </c:pt>
                <c:pt idx="3102">
                  <c:v>39629</c:v>
                </c:pt>
                <c:pt idx="3103">
                  <c:v>39630</c:v>
                </c:pt>
                <c:pt idx="3104">
                  <c:v>39631</c:v>
                </c:pt>
                <c:pt idx="3105">
                  <c:v>39632</c:v>
                </c:pt>
                <c:pt idx="3106">
                  <c:v>39633</c:v>
                </c:pt>
                <c:pt idx="3107">
                  <c:v>39634</c:v>
                </c:pt>
                <c:pt idx="3108">
                  <c:v>39635</c:v>
                </c:pt>
                <c:pt idx="3109">
                  <c:v>39636</c:v>
                </c:pt>
                <c:pt idx="3110">
                  <c:v>39637</c:v>
                </c:pt>
                <c:pt idx="3111">
                  <c:v>39638</c:v>
                </c:pt>
                <c:pt idx="3112">
                  <c:v>39639</c:v>
                </c:pt>
                <c:pt idx="3113">
                  <c:v>39640</c:v>
                </c:pt>
                <c:pt idx="3114">
                  <c:v>39641</c:v>
                </c:pt>
                <c:pt idx="3115">
                  <c:v>39642</c:v>
                </c:pt>
                <c:pt idx="3116">
                  <c:v>39643</c:v>
                </c:pt>
                <c:pt idx="3117">
                  <c:v>39644</c:v>
                </c:pt>
                <c:pt idx="3118">
                  <c:v>39645</c:v>
                </c:pt>
                <c:pt idx="3119">
                  <c:v>39646</c:v>
                </c:pt>
                <c:pt idx="3120">
                  <c:v>39647</c:v>
                </c:pt>
                <c:pt idx="3121">
                  <c:v>39648</c:v>
                </c:pt>
                <c:pt idx="3122">
                  <c:v>39649</c:v>
                </c:pt>
                <c:pt idx="3123">
                  <c:v>39650</c:v>
                </c:pt>
                <c:pt idx="3124">
                  <c:v>39651</c:v>
                </c:pt>
                <c:pt idx="3125">
                  <c:v>39652</c:v>
                </c:pt>
                <c:pt idx="3126">
                  <c:v>39653</c:v>
                </c:pt>
                <c:pt idx="3127">
                  <c:v>39654</c:v>
                </c:pt>
                <c:pt idx="3128">
                  <c:v>39655</c:v>
                </c:pt>
                <c:pt idx="3129">
                  <c:v>39656</c:v>
                </c:pt>
                <c:pt idx="3130">
                  <c:v>39657</c:v>
                </c:pt>
                <c:pt idx="3131">
                  <c:v>39658</c:v>
                </c:pt>
                <c:pt idx="3132">
                  <c:v>39659</c:v>
                </c:pt>
                <c:pt idx="3133">
                  <c:v>39660</c:v>
                </c:pt>
                <c:pt idx="3134">
                  <c:v>39661</c:v>
                </c:pt>
                <c:pt idx="3135">
                  <c:v>39662</c:v>
                </c:pt>
                <c:pt idx="3136">
                  <c:v>39663</c:v>
                </c:pt>
                <c:pt idx="3137">
                  <c:v>39664</c:v>
                </c:pt>
                <c:pt idx="3138">
                  <c:v>39665</c:v>
                </c:pt>
                <c:pt idx="3139">
                  <c:v>39666</c:v>
                </c:pt>
                <c:pt idx="3140">
                  <c:v>39667</c:v>
                </c:pt>
                <c:pt idx="3141">
                  <c:v>39668</c:v>
                </c:pt>
                <c:pt idx="3142">
                  <c:v>39669</c:v>
                </c:pt>
                <c:pt idx="3143">
                  <c:v>39670</c:v>
                </c:pt>
                <c:pt idx="3144">
                  <c:v>39671</c:v>
                </c:pt>
                <c:pt idx="3145">
                  <c:v>39672</c:v>
                </c:pt>
                <c:pt idx="3146">
                  <c:v>39673</c:v>
                </c:pt>
                <c:pt idx="3147">
                  <c:v>39674</c:v>
                </c:pt>
                <c:pt idx="3148">
                  <c:v>39675</c:v>
                </c:pt>
                <c:pt idx="3149">
                  <c:v>39676</c:v>
                </c:pt>
                <c:pt idx="3150">
                  <c:v>39677</c:v>
                </c:pt>
                <c:pt idx="3151">
                  <c:v>39678</c:v>
                </c:pt>
                <c:pt idx="3152">
                  <c:v>39679</c:v>
                </c:pt>
                <c:pt idx="3153">
                  <c:v>39680</c:v>
                </c:pt>
                <c:pt idx="3154">
                  <c:v>39681</c:v>
                </c:pt>
                <c:pt idx="3155">
                  <c:v>39682</c:v>
                </c:pt>
                <c:pt idx="3156">
                  <c:v>39683</c:v>
                </c:pt>
                <c:pt idx="3157">
                  <c:v>39684</c:v>
                </c:pt>
                <c:pt idx="3158">
                  <c:v>39685</c:v>
                </c:pt>
                <c:pt idx="3159">
                  <c:v>39686</c:v>
                </c:pt>
                <c:pt idx="3160">
                  <c:v>39687</c:v>
                </c:pt>
                <c:pt idx="3161">
                  <c:v>39688</c:v>
                </c:pt>
                <c:pt idx="3162">
                  <c:v>39689</c:v>
                </c:pt>
                <c:pt idx="3163">
                  <c:v>39690</c:v>
                </c:pt>
                <c:pt idx="3164">
                  <c:v>39691</c:v>
                </c:pt>
                <c:pt idx="3165">
                  <c:v>39692</c:v>
                </c:pt>
                <c:pt idx="3166">
                  <c:v>39693</c:v>
                </c:pt>
                <c:pt idx="3167">
                  <c:v>39694</c:v>
                </c:pt>
                <c:pt idx="3168">
                  <c:v>39695</c:v>
                </c:pt>
                <c:pt idx="3169">
                  <c:v>39696</c:v>
                </c:pt>
                <c:pt idx="3170">
                  <c:v>39697</c:v>
                </c:pt>
                <c:pt idx="3171">
                  <c:v>39698</c:v>
                </c:pt>
                <c:pt idx="3172">
                  <c:v>39699</c:v>
                </c:pt>
                <c:pt idx="3173">
                  <c:v>39700</c:v>
                </c:pt>
                <c:pt idx="3174">
                  <c:v>39701</c:v>
                </c:pt>
                <c:pt idx="3175">
                  <c:v>39702</c:v>
                </c:pt>
                <c:pt idx="3176">
                  <c:v>39703</c:v>
                </c:pt>
                <c:pt idx="3177">
                  <c:v>39704</c:v>
                </c:pt>
                <c:pt idx="3178">
                  <c:v>39705</c:v>
                </c:pt>
                <c:pt idx="3179">
                  <c:v>39706</c:v>
                </c:pt>
                <c:pt idx="3180">
                  <c:v>39707</c:v>
                </c:pt>
                <c:pt idx="3181">
                  <c:v>39708</c:v>
                </c:pt>
                <c:pt idx="3182">
                  <c:v>39709</c:v>
                </c:pt>
                <c:pt idx="3183">
                  <c:v>39710</c:v>
                </c:pt>
                <c:pt idx="3184">
                  <c:v>39711</c:v>
                </c:pt>
                <c:pt idx="3185">
                  <c:v>39712</c:v>
                </c:pt>
                <c:pt idx="3186">
                  <c:v>39713</c:v>
                </c:pt>
                <c:pt idx="3187">
                  <c:v>39714</c:v>
                </c:pt>
                <c:pt idx="3188">
                  <c:v>39715</c:v>
                </c:pt>
                <c:pt idx="3189">
                  <c:v>39716</c:v>
                </c:pt>
                <c:pt idx="3190">
                  <c:v>39717</c:v>
                </c:pt>
                <c:pt idx="3191">
                  <c:v>39718</c:v>
                </c:pt>
                <c:pt idx="3192">
                  <c:v>39719</c:v>
                </c:pt>
                <c:pt idx="3193">
                  <c:v>39720</c:v>
                </c:pt>
                <c:pt idx="3194">
                  <c:v>39721</c:v>
                </c:pt>
                <c:pt idx="3195">
                  <c:v>39722</c:v>
                </c:pt>
                <c:pt idx="3196">
                  <c:v>39723</c:v>
                </c:pt>
                <c:pt idx="3197">
                  <c:v>39724</c:v>
                </c:pt>
                <c:pt idx="3198">
                  <c:v>39725</c:v>
                </c:pt>
                <c:pt idx="3199">
                  <c:v>39726</c:v>
                </c:pt>
                <c:pt idx="3200">
                  <c:v>39727</c:v>
                </c:pt>
                <c:pt idx="3201">
                  <c:v>39728</c:v>
                </c:pt>
                <c:pt idx="3202">
                  <c:v>39729</c:v>
                </c:pt>
                <c:pt idx="3203">
                  <c:v>39730</c:v>
                </c:pt>
                <c:pt idx="3204">
                  <c:v>39731</c:v>
                </c:pt>
                <c:pt idx="3205">
                  <c:v>39732</c:v>
                </c:pt>
                <c:pt idx="3206">
                  <c:v>39733</c:v>
                </c:pt>
                <c:pt idx="3207">
                  <c:v>39734</c:v>
                </c:pt>
                <c:pt idx="3208">
                  <c:v>39735</c:v>
                </c:pt>
                <c:pt idx="3209">
                  <c:v>39736</c:v>
                </c:pt>
                <c:pt idx="3210">
                  <c:v>39737</c:v>
                </c:pt>
                <c:pt idx="3211">
                  <c:v>39738</c:v>
                </c:pt>
                <c:pt idx="3212">
                  <c:v>39739</c:v>
                </c:pt>
                <c:pt idx="3213">
                  <c:v>39740</c:v>
                </c:pt>
                <c:pt idx="3214">
                  <c:v>39741</c:v>
                </c:pt>
                <c:pt idx="3215">
                  <c:v>39742</c:v>
                </c:pt>
                <c:pt idx="3216">
                  <c:v>39743</c:v>
                </c:pt>
                <c:pt idx="3217">
                  <c:v>39744</c:v>
                </c:pt>
                <c:pt idx="3218">
                  <c:v>39745</c:v>
                </c:pt>
                <c:pt idx="3219">
                  <c:v>39746</c:v>
                </c:pt>
                <c:pt idx="3220">
                  <c:v>39747</c:v>
                </c:pt>
                <c:pt idx="3221">
                  <c:v>39748</c:v>
                </c:pt>
                <c:pt idx="3222">
                  <c:v>39749</c:v>
                </c:pt>
                <c:pt idx="3223">
                  <c:v>39750</c:v>
                </c:pt>
                <c:pt idx="3224">
                  <c:v>39751</c:v>
                </c:pt>
                <c:pt idx="3225">
                  <c:v>39752</c:v>
                </c:pt>
                <c:pt idx="3226">
                  <c:v>39753</c:v>
                </c:pt>
                <c:pt idx="3227">
                  <c:v>39754</c:v>
                </c:pt>
                <c:pt idx="3228">
                  <c:v>39755</c:v>
                </c:pt>
                <c:pt idx="3229">
                  <c:v>39756</c:v>
                </c:pt>
                <c:pt idx="3230">
                  <c:v>39757</c:v>
                </c:pt>
                <c:pt idx="3231">
                  <c:v>39758</c:v>
                </c:pt>
                <c:pt idx="3232">
                  <c:v>39759</c:v>
                </c:pt>
                <c:pt idx="3233">
                  <c:v>39760</c:v>
                </c:pt>
                <c:pt idx="3234">
                  <c:v>39761</c:v>
                </c:pt>
                <c:pt idx="3235">
                  <c:v>39762</c:v>
                </c:pt>
                <c:pt idx="3236">
                  <c:v>39763</c:v>
                </c:pt>
                <c:pt idx="3237">
                  <c:v>39764</c:v>
                </c:pt>
                <c:pt idx="3238">
                  <c:v>39765</c:v>
                </c:pt>
                <c:pt idx="3239">
                  <c:v>39766</c:v>
                </c:pt>
                <c:pt idx="3240">
                  <c:v>39767</c:v>
                </c:pt>
                <c:pt idx="3241">
                  <c:v>39768</c:v>
                </c:pt>
                <c:pt idx="3242">
                  <c:v>39769</c:v>
                </c:pt>
                <c:pt idx="3243">
                  <c:v>39770</c:v>
                </c:pt>
                <c:pt idx="3244">
                  <c:v>39771</c:v>
                </c:pt>
                <c:pt idx="3245">
                  <c:v>39772</c:v>
                </c:pt>
                <c:pt idx="3246">
                  <c:v>39773</c:v>
                </c:pt>
                <c:pt idx="3247">
                  <c:v>39774</c:v>
                </c:pt>
                <c:pt idx="3248">
                  <c:v>39775</c:v>
                </c:pt>
                <c:pt idx="3249">
                  <c:v>39776</c:v>
                </c:pt>
                <c:pt idx="3250">
                  <c:v>39777</c:v>
                </c:pt>
                <c:pt idx="3251">
                  <c:v>39778</c:v>
                </c:pt>
                <c:pt idx="3252">
                  <c:v>39779</c:v>
                </c:pt>
                <c:pt idx="3253">
                  <c:v>39780</c:v>
                </c:pt>
                <c:pt idx="3254">
                  <c:v>39781</c:v>
                </c:pt>
                <c:pt idx="3255">
                  <c:v>39782</c:v>
                </c:pt>
                <c:pt idx="3256">
                  <c:v>39783</c:v>
                </c:pt>
                <c:pt idx="3257">
                  <c:v>39784</c:v>
                </c:pt>
                <c:pt idx="3258">
                  <c:v>39785</c:v>
                </c:pt>
                <c:pt idx="3259">
                  <c:v>39786</c:v>
                </c:pt>
                <c:pt idx="3260">
                  <c:v>39787</c:v>
                </c:pt>
                <c:pt idx="3261">
                  <c:v>39788</c:v>
                </c:pt>
                <c:pt idx="3262">
                  <c:v>39789</c:v>
                </c:pt>
                <c:pt idx="3263">
                  <c:v>39790</c:v>
                </c:pt>
                <c:pt idx="3264">
                  <c:v>39791</c:v>
                </c:pt>
                <c:pt idx="3265">
                  <c:v>39792</c:v>
                </c:pt>
                <c:pt idx="3266">
                  <c:v>39793</c:v>
                </c:pt>
                <c:pt idx="3267">
                  <c:v>39794</c:v>
                </c:pt>
                <c:pt idx="3268">
                  <c:v>39795</c:v>
                </c:pt>
                <c:pt idx="3269">
                  <c:v>39796</c:v>
                </c:pt>
                <c:pt idx="3270">
                  <c:v>39797</c:v>
                </c:pt>
                <c:pt idx="3271">
                  <c:v>39798</c:v>
                </c:pt>
                <c:pt idx="3272">
                  <c:v>39799</c:v>
                </c:pt>
                <c:pt idx="3273">
                  <c:v>39800</c:v>
                </c:pt>
                <c:pt idx="3274">
                  <c:v>39801</c:v>
                </c:pt>
                <c:pt idx="3275">
                  <c:v>39802</c:v>
                </c:pt>
                <c:pt idx="3276">
                  <c:v>39803</c:v>
                </c:pt>
                <c:pt idx="3277">
                  <c:v>39804</c:v>
                </c:pt>
                <c:pt idx="3278">
                  <c:v>39805</c:v>
                </c:pt>
                <c:pt idx="3279">
                  <c:v>39806</c:v>
                </c:pt>
                <c:pt idx="3280">
                  <c:v>39807</c:v>
                </c:pt>
                <c:pt idx="3281">
                  <c:v>39808</c:v>
                </c:pt>
                <c:pt idx="3282">
                  <c:v>39809</c:v>
                </c:pt>
                <c:pt idx="3283">
                  <c:v>39810</c:v>
                </c:pt>
                <c:pt idx="3284">
                  <c:v>39811</c:v>
                </c:pt>
                <c:pt idx="3285">
                  <c:v>39812</c:v>
                </c:pt>
                <c:pt idx="3286">
                  <c:v>39813</c:v>
                </c:pt>
                <c:pt idx="3287">
                  <c:v>39814</c:v>
                </c:pt>
                <c:pt idx="3288">
                  <c:v>39815</c:v>
                </c:pt>
                <c:pt idx="3289">
                  <c:v>39816</c:v>
                </c:pt>
                <c:pt idx="3290">
                  <c:v>39817</c:v>
                </c:pt>
                <c:pt idx="3291">
                  <c:v>39818</c:v>
                </c:pt>
                <c:pt idx="3292">
                  <c:v>39819</c:v>
                </c:pt>
                <c:pt idx="3293">
                  <c:v>39820</c:v>
                </c:pt>
                <c:pt idx="3294">
                  <c:v>39821</c:v>
                </c:pt>
                <c:pt idx="3295">
                  <c:v>39822</c:v>
                </c:pt>
                <c:pt idx="3296">
                  <c:v>39823</c:v>
                </c:pt>
                <c:pt idx="3297">
                  <c:v>39824</c:v>
                </c:pt>
                <c:pt idx="3298">
                  <c:v>39825</c:v>
                </c:pt>
                <c:pt idx="3299">
                  <c:v>39826</c:v>
                </c:pt>
                <c:pt idx="3300">
                  <c:v>39827</c:v>
                </c:pt>
                <c:pt idx="3301">
                  <c:v>39828</c:v>
                </c:pt>
                <c:pt idx="3302">
                  <c:v>39829</c:v>
                </c:pt>
                <c:pt idx="3303">
                  <c:v>39830</c:v>
                </c:pt>
                <c:pt idx="3304">
                  <c:v>39831</c:v>
                </c:pt>
                <c:pt idx="3305">
                  <c:v>39832</c:v>
                </c:pt>
                <c:pt idx="3306">
                  <c:v>39833</c:v>
                </c:pt>
                <c:pt idx="3307">
                  <c:v>39834</c:v>
                </c:pt>
                <c:pt idx="3308">
                  <c:v>39835</c:v>
                </c:pt>
                <c:pt idx="3309">
                  <c:v>39836</c:v>
                </c:pt>
                <c:pt idx="3310">
                  <c:v>39837</c:v>
                </c:pt>
                <c:pt idx="3311">
                  <c:v>39838</c:v>
                </c:pt>
                <c:pt idx="3312">
                  <c:v>39839</c:v>
                </c:pt>
                <c:pt idx="3313">
                  <c:v>39840</c:v>
                </c:pt>
                <c:pt idx="3314">
                  <c:v>39841</c:v>
                </c:pt>
                <c:pt idx="3315">
                  <c:v>39842</c:v>
                </c:pt>
                <c:pt idx="3316">
                  <c:v>39843</c:v>
                </c:pt>
                <c:pt idx="3317">
                  <c:v>39844</c:v>
                </c:pt>
                <c:pt idx="3318">
                  <c:v>39845</c:v>
                </c:pt>
                <c:pt idx="3319">
                  <c:v>39846</c:v>
                </c:pt>
                <c:pt idx="3320">
                  <c:v>39847</c:v>
                </c:pt>
                <c:pt idx="3321">
                  <c:v>39848</c:v>
                </c:pt>
                <c:pt idx="3322">
                  <c:v>39849</c:v>
                </c:pt>
                <c:pt idx="3323">
                  <c:v>39850</c:v>
                </c:pt>
                <c:pt idx="3324">
                  <c:v>39851</c:v>
                </c:pt>
                <c:pt idx="3325">
                  <c:v>39852</c:v>
                </c:pt>
                <c:pt idx="3326">
                  <c:v>39853</c:v>
                </c:pt>
                <c:pt idx="3327">
                  <c:v>39854</c:v>
                </c:pt>
                <c:pt idx="3328">
                  <c:v>39855</c:v>
                </c:pt>
                <c:pt idx="3329">
                  <c:v>39856</c:v>
                </c:pt>
                <c:pt idx="3330">
                  <c:v>39857</c:v>
                </c:pt>
                <c:pt idx="3331">
                  <c:v>39858</c:v>
                </c:pt>
                <c:pt idx="3332">
                  <c:v>39859</c:v>
                </c:pt>
                <c:pt idx="3333">
                  <c:v>39860</c:v>
                </c:pt>
                <c:pt idx="3334">
                  <c:v>39861</c:v>
                </c:pt>
                <c:pt idx="3335">
                  <c:v>39862</c:v>
                </c:pt>
                <c:pt idx="3336">
                  <c:v>39863</c:v>
                </c:pt>
                <c:pt idx="3337">
                  <c:v>39864</c:v>
                </c:pt>
                <c:pt idx="3338">
                  <c:v>39865</c:v>
                </c:pt>
                <c:pt idx="3339">
                  <c:v>39866</c:v>
                </c:pt>
                <c:pt idx="3340">
                  <c:v>39867</c:v>
                </c:pt>
                <c:pt idx="3341">
                  <c:v>39868</c:v>
                </c:pt>
                <c:pt idx="3342">
                  <c:v>39869</c:v>
                </c:pt>
                <c:pt idx="3343">
                  <c:v>39870</c:v>
                </c:pt>
                <c:pt idx="3344">
                  <c:v>39871</c:v>
                </c:pt>
                <c:pt idx="3345">
                  <c:v>39872</c:v>
                </c:pt>
                <c:pt idx="3346">
                  <c:v>39873</c:v>
                </c:pt>
                <c:pt idx="3347">
                  <c:v>39874</c:v>
                </c:pt>
                <c:pt idx="3348">
                  <c:v>39875</c:v>
                </c:pt>
                <c:pt idx="3349">
                  <c:v>39876</c:v>
                </c:pt>
                <c:pt idx="3350">
                  <c:v>39877</c:v>
                </c:pt>
                <c:pt idx="3351">
                  <c:v>39878</c:v>
                </c:pt>
                <c:pt idx="3352">
                  <c:v>39879</c:v>
                </c:pt>
                <c:pt idx="3353">
                  <c:v>39880</c:v>
                </c:pt>
                <c:pt idx="3354">
                  <c:v>39881</c:v>
                </c:pt>
                <c:pt idx="3355">
                  <c:v>39882</c:v>
                </c:pt>
                <c:pt idx="3356">
                  <c:v>39883</c:v>
                </c:pt>
                <c:pt idx="3357">
                  <c:v>39884</c:v>
                </c:pt>
                <c:pt idx="3358">
                  <c:v>39885</c:v>
                </c:pt>
                <c:pt idx="3359">
                  <c:v>39886</c:v>
                </c:pt>
                <c:pt idx="3360">
                  <c:v>39887</c:v>
                </c:pt>
                <c:pt idx="3361">
                  <c:v>39888</c:v>
                </c:pt>
                <c:pt idx="3362">
                  <c:v>39889</c:v>
                </c:pt>
                <c:pt idx="3363">
                  <c:v>39890</c:v>
                </c:pt>
                <c:pt idx="3364">
                  <c:v>39891</c:v>
                </c:pt>
                <c:pt idx="3365">
                  <c:v>39892</c:v>
                </c:pt>
                <c:pt idx="3366">
                  <c:v>39893</c:v>
                </c:pt>
                <c:pt idx="3367">
                  <c:v>39894</c:v>
                </c:pt>
                <c:pt idx="3368">
                  <c:v>39895</c:v>
                </c:pt>
                <c:pt idx="3369">
                  <c:v>39896</c:v>
                </c:pt>
                <c:pt idx="3370">
                  <c:v>39897</c:v>
                </c:pt>
                <c:pt idx="3371">
                  <c:v>39898</c:v>
                </c:pt>
                <c:pt idx="3372">
                  <c:v>39899</c:v>
                </c:pt>
                <c:pt idx="3373">
                  <c:v>39900</c:v>
                </c:pt>
                <c:pt idx="3374">
                  <c:v>39901</c:v>
                </c:pt>
                <c:pt idx="3375">
                  <c:v>39902</c:v>
                </c:pt>
                <c:pt idx="3376">
                  <c:v>39903</c:v>
                </c:pt>
                <c:pt idx="3377">
                  <c:v>39904</c:v>
                </c:pt>
                <c:pt idx="3378">
                  <c:v>39905</c:v>
                </c:pt>
                <c:pt idx="3379">
                  <c:v>39906</c:v>
                </c:pt>
                <c:pt idx="3380">
                  <c:v>39907</c:v>
                </c:pt>
                <c:pt idx="3381">
                  <c:v>39908</c:v>
                </c:pt>
                <c:pt idx="3382">
                  <c:v>39909</c:v>
                </c:pt>
                <c:pt idx="3383">
                  <c:v>39910</c:v>
                </c:pt>
                <c:pt idx="3384">
                  <c:v>39911</c:v>
                </c:pt>
                <c:pt idx="3385">
                  <c:v>39912</c:v>
                </c:pt>
                <c:pt idx="3386">
                  <c:v>39913</c:v>
                </c:pt>
                <c:pt idx="3387">
                  <c:v>39914</c:v>
                </c:pt>
                <c:pt idx="3388">
                  <c:v>39915</c:v>
                </c:pt>
                <c:pt idx="3389">
                  <c:v>39916</c:v>
                </c:pt>
                <c:pt idx="3390">
                  <c:v>39917</c:v>
                </c:pt>
                <c:pt idx="3391">
                  <c:v>39918</c:v>
                </c:pt>
                <c:pt idx="3392">
                  <c:v>39919</c:v>
                </c:pt>
                <c:pt idx="3393">
                  <c:v>39920</c:v>
                </c:pt>
                <c:pt idx="3394">
                  <c:v>39921</c:v>
                </c:pt>
                <c:pt idx="3395">
                  <c:v>39922</c:v>
                </c:pt>
                <c:pt idx="3396">
                  <c:v>39923</c:v>
                </c:pt>
                <c:pt idx="3397">
                  <c:v>39924</c:v>
                </c:pt>
                <c:pt idx="3398">
                  <c:v>39925</c:v>
                </c:pt>
                <c:pt idx="3399">
                  <c:v>39926</c:v>
                </c:pt>
                <c:pt idx="3400">
                  <c:v>39927</c:v>
                </c:pt>
                <c:pt idx="3401">
                  <c:v>39928</c:v>
                </c:pt>
                <c:pt idx="3402">
                  <c:v>39929</c:v>
                </c:pt>
                <c:pt idx="3403">
                  <c:v>39930</c:v>
                </c:pt>
                <c:pt idx="3404">
                  <c:v>39931</c:v>
                </c:pt>
                <c:pt idx="3405">
                  <c:v>39932</c:v>
                </c:pt>
                <c:pt idx="3406">
                  <c:v>39933</c:v>
                </c:pt>
                <c:pt idx="3407">
                  <c:v>39934</c:v>
                </c:pt>
                <c:pt idx="3408">
                  <c:v>39935</c:v>
                </c:pt>
                <c:pt idx="3409">
                  <c:v>39936</c:v>
                </c:pt>
                <c:pt idx="3410">
                  <c:v>39937</c:v>
                </c:pt>
                <c:pt idx="3411">
                  <c:v>39938</c:v>
                </c:pt>
                <c:pt idx="3412">
                  <c:v>39939</c:v>
                </c:pt>
                <c:pt idx="3413">
                  <c:v>39940</c:v>
                </c:pt>
                <c:pt idx="3414">
                  <c:v>39941</c:v>
                </c:pt>
                <c:pt idx="3415">
                  <c:v>39942</c:v>
                </c:pt>
                <c:pt idx="3416">
                  <c:v>39943</c:v>
                </c:pt>
                <c:pt idx="3417">
                  <c:v>39944</c:v>
                </c:pt>
                <c:pt idx="3418">
                  <c:v>39945</c:v>
                </c:pt>
                <c:pt idx="3419">
                  <c:v>39946</c:v>
                </c:pt>
                <c:pt idx="3420">
                  <c:v>39947</c:v>
                </c:pt>
                <c:pt idx="3421">
                  <c:v>39948</c:v>
                </c:pt>
                <c:pt idx="3422">
                  <c:v>39949</c:v>
                </c:pt>
                <c:pt idx="3423">
                  <c:v>39950</c:v>
                </c:pt>
                <c:pt idx="3424">
                  <c:v>39951</c:v>
                </c:pt>
                <c:pt idx="3425">
                  <c:v>39952</c:v>
                </c:pt>
                <c:pt idx="3426">
                  <c:v>39953</c:v>
                </c:pt>
                <c:pt idx="3427">
                  <c:v>39954</c:v>
                </c:pt>
                <c:pt idx="3428">
                  <c:v>39955</c:v>
                </c:pt>
                <c:pt idx="3429">
                  <c:v>39956</c:v>
                </c:pt>
                <c:pt idx="3430">
                  <c:v>39957</c:v>
                </c:pt>
                <c:pt idx="3431">
                  <c:v>39958</c:v>
                </c:pt>
                <c:pt idx="3432">
                  <c:v>39959</c:v>
                </c:pt>
                <c:pt idx="3433">
                  <c:v>39960</c:v>
                </c:pt>
                <c:pt idx="3434">
                  <c:v>39961</c:v>
                </c:pt>
                <c:pt idx="3435">
                  <c:v>39962</c:v>
                </c:pt>
                <c:pt idx="3436">
                  <c:v>39963</c:v>
                </c:pt>
                <c:pt idx="3437">
                  <c:v>39964</c:v>
                </c:pt>
                <c:pt idx="3438">
                  <c:v>39965</c:v>
                </c:pt>
                <c:pt idx="3439">
                  <c:v>39966</c:v>
                </c:pt>
                <c:pt idx="3440">
                  <c:v>39967</c:v>
                </c:pt>
                <c:pt idx="3441">
                  <c:v>39968</c:v>
                </c:pt>
                <c:pt idx="3442">
                  <c:v>39969</c:v>
                </c:pt>
                <c:pt idx="3443">
                  <c:v>39970</c:v>
                </c:pt>
                <c:pt idx="3444">
                  <c:v>39971</c:v>
                </c:pt>
                <c:pt idx="3445">
                  <c:v>39972</c:v>
                </c:pt>
                <c:pt idx="3446">
                  <c:v>39973</c:v>
                </c:pt>
                <c:pt idx="3447">
                  <c:v>39974</c:v>
                </c:pt>
                <c:pt idx="3448">
                  <c:v>39975</c:v>
                </c:pt>
                <c:pt idx="3449">
                  <c:v>39976</c:v>
                </c:pt>
                <c:pt idx="3450">
                  <c:v>39977</c:v>
                </c:pt>
                <c:pt idx="3451">
                  <c:v>39978</c:v>
                </c:pt>
                <c:pt idx="3452">
                  <c:v>39979</c:v>
                </c:pt>
                <c:pt idx="3453">
                  <c:v>39980</c:v>
                </c:pt>
                <c:pt idx="3454">
                  <c:v>39981</c:v>
                </c:pt>
                <c:pt idx="3455">
                  <c:v>39982</c:v>
                </c:pt>
                <c:pt idx="3456">
                  <c:v>39983</c:v>
                </c:pt>
                <c:pt idx="3457">
                  <c:v>39984</c:v>
                </c:pt>
                <c:pt idx="3458">
                  <c:v>39985</c:v>
                </c:pt>
                <c:pt idx="3459">
                  <c:v>39986</c:v>
                </c:pt>
                <c:pt idx="3460">
                  <c:v>39987</c:v>
                </c:pt>
                <c:pt idx="3461">
                  <c:v>39988</c:v>
                </c:pt>
                <c:pt idx="3462">
                  <c:v>39989</c:v>
                </c:pt>
                <c:pt idx="3463">
                  <c:v>39990</c:v>
                </c:pt>
                <c:pt idx="3464">
                  <c:v>39991</c:v>
                </c:pt>
                <c:pt idx="3465">
                  <c:v>39992</c:v>
                </c:pt>
                <c:pt idx="3466">
                  <c:v>39993</c:v>
                </c:pt>
                <c:pt idx="3467">
                  <c:v>39994</c:v>
                </c:pt>
                <c:pt idx="3468">
                  <c:v>39995</c:v>
                </c:pt>
                <c:pt idx="3469">
                  <c:v>39996</c:v>
                </c:pt>
                <c:pt idx="3470">
                  <c:v>39997</c:v>
                </c:pt>
                <c:pt idx="3471">
                  <c:v>39998</c:v>
                </c:pt>
                <c:pt idx="3472">
                  <c:v>39999</c:v>
                </c:pt>
                <c:pt idx="3473">
                  <c:v>40000</c:v>
                </c:pt>
                <c:pt idx="3474">
                  <c:v>40001</c:v>
                </c:pt>
                <c:pt idx="3475">
                  <c:v>40002</c:v>
                </c:pt>
                <c:pt idx="3476">
                  <c:v>40003</c:v>
                </c:pt>
                <c:pt idx="3477">
                  <c:v>40004</c:v>
                </c:pt>
                <c:pt idx="3478">
                  <c:v>40005</c:v>
                </c:pt>
                <c:pt idx="3479">
                  <c:v>40006</c:v>
                </c:pt>
                <c:pt idx="3480">
                  <c:v>40007</c:v>
                </c:pt>
                <c:pt idx="3481">
                  <c:v>40008</c:v>
                </c:pt>
                <c:pt idx="3482">
                  <c:v>40009</c:v>
                </c:pt>
                <c:pt idx="3483">
                  <c:v>40010</c:v>
                </c:pt>
                <c:pt idx="3484">
                  <c:v>40011</c:v>
                </c:pt>
                <c:pt idx="3485">
                  <c:v>40012</c:v>
                </c:pt>
                <c:pt idx="3486">
                  <c:v>40013</c:v>
                </c:pt>
                <c:pt idx="3487">
                  <c:v>40014</c:v>
                </c:pt>
                <c:pt idx="3488">
                  <c:v>40015</c:v>
                </c:pt>
                <c:pt idx="3489">
                  <c:v>40016</c:v>
                </c:pt>
                <c:pt idx="3490">
                  <c:v>40017</c:v>
                </c:pt>
                <c:pt idx="3491">
                  <c:v>40018</c:v>
                </c:pt>
                <c:pt idx="3492">
                  <c:v>40019</c:v>
                </c:pt>
                <c:pt idx="3493">
                  <c:v>40020</c:v>
                </c:pt>
                <c:pt idx="3494">
                  <c:v>40021</c:v>
                </c:pt>
                <c:pt idx="3495">
                  <c:v>40022</c:v>
                </c:pt>
                <c:pt idx="3496">
                  <c:v>40023</c:v>
                </c:pt>
                <c:pt idx="3497">
                  <c:v>40024</c:v>
                </c:pt>
                <c:pt idx="3498">
                  <c:v>40025</c:v>
                </c:pt>
                <c:pt idx="3499">
                  <c:v>40026</c:v>
                </c:pt>
                <c:pt idx="3500">
                  <c:v>40027</c:v>
                </c:pt>
                <c:pt idx="3501">
                  <c:v>40028</c:v>
                </c:pt>
                <c:pt idx="3502">
                  <c:v>40029</c:v>
                </c:pt>
                <c:pt idx="3503">
                  <c:v>40030</c:v>
                </c:pt>
                <c:pt idx="3504">
                  <c:v>40031</c:v>
                </c:pt>
                <c:pt idx="3505">
                  <c:v>40032</c:v>
                </c:pt>
                <c:pt idx="3506">
                  <c:v>40033</c:v>
                </c:pt>
                <c:pt idx="3507">
                  <c:v>40034</c:v>
                </c:pt>
                <c:pt idx="3508">
                  <c:v>40035</c:v>
                </c:pt>
                <c:pt idx="3509">
                  <c:v>40036</c:v>
                </c:pt>
                <c:pt idx="3510">
                  <c:v>40037</c:v>
                </c:pt>
                <c:pt idx="3511">
                  <c:v>40038</c:v>
                </c:pt>
                <c:pt idx="3512">
                  <c:v>40039</c:v>
                </c:pt>
                <c:pt idx="3513">
                  <c:v>40040</c:v>
                </c:pt>
                <c:pt idx="3514">
                  <c:v>40041</c:v>
                </c:pt>
                <c:pt idx="3515">
                  <c:v>40042</c:v>
                </c:pt>
                <c:pt idx="3516">
                  <c:v>40043</c:v>
                </c:pt>
                <c:pt idx="3517">
                  <c:v>40044</c:v>
                </c:pt>
                <c:pt idx="3518">
                  <c:v>40045</c:v>
                </c:pt>
                <c:pt idx="3519">
                  <c:v>40046</c:v>
                </c:pt>
                <c:pt idx="3520">
                  <c:v>40047</c:v>
                </c:pt>
                <c:pt idx="3521">
                  <c:v>40048</c:v>
                </c:pt>
                <c:pt idx="3522">
                  <c:v>40049</c:v>
                </c:pt>
                <c:pt idx="3523">
                  <c:v>40050</c:v>
                </c:pt>
                <c:pt idx="3524">
                  <c:v>40051</c:v>
                </c:pt>
                <c:pt idx="3525">
                  <c:v>40052</c:v>
                </c:pt>
                <c:pt idx="3526">
                  <c:v>40053</c:v>
                </c:pt>
                <c:pt idx="3527">
                  <c:v>40054</c:v>
                </c:pt>
                <c:pt idx="3528">
                  <c:v>40055</c:v>
                </c:pt>
                <c:pt idx="3529">
                  <c:v>40056</c:v>
                </c:pt>
                <c:pt idx="3530">
                  <c:v>40057</c:v>
                </c:pt>
                <c:pt idx="3531">
                  <c:v>40058</c:v>
                </c:pt>
                <c:pt idx="3532">
                  <c:v>40059</c:v>
                </c:pt>
                <c:pt idx="3533">
                  <c:v>40060</c:v>
                </c:pt>
                <c:pt idx="3534">
                  <c:v>40061</c:v>
                </c:pt>
                <c:pt idx="3535">
                  <c:v>40062</c:v>
                </c:pt>
                <c:pt idx="3536">
                  <c:v>40063</c:v>
                </c:pt>
                <c:pt idx="3537">
                  <c:v>40064</c:v>
                </c:pt>
                <c:pt idx="3538">
                  <c:v>40065</c:v>
                </c:pt>
                <c:pt idx="3539">
                  <c:v>40066</c:v>
                </c:pt>
                <c:pt idx="3540">
                  <c:v>40067</c:v>
                </c:pt>
                <c:pt idx="3541">
                  <c:v>40068</c:v>
                </c:pt>
                <c:pt idx="3542">
                  <c:v>40069</c:v>
                </c:pt>
                <c:pt idx="3543">
                  <c:v>40070</c:v>
                </c:pt>
                <c:pt idx="3544">
                  <c:v>40071</c:v>
                </c:pt>
                <c:pt idx="3545">
                  <c:v>40072</c:v>
                </c:pt>
                <c:pt idx="3546">
                  <c:v>40073</c:v>
                </c:pt>
                <c:pt idx="3547">
                  <c:v>40074</c:v>
                </c:pt>
                <c:pt idx="3548">
                  <c:v>40075</c:v>
                </c:pt>
                <c:pt idx="3549">
                  <c:v>40076</c:v>
                </c:pt>
                <c:pt idx="3550">
                  <c:v>40077</c:v>
                </c:pt>
                <c:pt idx="3551">
                  <c:v>40078</c:v>
                </c:pt>
                <c:pt idx="3552">
                  <c:v>40079</c:v>
                </c:pt>
                <c:pt idx="3553">
                  <c:v>40080</c:v>
                </c:pt>
                <c:pt idx="3554">
                  <c:v>40081</c:v>
                </c:pt>
                <c:pt idx="3555">
                  <c:v>40082</c:v>
                </c:pt>
                <c:pt idx="3556">
                  <c:v>40083</c:v>
                </c:pt>
                <c:pt idx="3557">
                  <c:v>40084</c:v>
                </c:pt>
                <c:pt idx="3558">
                  <c:v>40085</c:v>
                </c:pt>
                <c:pt idx="3559">
                  <c:v>40086</c:v>
                </c:pt>
                <c:pt idx="3560">
                  <c:v>40087</c:v>
                </c:pt>
                <c:pt idx="3561">
                  <c:v>40088</c:v>
                </c:pt>
                <c:pt idx="3562">
                  <c:v>40089</c:v>
                </c:pt>
                <c:pt idx="3563">
                  <c:v>40090</c:v>
                </c:pt>
                <c:pt idx="3564">
                  <c:v>40091</c:v>
                </c:pt>
                <c:pt idx="3565">
                  <c:v>40092</c:v>
                </c:pt>
                <c:pt idx="3566">
                  <c:v>40093</c:v>
                </c:pt>
                <c:pt idx="3567">
                  <c:v>40094</c:v>
                </c:pt>
                <c:pt idx="3568">
                  <c:v>40095</c:v>
                </c:pt>
                <c:pt idx="3569">
                  <c:v>40096</c:v>
                </c:pt>
                <c:pt idx="3570">
                  <c:v>40097</c:v>
                </c:pt>
                <c:pt idx="3571">
                  <c:v>40098</c:v>
                </c:pt>
                <c:pt idx="3572">
                  <c:v>40099</c:v>
                </c:pt>
                <c:pt idx="3573">
                  <c:v>40100</c:v>
                </c:pt>
                <c:pt idx="3574">
                  <c:v>40101</c:v>
                </c:pt>
                <c:pt idx="3575">
                  <c:v>40102</c:v>
                </c:pt>
                <c:pt idx="3576">
                  <c:v>40103</c:v>
                </c:pt>
                <c:pt idx="3577">
                  <c:v>40104</c:v>
                </c:pt>
                <c:pt idx="3578">
                  <c:v>40105</c:v>
                </c:pt>
                <c:pt idx="3579">
                  <c:v>40106</c:v>
                </c:pt>
                <c:pt idx="3580">
                  <c:v>40107</c:v>
                </c:pt>
                <c:pt idx="3581">
                  <c:v>40108</c:v>
                </c:pt>
                <c:pt idx="3582">
                  <c:v>40109</c:v>
                </c:pt>
                <c:pt idx="3583">
                  <c:v>40110</c:v>
                </c:pt>
                <c:pt idx="3584">
                  <c:v>40111</c:v>
                </c:pt>
                <c:pt idx="3585">
                  <c:v>40112</c:v>
                </c:pt>
                <c:pt idx="3586">
                  <c:v>40113</c:v>
                </c:pt>
                <c:pt idx="3587">
                  <c:v>40114</c:v>
                </c:pt>
                <c:pt idx="3588">
                  <c:v>40115</c:v>
                </c:pt>
                <c:pt idx="3589">
                  <c:v>40116</c:v>
                </c:pt>
                <c:pt idx="3590">
                  <c:v>40117</c:v>
                </c:pt>
                <c:pt idx="3591">
                  <c:v>40118</c:v>
                </c:pt>
                <c:pt idx="3592">
                  <c:v>40119</c:v>
                </c:pt>
                <c:pt idx="3593">
                  <c:v>40120</c:v>
                </c:pt>
                <c:pt idx="3594">
                  <c:v>40121</c:v>
                </c:pt>
                <c:pt idx="3595">
                  <c:v>40122</c:v>
                </c:pt>
                <c:pt idx="3596">
                  <c:v>40123</c:v>
                </c:pt>
                <c:pt idx="3597">
                  <c:v>40124</c:v>
                </c:pt>
                <c:pt idx="3598">
                  <c:v>40125</c:v>
                </c:pt>
                <c:pt idx="3599">
                  <c:v>40126</c:v>
                </c:pt>
                <c:pt idx="3600">
                  <c:v>40127</c:v>
                </c:pt>
                <c:pt idx="3601">
                  <c:v>40128</c:v>
                </c:pt>
                <c:pt idx="3602">
                  <c:v>40129</c:v>
                </c:pt>
                <c:pt idx="3603">
                  <c:v>40130</c:v>
                </c:pt>
                <c:pt idx="3604">
                  <c:v>40131</c:v>
                </c:pt>
                <c:pt idx="3605">
                  <c:v>40132</c:v>
                </c:pt>
                <c:pt idx="3606">
                  <c:v>40133</c:v>
                </c:pt>
                <c:pt idx="3607">
                  <c:v>40134</c:v>
                </c:pt>
                <c:pt idx="3608">
                  <c:v>40135</c:v>
                </c:pt>
                <c:pt idx="3609">
                  <c:v>40136</c:v>
                </c:pt>
                <c:pt idx="3610">
                  <c:v>40137</c:v>
                </c:pt>
                <c:pt idx="3611">
                  <c:v>40138</c:v>
                </c:pt>
                <c:pt idx="3612">
                  <c:v>40139</c:v>
                </c:pt>
                <c:pt idx="3613">
                  <c:v>40140</c:v>
                </c:pt>
                <c:pt idx="3614">
                  <c:v>40141</c:v>
                </c:pt>
                <c:pt idx="3615">
                  <c:v>40142</c:v>
                </c:pt>
                <c:pt idx="3616">
                  <c:v>40143</c:v>
                </c:pt>
                <c:pt idx="3617">
                  <c:v>40144</c:v>
                </c:pt>
                <c:pt idx="3618">
                  <c:v>40145</c:v>
                </c:pt>
                <c:pt idx="3619">
                  <c:v>40146</c:v>
                </c:pt>
                <c:pt idx="3620">
                  <c:v>40147</c:v>
                </c:pt>
                <c:pt idx="3621">
                  <c:v>40148</c:v>
                </c:pt>
                <c:pt idx="3622">
                  <c:v>40149</c:v>
                </c:pt>
                <c:pt idx="3623">
                  <c:v>40150</c:v>
                </c:pt>
                <c:pt idx="3624">
                  <c:v>40151</c:v>
                </c:pt>
                <c:pt idx="3625">
                  <c:v>40152</c:v>
                </c:pt>
                <c:pt idx="3626">
                  <c:v>40153</c:v>
                </c:pt>
                <c:pt idx="3627">
                  <c:v>40154</c:v>
                </c:pt>
                <c:pt idx="3628">
                  <c:v>40155</c:v>
                </c:pt>
                <c:pt idx="3629">
                  <c:v>40156</c:v>
                </c:pt>
                <c:pt idx="3630">
                  <c:v>40157</c:v>
                </c:pt>
                <c:pt idx="3631">
                  <c:v>40158</c:v>
                </c:pt>
                <c:pt idx="3632">
                  <c:v>40159</c:v>
                </c:pt>
                <c:pt idx="3633">
                  <c:v>40160</c:v>
                </c:pt>
                <c:pt idx="3634">
                  <c:v>40161</c:v>
                </c:pt>
                <c:pt idx="3635">
                  <c:v>40162</c:v>
                </c:pt>
                <c:pt idx="3636">
                  <c:v>40163</c:v>
                </c:pt>
                <c:pt idx="3637">
                  <c:v>40164</c:v>
                </c:pt>
                <c:pt idx="3638">
                  <c:v>40165</c:v>
                </c:pt>
                <c:pt idx="3639">
                  <c:v>40166</c:v>
                </c:pt>
                <c:pt idx="3640">
                  <c:v>40167</c:v>
                </c:pt>
                <c:pt idx="3641">
                  <c:v>40168</c:v>
                </c:pt>
                <c:pt idx="3642">
                  <c:v>40169</c:v>
                </c:pt>
                <c:pt idx="3643">
                  <c:v>40170</c:v>
                </c:pt>
                <c:pt idx="3644">
                  <c:v>40171</c:v>
                </c:pt>
                <c:pt idx="3645">
                  <c:v>40172</c:v>
                </c:pt>
                <c:pt idx="3646">
                  <c:v>40173</c:v>
                </c:pt>
                <c:pt idx="3647">
                  <c:v>40174</c:v>
                </c:pt>
                <c:pt idx="3648">
                  <c:v>40175</c:v>
                </c:pt>
                <c:pt idx="3649">
                  <c:v>40176</c:v>
                </c:pt>
                <c:pt idx="3650">
                  <c:v>40177</c:v>
                </c:pt>
                <c:pt idx="3651">
                  <c:v>40178</c:v>
                </c:pt>
              </c:numCache>
            </c:numRef>
          </c:xVal>
          <c:yVal>
            <c:numRef>
              <c:f>MASmoothingOutput1!$C$27:$C$3678</c:f>
              <c:numCache>
                <c:formatCode>General</c:formatCode>
                <c:ptCount val="365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1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1</c:v>
                </c:pt>
                <c:pt idx="1713">
                  <c:v>0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0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0</c:v>
                </c:pt>
                <c:pt idx="2304">
                  <c:v>1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0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1</c:v>
                </c:pt>
                <c:pt idx="2454">
                  <c:v>1</c:v>
                </c:pt>
                <c:pt idx="2455">
                  <c:v>0</c:v>
                </c:pt>
                <c:pt idx="2456">
                  <c:v>0</c:v>
                </c:pt>
                <c:pt idx="2457">
                  <c:v>1</c:v>
                </c:pt>
                <c:pt idx="2458">
                  <c:v>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1</c:v>
                </c:pt>
                <c:pt idx="2483">
                  <c:v>0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1</c:v>
                </c:pt>
                <c:pt idx="2492">
                  <c:v>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0</c:v>
                </c:pt>
                <c:pt idx="2663">
                  <c:v>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1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1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0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1</c:v>
                </c:pt>
                <c:pt idx="3015">
                  <c:v>1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1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0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1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1</c:v>
                </c:pt>
                <c:pt idx="3227">
                  <c:v>0</c:v>
                </c:pt>
                <c:pt idx="3228">
                  <c:v>1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1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0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</c:v>
                </c:pt>
                <c:pt idx="3381">
                  <c:v>0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</c:v>
                </c:pt>
                <c:pt idx="3433">
                  <c:v>0</c:v>
                </c:pt>
                <c:pt idx="3434">
                  <c:v>1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0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1</c:v>
                </c:pt>
                <c:pt idx="3535">
                  <c:v>0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1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289076960"/>
        <c:axId val="-945617168"/>
      </c:scatterChart>
      <c:valAx>
        <c:axId val="-1289076960"/>
        <c:scaling>
          <c:orientation val="minMax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crossAx val="-945617168"/>
        <c:crosses val="autoZero"/>
        <c:crossBetween val="midCat"/>
      </c:valAx>
      <c:valAx>
        <c:axId val="-945617168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Rain?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1289076960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Time Plot of Actual Vs Forecast (Training Data)</a:t>
            </a:r>
          </a:p>
        </c:rich>
      </c:tx>
      <c:layout/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v>Forecast</c:v>
          </c:tx>
          <c:spPr>
            <a:ln w="6350"/>
          </c:spPr>
          <c:marker>
            <c:symbol val="none"/>
          </c:marker>
          <c:xVal>
            <c:numRef>
              <c:f>MASmoothingOutput!$B$26:$B$4346</c:f>
              <c:numCache>
                <c:formatCode>m/d/yyyy</c:formatCode>
                <c:ptCount val="4321"/>
                <c:pt idx="0">
                  <c:v>36527</c:v>
                </c:pt>
                <c:pt idx="1">
                  <c:v>36528</c:v>
                </c:pt>
                <c:pt idx="2">
                  <c:v>36529</c:v>
                </c:pt>
                <c:pt idx="3">
                  <c:v>36530</c:v>
                </c:pt>
                <c:pt idx="4">
                  <c:v>36531</c:v>
                </c:pt>
                <c:pt idx="5">
                  <c:v>36532</c:v>
                </c:pt>
                <c:pt idx="6">
                  <c:v>36533</c:v>
                </c:pt>
                <c:pt idx="7">
                  <c:v>36534</c:v>
                </c:pt>
                <c:pt idx="8">
                  <c:v>36535</c:v>
                </c:pt>
                <c:pt idx="9">
                  <c:v>36536</c:v>
                </c:pt>
                <c:pt idx="10">
                  <c:v>36537</c:v>
                </c:pt>
                <c:pt idx="11">
                  <c:v>36538</c:v>
                </c:pt>
                <c:pt idx="12">
                  <c:v>36539</c:v>
                </c:pt>
                <c:pt idx="13">
                  <c:v>36540</c:v>
                </c:pt>
                <c:pt idx="14">
                  <c:v>36541</c:v>
                </c:pt>
                <c:pt idx="15">
                  <c:v>36542</c:v>
                </c:pt>
                <c:pt idx="16">
                  <c:v>36543</c:v>
                </c:pt>
                <c:pt idx="17">
                  <c:v>36544</c:v>
                </c:pt>
                <c:pt idx="18">
                  <c:v>36545</c:v>
                </c:pt>
                <c:pt idx="19">
                  <c:v>36546</c:v>
                </c:pt>
                <c:pt idx="20">
                  <c:v>36547</c:v>
                </c:pt>
                <c:pt idx="21">
                  <c:v>36548</c:v>
                </c:pt>
                <c:pt idx="22">
                  <c:v>36549</c:v>
                </c:pt>
                <c:pt idx="23">
                  <c:v>36550</c:v>
                </c:pt>
                <c:pt idx="24">
                  <c:v>36551</c:v>
                </c:pt>
                <c:pt idx="25">
                  <c:v>36552</c:v>
                </c:pt>
                <c:pt idx="26">
                  <c:v>36553</c:v>
                </c:pt>
                <c:pt idx="27">
                  <c:v>36554</c:v>
                </c:pt>
                <c:pt idx="28">
                  <c:v>36555</c:v>
                </c:pt>
                <c:pt idx="29">
                  <c:v>36556</c:v>
                </c:pt>
                <c:pt idx="30">
                  <c:v>36557</c:v>
                </c:pt>
                <c:pt idx="31">
                  <c:v>36558</c:v>
                </c:pt>
                <c:pt idx="32">
                  <c:v>36559</c:v>
                </c:pt>
                <c:pt idx="33">
                  <c:v>36560</c:v>
                </c:pt>
                <c:pt idx="34">
                  <c:v>36561</c:v>
                </c:pt>
                <c:pt idx="35">
                  <c:v>36562</c:v>
                </c:pt>
                <c:pt idx="36">
                  <c:v>36563</c:v>
                </c:pt>
                <c:pt idx="37">
                  <c:v>36564</c:v>
                </c:pt>
                <c:pt idx="38">
                  <c:v>36565</c:v>
                </c:pt>
                <c:pt idx="39">
                  <c:v>36566</c:v>
                </c:pt>
                <c:pt idx="40">
                  <c:v>36567</c:v>
                </c:pt>
                <c:pt idx="41">
                  <c:v>36568</c:v>
                </c:pt>
                <c:pt idx="42">
                  <c:v>36569</c:v>
                </c:pt>
                <c:pt idx="43">
                  <c:v>36570</c:v>
                </c:pt>
                <c:pt idx="44">
                  <c:v>36571</c:v>
                </c:pt>
                <c:pt idx="45">
                  <c:v>36572</c:v>
                </c:pt>
                <c:pt idx="46">
                  <c:v>36573</c:v>
                </c:pt>
                <c:pt idx="47">
                  <c:v>36574</c:v>
                </c:pt>
                <c:pt idx="48">
                  <c:v>36575</c:v>
                </c:pt>
                <c:pt idx="49">
                  <c:v>36576</c:v>
                </c:pt>
                <c:pt idx="50">
                  <c:v>36577</c:v>
                </c:pt>
                <c:pt idx="51">
                  <c:v>36578</c:v>
                </c:pt>
                <c:pt idx="52">
                  <c:v>36579</c:v>
                </c:pt>
                <c:pt idx="53">
                  <c:v>36580</c:v>
                </c:pt>
                <c:pt idx="54">
                  <c:v>36581</c:v>
                </c:pt>
                <c:pt idx="55">
                  <c:v>36582</c:v>
                </c:pt>
                <c:pt idx="56">
                  <c:v>36583</c:v>
                </c:pt>
                <c:pt idx="57">
                  <c:v>36584</c:v>
                </c:pt>
                <c:pt idx="58">
                  <c:v>36585</c:v>
                </c:pt>
                <c:pt idx="59">
                  <c:v>36586</c:v>
                </c:pt>
                <c:pt idx="60">
                  <c:v>36587</c:v>
                </c:pt>
                <c:pt idx="61">
                  <c:v>36588</c:v>
                </c:pt>
                <c:pt idx="62">
                  <c:v>36589</c:v>
                </c:pt>
                <c:pt idx="63">
                  <c:v>36590</c:v>
                </c:pt>
                <c:pt idx="64">
                  <c:v>36591</c:v>
                </c:pt>
                <c:pt idx="65">
                  <c:v>36592</c:v>
                </c:pt>
                <c:pt idx="66">
                  <c:v>36593</c:v>
                </c:pt>
                <c:pt idx="67">
                  <c:v>36594</c:v>
                </c:pt>
                <c:pt idx="68">
                  <c:v>36595</c:v>
                </c:pt>
                <c:pt idx="69">
                  <c:v>36596</c:v>
                </c:pt>
                <c:pt idx="70">
                  <c:v>36597</c:v>
                </c:pt>
                <c:pt idx="71">
                  <c:v>36598</c:v>
                </c:pt>
                <c:pt idx="72">
                  <c:v>36599</c:v>
                </c:pt>
                <c:pt idx="73">
                  <c:v>36600</c:v>
                </c:pt>
                <c:pt idx="74">
                  <c:v>36601</c:v>
                </c:pt>
                <c:pt idx="75">
                  <c:v>36602</c:v>
                </c:pt>
                <c:pt idx="76">
                  <c:v>36603</c:v>
                </c:pt>
                <c:pt idx="77">
                  <c:v>36604</c:v>
                </c:pt>
                <c:pt idx="78">
                  <c:v>36605</c:v>
                </c:pt>
                <c:pt idx="79">
                  <c:v>36606</c:v>
                </c:pt>
                <c:pt idx="80">
                  <c:v>36607</c:v>
                </c:pt>
                <c:pt idx="81">
                  <c:v>36608</c:v>
                </c:pt>
                <c:pt idx="82">
                  <c:v>36609</c:v>
                </c:pt>
                <c:pt idx="83">
                  <c:v>36610</c:v>
                </c:pt>
                <c:pt idx="84">
                  <c:v>36611</c:v>
                </c:pt>
                <c:pt idx="85">
                  <c:v>36612</c:v>
                </c:pt>
                <c:pt idx="86">
                  <c:v>36613</c:v>
                </c:pt>
                <c:pt idx="87">
                  <c:v>36614</c:v>
                </c:pt>
                <c:pt idx="88">
                  <c:v>36615</c:v>
                </c:pt>
                <c:pt idx="89">
                  <c:v>36616</c:v>
                </c:pt>
                <c:pt idx="90">
                  <c:v>36617</c:v>
                </c:pt>
                <c:pt idx="91">
                  <c:v>36618</c:v>
                </c:pt>
                <c:pt idx="92">
                  <c:v>36619</c:v>
                </c:pt>
                <c:pt idx="93">
                  <c:v>36620</c:v>
                </c:pt>
                <c:pt idx="94">
                  <c:v>36621</c:v>
                </c:pt>
                <c:pt idx="95">
                  <c:v>36622</c:v>
                </c:pt>
                <c:pt idx="96">
                  <c:v>36623</c:v>
                </c:pt>
                <c:pt idx="97">
                  <c:v>36624</c:v>
                </c:pt>
                <c:pt idx="98">
                  <c:v>36625</c:v>
                </c:pt>
                <c:pt idx="99">
                  <c:v>36626</c:v>
                </c:pt>
                <c:pt idx="100">
                  <c:v>36627</c:v>
                </c:pt>
                <c:pt idx="101">
                  <c:v>36628</c:v>
                </c:pt>
                <c:pt idx="102">
                  <c:v>36629</c:v>
                </c:pt>
                <c:pt idx="103">
                  <c:v>36630</c:v>
                </c:pt>
                <c:pt idx="104">
                  <c:v>36631</c:v>
                </c:pt>
                <c:pt idx="105">
                  <c:v>36632</c:v>
                </c:pt>
                <c:pt idx="106">
                  <c:v>36633</c:v>
                </c:pt>
                <c:pt idx="107">
                  <c:v>36634</c:v>
                </c:pt>
                <c:pt idx="108">
                  <c:v>36635</c:v>
                </c:pt>
                <c:pt idx="109">
                  <c:v>36636</c:v>
                </c:pt>
                <c:pt idx="110">
                  <c:v>36637</c:v>
                </c:pt>
                <c:pt idx="111">
                  <c:v>36638</c:v>
                </c:pt>
                <c:pt idx="112">
                  <c:v>36639</c:v>
                </c:pt>
                <c:pt idx="113">
                  <c:v>36640</c:v>
                </c:pt>
                <c:pt idx="114">
                  <c:v>36641</c:v>
                </c:pt>
                <c:pt idx="115">
                  <c:v>36642</c:v>
                </c:pt>
                <c:pt idx="116">
                  <c:v>36643</c:v>
                </c:pt>
                <c:pt idx="117">
                  <c:v>36644</c:v>
                </c:pt>
                <c:pt idx="118">
                  <c:v>36645</c:v>
                </c:pt>
                <c:pt idx="119">
                  <c:v>36646</c:v>
                </c:pt>
                <c:pt idx="120">
                  <c:v>36647</c:v>
                </c:pt>
                <c:pt idx="121">
                  <c:v>36648</c:v>
                </c:pt>
                <c:pt idx="122">
                  <c:v>36649</c:v>
                </c:pt>
                <c:pt idx="123">
                  <c:v>36650</c:v>
                </c:pt>
                <c:pt idx="124">
                  <c:v>36651</c:v>
                </c:pt>
                <c:pt idx="125">
                  <c:v>36652</c:v>
                </c:pt>
                <c:pt idx="126">
                  <c:v>36653</c:v>
                </c:pt>
                <c:pt idx="127">
                  <c:v>36654</c:v>
                </c:pt>
                <c:pt idx="128">
                  <c:v>36655</c:v>
                </c:pt>
                <c:pt idx="129">
                  <c:v>36656</c:v>
                </c:pt>
                <c:pt idx="130">
                  <c:v>36657</c:v>
                </c:pt>
                <c:pt idx="131">
                  <c:v>36658</c:v>
                </c:pt>
                <c:pt idx="132">
                  <c:v>36659</c:v>
                </c:pt>
                <c:pt idx="133">
                  <c:v>36660</c:v>
                </c:pt>
                <c:pt idx="134">
                  <c:v>36661</c:v>
                </c:pt>
                <c:pt idx="135">
                  <c:v>36662</c:v>
                </c:pt>
                <c:pt idx="136">
                  <c:v>36663</c:v>
                </c:pt>
                <c:pt idx="137">
                  <c:v>36664</c:v>
                </c:pt>
                <c:pt idx="138">
                  <c:v>36665</c:v>
                </c:pt>
                <c:pt idx="139">
                  <c:v>36666</c:v>
                </c:pt>
                <c:pt idx="140">
                  <c:v>36667</c:v>
                </c:pt>
                <c:pt idx="141">
                  <c:v>36668</c:v>
                </c:pt>
                <c:pt idx="142">
                  <c:v>36669</c:v>
                </c:pt>
                <c:pt idx="143">
                  <c:v>36670</c:v>
                </c:pt>
                <c:pt idx="144">
                  <c:v>36671</c:v>
                </c:pt>
                <c:pt idx="145">
                  <c:v>36672</c:v>
                </c:pt>
                <c:pt idx="146">
                  <c:v>36673</c:v>
                </c:pt>
                <c:pt idx="147">
                  <c:v>36674</c:v>
                </c:pt>
                <c:pt idx="148">
                  <c:v>36675</c:v>
                </c:pt>
                <c:pt idx="149">
                  <c:v>36676</c:v>
                </c:pt>
                <c:pt idx="150">
                  <c:v>36677</c:v>
                </c:pt>
                <c:pt idx="151">
                  <c:v>36678</c:v>
                </c:pt>
                <c:pt idx="152">
                  <c:v>36679</c:v>
                </c:pt>
                <c:pt idx="153">
                  <c:v>36680</c:v>
                </c:pt>
                <c:pt idx="154">
                  <c:v>36681</c:v>
                </c:pt>
                <c:pt idx="155">
                  <c:v>36682</c:v>
                </c:pt>
                <c:pt idx="156">
                  <c:v>36683</c:v>
                </c:pt>
                <c:pt idx="157">
                  <c:v>36684</c:v>
                </c:pt>
                <c:pt idx="158">
                  <c:v>36685</c:v>
                </c:pt>
                <c:pt idx="159">
                  <c:v>36686</c:v>
                </c:pt>
                <c:pt idx="160">
                  <c:v>36687</c:v>
                </c:pt>
                <c:pt idx="161">
                  <c:v>36688</c:v>
                </c:pt>
                <c:pt idx="162">
                  <c:v>36689</c:v>
                </c:pt>
                <c:pt idx="163">
                  <c:v>36690</c:v>
                </c:pt>
                <c:pt idx="164">
                  <c:v>36691</c:v>
                </c:pt>
                <c:pt idx="165">
                  <c:v>36692</c:v>
                </c:pt>
                <c:pt idx="166">
                  <c:v>36693</c:v>
                </c:pt>
                <c:pt idx="167">
                  <c:v>36694</c:v>
                </c:pt>
                <c:pt idx="168">
                  <c:v>36695</c:v>
                </c:pt>
                <c:pt idx="169">
                  <c:v>36696</c:v>
                </c:pt>
                <c:pt idx="170">
                  <c:v>36697</c:v>
                </c:pt>
                <c:pt idx="171">
                  <c:v>36698</c:v>
                </c:pt>
                <c:pt idx="172">
                  <c:v>36699</c:v>
                </c:pt>
                <c:pt idx="173">
                  <c:v>36700</c:v>
                </c:pt>
                <c:pt idx="174">
                  <c:v>36701</c:v>
                </c:pt>
                <c:pt idx="175">
                  <c:v>36702</c:v>
                </c:pt>
                <c:pt idx="176">
                  <c:v>36703</c:v>
                </c:pt>
                <c:pt idx="177">
                  <c:v>36704</c:v>
                </c:pt>
                <c:pt idx="178">
                  <c:v>36705</c:v>
                </c:pt>
                <c:pt idx="179">
                  <c:v>36706</c:v>
                </c:pt>
                <c:pt idx="180">
                  <c:v>36707</c:v>
                </c:pt>
                <c:pt idx="181">
                  <c:v>36708</c:v>
                </c:pt>
                <c:pt idx="182">
                  <c:v>36709</c:v>
                </c:pt>
                <c:pt idx="183">
                  <c:v>36710</c:v>
                </c:pt>
                <c:pt idx="184">
                  <c:v>36711</c:v>
                </c:pt>
                <c:pt idx="185">
                  <c:v>36712</c:v>
                </c:pt>
                <c:pt idx="186">
                  <c:v>36713</c:v>
                </c:pt>
                <c:pt idx="187">
                  <c:v>36714</c:v>
                </c:pt>
                <c:pt idx="188">
                  <c:v>36715</c:v>
                </c:pt>
                <c:pt idx="189">
                  <c:v>36716</c:v>
                </c:pt>
                <c:pt idx="190">
                  <c:v>36717</c:v>
                </c:pt>
                <c:pt idx="191">
                  <c:v>36718</c:v>
                </c:pt>
                <c:pt idx="192">
                  <c:v>36719</c:v>
                </c:pt>
                <c:pt idx="193">
                  <c:v>36720</c:v>
                </c:pt>
                <c:pt idx="194">
                  <c:v>36721</c:v>
                </c:pt>
                <c:pt idx="195">
                  <c:v>36722</c:v>
                </c:pt>
                <c:pt idx="196">
                  <c:v>36723</c:v>
                </c:pt>
                <c:pt idx="197">
                  <c:v>36724</c:v>
                </c:pt>
                <c:pt idx="198">
                  <c:v>36725</c:v>
                </c:pt>
                <c:pt idx="199">
                  <c:v>36726</c:v>
                </c:pt>
                <c:pt idx="200">
                  <c:v>36727</c:v>
                </c:pt>
                <c:pt idx="201">
                  <c:v>36728</c:v>
                </c:pt>
                <c:pt idx="202">
                  <c:v>36729</c:v>
                </c:pt>
                <c:pt idx="203">
                  <c:v>36730</c:v>
                </c:pt>
                <c:pt idx="204">
                  <c:v>36731</c:v>
                </c:pt>
                <c:pt idx="205">
                  <c:v>36732</c:v>
                </c:pt>
                <c:pt idx="206">
                  <c:v>36733</c:v>
                </c:pt>
                <c:pt idx="207">
                  <c:v>36734</c:v>
                </c:pt>
                <c:pt idx="208">
                  <c:v>36735</c:v>
                </c:pt>
                <c:pt idx="209">
                  <c:v>36736</c:v>
                </c:pt>
                <c:pt idx="210">
                  <c:v>36737</c:v>
                </c:pt>
                <c:pt idx="211">
                  <c:v>36738</c:v>
                </c:pt>
                <c:pt idx="212">
                  <c:v>36739</c:v>
                </c:pt>
                <c:pt idx="213">
                  <c:v>36740</c:v>
                </c:pt>
                <c:pt idx="214">
                  <c:v>36741</c:v>
                </c:pt>
                <c:pt idx="215">
                  <c:v>36742</c:v>
                </c:pt>
                <c:pt idx="216">
                  <c:v>36743</c:v>
                </c:pt>
                <c:pt idx="217">
                  <c:v>36744</c:v>
                </c:pt>
                <c:pt idx="218">
                  <c:v>36745</c:v>
                </c:pt>
                <c:pt idx="219">
                  <c:v>36746</c:v>
                </c:pt>
                <c:pt idx="220">
                  <c:v>36747</c:v>
                </c:pt>
                <c:pt idx="221">
                  <c:v>36748</c:v>
                </c:pt>
                <c:pt idx="222">
                  <c:v>36749</c:v>
                </c:pt>
                <c:pt idx="223">
                  <c:v>36750</c:v>
                </c:pt>
                <c:pt idx="224">
                  <c:v>36751</c:v>
                </c:pt>
                <c:pt idx="225">
                  <c:v>36752</c:v>
                </c:pt>
                <c:pt idx="226">
                  <c:v>36753</c:v>
                </c:pt>
                <c:pt idx="227">
                  <c:v>36754</c:v>
                </c:pt>
                <c:pt idx="228">
                  <c:v>36755</c:v>
                </c:pt>
                <c:pt idx="229">
                  <c:v>36756</c:v>
                </c:pt>
                <c:pt idx="230">
                  <c:v>36757</c:v>
                </c:pt>
                <c:pt idx="231">
                  <c:v>36758</c:v>
                </c:pt>
                <c:pt idx="232">
                  <c:v>36759</c:v>
                </c:pt>
                <c:pt idx="233">
                  <c:v>36760</c:v>
                </c:pt>
                <c:pt idx="234">
                  <c:v>36761</c:v>
                </c:pt>
                <c:pt idx="235">
                  <c:v>36762</c:v>
                </c:pt>
                <c:pt idx="236">
                  <c:v>36763</c:v>
                </c:pt>
                <c:pt idx="237">
                  <c:v>36764</c:v>
                </c:pt>
                <c:pt idx="238">
                  <c:v>36765</c:v>
                </c:pt>
                <c:pt idx="239">
                  <c:v>36766</c:v>
                </c:pt>
                <c:pt idx="240">
                  <c:v>36767</c:v>
                </c:pt>
                <c:pt idx="241">
                  <c:v>36768</c:v>
                </c:pt>
                <c:pt idx="242">
                  <c:v>36769</c:v>
                </c:pt>
                <c:pt idx="243">
                  <c:v>36770</c:v>
                </c:pt>
                <c:pt idx="244">
                  <c:v>36771</c:v>
                </c:pt>
                <c:pt idx="245">
                  <c:v>36772</c:v>
                </c:pt>
                <c:pt idx="246">
                  <c:v>36773</c:v>
                </c:pt>
                <c:pt idx="247">
                  <c:v>36774</c:v>
                </c:pt>
                <c:pt idx="248">
                  <c:v>36775</c:v>
                </c:pt>
                <c:pt idx="249">
                  <c:v>36776</c:v>
                </c:pt>
                <c:pt idx="250">
                  <c:v>36777</c:v>
                </c:pt>
                <c:pt idx="251">
                  <c:v>36778</c:v>
                </c:pt>
                <c:pt idx="252">
                  <c:v>36779</c:v>
                </c:pt>
                <c:pt idx="253">
                  <c:v>36780</c:v>
                </c:pt>
                <c:pt idx="254">
                  <c:v>36781</c:v>
                </c:pt>
                <c:pt idx="255">
                  <c:v>36782</c:v>
                </c:pt>
                <c:pt idx="256">
                  <c:v>36783</c:v>
                </c:pt>
                <c:pt idx="257">
                  <c:v>36784</c:v>
                </c:pt>
                <c:pt idx="258">
                  <c:v>36785</c:v>
                </c:pt>
                <c:pt idx="259">
                  <c:v>36786</c:v>
                </c:pt>
                <c:pt idx="260">
                  <c:v>36787</c:v>
                </c:pt>
                <c:pt idx="261">
                  <c:v>36788</c:v>
                </c:pt>
                <c:pt idx="262">
                  <c:v>36789</c:v>
                </c:pt>
                <c:pt idx="263">
                  <c:v>36790</c:v>
                </c:pt>
                <c:pt idx="264">
                  <c:v>36791</c:v>
                </c:pt>
                <c:pt idx="265">
                  <c:v>36792</c:v>
                </c:pt>
                <c:pt idx="266">
                  <c:v>36793</c:v>
                </c:pt>
                <c:pt idx="267">
                  <c:v>36794</c:v>
                </c:pt>
                <c:pt idx="268">
                  <c:v>36795</c:v>
                </c:pt>
                <c:pt idx="269">
                  <c:v>36796</c:v>
                </c:pt>
                <c:pt idx="270">
                  <c:v>36797</c:v>
                </c:pt>
                <c:pt idx="271">
                  <c:v>36798</c:v>
                </c:pt>
                <c:pt idx="272">
                  <c:v>36799</c:v>
                </c:pt>
                <c:pt idx="273">
                  <c:v>36800</c:v>
                </c:pt>
                <c:pt idx="274">
                  <c:v>36801</c:v>
                </c:pt>
                <c:pt idx="275">
                  <c:v>36802</c:v>
                </c:pt>
                <c:pt idx="276">
                  <c:v>36803</c:v>
                </c:pt>
                <c:pt idx="277">
                  <c:v>36804</c:v>
                </c:pt>
                <c:pt idx="278">
                  <c:v>36805</c:v>
                </c:pt>
                <c:pt idx="279">
                  <c:v>36806</c:v>
                </c:pt>
                <c:pt idx="280">
                  <c:v>36807</c:v>
                </c:pt>
                <c:pt idx="281">
                  <c:v>36808</c:v>
                </c:pt>
                <c:pt idx="282">
                  <c:v>36809</c:v>
                </c:pt>
                <c:pt idx="283">
                  <c:v>36810</c:v>
                </c:pt>
                <c:pt idx="284">
                  <c:v>36811</c:v>
                </c:pt>
                <c:pt idx="285">
                  <c:v>36812</c:v>
                </c:pt>
                <c:pt idx="286">
                  <c:v>36813</c:v>
                </c:pt>
                <c:pt idx="287">
                  <c:v>36814</c:v>
                </c:pt>
                <c:pt idx="288">
                  <c:v>36815</c:v>
                </c:pt>
                <c:pt idx="289">
                  <c:v>36816</c:v>
                </c:pt>
                <c:pt idx="290">
                  <c:v>36817</c:v>
                </c:pt>
                <c:pt idx="291">
                  <c:v>36818</c:v>
                </c:pt>
                <c:pt idx="292">
                  <c:v>36819</c:v>
                </c:pt>
                <c:pt idx="293">
                  <c:v>36820</c:v>
                </c:pt>
                <c:pt idx="294">
                  <c:v>36821</c:v>
                </c:pt>
                <c:pt idx="295">
                  <c:v>36822</c:v>
                </c:pt>
                <c:pt idx="296">
                  <c:v>36823</c:v>
                </c:pt>
                <c:pt idx="297">
                  <c:v>36824</c:v>
                </c:pt>
                <c:pt idx="298">
                  <c:v>36825</c:v>
                </c:pt>
                <c:pt idx="299">
                  <c:v>36826</c:v>
                </c:pt>
                <c:pt idx="300">
                  <c:v>36827</c:v>
                </c:pt>
                <c:pt idx="301">
                  <c:v>36828</c:v>
                </c:pt>
                <c:pt idx="302">
                  <c:v>36829</c:v>
                </c:pt>
                <c:pt idx="303">
                  <c:v>36830</c:v>
                </c:pt>
                <c:pt idx="304">
                  <c:v>36831</c:v>
                </c:pt>
                <c:pt idx="305">
                  <c:v>36832</c:v>
                </c:pt>
                <c:pt idx="306">
                  <c:v>36833</c:v>
                </c:pt>
                <c:pt idx="307">
                  <c:v>36834</c:v>
                </c:pt>
                <c:pt idx="308">
                  <c:v>36835</c:v>
                </c:pt>
                <c:pt idx="309">
                  <c:v>36836</c:v>
                </c:pt>
                <c:pt idx="310">
                  <c:v>36837</c:v>
                </c:pt>
                <c:pt idx="311">
                  <c:v>36838</c:v>
                </c:pt>
                <c:pt idx="312">
                  <c:v>36839</c:v>
                </c:pt>
                <c:pt idx="313">
                  <c:v>36840</c:v>
                </c:pt>
                <c:pt idx="314">
                  <c:v>36841</c:v>
                </c:pt>
                <c:pt idx="315">
                  <c:v>36842</c:v>
                </c:pt>
                <c:pt idx="316">
                  <c:v>36843</c:v>
                </c:pt>
                <c:pt idx="317">
                  <c:v>36844</c:v>
                </c:pt>
                <c:pt idx="318">
                  <c:v>36845</c:v>
                </c:pt>
                <c:pt idx="319">
                  <c:v>36846</c:v>
                </c:pt>
                <c:pt idx="320">
                  <c:v>36847</c:v>
                </c:pt>
                <c:pt idx="321">
                  <c:v>36848</c:v>
                </c:pt>
                <c:pt idx="322">
                  <c:v>36849</c:v>
                </c:pt>
                <c:pt idx="323">
                  <c:v>36850</c:v>
                </c:pt>
                <c:pt idx="324">
                  <c:v>36851</c:v>
                </c:pt>
                <c:pt idx="325">
                  <c:v>36852</c:v>
                </c:pt>
                <c:pt idx="326">
                  <c:v>36853</c:v>
                </c:pt>
                <c:pt idx="327">
                  <c:v>36854</c:v>
                </c:pt>
                <c:pt idx="328">
                  <c:v>36855</c:v>
                </c:pt>
                <c:pt idx="329">
                  <c:v>36856</c:v>
                </c:pt>
                <c:pt idx="330">
                  <c:v>36857</c:v>
                </c:pt>
                <c:pt idx="331">
                  <c:v>36858</c:v>
                </c:pt>
                <c:pt idx="332">
                  <c:v>36859</c:v>
                </c:pt>
                <c:pt idx="333">
                  <c:v>36860</c:v>
                </c:pt>
                <c:pt idx="334">
                  <c:v>36861</c:v>
                </c:pt>
                <c:pt idx="335">
                  <c:v>36862</c:v>
                </c:pt>
                <c:pt idx="336">
                  <c:v>36863</c:v>
                </c:pt>
                <c:pt idx="337">
                  <c:v>36864</c:v>
                </c:pt>
                <c:pt idx="338">
                  <c:v>36865</c:v>
                </c:pt>
                <c:pt idx="339">
                  <c:v>36866</c:v>
                </c:pt>
                <c:pt idx="340">
                  <c:v>36867</c:v>
                </c:pt>
                <c:pt idx="341">
                  <c:v>36868</c:v>
                </c:pt>
                <c:pt idx="342">
                  <c:v>36869</c:v>
                </c:pt>
                <c:pt idx="343">
                  <c:v>36870</c:v>
                </c:pt>
                <c:pt idx="344">
                  <c:v>36871</c:v>
                </c:pt>
                <c:pt idx="345">
                  <c:v>36872</c:v>
                </c:pt>
                <c:pt idx="346">
                  <c:v>36873</c:v>
                </c:pt>
                <c:pt idx="347">
                  <c:v>36874</c:v>
                </c:pt>
                <c:pt idx="348">
                  <c:v>36875</c:v>
                </c:pt>
                <c:pt idx="349">
                  <c:v>36876</c:v>
                </c:pt>
                <c:pt idx="350">
                  <c:v>36877</c:v>
                </c:pt>
                <c:pt idx="351">
                  <c:v>36878</c:v>
                </c:pt>
                <c:pt idx="352">
                  <c:v>36879</c:v>
                </c:pt>
                <c:pt idx="353">
                  <c:v>36880</c:v>
                </c:pt>
                <c:pt idx="354">
                  <c:v>36881</c:v>
                </c:pt>
                <c:pt idx="355">
                  <c:v>36882</c:v>
                </c:pt>
                <c:pt idx="356">
                  <c:v>36883</c:v>
                </c:pt>
                <c:pt idx="357">
                  <c:v>36884</c:v>
                </c:pt>
                <c:pt idx="358">
                  <c:v>36885</c:v>
                </c:pt>
                <c:pt idx="359">
                  <c:v>36886</c:v>
                </c:pt>
                <c:pt idx="360">
                  <c:v>36887</c:v>
                </c:pt>
                <c:pt idx="361">
                  <c:v>36888</c:v>
                </c:pt>
                <c:pt idx="362">
                  <c:v>36889</c:v>
                </c:pt>
                <c:pt idx="363">
                  <c:v>36890</c:v>
                </c:pt>
                <c:pt idx="364">
                  <c:v>36891</c:v>
                </c:pt>
                <c:pt idx="365">
                  <c:v>36892</c:v>
                </c:pt>
                <c:pt idx="366">
                  <c:v>36893</c:v>
                </c:pt>
                <c:pt idx="367">
                  <c:v>36894</c:v>
                </c:pt>
                <c:pt idx="368">
                  <c:v>36895</c:v>
                </c:pt>
                <c:pt idx="369">
                  <c:v>36896</c:v>
                </c:pt>
                <c:pt idx="370">
                  <c:v>36897</c:v>
                </c:pt>
                <c:pt idx="371">
                  <c:v>36898</c:v>
                </c:pt>
                <c:pt idx="372">
                  <c:v>36899</c:v>
                </c:pt>
                <c:pt idx="373">
                  <c:v>36900</c:v>
                </c:pt>
                <c:pt idx="374">
                  <c:v>36901</c:v>
                </c:pt>
                <c:pt idx="375">
                  <c:v>36902</c:v>
                </c:pt>
                <c:pt idx="376">
                  <c:v>36903</c:v>
                </c:pt>
                <c:pt idx="377">
                  <c:v>36904</c:v>
                </c:pt>
                <c:pt idx="378">
                  <c:v>36905</c:v>
                </c:pt>
                <c:pt idx="379">
                  <c:v>36906</c:v>
                </c:pt>
                <c:pt idx="380">
                  <c:v>36907</c:v>
                </c:pt>
                <c:pt idx="381">
                  <c:v>36908</c:v>
                </c:pt>
                <c:pt idx="382">
                  <c:v>36909</c:v>
                </c:pt>
                <c:pt idx="383">
                  <c:v>36910</c:v>
                </c:pt>
                <c:pt idx="384">
                  <c:v>36911</c:v>
                </c:pt>
                <c:pt idx="385">
                  <c:v>36912</c:v>
                </c:pt>
                <c:pt idx="386">
                  <c:v>36913</c:v>
                </c:pt>
                <c:pt idx="387">
                  <c:v>36914</c:v>
                </c:pt>
                <c:pt idx="388">
                  <c:v>36915</c:v>
                </c:pt>
                <c:pt idx="389">
                  <c:v>36916</c:v>
                </c:pt>
                <c:pt idx="390">
                  <c:v>36917</c:v>
                </c:pt>
                <c:pt idx="391">
                  <c:v>36918</c:v>
                </c:pt>
                <c:pt idx="392">
                  <c:v>36919</c:v>
                </c:pt>
                <c:pt idx="393">
                  <c:v>36920</c:v>
                </c:pt>
                <c:pt idx="394">
                  <c:v>36921</c:v>
                </c:pt>
                <c:pt idx="395">
                  <c:v>36922</c:v>
                </c:pt>
                <c:pt idx="396">
                  <c:v>36923</c:v>
                </c:pt>
                <c:pt idx="397">
                  <c:v>36924</c:v>
                </c:pt>
                <c:pt idx="398">
                  <c:v>36925</c:v>
                </c:pt>
                <c:pt idx="399">
                  <c:v>36926</c:v>
                </c:pt>
                <c:pt idx="400">
                  <c:v>36927</c:v>
                </c:pt>
                <c:pt idx="401">
                  <c:v>36928</c:v>
                </c:pt>
                <c:pt idx="402">
                  <c:v>36929</c:v>
                </c:pt>
                <c:pt idx="403">
                  <c:v>36930</c:v>
                </c:pt>
                <c:pt idx="404">
                  <c:v>36931</c:v>
                </c:pt>
                <c:pt idx="405">
                  <c:v>36932</c:v>
                </c:pt>
                <c:pt idx="406">
                  <c:v>36933</c:v>
                </c:pt>
                <c:pt idx="407">
                  <c:v>36934</c:v>
                </c:pt>
                <c:pt idx="408">
                  <c:v>36935</c:v>
                </c:pt>
                <c:pt idx="409">
                  <c:v>36936</c:v>
                </c:pt>
                <c:pt idx="410">
                  <c:v>36937</c:v>
                </c:pt>
                <c:pt idx="411">
                  <c:v>36938</c:v>
                </c:pt>
                <c:pt idx="412">
                  <c:v>36939</c:v>
                </c:pt>
                <c:pt idx="413">
                  <c:v>36940</c:v>
                </c:pt>
                <c:pt idx="414">
                  <c:v>36941</c:v>
                </c:pt>
                <c:pt idx="415">
                  <c:v>36942</c:v>
                </c:pt>
                <c:pt idx="416">
                  <c:v>36943</c:v>
                </c:pt>
                <c:pt idx="417">
                  <c:v>36944</c:v>
                </c:pt>
                <c:pt idx="418">
                  <c:v>36945</c:v>
                </c:pt>
                <c:pt idx="419">
                  <c:v>36946</c:v>
                </c:pt>
                <c:pt idx="420">
                  <c:v>36947</c:v>
                </c:pt>
                <c:pt idx="421">
                  <c:v>36948</c:v>
                </c:pt>
                <c:pt idx="422">
                  <c:v>36949</c:v>
                </c:pt>
                <c:pt idx="423">
                  <c:v>36950</c:v>
                </c:pt>
                <c:pt idx="424">
                  <c:v>36951</c:v>
                </c:pt>
                <c:pt idx="425">
                  <c:v>36952</c:v>
                </c:pt>
                <c:pt idx="426">
                  <c:v>36953</c:v>
                </c:pt>
                <c:pt idx="427">
                  <c:v>36954</c:v>
                </c:pt>
                <c:pt idx="428">
                  <c:v>36955</c:v>
                </c:pt>
                <c:pt idx="429">
                  <c:v>36956</c:v>
                </c:pt>
                <c:pt idx="430">
                  <c:v>36957</c:v>
                </c:pt>
                <c:pt idx="431">
                  <c:v>36958</c:v>
                </c:pt>
                <c:pt idx="432">
                  <c:v>36959</c:v>
                </c:pt>
                <c:pt idx="433">
                  <c:v>36960</c:v>
                </c:pt>
                <c:pt idx="434">
                  <c:v>36961</c:v>
                </c:pt>
                <c:pt idx="435">
                  <c:v>36962</c:v>
                </c:pt>
                <c:pt idx="436">
                  <c:v>36963</c:v>
                </c:pt>
                <c:pt idx="437">
                  <c:v>36964</c:v>
                </c:pt>
                <c:pt idx="438">
                  <c:v>36965</c:v>
                </c:pt>
                <c:pt idx="439">
                  <c:v>36966</c:v>
                </c:pt>
                <c:pt idx="440">
                  <c:v>36967</c:v>
                </c:pt>
                <c:pt idx="441">
                  <c:v>36968</c:v>
                </c:pt>
                <c:pt idx="442">
                  <c:v>36969</c:v>
                </c:pt>
                <c:pt idx="443">
                  <c:v>36970</c:v>
                </c:pt>
                <c:pt idx="444">
                  <c:v>36971</c:v>
                </c:pt>
                <c:pt idx="445">
                  <c:v>36972</c:v>
                </c:pt>
                <c:pt idx="446">
                  <c:v>36973</c:v>
                </c:pt>
                <c:pt idx="447">
                  <c:v>36974</c:v>
                </c:pt>
                <c:pt idx="448">
                  <c:v>36975</c:v>
                </c:pt>
                <c:pt idx="449">
                  <c:v>36976</c:v>
                </c:pt>
                <c:pt idx="450">
                  <c:v>36977</c:v>
                </c:pt>
                <c:pt idx="451">
                  <c:v>36978</c:v>
                </c:pt>
                <c:pt idx="452">
                  <c:v>36979</c:v>
                </c:pt>
                <c:pt idx="453">
                  <c:v>36980</c:v>
                </c:pt>
                <c:pt idx="454">
                  <c:v>36981</c:v>
                </c:pt>
                <c:pt idx="455">
                  <c:v>36982</c:v>
                </c:pt>
                <c:pt idx="456">
                  <c:v>36983</c:v>
                </c:pt>
                <c:pt idx="457">
                  <c:v>36984</c:v>
                </c:pt>
                <c:pt idx="458">
                  <c:v>36985</c:v>
                </c:pt>
                <c:pt idx="459">
                  <c:v>36986</c:v>
                </c:pt>
                <c:pt idx="460">
                  <c:v>36987</c:v>
                </c:pt>
                <c:pt idx="461">
                  <c:v>36988</c:v>
                </c:pt>
                <c:pt idx="462">
                  <c:v>36989</c:v>
                </c:pt>
                <c:pt idx="463">
                  <c:v>36990</c:v>
                </c:pt>
                <c:pt idx="464">
                  <c:v>36991</c:v>
                </c:pt>
                <c:pt idx="465">
                  <c:v>36992</c:v>
                </c:pt>
                <c:pt idx="466">
                  <c:v>36993</c:v>
                </c:pt>
                <c:pt idx="467">
                  <c:v>36994</c:v>
                </c:pt>
                <c:pt idx="468">
                  <c:v>36995</c:v>
                </c:pt>
                <c:pt idx="469">
                  <c:v>36996</c:v>
                </c:pt>
                <c:pt idx="470">
                  <c:v>36997</c:v>
                </c:pt>
                <c:pt idx="471">
                  <c:v>36998</c:v>
                </c:pt>
                <c:pt idx="472">
                  <c:v>36999</c:v>
                </c:pt>
                <c:pt idx="473">
                  <c:v>37000</c:v>
                </c:pt>
                <c:pt idx="474">
                  <c:v>37001</c:v>
                </c:pt>
                <c:pt idx="475">
                  <c:v>37002</c:v>
                </c:pt>
                <c:pt idx="476">
                  <c:v>37003</c:v>
                </c:pt>
                <c:pt idx="477">
                  <c:v>37004</c:v>
                </c:pt>
                <c:pt idx="478">
                  <c:v>37005</c:v>
                </c:pt>
                <c:pt idx="479">
                  <c:v>37006</c:v>
                </c:pt>
                <c:pt idx="480">
                  <c:v>37007</c:v>
                </c:pt>
                <c:pt idx="481">
                  <c:v>37008</c:v>
                </c:pt>
                <c:pt idx="482">
                  <c:v>37009</c:v>
                </c:pt>
                <c:pt idx="483">
                  <c:v>37010</c:v>
                </c:pt>
                <c:pt idx="484">
                  <c:v>37011</c:v>
                </c:pt>
                <c:pt idx="485">
                  <c:v>37012</c:v>
                </c:pt>
                <c:pt idx="486">
                  <c:v>37013</c:v>
                </c:pt>
                <c:pt idx="487">
                  <c:v>37014</c:v>
                </c:pt>
                <c:pt idx="488">
                  <c:v>37015</c:v>
                </c:pt>
                <c:pt idx="489">
                  <c:v>37016</c:v>
                </c:pt>
                <c:pt idx="490">
                  <c:v>37017</c:v>
                </c:pt>
                <c:pt idx="491">
                  <c:v>37018</c:v>
                </c:pt>
                <c:pt idx="492">
                  <c:v>37019</c:v>
                </c:pt>
                <c:pt idx="493">
                  <c:v>37020</c:v>
                </c:pt>
                <c:pt idx="494">
                  <c:v>37021</c:v>
                </c:pt>
                <c:pt idx="495">
                  <c:v>37022</c:v>
                </c:pt>
                <c:pt idx="496">
                  <c:v>37023</c:v>
                </c:pt>
                <c:pt idx="497">
                  <c:v>37024</c:v>
                </c:pt>
                <c:pt idx="498">
                  <c:v>37025</c:v>
                </c:pt>
                <c:pt idx="499">
                  <c:v>37026</c:v>
                </c:pt>
                <c:pt idx="500">
                  <c:v>37027</c:v>
                </c:pt>
                <c:pt idx="501">
                  <c:v>37028</c:v>
                </c:pt>
                <c:pt idx="502">
                  <c:v>37029</c:v>
                </c:pt>
                <c:pt idx="503">
                  <c:v>37030</c:v>
                </c:pt>
                <c:pt idx="504">
                  <c:v>37031</c:v>
                </c:pt>
                <c:pt idx="505">
                  <c:v>37032</c:v>
                </c:pt>
                <c:pt idx="506">
                  <c:v>37033</c:v>
                </c:pt>
                <c:pt idx="507">
                  <c:v>37034</c:v>
                </c:pt>
                <c:pt idx="508">
                  <c:v>37035</c:v>
                </c:pt>
                <c:pt idx="509">
                  <c:v>37036</c:v>
                </c:pt>
                <c:pt idx="510">
                  <c:v>37037</c:v>
                </c:pt>
                <c:pt idx="511">
                  <c:v>37038</c:v>
                </c:pt>
                <c:pt idx="512">
                  <c:v>37039</c:v>
                </c:pt>
                <c:pt idx="513">
                  <c:v>37040</c:v>
                </c:pt>
                <c:pt idx="514">
                  <c:v>37041</c:v>
                </c:pt>
                <c:pt idx="515">
                  <c:v>37042</c:v>
                </c:pt>
                <c:pt idx="516">
                  <c:v>37043</c:v>
                </c:pt>
                <c:pt idx="517">
                  <c:v>37044</c:v>
                </c:pt>
                <c:pt idx="518">
                  <c:v>37045</c:v>
                </c:pt>
                <c:pt idx="519">
                  <c:v>37046</c:v>
                </c:pt>
                <c:pt idx="520">
                  <c:v>37047</c:v>
                </c:pt>
                <c:pt idx="521">
                  <c:v>37048</c:v>
                </c:pt>
                <c:pt idx="522">
                  <c:v>37049</c:v>
                </c:pt>
                <c:pt idx="523">
                  <c:v>37050</c:v>
                </c:pt>
                <c:pt idx="524">
                  <c:v>37051</c:v>
                </c:pt>
                <c:pt idx="525">
                  <c:v>37052</c:v>
                </c:pt>
                <c:pt idx="526">
                  <c:v>37053</c:v>
                </c:pt>
                <c:pt idx="527">
                  <c:v>37054</c:v>
                </c:pt>
                <c:pt idx="528">
                  <c:v>37055</c:v>
                </c:pt>
                <c:pt idx="529">
                  <c:v>37056</c:v>
                </c:pt>
                <c:pt idx="530">
                  <c:v>37057</c:v>
                </c:pt>
                <c:pt idx="531">
                  <c:v>37058</c:v>
                </c:pt>
                <c:pt idx="532">
                  <c:v>37059</c:v>
                </c:pt>
                <c:pt idx="533">
                  <c:v>37060</c:v>
                </c:pt>
                <c:pt idx="534">
                  <c:v>37061</c:v>
                </c:pt>
                <c:pt idx="535">
                  <c:v>37062</c:v>
                </c:pt>
                <c:pt idx="536">
                  <c:v>37063</c:v>
                </c:pt>
                <c:pt idx="537">
                  <c:v>37064</c:v>
                </c:pt>
                <c:pt idx="538">
                  <c:v>37065</c:v>
                </c:pt>
                <c:pt idx="539">
                  <c:v>37066</c:v>
                </c:pt>
                <c:pt idx="540">
                  <c:v>37067</c:v>
                </c:pt>
                <c:pt idx="541">
                  <c:v>37068</c:v>
                </c:pt>
                <c:pt idx="542">
                  <c:v>37069</c:v>
                </c:pt>
                <c:pt idx="543">
                  <c:v>37070</c:v>
                </c:pt>
                <c:pt idx="544">
                  <c:v>37071</c:v>
                </c:pt>
                <c:pt idx="545">
                  <c:v>37072</c:v>
                </c:pt>
                <c:pt idx="546">
                  <c:v>37073</c:v>
                </c:pt>
                <c:pt idx="547">
                  <c:v>37074</c:v>
                </c:pt>
                <c:pt idx="548">
                  <c:v>37075</c:v>
                </c:pt>
                <c:pt idx="549">
                  <c:v>37076</c:v>
                </c:pt>
                <c:pt idx="550">
                  <c:v>37077</c:v>
                </c:pt>
                <c:pt idx="551">
                  <c:v>37078</c:v>
                </c:pt>
                <c:pt idx="552">
                  <c:v>37079</c:v>
                </c:pt>
                <c:pt idx="553">
                  <c:v>37080</c:v>
                </c:pt>
                <c:pt idx="554">
                  <c:v>37081</c:v>
                </c:pt>
                <c:pt idx="555">
                  <c:v>37082</c:v>
                </c:pt>
                <c:pt idx="556">
                  <c:v>37083</c:v>
                </c:pt>
                <c:pt idx="557">
                  <c:v>37084</c:v>
                </c:pt>
                <c:pt idx="558">
                  <c:v>37085</c:v>
                </c:pt>
                <c:pt idx="559">
                  <c:v>37086</c:v>
                </c:pt>
                <c:pt idx="560">
                  <c:v>37087</c:v>
                </c:pt>
                <c:pt idx="561">
                  <c:v>37088</c:v>
                </c:pt>
                <c:pt idx="562">
                  <c:v>37089</c:v>
                </c:pt>
                <c:pt idx="563">
                  <c:v>37090</c:v>
                </c:pt>
                <c:pt idx="564">
                  <c:v>37091</c:v>
                </c:pt>
                <c:pt idx="565">
                  <c:v>37092</c:v>
                </c:pt>
                <c:pt idx="566">
                  <c:v>37093</c:v>
                </c:pt>
                <c:pt idx="567">
                  <c:v>37094</c:v>
                </c:pt>
                <c:pt idx="568">
                  <c:v>37095</c:v>
                </c:pt>
                <c:pt idx="569">
                  <c:v>37096</c:v>
                </c:pt>
                <c:pt idx="570">
                  <c:v>37097</c:v>
                </c:pt>
                <c:pt idx="571">
                  <c:v>37098</c:v>
                </c:pt>
                <c:pt idx="572">
                  <c:v>37099</c:v>
                </c:pt>
                <c:pt idx="573">
                  <c:v>37100</c:v>
                </c:pt>
                <c:pt idx="574">
                  <c:v>37101</c:v>
                </c:pt>
                <c:pt idx="575">
                  <c:v>37102</c:v>
                </c:pt>
                <c:pt idx="576">
                  <c:v>37103</c:v>
                </c:pt>
                <c:pt idx="577">
                  <c:v>37104</c:v>
                </c:pt>
                <c:pt idx="578">
                  <c:v>37105</c:v>
                </c:pt>
                <c:pt idx="579">
                  <c:v>37106</c:v>
                </c:pt>
                <c:pt idx="580">
                  <c:v>37107</c:v>
                </c:pt>
                <c:pt idx="581">
                  <c:v>37108</c:v>
                </c:pt>
                <c:pt idx="582">
                  <c:v>37109</c:v>
                </c:pt>
                <c:pt idx="583">
                  <c:v>37110</c:v>
                </c:pt>
                <c:pt idx="584">
                  <c:v>37111</c:v>
                </c:pt>
                <c:pt idx="585">
                  <c:v>37112</c:v>
                </c:pt>
                <c:pt idx="586">
                  <c:v>37113</c:v>
                </c:pt>
                <c:pt idx="587">
                  <c:v>37114</c:v>
                </c:pt>
                <c:pt idx="588">
                  <c:v>37115</c:v>
                </c:pt>
                <c:pt idx="589">
                  <c:v>37116</c:v>
                </c:pt>
                <c:pt idx="590">
                  <c:v>37117</c:v>
                </c:pt>
                <c:pt idx="591">
                  <c:v>37118</c:v>
                </c:pt>
                <c:pt idx="592">
                  <c:v>37119</c:v>
                </c:pt>
                <c:pt idx="593">
                  <c:v>37120</c:v>
                </c:pt>
                <c:pt idx="594">
                  <c:v>37121</c:v>
                </c:pt>
                <c:pt idx="595">
                  <c:v>37122</c:v>
                </c:pt>
                <c:pt idx="596">
                  <c:v>37123</c:v>
                </c:pt>
                <c:pt idx="597">
                  <c:v>37124</c:v>
                </c:pt>
                <c:pt idx="598">
                  <c:v>37125</c:v>
                </c:pt>
                <c:pt idx="599">
                  <c:v>37126</c:v>
                </c:pt>
                <c:pt idx="600">
                  <c:v>37127</c:v>
                </c:pt>
                <c:pt idx="601">
                  <c:v>37128</c:v>
                </c:pt>
                <c:pt idx="602">
                  <c:v>37129</c:v>
                </c:pt>
                <c:pt idx="603">
                  <c:v>37130</c:v>
                </c:pt>
                <c:pt idx="604">
                  <c:v>37131</c:v>
                </c:pt>
                <c:pt idx="605">
                  <c:v>37132</c:v>
                </c:pt>
                <c:pt idx="606">
                  <c:v>37133</c:v>
                </c:pt>
                <c:pt idx="607">
                  <c:v>37134</c:v>
                </c:pt>
                <c:pt idx="608">
                  <c:v>37135</c:v>
                </c:pt>
                <c:pt idx="609">
                  <c:v>37136</c:v>
                </c:pt>
                <c:pt idx="610">
                  <c:v>37137</c:v>
                </c:pt>
                <c:pt idx="611">
                  <c:v>37138</c:v>
                </c:pt>
                <c:pt idx="612">
                  <c:v>37139</c:v>
                </c:pt>
                <c:pt idx="613">
                  <c:v>37140</c:v>
                </c:pt>
                <c:pt idx="614">
                  <c:v>37141</c:v>
                </c:pt>
                <c:pt idx="615">
                  <c:v>37142</c:v>
                </c:pt>
                <c:pt idx="616">
                  <c:v>37143</c:v>
                </c:pt>
                <c:pt idx="617">
                  <c:v>37144</c:v>
                </c:pt>
                <c:pt idx="618">
                  <c:v>37145</c:v>
                </c:pt>
                <c:pt idx="619">
                  <c:v>37146</c:v>
                </c:pt>
                <c:pt idx="620">
                  <c:v>37147</c:v>
                </c:pt>
                <c:pt idx="621">
                  <c:v>37148</c:v>
                </c:pt>
                <c:pt idx="622">
                  <c:v>37149</c:v>
                </c:pt>
                <c:pt idx="623">
                  <c:v>37150</c:v>
                </c:pt>
                <c:pt idx="624">
                  <c:v>37151</c:v>
                </c:pt>
                <c:pt idx="625">
                  <c:v>37152</c:v>
                </c:pt>
                <c:pt idx="626">
                  <c:v>37153</c:v>
                </c:pt>
                <c:pt idx="627">
                  <c:v>37154</c:v>
                </c:pt>
                <c:pt idx="628">
                  <c:v>37155</c:v>
                </c:pt>
                <c:pt idx="629">
                  <c:v>37156</c:v>
                </c:pt>
                <c:pt idx="630">
                  <c:v>37157</c:v>
                </c:pt>
                <c:pt idx="631">
                  <c:v>37158</c:v>
                </c:pt>
                <c:pt idx="632">
                  <c:v>37159</c:v>
                </c:pt>
                <c:pt idx="633">
                  <c:v>37160</c:v>
                </c:pt>
                <c:pt idx="634">
                  <c:v>37161</c:v>
                </c:pt>
                <c:pt idx="635">
                  <c:v>37162</c:v>
                </c:pt>
                <c:pt idx="636">
                  <c:v>37163</c:v>
                </c:pt>
                <c:pt idx="637">
                  <c:v>37164</c:v>
                </c:pt>
                <c:pt idx="638">
                  <c:v>37165</c:v>
                </c:pt>
                <c:pt idx="639">
                  <c:v>37166</c:v>
                </c:pt>
                <c:pt idx="640">
                  <c:v>37167</c:v>
                </c:pt>
                <c:pt idx="641">
                  <c:v>37168</c:v>
                </c:pt>
                <c:pt idx="642">
                  <c:v>37169</c:v>
                </c:pt>
                <c:pt idx="643">
                  <c:v>37170</c:v>
                </c:pt>
                <c:pt idx="644">
                  <c:v>37171</c:v>
                </c:pt>
                <c:pt idx="645">
                  <c:v>37172</c:v>
                </c:pt>
                <c:pt idx="646">
                  <c:v>37173</c:v>
                </c:pt>
                <c:pt idx="647">
                  <c:v>37174</c:v>
                </c:pt>
                <c:pt idx="648">
                  <c:v>37175</c:v>
                </c:pt>
                <c:pt idx="649">
                  <c:v>37176</c:v>
                </c:pt>
                <c:pt idx="650">
                  <c:v>37177</c:v>
                </c:pt>
                <c:pt idx="651">
                  <c:v>37178</c:v>
                </c:pt>
                <c:pt idx="652">
                  <c:v>37179</c:v>
                </c:pt>
                <c:pt idx="653">
                  <c:v>37180</c:v>
                </c:pt>
                <c:pt idx="654">
                  <c:v>37181</c:v>
                </c:pt>
                <c:pt idx="655">
                  <c:v>37182</c:v>
                </c:pt>
                <c:pt idx="656">
                  <c:v>37183</c:v>
                </c:pt>
                <c:pt idx="657">
                  <c:v>37184</c:v>
                </c:pt>
                <c:pt idx="658">
                  <c:v>37185</c:v>
                </c:pt>
                <c:pt idx="659">
                  <c:v>37186</c:v>
                </c:pt>
                <c:pt idx="660">
                  <c:v>37187</c:v>
                </c:pt>
                <c:pt idx="661">
                  <c:v>37188</c:v>
                </c:pt>
                <c:pt idx="662">
                  <c:v>37189</c:v>
                </c:pt>
                <c:pt idx="663">
                  <c:v>37190</c:v>
                </c:pt>
                <c:pt idx="664">
                  <c:v>37191</c:v>
                </c:pt>
                <c:pt idx="665">
                  <c:v>37192</c:v>
                </c:pt>
                <c:pt idx="666">
                  <c:v>37193</c:v>
                </c:pt>
                <c:pt idx="667">
                  <c:v>37194</c:v>
                </c:pt>
                <c:pt idx="668">
                  <c:v>37195</c:v>
                </c:pt>
                <c:pt idx="669">
                  <c:v>37196</c:v>
                </c:pt>
                <c:pt idx="670">
                  <c:v>37197</c:v>
                </c:pt>
                <c:pt idx="671">
                  <c:v>37198</c:v>
                </c:pt>
                <c:pt idx="672">
                  <c:v>37199</c:v>
                </c:pt>
                <c:pt idx="673">
                  <c:v>37200</c:v>
                </c:pt>
                <c:pt idx="674">
                  <c:v>37201</c:v>
                </c:pt>
                <c:pt idx="675">
                  <c:v>37202</c:v>
                </c:pt>
                <c:pt idx="676">
                  <c:v>37203</c:v>
                </c:pt>
                <c:pt idx="677">
                  <c:v>37204</c:v>
                </c:pt>
                <c:pt idx="678">
                  <c:v>37205</c:v>
                </c:pt>
                <c:pt idx="679">
                  <c:v>37206</c:v>
                </c:pt>
                <c:pt idx="680">
                  <c:v>37207</c:v>
                </c:pt>
                <c:pt idx="681">
                  <c:v>37208</c:v>
                </c:pt>
                <c:pt idx="682">
                  <c:v>37209</c:v>
                </c:pt>
                <c:pt idx="683">
                  <c:v>37210</c:v>
                </c:pt>
                <c:pt idx="684">
                  <c:v>37211</c:v>
                </c:pt>
                <c:pt idx="685">
                  <c:v>37212</c:v>
                </c:pt>
                <c:pt idx="686">
                  <c:v>37213</c:v>
                </c:pt>
                <c:pt idx="687">
                  <c:v>37214</c:v>
                </c:pt>
                <c:pt idx="688">
                  <c:v>37215</c:v>
                </c:pt>
                <c:pt idx="689">
                  <c:v>37216</c:v>
                </c:pt>
                <c:pt idx="690">
                  <c:v>37217</c:v>
                </c:pt>
                <c:pt idx="691">
                  <c:v>37218</c:v>
                </c:pt>
                <c:pt idx="692">
                  <c:v>37219</c:v>
                </c:pt>
                <c:pt idx="693">
                  <c:v>37220</c:v>
                </c:pt>
                <c:pt idx="694">
                  <c:v>37221</c:v>
                </c:pt>
                <c:pt idx="695">
                  <c:v>37222</c:v>
                </c:pt>
                <c:pt idx="696">
                  <c:v>37223</c:v>
                </c:pt>
                <c:pt idx="697">
                  <c:v>37224</c:v>
                </c:pt>
                <c:pt idx="698">
                  <c:v>37225</c:v>
                </c:pt>
                <c:pt idx="699">
                  <c:v>37226</c:v>
                </c:pt>
                <c:pt idx="700">
                  <c:v>37227</c:v>
                </c:pt>
                <c:pt idx="701">
                  <c:v>37228</c:v>
                </c:pt>
                <c:pt idx="702">
                  <c:v>37229</c:v>
                </c:pt>
                <c:pt idx="703">
                  <c:v>37230</c:v>
                </c:pt>
                <c:pt idx="704">
                  <c:v>37231</c:v>
                </c:pt>
                <c:pt idx="705">
                  <c:v>37232</c:v>
                </c:pt>
                <c:pt idx="706">
                  <c:v>37233</c:v>
                </c:pt>
                <c:pt idx="707">
                  <c:v>37234</c:v>
                </c:pt>
                <c:pt idx="708">
                  <c:v>37235</c:v>
                </c:pt>
                <c:pt idx="709">
                  <c:v>37236</c:v>
                </c:pt>
                <c:pt idx="710">
                  <c:v>37237</c:v>
                </c:pt>
                <c:pt idx="711">
                  <c:v>37238</c:v>
                </c:pt>
                <c:pt idx="712">
                  <c:v>37239</c:v>
                </c:pt>
                <c:pt idx="713">
                  <c:v>37240</c:v>
                </c:pt>
                <c:pt idx="714">
                  <c:v>37241</c:v>
                </c:pt>
                <c:pt idx="715">
                  <c:v>37242</c:v>
                </c:pt>
                <c:pt idx="716">
                  <c:v>37243</c:v>
                </c:pt>
                <c:pt idx="717">
                  <c:v>37244</c:v>
                </c:pt>
                <c:pt idx="718">
                  <c:v>37245</c:v>
                </c:pt>
                <c:pt idx="719">
                  <c:v>37246</c:v>
                </c:pt>
                <c:pt idx="720">
                  <c:v>37247</c:v>
                </c:pt>
                <c:pt idx="721">
                  <c:v>37248</c:v>
                </c:pt>
                <c:pt idx="722">
                  <c:v>37249</c:v>
                </c:pt>
                <c:pt idx="723">
                  <c:v>37250</c:v>
                </c:pt>
                <c:pt idx="724">
                  <c:v>37251</c:v>
                </c:pt>
                <c:pt idx="725">
                  <c:v>37252</c:v>
                </c:pt>
                <c:pt idx="726">
                  <c:v>37253</c:v>
                </c:pt>
                <c:pt idx="727">
                  <c:v>37254</c:v>
                </c:pt>
                <c:pt idx="728">
                  <c:v>37255</c:v>
                </c:pt>
                <c:pt idx="729">
                  <c:v>37256</c:v>
                </c:pt>
                <c:pt idx="730">
                  <c:v>37257</c:v>
                </c:pt>
                <c:pt idx="731">
                  <c:v>37258</c:v>
                </c:pt>
                <c:pt idx="732">
                  <c:v>37259</c:v>
                </c:pt>
                <c:pt idx="733">
                  <c:v>37260</c:v>
                </c:pt>
                <c:pt idx="734">
                  <c:v>37261</c:v>
                </c:pt>
                <c:pt idx="735">
                  <c:v>37262</c:v>
                </c:pt>
                <c:pt idx="736">
                  <c:v>37263</c:v>
                </c:pt>
                <c:pt idx="737">
                  <c:v>37264</c:v>
                </c:pt>
                <c:pt idx="738">
                  <c:v>37265</c:v>
                </c:pt>
                <c:pt idx="739">
                  <c:v>37266</c:v>
                </c:pt>
                <c:pt idx="740">
                  <c:v>37267</c:v>
                </c:pt>
                <c:pt idx="741">
                  <c:v>37268</c:v>
                </c:pt>
                <c:pt idx="742">
                  <c:v>37269</c:v>
                </c:pt>
                <c:pt idx="743">
                  <c:v>37270</c:v>
                </c:pt>
                <c:pt idx="744">
                  <c:v>37271</c:v>
                </c:pt>
                <c:pt idx="745">
                  <c:v>37272</c:v>
                </c:pt>
                <c:pt idx="746">
                  <c:v>37273</c:v>
                </c:pt>
                <c:pt idx="747">
                  <c:v>37274</c:v>
                </c:pt>
                <c:pt idx="748">
                  <c:v>37275</c:v>
                </c:pt>
                <c:pt idx="749">
                  <c:v>37276</c:v>
                </c:pt>
                <c:pt idx="750">
                  <c:v>37277</c:v>
                </c:pt>
                <c:pt idx="751">
                  <c:v>37278</c:v>
                </c:pt>
                <c:pt idx="752">
                  <c:v>37279</c:v>
                </c:pt>
                <c:pt idx="753">
                  <c:v>37280</c:v>
                </c:pt>
                <c:pt idx="754">
                  <c:v>37281</c:v>
                </c:pt>
                <c:pt idx="755">
                  <c:v>37282</c:v>
                </c:pt>
                <c:pt idx="756">
                  <c:v>37283</c:v>
                </c:pt>
                <c:pt idx="757">
                  <c:v>37284</c:v>
                </c:pt>
                <c:pt idx="758">
                  <c:v>37285</c:v>
                </c:pt>
                <c:pt idx="759">
                  <c:v>37286</c:v>
                </c:pt>
                <c:pt idx="760">
                  <c:v>37287</c:v>
                </c:pt>
                <c:pt idx="761">
                  <c:v>37288</c:v>
                </c:pt>
                <c:pt idx="762">
                  <c:v>37289</c:v>
                </c:pt>
                <c:pt idx="763">
                  <c:v>37290</c:v>
                </c:pt>
                <c:pt idx="764">
                  <c:v>37291</c:v>
                </c:pt>
                <c:pt idx="765">
                  <c:v>37292</c:v>
                </c:pt>
                <c:pt idx="766">
                  <c:v>37293</c:v>
                </c:pt>
                <c:pt idx="767">
                  <c:v>37294</c:v>
                </c:pt>
                <c:pt idx="768">
                  <c:v>37295</c:v>
                </c:pt>
                <c:pt idx="769">
                  <c:v>37296</c:v>
                </c:pt>
                <c:pt idx="770">
                  <c:v>37297</c:v>
                </c:pt>
                <c:pt idx="771">
                  <c:v>37298</c:v>
                </c:pt>
                <c:pt idx="772">
                  <c:v>37299</c:v>
                </c:pt>
                <c:pt idx="773">
                  <c:v>37300</c:v>
                </c:pt>
                <c:pt idx="774">
                  <c:v>37301</c:v>
                </c:pt>
                <c:pt idx="775">
                  <c:v>37302</c:v>
                </c:pt>
                <c:pt idx="776">
                  <c:v>37303</c:v>
                </c:pt>
                <c:pt idx="777">
                  <c:v>37304</c:v>
                </c:pt>
                <c:pt idx="778">
                  <c:v>37305</c:v>
                </c:pt>
                <c:pt idx="779">
                  <c:v>37306</c:v>
                </c:pt>
                <c:pt idx="780">
                  <c:v>37307</c:v>
                </c:pt>
                <c:pt idx="781">
                  <c:v>37308</c:v>
                </c:pt>
                <c:pt idx="782">
                  <c:v>37309</c:v>
                </c:pt>
                <c:pt idx="783">
                  <c:v>37310</c:v>
                </c:pt>
                <c:pt idx="784">
                  <c:v>37311</c:v>
                </c:pt>
                <c:pt idx="785">
                  <c:v>37312</c:v>
                </c:pt>
                <c:pt idx="786">
                  <c:v>37313</c:v>
                </c:pt>
                <c:pt idx="787">
                  <c:v>37314</c:v>
                </c:pt>
                <c:pt idx="788">
                  <c:v>37315</c:v>
                </c:pt>
                <c:pt idx="789">
                  <c:v>37316</c:v>
                </c:pt>
                <c:pt idx="790">
                  <c:v>37317</c:v>
                </c:pt>
                <c:pt idx="791">
                  <c:v>37318</c:v>
                </c:pt>
                <c:pt idx="792">
                  <c:v>37319</c:v>
                </c:pt>
                <c:pt idx="793">
                  <c:v>37320</c:v>
                </c:pt>
                <c:pt idx="794">
                  <c:v>37321</c:v>
                </c:pt>
                <c:pt idx="795">
                  <c:v>37322</c:v>
                </c:pt>
                <c:pt idx="796">
                  <c:v>37323</c:v>
                </c:pt>
                <c:pt idx="797">
                  <c:v>37324</c:v>
                </c:pt>
                <c:pt idx="798">
                  <c:v>37325</c:v>
                </c:pt>
                <c:pt idx="799">
                  <c:v>37326</c:v>
                </c:pt>
                <c:pt idx="800">
                  <c:v>37327</c:v>
                </c:pt>
                <c:pt idx="801">
                  <c:v>37328</c:v>
                </c:pt>
                <c:pt idx="802">
                  <c:v>37329</c:v>
                </c:pt>
                <c:pt idx="803">
                  <c:v>37330</c:v>
                </c:pt>
                <c:pt idx="804">
                  <c:v>37331</c:v>
                </c:pt>
                <c:pt idx="805">
                  <c:v>37332</c:v>
                </c:pt>
                <c:pt idx="806">
                  <c:v>37333</c:v>
                </c:pt>
                <c:pt idx="807">
                  <c:v>37334</c:v>
                </c:pt>
                <c:pt idx="808">
                  <c:v>37335</c:v>
                </c:pt>
                <c:pt idx="809">
                  <c:v>37336</c:v>
                </c:pt>
                <c:pt idx="810">
                  <c:v>37337</c:v>
                </c:pt>
                <c:pt idx="811">
                  <c:v>37338</c:v>
                </c:pt>
                <c:pt idx="812">
                  <c:v>37339</c:v>
                </c:pt>
                <c:pt idx="813">
                  <c:v>37340</c:v>
                </c:pt>
                <c:pt idx="814">
                  <c:v>37341</c:v>
                </c:pt>
                <c:pt idx="815">
                  <c:v>37342</c:v>
                </c:pt>
                <c:pt idx="816">
                  <c:v>37343</c:v>
                </c:pt>
                <c:pt idx="817">
                  <c:v>37344</c:v>
                </c:pt>
                <c:pt idx="818">
                  <c:v>37345</c:v>
                </c:pt>
                <c:pt idx="819">
                  <c:v>37346</c:v>
                </c:pt>
                <c:pt idx="820">
                  <c:v>37347</c:v>
                </c:pt>
                <c:pt idx="821">
                  <c:v>37348</c:v>
                </c:pt>
                <c:pt idx="822">
                  <c:v>37349</c:v>
                </c:pt>
                <c:pt idx="823">
                  <c:v>37350</c:v>
                </c:pt>
                <c:pt idx="824">
                  <c:v>37351</c:v>
                </c:pt>
                <c:pt idx="825">
                  <c:v>37352</c:v>
                </c:pt>
                <c:pt idx="826">
                  <c:v>37353</c:v>
                </c:pt>
                <c:pt idx="827">
                  <c:v>37354</c:v>
                </c:pt>
                <c:pt idx="828">
                  <c:v>37355</c:v>
                </c:pt>
                <c:pt idx="829">
                  <c:v>37356</c:v>
                </c:pt>
                <c:pt idx="830">
                  <c:v>37357</c:v>
                </c:pt>
                <c:pt idx="831">
                  <c:v>37358</c:v>
                </c:pt>
                <c:pt idx="832">
                  <c:v>37359</c:v>
                </c:pt>
                <c:pt idx="833">
                  <c:v>37360</c:v>
                </c:pt>
                <c:pt idx="834">
                  <c:v>37361</c:v>
                </c:pt>
                <c:pt idx="835">
                  <c:v>37362</c:v>
                </c:pt>
                <c:pt idx="836">
                  <c:v>37363</c:v>
                </c:pt>
                <c:pt idx="837">
                  <c:v>37364</c:v>
                </c:pt>
                <c:pt idx="838">
                  <c:v>37365</c:v>
                </c:pt>
                <c:pt idx="839">
                  <c:v>37366</c:v>
                </c:pt>
                <c:pt idx="840">
                  <c:v>37367</c:v>
                </c:pt>
                <c:pt idx="841">
                  <c:v>37368</c:v>
                </c:pt>
                <c:pt idx="842">
                  <c:v>37369</c:v>
                </c:pt>
                <c:pt idx="843">
                  <c:v>37370</c:v>
                </c:pt>
                <c:pt idx="844">
                  <c:v>37371</c:v>
                </c:pt>
                <c:pt idx="845">
                  <c:v>37372</c:v>
                </c:pt>
                <c:pt idx="846">
                  <c:v>37373</c:v>
                </c:pt>
                <c:pt idx="847">
                  <c:v>37374</c:v>
                </c:pt>
                <c:pt idx="848">
                  <c:v>37375</c:v>
                </c:pt>
                <c:pt idx="849">
                  <c:v>37376</c:v>
                </c:pt>
                <c:pt idx="850">
                  <c:v>37377</c:v>
                </c:pt>
                <c:pt idx="851">
                  <c:v>37378</c:v>
                </c:pt>
                <c:pt idx="852">
                  <c:v>37379</c:v>
                </c:pt>
                <c:pt idx="853">
                  <c:v>37380</c:v>
                </c:pt>
                <c:pt idx="854">
                  <c:v>37381</c:v>
                </c:pt>
                <c:pt idx="855">
                  <c:v>37382</c:v>
                </c:pt>
                <c:pt idx="856">
                  <c:v>37383</c:v>
                </c:pt>
                <c:pt idx="857">
                  <c:v>37384</c:v>
                </c:pt>
                <c:pt idx="858">
                  <c:v>37385</c:v>
                </c:pt>
                <c:pt idx="859">
                  <c:v>37386</c:v>
                </c:pt>
                <c:pt idx="860">
                  <c:v>37387</c:v>
                </c:pt>
                <c:pt idx="861">
                  <c:v>37388</c:v>
                </c:pt>
                <c:pt idx="862">
                  <c:v>37389</c:v>
                </c:pt>
                <c:pt idx="863">
                  <c:v>37390</c:v>
                </c:pt>
                <c:pt idx="864">
                  <c:v>37391</c:v>
                </c:pt>
                <c:pt idx="865">
                  <c:v>37392</c:v>
                </c:pt>
                <c:pt idx="866">
                  <c:v>37393</c:v>
                </c:pt>
                <c:pt idx="867">
                  <c:v>37394</c:v>
                </c:pt>
                <c:pt idx="868">
                  <c:v>37395</c:v>
                </c:pt>
                <c:pt idx="869">
                  <c:v>37396</c:v>
                </c:pt>
                <c:pt idx="870">
                  <c:v>37397</c:v>
                </c:pt>
                <c:pt idx="871">
                  <c:v>37398</c:v>
                </c:pt>
                <c:pt idx="872">
                  <c:v>37399</c:v>
                </c:pt>
                <c:pt idx="873">
                  <c:v>37400</c:v>
                </c:pt>
                <c:pt idx="874">
                  <c:v>37401</c:v>
                </c:pt>
                <c:pt idx="875">
                  <c:v>37402</c:v>
                </c:pt>
                <c:pt idx="876">
                  <c:v>37403</c:v>
                </c:pt>
                <c:pt idx="877">
                  <c:v>37404</c:v>
                </c:pt>
                <c:pt idx="878">
                  <c:v>37405</c:v>
                </c:pt>
                <c:pt idx="879">
                  <c:v>37406</c:v>
                </c:pt>
                <c:pt idx="880">
                  <c:v>37407</c:v>
                </c:pt>
                <c:pt idx="881">
                  <c:v>37408</c:v>
                </c:pt>
                <c:pt idx="882">
                  <c:v>37409</c:v>
                </c:pt>
                <c:pt idx="883">
                  <c:v>37410</c:v>
                </c:pt>
                <c:pt idx="884">
                  <c:v>37411</c:v>
                </c:pt>
                <c:pt idx="885">
                  <c:v>37412</c:v>
                </c:pt>
                <c:pt idx="886">
                  <c:v>37413</c:v>
                </c:pt>
                <c:pt idx="887">
                  <c:v>37414</c:v>
                </c:pt>
                <c:pt idx="888">
                  <c:v>37415</c:v>
                </c:pt>
                <c:pt idx="889">
                  <c:v>37416</c:v>
                </c:pt>
                <c:pt idx="890">
                  <c:v>37417</c:v>
                </c:pt>
                <c:pt idx="891">
                  <c:v>37418</c:v>
                </c:pt>
                <c:pt idx="892">
                  <c:v>37419</c:v>
                </c:pt>
                <c:pt idx="893">
                  <c:v>37420</c:v>
                </c:pt>
                <c:pt idx="894">
                  <c:v>37421</c:v>
                </c:pt>
                <c:pt idx="895">
                  <c:v>37422</c:v>
                </c:pt>
                <c:pt idx="896">
                  <c:v>37423</c:v>
                </c:pt>
                <c:pt idx="897">
                  <c:v>37424</c:v>
                </c:pt>
                <c:pt idx="898">
                  <c:v>37425</c:v>
                </c:pt>
                <c:pt idx="899">
                  <c:v>37426</c:v>
                </c:pt>
                <c:pt idx="900">
                  <c:v>37427</c:v>
                </c:pt>
                <c:pt idx="901">
                  <c:v>37428</c:v>
                </c:pt>
                <c:pt idx="902">
                  <c:v>37429</c:v>
                </c:pt>
                <c:pt idx="903">
                  <c:v>37430</c:v>
                </c:pt>
                <c:pt idx="904">
                  <c:v>37431</c:v>
                </c:pt>
                <c:pt idx="905">
                  <c:v>37432</c:v>
                </c:pt>
                <c:pt idx="906">
                  <c:v>37433</c:v>
                </c:pt>
                <c:pt idx="907">
                  <c:v>37434</c:v>
                </c:pt>
                <c:pt idx="908">
                  <c:v>37435</c:v>
                </c:pt>
                <c:pt idx="909">
                  <c:v>37436</c:v>
                </c:pt>
                <c:pt idx="910">
                  <c:v>37437</c:v>
                </c:pt>
                <c:pt idx="911">
                  <c:v>37438</c:v>
                </c:pt>
                <c:pt idx="912">
                  <c:v>37439</c:v>
                </c:pt>
                <c:pt idx="913">
                  <c:v>37440</c:v>
                </c:pt>
                <c:pt idx="914">
                  <c:v>37441</c:v>
                </c:pt>
                <c:pt idx="915">
                  <c:v>37442</c:v>
                </c:pt>
                <c:pt idx="916">
                  <c:v>37443</c:v>
                </c:pt>
                <c:pt idx="917">
                  <c:v>37444</c:v>
                </c:pt>
                <c:pt idx="918">
                  <c:v>37445</c:v>
                </c:pt>
                <c:pt idx="919">
                  <c:v>37446</c:v>
                </c:pt>
                <c:pt idx="920">
                  <c:v>37447</c:v>
                </c:pt>
                <c:pt idx="921">
                  <c:v>37448</c:v>
                </c:pt>
                <c:pt idx="922">
                  <c:v>37449</c:v>
                </c:pt>
                <c:pt idx="923">
                  <c:v>37450</c:v>
                </c:pt>
                <c:pt idx="924">
                  <c:v>37451</c:v>
                </c:pt>
                <c:pt idx="925">
                  <c:v>37452</c:v>
                </c:pt>
                <c:pt idx="926">
                  <c:v>37453</c:v>
                </c:pt>
                <c:pt idx="927">
                  <c:v>37454</c:v>
                </c:pt>
                <c:pt idx="928">
                  <c:v>37455</c:v>
                </c:pt>
                <c:pt idx="929">
                  <c:v>37456</c:v>
                </c:pt>
                <c:pt idx="930">
                  <c:v>37457</c:v>
                </c:pt>
                <c:pt idx="931">
                  <c:v>37458</c:v>
                </c:pt>
                <c:pt idx="932">
                  <c:v>37459</c:v>
                </c:pt>
                <c:pt idx="933">
                  <c:v>37460</c:v>
                </c:pt>
                <c:pt idx="934">
                  <c:v>37461</c:v>
                </c:pt>
                <c:pt idx="935">
                  <c:v>37462</c:v>
                </c:pt>
                <c:pt idx="936">
                  <c:v>37463</c:v>
                </c:pt>
                <c:pt idx="937">
                  <c:v>37464</c:v>
                </c:pt>
                <c:pt idx="938">
                  <c:v>37465</c:v>
                </c:pt>
                <c:pt idx="939">
                  <c:v>37466</c:v>
                </c:pt>
                <c:pt idx="940">
                  <c:v>37467</c:v>
                </c:pt>
                <c:pt idx="941">
                  <c:v>37468</c:v>
                </c:pt>
                <c:pt idx="942">
                  <c:v>37469</c:v>
                </c:pt>
                <c:pt idx="943">
                  <c:v>37470</c:v>
                </c:pt>
                <c:pt idx="944">
                  <c:v>37471</c:v>
                </c:pt>
                <c:pt idx="945">
                  <c:v>37472</c:v>
                </c:pt>
                <c:pt idx="946">
                  <c:v>37473</c:v>
                </c:pt>
                <c:pt idx="947">
                  <c:v>37474</c:v>
                </c:pt>
                <c:pt idx="948">
                  <c:v>37475</c:v>
                </c:pt>
                <c:pt idx="949">
                  <c:v>37476</c:v>
                </c:pt>
                <c:pt idx="950">
                  <c:v>37477</c:v>
                </c:pt>
                <c:pt idx="951">
                  <c:v>37478</c:v>
                </c:pt>
                <c:pt idx="952">
                  <c:v>37479</c:v>
                </c:pt>
                <c:pt idx="953">
                  <c:v>37480</c:v>
                </c:pt>
                <c:pt idx="954">
                  <c:v>37481</c:v>
                </c:pt>
                <c:pt idx="955">
                  <c:v>37482</c:v>
                </c:pt>
                <c:pt idx="956">
                  <c:v>37483</c:v>
                </c:pt>
                <c:pt idx="957">
                  <c:v>37484</c:v>
                </c:pt>
                <c:pt idx="958">
                  <c:v>37485</c:v>
                </c:pt>
                <c:pt idx="959">
                  <c:v>37486</c:v>
                </c:pt>
                <c:pt idx="960">
                  <c:v>37487</c:v>
                </c:pt>
                <c:pt idx="961">
                  <c:v>37488</c:v>
                </c:pt>
                <c:pt idx="962">
                  <c:v>37489</c:v>
                </c:pt>
                <c:pt idx="963">
                  <c:v>37490</c:v>
                </c:pt>
                <c:pt idx="964">
                  <c:v>37491</c:v>
                </c:pt>
                <c:pt idx="965">
                  <c:v>37492</c:v>
                </c:pt>
                <c:pt idx="966">
                  <c:v>37493</c:v>
                </c:pt>
                <c:pt idx="967">
                  <c:v>37494</c:v>
                </c:pt>
                <c:pt idx="968">
                  <c:v>37495</c:v>
                </c:pt>
                <c:pt idx="969">
                  <c:v>37496</c:v>
                </c:pt>
                <c:pt idx="970">
                  <c:v>37497</c:v>
                </c:pt>
                <c:pt idx="971">
                  <c:v>37498</c:v>
                </c:pt>
                <c:pt idx="972">
                  <c:v>37499</c:v>
                </c:pt>
                <c:pt idx="973">
                  <c:v>37500</c:v>
                </c:pt>
                <c:pt idx="974">
                  <c:v>37501</c:v>
                </c:pt>
                <c:pt idx="975">
                  <c:v>37502</c:v>
                </c:pt>
                <c:pt idx="976">
                  <c:v>37503</c:v>
                </c:pt>
                <c:pt idx="977">
                  <c:v>37504</c:v>
                </c:pt>
                <c:pt idx="978">
                  <c:v>37505</c:v>
                </c:pt>
                <c:pt idx="979">
                  <c:v>37506</c:v>
                </c:pt>
                <c:pt idx="980">
                  <c:v>37507</c:v>
                </c:pt>
                <c:pt idx="981">
                  <c:v>37508</c:v>
                </c:pt>
                <c:pt idx="982">
                  <c:v>37509</c:v>
                </c:pt>
                <c:pt idx="983">
                  <c:v>37510</c:v>
                </c:pt>
                <c:pt idx="984">
                  <c:v>37511</c:v>
                </c:pt>
                <c:pt idx="985">
                  <c:v>37512</c:v>
                </c:pt>
                <c:pt idx="986">
                  <c:v>37513</c:v>
                </c:pt>
                <c:pt idx="987">
                  <c:v>37514</c:v>
                </c:pt>
                <c:pt idx="988">
                  <c:v>37515</c:v>
                </c:pt>
                <c:pt idx="989">
                  <c:v>37516</c:v>
                </c:pt>
                <c:pt idx="990">
                  <c:v>37517</c:v>
                </c:pt>
                <c:pt idx="991">
                  <c:v>37518</c:v>
                </c:pt>
                <c:pt idx="992">
                  <c:v>37519</c:v>
                </c:pt>
                <c:pt idx="993">
                  <c:v>37520</c:v>
                </c:pt>
                <c:pt idx="994">
                  <c:v>37521</c:v>
                </c:pt>
                <c:pt idx="995">
                  <c:v>37522</c:v>
                </c:pt>
                <c:pt idx="996">
                  <c:v>37523</c:v>
                </c:pt>
                <c:pt idx="997">
                  <c:v>37524</c:v>
                </c:pt>
                <c:pt idx="998">
                  <c:v>37525</c:v>
                </c:pt>
                <c:pt idx="999">
                  <c:v>37526</c:v>
                </c:pt>
                <c:pt idx="1000">
                  <c:v>37527</c:v>
                </c:pt>
                <c:pt idx="1001">
                  <c:v>37528</c:v>
                </c:pt>
                <c:pt idx="1002">
                  <c:v>37529</c:v>
                </c:pt>
                <c:pt idx="1003">
                  <c:v>37530</c:v>
                </c:pt>
                <c:pt idx="1004">
                  <c:v>37531</c:v>
                </c:pt>
                <c:pt idx="1005">
                  <c:v>37532</c:v>
                </c:pt>
                <c:pt idx="1006">
                  <c:v>37533</c:v>
                </c:pt>
                <c:pt idx="1007">
                  <c:v>37534</c:v>
                </c:pt>
                <c:pt idx="1008">
                  <c:v>37535</c:v>
                </c:pt>
                <c:pt idx="1009">
                  <c:v>37536</c:v>
                </c:pt>
                <c:pt idx="1010">
                  <c:v>37537</c:v>
                </c:pt>
                <c:pt idx="1011">
                  <c:v>37538</c:v>
                </c:pt>
                <c:pt idx="1012">
                  <c:v>37539</c:v>
                </c:pt>
                <c:pt idx="1013">
                  <c:v>37540</c:v>
                </c:pt>
                <c:pt idx="1014">
                  <c:v>37541</c:v>
                </c:pt>
                <c:pt idx="1015">
                  <c:v>37542</c:v>
                </c:pt>
                <c:pt idx="1016">
                  <c:v>37543</c:v>
                </c:pt>
                <c:pt idx="1017">
                  <c:v>37544</c:v>
                </c:pt>
                <c:pt idx="1018">
                  <c:v>37545</c:v>
                </c:pt>
                <c:pt idx="1019">
                  <c:v>37546</c:v>
                </c:pt>
                <c:pt idx="1020">
                  <c:v>37547</c:v>
                </c:pt>
                <c:pt idx="1021">
                  <c:v>37548</c:v>
                </c:pt>
                <c:pt idx="1022">
                  <c:v>37549</c:v>
                </c:pt>
                <c:pt idx="1023">
                  <c:v>37550</c:v>
                </c:pt>
                <c:pt idx="1024">
                  <c:v>37551</c:v>
                </c:pt>
                <c:pt idx="1025">
                  <c:v>37552</c:v>
                </c:pt>
                <c:pt idx="1026">
                  <c:v>37553</c:v>
                </c:pt>
                <c:pt idx="1027">
                  <c:v>37554</c:v>
                </c:pt>
                <c:pt idx="1028">
                  <c:v>37555</c:v>
                </c:pt>
                <c:pt idx="1029">
                  <c:v>37556</c:v>
                </c:pt>
                <c:pt idx="1030">
                  <c:v>37557</c:v>
                </c:pt>
                <c:pt idx="1031">
                  <c:v>37558</c:v>
                </c:pt>
                <c:pt idx="1032">
                  <c:v>37559</c:v>
                </c:pt>
                <c:pt idx="1033">
                  <c:v>37560</c:v>
                </c:pt>
                <c:pt idx="1034">
                  <c:v>37561</c:v>
                </c:pt>
                <c:pt idx="1035">
                  <c:v>37562</c:v>
                </c:pt>
                <c:pt idx="1036">
                  <c:v>37563</c:v>
                </c:pt>
                <c:pt idx="1037">
                  <c:v>37564</c:v>
                </c:pt>
                <c:pt idx="1038">
                  <c:v>37565</c:v>
                </c:pt>
                <c:pt idx="1039">
                  <c:v>37566</c:v>
                </c:pt>
                <c:pt idx="1040">
                  <c:v>37567</c:v>
                </c:pt>
                <c:pt idx="1041">
                  <c:v>37568</c:v>
                </c:pt>
                <c:pt idx="1042">
                  <c:v>37569</c:v>
                </c:pt>
                <c:pt idx="1043">
                  <c:v>37570</c:v>
                </c:pt>
                <c:pt idx="1044">
                  <c:v>37571</c:v>
                </c:pt>
                <c:pt idx="1045">
                  <c:v>37572</c:v>
                </c:pt>
                <c:pt idx="1046">
                  <c:v>37573</c:v>
                </c:pt>
                <c:pt idx="1047">
                  <c:v>37574</c:v>
                </c:pt>
                <c:pt idx="1048">
                  <c:v>37575</c:v>
                </c:pt>
                <c:pt idx="1049">
                  <c:v>37576</c:v>
                </c:pt>
                <c:pt idx="1050">
                  <c:v>37577</c:v>
                </c:pt>
                <c:pt idx="1051">
                  <c:v>37578</c:v>
                </c:pt>
                <c:pt idx="1052">
                  <c:v>37579</c:v>
                </c:pt>
                <c:pt idx="1053">
                  <c:v>37580</c:v>
                </c:pt>
                <c:pt idx="1054">
                  <c:v>37581</c:v>
                </c:pt>
                <c:pt idx="1055">
                  <c:v>37582</c:v>
                </c:pt>
                <c:pt idx="1056">
                  <c:v>37583</c:v>
                </c:pt>
                <c:pt idx="1057">
                  <c:v>37584</c:v>
                </c:pt>
                <c:pt idx="1058">
                  <c:v>37585</c:v>
                </c:pt>
                <c:pt idx="1059">
                  <c:v>37586</c:v>
                </c:pt>
                <c:pt idx="1060">
                  <c:v>37587</c:v>
                </c:pt>
                <c:pt idx="1061">
                  <c:v>37588</c:v>
                </c:pt>
                <c:pt idx="1062">
                  <c:v>37589</c:v>
                </c:pt>
                <c:pt idx="1063">
                  <c:v>37590</c:v>
                </c:pt>
                <c:pt idx="1064">
                  <c:v>37591</c:v>
                </c:pt>
                <c:pt idx="1065">
                  <c:v>37592</c:v>
                </c:pt>
                <c:pt idx="1066">
                  <c:v>37593</c:v>
                </c:pt>
                <c:pt idx="1067">
                  <c:v>37594</c:v>
                </c:pt>
                <c:pt idx="1068">
                  <c:v>37595</c:v>
                </c:pt>
                <c:pt idx="1069">
                  <c:v>37596</c:v>
                </c:pt>
                <c:pt idx="1070">
                  <c:v>37597</c:v>
                </c:pt>
                <c:pt idx="1071">
                  <c:v>37598</c:v>
                </c:pt>
                <c:pt idx="1072">
                  <c:v>37599</c:v>
                </c:pt>
                <c:pt idx="1073">
                  <c:v>37600</c:v>
                </c:pt>
                <c:pt idx="1074">
                  <c:v>37601</c:v>
                </c:pt>
                <c:pt idx="1075">
                  <c:v>37602</c:v>
                </c:pt>
                <c:pt idx="1076">
                  <c:v>37603</c:v>
                </c:pt>
                <c:pt idx="1077">
                  <c:v>37604</c:v>
                </c:pt>
                <c:pt idx="1078">
                  <c:v>37605</c:v>
                </c:pt>
                <c:pt idx="1079">
                  <c:v>37606</c:v>
                </c:pt>
                <c:pt idx="1080">
                  <c:v>37607</c:v>
                </c:pt>
                <c:pt idx="1081">
                  <c:v>37608</c:v>
                </c:pt>
                <c:pt idx="1082">
                  <c:v>37609</c:v>
                </c:pt>
                <c:pt idx="1083">
                  <c:v>37610</c:v>
                </c:pt>
                <c:pt idx="1084">
                  <c:v>37611</c:v>
                </c:pt>
                <c:pt idx="1085">
                  <c:v>37612</c:v>
                </c:pt>
                <c:pt idx="1086">
                  <c:v>37613</c:v>
                </c:pt>
                <c:pt idx="1087">
                  <c:v>37614</c:v>
                </c:pt>
                <c:pt idx="1088">
                  <c:v>37615</c:v>
                </c:pt>
                <c:pt idx="1089">
                  <c:v>37616</c:v>
                </c:pt>
                <c:pt idx="1090">
                  <c:v>37617</c:v>
                </c:pt>
                <c:pt idx="1091">
                  <c:v>37618</c:v>
                </c:pt>
                <c:pt idx="1092">
                  <c:v>37619</c:v>
                </c:pt>
                <c:pt idx="1093">
                  <c:v>37620</c:v>
                </c:pt>
                <c:pt idx="1094">
                  <c:v>37621</c:v>
                </c:pt>
                <c:pt idx="1095">
                  <c:v>37622</c:v>
                </c:pt>
                <c:pt idx="1096">
                  <c:v>37623</c:v>
                </c:pt>
                <c:pt idx="1097">
                  <c:v>37624</c:v>
                </c:pt>
                <c:pt idx="1098">
                  <c:v>37625</c:v>
                </c:pt>
                <c:pt idx="1099">
                  <c:v>37626</c:v>
                </c:pt>
                <c:pt idx="1100">
                  <c:v>37627</c:v>
                </c:pt>
                <c:pt idx="1101">
                  <c:v>37628</c:v>
                </c:pt>
                <c:pt idx="1102">
                  <c:v>37629</c:v>
                </c:pt>
                <c:pt idx="1103">
                  <c:v>37630</c:v>
                </c:pt>
                <c:pt idx="1104">
                  <c:v>37631</c:v>
                </c:pt>
                <c:pt idx="1105">
                  <c:v>37632</c:v>
                </c:pt>
                <c:pt idx="1106">
                  <c:v>37633</c:v>
                </c:pt>
                <c:pt idx="1107">
                  <c:v>37634</c:v>
                </c:pt>
                <c:pt idx="1108">
                  <c:v>37635</c:v>
                </c:pt>
                <c:pt idx="1109">
                  <c:v>37636</c:v>
                </c:pt>
                <c:pt idx="1110">
                  <c:v>37637</c:v>
                </c:pt>
                <c:pt idx="1111">
                  <c:v>37638</c:v>
                </c:pt>
                <c:pt idx="1112">
                  <c:v>37639</c:v>
                </c:pt>
                <c:pt idx="1113">
                  <c:v>37640</c:v>
                </c:pt>
                <c:pt idx="1114">
                  <c:v>37641</c:v>
                </c:pt>
                <c:pt idx="1115">
                  <c:v>37642</c:v>
                </c:pt>
                <c:pt idx="1116">
                  <c:v>37643</c:v>
                </c:pt>
                <c:pt idx="1117">
                  <c:v>37644</c:v>
                </c:pt>
                <c:pt idx="1118">
                  <c:v>37645</c:v>
                </c:pt>
                <c:pt idx="1119">
                  <c:v>37646</c:v>
                </c:pt>
                <c:pt idx="1120">
                  <c:v>37647</c:v>
                </c:pt>
                <c:pt idx="1121">
                  <c:v>37648</c:v>
                </c:pt>
                <c:pt idx="1122">
                  <c:v>37649</c:v>
                </c:pt>
                <c:pt idx="1123">
                  <c:v>37650</c:v>
                </c:pt>
                <c:pt idx="1124">
                  <c:v>37651</c:v>
                </c:pt>
                <c:pt idx="1125">
                  <c:v>37652</c:v>
                </c:pt>
                <c:pt idx="1126">
                  <c:v>37653</c:v>
                </c:pt>
                <c:pt idx="1127">
                  <c:v>37654</c:v>
                </c:pt>
                <c:pt idx="1128">
                  <c:v>37655</c:v>
                </c:pt>
                <c:pt idx="1129">
                  <c:v>37656</c:v>
                </c:pt>
                <c:pt idx="1130">
                  <c:v>37657</c:v>
                </c:pt>
                <c:pt idx="1131">
                  <c:v>37658</c:v>
                </c:pt>
                <c:pt idx="1132">
                  <c:v>37659</c:v>
                </c:pt>
                <c:pt idx="1133">
                  <c:v>37660</c:v>
                </c:pt>
                <c:pt idx="1134">
                  <c:v>37661</c:v>
                </c:pt>
                <c:pt idx="1135">
                  <c:v>37662</c:v>
                </c:pt>
                <c:pt idx="1136">
                  <c:v>37663</c:v>
                </c:pt>
                <c:pt idx="1137">
                  <c:v>37664</c:v>
                </c:pt>
                <c:pt idx="1138">
                  <c:v>37665</c:v>
                </c:pt>
                <c:pt idx="1139">
                  <c:v>37666</c:v>
                </c:pt>
                <c:pt idx="1140">
                  <c:v>37667</c:v>
                </c:pt>
                <c:pt idx="1141">
                  <c:v>37668</c:v>
                </c:pt>
                <c:pt idx="1142">
                  <c:v>37669</c:v>
                </c:pt>
                <c:pt idx="1143">
                  <c:v>37670</c:v>
                </c:pt>
                <c:pt idx="1144">
                  <c:v>37671</c:v>
                </c:pt>
                <c:pt idx="1145">
                  <c:v>37672</c:v>
                </c:pt>
                <c:pt idx="1146">
                  <c:v>37673</c:v>
                </c:pt>
                <c:pt idx="1147">
                  <c:v>37674</c:v>
                </c:pt>
                <c:pt idx="1148">
                  <c:v>37675</c:v>
                </c:pt>
                <c:pt idx="1149">
                  <c:v>37676</c:v>
                </c:pt>
                <c:pt idx="1150">
                  <c:v>37677</c:v>
                </c:pt>
                <c:pt idx="1151">
                  <c:v>37678</c:v>
                </c:pt>
                <c:pt idx="1152">
                  <c:v>37679</c:v>
                </c:pt>
                <c:pt idx="1153">
                  <c:v>37680</c:v>
                </c:pt>
                <c:pt idx="1154">
                  <c:v>37681</c:v>
                </c:pt>
                <c:pt idx="1155">
                  <c:v>37682</c:v>
                </c:pt>
                <c:pt idx="1156">
                  <c:v>37683</c:v>
                </c:pt>
                <c:pt idx="1157">
                  <c:v>37684</c:v>
                </c:pt>
                <c:pt idx="1158">
                  <c:v>37685</c:v>
                </c:pt>
                <c:pt idx="1159">
                  <c:v>37686</c:v>
                </c:pt>
                <c:pt idx="1160">
                  <c:v>37687</c:v>
                </c:pt>
                <c:pt idx="1161">
                  <c:v>37688</c:v>
                </c:pt>
                <c:pt idx="1162">
                  <c:v>37689</c:v>
                </c:pt>
                <c:pt idx="1163">
                  <c:v>37690</c:v>
                </c:pt>
                <c:pt idx="1164">
                  <c:v>37691</c:v>
                </c:pt>
                <c:pt idx="1165">
                  <c:v>37692</c:v>
                </c:pt>
                <c:pt idx="1166">
                  <c:v>37693</c:v>
                </c:pt>
                <c:pt idx="1167">
                  <c:v>37694</c:v>
                </c:pt>
                <c:pt idx="1168">
                  <c:v>37695</c:v>
                </c:pt>
                <c:pt idx="1169">
                  <c:v>37696</c:v>
                </c:pt>
                <c:pt idx="1170">
                  <c:v>37697</c:v>
                </c:pt>
                <c:pt idx="1171">
                  <c:v>37698</c:v>
                </c:pt>
                <c:pt idx="1172">
                  <c:v>37699</c:v>
                </c:pt>
                <c:pt idx="1173">
                  <c:v>37700</c:v>
                </c:pt>
                <c:pt idx="1174">
                  <c:v>37701</c:v>
                </c:pt>
                <c:pt idx="1175">
                  <c:v>37702</c:v>
                </c:pt>
                <c:pt idx="1176">
                  <c:v>37703</c:v>
                </c:pt>
                <c:pt idx="1177">
                  <c:v>37704</c:v>
                </c:pt>
                <c:pt idx="1178">
                  <c:v>37705</c:v>
                </c:pt>
                <c:pt idx="1179">
                  <c:v>37706</c:v>
                </c:pt>
                <c:pt idx="1180">
                  <c:v>37707</c:v>
                </c:pt>
                <c:pt idx="1181">
                  <c:v>37708</c:v>
                </c:pt>
                <c:pt idx="1182">
                  <c:v>37709</c:v>
                </c:pt>
                <c:pt idx="1183">
                  <c:v>37710</c:v>
                </c:pt>
                <c:pt idx="1184">
                  <c:v>37711</c:v>
                </c:pt>
                <c:pt idx="1185">
                  <c:v>37712</c:v>
                </c:pt>
                <c:pt idx="1186">
                  <c:v>37713</c:v>
                </c:pt>
                <c:pt idx="1187">
                  <c:v>37714</c:v>
                </c:pt>
                <c:pt idx="1188">
                  <c:v>37715</c:v>
                </c:pt>
                <c:pt idx="1189">
                  <c:v>37716</c:v>
                </c:pt>
                <c:pt idx="1190">
                  <c:v>37717</c:v>
                </c:pt>
                <c:pt idx="1191">
                  <c:v>37718</c:v>
                </c:pt>
                <c:pt idx="1192">
                  <c:v>37719</c:v>
                </c:pt>
                <c:pt idx="1193">
                  <c:v>37720</c:v>
                </c:pt>
                <c:pt idx="1194">
                  <c:v>37721</c:v>
                </c:pt>
                <c:pt idx="1195">
                  <c:v>37722</c:v>
                </c:pt>
                <c:pt idx="1196">
                  <c:v>37723</c:v>
                </c:pt>
                <c:pt idx="1197">
                  <c:v>37724</c:v>
                </c:pt>
                <c:pt idx="1198">
                  <c:v>37725</c:v>
                </c:pt>
                <c:pt idx="1199">
                  <c:v>37726</c:v>
                </c:pt>
                <c:pt idx="1200">
                  <c:v>37727</c:v>
                </c:pt>
                <c:pt idx="1201">
                  <c:v>37728</c:v>
                </c:pt>
                <c:pt idx="1202">
                  <c:v>37729</c:v>
                </c:pt>
                <c:pt idx="1203">
                  <c:v>37730</c:v>
                </c:pt>
                <c:pt idx="1204">
                  <c:v>37731</c:v>
                </c:pt>
                <c:pt idx="1205">
                  <c:v>37732</c:v>
                </c:pt>
                <c:pt idx="1206">
                  <c:v>37733</c:v>
                </c:pt>
                <c:pt idx="1207">
                  <c:v>37734</c:v>
                </c:pt>
                <c:pt idx="1208">
                  <c:v>37735</c:v>
                </c:pt>
                <c:pt idx="1209">
                  <c:v>37736</c:v>
                </c:pt>
                <c:pt idx="1210">
                  <c:v>37737</c:v>
                </c:pt>
                <c:pt idx="1211">
                  <c:v>37738</c:v>
                </c:pt>
                <c:pt idx="1212">
                  <c:v>37739</c:v>
                </c:pt>
                <c:pt idx="1213">
                  <c:v>37740</c:v>
                </c:pt>
                <c:pt idx="1214">
                  <c:v>37741</c:v>
                </c:pt>
                <c:pt idx="1215">
                  <c:v>37742</c:v>
                </c:pt>
                <c:pt idx="1216">
                  <c:v>37743</c:v>
                </c:pt>
                <c:pt idx="1217">
                  <c:v>37744</c:v>
                </c:pt>
                <c:pt idx="1218">
                  <c:v>37745</c:v>
                </c:pt>
                <c:pt idx="1219">
                  <c:v>37746</c:v>
                </c:pt>
                <c:pt idx="1220">
                  <c:v>37747</c:v>
                </c:pt>
                <c:pt idx="1221">
                  <c:v>37748</c:v>
                </c:pt>
                <c:pt idx="1222">
                  <c:v>37749</c:v>
                </c:pt>
                <c:pt idx="1223">
                  <c:v>37750</c:v>
                </c:pt>
                <c:pt idx="1224">
                  <c:v>37751</c:v>
                </c:pt>
                <c:pt idx="1225">
                  <c:v>37752</c:v>
                </c:pt>
                <c:pt idx="1226">
                  <c:v>37753</c:v>
                </c:pt>
                <c:pt idx="1227">
                  <c:v>37754</c:v>
                </c:pt>
                <c:pt idx="1228">
                  <c:v>37755</c:v>
                </c:pt>
                <c:pt idx="1229">
                  <c:v>37756</c:v>
                </c:pt>
                <c:pt idx="1230">
                  <c:v>37757</c:v>
                </c:pt>
                <c:pt idx="1231">
                  <c:v>37758</c:v>
                </c:pt>
                <c:pt idx="1232">
                  <c:v>37759</c:v>
                </c:pt>
                <c:pt idx="1233">
                  <c:v>37760</c:v>
                </c:pt>
                <c:pt idx="1234">
                  <c:v>37761</c:v>
                </c:pt>
                <c:pt idx="1235">
                  <c:v>37762</c:v>
                </c:pt>
                <c:pt idx="1236">
                  <c:v>37763</c:v>
                </c:pt>
                <c:pt idx="1237">
                  <c:v>37764</c:v>
                </c:pt>
                <c:pt idx="1238">
                  <c:v>37765</c:v>
                </c:pt>
                <c:pt idx="1239">
                  <c:v>37766</c:v>
                </c:pt>
                <c:pt idx="1240">
                  <c:v>37767</c:v>
                </c:pt>
                <c:pt idx="1241">
                  <c:v>37768</c:v>
                </c:pt>
                <c:pt idx="1242">
                  <c:v>37769</c:v>
                </c:pt>
                <c:pt idx="1243">
                  <c:v>37770</c:v>
                </c:pt>
                <c:pt idx="1244">
                  <c:v>37771</c:v>
                </c:pt>
                <c:pt idx="1245">
                  <c:v>37772</c:v>
                </c:pt>
                <c:pt idx="1246">
                  <c:v>37773</c:v>
                </c:pt>
                <c:pt idx="1247">
                  <c:v>37774</c:v>
                </c:pt>
                <c:pt idx="1248">
                  <c:v>37775</c:v>
                </c:pt>
                <c:pt idx="1249">
                  <c:v>37776</c:v>
                </c:pt>
                <c:pt idx="1250">
                  <c:v>37777</c:v>
                </c:pt>
                <c:pt idx="1251">
                  <c:v>37778</c:v>
                </c:pt>
                <c:pt idx="1252">
                  <c:v>37779</c:v>
                </c:pt>
                <c:pt idx="1253">
                  <c:v>37780</c:v>
                </c:pt>
                <c:pt idx="1254">
                  <c:v>37781</c:v>
                </c:pt>
                <c:pt idx="1255">
                  <c:v>37782</c:v>
                </c:pt>
                <c:pt idx="1256">
                  <c:v>37783</c:v>
                </c:pt>
                <c:pt idx="1257">
                  <c:v>37784</c:v>
                </c:pt>
                <c:pt idx="1258">
                  <c:v>37785</c:v>
                </c:pt>
                <c:pt idx="1259">
                  <c:v>37786</c:v>
                </c:pt>
                <c:pt idx="1260">
                  <c:v>37787</c:v>
                </c:pt>
                <c:pt idx="1261">
                  <c:v>37788</c:v>
                </c:pt>
                <c:pt idx="1262">
                  <c:v>37789</c:v>
                </c:pt>
                <c:pt idx="1263">
                  <c:v>37790</c:v>
                </c:pt>
                <c:pt idx="1264">
                  <c:v>37791</c:v>
                </c:pt>
                <c:pt idx="1265">
                  <c:v>37792</c:v>
                </c:pt>
                <c:pt idx="1266">
                  <c:v>37793</c:v>
                </c:pt>
                <c:pt idx="1267">
                  <c:v>37794</c:v>
                </c:pt>
                <c:pt idx="1268">
                  <c:v>37795</c:v>
                </c:pt>
                <c:pt idx="1269">
                  <c:v>37796</c:v>
                </c:pt>
                <c:pt idx="1270">
                  <c:v>37797</c:v>
                </c:pt>
                <c:pt idx="1271">
                  <c:v>37798</c:v>
                </c:pt>
                <c:pt idx="1272">
                  <c:v>37799</c:v>
                </c:pt>
                <c:pt idx="1273">
                  <c:v>37800</c:v>
                </c:pt>
                <c:pt idx="1274">
                  <c:v>37801</c:v>
                </c:pt>
                <c:pt idx="1275">
                  <c:v>37802</c:v>
                </c:pt>
                <c:pt idx="1276">
                  <c:v>37803</c:v>
                </c:pt>
                <c:pt idx="1277">
                  <c:v>37804</c:v>
                </c:pt>
                <c:pt idx="1278">
                  <c:v>37805</c:v>
                </c:pt>
                <c:pt idx="1279">
                  <c:v>37806</c:v>
                </c:pt>
                <c:pt idx="1280">
                  <c:v>37807</c:v>
                </c:pt>
                <c:pt idx="1281">
                  <c:v>37808</c:v>
                </c:pt>
                <c:pt idx="1282">
                  <c:v>37809</c:v>
                </c:pt>
                <c:pt idx="1283">
                  <c:v>37810</c:v>
                </c:pt>
                <c:pt idx="1284">
                  <c:v>37811</c:v>
                </c:pt>
                <c:pt idx="1285">
                  <c:v>37812</c:v>
                </c:pt>
                <c:pt idx="1286">
                  <c:v>37813</c:v>
                </c:pt>
                <c:pt idx="1287">
                  <c:v>37814</c:v>
                </c:pt>
                <c:pt idx="1288">
                  <c:v>37815</c:v>
                </c:pt>
                <c:pt idx="1289">
                  <c:v>37816</c:v>
                </c:pt>
                <c:pt idx="1290">
                  <c:v>37817</c:v>
                </c:pt>
                <c:pt idx="1291">
                  <c:v>37818</c:v>
                </c:pt>
                <c:pt idx="1292">
                  <c:v>37819</c:v>
                </c:pt>
                <c:pt idx="1293">
                  <c:v>37820</c:v>
                </c:pt>
                <c:pt idx="1294">
                  <c:v>37821</c:v>
                </c:pt>
                <c:pt idx="1295">
                  <c:v>37822</c:v>
                </c:pt>
                <c:pt idx="1296">
                  <c:v>37823</c:v>
                </c:pt>
                <c:pt idx="1297">
                  <c:v>37824</c:v>
                </c:pt>
                <c:pt idx="1298">
                  <c:v>37825</c:v>
                </c:pt>
                <c:pt idx="1299">
                  <c:v>37826</c:v>
                </c:pt>
                <c:pt idx="1300">
                  <c:v>37827</c:v>
                </c:pt>
                <c:pt idx="1301">
                  <c:v>37828</c:v>
                </c:pt>
                <c:pt idx="1302">
                  <c:v>37829</c:v>
                </c:pt>
                <c:pt idx="1303">
                  <c:v>37830</c:v>
                </c:pt>
                <c:pt idx="1304">
                  <c:v>37831</c:v>
                </c:pt>
                <c:pt idx="1305">
                  <c:v>37832</c:v>
                </c:pt>
                <c:pt idx="1306">
                  <c:v>37833</c:v>
                </c:pt>
                <c:pt idx="1307">
                  <c:v>37834</c:v>
                </c:pt>
                <c:pt idx="1308">
                  <c:v>37835</c:v>
                </c:pt>
                <c:pt idx="1309">
                  <c:v>37836</c:v>
                </c:pt>
                <c:pt idx="1310">
                  <c:v>37837</c:v>
                </c:pt>
                <c:pt idx="1311">
                  <c:v>37838</c:v>
                </c:pt>
                <c:pt idx="1312">
                  <c:v>37839</c:v>
                </c:pt>
                <c:pt idx="1313">
                  <c:v>37840</c:v>
                </c:pt>
                <c:pt idx="1314">
                  <c:v>37841</c:v>
                </c:pt>
                <c:pt idx="1315">
                  <c:v>37842</c:v>
                </c:pt>
                <c:pt idx="1316">
                  <c:v>37843</c:v>
                </c:pt>
                <c:pt idx="1317">
                  <c:v>37844</c:v>
                </c:pt>
                <c:pt idx="1318">
                  <c:v>37845</c:v>
                </c:pt>
                <c:pt idx="1319">
                  <c:v>37846</c:v>
                </c:pt>
                <c:pt idx="1320">
                  <c:v>37847</c:v>
                </c:pt>
                <c:pt idx="1321">
                  <c:v>37848</c:v>
                </c:pt>
                <c:pt idx="1322">
                  <c:v>37849</c:v>
                </c:pt>
                <c:pt idx="1323">
                  <c:v>37850</c:v>
                </c:pt>
                <c:pt idx="1324">
                  <c:v>37851</c:v>
                </c:pt>
                <c:pt idx="1325">
                  <c:v>37852</c:v>
                </c:pt>
                <c:pt idx="1326">
                  <c:v>37853</c:v>
                </c:pt>
                <c:pt idx="1327">
                  <c:v>37854</c:v>
                </c:pt>
                <c:pt idx="1328">
                  <c:v>37855</c:v>
                </c:pt>
                <c:pt idx="1329">
                  <c:v>37856</c:v>
                </c:pt>
                <c:pt idx="1330">
                  <c:v>37857</c:v>
                </c:pt>
                <c:pt idx="1331">
                  <c:v>37858</c:v>
                </c:pt>
                <c:pt idx="1332">
                  <c:v>37859</c:v>
                </c:pt>
                <c:pt idx="1333">
                  <c:v>37860</c:v>
                </c:pt>
                <c:pt idx="1334">
                  <c:v>37861</c:v>
                </c:pt>
                <c:pt idx="1335">
                  <c:v>37862</c:v>
                </c:pt>
                <c:pt idx="1336">
                  <c:v>37863</c:v>
                </c:pt>
                <c:pt idx="1337">
                  <c:v>37864</c:v>
                </c:pt>
                <c:pt idx="1338">
                  <c:v>37865</c:v>
                </c:pt>
                <c:pt idx="1339">
                  <c:v>37866</c:v>
                </c:pt>
                <c:pt idx="1340">
                  <c:v>37867</c:v>
                </c:pt>
                <c:pt idx="1341">
                  <c:v>37868</c:v>
                </c:pt>
                <c:pt idx="1342">
                  <c:v>37869</c:v>
                </c:pt>
                <c:pt idx="1343">
                  <c:v>37870</c:v>
                </c:pt>
                <c:pt idx="1344">
                  <c:v>37871</c:v>
                </c:pt>
                <c:pt idx="1345">
                  <c:v>37872</c:v>
                </c:pt>
                <c:pt idx="1346">
                  <c:v>37873</c:v>
                </c:pt>
                <c:pt idx="1347">
                  <c:v>37874</c:v>
                </c:pt>
                <c:pt idx="1348">
                  <c:v>37875</c:v>
                </c:pt>
                <c:pt idx="1349">
                  <c:v>37876</c:v>
                </c:pt>
                <c:pt idx="1350">
                  <c:v>37877</c:v>
                </c:pt>
                <c:pt idx="1351">
                  <c:v>37878</c:v>
                </c:pt>
                <c:pt idx="1352">
                  <c:v>37879</c:v>
                </c:pt>
                <c:pt idx="1353">
                  <c:v>37880</c:v>
                </c:pt>
                <c:pt idx="1354">
                  <c:v>37881</c:v>
                </c:pt>
                <c:pt idx="1355">
                  <c:v>37882</c:v>
                </c:pt>
                <c:pt idx="1356">
                  <c:v>37883</c:v>
                </c:pt>
                <c:pt idx="1357">
                  <c:v>37884</c:v>
                </c:pt>
                <c:pt idx="1358">
                  <c:v>37885</c:v>
                </c:pt>
                <c:pt idx="1359">
                  <c:v>37886</c:v>
                </c:pt>
                <c:pt idx="1360">
                  <c:v>37887</c:v>
                </c:pt>
                <c:pt idx="1361">
                  <c:v>37888</c:v>
                </c:pt>
                <c:pt idx="1362">
                  <c:v>37889</c:v>
                </c:pt>
                <c:pt idx="1363">
                  <c:v>37890</c:v>
                </c:pt>
                <c:pt idx="1364">
                  <c:v>37891</c:v>
                </c:pt>
                <c:pt idx="1365">
                  <c:v>37892</c:v>
                </c:pt>
                <c:pt idx="1366">
                  <c:v>37893</c:v>
                </c:pt>
                <c:pt idx="1367">
                  <c:v>37894</c:v>
                </c:pt>
                <c:pt idx="1368">
                  <c:v>37895</c:v>
                </c:pt>
                <c:pt idx="1369">
                  <c:v>37896</c:v>
                </c:pt>
                <c:pt idx="1370">
                  <c:v>37897</c:v>
                </c:pt>
                <c:pt idx="1371">
                  <c:v>37898</c:v>
                </c:pt>
                <c:pt idx="1372">
                  <c:v>37899</c:v>
                </c:pt>
                <c:pt idx="1373">
                  <c:v>37900</c:v>
                </c:pt>
                <c:pt idx="1374">
                  <c:v>37901</c:v>
                </c:pt>
                <c:pt idx="1375">
                  <c:v>37902</c:v>
                </c:pt>
                <c:pt idx="1376">
                  <c:v>37903</c:v>
                </c:pt>
                <c:pt idx="1377">
                  <c:v>37904</c:v>
                </c:pt>
                <c:pt idx="1378">
                  <c:v>37905</c:v>
                </c:pt>
                <c:pt idx="1379">
                  <c:v>37906</c:v>
                </c:pt>
                <c:pt idx="1380">
                  <c:v>37907</c:v>
                </c:pt>
                <c:pt idx="1381">
                  <c:v>37908</c:v>
                </c:pt>
                <c:pt idx="1382">
                  <c:v>37909</c:v>
                </c:pt>
                <c:pt idx="1383">
                  <c:v>37910</c:v>
                </c:pt>
                <c:pt idx="1384">
                  <c:v>37911</c:v>
                </c:pt>
                <c:pt idx="1385">
                  <c:v>37912</c:v>
                </c:pt>
                <c:pt idx="1386">
                  <c:v>37913</c:v>
                </c:pt>
                <c:pt idx="1387">
                  <c:v>37914</c:v>
                </c:pt>
                <c:pt idx="1388">
                  <c:v>37915</c:v>
                </c:pt>
                <c:pt idx="1389">
                  <c:v>37916</c:v>
                </c:pt>
                <c:pt idx="1390">
                  <c:v>37917</c:v>
                </c:pt>
                <c:pt idx="1391">
                  <c:v>37918</c:v>
                </c:pt>
                <c:pt idx="1392">
                  <c:v>37919</c:v>
                </c:pt>
                <c:pt idx="1393">
                  <c:v>37920</c:v>
                </c:pt>
                <c:pt idx="1394">
                  <c:v>37921</c:v>
                </c:pt>
                <c:pt idx="1395">
                  <c:v>37922</c:v>
                </c:pt>
                <c:pt idx="1396">
                  <c:v>37923</c:v>
                </c:pt>
                <c:pt idx="1397">
                  <c:v>37924</c:v>
                </c:pt>
                <c:pt idx="1398">
                  <c:v>37925</c:v>
                </c:pt>
                <c:pt idx="1399">
                  <c:v>37926</c:v>
                </c:pt>
                <c:pt idx="1400">
                  <c:v>37927</c:v>
                </c:pt>
                <c:pt idx="1401">
                  <c:v>37928</c:v>
                </c:pt>
                <c:pt idx="1402">
                  <c:v>37929</c:v>
                </c:pt>
                <c:pt idx="1403">
                  <c:v>37930</c:v>
                </c:pt>
                <c:pt idx="1404">
                  <c:v>37931</c:v>
                </c:pt>
                <c:pt idx="1405">
                  <c:v>37932</c:v>
                </c:pt>
                <c:pt idx="1406">
                  <c:v>37933</c:v>
                </c:pt>
                <c:pt idx="1407">
                  <c:v>37934</c:v>
                </c:pt>
                <c:pt idx="1408">
                  <c:v>37935</c:v>
                </c:pt>
                <c:pt idx="1409">
                  <c:v>37936</c:v>
                </c:pt>
                <c:pt idx="1410">
                  <c:v>37937</c:v>
                </c:pt>
                <c:pt idx="1411">
                  <c:v>37938</c:v>
                </c:pt>
                <c:pt idx="1412">
                  <c:v>37939</c:v>
                </c:pt>
                <c:pt idx="1413">
                  <c:v>37940</c:v>
                </c:pt>
                <c:pt idx="1414">
                  <c:v>37941</c:v>
                </c:pt>
                <c:pt idx="1415">
                  <c:v>37942</c:v>
                </c:pt>
                <c:pt idx="1416">
                  <c:v>37943</c:v>
                </c:pt>
                <c:pt idx="1417">
                  <c:v>37944</c:v>
                </c:pt>
                <c:pt idx="1418">
                  <c:v>37945</c:v>
                </c:pt>
                <c:pt idx="1419">
                  <c:v>37946</c:v>
                </c:pt>
                <c:pt idx="1420">
                  <c:v>37947</c:v>
                </c:pt>
                <c:pt idx="1421">
                  <c:v>37948</c:v>
                </c:pt>
                <c:pt idx="1422">
                  <c:v>37949</c:v>
                </c:pt>
                <c:pt idx="1423">
                  <c:v>37950</c:v>
                </c:pt>
                <c:pt idx="1424">
                  <c:v>37951</c:v>
                </c:pt>
                <c:pt idx="1425">
                  <c:v>37952</c:v>
                </c:pt>
                <c:pt idx="1426">
                  <c:v>37953</c:v>
                </c:pt>
                <c:pt idx="1427">
                  <c:v>37954</c:v>
                </c:pt>
                <c:pt idx="1428">
                  <c:v>37955</c:v>
                </c:pt>
                <c:pt idx="1429">
                  <c:v>37956</c:v>
                </c:pt>
                <c:pt idx="1430">
                  <c:v>37957</c:v>
                </c:pt>
                <c:pt idx="1431">
                  <c:v>37958</c:v>
                </c:pt>
                <c:pt idx="1432">
                  <c:v>37959</c:v>
                </c:pt>
                <c:pt idx="1433">
                  <c:v>37960</c:v>
                </c:pt>
                <c:pt idx="1434">
                  <c:v>37961</c:v>
                </c:pt>
                <c:pt idx="1435">
                  <c:v>37962</c:v>
                </c:pt>
                <c:pt idx="1436">
                  <c:v>37963</c:v>
                </c:pt>
                <c:pt idx="1437">
                  <c:v>37964</c:v>
                </c:pt>
                <c:pt idx="1438">
                  <c:v>37965</c:v>
                </c:pt>
                <c:pt idx="1439">
                  <c:v>37966</c:v>
                </c:pt>
                <c:pt idx="1440">
                  <c:v>37967</c:v>
                </c:pt>
                <c:pt idx="1441">
                  <c:v>37968</c:v>
                </c:pt>
                <c:pt idx="1442">
                  <c:v>37969</c:v>
                </c:pt>
                <c:pt idx="1443">
                  <c:v>37970</c:v>
                </c:pt>
                <c:pt idx="1444">
                  <c:v>37971</c:v>
                </c:pt>
                <c:pt idx="1445">
                  <c:v>37972</c:v>
                </c:pt>
                <c:pt idx="1446">
                  <c:v>37973</c:v>
                </c:pt>
                <c:pt idx="1447">
                  <c:v>37974</c:v>
                </c:pt>
                <c:pt idx="1448">
                  <c:v>37975</c:v>
                </c:pt>
                <c:pt idx="1449">
                  <c:v>37976</c:v>
                </c:pt>
                <c:pt idx="1450">
                  <c:v>37977</c:v>
                </c:pt>
                <c:pt idx="1451">
                  <c:v>37978</c:v>
                </c:pt>
                <c:pt idx="1452">
                  <c:v>37979</c:v>
                </c:pt>
                <c:pt idx="1453">
                  <c:v>37980</c:v>
                </c:pt>
                <c:pt idx="1454">
                  <c:v>37981</c:v>
                </c:pt>
                <c:pt idx="1455">
                  <c:v>37982</c:v>
                </c:pt>
                <c:pt idx="1456">
                  <c:v>37983</c:v>
                </c:pt>
                <c:pt idx="1457">
                  <c:v>37984</c:v>
                </c:pt>
                <c:pt idx="1458">
                  <c:v>37985</c:v>
                </c:pt>
                <c:pt idx="1459">
                  <c:v>37986</c:v>
                </c:pt>
                <c:pt idx="1460">
                  <c:v>37987</c:v>
                </c:pt>
                <c:pt idx="1461">
                  <c:v>37988</c:v>
                </c:pt>
                <c:pt idx="1462">
                  <c:v>37989</c:v>
                </c:pt>
                <c:pt idx="1463">
                  <c:v>37990</c:v>
                </c:pt>
                <c:pt idx="1464">
                  <c:v>37991</c:v>
                </c:pt>
                <c:pt idx="1465">
                  <c:v>37992</c:v>
                </c:pt>
                <c:pt idx="1466">
                  <c:v>37993</c:v>
                </c:pt>
                <c:pt idx="1467">
                  <c:v>37994</c:v>
                </c:pt>
                <c:pt idx="1468">
                  <c:v>37995</c:v>
                </c:pt>
                <c:pt idx="1469">
                  <c:v>37996</c:v>
                </c:pt>
                <c:pt idx="1470">
                  <c:v>37997</c:v>
                </c:pt>
                <c:pt idx="1471">
                  <c:v>37998</c:v>
                </c:pt>
                <c:pt idx="1472">
                  <c:v>37999</c:v>
                </c:pt>
                <c:pt idx="1473">
                  <c:v>38000</c:v>
                </c:pt>
                <c:pt idx="1474">
                  <c:v>38001</c:v>
                </c:pt>
                <c:pt idx="1475">
                  <c:v>38002</c:v>
                </c:pt>
                <c:pt idx="1476">
                  <c:v>38003</c:v>
                </c:pt>
                <c:pt idx="1477">
                  <c:v>38004</c:v>
                </c:pt>
                <c:pt idx="1478">
                  <c:v>38005</c:v>
                </c:pt>
                <c:pt idx="1479">
                  <c:v>38006</c:v>
                </c:pt>
                <c:pt idx="1480">
                  <c:v>38007</c:v>
                </c:pt>
                <c:pt idx="1481">
                  <c:v>38008</c:v>
                </c:pt>
                <c:pt idx="1482">
                  <c:v>38009</c:v>
                </c:pt>
                <c:pt idx="1483">
                  <c:v>38010</c:v>
                </c:pt>
                <c:pt idx="1484">
                  <c:v>38011</c:v>
                </c:pt>
                <c:pt idx="1485">
                  <c:v>38012</c:v>
                </c:pt>
                <c:pt idx="1486">
                  <c:v>38013</c:v>
                </c:pt>
                <c:pt idx="1487">
                  <c:v>38014</c:v>
                </c:pt>
                <c:pt idx="1488">
                  <c:v>38015</c:v>
                </c:pt>
                <c:pt idx="1489">
                  <c:v>38016</c:v>
                </c:pt>
                <c:pt idx="1490">
                  <c:v>38017</c:v>
                </c:pt>
                <c:pt idx="1491">
                  <c:v>38018</c:v>
                </c:pt>
                <c:pt idx="1492">
                  <c:v>38019</c:v>
                </c:pt>
                <c:pt idx="1493">
                  <c:v>38020</c:v>
                </c:pt>
                <c:pt idx="1494">
                  <c:v>38021</c:v>
                </c:pt>
                <c:pt idx="1495">
                  <c:v>38022</c:v>
                </c:pt>
                <c:pt idx="1496">
                  <c:v>38023</c:v>
                </c:pt>
                <c:pt idx="1497">
                  <c:v>38024</c:v>
                </c:pt>
                <c:pt idx="1498">
                  <c:v>38025</c:v>
                </c:pt>
                <c:pt idx="1499">
                  <c:v>38026</c:v>
                </c:pt>
                <c:pt idx="1500">
                  <c:v>38027</c:v>
                </c:pt>
                <c:pt idx="1501">
                  <c:v>38028</c:v>
                </c:pt>
                <c:pt idx="1502">
                  <c:v>38029</c:v>
                </c:pt>
                <c:pt idx="1503">
                  <c:v>38030</c:v>
                </c:pt>
                <c:pt idx="1504">
                  <c:v>38031</c:v>
                </c:pt>
                <c:pt idx="1505">
                  <c:v>38032</c:v>
                </c:pt>
                <c:pt idx="1506">
                  <c:v>38033</c:v>
                </c:pt>
                <c:pt idx="1507">
                  <c:v>38034</c:v>
                </c:pt>
                <c:pt idx="1508">
                  <c:v>38035</c:v>
                </c:pt>
                <c:pt idx="1509">
                  <c:v>38036</c:v>
                </c:pt>
                <c:pt idx="1510">
                  <c:v>38037</c:v>
                </c:pt>
                <c:pt idx="1511">
                  <c:v>38038</c:v>
                </c:pt>
                <c:pt idx="1512">
                  <c:v>38039</c:v>
                </c:pt>
                <c:pt idx="1513">
                  <c:v>38040</c:v>
                </c:pt>
                <c:pt idx="1514">
                  <c:v>38041</c:v>
                </c:pt>
                <c:pt idx="1515">
                  <c:v>38042</c:v>
                </c:pt>
                <c:pt idx="1516">
                  <c:v>38043</c:v>
                </c:pt>
                <c:pt idx="1517">
                  <c:v>38044</c:v>
                </c:pt>
                <c:pt idx="1518">
                  <c:v>38045</c:v>
                </c:pt>
                <c:pt idx="1519">
                  <c:v>38046</c:v>
                </c:pt>
                <c:pt idx="1520">
                  <c:v>38047</c:v>
                </c:pt>
                <c:pt idx="1521">
                  <c:v>38048</c:v>
                </c:pt>
                <c:pt idx="1522">
                  <c:v>38049</c:v>
                </c:pt>
                <c:pt idx="1523">
                  <c:v>38050</c:v>
                </c:pt>
                <c:pt idx="1524">
                  <c:v>38051</c:v>
                </c:pt>
                <c:pt idx="1525">
                  <c:v>38052</c:v>
                </c:pt>
                <c:pt idx="1526">
                  <c:v>38053</c:v>
                </c:pt>
                <c:pt idx="1527">
                  <c:v>38054</c:v>
                </c:pt>
                <c:pt idx="1528">
                  <c:v>38055</c:v>
                </c:pt>
                <c:pt idx="1529">
                  <c:v>38056</c:v>
                </c:pt>
                <c:pt idx="1530">
                  <c:v>38057</c:v>
                </c:pt>
                <c:pt idx="1531">
                  <c:v>38058</c:v>
                </c:pt>
                <c:pt idx="1532">
                  <c:v>38059</c:v>
                </c:pt>
                <c:pt idx="1533">
                  <c:v>38060</c:v>
                </c:pt>
                <c:pt idx="1534">
                  <c:v>38061</c:v>
                </c:pt>
                <c:pt idx="1535">
                  <c:v>38062</c:v>
                </c:pt>
                <c:pt idx="1536">
                  <c:v>38063</c:v>
                </c:pt>
                <c:pt idx="1537">
                  <c:v>38064</c:v>
                </c:pt>
                <c:pt idx="1538">
                  <c:v>38065</c:v>
                </c:pt>
                <c:pt idx="1539">
                  <c:v>38066</c:v>
                </c:pt>
                <c:pt idx="1540">
                  <c:v>38067</c:v>
                </c:pt>
                <c:pt idx="1541">
                  <c:v>38068</c:v>
                </c:pt>
                <c:pt idx="1542">
                  <c:v>38069</c:v>
                </c:pt>
                <c:pt idx="1543">
                  <c:v>38070</c:v>
                </c:pt>
                <c:pt idx="1544">
                  <c:v>38071</c:v>
                </c:pt>
                <c:pt idx="1545">
                  <c:v>38072</c:v>
                </c:pt>
                <c:pt idx="1546">
                  <c:v>38073</c:v>
                </c:pt>
                <c:pt idx="1547">
                  <c:v>38074</c:v>
                </c:pt>
                <c:pt idx="1548">
                  <c:v>38075</c:v>
                </c:pt>
                <c:pt idx="1549">
                  <c:v>38076</c:v>
                </c:pt>
                <c:pt idx="1550">
                  <c:v>38077</c:v>
                </c:pt>
                <c:pt idx="1551">
                  <c:v>38078</c:v>
                </c:pt>
                <c:pt idx="1552">
                  <c:v>38079</c:v>
                </c:pt>
                <c:pt idx="1553">
                  <c:v>38080</c:v>
                </c:pt>
                <c:pt idx="1554">
                  <c:v>38081</c:v>
                </c:pt>
                <c:pt idx="1555">
                  <c:v>38082</c:v>
                </c:pt>
                <c:pt idx="1556">
                  <c:v>38083</c:v>
                </c:pt>
                <c:pt idx="1557">
                  <c:v>38084</c:v>
                </c:pt>
                <c:pt idx="1558">
                  <c:v>38085</c:v>
                </c:pt>
                <c:pt idx="1559">
                  <c:v>38086</c:v>
                </c:pt>
                <c:pt idx="1560">
                  <c:v>38087</c:v>
                </c:pt>
                <c:pt idx="1561">
                  <c:v>38088</c:v>
                </c:pt>
                <c:pt idx="1562">
                  <c:v>38089</c:v>
                </c:pt>
                <c:pt idx="1563">
                  <c:v>38090</c:v>
                </c:pt>
                <c:pt idx="1564">
                  <c:v>38091</c:v>
                </c:pt>
                <c:pt idx="1565">
                  <c:v>38092</c:v>
                </c:pt>
                <c:pt idx="1566">
                  <c:v>38093</c:v>
                </c:pt>
                <c:pt idx="1567">
                  <c:v>38094</c:v>
                </c:pt>
                <c:pt idx="1568">
                  <c:v>38095</c:v>
                </c:pt>
                <c:pt idx="1569">
                  <c:v>38096</c:v>
                </c:pt>
                <c:pt idx="1570">
                  <c:v>38097</c:v>
                </c:pt>
                <c:pt idx="1571">
                  <c:v>38098</c:v>
                </c:pt>
                <c:pt idx="1572">
                  <c:v>38099</c:v>
                </c:pt>
                <c:pt idx="1573">
                  <c:v>38100</c:v>
                </c:pt>
                <c:pt idx="1574">
                  <c:v>38101</c:v>
                </c:pt>
                <c:pt idx="1575">
                  <c:v>38102</c:v>
                </c:pt>
                <c:pt idx="1576">
                  <c:v>38103</c:v>
                </c:pt>
                <c:pt idx="1577">
                  <c:v>38104</c:v>
                </c:pt>
                <c:pt idx="1578">
                  <c:v>38105</c:v>
                </c:pt>
                <c:pt idx="1579">
                  <c:v>38106</c:v>
                </c:pt>
                <c:pt idx="1580">
                  <c:v>38107</c:v>
                </c:pt>
                <c:pt idx="1581">
                  <c:v>38108</c:v>
                </c:pt>
                <c:pt idx="1582">
                  <c:v>38109</c:v>
                </c:pt>
                <c:pt idx="1583">
                  <c:v>38110</c:v>
                </c:pt>
                <c:pt idx="1584">
                  <c:v>38111</c:v>
                </c:pt>
                <c:pt idx="1585">
                  <c:v>38112</c:v>
                </c:pt>
                <c:pt idx="1586">
                  <c:v>38113</c:v>
                </c:pt>
                <c:pt idx="1587">
                  <c:v>38114</c:v>
                </c:pt>
                <c:pt idx="1588">
                  <c:v>38115</c:v>
                </c:pt>
                <c:pt idx="1589">
                  <c:v>38116</c:v>
                </c:pt>
                <c:pt idx="1590">
                  <c:v>38117</c:v>
                </c:pt>
                <c:pt idx="1591">
                  <c:v>38118</c:v>
                </c:pt>
                <c:pt idx="1592">
                  <c:v>38119</c:v>
                </c:pt>
                <c:pt idx="1593">
                  <c:v>38120</c:v>
                </c:pt>
                <c:pt idx="1594">
                  <c:v>38121</c:v>
                </c:pt>
                <c:pt idx="1595">
                  <c:v>38122</c:v>
                </c:pt>
                <c:pt idx="1596">
                  <c:v>38123</c:v>
                </c:pt>
                <c:pt idx="1597">
                  <c:v>38124</c:v>
                </c:pt>
                <c:pt idx="1598">
                  <c:v>38125</c:v>
                </c:pt>
                <c:pt idx="1599">
                  <c:v>38126</c:v>
                </c:pt>
                <c:pt idx="1600">
                  <c:v>38127</c:v>
                </c:pt>
                <c:pt idx="1601">
                  <c:v>38128</c:v>
                </c:pt>
                <c:pt idx="1602">
                  <c:v>38129</c:v>
                </c:pt>
                <c:pt idx="1603">
                  <c:v>38130</c:v>
                </c:pt>
                <c:pt idx="1604">
                  <c:v>38131</c:v>
                </c:pt>
                <c:pt idx="1605">
                  <c:v>38132</c:v>
                </c:pt>
                <c:pt idx="1606">
                  <c:v>38133</c:v>
                </c:pt>
                <c:pt idx="1607">
                  <c:v>38134</c:v>
                </c:pt>
                <c:pt idx="1608">
                  <c:v>38135</c:v>
                </c:pt>
                <c:pt idx="1609">
                  <c:v>38136</c:v>
                </c:pt>
                <c:pt idx="1610">
                  <c:v>38137</c:v>
                </c:pt>
                <c:pt idx="1611">
                  <c:v>38138</c:v>
                </c:pt>
                <c:pt idx="1612">
                  <c:v>38139</c:v>
                </c:pt>
                <c:pt idx="1613">
                  <c:v>38140</c:v>
                </c:pt>
                <c:pt idx="1614">
                  <c:v>38141</c:v>
                </c:pt>
                <c:pt idx="1615">
                  <c:v>38142</c:v>
                </c:pt>
                <c:pt idx="1616">
                  <c:v>38143</c:v>
                </c:pt>
                <c:pt idx="1617">
                  <c:v>38144</c:v>
                </c:pt>
                <c:pt idx="1618">
                  <c:v>38145</c:v>
                </c:pt>
                <c:pt idx="1619">
                  <c:v>38146</c:v>
                </c:pt>
                <c:pt idx="1620">
                  <c:v>38147</c:v>
                </c:pt>
                <c:pt idx="1621">
                  <c:v>38148</c:v>
                </c:pt>
                <c:pt idx="1622">
                  <c:v>38149</c:v>
                </c:pt>
                <c:pt idx="1623">
                  <c:v>38150</c:v>
                </c:pt>
                <c:pt idx="1624">
                  <c:v>38151</c:v>
                </c:pt>
                <c:pt idx="1625">
                  <c:v>38152</c:v>
                </c:pt>
                <c:pt idx="1626">
                  <c:v>38153</c:v>
                </c:pt>
                <c:pt idx="1627">
                  <c:v>38154</c:v>
                </c:pt>
                <c:pt idx="1628">
                  <c:v>38155</c:v>
                </c:pt>
                <c:pt idx="1629">
                  <c:v>38156</c:v>
                </c:pt>
                <c:pt idx="1630">
                  <c:v>38157</c:v>
                </c:pt>
                <c:pt idx="1631">
                  <c:v>38158</c:v>
                </c:pt>
                <c:pt idx="1632">
                  <c:v>38159</c:v>
                </c:pt>
                <c:pt idx="1633">
                  <c:v>38160</c:v>
                </c:pt>
                <c:pt idx="1634">
                  <c:v>38161</c:v>
                </c:pt>
                <c:pt idx="1635">
                  <c:v>38162</c:v>
                </c:pt>
                <c:pt idx="1636">
                  <c:v>38163</c:v>
                </c:pt>
                <c:pt idx="1637">
                  <c:v>38164</c:v>
                </c:pt>
                <c:pt idx="1638">
                  <c:v>38165</c:v>
                </c:pt>
                <c:pt idx="1639">
                  <c:v>38166</c:v>
                </c:pt>
                <c:pt idx="1640">
                  <c:v>38167</c:v>
                </c:pt>
                <c:pt idx="1641">
                  <c:v>38168</c:v>
                </c:pt>
                <c:pt idx="1642">
                  <c:v>38169</c:v>
                </c:pt>
                <c:pt idx="1643">
                  <c:v>38170</c:v>
                </c:pt>
                <c:pt idx="1644">
                  <c:v>38171</c:v>
                </c:pt>
                <c:pt idx="1645">
                  <c:v>38172</c:v>
                </c:pt>
                <c:pt idx="1646">
                  <c:v>38173</c:v>
                </c:pt>
                <c:pt idx="1647">
                  <c:v>38174</c:v>
                </c:pt>
                <c:pt idx="1648">
                  <c:v>38175</c:v>
                </c:pt>
                <c:pt idx="1649">
                  <c:v>38176</c:v>
                </c:pt>
                <c:pt idx="1650">
                  <c:v>38177</c:v>
                </c:pt>
                <c:pt idx="1651">
                  <c:v>38178</c:v>
                </c:pt>
                <c:pt idx="1652">
                  <c:v>38179</c:v>
                </c:pt>
                <c:pt idx="1653">
                  <c:v>38180</c:v>
                </c:pt>
                <c:pt idx="1654">
                  <c:v>38181</c:v>
                </c:pt>
                <c:pt idx="1655">
                  <c:v>38182</c:v>
                </c:pt>
                <c:pt idx="1656">
                  <c:v>38183</c:v>
                </c:pt>
                <c:pt idx="1657">
                  <c:v>38184</c:v>
                </c:pt>
                <c:pt idx="1658">
                  <c:v>38185</c:v>
                </c:pt>
                <c:pt idx="1659">
                  <c:v>38186</c:v>
                </c:pt>
                <c:pt idx="1660">
                  <c:v>38187</c:v>
                </c:pt>
                <c:pt idx="1661">
                  <c:v>38188</c:v>
                </c:pt>
                <c:pt idx="1662">
                  <c:v>38189</c:v>
                </c:pt>
                <c:pt idx="1663">
                  <c:v>38190</c:v>
                </c:pt>
                <c:pt idx="1664">
                  <c:v>38191</c:v>
                </c:pt>
                <c:pt idx="1665">
                  <c:v>38192</c:v>
                </c:pt>
                <c:pt idx="1666">
                  <c:v>38193</c:v>
                </c:pt>
                <c:pt idx="1667">
                  <c:v>38194</c:v>
                </c:pt>
                <c:pt idx="1668">
                  <c:v>38195</c:v>
                </c:pt>
                <c:pt idx="1669">
                  <c:v>38196</c:v>
                </c:pt>
                <c:pt idx="1670">
                  <c:v>38197</c:v>
                </c:pt>
                <c:pt idx="1671">
                  <c:v>38198</c:v>
                </c:pt>
                <c:pt idx="1672">
                  <c:v>38199</c:v>
                </c:pt>
                <c:pt idx="1673">
                  <c:v>38200</c:v>
                </c:pt>
                <c:pt idx="1674">
                  <c:v>38201</c:v>
                </c:pt>
                <c:pt idx="1675">
                  <c:v>38202</c:v>
                </c:pt>
                <c:pt idx="1676">
                  <c:v>38203</c:v>
                </c:pt>
                <c:pt idx="1677">
                  <c:v>38204</c:v>
                </c:pt>
                <c:pt idx="1678">
                  <c:v>38205</c:v>
                </c:pt>
                <c:pt idx="1679">
                  <c:v>38206</c:v>
                </c:pt>
                <c:pt idx="1680">
                  <c:v>38207</c:v>
                </c:pt>
                <c:pt idx="1681">
                  <c:v>38208</c:v>
                </c:pt>
                <c:pt idx="1682">
                  <c:v>38209</c:v>
                </c:pt>
                <c:pt idx="1683">
                  <c:v>38210</c:v>
                </c:pt>
                <c:pt idx="1684">
                  <c:v>38211</c:v>
                </c:pt>
                <c:pt idx="1685">
                  <c:v>38212</c:v>
                </c:pt>
                <c:pt idx="1686">
                  <c:v>38213</c:v>
                </c:pt>
                <c:pt idx="1687">
                  <c:v>38214</c:v>
                </c:pt>
                <c:pt idx="1688">
                  <c:v>38215</c:v>
                </c:pt>
                <c:pt idx="1689">
                  <c:v>38216</c:v>
                </c:pt>
                <c:pt idx="1690">
                  <c:v>38217</c:v>
                </c:pt>
                <c:pt idx="1691">
                  <c:v>38218</c:v>
                </c:pt>
                <c:pt idx="1692">
                  <c:v>38219</c:v>
                </c:pt>
                <c:pt idx="1693">
                  <c:v>38220</c:v>
                </c:pt>
                <c:pt idx="1694">
                  <c:v>38221</c:v>
                </c:pt>
                <c:pt idx="1695">
                  <c:v>38222</c:v>
                </c:pt>
                <c:pt idx="1696">
                  <c:v>38223</c:v>
                </c:pt>
                <c:pt idx="1697">
                  <c:v>38224</c:v>
                </c:pt>
                <c:pt idx="1698">
                  <c:v>38225</c:v>
                </c:pt>
                <c:pt idx="1699">
                  <c:v>38226</c:v>
                </c:pt>
                <c:pt idx="1700">
                  <c:v>38227</c:v>
                </c:pt>
                <c:pt idx="1701">
                  <c:v>38228</c:v>
                </c:pt>
                <c:pt idx="1702">
                  <c:v>38229</c:v>
                </c:pt>
                <c:pt idx="1703">
                  <c:v>38230</c:v>
                </c:pt>
                <c:pt idx="1704">
                  <c:v>38231</c:v>
                </c:pt>
                <c:pt idx="1705">
                  <c:v>38232</c:v>
                </c:pt>
                <c:pt idx="1706">
                  <c:v>38233</c:v>
                </c:pt>
                <c:pt idx="1707">
                  <c:v>38234</c:v>
                </c:pt>
                <c:pt idx="1708">
                  <c:v>38235</c:v>
                </c:pt>
                <c:pt idx="1709">
                  <c:v>38236</c:v>
                </c:pt>
                <c:pt idx="1710">
                  <c:v>38237</c:v>
                </c:pt>
                <c:pt idx="1711">
                  <c:v>38238</c:v>
                </c:pt>
                <c:pt idx="1712">
                  <c:v>38239</c:v>
                </c:pt>
                <c:pt idx="1713">
                  <c:v>38240</c:v>
                </c:pt>
                <c:pt idx="1714">
                  <c:v>38241</c:v>
                </c:pt>
                <c:pt idx="1715">
                  <c:v>38242</c:v>
                </c:pt>
                <c:pt idx="1716">
                  <c:v>38243</c:v>
                </c:pt>
                <c:pt idx="1717">
                  <c:v>38244</c:v>
                </c:pt>
                <c:pt idx="1718">
                  <c:v>38245</c:v>
                </c:pt>
                <c:pt idx="1719">
                  <c:v>38246</c:v>
                </c:pt>
                <c:pt idx="1720">
                  <c:v>38247</c:v>
                </c:pt>
                <c:pt idx="1721">
                  <c:v>38248</c:v>
                </c:pt>
                <c:pt idx="1722">
                  <c:v>38249</c:v>
                </c:pt>
                <c:pt idx="1723">
                  <c:v>38250</c:v>
                </c:pt>
                <c:pt idx="1724">
                  <c:v>38251</c:v>
                </c:pt>
                <c:pt idx="1725">
                  <c:v>38252</c:v>
                </c:pt>
                <c:pt idx="1726">
                  <c:v>38253</c:v>
                </c:pt>
                <c:pt idx="1727">
                  <c:v>38254</c:v>
                </c:pt>
                <c:pt idx="1728">
                  <c:v>38255</c:v>
                </c:pt>
                <c:pt idx="1729">
                  <c:v>38256</c:v>
                </c:pt>
                <c:pt idx="1730">
                  <c:v>38257</c:v>
                </c:pt>
                <c:pt idx="1731">
                  <c:v>38258</c:v>
                </c:pt>
                <c:pt idx="1732">
                  <c:v>38259</c:v>
                </c:pt>
                <c:pt idx="1733">
                  <c:v>38260</c:v>
                </c:pt>
                <c:pt idx="1734">
                  <c:v>38261</c:v>
                </c:pt>
                <c:pt idx="1735">
                  <c:v>38262</c:v>
                </c:pt>
                <c:pt idx="1736">
                  <c:v>38263</c:v>
                </c:pt>
                <c:pt idx="1737">
                  <c:v>38264</c:v>
                </c:pt>
                <c:pt idx="1738">
                  <c:v>38265</c:v>
                </c:pt>
                <c:pt idx="1739">
                  <c:v>38266</c:v>
                </c:pt>
                <c:pt idx="1740">
                  <c:v>38267</c:v>
                </c:pt>
                <c:pt idx="1741">
                  <c:v>38268</c:v>
                </c:pt>
                <c:pt idx="1742">
                  <c:v>38269</c:v>
                </c:pt>
                <c:pt idx="1743">
                  <c:v>38270</c:v>
                </c:pt>
                <c:pt idx="1744">
                  <c:v>38271</c:v>
                </c:pt>
                <c:pt idx="1745">
                  <c:v>38272</c:v>
                </c:pt>
                <c:pt idx="1746">
                  <c:v>38273</c:v>
                </c:pt>
                <c:pt idx="1747">
                  <c:v>38274</c:v>
                </c:pt>
                <c:pt idx="1748">
                  <c:v>38275</c:v>
                </c:pt>
                <c:pt idx="1749">
                  <c:v>38276</c:v>
                </c:pt>
                <c:pt idx="1750">
                  <c:v>38277</c:v>
                </c:pt>
                <c:pt idx="1751">
                  <c:v>38278</c:v>
                </c:pt>
                <c:pt idx="1752">
                  <c:v>38279</c:v>
                </c:pt>
                <c:pt idx="1753">
                  <c:v>38280</c:v>
                </c:pt>
                <c:pt idx="1754">
                  <c:v>38281</c:v>
                </c:pt>
                <c:pt idx="1755">
                  <c:v>38282</c:v>
                </c:pt>
                <c:pt idx="1756">
                  <c:v>38283</c:v>
                </c:pt>
                <c:pt idx="1757">
                  <c:v>38284</c:v>
                </c:pt>
                <c:pt idx="1758">
                  <c:v>38285</c:v>
                </c:pt>
                <c:pt idx="1759">
                  <c:v>38286</c:v>
                </c:pt>
                <c:pt idx="1760">
                  <c:v>38287</c:v>
                </c:pt>
                <c:pt idx="1761">
                  <c:v>38288</c:v>
                </c:pt>
                <c:pt idx="1762">
                  <c:v>38289</c:v>
                </c:pt>
                <c:pt idx="1763">
                  <c:v>38290</c:v>
                </c:pt>
                <c:pt idx="1764">
                  <c:v>38291</c:v>
                </c:pt>
                <c:pt idx="1765">
                  <c:v>38292</c:v>
                </c:pt>
                <c:pt idx="1766">
                  <c:v>38293</c:v>
                </c:pt>
                <c:pt idx="1767">
                  <c:v>38294</c:v>
                </c:pt>
                <c:pt idx="1768">
                  <c:v>38295</c:v>
                </c:pt>
                <c:pt idx="1769">
                  <c:v>38296</c:v>
                </c:pt>
                <c:pt idx="1770">
                  <c:v>38297</c:v>
                </c:pt>
                <c:pt idx="1771">
                  <c:v>38298</c:v>
                </c:pt>
                <c:pt idx="1772">
                  <c:v>38299</c:v>
                </c:pt>
                <c:pt idx="1773">
                  <c:v>38300</c:v>
                </c:pt>
                <c:pt idx="1774">
                  <c:v>38301</c:v>
                </c:pt>
                <c:pt idx="1775">
                  <c:v>38302</c:v>
                </c:pt>
                <c:pt idx="1776">
                  <c:v>38303</c:v>
                </c:pt>
                <c:pt idx="1777">
                  <c:v>38304</c:v>
                </c:pt>
                <c:pt idx="1778">
                  <c:v>38305</c:v>
                </c:pt>
                <c:pt idx="1779">
                  <c:v>38306</c:v>
                </c:pt>
                <c:pt idx="1780">
                  <c:v>38307</c:v>
                </c:pt>
                <c:pt idx="1781">
                  <c:v>38308</c:v>
                </c:pt>
                <c:pt idx="1782">
                  <c:v>38309</c:v>
                </c:pt>
                <c:pt idx="1783">
                  <c:v>38310</c:v>
                </c:pt>
                <c:pt idx="1784">
                  <c:v>38311</c:v>
                </c:pt>
                <c:pt idx="1785">
                  <c:v>38312</c:v>
                </c:pt>
                <c:pt idx="1786">
                  <c:v>38313</c:v>
                </c:pt>
                <c:pt idx="1787">
                  <c:v>38314</c:v>
                </c:pt>
                <c:pt idx="1788">
                  <c:v>38315</c:v>
                </c:pt>
                <c:pt idx="1789">
                  <c:v>38316</c:v>
                </c:pt>
                <c:pt idx="1790">
                  <c:v>38317</c:v>
                </c:pt>
                <c:pt idx="1791">
                  <c:v>38318</c:v>
                </c:pt>
                <c:pt idx="1792">
                  <c:v>38319</c:v>
                </c:pt>
                <c:pt idx="1793">
                  <c:v>38320</c:v>
                </c:pt>
                <c:pt idx="1794">
                  <c:v>38321</c:v>
                </c:pt>
                <c:pt idx="1795">
                  <c:v>38322</c:v>
                </c:pt>
                <c:pt idx="1796">
                  <c:v>38323</c:v>
                </c:pt>
                <c:pt idx="1797">
                  <c:v>38324</c:v>
                </c:pt>
                <c:pt idx="1798">
                  <c:v>38325</c:v>
                </c:pt>
                <c:pt idx="1799">
                  <c:v>38326</c:v>
                </c:pt>
                <c:pt idx="1800">
                  <c:v>38327</c:v>
                </c:pt>
                <c:pt idx="1801">
                  <c:v>38328</c:v>
                </c:pt>
                <c:pt idx="1802">
                  <c:v>38329</c:v>
                </c:pt>
                <c:pt idx="1803">
                  <c:v>38330</c:v>
                </c:pt>
                <c:pt idx="1804">
                  <c:v>38331</c:v>
                </c:pt>
                <c:pt idx="1805">
                  <c:v>38332</c:v>
                </c:pt>
                <c:pt idx="1806">
                  <c:v>38333</c:v>
                </c:pt>
                <c:pt idx="1807">
                  <c:v>38334</c:v>
                </c:pt>
                <c:pt idx="1808">
                  <c:v>38335</c:v>
                </c:pt>
                <c:pt idx="1809">
                  <c:v>38336</c:v>
                </c:pt>
                <c:pt idx="1810">
                  <c:v>38337</c:v>
                </c:pt>
                <c:pt idx="1811">
                  <c:v>38338</c:v>
                </c:pt>
                <c:pt idx="1812">
                  <c:v>38339</c:v>
                </c:pt>
                <c:pt idx="1813">
                  <c:v>38340</c:v>
                </c:pt>
                <c:pt idx="1814">
                  <c:v>38341</c:v>
                </c:pt>
                <c:pt idx="1815">
                  <c:v>38342</c:v>
                </c:pt>
                <c:pt idx="1816">
                  <c:v>38343</c:v>
                </c:pt>
                <c:pt idx="1817">
                  <c:v>38344</c:v>
                </c:pt>
                <c:pt idx="1818">
                  <c:v>38345</c:v>
                </c:pt>
                <c:pt idx="1819">
                  <c:v>38346</c:v>
                </c:pt>
                <c:pt idx="1820">
                  <c:v>38347</c:v>
                </c:pt>
                <c:pt idx="1821">
                  <c:v>38348</c:v>
                </c:pt>
                <c:pt idx="1822">
                  <c:v>38349</c:v>
                </c:pt>
                <c:pt idx="1823">
                  <c:v>38350</c:v>
                </c:pt>
                <c:pt idx="1824">
                  <c:v>38351</c:v>
                </c:pt>
                <c:pt idx="1825">
                  <c:v>38352</c:v>
                </c:pt>
                <c:pt idx="1826">
                  <c:v>38353</c:v>
                </c:pt>
                <c:pt idx="1827">
                  <c:v>38354</c:v>
                </c:pt>
                <c:pt idx="1828">
                  <c:v>38355</c:v>
                </c:pt>
                <c:pt idx="1829">
                  <c:v>38356</c:v>
                </c:pt>
                <c:pt idx="1830">
                  <c:v>38357</c:v>
                </c:pt>
                <c:pt idx="1831">
                  <c:v>38358</c:v>
                </c:pt>
                <c:pt idx="1832">
                  <c:v>38359</c:v>
                </c:pt>
                <c:pt idx="1833">
                  <c:v>38360</c:v>
                </c:pt>
                <c:pt idx="1834">
                  <c:v>38361</c:v>
                </c:pt>
                <c:pt idx="1835">
                  <c:v>38362</c:v>
                </c:pt>
                <c:pt idx="1836">
                  <c:v>38363</c:v>
                </c:pt>
                <c:pt idx="1837">
                  <c:v>38364</c:v>
                </c:pt>
                <c:pt idx="1838">
                  <c:v>38365</c:v>
                </c:pt>
                <c:pt idx="1839">
                  <c:v>38366</c:v>
                </c:pt>
                <c:pt idx="1840">
                  <c:v>38367</c:v>
                </c:pt>
                <c:pt idx="1841">
                  <c:v>38368</c:v>
                </c:pt>
                <c:pt idx="1842">
                  <c:v>38369</c:v>
                </c:pt>
                <c:pt idx="1843">
                  <c:v>38370</c:v>
                </c:pt>
                <c:pt idx="1844">
                  <c:v>38371</c:v>
                </c:pt>
                <c:pt idx="1845">
                  <c:v>38372</c:v>
                </c:pt>
                <c:pt idx="1846">
                  <c:v>38373</c:v>
                </c:pt>
                <c:pt idx="1847">
                  <c:v>38374</c:v>
                </c:pt>
                <c:pt idx="1848">
                  <c:v>38375</c:v>
                </c:pt>
                <c:pt idx="1849">
                  <c:v>38376</c:v>
                </c:pt>
                <c:pt idx="1850">
                  <c:v>38377</c:v>
                </c:pt>
                <c:pt idx="1851">
                  <c:v>38378</c:v>
                </c:pt>
                <c:pt idx="1852">
                  <c:v>38379</c:v>
                </c:pt>
                <c:pt idx="1853">
                  <c:v>38380</c:v>
                </c:pt>
                <c:pt idx="1854">
                  <c:v>38381</c:v>
                </c:pt>
                <c:pt idx="1855">
                  <c:v>38382</c:v>
                </c:pt>
                <c:pt idx="1856">
                  <c:v>38383</c:v>
                </c:pt>
                <c:pt idx="1857">
                  <c:v>38384</c:v>
                </c:pt>
                <c:pt idx="1858">
                  <c:v>38385</c:v>
                </c:pt>
                <c:pt idx="1859">
                  <c:v>38386</c:v>
                </c:pt>
                <c:pt idx="1860">
                  <c:v>38387</c:v>
                </c:pt>
                <c:pt idx="1861">
                  <c:v>38388</c:v>
                </c:pt>
                <c:pt idx="1862">
                  <c:v>38389</c:v>
                </c:pt>
                <c:pt idx="1863">
                  <c:v>38390</c:v>
                </c:pt>
                <c:pt idx="1864">
                  <c:v>38391</c:v>
                </c:pt>
                <c:pt idx="1865">
                  <c:v>38392</c:v>
                </c:pt>
                <c:pt idx="1866">
                  <c:v>38393</c:v>
                </c:pt>
                <c:pt idx="1867">
                  <c:v>38394</c:v>
                </c:pt>
                <c:pt idx="1868">
                  <c:v>38395</c:v>
                </c:pt>
                <c:pt idx="1869">
                  <c:v>38396</c:v>
                </c:pt>
                <c:pt idx="1870">
                  <c:v>38397</c:v>
                </c:pt>
                <c:pt idx="1871">
                  <c:v>38398</c:v>
                </c:pt>
                <c:pt idx="1872">
                  <c:v>38399</c:v>
                </c:pt>
                <c:pt idx="1873">
                  <c:v>38400</c:v>
                </c:pt>
                <c:pt idx="1874">
                  <c:v>38401</c:v>
                </c:pt>
                <c:pt idx="1875">
                  <c:v>38402</c:v>
                </c:pt>
                <c:pt idx="1876">
                  <c:v>38403</c:v>
                </c:pt>
                <c:pt idx="1877">
                  <c:v>38404</c:v>
                </c:pt>
                <c:pt idx="1878">
                  <c:v>38405</c:v>
                </c:pt>
                <c:pt idx="1879">
                  <c:v>38406</c:v>
                </c:pt>
                <c:pt idx="1880">
                  <c:v>38407</c:v>
                </c:pt>
                <c:pt idx="1881">
                  <c:v>38408</c:v>
                </c:pt>
                <c:pt idx="1882">
                  <c:v>38409</c:v>
                </c:pt>
                <c:pt idx="1883">
                  <c:v>38410</c:v>
                </c:pt>
                <c:pt idx="1884">
                  <c:v>38411</c:v>
                </c:pt>
                <c:pt idx="1885">
                  <c:v>38412</c:v>
                </c:pt>
                <c:pt idx="1886">
                  <c:v>38413</c:v>
                </c:pt>
                <c:pt idx="1887">
                  <c:v>38414</c:v>
                </c:pt>
                <c:pt idx="1888">
                  <c:v>38415</c:v>
                </c:pt>
                <c:pt idx="1889">
                  <c:v>38416</c:v>
                </c:pt>
                <c:pt idx="1890">
                  <c:v>38417</c:v>
                </c:pt>
                <c:pt idx="1891">
                  <c:v>38418</c:v>
                </c:pt>
                <c:pt idx="1892">
                  <c:v>38419</c:v>
                </c:pt>
                <c:pt idx="1893">
                  <c:v>38420</c:v>
                </c:pt>
                <c:pt idx="1894">
                  <c:v>38421</c:v>
                </c:pt>
                <c:pt idx="1895">
                  <c:v>38422</c:v>
                </c:pt>
                <c:pt idx="1896">
                  <c:v>38423</c:v>
                </c:pt>
                <c:pt idx="1897">
                  <c:v>38424</c:v>
                </c:pt>
                <c:pt idx="1898">
                  <c:v>38425</c:v>
                </c:pt>
                <c:pt idx="1899">
                  <c:v>38426</c:v>
                </c:pt>
                <c:pt idx="1900">
                  <c:v>38427</c:v>
                </c:pt>
                <c:pt idx="1901">
                  <c:v>38428</c:v>
                </c:pt>
                <c:pt idx="1902">
                  <c:v>38429</c:v>
                </c:pt>
                <c:pt idx="1903">
                  <c:v>38430</c:v>
                </c:pt>
                <c:pt idx="1904">
                  <c:v>38431</c:v>
                </c:pt>
                <c:pt idx="1905">
                  <c:v>38432</c:v>
                </c:pt>
                <c:pt idx="1906">
                  <c:v>38433</c:v>
                </c:pt>
                <c:pt idx="1907">
                  <c:v>38434</c:v>
                </c:pt>
                <c:pt idx="1908">
                  <c:v>38435</c:v>
                </c:pt>
                <c:pt idx="1909">
                  <c:v>38436</c:v>
                </c:pt>
                <c:pt idx="1910">
                  <c:v>38437</c:v>
                </c:pt>
                <c:pt idx="1911">
                  <c:v>38438</c:v>
                </c:pt>
                <c:pt idx="1912">
                  <c:v>38439</c:v>
                </c:pt>
                <c:pt idx="1913">
                  <c:v>38440</c:v>
                </c:pt>
                <c:pt idx="1914">
                  <c:v>38441</c:v>
                </c:pt>
                <c:pt idx="1915">
                  <c:v>38442</c:v>
                </c:pt>
                <c:pt idx="1916">
                  <c:v>38443</c:v>
                </c:pt>
                <c:pt idx="1917">
                  <c:v>38444</c:v>
                </c:pt>
                <c:pt idx="1918">
                  <c:v>38445</c:v>
                </c:pt>
                <c:pt idx="1919">
                  <c:v>38446</c:v>
                </c:pt>
                <c:pt idx="1920">
                  <c:v>38447</c:v>
                </c:pt>
                <c:pt idx="1921">
                  <c:v>38448</c:v>
                </c:pt>
                <c:pt idx="1922">
                  <c:v>38449</c:v>
                </c:pt>
                <c:pt idx="1923">
                  <c:v>38450</c:v>
                </c:pt>
                <c:pt idx="1924">
                  <c:v>38451</c:v>
                </c:pt>
                <c:pt idx="1925">
                  <c:v>38452</c:v>
                </c:pt>
                <c:pt idx="1926">
                  <c:v>38453</c:v>
                </c:pt>
                <c:pt idx="1927">
                  <c:v>38454</c:v>
                </c:pt>
                <c:pt idx="1928">
                  <c:v>38455</c:v>
                </c:pt>
                <c:pt idx="1929">
                  <c:v>38456</c:v>
                </c:pt>
                <c:pt idx="1930">
                  <c:v>38457</c:v>
                </c:pt>
                <c:pt idx="1931">
                  <c:v>38458</c:v>
                </c:pt>
                <c:pt idx="1932">
                  <c:v>38459</c:v>
                </c:pt>
                <c:pt idx="1933">
                  <c:v>38460</c:v>
                </c:pt>
                <c:pt idx="1934">
                  <c:v>38461</c:v>
                </c:pt>
                <c:pt idx="1935">
                  <c:v>38462</c:v>
                </c:pt>
                <c:pt idx="1936">
                  <c:v>38463</c:v>
                </c:pt>
                <c:pt idx="1937">
                  <c:v>38464</c:v>
                </c:pt>
                <c:pt idx="1938">
                  <c:v>38465</c:v>
                </c:pt>
                <c:pt idx="1939">
                  <c:v>38466</c:v>
                </c:pt>
                <c:pt idx="1940">
                  <c:v>38467</c:v>
                </c:pt>
                <c:pt idx="1941">
                  <c:v>38468</c:v>
                </c:pt>
                <c:pt idx="1942">
                  <c:v>38469</c:v>
                </c:pt>
                <c:pt idx="1943">
                  <c:v>38470</c:v>
                </c:pt>
                <c:pt idx="1944">
                  <c:v>38471</c:v>
                </c:pt>
                <c:pt idx="1945">
                  <c:v>38472</c:v>
                </c:pt>
                <c:pt idx="1946">
                  <c:v>38473</c:v>
                </c:pt>
                <c:pt idx="1947">
                  <c:v>38474</c:v>
                </c:pt>
                <c:pt idx="1948">
                  <c:v>38475</c:v>
                </c:pt>
                <c:pt idx="1949">
                  <c:v>38476</c:v>
                </c:pt>
                <c:pt idx="1950">
                  <c:v>38477</c:v>
                </c:pt>
                <c:pt idx="1951">
                  <c:v>38478</c:v>
                </c:pt>
                <c:pt idx="1952">
                  <c:v>38479</c:v>
                </c:pt>
                <c:pt idx="1953">
                  <c:v>38480</c:v>
                </c:pt>
                <c:pt idx="1954">
                  <c:v>38481</c:v>
                </c:pt>
                <c:pt idx="1955">
                  <c:v>38482</c:v>
                </c:pt>
                <c:pt idx="1956">
                  <c:v>38483</c:v>
                </c:pt>
                <c:pt idx="1957">
                  <c:v>38484</c:v>
                </c:pt>
                <c:pt idx="1958">
                  <c:v>38485</c:v>
                </c:pt>
                <c:pt idx="1959">
                  <c:v>38486</c:v>
                </c:pt>
                <c:pt idx="1960">
                  <c:v>38487</c:v>
                </c:pt>
                <c:pt idx="1961">
                  <c:v>38488</c:v>
                </c:pt>
                <c:pt idx="1962">
                  <c:v>38489</c:v>
                </c:pt>
                <c:pt idx="1963">
                  <c:v>38490</c:v>
                </c:pt>
                <c:pt idx="1964">
                  <c:v>38491</c:v>
                </c:pt>
                <c:pt idx="1965">
                  <c:v>38492</c:v>
                </c:pt>
                <c:pt idx="1966">
                  <c:v>38493</c:v>
                </c:pt>
                <c:pt idx="1967">
                  <c:v>38494</c:v>
                </c:pt>
                <c:pt idx="1968">
                  <c:v>38495</c:v>
                </c:pt>
                <c:pt idx="1969">
                  <c:v>38496</c:v>
                </c:pt>
                <c:pt idx="1970">
                  <c:v>38497</c:v>
                </c:pt>
                <c:pt idx="1971">
                  <c:v>38498</c:v>
                </c:pt>
                <c:pt idx="1972">
                  <c:v>38499</c:v>
                </c:pt>
                <c:pt idx="1973">
                  <c:v>38500</c:v>
                </c:pt>
                <c:pt idx="1974">
                  <c:v>38501</c:v>
                </c:pt>
                <c:pt idx="1975">
                  <c:v>38502</c:v>
                </c:pt>
                <c:pt idx="1976">
                  <c:v>38503</c:v>
                </c:pt>
                <c:pt idx="1977">
                  <c:v>38504</c:v>
                </c:pt>
                <c:pt idx="1978">
                  <c:v>38505</c:v>
                </c:pt>
                <c:pt idx="1979">
                  <c:v>38506</c:v>
                </c:pt>
                <c:pt idx="1980">
                  <c:v>38507</c:v>
                </c:pt>
                <c:pt idx="1981">
                  <c:v>38508</c:v>
                </c:pt>
                <c:pt idx="1982">
                  <c:v>38509</c:v>
                </c:pt>
                <c:pt idx="1983">
                  <c:v>38510</c:v>
                </c:pt>
                <c:pt idx="1984">
                  <c:v>38511</c:v>
                </c:pt>
                <c:pt idx="1985">
                  <c:v>38512</c:v>
                </c:pt>
                <c:pt idx="1986">
                  <c:v>38513</c:v>
                </c:pt>
                <c:pt idx="1987">
                  <c:v>38514</c:v>
                </c:pt>
                <c:pt idx="1988">
                  <c:v>38515</c:v>
                </c:pt>
                <c:pt idx="1989">
                  <c:v>38516</c:v>
                </c:pt>
                <c:pt idx="1990">
                  <c:v>38517</c:v>
                </c:pt>
                <c:pt idx="1991">
                  <c:v>38518</c:v>
                </c:pt>
                <c:pt idx="1992">
                  <c:v>38519</c:v>
                </c:pt>
                <c:pt idx="1993">
                  <c:v>38520</c:v>
                </c:pt>
                <c:pt idx="1994">
                  <c:v>38521</c:v>
                </c:pt>
                <c:pt idx="1995">
                  <c:v>38522</c:v>
                </c:pt>
                <c:pt idx="1996">
                  <c:v>38523</c:v>
                </c:pt>
                <c:pt idx="1997">
                  <c:v>38524</c:v>
                </c:pt>
                <c:pt idx="1998">
                  <c:v>38525</c:v>
                </c:pt>
                <c:pt idx="1999">
                  <c:v>38526</c:v>
                </c:pt>
                <c:pt idx="2000">
                  <c:v>38527</c:v>
                </c:pt>
                <c:pt idx="2001">
                  <c:v>38528</c:v>
                </c:pt>
                <c:pt idx="2002">
                  <c:v>38529</c:v>
                </c:pt>
                <c:pt idx="2003">
                  <c:v>38530</c:v>
                </c:pt>
                <c:pt idx="2004">
                  <c:v>38531</c:v>
                </c:pt>
                <c:pt idx="2005">
                  <c:v>38532</c:v>
                </c:pt>
                <c:pt idx="2006">
                  <c:v>38533</c:v>
                </c:pt>
                <c:pt idx="2007">
                  <c:v>38534</c:v>
                </c:pt>
                <c:pt idx="2008">
                  <c:v>38535</c:v>
                </c:pt>
                <c:pt idx="2009">
                  <c:v>38536</c:v>
                </c:pt>
                <c:pt idx="2010">
                  <c:v>38537</c:v>
                </c:pt>
                <c:pt idx="2011">
                  <c:v>38538</c:v>
                </c:pt>
                <c:pt idx="2012">
                  <c:v>38539</c:v>
                </c:pt>
                <c:pt idx="2013">
                  <c:v>38540</c:v>
                </c:pt>
                <c:pt idx="2014">
                  <c:v>38541</c:v>
                </c:pt>
                <c:pt idx="2015">
                  <c:v>38542</c:v>
                </c:pt>
                <c:pt idx="2016">
                  <c:v>38543</c:v>
                </c:pt>
                <c:pt idx="2017">
                  <c:v>38544</c:v>
                </c:pt>
                <c:pt idx="2018">
                  <c:v>38545</c:v>
                </c:pt>
                <c:pt idx="2019">
                  <c:v>38546</c:v>
                </c:pt>
                <c:pt idx="2020">
                  <c:v>38547</c:v>
                </c:pt>
                <c:pt idx="2021">
                  <c:v>38548</c:v>
                </c:pt>
                <c:pt idx="2022">
                  <c:v>38549</c:v>
                </c:pt>
                <c:pt idx="2023">
                  <c:v>38550</c:v>
                </c:pt>
                <c:pt idx="2024">
                  <c:v>38551</c:v>
                </c:pt>
                <c:pt idx="2025">
                  <c:v>38552</c:v>
                </c:pt>
                <c:pt idx="2026">
                  <c:v>38553</c:v>
                </c:pt>
                <c:pt idx="2027">
                  <c:v>38554</c:v>
                </c:pt>
                <c:pt idx="2028">
                  <c:v>38555</c:v>
                </c:pt>
                <c:pt idx="2029">
                  <c:v>38556</c:v>
                </c:pt>
                <c:pt idx="2030">
                  <c:v>38557</c:v>
                </c:pt>
                <c:pt idx="2031">
                  <c:v>38558</c:v>
                </c:pt>
                <c:pt idx="2032">
                  <c:v>38559</c:v>
                </c:pt>
                <c:pt idx="2033">
                  <c:v>38560</c:v>
                </c:pt>
                <c:pt idx="2034">
                  <c:v>38561</c:v>
                </c:pt>
                <c:pt idx="2035">
                  <c:v>38562</c:v>
                </c:pt>
                <c:pt idx="2036">
                  <c:v>38563</c:v>
                </c:pt>
                <c:pt idx="2037">
                  <c:v>38564</c:v>
                </c:pt>
                <c:pt idx="2038">
                  <c:v>38565</c:v>
                </c:pt>
                <c:pt idx="2039">
                  <c:v>38566</c:v>
                </c:pt>
                <c:pt idx="2040">
                  <c:v>38567</c:v>
                </c:pt>
                <c:pt idx="2041">
                  <c:v>38568</c:v>
                </c:pt>
                <c:pt idx="2042">
                  <c:v>38569</c:v>
                </c:pt>
                <c:pt idx="2043">
                  <c:v>38570</c:v>
                </c:pt>
                <c:pt idx="2044">
                  <c:v>38571</c:v>
                </c:pt>
                <c:pt idx="2045">
                  <c:v>38572</c:v>
                </c:pt>
                <c:pt idx="2046">
                  <c:v>38573</c:v>
                </c:pt>
                <c:pt idx="2047">
                  <c:v>38574</c:v>
                </c:pt>
                <c:pt idx="2048">
                  <c:v>38575</c:v>
                </c:pt>
                <c:pt idx="2049">
                  <c:v>38576</c:v>
                </c:pt>
                <c:pt idx="2050">
                  <c:v>38577</c:v>
                </c:pt>
                <c:pt idx="2051">
                  <c:v>38578</c:v>
                </c:pt>
                <c:pt idx="2052">
                  <c:v>38579</c:v>
                </c:pt>
                <c:pt idx="2053">
                  <c:v>38580</c:v>
                </c:pt>
                <c:pt idx="2054">
                  <c:v>38581</c:v>
                </c:pt>
                <c:pt idx="2055">
                  <c:v>38582</c:v>
                </c:pt>
                <c:pt idx="2056">
                  <c:v>38583</c:v>
                </c:pt>
                <c:pt idx="2057">
                  <c:v>38584</c:v>
                </c:pt>
                <c:pt idx="2058">
                  <c:v>38585</c:v>
                </c:pt>
                <c:pt idx="2059">
                  <c:v>38586</c:v>
                </c:pt>
                <c:pt idx="2060">
                  <c:v>38587</c:v>
                </c:pt>
                <c:pt idx="2061">
                  <c:v>38588</c:v>
                </c:pt>
                <c:pt idx="2062">
                  <c:v>38589</c:v>
                </c:pt>
                <c:pt idx="2063">
                  <c:v>38590</c:v>
                </c:pt>
                <c:pt idx="2064">
                  <c:v>38591</c:v>
                </c:pt>
                <c:pt idx="2065">
                  <c:v>38592</c:v>
                </c:pt>
                <c:pt idx="2066">
                  <c:v>38593</c:v>
                </c:pt>
                <c:pt idx="2067">
                  <c:v>38594</c:v>
                </c:pt>
                <c:pt idx="2068">
                  <c:v>38595</c:v>
                </c:pt>
                <c:pt idx="2069">
                  <c:v>38596</c:v>
                </c:pt>
                <c:pt idx="2070">
                  <c:v>38597</c:v>
                </c:pt>
                <c:pt idx="2071">
                  <c:v>38598</c:v>
                </c:pt>
                <c:pt idx="2072">
                  <c:v>38599</c:v>
                </c:pt>
                <c:pt idx="2073">
                  <c:v>38600</c:v>
                </c:pt>
                <c:pt idx="2074">
                  <c:v>38601</c:v>
                </c:pt>
                <c:pt idx="2075">
                  <c:v>38602</c:v>
                </c:pt>
                <c:pt idx="2076">
                  <c:v>38603</c:v>
                </c:pt>
                <c:pt idx="2077">
                  <c:v>38604</c:v>
                </c:pt>
                <c:pt idx="2078">
                  <c:v>38605</c:v>
                </c:pt>
                <c:pt idx="2079">
                  <c:v>38606</c:v>
                </c:pt>
                <c:pt idx="2080">
                  <c:v>38607</c:v>
                </c:pt>
                <c:pt idx="2081">
                  <c:v>38608</c:v>
                </c:pt>
                <c:pt idx="2082">
                  <c:v>38609</c:v>
                </c:pt>
                <c:pt idx="2083">
                  <c:v>38610</c:v>
                </c:pt>
                <c:pt idx="2084">
                  <c:v>38611</c:v>
                </c:pt>
                <c:pt idx="2085">
                  <c:v>38612</c:v>
                </c:pt>
                <c:pt idx="2086">
                  <c:v>38613</c:v>
                </c:pt>
                <c:pt idx="2087">
                  <c:v>38614</c:v>
                </c:pt>
                <c:pt idx="2088">
                  <c:v>38615</c:v>
                </c:pt>
                <c:pt idx="2089">
                  <c:v>38616</c:v>
                </c:pt>
                <c:pt idx="2090">
                  <c:v>38617</c:v>
                </c:pt>
                <c:pt idx="2091">
                  <c:v>38618</c:v>
                </c:pt>
                <c:pt idx="2092">
                  <c:v>38619</c:v>
                </c:pt>
                <c:pt idx="2093">
                  <c:v>38620</c:v>
                </c:pt>
                <c:pt idx="2094">
                  <c:v>38621</c:v>
                </c:pt>
                <c:pt idx="2095">
                  <c:v>38622</c:v>
                </c:pt>
                <c:pt idx="2096">
                  <c:v>38623</c:v>
                </c:pt>
                <c:pt idx="2097">
                  <c:v>38624</c:v>
                </c:pt>
                <c:pt idx="2098">
                  <c:v>38625</c:v>
                </c:pt>
                <c:pt idx="2099">
                  <c:v>38626</c:v>
                </c:pt>
                <c:pt idx="2100">
                  <c:v>38627</c:v>
                </c:pt>
                <c:pt idx="2101">
                  <c:v>38628</c:v>
                </c:pt>
                <c:pt idx="2102">
                  <c:v>38629</c:v>
                </c:pt>
                <c:pt idx="2103">
                  <c:v>38630</c:v>
                </c:pt>
                <c:pt idx="2104">
                  <c:v>38631</c:v>
                </c:pt>
                <c:pt idx="2105">
                  <c:v>38632</c:v>
                </c:pt>
                <c:pt idx="2106">
                  <c:v>38633</c:v>
                </c:pt>
                <c:pt idx="2107">
                  <c:v>38634</c:v>
                </c:pt>
                <c:pt idx="2108">
                  <c:v>38635</c:v>
                </c:pt>
                <c:pt idx="2109">
                  <c:v>38636</c:v>
                </c:pt>
                <c:pt idx="2110">
                  <c:v>38637</c:v>
                </c:pt>
                <c:pt idx="2111">
                  <c:v>38638</c:v>
                </c:pt>
                <c:pt idx="2112">
                  <c:v>38639</c:v>
                </c:pt>
                <c:pt idx="2113">
                  <c:v>38640</c:v>
                </c:pt>
                <c:pt idx="2114">
                  <c:v>38641</c:v>
                </c:pt>
                <c:pt idx="2115">
                  <c:v>38642</c:v>
                </c:pt>
                <c:pt idx="2116">
                  <c:v>38643</c:v>
                </c:pt>
                <c:pt idx="2117">
                  <c:v>38644</c:v>
                </c:pt>
                <c:pt idx="2118">
                  <c:v>38645</c:v>
                </c:pt>
                <c:pt idx="2119">
                  <c:v>38646</c:v>
                </c:pt>
                <c:pt idx="2120">
                  <c:v>38647</c:v>
                </c:pt>
                <c:pt idx="2121">
                  <c:v>38648</c:v>
                </c:pt>
                <c:pt idx="2122">
                  <c:v>38649</c:v>
                </c:pt>
                <c:pt idx="2123">
                  <c:v>38650</c:v>
                </c:pt>
                <c:pt idx="2124">
                  <c:v>38651</c:v>
                </c:pt>
                <c:pt idx="2125">
                  <c:v>38652</c:v>
                </c:pt>
                <c:pt idx="2126">
                  <c:v>38653</c:v>
                </c:pt>
                <c:pt idx="2127">
                  <c:v>38654</c:v>
                </c:pt>
                <c:pt idx="2128">
                  <c:v>38655</c:v>
                </c:pt>
                <c:pt idx="2129">
                  <c:v>38656</c:v>
                </c:pt>
                <c:pt idx="2130">
                  <c:v>38657</c:v>
                </c:pt>
                <c:pt idx="2131">
                  <c:v>38658</c:v>
                </c:pt>
                <c:pt idx="2132">
                  <c:v>38659</c:v>
                </c:pt>
                <c:pt idx="2133">
                  <c:v>38660</c:v>
                </c:pt>
                <c:pt idx="2134">
                  <c:v>38661</c:v>
                </c:pt>
                <c:pt idx="2135">
                  <c:v>38662</c:v>
                </c:pt>
                <c:pt idx="2136">
                  <c:v>38663</c:v>
                </c:pt>
                <c:pt idx="2137">
                  <c:v>38664</c:v>
                </c:pt>
                <c:pt idx="2138">
                  <c:v>38665</c:v>
                </c:pt>
                <c:pt idx="2139">
                  <c:v>38666</c:v>
                </c:pt>
                <c:pt idx="2140">
                  <c:v>38667</c:v>
                </c:pt>
                <c:pt idx="2141">
                  <c:v>38668</c:v>
                </c:pt>
                <c:pt idx="2142">
                  <c:v>38669</c:v>
                </c:pt>
                <c:pt idx="2143">
                  <c:v>38670</c:v>
                </c:pt>
                <c:pt idx="2144">
                  <c:v>38671</c:v>
                </c:pt>
                <c:pt idx="2145">
                  <c:v>38672</c:v>
                </c:pt>
                <c:pt idx="2146">
                  <c:v>38673</c:v>
                </c:pt>
                <c:pt idx="2147">
                  <c:v>38674</c:v>
                </c:pt>
                <c:pt idx="2148">
                  <c:v>38675</c:v>
                </c:pt>
                <c:pt idx="2149">
                  <c:v>38676</c:v>
                </c:pt>
                <c:pt idx="2150">
                  <c:v>38677</c:v>
                </c:pt>
                <c:pt idx="2151">
                  <c:v>38678</c:v>
                </c:pt>
                <c:pt idx="2152">
                  <c:v>38679</c:v>
                </c:pt>
                <c:pt idx="2153">
                  <c:v>38680</c:v>
                </c:pt>
                <c:pt idx="2154">
                  <c:v>38681</c:v>
                </c:pt>
                <c:pt idx="2155">
                  <c:v>38682</c:v>
                </c:pt>
                <c:pt idx="2156">
                  <c:v>38683</c:v>
                </c:pt>
                <c:pt idx="2157">
                  <c:v>38684</c:v>
                </c:pt>
                <c:pt idx="2158">
                  <c:v>38685</c:v>
                </c:pt>
                <c:pt idx="2159">
                  <c:v>38686</c:v>
                </c:pt>
                <c:pt idx="2160">
                  <c:v>38687</c:v>
                </c:pt>
                <c:pt idx="2161">
                  <c:v>38688</c:v>
                </c:pt>
                <c:pt idx="2162">
                  <c:v>38689</c:v>
                </c:pt>
                <c:pt idx="2163">
                  <c:v>38690</c:v>
                </c:pt>
                <c:pt idx="2164">
                  <c:v>38691</c:v>
                </c:pt>
                <c:pt idx="2165">
                  <c:v>38692</c:v>
                </c:pt>
                <c:pt idx="2166">
                  <c:v>38693</c:v>
                </c:pt>
                <c:pt idx="2167">
                  <c:v>38694</c:v>
                </c:pt>
                <c:pt idx="2168">
                  <c:v>38695</c:v>
                </c:pt>
                <c:pt idx="2169">
                  <c:v>38696</c:v>
                </c:pt>
                <c:pt idx="2170">
                  <c:v>38697</c:v>
                </c:pt>
                <c:pt idx="2171">
                  <c:v>38698</c:v>
                </c:pt>
                <c:pt idx="2172">
                  <c:v>38699</c:v>
                </c:pt>
                <c:pt idx="2173">
                  <c:v>38700</c:v>
                </c:pt>
                <c:pt idx="2174">
                  <c:v>38701</c:v>
                </c:pt>
                <c:pt idx="2175">
                  <c:v>38702</c:v>
                </c:pt>
                <c:pt idx="2176">
                  <c:v>38703</c:v>
                </c:pt>
                <c:pt idx="2177">
                  <c:v>38704</c:v>
                </c:pt>
                <c:pt idx="2178">
                  <c:v>38705</c:v>
                </c:pt>
                <c:pt idx="2179">
                  <c:v>38706</c:v>
                </c:pt>
                <c:pt idx="2180">
                  <c:v>38707</c:v>
                </c:pt>
                <c:pt idx="2181">
                  <c:v>38708</c:v>
                </c:pt>
                <c:pt idx="2182">
                  <c:v>38709</c:v>
                </c:pt>
                <c:pt idx="2183">
                  <c:v>38710</c:v>
                </c:pt>
                <c:pt idx="2184">
                  <c:v>38711</c:v>
                </c:pt>
                <c:pt idx="2185">
                  <c:v>38712</c:v>
                </c:pt>
                <c:pt idx="2186">
                  <c:v>38713</c:v>
                </c:pt>
                <c:pt idx="2187">
                  <c:v>38714</c:v>
                </c:pt>
                <c:pt idx="2188">
                  <c:v>38715</c:v>
                </c:pt>
                <c:pt idx="2189">
                  <c:v>38716</c:v>
                </c:pt>
                <c:pt idx="2190">
                  <c:v>38717</c:v>
                </c:pt>
                <c:pt idx="2191">
                  <c:v>38718</c:v>
                </c:pt>
                <c:pt idx="2192">
                  <c:v>38719</c:v>
                </c:pt>
                <c:pt idx="2193">
                  <c:v>38720</c:v>
                </c:pt>
                <c:pt idx="2194">
                  <c:v>38721</c:v>
                </c:pt>
                <c:pt idx="2195">
                  <c:v>38722</c:v>
                </c:pt>
                <c:pt idx="2196">
                  <c:v>38723</c:v>
                </c:pt>
                <c:pt idx="2197">
                  <c:v>38724</c:v>
                </c:pt>
                <c:pt idx="2198">
                  <c:v>38725</c:v>
                </c:pt>
                <c:pt idx="2199">
                  <c:v>38726</c:v>
                </c:pt>
                <c:pt idx="2200">
                  <c:v>38727</c:v>
                </c:pt>
                <c:pt idx="2201">
                  <c:v>38728</c:v>
                </c:pt>
                <c:pt idx="2202">
                  <c:v>38729</c:v>
                </c:pt>
                <c:pt idx="2203">
                  <c:v>38730</c:v>
                </c:pt>
                <c:pt idx="2204">
                  <c:v>38731</c:v>
                </c:pt>
                <c:pt idx="2205">
                  <c:v>38732</c:v>
                </c:pt>
                <c:pt idx="2206">
                  <c:v>38733</c:v>
                </c:pt>
                <c:pt idx="2207">
                  <c:v>38734</c:v>
                </c:pt>
                <c:pt idx="2208">
                  <c:v>38735</c:v>
                </c:pt>
                <c:pt idx="2209">
                  <c:v>38736</c:v>
                </c:pt>
                <c:pt idx="2210">
                  <c:v>38737</c:v>
                </c:pt>
                <c:pt idx="2211">
                  <c:v>38738</c:v>
                </c:pt>
                <c:pt idx="2212">
                  <c:v>38739</c:v>
                </c:pt>
                <c:pt idx="2213">
                  <c:v>38740</c:v>
                </c:pt>
                <c:pt idx="2214">
                  <c:v>38741</c:v>
                </c:pt>
                <c:pt idx="2215">
                  <c:v>38742</c:v>
                </c:pt>
                <c:pt idx="2216">
                  <c:v>38743</c:v>
                </c:pt>
                <c:pt idx="2217">
                  <c:v>38744</c:v>
                </c:pt>
                <c:pt idx="2218">
                  <c:v>38745</c:v>
                </c:pt>
                <c:pt idx="2219">
                  <c:v>38746</c:v>
                </c:pt>
                <c:pt idx="2220">
                  <c:v>38747</c:v>
                </c:pt>
                <c:pt idx="2221">
                  <c:v>38748</c:v>
                </c:pt>
                <c:pt idx="2222">
                  <c:v>38749</c:v>
                </c:pt>
                <c:pt idx="2223">
                  <c:v>38750</c:v>
                </c:pt>
                <c:pt idx="2224">
                  <c:v>38751</c:v>
                </c:pt>
                <c:pt idx="2225">
                  <c:v>38752</c:v>
                </c:pt>
                <c:pt idx="2226">
                  <c:v>38753</c:v>
                </c:pt>
                <c:pt idx="2227">
                  <c:v>38754</c:v>
                </c:pt>
                <c:pt idx="2228">
                  <c:v>38755</c:v>
                </c:pt>
                <c:pt idx="2229">
                  <c:v>38756</c:v>
                </c:pt>
                <c:pt idx="2230">
                  <c:v>38757</c:v>
                </c:pt>
                <c:pt idx="2231">
                  <c:v>38758</c:v>
                </c:pt>
                <c:pt idx="2232">
                  <c:v>38759</c:v>
                </c:pt>
                <c:pt idx="2233">
                  <c:v>38760</c:v>
                </c:pt>
                <c:pt idx="2234">
                  <c:v>38761</c:v>
                </c:pt>
                <c:pt idx="2235">
                  <c:v>38762</c:v>
                </c:pt>
                <c:pt idx="2236">
                  <c:v>38763</c:v>
                </c:pt>
                <c:pt idx="2237">
                  <c:v>38764</c:v>
                </c:pt>
                <c:pt idx="2238">
                  <c:v>38765</c:v>
                </c:pt>
                <c:pt idx="2239">
                  <c:v>38766</c:v>
                </c:pt>
                <c:pt idx="2240">
                  <c:v>38767</c:v>
                </c:pt>
                <c:pt idx="2241">
                  <c:v>38768</c:v>
                </c:pt>
                <c:pt idx="2242">
                  <c:v>38769</c:v>
                </c:pt>
                <c:pt idx="2243">
                  <c:v>38770</c:v>
                </c:pt>
                <c:pt idx="2244">
                  <c:v>38771</c:v>
                </c:pt>
                <c:pt idx="2245">
                  <c:v>38772</c:v>
                </c:pt>
                <c:pt idx="2246">
                  <c:v>38773</c:v>
                </c:pt>
                <c:pt idx="2247">
                  <c:v>38774</c:v>
                </c:pt>
                <c:pt idx="2248">
                  <c:v>38775</c:v>
                </c:pt>
                <c:pt idx="2249">
                  <c:v>38776</c:v>
                </c:pt>
                <c:pt idx="2250">
                  <c:v>38777</c:v>
                </c:pt>
                <c:pt idx="2251">
                  <c:v>38778</c:v>
                </c:pt>
                <c:pt idx="2252">
                  <c:v>38779</c:v>
                </c:pt>
                <c:pt idx="2253">
                  <c:v>38780</c:v>
                </c:pt>
                <c:pt idx="2254">
                  <c:v>38781</c:v>
                </c:pt>
                <c:pt idx="2255">
                  <c:v>38782</c:v>
                </c:pt>
                <c:pt idx="2256">
                  <c:v>38783</c:v>
                </c:pt>
                <c:pt idx="2257">
                  <c:v>38784</c:v>
                </c:pt>
                <c:pt idx="2258">
                  <c:v>38785</c:v>
                </c:pt>
                <c:pt idx="2259">
                  <c:v>38786</c:v>
                </c:pt>
                <c:pt idx="2260">
                  <c:v>38787</c:v>
                </c:pt>
                <c:pt idx="2261">
                  <c:v>38788</c:v>
                </c:pt>
                <c:pt idx="2262">
                  <c:v>38789</c:v>
                </c:pt>
                <c:pt idx="2263">
                  <c:v>38790</c:v>
                </c:pt>
                <c:pt idx="2264">
                  <c:v>38791</c:v>
                </c:pt>
                <c:pt idx="2265">
                  <c:v>38792</c:v>
                </c:pt>
                <c:pt idx="2266">
                  <c:v>38793</c:v>
                </c:pt>
                <c:pt idx="2267">
                  <c:v>38794</c:v>
                </c:pt>
                <c:pt idx="2268">
                  <c:v>38795</c:v>
                </c:pt>
                <c:pt idx="2269">
                  <c:v>38796</c:v>
                </c:pt>
                <c:pt idx="2270">
                  <c:v>38797</c:v>
                </c:pt>
                <c:pt idx="2271">
                  <c:v>38798</c:v>
                </c:pt>
                <c:pt idx="2272">
                  <c:v>38799</c:v>
                </c:pt>
                <c:pt idx="2273">
                  <c:v>38800</c:v>
                </c:pt>
                <c:pt idx="2274">
                  <c:v>38801</c:v>
                </c:pt>
                <c:pt idx="2275">
                  <c:v>38802</c:v>
                </c:pt>
                <c:pt idx="2276">
                  <c:v>38803</c:v>
                </c:pt>
                <c:pt idx="2277">
                  <c:v>38804</c:v>
                </c:pt>
                <c:pt idx="2278">
                  <c:v>38805</c:v>
                </c:pt>
                <c:pt idx="2279">
                  <c:v>38806</c:v>
                </c:pt>
                <c:pt idx="2280">
                  <c:v>38807</c:v>
                </c:pt>
                <c:pt idx="2281">
                  <c:v>38808</c:v>
                </c:pt>
                <c:pt idx="2282">
                  <c:v>38809</c:v>
                </c:pt>
                <c:pt idx="2283">
                  <c:v>38810</c:v>
                </c:pt>
                <c:pt idx="2284">
                  <c:v>38811</c:v>
                </c:pt>
                <c:pt idx="2285">
                  <c:v>38812</c:v>
                </c:pt>
                <c:pt idx="2286">
                  <c:v>38813</c:v>
                </c:pt>
                <c:pt idx="2287">
                  <c:v>38814</c:v>
                </c:pt>
                <c:pt idx="2288">
                  <c:v>38815</c:v>
                </c:pt>
                <c:pt idx="2289">
                  <c:v>38816</c:v>
                </c:pt>
                <c:pt idx="2290">
                  <c:v>38817</c:v>
                </c:pt>
                <c:pt idx="2291">
                  <c:v>38818</c:v>
                </c:pt>
                <c:pt idx="2292">
                  <c:v>38819</c:v>
                </c:pt>
                <c:pt idx="2293">
                  <c:v>38820</c:v>
                </c:pt>
                <c:pt idx="2294">
                  <c:v>38821</c:v>
                </c:pt>
                <c:pt idx="2295">
                  <c:v>38822</c:v>
                </c:pt>
                <c:pt idx="2296">
                  <c:v>38823</c:v>
                </c:pt>
                <c:pt idx="2297">
                  <c:v>38824</c:v>
                </c:pt>
                <c:pt idx="2298">
                  <c:v>38825</c:v>
                </c:pt>
                <c:pt idx="2299">
                  <c:v>38826</c:v>
                </c:pt>
                <c:pt idx="2300">
                  <c:v>38827</c:v>
                </c:pt>
                <c:pt idx="2301">
                  <c:v>38828</c:v>
                </c:pt>
                <c:pt idx="2302">
                  <c:v>38829</c:v>
                </c:pt>
                <c:pt idx="2303">
                  <c:v>38830</c:v>
                </c:pt>
                <c:pt idx="2304">
                  <c:v>38831</c:v>
                </c:pt>
                <c:pt idx="2305">
                  <c:v>38832</c:v>
                </c:pt>
                <c:pt idx="2306">
                  <c:v>38833</c:v>
                </c:pt>
                <c:pt idx="2307">
                  <c:v>38834</c:v>
                </c:pt>
                <c:pt idx="2308">
                  <c:v>38835</c:v>
                </c:pt>
                <c:pt idx="2309">
                  <c:v>38836</c:v>
                </c:pt>
                <c:pt idx="2310">
                  <c:v>38837</c:v>
                </c:pt>
                <c:pt idx="2311">
                  <c:v>38838</c:v>
                </c:pt>
                <c:pt idx="2312">
                  <c:v>38839</c:v>
                </c:pt>
                <c:pt idx="2313">
                  <c:v>38840</c:v>
                </c:pt>
                <c:pt idx="2314">
                  <c:v>38841</c:v>
                </c:pt>
                <c:pt idx="2315">
                  <c:v>38842</c:v>
                </c:pt>
                <c:pt idx="2316">
                  <c:v>38843</c:v>
                </c:pt>
                <c:pt idx="2317">
                  <c:v>38844</c:v>
                </c:pt>
                <c:pt idx="2318">
                  <c:v>38845</c:v>
                </c:pt>
                <c:pt idx="2319">
                  <c:v>38846</c:v>
                </c:pt>
                <c:pt idx="2320">
                  <c:v>38847</c:v>
                </c:pt>
                <c:pt idx="2321">
                  <c:v>38848</c:v>
                </c:pt>
                <c:pt idx="2322">
                  <c:v>38849</c:v>
                </c:pt>
                <c:pt idx="2323">
                  <c:v>38850</c:v>
                </c:pt>
                <c:pt idx="2324">
                  <c:v>38851</c:v>
                </c:pt>
                <c:pt idx="2325">
                  <c:v>38852</c:v>
                </c:pt>
                <c:pt idx="2326">
                  <c:v>38853</c:v>
                </c:pt>
                <c:pt idx="2327">
                  <c:v>38854</c:v>
                </c:pt>
                <c:pt idx="2328">
                  <c:v>38855</c:v>
                </c:pt>
                <c:pt idx="2329">
                  <c:v>38856</c:v>
                </c:pt>
                <c:pt idx="2330">
                  <c:v>38857</c:v>
                </c:pt>
                <c:pt idx="2331">
                  <c:v>38858</c:v>
                </c:pt>
                <c:pt idx="2332">
                  <c:v>38859</c:v>
                </c:pt>
                <c:pt idx="2333">
                  <c:v>38860</c:v>
                </c:pt>
                <c:pt idx="2334">
                  <c:v>38861</c:v>
                </c:pt>
                <c:pt idx="2335">
                  <c:v>38862</c:v>
                </c:pt>
                <c:pt idx="2336">
                  <c:v>38863</c:v>
                </c:pt>
                <c:pt idx="2337">
                  <c:v>38864</c:v>
                </c:pt>
                <c:pt idx="2338">
                  <c:v>38865</c:v>
                </c:pt>
                <c:pt idx="2339">
                  <c:v>38866</c:v>
                </c:pt>
                <c:pt idx="2340">
                  <c:v>38867</c:v>
                </c:pt>
                <c:pt idx="2341">
                  <c:v>38868</c:v>
                </c:pt>
                <c:pt idx="2342">
                  <c:v>38869</c:v>
                </c:pt>
                <c:pt idx="2343">
                  <c:v>38870</c:v>
                </c:pt>
                <c:pt idx="2344">
                  <c:v>38871</c:v>
                </c:pt>
                <c:pt idx="2345">
                  <c:v>38872</c:v>
                </c:pt>
                <c:pt idx="2346">
                  <c:v>38873</c:v>
                </c:pt>
                <c:pt idx="2347">
                  <c:v>38874</c:v>
                </c:pt>
                <c:pt idx="2348">
                  <c:v>38875</c:v>
                </c:pt>
                <c:pt idx="2349">
                  <c:v>38876</c:v>
                </c:pt>
                <c:pt idx="2350">
                  <c:v>38877</c:v>
                </c:pt>
                <c:pt idx="2351">
                  <c:v>38878</c:v>
                </c:pt>
                <c:pt idx="2352">
                  <c:v>38879</c:v>
                </c:pt>
                <c:pt idx="2353">
                  <c:v>38880</c:v>
                </c:pt>
                <c:pt idx="2354">
                  <c:v>38881</c:v>
                </c:pt>
                <c:pt idx="2355">
                  <c:v>38882</c:v>
                </c:pt>
                <c:pt idx="2356">
                  <c:v>38883</c:v>
                </c:pt>
                <c:pt idx="2357">
                  <c:v>38884</c:v>
                </c:pt>
                <c:pt idx="2358">
                  <c:v>38885</c:v>
                </c:pt>
                <c:pt idx="2359">
                  <c:v>38886</c:v>
                </c:pt>
                <c:pt idx="2360">
                  <c:v>38887</c:v>
                </c:pt>
                <c:pt idx="2361">
                  <c:v>38888</c:v>
                </c:pt>
                <c:pt idx="2362">
                  <c:v>38889</c:v>
                </c:pt>
                <c:pt idx="2363">
                  <c:v>38890</c:v>
                </c:pt>
                <c:pt idx="2364">
                  <c:v>38891</c:v>
                </c:pt>
                <c:pt idx="2365">
                  <c:v>38892</c:v>
                </c:pt>
                <c:pt idx="2366">
                  <c:v>38893</c:v>
                </c:pt>
                <c:pt idx="2367">
                  <c:v>38894</c:v>
                </c:pt>
                <c:pt idx="2368">
                  <c:v>38895</c:v>
                </c:pt>
                <c:pt idx="2369">
                  <c:v>38896</c:v>
                </c:pt>
                <c:pt idx="2370">
                  <c:v>38897</c:v>
                </c:pt>
                <c:pt idx="2371">
                  <c:v>38898</c:v>
                </c:pt>
                <c:pt idx="2372">
                  <c:v>38899</c:v>
                </c:pt>
                <c:pt idx="2373">
                  <c:v>38900</c:v>
                </c:pt>
                <c:pt idx="2374">
                  <c:v>38901</c:v>
                </c:pt>
                <c:pt idx="2375">
                  <c:v>38902</c:v>
                </c:pt>
                <c:pt idx="2376">
                  <c:v>38903</c:v>
                </c:pt>
                <c:pt idx="2377">
                  <c:v>38904</c:v>
                </c:pt>
                <c:pt idx="2378">
                  <c:v>38905</c:v>
                </c:pt>
                <c:pt idx="2379">
                  <c:v>38906</c:v>
                </c:pt>
                <c:pt idx="2380">
                  <c:v>38907</c:v>
                </c:pt>
                <c:pt idx="2381">
                  <c:v>38908</c:v>
                </c:pt>
                <c:pt idx="2382">
                  <c:v>38909</c:v>
                </c:pt>
                <c:pt idx="2383">
                  <c:v>38910</c:v>
                </c:pt>
                <c:pt idx="2384">
                  <c:v>38911</c:v>
                </c:pt>
                <c:pt idx="2385">
                  <c:v>38912</c:v>
                </c:pt>
                <c:pt idx="2386">
                  <c:v>38913</c:v>
                </c:pt>
                <c:pt idx="2387">
                  <c:v>38914</c:v>
                </c:pt>
                <c:pt idx="2388">
                  <c:v>38915</c:v>
                </c:pt>
                <c:pt idx="2389">
                  <c:v>38916</c:v>
                </c:pt>
                <c:pt idx="2390">
                  <c:v>38917</c:v>
                </c:pt>
                <c:pt idx="2391">
                  <c:v>38918</c:v>
                </c:pt>
                <c:pt idx="2392">
                  <c:v>38919</c:v>
                </c:pt>
                <c:pt idx="2393">
                  <c:v>38920</c:v>
                </c:pt>
                <c:pt idx="2394">
                  <c:v>38921</c:v>
                </c:pt>
                <c:pt idx="2395">
                  <c:v>38922</c:v>
                </c:pt>
                <c:pt idx="2396">
                  <c:v>38923</c:v>
                </c:pt>
                <c:pt idx="2397">
                  <c:v>38924</c:v>
                </c:pt>
                <c:pt idx="2398">
                  <c:v>38925</c:v>
                </c:pt>
                <c:pt idx="2399">
                  <c:v>38926</c:v>
                </c:pt>
                <c:pt idx="2400">
                  <c:v>38927</c:v>
                </c:pt>
                <c:pt idx="2401">
                  <c:v>38928</c:v>
                </c:pt>
                <c:pt idx="2402">
                  <c:v>38929</c:v>
                </c:pt>
                <c:pt idx="2403">
                  <c:v>38930</c:v>
                </c:pt>
                <c:pt idx="2404">
                  <c:v>38931</c:v>
                </c:pt>
                <c:pt idx="2405">
                  <c:v>38932</c:v>
                </c:pt>
                <c:pt idx="2406">
                  <c:v>38933</c:v>
                </c:pt>
                <c:pt idx="2407">
                  <c:v>38934</c:v>
                </c:pt>
                <c:pt idx="2408">
                  <c:v>38935</c:v>
                </c:pt>
                <c:pt idx="2409">
                  <c:v>38936</c:v>
                </c:pt>
                <c:pt idx="2410">
                  <c:v>38937</c:v>
                </c:pt>
                <c:pt idx="2411">
                  <c:v>38938</c:v>
                </c:pt>
                <c:pt idx="2412">
                  <c:v>38939</c:v>
                </c:pt>
                <c:pt idx="2413">
                  <c:v>38940</c:v>
                </c:pt>
                <c:pt idx="2414">
                  <c:v>38941</c:v>
                </c:pt>
                <c:pt idx="2415">
                  <c:v>38942</c:v>
                </c:pt>
                <c:pt idx="2416">
                  <c:v>38943</c:v>
                </c:pt>
                <c:pt idx="2417">
                  <c:v>38944</c:v>
                </c:pt>
                <c:pt idx="2418">
                  <c:v>38945</c:v>
                </c:pt>
                <c:pt idx="2419">
                  <c:v>38946</c:v>
                </c:pt>
                <c:pt idx="2420">
                  <c:v>38947</c:v>
                </c:pt>
                <c:pt idx="2421">
                  <c:v>38948</c:v>
                </c:pt>
                <c:pt idx="2422">
                  <c:v>38949</c:v>
                </c:pt>
                <c:pt idx="2423">
                  <c:v>38950</c:v>
                </c:pt>
                <c:pt idx="2424">
                  <c:v>38951</c:v>
                </c:pt>
                <c:pt idx="2425">
                  <c:v>38952</c:v>
                </c:pt>
                <c:pt idx="2426">
                  <c:v>38953</c:v>
                </c:pt>
                <c:pt idx="2427">
                  <c:v>38954</c:v>
                </c:pt>
                <c:pt idx="2428">
                  <c:v>38955</c:v>
                </c:pt>
                <c:pt idx="2429">
                  <c:v>38956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38962</c:v>
                </c:pt>
                <c:pt idx="2436">
                  <c:v>38963</c:v>
                </c:pt>
                <c:pt idx="2437">
                  <c:v>38964</c:v>
                </c:pt>
                <c:pt idx="2438">
                  <c:v>38965</c:v>
                </c:pt>
                <c:pt idx="2439">
                  <c:v>38966</c:v>
                </c:pt>
                <c:pt idx="2440">
                  <c:v>38967</c:v>
                </c:pt>
                <c:pt idx="2441">
                  <c:v>38968</c:v>
                </c:pt>
                <c:pt idx="2442">
                  <c:v>38969</c:v>
                </c:pt>
                <c:pt idx="2443">
                  <c:v>38970</c:v>
                </c:pt>
                <c:pt idx="2444">
                  <c:v>38971</c:v>
                </c:pt>
                <c:pt idx="2445">
                  <c:v>38972</c:v>
                </c:pt>
                <c:pt idx="2446">
                  <c:v>38973</c:v>
                </c:pt>
                <c:pt idx="2447">
                  <c:v>38974</c:v>
                </c:pt>
                <c:pt idx="2448">
                  <c:v>38975</c:v>
                </c:pt>
                <c:pt idx="2449">
                  <c:v>38976</c:v>
                </c:pt>
                <c:pt idx="2450">
                  <c:v>38977</c:v>
                </c:pt>
                <c:pt idx="2451">
                  <c:v>38978</c:v>
                </c:pt>
                <c:pt idx="2452">
                  <c:v>38979</c:v>
                </c:pt>
                <c:pt idx="2453">
                  <c:v>38980</c:v>
                </c:pt>
                <c:pt idx="2454">
                  <c:v>38981</c:v>
                </c:pt>
                <c:pt idx="2455">
                  <c:v>38982</c:v>
                </c:pt>
                <c:pt idx="2456">
                  <c:v>38983</c:v>
                </c:pt>
                <c:pt idx="2457">
                  <c:v>38984</c:v>
                </c:pt>
                <c:pt idx="2458">
                  <c:v>38985</c:v>
                </c:pt>
                <c:pt idx="2459">
                  <c:v>38986</c:v>
                </c:pt>
                <c:pt idx="2460">
                  <c:v>38987</c:v>
                </c:pt>
                <c:pt idx="2461">
                  <c:v>38988</c:v>
                </c:pt>
                <c:pt idx="2462">
                  <c:v>38989</c:v>
                </c:pt>
                <c:pt idx="2463">
                  <c:v>38990</c:v>
                </c:pt>
                <c:pt idx="2464">
                  <c:v>38991</c:v>
                </c:pt>
                <c:pt idx="2465">
                  <c:v>38992</c:v>
                </c:pt>
                <c:pt idx="2466">
                  <c:v>38993</c:v>
                </c:pt>
                <c:pt idx="2467">
                  <c:v>38994</c:v>
                </c:pt>
                <c:pt idx="2468">
                  <c:v>38995</c:v>
                </c:pt>
                <c:pt idx="2469">
                  <c:v>38996</c:v>
                </c:pt>
                <c:pt idx="2470">
                  <c:v>38997</c:v>
                </c:pt>
                <c:pt idx="2471">
                  <c:v>38998</c:v>
                </c:pt>
                <c:pt idx="2472">
                  <c:v>38999</c:v>
                </c:pt>
                <c:pt idx="2473">
                  <c:v>39000</c:v>
                </c:pt>
                <c:pt idx="2474">
                  <c:v>39001</c:v>
                </c:pt>
                <c:pt idx="2475">
                  <c:v>39002</c:v>
                </c:pt>
                <c:pt idx="2476">
                  <c:v>39003</c:v>
                </c:pt>
                <c:pt idx="2477">
                  <c:v>39004</c:v>
                </c:pt>
                <c:pt idx="2478">
                  <c:v>39005</c:v>
                </c:pt>
                <c:pt idx="2479">
                  <c:v>39006</c:v>
                </c:pt>
                <c:pt idx="2480">
                  <c:v>39007</c:v>
                </c:pt>
                <c:pt idx="2481">
                  <c:v>39008</c:v>
                </c:pt>
                <c:pt idx="2482">
                  <c:v>39009</c:v>
                </c:pt>
                <c:pt idx="2483">
                  <c:v>39010</c:v>
                </c:pt>
                <c:pt idx="2484">
                  <c:v>39011</c:v>
                </c:pt>
                <c:pt idx="2485">
                  <c:v>39012</c:v>
                </c:pt>
                <c:pt idx="2486">
                  <c:v>39013</c:v>
                </c:pt>
                <c:pt idx="2487">
                  <c:v>39014</c:v>
                </c:pt>
                <c:pt idx="2488">
                  <c:v>39015</c:v>
                </c:pt>
                <c:pt idx="2489">
                  <c:v>39016</c:v>
                </c:pt>
                <c:pt idx="2490">
                  <c:v>39017</c:v>
                </c:pt>
                <c:pt idx="2491">
                  <c:v>39018</c:v>
                </c:pt>
                <c:pt idx="2492">
                  <c:v>39019</c:v>
                </c:pt>
                <c:pt idx="2493">
                  <c:v>39020</c:v>
                </c:pt>
                <c:pt idx="2494">
                  <c:v>39021</c:v>
                </c:pt>
                <c:pt idx="2495">
                  <c:v>39022</c:v>
                </c:pt>
                <c:pt idx="2496">
                  <c:v>39023</c:v>
                </c:pt>
                <c:pt idx="2497">
                  <c:v>39024</c:v>
                </c:pt>
                <c:pt idx="2498">
                  <c:v>39025</c:v>
                </c:pt>
                <c:pt idx="2499">
                  <c:v>39026</c:v>
                </c:pt>
                <c:pt idx="2500">
                  <c:v>39027</c:v>
                </c:pt>
                <c:pt idx="2501">
                  <c:v>39028</c:v>
                </c:pt>
                <c:pt idx="2502">
                  <c:v>39029</c:v>
                </c:pt>
                <c:pt idx="2503">
                  <c:v>39030</c:v>
                </c:pt>
                <c:pt idx="2504">
                  <c:v>39031</c:v>
                </c:pt>
                <c:pt idx="2505">
                  <c:v>39032</c:v>
                </c:pt>
                <c:pt idx="2506">
                  <c:v>39033</c:v>
                </c:pt>
                <c:pt idx="2507">
                  <c:v>39034</c:v>
                </c:pt>
                <c:pt idx="2508">
                  <c:v>39035</c:v>
                </c:pt>
                <c:pt idx="2509">
                  <c:v>39036</c:v>
                </c:pt>
                <c:pt idx="2510">
                  <c:v>39037</c:v>
                </c:pt>
                <c:pt idx="2511">
                  <c:v>39038</c:v>
                </c:pt>
                <c:pt idx="2512">
                  <c:v>39039</c:v>
                </c:pt>
                <c:pt idx="2513">
                  <c:v>39040</c:v>
                </c:pt>
                <c:pt idx="2514">
                  <c:v>39041</c:v>
                </c:pt>
                <c:pt idx="2515">
                  <c:v>39042</c:v>
                </c:pt>
                <c:pt idx="2516">
                  <c:v>39043</c:v>
                </c:pt>
                <c:pt idx="2517">
                  <c:v>39044</c:v>
                </c:pt>
                <c:pt idx="2518">
                  <c:v>39045</c:v>
                </c:pt>
                <c:pt idx="2519">
                  <c:v>39046</c:v>
                </c:pt>
                <c:pt idx="2520">
                  <c:v>39047</c:v>
                </c:pt>
                <c:pt idx="2521">
                  <c:v>39048</c:v>
                </c:pt>
                <c:pt idx="2522">
                  <c:v>39049</c:v>
                </c:pt>
                <c:pt idx="2523">
                  <c:v>39050</c:v>
                </c:pt>
                <c:pt idx="2524">
                  <c:v>39051</c:v>
                </c:pt>
                <c:pt idx="2525">
                  <c:v>39052</c:v>
                </c:pt>
                <c:pt idx="2526">
                  <c:v>39053</c:v>
                </c:pt>
                <c:pt idx="2527">
                  <c:v>39054</c:v>
                </c:pt>
                <c:pt idx="2528">
                  <c:v>39055</c:v>
                </c:pt>
                <c:pt idx="2529">
                  <c:v>39056</c:v>
                </c:pt>
                <c:pt idx="2530">
                  <c:v>39057</c:v>
                </c:pt>
                <c:pt idx="2531">
                  <c:v>39058</c:v>
                </c:pt>
                <c:pt idx="2532">
                  <c:v>39059</c:v>
                </c:pt>
                <c:pt idx="2533">
                  <c:v>39060</c:v>
                </c:pt>
                <c:pt idx="2534">
                  <c:v>39061</c:v>
                </c:pt>
                <c:pt idx="2535">
                  <c:v>39062</c:v>
                </c:pt>
                <c:pt idx="2536">
                  <c:v>39063</c:v>
                </c:pt>
                <c:pt idx="2537">
                  <c:v>39064</c:v>
                </c:pt>
                <c:pt idx="2538">
                  <c:v>39065</c:v>
                </c:pt>
                <c:pt idx="2539">
                  <c:v>39066</c:v>
                </c:pt>
                <c:pt idx="2540">
                  <c:v>39067</c:v>
                </c:pt>
                <c:pt idx="2541">
                  <c:v>39068</c:v>
                </c:pt>
                <c:pt idx="2542">
                  <c:v>39069</c:v>
                </c:pt>
                <c:pt idx="2543">
                  <c:v>39070</c:v>
                </c:pt>
                <c:pt idx="2544">
                  <c:v>39071</c:v>
                </c:pt>
                <c:pt idx="2545">
                  <c:v>39072</c:v>
                </c:pt>
                <c:pt idx="2546">
                  <c:v>39073</c:v>
                </c:pt>
                <c:pt idx="2547">
                  <c:v>39074</c:v>
                </c:pt>
                <c:pt idx="2548">
                  <c:v>39075</c:v>
                </c:pt>
                <c:pt idx="2549">
                  <c:v>39076</c:v>
                </c:pt>
                <c:pt idx="2550">
                  <c:v>39077</c:v>
                </c:pt>
                <c:pt idx="2551">
                  <c:v>39078</c:v>
                </c:pt>
                <c:pt idx="2552">
                  <c:v>39079</c:v>
                </c:pt>
                <c:pt idx="2553">
                  <c:v>39080</c:v>
                </c:pt>
                <c:pt idx="2554">
                  <c:v>39081</c:v>
                </c:pt>
                <c:pt idx="2555">
                  <c:v>39082</c:v>
                </c:pt>
                <c:pt idx="2556">
                  <c:v>39083</c:v>
                </c:pt>
                <c:pt idx="2557">
                  <c:v>39084</c:v>
                </c:pt>
                <c:pt idx="2558">
                  <c:v>39085</c:v>
                </c:pt>
                <c:pt idx="2559">
                  <c:v>39086</c:v>
                </c:pt>
                <c:pt idx="2560">
                  <c:v>39087</c:v>
                </c:pt>
                <c:pt idx="2561">
                  <c:v>39088</c:v>
                </c:pt>
                <c:pt idx="2562">
                  <c:v>39089</c:v>
                </c:pt>
                <c:pt idx="2563">
                  <c:v>39090</c:v>
                </c:pt>
                <c:pt idx="2564">
                  <c:v>39091</c:v>
                </c:pt>
                <c:pt idx="2565">
                  <c:v>39092</c:v>
                </c:pt>
                <c:pt idx="2566">
                  <c:v>39093</c:v>
                </c:pt>
                <c:pt idx="2567">
                  <c:v>39094</c:v>
                </c:pt>
                <c:pt idx="2568">
                  <c:v>39095</c:v>
                </c:pt>
                <c:pt idx="2569">
                  <c:v>39096</c:v>
                </c:pt>
                <c:pt idx="2570">
                  <c:v>39097</c:v>
                </c:pt>
                <c:pt idx="2571">
                  <c:v>39098</c:v>
                </c:pt>
                <c:pt idx="2572">
                  <c:v>39099</c:v>
                </c:pt>
                <c:pt idx="2573">
                  <c:v>39100</c:v>
                </c:pt>
                <c:pt idx="2574">
                  <c:v>39101</c:v>
                </c:pt>
                <c:pt idx="2575">
                  <c:v>39102</c:v>
                </c:pt>
                <c:pt idx="2576">
                  <c:v>39103</c:v>
                </c:pt>
                <c:pt idx="2577">
                  <c:v>39104</c:v>
                </c:pt>
                <c:pt idx="2578">
                  <c:v>39105</c:v>
                </c:pt>
                <c:pt idx="2579">
                  <c:v>39106</c:v>
                </c:pt>
                <c:pt idx="2580">
                  <c:v>39107</c:v>
                </c:pt>
                <c:pt idx="2581">
                  <c:v>39108</c:v>
                </c:pt>
                <c:pt idx="2582">
                  <c:v>39109</c:v>
                </c:pt>
                <c:pt idx="2583">
                  <c:v>39110</c:v>
                </c:pt>
                <c:pt idx="2584">
                  <c:v>39111</c:v>
                </c:pt>
                <c:pt idx="2585">
                  <c:v>39112</c:v>
                </c:pt>
                <c:pt idx="2586">
                  <c:v>39113</c:v>
                </c:pt>
                <c:pt idx="2587">
                  <c:v>39114</c:v>
                </c:pt>
                <c:pt idx="2588">
                  <c:v>39115</c:v>
                </c:pt>
                <c:pt idx="2589">
                  <c:v>39116</c:v>
                </c:pt>
                <c:pt idx="2590">
                  <c:v>39117</c:v>
                </c:pt>
                <c:pt idx="2591">
                  <c:v>39118</c:v>
                </c:pt>
                <c:pt idx="2592">
                  <c:v>39119</c:v>
                </c:pt>
                <c:pt idx="2593">
                  <c:v>39120</c:v>
                </c:pt>
                <c:pt idx="2594">
                  <c:v>39121</c:v>
                </c:pt>
                <c:pt idx="2595">
                  <c:v>39122</c:v>
                </c:pt>
                <c:pt idx="2596">
                  <c:v>39123</c:v>
                </c:pt>
                <c:pt idx="2597">
                  <c:v>39124</c:v>
                </c:pt>
                <c:pt idx="2598">
                  <c:v>39125</c:v>
                </c:pt>
                <c:pt idx="2599">
                  <c:v>39126</c:v>
                </c:pt>
                <c:pt idx="2600">
                  <c:v>39127</c:v>
                </c:pt>
                <c:pt idx="2601">
                  <c:v>39128</c:v>
                </c:pt>
                <c:pt idx="2602">
                  <c:v>39129</c:v>
                </c:pt>
                <c:pt idx="2603">
                  <c:v>39130</c:v>
                </c:pt>
                <c:pt idx="2604">
                  <c:v>39131</c:v>
                </c:pt>
                <c:pt idx="2605">
                  <c:v>39132</c:v>
                </c:pt>
                <c:pt idx="2606">
                  <c:v>39133</c:v>
                </c:pt>
                <c:pt idx="2607">
                  <c:v>39134</c:v>
                </c:pt>
                <c:pt idx="2608">
                  <c:v>39135</c:v>
                </c:pt>
                <c:pt idx="2609">
                  <c:v>39136</c:v>
                </c:pt>
                <c:pt idx="2610">
                  <c:v>39137</c:v>
                </c:pt>
                <c:pt idx="2611">
                  <c:v>39138</c:v>
                </c:pt>
                <c:pt idx="2612">
                  <c:v>39139</c:v>
                </c:pt>
                <c:pt idx="2613">
                  <c:v>39140</c:v>
                </c:pt>
                <c:pt idx="2614">
                  <c:v>39141</c:v>
                </c:pt>
                <c:pt idx="2615">
                  <c:v>39142</c:v>
                </c:pt>
                <c:pt idx="2616">
                  <c:v>39143</c:v>
                </c:pt>
                <c:pt idx="2617">
                  <c:v>39144</c:v>
                </c:pt>
                <c:pt idx="2618">
                  <c:v>39145</c:v>
                </c:pt>
                <c:pt idx="2619">
                  <c:v>39146</c:v>
                </c:pt>
                <c:pt idx="2620">
                  <c:v>39147</c:v>
                </c:pt>
                <c:pt idx="2621">
                  <c:v>39148</c:v>
                </c:pt>
                <c:pt idx="2622">
                  <c:v>39149</c:v>
                </c:pt>
                <c:pt idx="2623">
                  <c:v>39150</c:v>
                </c:pt>
                <c:pt idx="2624">
                  <c:v>39151</c:v>
                </c:pt>
                <c:pt idx="2625">
                  <c:v>39152</c:v>
                </c:pt>
                <c:pt idx="2626">
                  <c:v>39153</c:v>
                </c:pt>
                <c:pt idx="2627">
                  <c:v>39154</c:v>
                </c:pt>
                <c:pt idx="2628">
                  <c:v>39155</c:v>
                </c:pt>
                <c:pt idx="2629">
                  <c:v>39156</c:v>
                </c:pt>
                <c:pt idx="2630">
                  <c:v>39157</c:v>
                </c:pt>
                <c:pt idx="2631">
                  <c:v>39158</c:v>
                </c:pt>
                <c:pt idx="2632">
                  <c:v>39159</c:v>
                </c:pt>
                <c:pt idx="2633">
                  <c:v>39160</c:v>
                </c:pt>
                <c:pt idx="2634">
                  <c:v>39161</c:v>
                </c:pt>
                <c:pt idx="2635">
                  <c:v>39162</c:v>
                </c:pt>
                <c:pt idx="2636">
                  <c:v>39163</c:v>
                </c:pt>
                <c:pt idx="2637">
                  <c:v>39164</c:v>
                </c:pt>
                <c:pt idx="2638">
                  <c:v>39165</c:v>
                </c:pt>
                <c:pt idx="2639">
                  <c:v>39166</c:v>
                </c:pt>
                <c:pt idx="2640">
                  <c:v>39167</c:v>
                </c:pt>
                <c:pt idx="2641">
                  <c:v>39168</c:v>
                </c:pt>
                <c:pt idx="2642">
                  <c:v>39169</c:v>
                </c:pt>
                <c:pt idx="2643">
                  <c:v>39170</c:v>
                </c:pt>
                <c:pt idx="2644">
                  <c:v>39171</c:v>
                </c:pt>
                <c:pt idx="2645">
                  <c:v>39172</c:v>
                </c:pt>
                <c:pt idx="2646">
                  <c:v>39173</c:v>
                </c:pt>
                <c:pt idx="2647">
                  <c:v>39174</c:v>
                </c:pt>
                <c:pt idx="2648">
                  <c:v>39175</c:v>
                </c:pt>
                <c:pt idx="2649">
                  <c:v>39176</c:v>
                </c:pt>
                <c:pt idx="2650">
                  <c:v>39177</c:v>
                </c:pt>
                <c:pt idx="2651">
                  <c:v>39178</c:v>
                </c:pt>
                <c:pt idx="2652">
                  <c:v>39179</c:v>
                </c:pt>
                <c:pt idx="2653">
                  <c:v>39180</c:v>
                </c:pt>
                <c:pt idx="2654">
                  <c:v>39181</c:v>
                </c:pt>
                <c:pt idx="2655">
                  <c:v>39182</c:v>
                </c:pt>
                <c:pt idx="2656">
                  <c:v>39183</c:v>
                </c:pt>
                <c:pt idx="2657">
                  <c:v>39184</c:v>
                </c:pt>
                <c:pt idx="2658">
                  <c:v>39185</c:v>
                </c:pt>
                <c:pt idx="2659">
                  <c:v>39186</c:v>
                </c:pt>
                <c:pt idx="2660">
                  <c:v>39187</c:v>
                </c:pt>
                <c:pt idx="2661">
                  <c:v>39188</c:v>
                </c:pt>
                <c:pt idx="2662">
                  <c:v>39189</c:v>
                </c:pt>
                <c:pt idx="2663">
                  <c:v>39190</c:v>
                </c:pt>
                <c:pt idx="2664">
                  <c:v>39191</c:v>
                </c:pt>
                <c:pt idx="2665">
                  <c:v>39192</c:v>
                </c:pt>
                <c:pt idx="2666">
                  <c:v>39193</c:v>
                </c:pt>
                <c:pt idx="2667">
                  <c:v>39194</c:v>
                </c:pt>
                <c:pt idx="2668">
                  <c:v>39195</c:v>
                </c:pt>
                <c:pt idx="2669">
                  <c:v>39196</c:v>
                </c:pt>
                <c:pt idx="2670">
                  <c:v>39197</c:v>
                </c:pt>
                <c:pt idx="2671">
                  <c:v>39198</c:v>
                </c:pt>
                <c:pt idx="2672">
                  <c:v>39199</c:v>
                </c:pt>
                <c:pt idx="2673">
                  <c:v>39200</c:v>
                </c:pt>
                <c:pt idx="2674">
                  <c:v>39201</c:v>
                </c:pt>
                <c:pt idx="2675">
                  <c:v>39202</c:v>
                </c:pt>
                <c:pt idx="2676">
                  <c:v>39203</c:v>
                </c:pt>
                <c:pt idx="2677">
                  <c:v>39204</c:v>
                </c:pt>
                <c:pt idx="2678">
                  <c:v>39205</c:v>
                </c:pt>
                <c:pt idx="2679">
                  <c:v>39206</c:v>
                </c:pt>
                <c:pt idx="2680">
                  <c:v>39207</c:v>
                </c:pt>
                <c:pt idx="2681">
                  <c:v>39208</c:v>
                </c:pt>
                <c:pt idx="2682">
                  <c:v>39209</c:v>
                </c:pt>
                <c:pt idx="2683">
                  <c:v>39210</c:v>
                </c:pt>
                <c:pt idx="2684">
                  <c:v>39211</c:v>
                </c:pt>
                <c:pt idx="2685">
                  <c:v>39212</c:v>
                </c:pt>
                <c:pt idx="2686">
                  <c:v>39213</c:v>
                </c:pt>
                <c:pt idx="2687">
                  <c:v>39214</c:v>
                </c:pt>
                <c:pt idx="2688">
                  <c:v>39215</c:v>
                </c:pt>
                <c:pt idx="2689">
                  <c:v>39216</c:v>
                </c:pt>
                <c:pt idx="2690">
                  <c:v>39217</c:v>
                </c:pt>
                <c:pt idx="2691">
                  <c:v>39218</c:v>
                </c:pt>
                <c:pt idx="2692">
                  <c:v>39219</c:v>
                </c:pt>
                <c:pt idx="2693">
                  <c:v>39220</c:v>
                </c:pt>
                <c:pt idx="2694">
                  <c:v>39221</c:v>
                </c:pt>
                <c:pt idx="2695">
                  <c:v>39222</c:v>
                </c:pt>
                <c:pt idx="2696">
                  <c:v>39223</c:v>
                </c:pt>
                <c:pt idx="2697">
                  <c:v>39224</c:v>
                </c:pt>
                <c:pt idx="2698">
                  <c:v>39225</c:v>
                </c:pt>
                <c:pt idx="2699">
                  <c:v>39226</c:v>
                </c:pt>
                <c:pt idx="2700">
                  <c:v>39227</c:v>
                </c:pt>
                <c:pt idx="2701">
                  <c:v>39228</c:v>
                </c:pt>
                <c:pt idx="2702">
                  <c:v>39229</c:v>
                </c:pt>
                <c:pt idx="2703">
                  <c:v>39230</c:v>
                </c:pt>
                <c:pt idx="2704">
                  <c:v>39231</c:v>
                </c:pt>
                <c:pt idx="2705">
                  <c:v>39232</c:v>
                </c:pt>
                <c:pt idx="2706">
                  <c:v>39233</c:v>
                </c:pt>
                <c:pt idx="2707">
                  <c:v>39234</c:v>
                </c:pt>
                <c:pt idx="2708">
                  <c:v>39235</c:v>
                </c:pt>
                <c:pt idx="2709">
                  <c:v>39236</c:v>
                </c:pt>
                <c:pt idx="2710">
                  <c:v>39237</c:v>
                </c:pt>
                <c:pt idx="2711">
                  <c:v>39238</c:v>
                </c:pt>
                <c:pt idx="2712">
                  <c:v>39239</c:v>
                </c:pt>
                <c:pt idx="2713">
                  <c:v>39240</c:v>
                </c:pt>
                <c:pt idx="2714">
                  <c:v>39241</c:v>
                </c:pt>
                <c:pt idx="2715">
                  <c:v>39242</c:v>
                </c:pt>
                <c:pt idx="2716">
                  <c:v>39243</c:v>
                </c:pt>
                <c:pt idx="2717">
                  <c:v>39244</c:v>
                </c:pt>
                <c:pt idx="2718">
                  <c:v>39245</c:v>
                </c:pt>
                <c:pt idx="2719">
                  <c:v>39246</c:v>
                </c:pt>
                <c:pt idx="2720">
                  <c:v>39247</c:v>
                </c:pt>
                <c:pt idx="2721">
                  <c:v>39248</c:v>
                </c:pt>
                <c:pt idx="2722">
                  <c:v>39249</c:v>
                </c:pt>
                <c:pt idx="2723">
                  <c:v>39250</c:v>
                </c:pt>
                <c:pt idx="2724">
                  <c:v>39251</c:v>
                </c:pt>
                <c:pt idx="2725">
                  <c:v>39252</c:v>
                </c:pt>
                <c:pt idx="2726">
                  <c:v>39253</c:v>
                </c:pt>
                <c:pt idx="2727">
                  <c:v>39254</c:v>
                </c:pt>
                <c:pt idx="2728">
                  <c:v>39255</c:v>
                </c:pt>
                <c:pt idx="2729">
                  <c:v>39256</c:v>
                </c:pt>
                <c:pt idx="2730">
                  <c:v>39257</c:v>
                </c:pt>
                <c:pt idx="2731">
                  <c:v>39258</c:v>
                </c:pt>
                <c:pt idx="2732">
                  <c:v>39259</c:v>
                </c:pt>
                <c:pt idx="2733">
                  <c:v>39260</c:v>
                </c:pt>
                <c:pt idx="2734">
                  <c:v>39261</c:v>
                </c:pt>
                <c:pt idx="2735">
                  <c:v>39262</c:v>
                </c:pt>
                <c:pt idx="2736">
                  <c:v>39263</c:v>
                </c:pt>
                <c:pt idx="2737">
                  <c:v>39264</c:v>
                </c:pt>
                <c:pt idx="2738">
                  <c:v>39265</c:v>
                </c:pt>
                <c:pt idx="2739">
                  <c:v>39266</c:v>
                </c:pt>
                <c:pt idx="2740">
                  <c:v>39267</c:v>
                </c:pt>
                <c:pt idx="2741">
                  <c:v>39268</c:v>
                </c:pt>
                <c:pt idx="2742">
                  <c:v>39269</c:v>
                </c:pt>
                <c:pt idx="2743">
                  <c:v>39270</c:v>
                </c:pt>
                <c:pt idx="2744">
                  <c:v>39271</c:v>
                </c:pt>
                <c:pt idx="2745">
                  <c:v>39272</c:v>
                </c:pt>
                <c:pt idx="2746">
                  <c:v>39273</c:v>
                </c:pt>
                <c:pt idx="2747">
                  <c:v>39274</c:v>
                </c:pt>
                <c:pt idx="2748">
                  <c:v>39275</c:v>
                </c:pt>
                <c:pt idx="2749">
                  <c:v>39276</c:v>
                </c:pt>
                <c:pt idx="2750">
                  <c:v>39277</c:v>
                </c:pt>
                <c:pt idx="2751">
                  <c:v>39278</c:v>
                </c:pt>
                <c:pt idx="2752">
                  <c:v>39279</c:v>
                </c:pt>
                <c:pt idx="2753">
                  <c:v>39280</c:v>
                </c:pt>
                <c:pt idx="2754">
                  <c:v>39281</c:v>
                </c:pt>
                <c:pt idx="2755">
                  <c:v>39282</c:v>
                </c:pt>
                <c:pt idx="2756">
                  <c:v>39283</c:v>
                </c:pt>
                <c:pt idx="2757">
                  <c:v>39284</c:v>
                </c:pt>
                <c:pt idx="2758">
                  <c:v>39285</c:v>
                </c:pt>
                <c:pt idx="2759">
                  <c:v>39286</c:v>
                </c:pt>
                <c:pt idx="2760">
                  <c:v>39287</c:v>
                </c:pt>
                <c:pt idx="2761">
                  <c:v>39288</c:v>
                </c:pt>
                <c:pt idx="2762">
                  <c:v>39289</c:v>
                </c:pt>
                <c:pt idx="2763">
                  <c:v>39290</c:v>
                </c:pt>
                <c:pt idx="2764">
                  <c:v>39291</c:v>
                </c:pt>
                <c:pt idx="2765">
                  <c:v>39292</c:v>
                </c:pt>
                <c:pt idx="2766">
                  <c:v>39293</c:v>
                </c:pt>
                <c:pt idx="2767">
                  <c:v>39294</c:v>
                </c:pt>
                <c:pt idx="2768">
                  <c:v>39295</c:v>
                </c:pt>
                <c:pt idx="2769">
                  <c:v>39296</c:v>
                </c:pt>
                <c:pt idx="2770">
                  <c:v>39297</c:v>
                </c:pt>
                <c:pt idx="2771">
                  <c:v>39298</c:v>
                </c:pt>
                <c:pt idx="2772">
                  <c:v>39299</c:v>
                </c:pt>
                <c:pt idx="2773">
                  <c:v>39300</c:v>
                </c:pt>
                <c:pt idx="2774">
                  <c:v>39301</c:v>
                </c:pt>
                <c:pt idx="2775">
                  <c:v>39302</c:v>
                </c:pt>
                <c:pt idx="2776">
                  <c:v>39303</c:v>
                </c:pt>
                <c:pt idx="2777">
                  <c:v>39304</c:v>
                </c:pt>
                <c:pt idx="2778">
                  <c:v>39305</c:v>
                </c:pt>
                <c:pt idx="2779">
                  <c:v>39306</c:v>
                </c:pt>
                <c:pt idx="2780">
                  <c:v>39307</c:v>
                </c:pt>
                <c:pt idx="2781">
                  <c:v>39308</c:v>
                </c:pt>
                <c:pt idx="2782">
                  <c:v>39309</c:v>
                </c:pt>
                <c:pt idx="2783">
                  <c:v>39310</c:v>
                </c:pt>
                <c:pt idx="2784">
                  <c:v>39311</c:v>
                </c:pt>
                <c:pt idx="2785">
                  <c:v>39312</c:v>
                </c:pt>
                <c:pt idx="2786">
                  <c:v>39313</c:v>
                </c:pt>
                <c:pt idx="2787">
                  <c:v>39314</c:v>
                </c:pt>
                <c:pt idx="2788">
                  <c:v>39315</c:v>
                </c:pt>
                <c:pt idx="2789">
                  <c:v>39316</c:v>
                </c:pt>
                <c:pt idx="2790">
                  <c:v>39317</c:v>
                </c:pt>
                <c:pt idx="2791">
                  <c:v>39318</c:v>
                </c:pt>
                <c:pt idx="2792">
                  <c:v>39319</c:v>
                </c:pt>
                <c:pt idx="2793">
                  <c:v>39320</c:v>
                </c:pt>
                <c:pt idx="2794">
                  <c:v>39321</c:v>
                </c:pt>
                <c:pt idx="2795">
                  <c:v>39322</c:v>
                </c:pt>
                <c:pt idx="2796">
                  <c:v>39323</c:v>
                </c:pt>
                <c:pt idx="2797">
                  <c:v>39324</c:v>
                </c:pt>
                <c:pt idx="2798">
                  <c:v>39325</c:v>
                </c:pt>
                <c:pt idx="2799">
                  <c:v>39326</c:v>
                </c:pt>
                <c:pt idx="2800">
                  <c:v>39327</c:v>
                </c:pt>
                <c:pt idx="2801">
                  <c:v>39328</c:v>
                </c:pt>
                <c:pt idx="2802">
                  <c:v>39329</c:v>
                </c:pt>
                <c:pt idx="2803">
                  <c:v>39330</c:v>
                </c:pt>
                <c:pt idx="2804">
                  <c:v>39331</c:v>
                </c:pt>
                <c:pt idx="2805">
                  <c:v>39332</c:v>
                </c:pt>
                <c:pt idx="2806">
                  <c:v>39333</c:v>
                </c:pt>
                <c:pt idx="2807">
                  <c:v>39334</c:v>
                </c:pt>
                <c:pt idx="2808">
                  <c:v>39335</c:v>
                </c:pt>
                <c:pt idx="2809">
                  <c:v>39336</c:v>
                </c:pt>
                <c:pt idx="2810">
                  <c:v>39337</c:v>
                </c:pt>
                <c:pt idx="2811">
                  <c:v>39338</c:v>
                </c:pt>
                <c:pt idx="2812">
                  <c:v>39339</c:v>
                </c:pt>
                <c:pt idx="2813">
                  <c:v>39340</c:v>
                </c:pt>
                <c:pt idx="2814">
                  <c:v>39341</c:v>
                </c:pt>
                <c:pt idx="2815">
                  <c:v>39342</c:v>
                </c:pt>
                <c:pt idx="2816">
                  <c:v>39343</c:v>
                </c:pt>
                <c:pt idx="2817">
                  <c:v>39344</c:v>
                </c:pt>
                <c:pt idx="2818">
                  <c:v>39345</c:v>
                </c:pt>
                <c:pt idx="2819">
                  <c:v>39346</c:v>
                </c:pt>
                <c:pt idx="2820">
                  <c:v>39347</c:v>
                </c:pt>
                <c:pt idx="2821">
                  <c:v>39348</c:v>
                </c:pt>
                <c:pt idx="2822">
                  <c:v>39349</c:v>
                </c:pt>
                <c:pt idx="2823">
                  <c:v>39350</c:v>
                </c:pt>
                <c:pt idx="2824">
                  <c:v>39351</c:v>
                </c:pt>
                <c:pt idx="2825">
                  <c:v>39352</c:v>
                </c:pt>
                <c:pt idx="2826">
                  <c:v>39353</c:v>
                </c:pt>
                <c:pt idx="2827">
                  <c:v>39354</c:v>
                </c:pt>
                <c:pt idx="2828">
                  <c:v>39355</c:v>
                </c:pt>
                <c:pt idx="2829">
                  <c:v>39356</c:v>
                </c:pt>
                <c:pt idx="2830">
                  <c:v>39357</c:v>
                </c:pt>
                <c:pt idx="2831">
                  <c:v>39358</c:v>
                </c:pt>
                <c:pt idx="2832">
                  <c:v>39359</c:v>
                </c:pt>
                <c:pt idx="2833">
                  <c:v>39360</c:v>
                </c:pt>
                <c:pt idx="2834">
                  <c:v>39361</c:v>
                </c:pt>
                <c:pt idx="2835">
                  <c:v>39362</c:v>
                </c:pt>
                <c:pt idx="2836">
                  <c:v>39363</c:v>
                </c:pt>
                <c:pt idx="2837">
                  <c:v>39364</c:v>
                </c:pt>
                <c:pt idx="2838">
                  <c:v>39365</c:v>
                </c:pt>
                <c:pt idx="2839">
                  <c:v>39366</c:v>
                </c:pt>
                <c:pt idx="2840">
                  <c:v>39367</c:v>
                </c:pt>
                <c:pt idx="2841">
                  <c:v>39368</c:v>
                </c:pt>
                <c:pt idx="2842">
                  <c:v>39369</c:v>
                </c:pt>
                <c:pt idx="2843">
                  <c:v>39370</c:v>
                </c:pt>
                <c:pt idx="2844">
                  <c:v>39371</c:v>
                </c:pt>
                <c:pt idx="2845">
                  <c:v>39372</c:v>
                </c:pt>
                <c:pt idx="2846">
                  <c:v>39373</c:v>
                </c:pt>
                <c:pt idx="2847">
                  <c:v>39374</c:v>
                </c:pt>
                <c:pt idx="2848">
                  <c:v>39375</c:v>
                </c:pt>
                <c:pt idx="2849">
                  <c:v>39376</c:v>
                </c:pt>
                <c:pt idx="2850">
                  <c:v>39377</c:v>
                </c:pt>
                <c:pt idx="2851">
                  <c:v>39378</c:v>
                </c:pt>
                <c:pt idx="2852">
                  <c:v>39379</c:v>
                </c:pt>
                <c:pt idx="2853">
                  <c:v>39380</c:v>
                </c:pt>
                <c:pt idx="2854">
                  <c:v>39381</c:v>
                </c:pt>
                <c:pt idx="2855">
                  <c:v>39382</c:v>
                </c:pt>
                <c:pt idx="2856">
                  <c:v>39383</c:v>
                </c:pt>
                <c:pt idx="2857">
                  <c:v>39384</c:v>
                </c:pt>
                <c:pt idx="2858">
                  <c:v>39385</c:v>
                </c:pt>
                <c:pt idx="2859">
                  <c:v>39386</c:v>
                </c:pt>
                <c:pt idx="2860">
                  <c:v>39387</c:v>
                </c:pt>
                <c:pt idx="2861">
                  <c:v>39388</c:v>
                </c:pt>
                <c:pt idx="2862">
                  <c:v>39389</c:v>
                </c:pt>
                <c:pt idx="2863">
                  <c:v>39390</c:v>
                </c:pt>
                <c:pt idx="2864">
                  <c:v>39391</c:v>
                </c:pt>
                <c:pt idx="2865">
                  <c:v>39392</c:v>
                </c:pt>
                <c:pt idx="2866">
                  <c:v>39393</c:v>
                </c:pt>
                <c:pt idx="2867">
                  <c:v>39394</c:v>
                </c:pt>
                <c:pt idx="2868">
                  <c:v>39395</c:v>
                </c:pt>
                <c:pt idx="2869">
                  <c:v>39396</c:v>
                </c:pt>
                <c:pt idx="2870">
                  <c:v>39397</c:v>
                </c:pt>
                <c:pt idx="2871">
                  <c:v>39398</c:v>
                </c:pt>
                <c:pt idx="2872">
                  <c:v>39399</c:v>
                </c:pt>
                <c:pt idx="2873">
                  <c:v>39400</c:v>
                </c:pt>
                <c:pt idx="2874">
                  <c:v>39401</c:v>
                </c:pt>
                <c:pt idx="2875">
                  <c:v>39402</c:v>
                </c:pt>
                <c:pt idx="2876">
                  <c:v>39403</c:v>
                </c:pt>
                <c:pt idx="2877">
                  <c:v>39404</c:v>
                </c:pt>
                <c:pt idx="2878">
                  <c:v>39405</c:v>
                </c:pt>
                <c:pt idx="2879">
                  <c:v>39406</c:v>
                </c:pt>
                <c:pt idx="2880">
                  <c:v>39407</c:v>
                </c:pt>
                <c:pt idx="2881">
                  <c:v>39408</c:v>
                </c:pt>
                <c:pt idx="2882">
                  <c:v>39409</c:v>
                </c:pt>
                <c:pt idx="2883">
                  <c:v>39410</c:v>
                </c:pt>
                <c:pt idx="2884">
                  <c:v>39411</c:v>
                </c:pt>
                <c:pt idx="2885">
                  <c:v>39412</c:v>
                </c:pt>
                <c:pt idx="2886">
                  <c:v>39413</c:v>
                </c:pt>
                <c:pt idx="2887">
                  <c:v>39414</c:v>
                </c:pt>
                <c:pt idx="2888">
                  <c:v>39415</c:v>
                </c:pt>
                <c:pt idx="2889">
                  <c:v>39416</c:v>
                </c:pt>
                <c:pt idx="2890">
                  <c:v>39417</c:v>
                </c:pt>
                <c:pt idx="2891">
                  <c:v>39418</c:v>
                </c:pt>
                <c:pt idx="2892">
                  <c:v>39419</c:v>
                </c:pt>
                <c:pt idx="2893">
                  <c:v>39420</c:v>
                </c:pt>
                <c:pt idx="2894">
                  <c:v>39421</c:v>
                </c:pt>
                <c:pt idx="2895">
                  <c:v>39422</c:v>
                </c:pt>
                <c:pt idx="2896">
                  <c:v>39423</c:v>
                </c:pt>
                <c:pt idx="2897">
                  <c:v>39424</c:v>
                </c:pt>
                <c:pt idx="2898">
                  <c:v>39425</c:v>
                </c:pt>
                <c:pt idx="2899">
                  <c:v>39426</c:v>
                </c:pt>
                <c:pt idx="2900">
                  <c:v>39427</c:v>
                </c:pt>
                <c:pt idx="2901">
                  <c:v>39428</c:v>
                </c:pt>
                <c:pt idx="2902">
                  <c:v>39429</c:v>
                </c:pt>
                <c:pt idx="2903">
                  <c:v>39430</c:v>
                </c:pt>
                <c:pt idx="2904">
                  <c:v>39431</c:v>
                </c:pt>
                <c:pt idx="2905">
                  <c:v>39432</c:v>
                </c:pt>
                <c:pt idx="2906">
                  <c:v>39433</c:v>
                </c:pt>
                <c:pt idx="2907">
                  <c:v>39434</c:v>
                </c:pt>
                <c:pt idx="2908">
                  <c:v>39435</c:v>
                </c:pt>
                <c:pt idx="2909">
                  <c:v>39436</c:v>
                </c:pt>
                <c:pt idx="2910">
                  <c:v>39437</c:v>
                </c:pt>
                <c:pt idx="2911">
                  <c:v>39438</c:v>
                </c:pt>
                <c:pt idx="2912">
                  <c:v>39439</c:v>
                </c:pt>
                <c:pt idx="2913">
                  <c:v>39440</c:v>
                </c:pt>
                <c:pt idx="2914">
                  <c:v>39441</c:v>
                </c:pt>
                <c:pt idx="2915">
                  <c:v>39442</c:v>
                </c:pt>
                <c:pt idx="2916">
                  <c:v>39443</c:v>
                </c:pt>
                <c:pt idx="2917">
                  <c:v>39444</c:v>
                </c:pt>
                <c:pt idx="2918">
                  <c:v>39445</c:v>
                </c:pt>
                <c:pt idx="2919">
                  <c:v>39446</c:v>
                </c:pt>
                <c:pt idx="2920">
                  <c:v>39447</c:v>
                </c:pt>
                <c:pt idx="2921">
                  <c:v>39448</c:v>
                </c:pt>
                <c:pt idx="2922">
                  <c:v>39449</c:v>
                </c:pt>
                <c:pt idx="2923">
                  <c:v>39450</c:v>
                </c:pt>
                <c:pt idx="2924">
                  <c:v>39451</c:v>
                </c:pt>
                <c:pt idx="2925">
                  <c:v>39452</c:v>
                </c:pt>
                <c:pt idx="2926">
                  <c:v>39453</c:v>
                </c:pt>
                <c:pt idx="2927">
                  <c:v>39454</c:v>
                </c:pt>
                <c:pt idx="2928">
                  <c:v>39455</c:v>
                </c:pt>
                <c:pt idx="2929">
                  <c:v>39456</c:v>
                </c:pt>
                <c:pt idx="2930">
                  <c:v>39457</c:v>
                </c:pt>
                <c:pt idx="2931">
                  <c:v>39458</c:v>
                </c:pt>
                <c:pt idx="2932">
                  <c:v>39459</c:v>
                </c:pt>
                <c:pt idx="2933">
                  <c:v>39460</c:v>
                </c:pt>
                <c:pt idx="2934">
                  <c:v>39461</c:v>
                </c:pt>
                <c:pt idx="2935">
                  <c:v>39462</c:v>
                </c:pt>
                <c:pt idx="2936">
                  <c:v>39463</c:v>
                </c:pt>
                <c:pt idx="2937">
                  <c:v>39464</c:v>
                </c:pt>
                <c:pt idx="2938">
                  <c:v>39465</c:v>
                </c:pt>
                <c:pt idx="2939">
                  <c:v>39466</c:v>
                </c:pt>
                <c:pt idx="2940">
                  <c:v>39467</c:v>
                </c:pt>
                <c:pt idx="2941">
                  <c:v>39468</c:v>
                </c:pt>
                <c:pt idx="2942">
                  <c:v>39469</c:v>
                </c:pt>
                <c:pt idx="2943">
                  <c:v>39470</c:v>
                </c:pt>
                <c:pt idx="2944">
                  <c:v>39471</c:v>
                </c:pt>
                <c:pt idx="2945">
                  <c:v>39472</c:v>
                </c:pt>
                <c:pt idx="2946">
                  <c:v>39473</c:v>
                </c:pt>
                <c:pt idx="2947">
                  <c:v>39474</c:v>
                </c:pt>
                <c:pt idx="2948">
                  <c:v>39475</c:v>
                </c:pt>
                <c:pt idx="2949">
                  <c:v>39476</c:v>
                </c:pt>
                <c:pt idx="2950">
                  <c:v>39477</c:v>
                </c:pt>
                <c:pt idx="2951">
                  <c:v>39478</c:v>
                </c:pt>
                <c:pt idx="2952">
                  <c:v>39479</c:v>
                </c:pt>
                <c:pt idx="2953">
                  <c:v>39480</c:v>
                </c:pt>
                <c:pt idx="2954">
                  <c:v>39481</c:v>
                </c:pt>
                <c:pt idx="2955">
                  <c:v>39482</c:v>
                </c:pt>
                <c:pt idx="2956">
                  <c:v>39483</c:v>
                </c:pt>
                <c:pt idx="2957">
                  <c:v>39484</c:v>
                </c:pt>
                <c:pt idx="2958">
                  <c:v>39485</c:v>
                </c:pt>
                <c:pt idx="2959">
                  <c:v>39486</c:v>
                </c:pt>
                <c:pt idx="2960">
                  <c:v>39487</c:v>
                </c:pt>
                <c:pt idx="2961">
                  <c:v>39488</c:v>
                </c:pt>
                <c:pt idx="2962">
                  <c:v>39489</c:v>
                </c:pt>
                <c:pt idx="2963">
                  <c:v>39490</c:v>
                </c:pt>
                <c:pt idx="2964">
                  <c:v>39491</c:v>
                </c:pt>
                <c:pt idx="2965">
                  <c:v>39492</c:v>
                </c:pt>
                <c:pt idx="2966">
                  <c:v>39493</c:v>
                </c:pt>
                <c:pt idx="2967">
                  <c:v>39494</c:v>
                </c:pt>
                <c:pt idx="2968">
                  <c:v>39495</c:v>
                </c:pt>
                <c:pt idx="2969">
                  <c:v>39496</c:v>
                </c:pt>
                <c:pt idx="2970">
                  <c:v>39497</c:v>
                </c:pt>
                <c:pt idx="2971">
                  <c:v>39498</c:v>
                </c:pt>
                <c:pt idx="2972">
                  <c:v>39499</c:v>
                </c:pt>
                <c:pt idx="2973">
                  <c:v>39500</c:v>
                </c:pt>
                <c:pt idx="2974">
                  <c:v>39501</c:v>
                </c:pt>
                <c:pt idx="2975">
                  <c:v>39502</c:v>
                </c:pt>
                <c:pt idx="2976">
                  <c:v>39503</c:v>
                </c:pt>
                <c:pt idx="2977">
                  <c:v>39504</c:v>
                </c:pt>
                <c:pt idx="2978">
                  <c:v>39505</c:v>
                </c:pt>
                <c:pt idx="2979">
                  <c:v>39506</c:v>
                </c:pt>
                <c:pt idx="2980">
                  <c:v>39507</c:v>
                </c:pt>
                <c:pt idx="2981">
                  <c:v>39508</c:v>
                </c:pt>
                <c:pt idx="2982">
                  <c:v>39509</c:v>
                </c:pt>
                <c:pt idx="2983">
                  <c:v>39510</c:v>
                </c:pt>
                <c:pt idx="2984">
                  <c:v>39511</c:v>
                </c:pt>
                <c:pt idx="2985">
                  <c:v>39512</c:v>
                </c:pt>
                <c:pt idx="2986">
                  <c:v>39513</c:v>
                </c:pt>
                <c:pt idx="2987">
                  <c:v>39514</c:v>
                </c:pt>
                <c:pt idx="2988">
                  <c:v>39515</c:v>
                </c:pt>
                <c:pt idx="2989">
                  <c:v>39516</c:v>
                </c:pt>
                <c:pt idx="2990">
                  <c:v>39517</c:v>
                </c:pt>
                <c:pt idx="2991">
                  <c:v>39518</c:v>
                </c:pt>
                <c:pt idx="2992">
                  <c:v>39519</c:v>
                </c:pt>
                <c:pt idx="2993">
                  <c:v>39520</c:v>
                </c:pt>
                <c:pt idx="2994">
                  <c:v>39521</c:v>
                </c:pt>
                <c:pt idx="2995">
                  <c:v>39522</c:v>
                </c:pt>
                <c:pt idx="2996">
                  <c:v>39523</c:v>
                </c:pt>
                <c:pt idx="2997">
                  <c:v>39524</c:v>
                </c:pt>
                <c:pt idx="2998">
                  <c:v>39525</c:v>
                </c:pt>
                <c:pt idx="2999">
                  <c:v>39526</c:v>
                </c:pt>
                <c:pt idx="3000">
                  <c:v>39527</c:v>
                </c:pt>
                <c:pt idx="3001">
                  <c:v>39528</c:v>
                </c:pt>
                <c:pt idx="3002">
                  <c:v>39529</c:v>
                </c:pt>
                <c:pt idx="3003">
                  <c:v>39530</c:v>
                </c:pt>
                <c:pt idx="3004">
                  <c:v>39531</c:v>
                </c:pt>
                <c:pt idx="3005">
                  <c:v>39532</c:v>
                </c:pt>
                <c:pt idx="3006">
                  <c:v>39533</c:v>
                </c:pt>
                <c:pt idx="3007">
                  <c:v>39534</c:v>
                </c:pt>
                <c:pt idx="3008">
                  <c:v>39535</c:v>
                </c:pt>
                <c:pt idx="3009">
                  <c:v>39536</c:v>
                </c:pt>
                <c:pt idx="3010">
                  <c:v>39537</c:v>
                </c:pt>
                <c:pt idx="3011">
                  <c:v>39538</c:v>
                </c:pt>
                <c:pt idx="3012">
                  <c:v>39539</c:v>
                </c:pt>
                <c:pt idx="3013">
                  <c:v>39540</c:v>
                </c:pt>
                <c:pt idx="3014">
                  <c:v>39541</c:v>
                </c:pt>
                <c:pt idx="3015">
                  <c:v>39542</c:v>
                </c:pt>
                <c:pt idx="3016">
                  <c:v>39543</c:v>
                </c:pt>
                <c:pt idx="3017">
                  <c:v>39544</c:v>
                </c:pt>
                <c:pt idx="3018">
                  <c:v>39545</c:v>
                </c:pt>
                <c:pt idx="3019">
                  <c:v>39546</c:v>
                </c:pt>
                <c:pt idx="3020">
                  <c:v>39547</c:v>
                </c:pt>
                <c:pt idx="3021">
                  <c:v>39548</c:v>
                </c:pt>
                <c:pt idx="3022">
                  <c:v>39549</c:v>
                </c:pt>
                <c:pt idx="3023">
                  <c:v>39550</c:v>
                </c:pt>
                <c:pt idx="3024">
                  <c:v>39551</c:v>
                </c:pt>
                <c:pt idx="3025">
                  <c:v>39552</c:v>
                </c:pt>
                <c:pt idx="3026">
                  <c:v>39553</c:v>
                </c:pt>
                <c:pt idx="3027">
                  <c:v>39554</c:v>
                </c:pt>
                <c:pt idx="3028">
                  <c:v>39555</c:v>
                </c:pt>
                <c:pt idx="3029">
                  <c:v>39556</c:v>
                </c:pt>
                <c:pt idx="3030">
                  <c:v>39557</c:v>
                </c:pt>
                <c:pt idx="3031">
                  <c:v>39558</c:v>
                </c:pt>
                <c:pt idx="3032">
                  <c:v>39559</c:v>
                </c:pt>
                <c:pt idx="3033">
                  <c:v>39560</c:v>
                </c:pt>
                <c:pt idx="3034">
                  <c:v>39561</c:v>
                </c:pt>
                <c:pt idx="3035">
                  <c:v>39562</c:v>
                </c:pt>
                <c:pt idx="3036">
                  <c:v>39563</c:v>
                </c:pt>
                <c:pt idx="3037">
                  <c:v>39564</c:v>
                </c:pt>
                <c:pt idx="3038">
                  <c:v>39565</c:v>
                </c:pt>
                <c:pt idx="3039">
                  <c:v>39566</c:v>
                </c:pt>
                <c:pt idx="3040">
                  <c:v>39567</c:v>
                </c:pt>
                <c:pt idx="3041">
                  <c:v>39568</c:v>
                </c:pt>
                <c:pt idx="3042">
                  <c:v>39569</c:v>
                </c:pt>
                <c:pt idx="3043">
                  <c:v>39570</c:v>
                </c:pt>
                <c:pt idx="3044">
                  <c:v>39571</c:v>
                </c:pt>
                <c:pt idx="3045">
                  <c:v>39572</c:v>
                </c:pt>
                <c:pt idx="3046">
                  <c:v>39573</c:v>
                </c:pt>
                <c:pt idx="3047">
                  <c:v>39574</c:v>
                </c:pt>
                <c:pt idx="3048">
                  <c:v>39575</c:v>
                </c:pt>
                <c:pt idx="3049">
                  <c:v>39576</c:v>
                </c:pt>
                <c:pt idx="3050">
                  <c:v>39577</c:v>
                </c:pt>
                <c:pt idx="3051">
                  <c:v>39578</c:v>
                </c:pt>
                <c:pt idx="3052">
                  <c:v>39579</c:v>
                </c:pt>
                <c:pt idx="3053">
                  <c:v>39580</c:v>
                </c:pt>
                <c:pt idx="3054">
                  <c:v>39581</c:v>
                </c:pt>
                <c:pt idx="3055">
                  <c:v>39582</c:v>
                </c:pt>
                <c:pt idx="3056">
                  <c:v>39583</c:v>
                </c:pt>
                <c:pt idx="3057">
                  <c:v>39584</c:v>
                </c:pt>
                <c:pt idx="3058">
                  <c:v>39585</c:v>
                </c:pt>
                <c:pt idx="3059">
                  <c:v>39586</c:v>
                </c:pt>
                <c:pt idx="3060">
                  <c:v>39587</c:v>
                </c:pt>
                <c:pt idx="3061">
                  <c:v>39588</c:v>
                </c:pt>
                <c:pt idx="3062">
                  <c:v>39589</c:v>
                </c:pt>
                <c:pt idx="3063">
                  <c:v>39590</c:v>
                </c:pt>
                <c:pt idx="3064">
                  <c:v>39591</c:v>
                </c:pt>
                <c:pt idx="3065">
                  <c:v>39592</c:v>
                </c:pt>
                <c:pt idx="3066">
                  <c:v>39593</c:v>
                </c:pt>
                <c:pt idx="3067">
                  <c:v>39594</c:v>
                </c:pt>
                <c:pt idx="3068">
                  <c:v>39595</c:v>
                </c:pt>
                <c:pt idx="3069">
                  <c:v>39596</c:v>
                </c:pt>
                <c:pt idx="3070">
                  <c:v>39597</c:v>
                </c:pt>
                <c:pt idx="3071">
                  <c:v>39598</c:v>
                </c:pt>
                <c:pt idx="3072">
                  <c:v>39599</c:v>
                </c:pt>
                <c:pt idx="3073">
                  <c:v>39600</c:v>
                </c:pt>
                <c:pt idx="3074">
                  <c:v>39601</c:v>
                </c:pt>
                <c:pt idx="3075">
                  <c:v>39602</c:v>
                </c:pt>
                <c:pt idx="3076">
                  <c:v>39603</c:v>
                </c:pt>
                <c:pt idx="3077">
                  <c:v>39604</c:v>
                </c:pt>
                <c:pt idx="3078">
                  <c:v>39605</c:v>
                </c:pt>
                <c:pt idx="3079">
                  <c:v>39606</c:v>
                </c:pt>
                <c:pt idx="3080">
                  <c:v>39607</c:v>
                </c:pt>
                <c:pt idx="3081">
                  <c:v>39608</c:v>
                </c:pt>
                <c:pt idx="3082">
                  <c:v>39609</c:v>
                </c:pt>
                <c:pt idx="3083">
                  <c:v>39610</c:v>
                </c:pt>
                <c:pt idx="3084">
                  <c:v>39611</c:v>
                </c:pt>
                <c:pt idx="3085">
                  <c:v>39612</c:v>
                </c:pt>
                <c:pt idx="3086">
                  <c:v>39613</c:v>
                </c:pt>
                <c:pt idx="3087">
                  <c:v>39614</c:v>
                </c:pt>
                <c:pt idx="3088">
                  <c:v>39615</c:v>
                </c:pt>
                <c:pt idx="3089">
                  <c:v>39616</c:v>
                </c:pt>
                <c:pt idx="3090">
                  <c:v>39617</c:v>
                </c:pt>
                <c:pt idx="3091">
                  <c:v>39618</c:v>
                </c:pt>
                <c:pt idx="3092">
                  <c:v>39619</c:v>
                </c:pt>
                <c:pt idx="3093">
                  <c:v>39620</c:v>
                </c:pt>
                <c:pt idx="3094">
                  <c:v>39621</c:v>
                </c:pt>
                <c:pt idx="3095">
                  <c:v>39622</c:v>
                </c:pt>
                <c:pt idx="3096">
                  <c:v>39623</c:v>
                </c:pt>
                <c:pt idx="3097">
                  <c:v>39624</c:v>
                </c:pt>
                <c:pt idx="3098">
                  <c:v>39625</c:v>
                </c:pt>
                <c:pt idx="3099">
                  <c:v>39626</c:v>
                </c:pt>
                <c:pt idx="3100">
                  <c:v>39627</c:v>
                </c:pt>
                <c:pt idx="3101">
                  <c:v>39628</c:v>
                </c:pt>
                <c:pt idx="3102">
                  <c:v>39629</c:v>
                </c:pt>
                <c:pt idx="3103">
                  <c:v>39630</c:v>
                </c:pt>
                <c:pt idx="3104">
                  <c:v>39631</c:v>
                </c:pt>
                <c:pt idx="3105">
                  <c:v>39632</c:v>
                </c:pt>
                <c:pt idx="3106">
                  <c:v>39633</c:v>
                </c:pt>
                <c:pt idx="3107">
                  <c:v>39634</c:v>
                </c:pt>
                <c:pt idx="3108">
                  <c:v>39635</c:v>
                </c:pt>
                <c:pt idx="3109">
                  <c:v>39636</c:v>
                </c:pt>
                <c:pt idx="3110">
                  <c:v>39637</c:v>
                </c:pt>
                <c:pt idx="3111">
                  <c:v>39638</c:v>
                </c:pt>
                <c:pt idx="3112">
                  <c:v>39639</c:v>
                </c:pt>
                <c:pt idx="3113">
                  <c:v>39640</c:v>
                </c:pt>
                <c:pt idx="3114">
                  <c:v>39641</c:v>
                </c:pt>
                <c:pt idx="3115">
                  <c:v>39642</c:v>
                </c:pt>
                <c:pt idx="3116">
                  <c:v>39643</c:v>
                </c:pt>
                <c:pt idx="3117">
                  <c:v>39644</c:v>
                </c:pt>
                <c:pt idx="3118">
                  <c:v>39645</c:v>
                </c:pt>
                <c:pt idx="3119">
                  <c:v>39646</c:v>
                </c:pt>
                <c:pt idx="3120">
                  <c:v>39647</c:v>
                </c:pt>
                <c:pt idx="3121">
                  <c:v>39648</c:v>
                </c:pt>
                <c:pt idx="3122">
                  <c:v>39649</c:v>
                </c:pt>
                <c:pt idx="3123">
                  <c:v>39650</c:v>
                </c:pt>
                <c:pt idx="3124">
                  <c:v>39651</c:v>
                </c:pt>
                <c:pt idx="3125">
                  <c:v>39652</c:v>
                </c:pt>
                <c:pt idx="3126">
                  <c:v>39653</c:v>
                </c:pt>
                <c:pt idx="3127">
                  <c:v>39654</c:v>
                </c:pt>
                <c:pt idx="3128">
                  <c:v>39655</c:v>
                </c:pt>
                <c:pt idx="3129">
                  <c:v>39656</c:v>
                </c:pt>
                <c:pt idx="3130">
                  <c:v>39657</c:v>
                </c:pt>
                <c:pt idx="3131">
                  <c:v>39658</c:v>
                </c:pt>
                <c:pt idx="3132">
                  <c:v>39659</c:v>
                </c:pt>
                <c:pt idx="3133">
                  <c:v>39660</c:v>
                </c:pt>
                <c:pt idx="3134">
                  <c:v>39661</c:v>
                </c:pt>
                <c:pt idx="3135">
                  <c:v>39662</c:v>
                </c:pt>
                <c:pt idx="3136">
                  <c:v>39663</c:v>
                </c:pt>
                <c:pt idx="3137">
                  <c:v>39664</c:v>
                </c:pt>
                <c:pt idx="3138">
                  <c:v>39665</c:v>
                </c:pt>
                <c:pt idx="3139">
                  <c:v>39666</c:v>
                </c:pt>
                <c:pt idx="3140">
                  <c:v>39667</c:v>
                </c:pt>
                <c:pt idx="3141">
                  <c:v>39668</c:v>
                </c:pt>
                <c:pt idx="3142">
                  <c:v>39669</c:v>
                </c:pt>
                <c:pt idx="3143">
                  <c:v>39670</c:v>
                </c:pt>
                <c:pt idx="3144">
                  <c:v>39671</c:v>
                </c:pt>
                <c:pt idx="3145">
                  <c:v>39672</c:v>
                </c:pt>
                <c:pt idx="3146">
                  <c:v>39673</c:v>
                </c:pt>
                <c:pt idx="3147">
                  <c:v>39674</c:v>
                </c:pt>
                <c:pt idx="3148">
                  <c:v>39675</c:v>
                </c:pt>
                <c:pt idx="3149">
                  <c:v>39676</c:v>
                </c:pt>
                <c:pt idx="3150">
                  <c:v>39677</c:v>
                </c:pt>
                <c:pt idx="3151">
                  <c:v>39678</c:v>
                </c:pt>
                <c:pt idx="3152">
                  <c:v>39679</c:v>
                </c:pt>
                <c:pt idx="3153">
                  <c:v>39680</c:v>
                </c:pt>
                <c:pt idx="3154">
                  <c:v>39681</c:v>
                </c:pt>
                <c:pt idx="3155">
                  <c:v>39682</c:v>
                </c:pt>
                <c:pt idx="3156">
                  <c:v>39683</c:v>
                </c:pt>
                <c:pt idx="3157">
                  <c:v>39684</c:v>
                </c:pt>
                <c:pt idx="3158">
                  <c:v>39685</c:v>
                </c:pt>
                <c:pt idx="3159">
                  <c:v>39686</c:v>
                </c:pt>
                <c:pt idx="3160">
                  <c:v>39687</c:v>
                </c:pt>
                <c:pt idx="3161">
                  <c:v>39688</c:v>
                </c:pt>
                <c:pt idx="3162">
                  <c:v>39689</c:v>
                </c:pt>
                <c:pt idx="3163">
                  <c:v>39690</c:v>
                </c:pt>
                <c:pt idx="3164">
                  <c:v>39691</c:v>
                </c:pt>
                <c:pt idx="3165">
                  <c:v>39692</c:v>
                </c:pt>
                <c:pt idx="3166">
                  <c:v>39693</c:v>
                </c:pt>
                <c:pt idx="3167">
                  <c:v>39694</c:v>
                </c:pt>
                <c:pt idx="3168">
                  <c:v>39695</c:v>
                </c:pt>
                <c:pt idx="3169">
                  <c:v>39696</c:v>
                </c:pt>
                <c:pt idx="3170">
                  <c:v>39697</c:v>
                </c:pt>
                <c:pt idx="3171">
                  <c:v>39698</c:v>
                </c:pt>
                <c:pt idx="3172">
                  <c:v>39699</c:v>
                </c:pt>
                <c:pt idx="3173">
                  <c:v>39700</c:v>
                </c:pt>
                <c:pt idx="3174">
                  <c:v>39701</c:v>
                </c:pt>
                <c:pt idx="3175">
                  <c:v>39702</c:v>
                </c:pt>
                <c:pt idx="3176">
                  <c:v>39703</c:v>
                </c:pt>
                <c:pt idx="3177">
                  <c:v>39704</c:v>
                </c:pt>
                <c:pt idx="3178">
                  <c:v>39705</c:v>
                </c:pt>
                <c:pt idx="3179">
                  <c:v>39706</c:v>
                </c:pt>
                <c:pt idx="3180">
                  <c:v>39707</c:v>
                </c:pt>
                <c:pt idx="3181">
                  <c:v>39708</c:v>
                </c:pt>
                <c:pt idx="3182">
                  <c:v>39709</c:v>
                </c:pt>
                <c:pt idx="3183">
                  <c:v>39710</c:v>
                </c:pt>
                <c:pt idx="3184">
                  <c:v>39711</c:v>
                </c:pt>
                <c:pt idx="3185">
                  <c:v>39712</c:v>
                </c:pt>
                <c:pt idx="3186">
                  <c:v>39713</c:v>
                </c:pt>
                <c:pt idx="3187">
                  <c:v>39714</c:v>
                </c:pt>
                <c:pt idx="3188">
                  <c:v>39715</c:v>
                </c:pt>
                <c:pt idx="3189">
                  <c:v>39716</c:v>
                </c:pt>
                <c:pt idx="3190">
                  <c:v>39717</c:v>
                </c:pt>
                <c:pt idx="3191">
                  <c:v>39718</c:v>
                </c:pt>
                <c:pt idx="3192">
                  <c:v>39719</c:v>
                </c:pt>
                <c:pt idx="3193">
                  <c:v>39720</c:v>
                </c:pt>
                <c:pt idx="3194">
                  <c:v>39721</c:v>
                </c:pt>
                <c:pt idx="3195">
                  <c:v>39722</c:v>
                </c:pt>
                <c:pt idx="3196">
                  <c:v>39723</c:v>
                </c:pt>
                <c:pt idx="3197">
                  <c:v>39724</c:v>
                </c:pt>
                <c:pt idx="3198">
                  <c:v>39725</c:v>
                </c:pt>
                <c:pt idx="3199">
                  <c:v>39726</c:v>
                </c:pt>
                <c:pt idx="3200">
                  <c:v>39727</c:v>
                </c:pt>
                <c:pt idx="3201">
                  <c:v>39728</c:v>
                </c:pt>
                <c:pt idx="3202">
                  <c:v>39729</c:v>
                </c:pt>
                <c:pt idx="3203">
                  <c:v>39730</c:v>
                </c:pt>
                <c:pt idx="3204">
                  <c:v>39731</c:v>
                </c:pt>
                <c:pt idx="3205">
                  <c:v>39732</c:v>
                </c:pt>
                <c:pt idx="3206">
                  <c:v>39733</c:v>
                </c:pt>
                <c:pt idx="3207">
                  <c:v>39734</c:v>
                </c:pt>
                <c:pt idx="3208">
                  <c:v>39735</c:v>
                </c:pt>
                <c:pt idx="3209">
                  <c:v>39736</c:v>
                </c:pt>
                <c:pt idx="3210">
                  <c:v>39737</c:v>
                </c:pt>
                <c:pt idx="3211">
                  <c:v>39738</c:v>
                </c:pt>
                <c:pt idx="3212">
                  <c:v>39739</c:v>
                </c:pt>
                <c:pt idx="3213">
                  <c:v>39740</c:v>
                </c:pt>
                <c:pt idx="3214">
                  <c:v>39741</c:v>
                </c:pt>
                <c:pt idx="3215">
                  <c:v>39742</c:v>
                </c:pt>
                <c:pt idx="3216">
                  <c:v>39743</c:v>
                </c:pt>
                <c:pt idx="3217">
                  <c:v>39744</c:v>
                </c:pt>
                <c:pt idx="3218">
                  <c:v>39745</c:v>
                </c:pt>
                <c:pt idx="3219">
                  <c:v>39746</c:v>
                </c:pt>
                <c:pt idx="3220">
                  <c:v>39747</c:v>
                </c:pt>
                <c:pt idx="3221">
                  <c:v>39748</c:v>
                </c:pt>
                <c:pt idx="3222">
                  <c:v>39749</c:v>
                </c:pt>
                <c:pt idx="3223">
                  <c:v>39750</c:v>
                </c:pt>
                <c:pt idx="3224">
                  <c:v>39751</c:v>
                </c:pt>
                <c:pt idx="3225">
                  <c:v>39752</c:v>
                </c:pt>
                <c:pt idx="3226">
                  <c:v>39753</c:v>
                </c:pt>
                <c:pt idx="3227">
                  <c:v>39754</c:v>
                </c:pt>
                <c:pt idx="3228">
                  <c:v>39755</c:v>
                </c:pt>
                <c:pt idx="3229">
                  <c:v>39756</c:v>
                </c:pt>
                <c:pt idx="3230">
                  <c:v>39757</c:v>
                </c:pt>
                <c:pt idx="3231">
                  <c:v>39758</c:v>
                </c:pt>
                <c:pt idx="3232">
                  <c:v>39759</c:v>
                </c:pt>
                <c:pt idx="3233">
                  <c:v>39760</c:v>
                </c:pt>
                <c:pt idx="3234">
                  <c:v>39761</c:v>
                </c:pt>
                <c:pt idx="3235">
                  <c:v>39762</c:v>
                </c:pt>
                <c:pt idx="3236">
                  <c:v>39763</c:v>
                </c:pt>
                <c:pt idx="3237">
                  <c:v>39764</c:v>
                </c:pt>
                <c:pt idx="3238">
                  <c:v>39765</c:v>
                </c:pt>
                <c:pt idx="3239">
                  <c:v>39766</c:v>
                </c:pt>
                <c:pt idx="3240">
                  <c:v>39767</c:v>
                </c:pt>
                <c:pt idx="3241">
                  <c:v>39768</c:v>
                </c:pt>
                <c:pt idx="3242">
                  <c:v>39769</c:v>
                </c:pt>
                <c:pt idx="3243">
                  <c:v>39770</c:v>
                </c:pt>
                <c:pt idx="3244">
                  <c:v>39771</c:v>
                </c:pt>
                <c:pt idx="3245">
                  <c:v>39772</c:v>
                </c:pt>
                <c:pt idx="3246">
                  <c:v>39773</c:v>
                </c:pt>
                <c:pt idx="3247">
                  <c:v>39774</c:v>
                </c:pt>
                <c:pt idx="3248">
                  <c:v>39775</c:v>
                </c:pt>
                <c:pt idx="3249">
                  <c:v>39776</c:v>
                </c:pt>
                <c:pt idx="3250">
                  <c:v>39777</c:v>
                </c:pt>
                <c:pt idx="3251">
                  <c:v>39778</c:v>
                </c:pt>
                <c:pt idx="3252">
                  <c:v>39779</c:v>
                </c:pt>
                <c:pt idx="3253">
                  <c:v>39780</c:v>
                </c:pt>
                <c:pt idx="3254">
                  <c:v>39781</c:v>
                </c:pt>
                <c:pt idx="3255">
                  <c:v>39782</c:v>
                </c:pt>
                <c:pt idx="3256">
                  <c:v>39783</c:v>
                </c:pt>
                <c:pt idx="3257">
                  <c:v>39784</c:v>
                </c:pt>
                <c:pt idx="3258">
                  <c:v>39785</c:v>
                </c:pt>
                <c:pt idx="3259">
                  <c:v>39786</c:v>
                </c:pt>
                <c:pt idx="3260">
                  <c:v>39787</c:v>
                </c:pt>
                <c:pt idx="3261">
                  <c:v>39788</c:v>
                </c:pt>
                <c:pt idx="3262">
                  <c:v>39789</c:v>
                </c:pt>
                <c:pt idx="3263">
                  <c:v>39790</c:v>
                </c:pt>
                <c:pt idx="3264">
                  <c:v>39791</c:v>
                </c:pt>
                <c:pt idx="3265">
                  <c:v>39792</c:v>
                </c:pt>
                <c:pt idx="3266">
                  <c:v>39793</c:v>
                </c:pt>
                <c:pt idx="3267">
                  <c:v>39794</c:v>
                </c:pt>
                <c:pt idx="3268">
                  <c:v>39795</c:v>
                </c:pt>
                <c:pt idx="3269">
                  <c:v>39796</c:v>
                </c:pt>
                <c:pt idx="3270">
                  <c:v>39797</c:v>
                </c:pt>
                <c:pt idx="3271">
                  <c:v>39798</c:v>
                </c:pt>
                <c:pt idx="3272">
                  <c:v>39799</c:v>
                </c:pt>
                <c:pt idx="3273">
                  <c:v>39800</c:v>
                </c:pt>
                <c:pt idx="3274">
                  <c:v>39801</c:v>
                </c:pt>
                <c:pt idx="3275">
                  <c:v>39802</c:v>
                </c:pt>
                <c:pt idx="3276">
                  <c:v>39803</c:v>
                </c:pt>
                <c:pt idx="3277">
                  <c:v>39804</c:v>
                </c:pt>
                <c:pt idx="3278">
                  <c:v>39805</c:v>
                </c:pt>
                <c:pt idx="3279">
                  <c:v>39806</c:v>
                </c:pt>
                <c:pt idx="3280">
                  <c:v>39807</c:v>
                </c:pt>
                <c:pt idx="3281">
                  <c:v>39808</c:v>
                </c:pt>
                <c:pt idx="3282">
                  <c:v>39809</c:v>
                </c:pt>
                <c:pt idx="3283">
                  <c:v>39810</c:v>
                </c:pt>
                <c:pt idx="3284">
                  <c:v>39811</c:v>
                </c:pt>
                <c:pt idx="3285">
                  <c:v>39812</c:v>
                </c:pt>
                <c:pt idx="3286">
                  <c:v>39813</c:v>
                </c:pt>
                <c:pt idx="3287">
                  <c:v>39814</c:v>
                </c:pt>
                <c:pt idx="3288">
                  <c:v>39815</c:v>
                </c:pt>
                <c:pt idx="3289">
                  <c:v>39816</c:v>
                </c:pt>
                <c:pt idx="3290">
                  <c:v>39817</c:v>
                </c:pt>
                <c:pt idx="3291">
                  <c:v>39818</c:v>
                </c:pt>
                <c:pt idx="3292">
                  <c:v>39819</c:v>
                </c:pt>
                <c:pt idx="3293">
                  <c:v>39820</c:v>
                </c:pt>
                <c:pt idx="3294">
                  <c:v>39821</c:v>
                </c:pt>
                <c:pt idx="3295">
                  <c:v>39822</c:v>
                </c:pt>
                <c:pt idx="3296">
                  <c:v>39823</c:v>
                </c:pt>
                <c:pt idx="3297">
                  <c:v>39824</c:v>
                </c:pt>
                <c:pt idx="3298">
                  <c:v>39825</c:v>
                </c:pt>
                <c:pt idx="3299">
                  <c:v>39826</c:v>
                </c:pt>
                <c:pt idx="3300">
                  <c:v>39827</c:v>
                </c:pt>
                <c:pt idx="3301">
                  <c:v>39828</c:v>
                </c:pt>
                <c:pt idx="3302">
                  <c:v>39829</c:v>
                </c:pt>
                <c:pt idx="3303">
                  <c:v>39830</c:v>
                </c:pt>
                <c:pt idx="3304">
                  <c:v>39831</c:v>
                </c:pt>
                <c:pt idx="3305">
                  <c:v>39832</c:v>
                </c:pt>
                <c:pt idx="3306">
                  <c:v>39833</c:v>
                </c:pt>
                <c:pt idx="3307">
                  <c:v>39834</c:v>
                </c:pt>
                <c:pt idx="3308">
                  <c:v>39835</c:v>
                </c:pt>
                <c:pt idx="3309">
                  <c:v>39836</c:v>
                </c:pt>
                <c:pt idx="3310">
                  <c:v>39837</c:v>
                </c:pt>
                <c:pt idx="3311">
                  <c:v>39838</c:v>
                </c:pt>
                <c:pt idx="3312">
                  <c:v>39839</c:v>
                </c:pt>
                <c:pt idx="3313">
                  <c:v>39840</c:v>
                </c:pt>
                <c:pt idx="3314">
                  <c:v>39841</c:v>
                </c:pt>
                <c:pt idx="3315">
                  <c:v>39842</c:v>
                </c:pt>
                <c:pt idx="3316">
                  <c:v>39843</c:v>
                </c:pt>
                <c:pt idx="3317">
                  <c:v>39844</c:v>
                </c:pt>
                <c:pt idx="3318">
                  <c:v>39845</c:v>
                </c:pt>
                <c:pt idx="3319">
                  <c:v>39846</c:v>
                </c:pt>
                <c:pt idx="3320">
                  <c:v>39847</c:v>
                </c:pt>
                <c:pt idx="3321">
                  <c:v>39848</c:v>
                </c:pt>
                <c:pt idx="3322">
                  <c:v>39849</c:v>
                </c:pt>
                <c:pt idx="3323">
                  <c:v>39850</c:v>
                </c:pt>
                <c:pt idx="3324">
                  <c:v>39851</c:v>
                </c:pt>
                <c:pt idx="3325">
                  <c:v>39852</c:v>
                </c:pt>
                <c:pt idx="3326">
                  <c:v>39853</c:v>
                </c:pt>
                <c:pt idx="3327">
                  <c:v>39854</c:v>
                </c:pt>
                <c:pt idx="3328">
                  <c:v>39855</c:v>
                </c:pt>
                <c:pt idx="3329">
                  <c:v>39856</c:v>
                </c:pt>
                <c:pt idx="3330">
                  <c:v>39857</c:v>
                </c:pt>
                <c:pt idx="3331">
                  <c:v>39858</c:v>
                </c:pt>
                <c:pt idx="3332">
                  <c:v>39859</c:v>
                </c:pt>
                <c:pt idx="3333">
                  <c:v>39860</c:v>
                </c:pt>
                <c:pt idx="3334">
                  <c:v>39861</c:v>
                </c:pt>
                <c:pt idx="3335">
                  <c:v>39862</c:v>
                </c:pt>
                <c:pt idx="3336">
                  <c:v>39863</c:v>
                </c:pt>
                <c:pt idx="3337">
                  <c:v>39864</c:v>
                </c:pt>
                <c:pt idx="3338">
                  <c:v>39865</c:v>
                </c:pt>
                <c:pt idx="3339">
                  <c:v>39866</c:v>
                </c:pt>
                <c:pt idx="3340">
                  <c:v>39867</c:v>
                </c:pt>
                <c:pt idx="3341">
                  <c:v>39868</c:v>
                </c:pt>
                <c:pt idx="3342">
                  <c:v>39869</c:v>
                </c:pt>
                <c:pt idx="3343">
                  <c:v>39870</c:v>
                </c:pt>
                <c:pt idx="3344">
                  <c:v>39871</c:v>
                </c:pt>
                <c:pt idx="3345">
                  <c:v>39872</c:v>
                </c:pt>
                <c:pt idx="3346">
                  <c:v>39873</c:v>
                </c:pt>
                <c:pt idx="3347">
                  <c:v>39874</c:v>
                </c:pt>
                <c:pt idx="3348">
                  <c:v>39875</c:v>
                </c:pt>
                <c:pt idx="3349">
                  <c:v>39876</c:v>
                </c:pt>
                <c:pt idx="3350">
                  <c:v>39877</c:v>
                </c:pt>
                <c:pt idx="3351">
                  <c:v>39878</c:v>
                </c:pt>
                <c:pt idx="3352">
                  <c:v>39879</c:v>
                </c:pt>
                <c:pt idx="3353">
                  <c:v>39880</c:v>
                </c:pt>
                <c:pt idx="3354">
                  <c:v>39881</c:v>
                </c:pt>
                <c:pt idx="3355">
                  <c:v>39882</c:v>
                </c:pt>
                <c:pt idx="3356">
                  <c:v>39883</c:v>
                </c:pt>
                <c:pt idx="3357">
                  <c:v>39884</c:v>
                </c:pt>
                <c:pt idx="3358">
                  <c:v>39885</c:v>
                </c:pt>
                <c:pt idx="3359">
                  <c:v>39886</c:v>
                </c:pt>
                <c:pt idx="3360">
                  <c:v>39887</c:v>
                </c:pt>
                <c:pt idx="3361">
                  <c:v>39888</c:v>
                </c:pt>
                <c:pt idx="3362">
                  <c:v>39889</c:v>
                </c:pt>
                <c:pt idx="3363">
                  <c:v>39890</c:v>
                </c:pt>
                <c:pt idx="3364">
                  <c:v>39891</c:v>
                </c:pt>
                <c:pt idx="3365">
                  <c:v>39892</c:v>
                </c:pt>
                <c:pt idx="3366">
                  <c:v>39893</c:v>
                </c:pt>
                <c:pt idx="3367">
                  <c:v>39894</c:v>
                </c:pt>
                <c:pt idx="3368">
                  <c:v>39895</c:v>
                </c:pt>
                <c:pt idx="3369">
                  <c:v>39896</c:v>
                </c:pt>
                <c:pt idx="3370">
                  <c:v>39897</c:v>
                </c:pt>
                <c:pt idx="3371">
                  <c:v>39898</c:v>
                </c:pt>
                <c:pt idx="3372">
                  <c:v>39899</c:v>
                </c:pt>
                <c:pt idx="3373">
                  <c:v>39900</c:v>
                </c:pt>
                <c:pt idx="3374">
                  <c:v>39901</c:v>
                </c:pt>
                <c:pt idx="3375">
                  <c:v>39902</c:v>
                </c:pt>
                <c:pt idx="3376">
                  <c:v>39903</c:v>
                </c:pt>
                <c:pt idx="3377">
                  <c:v>39904</c:v>
                </c:pt>
                <c:pt idx="3378">
                  <c:v>39905</c:v>
                </c:pt>
                <c:pt idx="3379">
                  <c:v>39906</c:v>
                </c:pt>
                <c:pt idx="3380">
                  <c:v>39907</c:v>
                </c:pt>
                <c:pt idx="3381">
                  <c:v>39908</c:v>
                </c:pt>
                <c:pt idx="3382">
                  <c:v>39909</c:v>
                </c:pt>
                <c:pt idx="3383">
                  <c:v>39910</c:v>
                </c:pt>
                <c:pt idx="3384">
                  <c:v>39911</c:v>
                </c:pt>
                <c:pt idx="3385">
                  <c:v>39912</c:v>
                </c:pt>
                <c:pt idx="3386">
                  <c:v>39913</c:v>
                </c:pt>
                <c:pt idx="3387">
                  <c:v>39914</c:v>
                </c:pt>
                <c:pt idx="3388">
                  <c:v>39915</c:v>
                </c:pt>
                <c:pt idx="3389">
                  <c:v>39916</c:v>
                </c:pt>
                <c:pt idx="3390">
                  <c:v>39917</c:v>
                </c:pt>
                <c:pt idx="3391">
                  <c:v>39918</c:v>
                </c:pt>
                <c:pt idx="3392">
                  <c:v>39919</c:v>
                </c:pt>
                <c:pt idx="3393">
                  <c:v>39920</c:v>
                </c:pt>
                <c:pt idx="3394">
                  <c:v>39921</c:v>
                </c:pt>
                <c:pt idx="3395">
                  <c:v>39922</c:v>
                </c:pt>
                <c:pt idx="3396">
                  <c:v>39923</c:v>
                </c:pt>
                <c:pt idx="3397">
                  <c:v>39924</c:v>
                </c:pt>
                <c:pt idx="3398">
                  <c:v>39925</c:v>
                </c:pt>
                <c:pt idx="3399">
                  <c:v>39926</c:v>
                </c:pt>
                <c:pt idx="3400">
                  <c:v>39927</c:v>
                </c:pt>
                <c:pt idx="3401">
                  <c:v>39928</c:v>
                </c:pt>
                <c:pt idx="3402">
                  <c:v>39929</c:v>
                </c:pt>
                <c:pt idx="3403">
                  <c:v>39930</c:v>
                </c:pt>
                <c:pt idx="3404">
                  <c:v>39931</c:v>
                </c:pt>
                <c:pt idx="3405">
                  <c:v>39932</c:v>
                </c:pt>
                <c:pt idx="3406">
                  <c:v>39933</c:v>
                </c:pt>
                <c:pt idx="3407">
                  <c:v>39934</c:v>
                </c:pt>
                <c:pt idx="3408">
                  <c:v>39935</c:v>
                </c:pt>
                <c:pt idx="3409">
                  <c:v>39936</c:v>
                </c:pt>
                <c:pt idx="3410">
                  <c:v>39937</c:v>
                </c:pt>
                <c:pt idx="3411">
                  <c:v>39938</c:v>
                </c:pt>
                <c:pt idx="3412">
                  <c:v>39939</c:v>
                </c:pt>
                <c:pt idx="3413">
                  <c:v>39940</c:v>
                </c:pt>
                <c:pt idx="3414">
                  <c:v>39941</c:v>
                </c:pt>
                <c:pt idx="3415">
                  <c:v>39942</c:v>
                </c:pt>
                <c:pt idx="3416">
                  <c:v>39943</c:v>
                </c:pt>
                <c:pt idx="3417">
                  <c:v>39944</c:v>
                </c:pt>
                <c:pt idx="3418">
                  <c:v>39945</c:v>
                </c:pt>
                <c:pt idx="3419">
                  <c:v>39946</c:v>
                </c:pt>
                <c:pt idx="3420">
                  <c:v>39947</c:v>
                </c:pt>
                <c:pt idx="3421">
                  <c:v>39948</c:v>
                </c:pt>
                <c:pt idx="3422">
                  <c:v>39949</c:v>
                </c:pt>
                <c:pt idx="3423">
                  <c:v>39950</c:v>
                </c:pt>
                <c:pt idx="3424">
                  <c:v>39951</c:v>
                </c:pt>
                <c:pt idx="3425">
                  <c:v>39952</c:v>
                </c:pt>
                <c:pt idx="3426">
                  <c:v>39953</c:v>
                </c:pt>
                <c:pt idx="3427">
                  <c:v>39954</c:v>
                </c:pt>
                <c:pt idx="3428">
                  <c:v>39955</c:v>
                </c:pt>
                <c:pt idx="3429">
                  <c:v>39956</c:v>
                </c:pt>
                <c:pt idx="3430">
                  <c:v>39957</c:v>
                </c:pt>
                <c:pt idx="3431">
                  <c:v>39958</c:v>
                </c:pt>
                <c:pt idx="3432">
                  <c:v>39959</c:v>
                </c:pt>
                <c:pt idx="3433">
                  <c:v>39960</c:v>
                </c:pt>
                <c:pt idx="3434">
                  <c:v>39961</c:v>
                </c:pt>
                <c:pt idx="3435">
                  <c:v>39962</c:v>
                </c:pt>
                <c:pt idx="3436">
                  <c:v>39963</c:v>
                </c:pt>
                <c:pt idx="3437">
                  <c:v>39964</c:v>
                </c:pt>
                <c:pt idx="3438">
                  <c:v>39965</c:v>
                </c:pt>
                <c:pt idx="3439">
                  <c:v>39966</c:v>
                </c:pt>
                <c:pt idx="3440">
                  <c:v>39967</c:v>
                </c:pt>
                <c:pt idx="3441">
                  <c:v>39968</c:v>
                </c:pt>
                <c:pt idx="3442">
                  <c:v>39969</c:v>
                </c:pt>
                <c:pt idx="3443">
                  <c:v>39970</c:v>
                </c:pt>
                <c:pt idx="3444">
                  <c:v>39971</c:v>
                </c:pt>
                <c:pt idx="3445">
                  <c:v>39972</c:v>
                </c:pt>
                <c:pt idx="3446">
                  <c:v>39973</c:v>
                </c:pt>
                <c:pt idx="3447">
                  <c:v>39974</c:v>
                </c:pt>
                <c:pt idx="3448">
                  <c:v>39975</c:v>
                </c:pt>
                <c:pt idx="3449">
                  <c:v>39976</c:v>
                </c:pt>
                <c:pt idx="3450">
                  <c:v>39977</c:v>
                </c:pt>
                <c:pt idx="3451">
                  <c:v>39978</c:v>
                </c:pt>
                <c:pt idx="3452">
                  <c:v>39979</c:v>
                </c:pt>
                <c:pt idx="3453">
                  <c:v>39980</c:v>
                </c:pt>
                <c:pt idx="3454">
                  <c:v>39981</c:v>
                </c:pt>
                <c:pt idx="3455">
                  <c:v>39982</c:v>
                </c:pt>
                <c:pt idx="3456">
                  <c:v>39983</c:v>
                </c:pt>
                <c:pt idx="3457">
                  <c:v>39984</c:v>
                </c:pt>
                <c:pt idx="3458">
                  <c:v>39985</c:v>
                </c:pt>
                <c:pt idx="3459">
                  <c:v>39986</c:v>
                </c:pt>
                <c:pt idx="3460">
                  <c:v>39987</c:v>
                </c:pt>
                <c:pt idx="3461">
                  <c:v>39988</c:v>
                </c:pt>
                <c:pt idx="3462">
                  <c:v>39989</c:v>
                </c:pt>
                <c:pt idx="3463">
                  <c:v>39990</c:v>
                </c:pt>
                <c:pt idx="3464">
                  <c:v>39991</c:v>
                </c:pt>
                <c:pt idx="3465">
                  <c:v>39992</c:v>
                </c:pt>
                <c:pt idx="3466">
                  <c:v>39993</c:v>
                </c:pt>
                <c:pt idx="3467">
                  <c:v>39994</c:v>
                </c:pt>
                <c:pt idx="3468">
                  <c:v>39995</c:v>
                </c:pt>
                <c:pt idx="3469">
                  <c:v>39996</c:v>
                </c:pt>
                <c:pt idx="3470">
                  <c:v>39997</c:v>
                </c:pt>
                <c:pt idx="3471">
                  <c:v>39998</c:v>
                </c:pt>
                <c:pt idx="3472">
                  <c:v>39999</c:v>
                </c:pt>
                <c:pt idx="3473">
                  <c:v>40000</c:v>
                </c:pt>
                <c:pt idx="3474">
                  <c:v>40001</c:v>
                </c:pt>
                <c:pt idx="3475">
                  <c:v>40002</c:v>
                </c:pt>
                <c:pt idx="3476">
                  <c:v>40003</c:v>
                </c:pt>
                <c:pt idx="3477">
                  <c:v>40004</c:v>
                </c:pt>
                <c:pt idx="3478">
                  <c:v>40005</c:v>
                </c:pt>
                <c:pt idx="3479">
                  <c:v>40006</c:v>
                </c:pt>
                <c:pt idx="3480">
                  <c:v>40007</c:v>
                </c:pt>
                <c:pt idx="3481">
                  <c:v>40008</c:v>
                </c:pt>
                <c:pt idx="3482">
                  <c:v>40009</c:v>
                </c:pt>
                <c:pt idx="3483">
                  <c:v>40010</c:v>
                </c:pt>
                <c:pt idx="3484">
                  <c:v>40011</c:v>
                </c:pt>
                <c:pt idx="3485">
                  <c:v>40012</c:v>
                </c:pt>
                <c:pt idx="3486">
                  <c:v>40013</c:v>
                </c:pt>
                <c:pt idx="3487">
                  <c:v>40014</c:v>
                </c:pt>
                <c:pt idx="3488">
                  <c:v>40015</c:v>
                </c:pt>
                <c:pt idx="3489">
                  <c:v>40016</c:v>
                </c:pt>
                <c:pt idx="3490">
                  <c:v>40017</c:v>
                </c:pt>
                <c:pt idx="3491">
                  <c:v>40018</c:v>
                </c:pt>
                <c:pt idx="3492">
                  <c:v>40019</c:v>
                </c:pt>
                <c:pt idx="3493">
                  <c:v>40020</c:v>
                </c:pt>
                <c:pt idx="3494">
                  <c:v>40021</c:v>
                </c:pt>
                <c:pt idx="3495">
                  <c:v>40022</c:v>
                </c:pt>
                <c:pt idx="3496">
                  <c:v>40023</c:v>
                </c:pt>
                <c:pt idx="3497">
                  <c:v>40024</c:v>
                </c:pt>
                <c:pt idx="3498">
                  <c:v>40025</c:v>
                </c:pt>
                <c:pt idx="3499">
                  <c:v>40026</c:v>
                </c:pt>
                <c:pt idx="3500">
                  <c:v>40027</c:v>
                </c:pt>
                <c:pt idx="3501">
                  <c:v>40028</c:v>
                </c:pt>
                <c:pt idx="3502">
                  <c:v>40029</c:v>
                </c:pt>
                <c:pt idx="3503">
                  <c:v>40030</c:v>
                </c:pt>
                <c:pt idx="3504">
                  <c:v>40031</c:v>
                </c:pt>
                <c:pt idx="3505">
                  <c:v>40032</c:v>
                </c:pt>
                <c:pt idx="3506">
                  <c:v>40033</c:v>
                </c:pt>
                <c:pt idx="3507">
                  <c:v>40034</c:v>
                </c:pt>
                <c:pt idx="3508">
                  <c:v>40035</c:v>
                </c:pt>
                <c:pt idx="3509">
                  <c:v>40036</c:v>
                </c:pt>
                <c:pt idx="3510">
                  <c:v>40037</c:v>
                </c:pt>
                <c:pt idx="3511">
                  <c:v>40038</c:v>
                </c:pt>
                <c:pt idx="3512">
                  <c:v>40039</c:v>
                </c:pt>
                <c:pt idx="3513">
                  <c:v>40040</c:v>
                </c:pt>
                <c:pt idx="3514">
                  <c:v>40041</c:v>
                </c:pt>
                <c:pt idx="3515">
                  <c:v>40042</c:v>
                </c:pt>
                <c:pt idx="3516">
                  <c:v>40043</c:v>
                </c:pt>
                <c:pt idx="3517">
                  <c:v>40044</c:v>
                </c:pt>
                <c:pt idx="3518">
                  <c:v>40045</c:v>
                </c:pt>
                <c:pt idx="3519">
                  <c:v>40046</c:v>
                </c:pt>
                <c:pt idx="3520">
                  <c:v>40047</c:v>
                </c:pt>
                <c:pt idx="3521">
                  <c:v>40048</c:v>
                </c:pt>
                <c:pt idx="3522">
                  <c:v>40049</c:v>
                </c:pt>
                <c:pt idx="3523">
                  <c:v>40050</c:v>
                </c:pt>
                <c:pt idx="3524">
                  <c:v>40051</c:v>
                </c:pt>
                <c:pt idx="3525">
                  <c:v>40052</c:v>
                </c:pt>
                <c:pt idx="3526">
                  <c:v>40053</c:v>
                </c:pt>
                <c:pt idx="3527">
                  <c:v>40054</c:v>
                </c:pt>
                <c:pt idx="3528">
                  <c:v>40055</c:v>
                </c:pt>
                <c:pt idx="3529">
                  <c:v>40056</c:v>
                </c:pt>
                <c:pt idx="3530">
                  <c:v>40057</c:v>
                </c:pt>
                <c:pt idx="3531">
                  <c:v>40058</c:v>
                </c:pt>
                <c:pt idx="3532">
                  <c:v>40059</c:v>
                </c:pt>
                <c:pt idx="3533">
                  <c:v>40060</c:v>
                </c:pt>
                <c:pt idx="3534">
                  <c:v>40061</c:v>
                </c:pt>
                <c:pt idx="3535">
                  <c:v>40062</c:v>
                </c:pt>
                <c:pt idx="3536">
                  <c:v>40063</c:v>
                </c:pt>
                <c:pt idx="3537">
                  <c:v>40064</c:v>
                </c:pt>
                <c:pt idx="3538">
                  <c:v>40065</c:v>
                </c:pt>
                <c:pt idx="3539">
                  <c:v>40066</c:v>
                </c:pt>
                <c:pt idx="3540">
                  <c:v>40067</c:v>
                </c:pt>
                <c:pt idx="3541">
                  <c:v>40068</c:v>
                </c:pt>
                <c:pt idx="3542">
                  <c:v>40069</c:v>
                </c:pt>
                <c:pt idx="3543">
                  <c:v>40070</c:v>
                </c:pt>
                <c:pt idx="3544">
                  <c:v>40071</c:v>
                </c:pt>
                <c:pt idx="3545">
                  <c:v>40072</c:v>
                </c:pt>
                <c:pt idx="3546">
                  <c:v>40073</c:v>
                </c:pt>
                <c:pt idx="3547">
                  <c:v>40074</c:v>
                </c:pt>
                <c:pt idx="3548">
                  <c:v>40075</c:v>
                </c:pt>
                <c:pt idx="3549">
                  <c:v>40076</c:v>
                </c:pt>
                <c:pt idx="3550">
                  <c:v>40077</c:v>
                </c:pt>
                <c:pt idx="3551">
                  <c:v>40078</c:v>
                </c:pt>
                <c:pt idx="3552">
                  <c:v>40079</c:v>
                </c:pt>
                <c:pt idx="3553">
                  <c:v>40080</c:v>
                </c:pt>
                <c:pt idx="3554">
                  <c:v>40081</c:v>
                </c:pt>
                <c:pt idx="3555">
                  <c:v>40082</c:v>
                </c:pt>
                <c:pt idx="3556">
                  <c:v>40083</c:v>
                </c:pt>
                <c:pt idx="3557">
                  <c:v>40084</c:v>
                </c:pt>
                <c:pt idx="3558">
                  <c:v>40085</c:v>
                </c:pt>
                <c:pt idx="3559">
                  <c:v>40086</c:v>
                </c:pt>
                <c:pt idx="3560">
                  <c:v>40087</c:v>
                </c:pt>
                <c:pt idx="3561">
                  <c:v>40088</c:v>
                </c:pt>
                <c:pt idx="3562">
                  <c:v>40089</c:v>
                </c:pt>
                <c:pt idx="3563">
                  <c:v>40090</c:v>
                </c:pt>
                <c:pt idx="3564">
                  <c:v>40091</c:v>
                </c:pt>
                <c:pt idx="3565">
                  <c:v>40092</c:v>
                </c:pt>
                <c:pt idx="3566">
                  <c:v>40093</c:v>
                </c:pt>
                <c:pt idx="3567">
                  <c:v>40094</c:v>
                </c:pt>
                <c:pt idx="3568">
                  <c:v>40095</c:v>
                </c:pt>
                <c:pt idx="3569">
                  <c:v>40096</c:v>
                </c:pt>
                <c:pt idx="3570">
                  <c:v>40097</c:v>
                </c:pt>
                <c:pt idx="3571">
                  <c:v>40098</c:v>
                </c:pt>
                <c:pt idx="3572">
                  <c:v>40099</c:v>
                </c:pt>
                <c:pt idx="3573">
                  <c:v>40100</c:v>
                </c:pt>
                <c:pt idx="3574">
                  <c:v>40101</c:v>
                </c:pt>
                <c:pt idx="3575">
                  <c:v>40102</c:v>
                </c:pt>
                <c:pt idx="3576">
                  <c:v>40103</c:v>
                </c:pt>
                <c:pt idx="3577">
                  <c:v>40104</c:v>
                </c:pt>
                <c:pt idx="3578">
                  <c:v>40105</c:v>
                </c:pt>
                <c:pt idx="3579">
                  <c:v>40106</c:v>
                </c:pt>
                <c:pt idx="3580">
                  <c:v>40107</c:v>
                </c:pt>
                <c:pt idx="3581">
                  <c:v>40108</c:v>
                </c:pt>
                <c:pt idx="3582">
                  <c:v>40109</c:v>
                </c:pt>
                <c:pt idx="3583">
                  <c:v>40110</c:v>
                </c:pt>
                <c:pt idx="3584">
                  <c:v>40111</c:v>
                </c:pt>
                <c:pt idx="3585">
                  <c:v>40112</c:v>
                </c:pt>
                <c:pt idx="3586">
                  <c:v>40113</c:v>
                </c:pt>
                <c:pt idx="3587">
                  <c:v>40114</c:v>
                </c:pt>
                <c:pt idx="3588">
                  <c:v>40115</c:v>
                </c:pt>
                <c:pt idx="3589">
                  <c:v>40116</c:v>
                </c:pt>
                <c:pt idx="3590">
                  <c:v>40117</c:v>
                </c:pt>
                <c:pt idx="3591">
                  <c:v>40118</c:v>
                </c:pt>
                <c:pt idx="3592">
                  <c:v>40119</c:v>
                </c:pt>
                <c:pt idx="3593">
                  <c:v>40120</c:v>
                </c:pt>
                <c:pt idx="3594">
                  <c:v>40121</c:v>
                </c:pt>
                <c:pt idx="3595">
                  <c:v>40122</c:v>
                </c:pt>
                <c:pt idx="3596">
                  <c:v>40123</c:v>
                </c:pt>
                <c:pt idx="3597">
                  <c:v>40124</c:v>
                </c:pt>
                <c:pt idx="3598">
                  <c:v>40125</c:v>
                </c:pt>
                <c:pt idx="3599">
                  <c:v>40126</c:v>
                </c:pt>
                <c:pt idx="3600">
                  <c:v>40127</c:v>
                </c:pt>
                <c:pt idx="3601">
                  <c:v>40128</c:v>
                </c:pt>
                <c:pt idx="3602">
                  <c:v>40129</c:v>
                </c:pt>
                <c:pt idx="3603">
                  <c:v>40130</c:v>
                </c:pt>
                <c:pt idx="3604">
                  <c:v>40131</c:v>
                </c:pt>
                <c:pt idx="3605">
                  <c:v>40132</c:v>
                </c:pt>
                <c:pt idx="3606">
                  <c:v>40133</c:v>
                </c:pt>
                <c:pt idx="3607">
                  <c:v>40134</c:v>
                </c:pt>
                <c:pt idx="3608">
                  <c:v>40135</c:v>
                </c:pt>
                <c:pt idx="3609">
                  <c:v>40136</c:v>
                </c:pt>
                <c:pt idx="3610">
                  <c:v>40137</c:v>
                </c:pt>
                <c:pt idx="3611">
                  <c:v>40138</c:v>
                </c:pt>
                <c:pt idx="3612">
                  <c:v>40139</c:v>
                </c:pt>
                <c:pt idx="3613">
                  <c:v>40140</c:v>
                </c:pt>
                <c:pt idx="3614">
                  <c:v>40141</c:v>
                </c:pt>
                <c:pt idx="3615">
                  <c:v>40142</c:v>
                </c:pt>
                <c:pt idx="3616">
                  <c:v>40143</c:v>
                </c:pt>
                <c:pt idx="3617">
                  <c:v>40144</c:v>
                </c:pt>
                <c:pt idx="3618">
                  <c:v>40145</c:v>
                </c:pt>
                <c:pt idx="3619">
                  <c:v>40146</c:v>
                </c:pt>
                <c:pt idx="3620">
                  <c:v>40147</c:v>
                </c:pt>
                <c:pt idx="3621">
                  <c:v>40148</c:v>
                </c:pt>
                <c:pt idx="3622">
                  <c:v>40149</c:v>
                </c:pt>
                <c:pt idx="3623">
                  <c:v>40150</c:v>
                </c:pt>
                <c:pt idx="3624">
                  <c:v>40151</c:v>
                </c:pt>
                <c:pt idx="3625">
                  <c:v>40152</c:v>
                </c:pt>
                <c:pt idx="3626">
                  <c:v>40153</c:v>
                </c:pt>
                <c:pt idx="3627">
                  <c:v>40154</c:v>
                </c:pt>
                <c:pt idx="3628">
                  <c:v>40155</c:v>
                </c:pt>
                <c:pt idx="3629">
                  <c:v>40156</c:v>
                </c:pt>
                <c:pt idx="3630">
                  <c:v>40157</c:v>
                </c:pt>
                <c:pt idx="3631">
                  <c:v>40158</c:v>
                </c:pt>
                <c:pt idx="3632">
                  <c:v>40159</c:v>
                </c:pt>
                <c:pt idx="3633">
                  <c:v>40160</c:v>
                </c:pt>
                <c:pt idx="3634">
                  <c:v>40161</c:v>
                </c:pt>
                <c:pt idx="3635">
                  <c:v>40162</c:v>
                </c:pt>
                <c:pt idx="3636">
                  <c:v>40163</c:v>
                </c:pt>
                <c:pt idx="3637">
                  <c:v>40164</c:v>
                </c:pt>
                <c:pt idx="3638">
                  <c:v>40165</c:v>
                </c:pt>
                <c:pt idx="3639">
                  <c:v>40166</c:v>
                </c:pt>
                <c:pt idx="3640">
                  <c:v>40167</c:v>
                </c:pt>
                <c:pt idx="3641">
                  <c:v>40168</c:v>
                </c:pt>
                <c:pt idx="3642">
                  <c:v>40169</c:v>
                </c:pt>
                <c:pt idx="3643">
                  <c:v>40170</c:v>
                </c:pt>
                <c:pt idx="3644">
                  <c:v>40171</c:v>
                </c:pt>
                <c:pt idx="3645">
                  <c:v>40172</c:v>
                </c:pt>
                <c:pt idx="3646">
                  <c:v>40173</c:v>
                </c:pt>
                <c:pt idx="3647">
                  <c:v>40174</c:v>
                </c:pt>
                <c:pt idx="3648">
                  <c:v>40175</c:v>
                </c:pt>
                <c:pt idx="3649">
                  <c:v>40176</c:v>
                </c:pt>
                <c:pt idx="3650">
                  <c:v>40177</c:v>
                </c:pt>
                <c:pt idx="3651">
                  <c:v>40178</c:v>
                </c:pt>
                <c:pt idx="3652">
                  <c:v>40179</c:v>
                </c:pt>
                <c:pt idx="3653">
                  <c:v>40180</c:v>
                </c:pt>
                <c:pt idx="3654">
                  <c:v>40181</c:v>
                </c:pt>
                <c:pt idx="3655">
                  <c:v>40182</c:v>
                </c:pt>
                <c:pt idx="3656">
                  <c:v>40183</c:v>
                </c:pt>
                <c:pt idx="3657">
                  <c:v>40184</c:v>
                </c:pt>
                <c:pt idx="3658">
                  <c:v>40185</c:v>
                </c:pt>
                <c:pt idx="3659">
                  <c:v>40186</c:v>
                </c:pt>
                <c:pt idx="3660">
                  <c:v>40187</c:v>
                </c:pt>
                <c:pt idx="3661">
                  <c:v>40188</c:v>
                </c:pt>
                <c:pt idx="3662">
                  <c:v>40189</c:v>
                </c:pt>
                <c:pt idx="3663">
                  <c:v>40190</c:v>
                </c:pt>
                <c:pt idx="3664">
                  <c:v>40191</c:v>
                </c:pt>
                <c:pt idx="3665">
                  <c:v>40192</c:v>
                </c:pt>
                <c:pt idx="3666">
                  <c:v>40193</c:v>
                </c:pt>
                <c:pt idx="3667">
                  <c:v>40194</c:v>
                </c:pt>
                <c:pt idx="3668">
                  <c:v>40195</c:v>
                </c:pt>
                <c:pt idx="3669">
                  <c:v>40196</c:v>
                </c:pt>
                <c:pt idx="3670">
                  <c:v>40197</c:v>
                </c:pt>
                <c:pt idx="3671">
                  <c:v>40198</c:v>
                </c:pt>
                <c:pt idx="3672">
                  <c:v>40199</c:v>
                </c:pt>
                <c:pt idx="3673">
                  <c:v>40200</c:v>
                </c:pt>
                <c:pt idx="3674">
                  <c:v>40201</c:v>
                </c:pt>
                <c:pt idx="3675">
                  <c:v>40202</c:v>
                </c:pt>
                <c:pt idx="3676">
                  <c:v>40203</c:v>
                </c:pt>
                <c:pt idx="3677">
                  <c:v>40204</c:v>
                </c:pt>
                <c:pt idx="3678">
                  <c:v>40205</c:v>
                </c:pt>
                <c:pt idx="3679">
                  <c:v>40206</c:v>
                </c:pt>
                <c:pt idx="3680">
                  <c:v>40207</c:v>
                </c:pt>
                <c:pt idx="3681">
                  <c:v>40208</c:v>
                </c:pt>
                <c:pt idx="3682">
                  <c:v>40209</c:v>
                </c:pt>
                <c:pt idx="3683">
                  <c:v>40210</c:v>
                </c:pt>
                <c:pt idx="3684">
                  <c:v>40211</c:v>
                </c:pt>
                <c:pt idx="3685">
                  <c:v>40212</c:v>
                </c:pt>
                <c:pt idx="3686">
                  <c:v>40213</c:v>
                </c:pt>
                <c:pt idx="3687">
                  <c:v>40214</c:v>
                </c:pt>
                <c:pt idx="3688">
                  <c:v>40215</c:v>
                </c:pt>
                <c:pt idx="3689">
                  <c:v>40216</c:v>
                </c:pt>
                <c:pt idx="3690">
                  <c:v>40217</c:v>
                </c:pt>
                <c:pt idx="3691">
                  <c:v>40218</c:v>
                </c:pt>
                <c:pt idx="3692">
                  <c:v>40219</c:v>
                </c:pt>
                <c:pt idx="3693">
                  <c:v>40220</c:v>
                </c:pt>
                <c:pt idx="3694">
                  <c:v>40221</c:v>
                </c:pt>
                <c:pt idx="3695">
                  <c:v>40222</c:v>
                </c:pt>
                <c:pt idx="3696">
                  <c:v>40223</c:v>
                </c:pt>
                <c:pt idx="3697">
                  <c:v>40224</c:v>
                </c:pt>
                <c:pt idx="3698">
                  <c:v>40225</c:v>
                </c:pt>
                <c:pt idx="3699">
                  <c:v>40226</c:v>
                </c:pt>
                <c:pt idx="3700">
                  <c:v>40227</c:v>
                </c:pt>
                <c:pt idx="3701">
                  <c:v>40228</c:v>
                </c:pt>
                <c:pt idx="3702">
                  <c:v>40229</c:v>
                </c:pt>
                <c:pt idx="3703">
                  <c:v>40230</c:v>
                </c:pt>
                <c:pt idx="3704">
                  <c:v>40231</c:v>
                </c:pt>
                <c:pt idx="3705">
                  <c:v>40232</c:v>
                </c:pt>
                <c:pt idx="3706">
                  <c:v>40233</c:v>
                </c:pt>
                <c:pt idx="3707">
                  <c:v>40234</c:v>
                </c:pt>
                <c:pt idx="3708">
                  <c:v>40235</c:v>
                </c:pt>
                <c:pt idx="3709">
                  <c:v>40236</c:v>
                </c:pt>
                <c:pt idx="3710">
                  <c:v>40237</c:v>
                </c:pt>
                <c:pt idx="3711">
                  <c:v>40238</c:v>
                </c:pt>
                <c:pt idx="3712">
                  <c:v>40239</c:v>
                </c:pt>
                <c:pt idx="3713">
                  <c:v>40240</c:v>
                </c:pt>
                <c:pt idx="3714">
                  <c:v>40241</c:v>
                </c:pt>
                <c:pt idx="3715">
                  <c:v>40242</c:v>
                </c:pt>
                <c:pt idx="3716">
                  <c:v>40243</c:v>
                </c:pt>
                <c:pt idx="3717">
                  <c:v>40244</c:v>
                </c:pt>
                <c:pt idx="3718">
                  <c:v>40245</c:v>
                </c:pt>
                <c:pt idx="3719">
                  <c:v>40246</c:v>
                </c:pt>
                <c:pt idx="3720">
                  <c:v>40247</c:v>
                </c:pt>
                <c:pt idx="3721">
                  <c:v>40248</c:v>
                </c:pt>
                <c:pt idx="3722">
                  <c:v>40249</c:v>
                </c:pt>
                <c:pt idx="3723">
                  <c:v>40250</c:v>
                </c:pt>
                <c:pt idx="3724">
                  <c:v>40251</c:v>
                </c:pt>
                <c:pt idx="3725">
                  <c:v>40252</c:v>
                </c:pt>
                <c:pt idx="3726">
                  <c:v>40253</c:v>
                </c:pt>
                <c:pt idx="3727">
                  <c:v>40254</c:v>
                </c:pt>
                <c:pt idx="3728">
                  <c:v>40255</c:v>
                </c:pt>
                <c:pt idx="3729">
                  <c:v>40256</c:v>
                </c:pt>
                <c:pt idx="3730">
                  <c:v>40257</c:v>
                </c:pt>
                <c:pt idx="3731">
                  <c:v>40258</c:v>
                </c:pt>
                <c:pt idx="3732">
                  <c:v>40259</c:v>
                </c:pt>
                <c:pt idx="3733">
                  <c:v>40260</c:v>
                </c:pt>
                <c:pt idx="3734">
                  <c:v>40261</c:v>
                </c:pt>
                <c:pt idx="3735">
                  <c:v>40262</c:v>
                </c:pt>
                <c:pt idx="3736">
                  <c:v>40263</c:v>
                </c:pt>
                <c:pt idx="3737">
                  <c:v>40264</c:v>
                </c:pt>
                <c:pt idx="3738">
                  <c:v>40265</c:v>
                </c:pt>
                <c:pt idx="3739">
                  <c:v>40266</c:v>
                </c:pt>
                <c:pt idx="3740">
                  <c:v>40267</c:v>
                </c:pt>
                <c:pt idx="3741">
                  <c:v>40268</c:v>
                </c:pt>
                <c:pt idx="3742">
                  <c:v>40269</c:v>
                </c:pt>
                <c:pt idx="3743">
                  <c:v>40270</c:v>
                </c:pt>
                <c:pt idx="3744">
                  <c:v>40271</c:v>
                </c:pt>
                <c:pt idx="3745">
                  <c:v>40272</c:v>
                </c:pt>
                <c:pt idx="3746">
                  <c:v>40273</c:v>
                </c:pt>
                <c:pt idx="3747">
                  <c:v>40274</c:v>
                </c:pt>
                <c:pt idx="3748">
                  <c:v>40275</c:v>
                </c:pt>
                <c:pt idx="3749">
                  <c:v>40276</c:v>
                </c:pt>
                <c:pt idx="3750">
                  <c:v>40277</c:v>
                </c:pt>
                <c:pt idx="3751">
                  <c:v>40278</c:v>
                </c:pt>
                <c:pt idx="3752">
                  <c:v>40279</c:v>
                </c:pt>
                <c:pt idx="3753">
                  <c:v>40280</c:v>
                </c:pt>
                <c:pt idx="3754">
                  <c:v>40281</c:v>
                </c:pt>
                <c:pt idx="3755">
                  <c:v>40282</c:v>
                </c:pt>
                <c:pt idx="3756">
                  <c:v>40283</c:v>
                </c:pt>
                <c:pt idx="3757">
                  <c:v>40284</c:v>
                </c:pt>
                <c:pt idx="3758">
                  <c:v>40285</c:v>
                </c:pt>
                <c:pt idx="3759">
                  <c:v>40286</c:v>
                </c:pt>
                <c:pt idx="3760">
                  <c:v>40287</c:v>
                </c:pt>
                <c:pt idx="3761">
                  <c:v>40288</c:v>
                </c:pt>
                <c:pt idx="3762">
                  <c:v>40289</c:v>
                </c:pt>
                <c:pt idx="3763">
                  <c:v>40290</c:v>
                </c:pt>
                <c:pt idx="3764">
                  <c:v>40291</c:v>
                </c:pt>
                <c:pt idx="3765">
                  <c:v>40292</c:v>
                </c:pt>
                <c:pt idx="3766">
                  <c:v>40293</c:v>
                </c:pt>
                <c:pt idx="3767">
                  <c:v>40294</c:v>
                </c:pt>
                <c:pt idx="3768">
                  <c:v>40295</c:v>
                </c:pt>
                <c:pt idx="3769">
                  <c:v>40296</c:v>
                </c:pt>
                <c:pt idx="3770">
                  <c:v>40297</c:v>
                </c:pt>
                <c:pt idx="3771">
                  <c:v>40298</c:v>
                </c:pt>
                <c:pt idx="3772">
                  <c:v>40299</c:v>
                </c:pt>
                <c:pt idx="3773">
                  <c:v>40300</c:v>
                </c:pt>
                <c:pt idx="3774">
                  <c:v>40301</c:v>
                </c:pt>
                <c:pt idx="3775">
                  <c:v>40302</c:v>
                </c:pt>
                <c:pt idx="3776">
                  <c:v>40303</c:v>
                </c:pt>
                <c:pt idx="3777">
                  <c:v>40304</c:v>
                </c:pt>
                <c:pt idx="3778">
                  <c:v>40305</c:v>
                </c:pt>
                <c:pt idx="3779">
                  <c:v>40306</c:v>
                </c:pt>
                <c:pt idx="3780">
                  <c:v>40307</c:v>
                </c:pt>
                <c:pt idx="3781">
                  <c:v>40308</c:v>
                </c:pt>
                <c:pt idx="3782">
                  <c:v>40309</c:v>
                </c:pt>
                <c:pt idx="3783">
                  <c:v>40310</c:v>
                </c:pt>
                <c:pt idx="3784">
                  <c:v>40311</c:v>
                </c:pt>
                <c:pt idx="3785">
                  <c:v>40312</c:v>
                </c:pt>
                <c:pt idx="3786">
                  <c:v>40313</c:v>
                </c:pt>
                <c:pt idx="3787">
                  <c:v>40314</c:v>
                </c:pt>
                <c:pt idx="3788">
                  <c:v>40315</c:v>
                </c:pt>
                <c:pt idx="3789">
                  <c:v>40316</c:v>
                </c:pt>
                <c:pt idx="3790">
                  <c:v>40317</c:v>
                </c:pt>
                <c:pt idx="3791">
                  <c:v>40318</c:v>
                </c:pt>
                <c:pt idx="3792">
                  <c:v>40319</c:v>
                </c:pt>
                <c:pt idx="3793">
                  <c:v>40320</c:v>
                </c:pt>
                <c:pt idx="3794">
                  <c:v>40321</c:v>
                </c:pt>
                <c:pt idx="3795">
                  <c:v>40322</c:v>
                </c:pt>
                <c:pt idx="3796">
                  <c:v>40323</c:v>
                </c:pt>
                <c:pt idx="3797">
                  <c:v>40324</c:v>
                </c:pt>
                <c:pt idx="3798">
                  <c:v>40325</c:v>
                </c:pt>
                <c:pt idx="3799">
                  <c:v>40326</c:v>
                </c:pt>
                <c:pt idx="3800">
                  <c:v>40327</c:v>
                </c:pt>
                <c:pt idx="3801">
                  <c:v>40328</c:v>
                </c:pt>
                <c:pt idx="3802">
                  <c:v>40329</c:v>
                </c:pt>
                <c:pt idx="3803">
                  <c:v>40330</c:v>
                </c:pt>
                <c:pt idx="3804">
                  <c:v>40331</c:v>
                </c:pt>
                <c:pt idx="3805">
                  <c:v>40332</c:v>
                </c:pt>
                <c:pt idx="3806">
                  <c:v>40333</c:v>
                </c:pt>
                <c:pt idx="3807">
                  <c:v>40334</c:v>
                </c:pt>
                <c:pt idx="3808">
                  <c:v>40335</c:v>
                </c:pt>
                <c:pt idx="3809">
                  <c:v>40336</c:v>
                </c:pt>
                <c:pt idx="3810">
                  <c:v>40337</c:v>
                </c:pt>
                <c:pt idx="3811">
                  <c:v>40338</c:v>
                </c:pt>
                <c:pt idx="3812">
                  <c:v>40339</c:v>
                </c:pt>
                <c:pt idx="3813">
                  <c:v>40340</c:v>
                </c:pt>
                <c:pt idx="3814">
                  <c:v>40341</c:v>
                </c:pt>
                <c:pt idx="3815">
                  <c:v>40342</c:v>
                </c:pt>
                <c:pt idx="3816">
                  <c:v>40343</c:v>
                </c:pt>
                <c:pt idx="3817">
                  <c:v>40344</c:v>
                </c:pt>
                <c:pt idx="3818">
                  <c:v>40345</c:v>
                </c:pt>
                <c:pt idx="3819">
                  <c:v>40346</c:v>
                </c:pt>
                <c:pt idx="3820">
                  <c:v>40347</c:v>
                </c:pt>
                <c:pt idx="3821">
                  <c:v>40348</c:v>
                </c:pt>
                <c:pt idx="3822">
                  <c:v>40349</c:v>
                </c:pt>
                <c:pt idx="3823">
                  <c:v>40350</c:v>
                </c:pt>
                <c:pt idx="3824">
                  <c:v>40351</c:v>
                </c:pt>
                <c:pt idx="3825">
                  <c:v>40352</c:v>
                </c:pt>
                <c:pt idx="3826">
                  <c:v>40353</c:v>
                </c:pt>
                <c:pt idx="3827">
                  <c:v>40354</c:v>
                </c:pt>
                <c:pt idx="3828">
                  <c:v>40355</c:v>
                </c:pt>
                <c:pt idx="3829">
                  <c:v>40356</c:v>
                </c:pt>
                <c:pt idx="3830">
                  <c:v>40357</c:v>
                </c:pt>
                <c:pt idx="3831">
                  <c:v>40358</c:v>
                </c:pt>
                <c:pt idx="3832">
                  <c:v>40359</c:v>
                </c:pt>
                <c:pt idx="3833">
                  <c:v>40360</c:v>
                </c:pt>
                <c:pt idx="3834">
                  <c:v>40361</c:v>
                </c:pt>
                <c:pt idx="3835">
                  <c:v>40362</c:v>
                </c:pt>
                <c:pt idx="3836">
                  <c:v>40363</c:v>
                </c:pt>
                <c:pt idx="3837">
                  <c:v>40364</c:v>
                </c:pt>
                <c:pt idx="3838">
                  <c:v>40365</c:v>
                </c:pt>
                <c:pt idx="3839">
                  <c:v>40366</c:v>
                </c:pt>
                <c:pt idx="3840">
                  <c:v>40367</c:v>
                </c:pt>
                <c:pt idx="3841">
                  <c:v>40368</c:v>
                </c:pt>
                <c:pt idx="3842">
                  <c:v>40369</c:v>
                </c:pt>
                <c:pt idx="3843">
                  <c:v>40370</c:v>
                </c:pt>
                <c:pt idx="3844">
                  <c:v>40371</c:v>
                </c:pt>
                <c:pt idx="3845">
                  <c:v>40372</c:v>
                </c:pt>
                <c:pt idx="3846">
                  <c:v>40373</c:v>
                </c:pt>
                <c:pt idx="3847">
                  <c:v>40374</c:v>
                </c:pt>
                <c:pt idx="3848">
                  <c:v>40375</c:v>
                </c:pt>
                <c:pt idx="3849">
                  <c:v>40376</c:v>
                </c:pt>
                <c:pt idx="3850">
                  <c:v>40377</c:v>
                </c:pt>
                <c:pt idx="3851">
                  <c:v>40378</c:v>
                </c:pt>
                <c:pt idx="3852">
                  <c:v>40379</c:v>
                </c:pt>
                <c:pt idx="3853">
                  <c:v>40380</c:v>
                </c:pt>
                <c:pt idx="3854">
                  <c:v>40381</c:v>
                </c:pt>
                <c:pt idx="3855">
                  <c:v>40382</c:v>
                </c:pt>
                <c:pt idx="3856">
                  <c:v>40383</c:v>
                </c:pt>
                <c:pt idx="3857">
                  <c:v>40384</c:v>
                </c:pt>
                <c:pt idx="3858">
                  <c:v>40385</c:v>
                </c:pt>
                <c:pt idx="3859">
                  <c:v>40386</c:v>
                </c:pt>
                <c:pt idx="3860">
                  <c:v>40387</c:v>
                </c:pt>
                <c:pt idx="3861">
                  <c:v>40388</c:v>
                </c:pt>
                <c:pt idx="3862">
                  <c:v>40389</c:v>
                </c:pt>
                <c:pt idx="3863">
                  <c:v>40390</c:v>
                </c:pt>
                <c:pt idx="3864">
                  <c:v>40391</c:v>
                </c:pt>
                <c:pt idx="3865">
                  <c:v>40392</c:v>
                </c:pt>
                <c:pt idx="3866">
                  <c:v>40393</c:v>
                </c:pt>
                <c:pt idx="3867">
                  <c:v>40394</c:v>
                </c:pt>
                <c:pt idx="3868">
                  <c:v>40395</c:v>
                </c:pt>
                <c:pt idx="3869">
                  <c:v>40396</c:v>
                </c:pt>
                <c:pt idx="3870">
                  <c:v>40397</c:v>
                </c:pt>
                <c:pt idx="3871">
                  <c:v>40398</c:v>
                </c:pt>
                <c:pt idx="3872">
                  <c:v>40399</c:v>
                </c:pt>
                <c:pt idx="3873">
                  <c:v>40400</c:v>
                </c:pt>
                <c:pt idx="3874">
                  <c:v>40401</c:v>
                </c:pt>
                <c:pt idx="3875">
                  <c:v>40402</c:v>
                </c:pt>
                <c:pt idx="3876">
                  <c:v>40403</c:v>
                </c:pt>
                <c:pt idx="3877">
                  <c:v>40404</c:v>
                </c:pt>
                <c:pt idx="3878">
                  <c:v>40405</c:v>
                </c:pt>
                <c:pt idx="3879">
                  <c:v>40406</c:v>
                </c:pt>
                <c:pt idx="3880">
                  <c:v>40407</c:v>
                </c:pt>
                <c:pt idx="3881">
                  <c:v>40408</c:v>
                </c:pt>
                <c:pt idx="3882">
                  <c:v>40409</c:v>
                </c:pt>
                <c:pt idx="3883">
                  <c:v>40410</c:v>
                </c:pt>
                <c:pt idx="3884">
                  <c:v>40411</c:v>
                </c:pt>
                <c:pt idx="3885">
                  <c:v>40412</c:v>
                </c:pt>
                <c:pt idx="3886">
                  <c:v>40413</c:v>
                </c:pt>
                <c:pt idx="3887">
                  <c:v>40414</c:v>
                </c:pt>
                <c:pt idx="3888">
                  <c:v>40415</c:v>
                </c:pt>
                <c:pt idx="3889">
                  <c:v>40416</c:v>
                </c:pt>
                <c:pt idx="3890">
                  <c:v>40417</c:v>
                </c:pt>
                <c:pt idx="3891">
                  <c:v>40418</c:v>
                </c:pt>
                <c:pt idx="3892">
                  <c:v>40419</c:v>
                </c:pt>
                <c:pt idx="3893">
                  <c:v>40420</c:v>
                </c:pt>
                <c:pt idx="3894">
                  <c:v>40421</c:v>
                </c:pt>
                <c:pt idx="3895">
                  <c:v>40422</c:v>
                </c:pt>
                <c:pt idx="3896">
                  <c:v>40423</c:v>
                </c:pt>
                <c:pt idx="3897">
                  <c:v>40424</c:v>
                </c:pt>
                <c:pt idx="3898">
                  <c:v>40425</c:v>
                </c:pt>
                <c:pt idx="3899">
                  <c:v>40426</c:v>
                </c:pt>
                <c:pt idx="3900">
                  <c:v>40427</c:v>
                </c:pt>
                <c:pt idx="3901">
                  <c:v>40428</c:v>
                </c:pt>
                <c:pt idx="3902">
                  <c:v>40429</c:v>
                </c:pt>
                <c:pt idx="3903">
                  <c:v>40430</c:v>
                </c:pt>
                <c:pt idx="3904">
                  <c:v>40431</c:v>
                </c:pt>
                <c:pt idx="3905">
                  <c:v>40432</c:v>
                </c:pt>
                <c:pt idx="3906">
                  <c:v>40433</c:v>
                </c:pt>
                <c:pt idx="3907">
                  <c:v>40434</c:v>
                </c:pt>
                <c:pt idx="3908">
                  <c:v>40435</c:v>
                </c:pt>
                <c:pt idx="3909">
                  <c:v>40436</c:v>
                </c:pt>
                <c:pt idx="3910">
                  <c:v>40437</c:v>
                </c:pt>
                <c:pt idx="3911">
                  <c:v>40438</c:v>
                </c:pt>
                <c:pt idx="3912">
                  <c:v>40439</c:v>
                </c:pt>
                <c:pt idx="3913">
                  <c:v>40440</c:v>
                </c:pt>
                <c:pt idx="3914">
                  <c:v>40441</c:v>
                </c:pt>
                <c:pt idx="3915">
                  <c:v>40442</c:v>
                </c:pt>
                <c:pt idx="3916">
                  <c:v>40443</c:v>
                </c:pt>
                <c:pt idx="3917">
                  <c:v>40444</c:v>
                </c:pt>
                <c:pt idx="3918">
                  <c:v>40445</c:v>
                </c:pt>
                <c:pt idx="3919">
                  <c:v>40446</c:v>
                </c:pt>
                <c:pt idx="3920">
                  <c:v>40447</c:v>
                </c:pt>
                <c:pt idx="3921">
                  <c:v>40448</c:v>
                </c:pt>
                <c:pt idx="3922">
                  <c:v>40449</c:v>
                </c:pt>
                <c:pt idx="3923">
                  <c:v>40450</c:v>
                </c:pt>
                <c:pt idx="3924">
                  <c:v>40451</c:v>
                </c:pt>
                <c:pt idx="3925">
                  <c:v>40452</c:v>
                </c:pt>
                <c:pt idx="3926">
                  <c:v>40453</c:v>
                </c:pt>
                <c:pt idx="3927">
                  <c:v>40454</c:v>
                </c:pt>
                <c:pt idx="3928">
                  <c:v>40455</c:v>
                </c:pt>
                <c:pt idx="3929">
                  <c:v>40456</c:v>
                </c:pt>
                <c:pt idx="3930">
                  <c:v>40457</c:v>
                </c:pt>
                <c:pt idx="3931">
                  <c:v>40458</c:v>
                </c:pt>
                <c:pt idx="3932">
                  <c:v>40459</c:v>
                </c:pt>
                <c:pt idx="3933">
                  <c:v>40460</c:v>
                </c:pt>
                <c:pt idx="3934">
                  <c:v>40461</c:v>
                </c:pt>
                <c:pt idx="3935">
                  <c:v>40462</c:v>
                </c:pt>
                <c:pt idx="3936">
                  <c:v>40463</c:v>
                </c:pt>
                <c:pt idx="3937">
                  <c:v>40464</c:v>
                </c:pt>
                <c:pt idx="3938">
                  <c:v>40465</c:v>
                </c:pt>
                <c:pt idx="3939">
                  <c:v>40466</c:v>
                </c:pt>
                <c:pt idx="3940">
                  <c:v>40467</c:v>
                </c:pt>
                <c:pt idx="3941">
                  <c:v>40468</c:v>
                </c:pt>
                <c:pt idx="3942">
                  <c:v>40469</c:v>
                </c:pt>
                <c:pt idx="3943">
                  <c:v>40470</c:v>
                </c:pt>
                <c:pt idx="3944">
                  <c:v>40471</c:v>
                </c:pt>
                <c:pt idx="3945">
                  <c:v>40472</c:v>
                </c:pt>
                <c:pt idx="3946">
                  <c:v>40473</c:v>
                </c:pt>
                <c:pt idx="3947">
                  <c:v>40474</c:v>
                </c:pt>
                <c:pt idx="3948">
                  <c:v>40475</c:v>
                </c:pt>
                <c:pt idx="3949">
                  <c:v>40476</c:v>
                </c:pt>
                <c:pt idx="3950">
                  <c:v>40477</c:v>
                </c:pt>
                <c:pt idx="3951">
                  <c:v>40478</c:v>
                </c:pt>
                <c:pt idx="3952">
                  <c:v>40479</c:v>
                </c:pt>
                <c:pt idx="3953">
                  <c:v>40480</c:v>
                </c:pt>
                <c:pt idx="3954">
                  <c:v>40481</c:v>
                </c:pt>
                <c:pt idx="3955">
                  <c:v>40482</c:v>
                </c:pt>
                <c:pt idx="3956">
                  <c:v>40483</c:v>
                </c:pt>
                <c:pt idx="3957">
                  <c:v>40484</c:v>
                </c:pt>
                <c:pt idx="3958">
                  <c:v>40485</c:v>
                </c:pt>
                <c:pt idx="3959">
                  <c:v>40486</c:v>
                </c:pt>
                <c:pt idx="3960">
                  <c:v>40487</c:v>
                </c:pt>
                <c:pt idx="3961">
                  <c:v>40488</c:v>
                </c:pt>
                <c:pt idx="3962">
                  <c:v>40489</c:v>
                </c:pt>
                <c:pt idx="3963">
                  <c:v>40490</c:v>
                </c:pt>
                <c:pt idx="3964">
                  <c:v>40491</c:v>
                </c:pt>
                <c:pt idx="3965">
                  <c:v>40492</c:v>
                </c:pt>
                <c:pt idx="3966">
                  <c:v>40493</c:v>
                </c:pt>
                <c:pt idx="3967">
                  <c:v>40494</c:v>
                </c:pt>
                <c:pt idx="3968">
                  <c:v>40495</c:v>
                </c:pt>
                <c:pt idx="3969">
                  <c:v>40496</c:v>
                </c:pt>
                <c:pt idx="3970">
                  <c:v>40497</c:v>
                </c:pt>
                <c:pt idx="3971">
                  <c:v>40498</c:v>
                </c:pt>
                <c:pt idx="3972">
                  <c:v>40499</c:v>
                </c:pt>
                <c:pt idx="3973">
                  <c:v>40500</c:v>
                </c:pt>
                <c:pt idx="3974">
                  <c:v>40501</c:v>
                </c:pt>
                <c:pt idx="3975">
                  <c:v>40502</c:v>
                </c:pt>
                <c:pt idx="3976">
                  <c:v>40503</c:v>
                </c:pt>
                <c:pt idx="3977">
                  <c:v>40504</c:v>
                </c:pt>
                <c:pt idx="3978">
                  <c:v>40505</c:v>
                </c:pt>
                <c:pt idx="3979">
                  <c:v>40506</c:v>
                </c:pt>
                <c:pt idx="3980">
                  <c:v>40507</c:v>
                </c:pt>
                <c:pt idx="3981">
                  <c:v>40508</c:v>
                </c:pt>
                <c:pt idx="3982">
                  <c:v>40509</c:v>
                </c:pt>
                <c:pt idx="3983">
                  <c:v>40510</c:v>
                </c:pt>
                <c:pt idx="3984">
                  <c:v>40511</c:v>
                </c:pt>
                <c:pt idx="3985">
                  <c:v>40512</c:v>
                </c:pt>
                <c:pt idx="3986">
                  <c:v>40513</c:v>
                </c:pt>
                <c:pt idx="3987">
                  <c:v>40514</c:v>
                </c:pt>
                <c:pt idx="3988">
                  <c:v>40515</c:v>
                </c:pt>
                <c:pt idx="3989">
                  <c:v>40516</c:v>
                </c:pt>
                <c:pt idx="3990">
                  <c:v>40517</c:v>
                </c:pt>
                <c:pt idx="3991">
                  <c:v>40518</c:v>
                </c:pt>
                <c:pt idx="3992">
                  <c:v>40519</c:v>
                </c:pt>
                <c:pt idx="3993">
                  <c:v>40520</c:v>
                </c:pt>
                <c:pt idx="3994">
                  <c:v>40521</c:v>
                </c:pt>
                <c:pt idx="3995">
                  <c:v>40522</c:v>
                </c:pt>
                <c:pt idx="3996">
                  <c:v>40523</c:v>
                </c:pt>
                <c:pt idx="3997">
                  <c:v>40524</c:v>
                </c:pt>
                <c:pt idx="3998">
                  <c:v>40525</c:v>
                </c:pt>
                <c:pt idx="3999">
                  <c:v>40526</c:v>
                </c:pt>
                <c:pt idx="4000">
                  <c:v>40527</c:v>
                </c:pt>
                <c:pt idx="4001">
                  <c:v>40528</c:v>
                </c:pt>
                <c:pt idx="4002">
                  <c:v>40529</c:v>
                </c:pt>
                <c:pt idx="4003">
                  <c:v>40530</c:v>
                </c:pt>
                <c:pt idx="4004">
                  <c:v>40531</c:v>
                </c:pt>
                <c:pt idx="4005">
                  <c:v>40532</c:v>
                </c:pt>
                <c:pt idx="4006">
                  <c:v>40533</c:v>
                </c:pt>
                <c:pt idx="4007">
                  <c:v>40534</c:v>
                </c:pt>
                <c:pt idx="4008">
                  <c:v>40535</c:v>
                </c:pt>
                <c:pt idx="4009">
                  <c:v>40536</c:v>
                </c:pt>
                <c:pt idx="4010">
                  <c:v>40537</c:v>
                </c:pt>
                <c:pt idx="4011">
                  <c:v>40538</c:v>
                </c:pt>
                <c:pt idx="4012">
                  <c:v>40539</c:v>
                </c:pt>
                <c:pt idx="4013">
                  <c:v>40540</c:v>
                </c:pt>
                <c:pt idx="4014">
                  <c:v>40541</c:v>
                </c:pt>
                <c:pt idx="4015">
                  <c:v>40542</c:v>
                </c:pt>
                <c:pt idx="4016">
                  <c:v>40543</c:v>
                </c:pt>
                <c:pt idx="4017">
                  <c:v>40544</c:v>
                </c:pt>
                <c:pt idx="4018">
                  <c:v>40545</c:v>
                </c:pt>
                <c:pt idx="4019">
                  <c:v>40546</c:v>
                </c:pt>
                <c:pt idx="4020">
                  <c:v>40547</c:v>
                </c:pt>
                <c:pt idx="4021">
                  <c:v>40548</c:v>
                </c:pt>
                <c:pt idx="4022">
                  <c:v>40549</c:v>
                </c:pt>
                <c:pt idx="4023">
                  <c:v>40550</c:v>
                </c:pt>
                <c:pt idx="4024">
                  <c:v>40551</c:v>
                </c:pt>
                <c:pt idx="4025">
                  <c:v>40552</c:v>
                </c:pt>
                <c:pt idx="4026">
                  <c:v>40553</c:v>
                </c:pt>
                <c:pt idx="4027">
                  <c:v>40554</c:v>
                </c:pt>
                <c:pt idx="4028">
                  <c:v>40555</c:v>
                </c:pt>
                <c:pt idx="4029">
                  <c:v>40556</c:v>
                </c:pt>
                <c:pt idx="4030">
                  <c:v>40557</c:v>
                </c:pt>
                <c:pt idx="4031">
                  <c:v>40558</c:v>
                </c:pt>
                <c:pt idx="4032">
                  <c:v>40559</c:v>
                </c:pt>
                <c:pt idx="4033">
                  <c:v>40560</c:v>
                </c:pt>
                <c:pt idx="4034">
                  <c:v>40561</c:v>
                </c:pt>
                <c:pt idx="4035">
                  <c:v>40562</c:v>
                </c:pt>
                <c:pt idx="4036">
                  <c:v>40563</c:v>
                </c:pt>
                <c:pt idx="4037">
                  <c:v>40564</c:v>
                </c:pt>
                <c:pt idx="4038">
                  <c:v>40565</c:v>
                </c:pt>
                <c:pt idx="4039">
                  <c:v>40566</c:v>
                </c:pt>
                <c:pt idx="4040">
                  <c:v>40567</c:v>
                </c:pt>
                <c:pt idx="4041">
                  <c:v>40568</c:v>
                </c:pt>
                <c:pt idx="4042">
                  <c:v>40569</c:v>
                </c:pt>
                <c:pt idx="4043">
                  <c:v>40570</c:v>
                </c:pt>
                <c:pt idx="4044">
                  <c:v>40571</c:v>
                </c:pt>
                <c:pt idx="4045">
                  <c:v>40572</c:v>
                </c:pt>
                <c:pt idx="4046">
                  <c:v>40573</c:v>
                </c:pt>
                <c:pt idx="4047">
                  <c:v>40574</c:v>
                </c:pt>
                <c:pt idx="4048">
                  <c:v>40575</c:v>
                </c:pt>
                <c:pt idx="4049">
                  <c:v>40576</c:v>
                </c:pt>
                <c:pt idx="4050">
                  <c:v>40577</c:v>
                </c:pt>
                <c:pt idx="4051">
                  <c:v>40578</c:v>
                </c:pt>
                <c:pt idx="4052">
                  <c:v>40579</c:v>
                </c:pt>
                <c:pt idx="4053">
                  <c:v>40580</c:v>
                </c:pt>
                <c:pt idx="4054">
                  <c:v>40581</c:v>
                </c:pt>
                <c:pt idx="4055">
                  <c:v>40582</c:v>
                </c:pt>
                <c:pt idx="4056">
                  <c:v>40583</c:v>
                </c:pt>
                <c:pt idx="4057">
                  <c:v>40584</c:v>
                </c:pt>
                <c:pt idx="4058">
                  <c:v>40585</c:v>
                </c:pt>
                <c:pt idx="4059">
                  <c:v>40586</c:v>
                </c:pt>
                <c:pt idx="4060">
                  <c:v>40587</c:v>
                </c:pt>
                <c:pt idx="4061">
                  <c:v>40588</c:v>
                </c:pt>
                <c:pt idx="4062">
                  <c:v>40589</c:v>
                </c:pt>
                <c:pt idx="4063">
                  <c:v>40590</c:v>
                </c:pt>
                <c:pt idx="4064">
                  <c:v>40591</c:v>
                </c:pt>
                <c:pt idx="4065">
                  <c:v>40592</c:v>
                </c:pt>
                <c:pt idx="4066">
                  <c:v>40593</c:v>
                </c:pt>
                <c:pt idx="4067">
                  <c:v>40594</c:v>
                </c:pt>
                <c:pt idx="4068">
                  <c:v>40595</c:v>
                </c:pt>
                <c:pt idx="4069">
                  <c:v>40596</c:v>
                </c:pt>
                <c:pt idx="4070">
                  <c:v>40597</c:v>
                </c:pt>
                <c:pt idx="4071">
                  <c:v>40598</c:v>
                </c:pt>
                <c:pt idx="4072">
                  <c:v>40599</c:v>
                </c:pt>
                <c:pt idx="4073">
                  <c:v>40600</c:v>
                </c:pt>
                <c:pt idx="4074">
                  <c:v>40601</c:v>
                </c:pt>
                <c:pt idx="4075">
                  <c:v>40602</c:v>
                </c:pt>
                <c:pt idx="4076">
                  <c:v>40603</c:v>
                </c:pt>
                <c:pt idx="4077">
                  <c:v>40604</c:v>
                </c:pt>
                <c:pt idx="4078">
                  <c:v>40605</c:v>
                </c:pt>
                <c:pt idx="4079">
                  <c:v>40606</c:v>
                </c:pt>
                <c:pt idx="4080">
                  <c:v>40607</c:v>
                </c:pt>
                <c:pt idx="4081">
                  <c:v>40608</c:v>
                </c:pt>
                <c:pt idx="4082">
                  <c:v>40609</c:v>
                </c:pt>
                <c:pt idx="4083">
                  <c:v>40610</c:v>
                </c:pt>
                <c:pt idx="4084">
                  <c:v>40611</c:v>
                </c:pt>
                <c:pt idx="4085">
                  <c:v>40612</c:v>
                </c:pt>
                <c:pt idx="4086">
                  <c:v>40613</c:v>
                </c:pt>
                <c:pt idx="4087">
                  <c:v>40614</c:v>
                </c:pt>
                <c:pt idx="4088">
                  <c:v>40615</c:v>
                </c:pt>
                <c:pt idx="4089">
                  <c:v>40616</c:v>
                </c:pt>
                <c:pt idx="4090">
                  <c:v>40617</c:v>
                </c:pt>
                <c:pt idx="4091">
                  <c:v>40618</c:v>
                </c:pt>
                <c:pt idx="4092">
                  <c:v>40619</c:v>
                </c:pt>
                <c:pt idx="4093">
                  <c:v>40620</c:v>
                </c:pt>
                <c:pt idx="4094">
                  <c:v>40621</c:v>
                </c:pt>
                <c:pt idx="4095">
                  <c:v>40622</c:v>
                </c:pt>
                <c:pt idx="4096">
                  <c:v>40623</c:v>
                </c:pt>
                <c:pt idx="4097">
                  <c:v>40624</c:v>
                </c:pt>
                <c:pt idx="4098">
                  <c:v>40625</c:v>
                </c:pt>
                <c:pt idx="4099">
                  <c:v>40626</c:v>
                </c:pt>
                <c:pt idx="4100">
                  <c:v>40627</c:v>
                </c:pt>
                <c:pt idx="4101">
                  <c:v>40628</c:v>
                </c:pt>
                <c:pt idx="4102">
                  <c:v>40629</c:v>
                </c:pt>
                <c:pt idx="4103">
                  <c:v>40630</c:v>
                </c:pt>
                <c:pt idx="4104">
                  <c:v>40631</c:v>
                </c:pt>
                <c:pt idx="4105">
                  <c:v>40632</c:v>
                </c:pt>
                <c:pt idx="4106">
                  <c:v>40633</c:v>
                </c:pt>
                <c:pt idx="4107">
                  <c:v>40634</c:v>
                </c:pt>
                <c:pt idx="4108">
                  <c:v>40635</c:v>
                </c:pt>
                <c:pt idx="4109">
                  <c:v>40636</c:v>
                </c:pt>
                <c:pt idx="4110">
                  <c:v>40637</c:v>
                </c:pt>
                <c:pt idx="4111">
                  <c:v>40638</c:v>
                </c:pt>
                <c:pt idx="4112">
                  <c:v>40639</c:v>
                </c:pt>
                <c:pt idx="4113">
                  <c:v>40640</c:v>
                </c:pt>
                <c:pt idx="4114">
                  <c:v>40641</c:v>
                </c:pt>
                <c:pt idx="4115">
                  <c:v>40642</c:v>
                </c:pt>
                <c:pt idx="4116">
                  <c:v>40643</c:v>
                </c:pt>
                <c:pt idx="4117">
                  <c:v>40644</c:v>
                </c:pt>
                <c:pt idx="4118">
                  <c:v>40645</c:v>
                </c:pt>
                <c:pt idx="4119">
                  <c:v>40646</c:v>
                </c:pt>
                <c:pt idx="4120">
                  <c:v>40647</c:v>
                </c:pt>
                <c:pt idx="4121">
                  <c:v>40648</c:v>
                </c:pt>
                <c:pt idx="4122">
                  <c:v>40649</c:v>
                </c:pt>
                <c:pt idx="4123">
                  <c:v>40650</c:v>
                </c:pt>
                <c:pt idx="4124">
                  <c:v>40651</c:v>
                </c:pt>
                <c:pt idx="4125">
                  <c:v>40652</c:v>
                </c:pt>
                <c:pt idx="4126">
                  <c:v>40653</c:v>
                </c:pt>
                <c:pt idx="4127">
                  <c:v>40654</c:v>
                </c:pt>
                <c:pt idx="4128">
                  <c:v>40655</c:v>
                </c:pt>
                <c:pt idx="4129">
                  <c:v>40656</c:v>
                </c:pt>
                <c:pt idx="4130">
                  <c:v>40657</c:v>
                </c:pt>
                <c:pt idx="4131">
                  <c:v>40658</c:v>
                </c:pt>
                <c:pt idx="4132">
                  <c:v>40659</c:v>
                </c:pt>
                <c:pt idx="4133">
                  <c:v>40660</c:v>
                </c:pt>
                <c:pt idx="4134">
                  <c:v>40661</c:v>
                </c:pt>
                <c:pt idx="4135">
                  <c:v>40662</c:v>
                </c:pt>
                <c:pt idx="4136">
                  <c:v>40663</c:v>
                </c:pt>
                <c:pt idx="4137">
                  <c:v>40664</c:v>
                </c:pt>
                <c:pt idx="4138">
                  <c:v>40665</c:v>
                </c:pt>
                <c:pt idx="4139">
                  <c:v>40666</c:v>
                </c:pt>
                <c:pt idx="4140">
                  <c:v>40667</c:v>
                </c:pt>
                <c:pt idx="4141">
                  <c:v>40668</c:v>
                </c:pt>
                <c:pt idx="4142">
                  <c:v>40669</c:v>
                </c:pt>
                <c:pt idx="4143">
                  <c:v>40670</c:v>
                </c:pt>
                <c:pt idx="4144">
                  <c:v>40671</c:v>
                </c:pt>
                <c:pt idx="4145">
                  <c:v>40672</c:v>
                </c:pt>
                <c:pt idx="4146">
                  <c:v>40673</c:v>
                </c:pt>
                <c:pt idx="4147">
                  <c:v>40674</c:v>
                </c:pt>
                <c:pt idx="4148">
                  <c:v>40675</c:v>
                </c:pt>
                <c:pt idx="4149">
                  <c:v>40676</c:v>
                </c:pt>
                <c:pt idx="4150">
                  <c:v>40677</c:v>
                </c:pt>
                <c:pt idx="4151">
                  <c:v>40678</c:v>
                </c:pt>
                <c:pt idx="4152">
                  <c:v>40679</c:v>
                </c:pt>
                <c:pt idx="4153">
                  <c:v>40680</c:v>
                </c:pt>
                <c:pt idx="4154">
                  <c:v>40681</c:v>
                </c:pt>
                <c:pt idx="4155">
                  <c:v>40682</c:v>
                </c:pt>
                <c:pt idx="4156">
                  <c:v>40683</c:v>
                </c:pt>
                <c:pt idx="4157">
                  <c:v>40684</c:v>
                </c:pt>
                <c:pt idx="4158">
                  <c:v>40685</c:v>
                </c:pt>
                <c:pt idx="4159">
                  <c:v>40686</c:v>
                </c:pt>
                <c:pt idx="4160">
                  <c:v>40687</c:v>
                </c:pt>
                <c:pt idx="4161">
                  <c:v>40688</c:v>
                </c:pt>
                <c:pt idx="4162">
                  <c:v>40689</c:v>
                </c:pt>
                <c:pt idx="4163">
                  <c:v>40690</c:v>
                </c:pt>
                <c:pt idx="4164">
                  <c:v>40691</c:v>
                </c:pt>
                <c:pt idx="4165">
                  <c:v>40692</c:v>
                </c:pt>
                <c:pt idx="4166">
                  <c:v>40693</c:v>
                </c:pt>
                <c:pt idx="4167">
                  <c:v>40694</c:v>
                </c:pt>
                <c:pt idx="4168">
                  <c:v>40695</c:v>
                </c:pt>
                <c:pt idx="4169">
                  <c:v>40696</c:v>
                </c:pt>
                <c:pt idx="4170">
                  <c:v>40697</c:v>
                </c:pt>
                <c:pt idx="4171">
                  <c:v>40698</c:v>
                </c:pt>
                <c:pt idx="4172">
                  <c:v>40699</c:v>
                </c:pt>
                <c:pt idx="4173">
                  <c:v>40700</c:v>
                </c:pt>
                <c:pt idx="4174">
                  <c:v>40701</c:v>
                </c:pt>
                <c:pt idx="4175">
                  <c:v>40702</c:v>
                </c:pt>
                <c:pt idx="4176">
                  <c:v>40703</c:v>
                </c:pt>
                <c:pt idx="4177">
                  <c:v>40704</c:v>
                </c:pt>
                <c:pt idx="4178">
                  <c:v>40705</c:v>
                </c:pt>
                <c:pt idx="4179">
                  <c:v>40706</c:v>
                </c:pt>
                <c:pt idx="4180">
                  <c:v>40707</c:v>
                </c:pt>
                <c:pt idx="4181">
                  <c:v>40708</c:v>
                </c:pt>
                <c:pt idx="4182">
                  <c:v>40709</c:v>
                </c:pt>
                <c:pt idx="4183">
                  <c:v>40710</c:v>
                </c:pt>
                <c:pt idx="4184">
                  <c:v>40711</c:v>
                </c:pt>
                <c:pt idx="4185">
                  <c:v>40712</c:v>
                </c:pt>
                <c:pt idx="4186">
                  <c:v>40713</c:v>
                </c:pt>
                <c:pt idx="4187">
                  <c:v>40714</c:v>
                </c:pt>
                <c:pt idx="4188">
                  <c:v>40715</c:v>
                </c:pt>
                <c:pt idx="4189">
                  <c:v>40716</c:v>
                </c:pt>
                <c:pt idx="4190">
                  <c:v>40717</c:v>
                </c:pt>
                <c:pt idx="4191">
                  <c:v>40718</c:v>
                </c:pt>
                <c:pt idx="4192">
                  <c:v>40719</c:v>
                </c:pt>
                <c:pt idx="4193">
                  <c:v>40720</c:v>
                </c:pt>
                <c:pt idx="4194">
                  <c:v>40721</c:v>
                </c:pt>
                <c:pt idx="4195">
                  <c:v>40722</c:v>
                </c:pt>
                <c:pt idx="4196">
                  <c:v>40723</c:v>
                </c:pt>
                <c:pt idx="4197">
                  <c:v>40724</c:v>
                </c:pt>
                <c:pt idx="4198">
                  <c:v>40725</c:v>
                </c:pt>
                <c:pt idx="4199">
                  <c:v>40726</c:v>
                </c:pt>
                <c:pt idx="4200">
                  <c:v>40727</c:v>
                </c:pt>
                <c:pt idx="4201">
                  <c:v>40728</c:v>
                </c:pt>
                <c:pt idx="4202">
                  <c:v>40729</c:v>
                </c:pt>
                <c:pt idx="4203">
                  <c:v>40730</c:v>
                </c:pt>
                <c:pt idx="4204">
                  <c:v>40731</c:v>
                </c:pt>
                <c:pt idx="4205">
                  <c:v>40732</c:v>
                </c:pt>
                <c:pt idx="4206">
                  <c:v>40733</c:v>
                </c:pt>
                <c:pt idx="4207">
                  <c:v>40734</c:v>
                </c:pt>
                <c:pt idx="4208">
                  <c:v>40735</c:v>
                </c:pt>
                <c:pt idx="4209">
                  <c:v>40736</c:v>
                </c:pt>
                <c:pt idx="4210">
                  <c:v>40737</c:v>
                </c:pt>
                <c:pt idx="4211">
                  <c:v>40738</c:v>
                </c:pt>
                <c:pt idx="4212">
                  <c:v>40739</c:v>
                </c:pt>
                <c:pt idx="4213">
                  <c:v>40740</c:v>
                </c:pt>
                <c:pt idx="4214">
                  <c:v>40741</c:v>
                </c:pt>
                <c:pt idx="4215">
                  <c:v>40742</c:v>
                </c:pt>
                <c:pt idx="4216">
                  <c:v>40743</c:v>
                </c:pt>
                <c:pt idx="4217">
                  <c:v>40744</c:v>
                </c:pt>
                <c:pt idx="4218">
                  <c:v>40745</c:v>
                </c:pt>
                <c:pt idx="4219">
                  <c:v>40746</c:v>
                </c:pt>
                <c:pt idx="4220">
                  <c:v>40747</c:v>
                </c:pt>
                <c:pt idx="4221">
                  <c:v>40748</c:v>
                </c:pt>
                <c:pt idx="4222">
                  <c:v>40749</c:v>
                </c:pt>
                <c:pt idx="4223">
                  <c:v>40750</c:v>
                </c:pt>
                <c:pt idx="4224">
                  <c:v>40751</c:v>
                </c:pt>
                <c:pt idx="4225">
                  <c:v>40752</c:v>
                </c:pt>
                <c:pt idx="4226">
                  <c:v>40753</c:v>
                </c:pt>
                <c:pt idx="4227">
                  <c:v>40754</c:v>
                </c:pt>
                <c:pt idx="4228">
                  <c:v>40755</c:v>
                </c:pt>
                <c:pt idx="4229">
                  <c:v>40756</c:v>
                </c:pt>
                <c:pt idx="4230">
                  <c:v>40757</c:v>
                </c:pt>
                <c:pt idx="4231">
                  <c:v>40758</c:v>
                </c:pt>
                <c:pt idx="4232">
                  <c:v>40759</c:v>
                </c:pt>
                <c:pt idx="4233">
                  <c:v>40760</c:v>
                </c:pt>
                <c:pt idx="4234">
                  <c:v>40761</c:v>
                </c:pt>
                <c:pt idx="4235">
                  <c:v>40762</c:v>
                </c:pt>
                <c:pt idx="4236">
                  <c:v>40763</c:v>
                </c:pt>
                <c:pt idx="4237">
                  <c:v>40764</c:v>
                </c:pt>
                <c:pt idx="4238">
                  <c:v>40765</c:v>
                </c:pt>
                <c:pt idx="4239">
                  <c:v>40766</c:v>
                </c:pt>
                <c:pt idx="4240">
                  <c:v>40767</c:v>
                </c:pt>
                <c:pt idx="4241">
                  <c:v>40768</c:v>
                </c:pt>
                <c:pt idx="4242">
                  <c:v>40769</c:v>
                </c:pt>
                <c:pt idx="4243">
                  <c:v>40770</c:v>
                </c:pt>
                <c:pt idx="4244">
                  <c:v>40771</c:v>
                </c:pt>
                <c:pt idx="4245">
                  <c:v>40772</c:v>
                </c:pt>
                <c:pt idx="4246">
                  <c:v>40773</c:v>
                </c:pt>
                <c:pt idx="4247">
                  <c:v>40774</c:v>
                </c:pt>
                <c:pt idx="4248">
                  <c:v>40775</c:v>
                </c:pt>
                <c:pt idx="4249">
                  <c:v>40776</c:v>
                </c:pt>
                <c:pt idx="4250">
                  <c:v>40777</c:v>
                </c:pt>
                <c:pt idx="4251">
                  <c:v>40778</c:v>
                </c:pt>
                <c:pt idx="4252">
                  <c:v>40779</c:v>
                </c:pt>
                <c:pt idx="4253">
                  <c:v>40780</c:v>
                </c:pt>
                <c:pt idx="4254">
                  <c:v>40781</c:v>
                </c:pt>
                <c:pt idx="4255">
                  <c:v>40782</c:v>
                </c:pt>
                <c:pt idx="4256">
                  <c:v>40783</c:v>
                </c:pt>
                <c:pt idx="4257">
                  <c:v>40784</c:v>
                </c:pt>
                <c:pt idx="4258">
                  <c:v>40785</c:v>
                </c:pt>
                <c:pt idx="4259">
                  <c:v>40786</c:v>
                </c:pt>
                <c:pt idx="4260">
                  <c:v>40787</c:v>
                </c:pt>
                <c:pt idx="4261">
                  <c:v>40788</c:v>
                </c:pt>
                <c:pt idx="4262">
                  <c:v>40789</c:v>
                </c:pt>
                <c:pt idx="4263">
                  <c:v>40790</c:v>
                </c:pt>
                <c:pt idx="4264">
                  <c:v>40791</c:v>
                </c:pt>
                <c:pt idx="4265">
                  <c:v>40792</c:v>
                </c:pt>
                <c:pt idx="4266">
                  <c:v>40793</c:v>
                </c:pt>
                <c:pt idx="4267">
                  <c:v>40794</c:v>
                </c:pt>
                <c:pt idx="4268">
                  <c:v>40795</c:v>
                </c:pt>
                <c:pt idx="4269">
                  <c:v>40796</c:v>
                </c:pt>
                <c:pt idx="4270">
                  <c:v>40797</c:v>
                </c:pt>
                <c:pt idx="4271">
                  <c:v>40798</c:v>
                </c:pt>
                <c:pt idx="4272">
                  <c:v>40799</c:v>
                </c:pt>
                <c:pt idx="4273">
                  <c:v>40800</c:v>
                </c:pt>
                <c:pt idx="4274">
                  <c:v>40801</c:v>
                </c:pt>
                <c:pt idx="4275">
                  <c:v>40802</c:v>
                </c:pt>
                <c:pt idx="4276">
                  <c:v>40803</c:v>
                </c:pt>
                <c:pt idx="4277">
                  <c:v>40804</c:v>
                </c:pt>
                <c:pt idx="4278">
                  <c:v>40805</c:v>
                </c:pt>
                <c:pt idx="4279">
                  <c:v>40806</c:v>
                </c:pt>
                <c:pt idx="4280">
                  <c:v>40807</c:v>
                </c:pt>
                <c:pt idx="4281">
                  <c:v>40808</c:v>
                </c:pt>
                <c:pt idx="4282">
                  <c:v>40809</c:v>
                </c:pt>
                <c:pt idx="4283">
                  <c:v>40810</c:v>
                </c:pt>
                <c:pt idx="4284">
                  <c:v>40811</c:v>
                </c:pt>
                <c:pt idx="4285">
                  <c:v>40812</c:v>
                </c:pt>
                <c:pt idx="4286">
                  <c:v>40813</c:v>
                </c:pt>
                <c:pt idx="4287">
                  <c:v>40814</c:v>
                </c:pt>
                <c:pt idx="4288">
                  <c:v>40815</c:v>
                </c:pt>
                <c:pt idx="4289">
                  <c:v>40816</c:v>
                </c:pt>
                <c:pt idx="4290">
                  <c:v>40817</c:v>
                </c:pt>
                <c:pt idx="4291">
                  <c:v>40818</c:v>
                </c:pt>
                <c:pt idx="4292">
                  <c:v>40819</c:v>
                </c:pt>
                <c:pt idx="4293">
                  <c:v>40820</c:v>
                </c:pt>
                <c:pt idx="4294">
                  <c:v>40821</c:v>
                </c:pt>
                <c:pt idx="4295">
                  <c:v>40822</c:v>
                </c:pt>
                <c:pt idx="4296">
                  <c:v>40823</c:v>
                </c:pt>
                <c:pt idx="4297">
                  <c:v>40824</c:v>
                </c:pt>
                <c:pt idx="4298">
                  <c:v>40825</c:v>
                </c:pt>
                <c:pt idx="4299">
                  <c:v>40826</c:v>
                </c:pt>
                <c:pt idx="4300">
                  <c:v>40827</c:v>
                </c:pt>
                <c:pt idx="4301">
                  <c:v>40828</c:v>
                </c:pt>
                <c:pt idx="4302">
                  <c:v>40829</c:v>
                </c:pt>
                <c:pt idx="4303">
                  <c:v>40830</c:v>
                </c:pt>
                <c:pt idx="4304">
                  <c:v>40831</c:v>
                </c:pt>
                <c:pt idx="4305">
                  <c:v>40832</c:v>
                </c:pt>
                <c:pt idx="4306">
                  <c:v>40833</c:v>
                </c:pt>
                <c:pt idx="4307">
                  <c:v>40834</c:v>
                </c:pt>
                <c:pt idx="4308">
                  <c:v>40835</c:v>
                </c:pt>
                <c:pt idx="4309">
                  <c:v>40836</c:v>
                </c:pt>
                <c:pt idx="4310">
                  <c:v>40837</c:v>
                </c:pt>
                <c:pt idx="4311">
                  <c:v>40838</c:v>
                </c:pt>
                <c:pt idx="4312">
                  <c:v>40839</c:v>
                </c:pt>
                <c:pt idx="4313">
                  <c:v>40840</c:v>
                </c:pt>
                <c:pt idx="4314">
                  <c:v>40841</c:v>
                </c:pt>
                <c:pt idx="4315">
                  <c:v>40842</c:v>
                </c:pt>
                <c:pt idx="4316">
                  <c:v>40843</c:v>
                </c:pt>
                <c:pt idx="4317">
                  <c:v>40844</c:v>
                </c:pt>
                <c:pt idx="4318">
                  <c:v>40845</c:v>
                </c:pt>
                <c:pt idx="4319">
                  <c:v>40846</c:v>
                </c:pt>
                <c:pt idx="4320">
                  <c:v>40847</c:v>
                </c:pt>
              </c:numCache>
            </c:numRef>
          </c:xVal>
          <c:yVal>
            <c:numRef>
              <c:f>MASmoothingOutput!$D$26:$D$4346</c:f>
              <c:numCache>
                <c:formatCode>General</c:formatCode>
                <c:ptCount val="4321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1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1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1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</c:v>
                </c:pt>
                <c:pt idx="121">
                  <c:v>1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0</c:v>
                </c:pt>
                <c:pt idx="135">
                  <c:v>0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1</c:v>
                </c:pt>
                <c:pt idx="154">
                  <c:v>0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1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1</c:v>
                </c:pt>
                <c:pt idx="173">
                  <c:v>1</c:v>
                </c:pt>
                <c:pt idx="174">
                  <c:v>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1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1</c:v>
                </c:pt>
                <c:pt idx="192">
                  <c:v>1</c:v>
                </c:pt>
                <c:pt idx="193">
                  <c:v>0</c:v>
                </c:pt>
                <c:pt idx="194">
                  <c:v>1</c:v>
                </c:pt>
                <c:pt idx="195">
                  <c:v>1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1</c:v>
                </c:pt>
                <c:pt idx="201">
                  <c:v>1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1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1</c:v>
                </c:pt>
                <c:pt idx="223">
                  <c:v>0</c:v>
                </c:pt>
                <c:pt idx="224">
                  <c:v>1</c:v>
                </c:pt>
                <c:pt idx="225">
                  <c:v>0</c:v>
                </c:pt>
                <c:pt idx="226">
                  <c:v>0</c:v>
                </c:pt>
                <c:pt idx="227">
                  <c:v>1</c:v>
                </c:pt>
                <c:pt idx="228">
                  <c:v>1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</c:v>
                </c:pt>
                <c:pt idx="235">
                  <c:v>0</c:v>
                </c:pt>
                <c:pt idx="236">
                  <c:v>0</c:v>
                </c:pt>
                <c:pt idx="237">
                  <c:v>1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0</c:v>
                </c:pt>
                <c:pt idx="245">
                  <c:v>1</c:v>
                </c:pt>
                <c:pt idx="246">
                  <c:v>1</c:v>
                </c:pt>
                <c:pt idx="247">
                  <c:v>0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0</c:v>
                </c:pt>
                <c:pt idx="257">
                  <c:v>0</c:v>
                </c:pt>
                <c:pt idx="258">
                  <c:v>1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1</c:v>
                </c:pt>
                <c:pt idx="275">
                  <c:v>1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1</c:v>
                </c:pt>
                <c:pt idx="281">
                  <c:v>1</c:v>
                </c:pt>
                <c:pt idx="282">
                  <c:v>1</c:v>
                </c:pt>
                <c:pt idx="283">
                  <c:v>0</c:v>
                </c:pt>
                <c:pt idx="284">
                  <c:v>1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0</c:v>
                </c:pt>
                <c:pt idx="292">
                  <c:v>1</c:v>
                </c:pt>
                <c:pt idx="293">
                  <c:v>1</c:v>
                </c:pt>
                <c:pt idx="294">
                  <c:v>1</c:v>
                </c:pt>
                <c:pt idx="295">
                  <c:v>0</c:v>
                </c:pt>
                <c:pt idx="296">
                  <c:v>0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1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1</c:v>
                </c:pt>
                <c:pt idx="307">
                  <c:v>1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1</c:v>
                </c:pt>
                <c:pt idx="321">
                  <c:v>1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1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1</c:v>
                </c:pt>
                <c:pt idx="334">
                  <c:v>0</c:v>
                </c:pt>
                <c:pt idx="335">
                  <c:v>1</c:v>
                </c:pt>
                <c:pt idx="336">
                  <c:v>0</c:v>
                </c:pt>
                <c:pt idx="337">
                  <c:v>0</c:v>
                </c:pt>
                <c:pt idx="338">
                  <c:v>1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1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1</c:v>
                </c:pt>
                <c:pt idx="357">
                  <c:v>1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1</c:v>
                </c:pt>
                <c:pt idx="363">
                  <c:v>1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</c:v>
                </c:pt>
                <c:pt idx="369">
                  <c:v>0</c:v>
                </c:pt>
                <c:pt idx="370">
                  <c:v>1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1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</c:v>
                </c:pt>
                <c:pt idx="389">
                  <c:v>1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1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</c:v>
                </c:pt>
                <c:pt idx="407">
                  <c:v>0</c:v>
                </c:pt>
                <c:pt idx="408">
                  <c:v>0</c:v>
                </c:pt>
                <c:pt idx="409">
                  <c:v>1</c:v>
                </c:pt>
                <c:pt idx="410">
                  <c:v>0</c:v>
                </c:pt>
                <c:pt idx="411">
                  <c:v>1</c:v>
                </c:pt>
                <c:pt idx="412">
                  <c:v>1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1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1</c:v>
                </c:pt>
                <c:pt idx="444">
                  <c:v>0</c:v>
                </c:pt>
                <c:pt idx="445">
                  <c:v>1</c:v>
                </c:pt>
                <c:pt idx="446">
                  <c:v>1</c:v>
                </c:pt>
                <c:pt idx="447">
                  <c:v>1</c:v>
                </c:pt>
                <c:pt idx="448">
                  <c:v>0</c:v>
                </c:pt>
                <c:pt idx="449">
                  <c:v>1</c:v>
                </c:pt>
                <c:pt idx="450">
                  <c:v>0</c:v>
                </c:pt>
                <c:pt idx="451">
                  <c:v>1</c:v>
                </c:pt>
                <c:pt idx="452">
                  <c:v>1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1</c:v>
                </c:pt>
                <c:pt idx="475">
                  <c:v>0</c:v>
                </c:pt>
                <c:pt idx="476">
                  <c:v>0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1</c:v>
                </c:pt>
                <c:pt idx="481">
                  <c:v>0</c:v>
                </c:pt>
                <c:pt idx="482">
                  <c:v>0</c:v>
                </c:pt>
                <c:pt idx="483">
                  <c:v>1</c:v>
                </c:pt>
                <c:pt idx="484">
                  <c:v>1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1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1</c:v>
                </c:pt>
                <c:pt idx="503">
                  <c:v>1</c:v>
                </c:pt>
                <c:pt idx="504">
                  <c:v>0</c:v>
                </c:pt>
                <c:pt idx="505">
                  <c:v>0</c:v>
                </c:pt>
                <c:pt idx="506">
                  <c:v>1</c:v>
                </c:pt>
                <c:pt idx="507">
                  <c:v>1</c:v>
                </c:pt>
                <c:pt idx="508">
                  <c:v>0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0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1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1</c:v>
                </c:pt>
                <c:pt idx="521">
                  <c:v>0</c:v>
                </c:pt>
                <c:pt idx="522">
                  <c:v>1</c:v>
                </c:pt>
                <c:pt idx="523">
                  <c:v>1</c:v>
                </c:pt>
                <c:pt idx="524">
                  <c:v>0</c:v>
                </c:pt>
                <c:pt idx="525">
                  <c:v>1</c:v>
                </c:pt>
                <c:pt idx="526">
                  <c:v>1</c:v>
                </c:pt>
                <c:pt idx="527">
                  <c:v>0</c:v>
                </c:pt>
                <c:pt idx="528">
                  <c:v>0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1</c:v>
                </c:pt>
                <c:pt idx="535">
                  <c:v>0</c:v>
                </c:pt>
                <c:pt idx="536">
                  <c:v>0</c:v>
                </c:pt>
                <c:pt idx="537">
                  <c:v>1</c:v>
                </c:pt>
                <c:pt idx="538">
                  <c:v>1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1</c:v>
                </c:pt>
                <c:pt idx="556">
                  <c:v>0</c:v>
                </c:pt>
                <c:pt idx="557">
                  <c:v>0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1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1</c:v>
                </c:pt>
                <c:pt idx="576">
                  <c:v>0</c:v>
                </c:pt>
                <c:pt idx="577">
                  <c:v>0</c:v>
                </c:pt>
                <c:pt idx="578">
                  <c:v>1</c:v>
                </c:pt>
                <c:pt idx="579">
                  <c:v>1</c:v>
                </c:pt>
                <c:pt idx="580">
                  <c:v>0</c:v>
                </c:pt>
                <c:pt idx="581">
                  <c:v>0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1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1</c:v>
                </c:pt>
                <c:pt idx="595">
                  <c:v>1</c:v>
                </c:pt>
                <c:pt idx="596">
                  <c:v>0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1</c:v>
                </c:pt>
                <c:pt idx="604">
                  <c:v>1</c:v>
                </c:pt>
                <c:pt idx="605">
                  <c:v>1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1</c:v>
                </c:pt>
                <c:pt idx="610">
                  <c:v>1</c:v>
                </c:pt>
                <c:pt idx="611">
                  <c:v>0</c:v>
                </c:pt>
                <c:pt idx="612">
                  <c:v>1</c:v>
                </c:pt>
                <c:pt idx="613">
                  <c:v>1</c:v>
                </c:pt>
                <c:pt idx="614">
                  <c:v>0</c:v>
                </c:pt>
                <c:pt idx="615">
                  <c:v>0</c:v>
                </c:pt>
                <c:pt idx="616">
                  <c:v>1</c:v>
                </c:pt>
                <c:pt idx="617">
                  <c:v>1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1</c:v>
                </c:pt>
                <c:pt idx="632">
                  <c:v>0</c:v>
                </c:pt>
                <c:pt idx="633">
                  <c:v>1</c:v>
                </c:pt>
                <c:pt idx="634">
                  <c:v>1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</c:v>
                </c:pt>
                <c:pt idx="640">
                  <c:v>0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1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1</c:v>
                </c:pt>
                <c:pt idx="651">
                  <c:v>1</c:v>
                </c:pt>
                <c:pt idx="652">
                  <c:v>1</c:v>
                </c:pt>
                <c:pt idx="653">
                  <c:v>0</c:v>
                </c:pt>
                <c:pt idx="654">
                  <c:v>1</c:v>
                </c:pt>
                <c:pt idx="655">
                  <c:v>0</c:v>
                </c:pt>
                <c:pt idx="656">
                  <c:v>1</c:v>
                </c:pt>
                <c:pt idx="657">
                  <c:v>1</c:v>
                </c:pt>
                <c:pt idx="658">
                  <c:v>1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</c:v>
                </c:pt>
                <c:pt idx="663">
                  <c:v>0</c:v>
                </c:pt>
                <c:pt idx="664">
                  <c:v>1</c:v>
                </c:pt>
                <c:pt idx="665">
                  <c:v>1</c:v>
                </c:pt>
                <c:pt idx="666">
                  <c:v>1</c:v>
                </c:pt>
                <c:pt idx="667">
                  <c:v>0</c:v>
                </c:pt>
                <c:pt idx="668">
                  <c:v>1</c:v>
                </c:pt>
                <c:pt idx="669">
                  <c:v>1</c:v>
                </c:pt>
                <c:pt idx="670">
                  <c:v>1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1</c:v>
                </c:pt>
                <c:pt idx="679">
                  <c:v>0</c:v>
                </c:pt>
                <c:pt idx="680">
                  <c:v>1</c:v>
                </c:pt>
                <c:pt idx="681">
                  <c:v>1</c:v>
                </c:pt>
                <c:pt idx="682">
                  <c:v>1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1</c:v>
                </c:pt>
                <c:pt idx="688">
                  <c:v>1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1</c:v>
                </c:pt>
                <c:pt idx="697">
                  <c:v>0</c:v>
                </c:pt>
                <c:pt idx="698">
                  <c:v>0</c:v>
                </c:pt>
                <c:pt idx="699">
                  <c:v>1</c:v>
                </c:pt>
                <c:pt idx="700">
                  <c:v>1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0</c:v>
                </c:pt>
                <c:pt idx="705">
                  <c:v>0</c:v>
                </c:pt>
                <c:pt idx="706">
                  <c:v>1</c:v>
                </c:pt>
                <c:pt idx="707">
                  <c:v>1</c:v>
                </c:pt>
                <c:pt idx="708">
                  <c:v>0</c:v>
                </c:pt>
                <c:pt idx="709">
                  <c:v>0</c:v>
                </c:pt>
                <c:pt idx="710">
                  <c:v>1</c:v>
                </c:pt>
                <c:pt idx="711">
                  <c:v>1</c:v>
                </c:pt>
                <c:pt idx="712">
                  <c:v>1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1</c:v>
                </c:pt>
                <c:pt idx="726">
                  <c:v>1</c:v>
                </c:pt>
                <c:pt idx="727">
                  <c:v>1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1</c:v>
                </c:pt>
                <c:pt idx="732">
                  <c:v>1</c:v>
                </c:pt>
                <c:pt idx="733">
                  <c:v>1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1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</c:v>
                </c:pt>
                <c:pt idx="744">
                  <c:v>1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1</c:v>
                </c:pt>
                <c:pt idx="752">
                  <c:v>1</c:v>
                </c:pt>
                <c:pt idx="753">
                  <c:v>1</c:v>
                </c:pt>
                <c:pt idx="754">
                  <c:v>0</c:v>
                </c:pt>
                <c:pt idx="755">
                  <c:v>0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1</c:v>
                </c:pt>
                <c:pt idx="761">
                  <c:v>0</c:v>
                </c:pt>
                <c:pt idx="762">
                  <c:v>0</c:v>
                </c:pt>
                <c:pt idx="763">
                  <c:v>1</c:v>
                </c:pt>
                <c:pt idx="764">
                  <c:v>1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1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1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1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1</c:v>
                </c:pt>
                <c:pt idx="793">
                  <c:v>1</c:v>
                </c:pt>
                <c:pt idx="794">
                  <c:v>0</c:v>
                </c:pt>
                <c:pt idx="795">
                  <c:v>0</c:v>
                </c:pt>
                <c:pt idx="796">
                  <c:v>1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1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1</c:v>
                </c:pt>
                <c:pt idx="811">
                  <c:v>1</c:v>
                </c:pt>
                <c:pt idx="812">
                  <c:v>0</c:v>
                </c:pt>
                <c:pt idx="813">
                  <c:v>0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1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1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1</c:v>
                </c:pt>
                <c:pt idx="831">
                  <c:v>0</c:v>
                </c:pt>
                <c:pt idx="832">
                  <c:v>0</c:v>
                </c:pt>
                <c:pt idx="833">
                  <c:v>1</c:v>
                </c:pt>
                <c:pt idx="834">
                  <c:v>1</c:v>
                </c:pt>
                <c:pt idx="835">
                  <c:v>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1</c:v>
                </c:pt>
                <c:pt idx="841">
                  <c:v>1</c:v>
                </c:pt>
                <c:pt idx="842">
                  <c:v>0</c:v>
                </c:pt>
                <c:pt idx="843">
                  <c:v>0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1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1</c:v>
                </c:pt>
                <c:pt idx="861">
                  <c:v>0</c:v>
                </c:pt>
                <c:pt idx="862">
                  <c:v>0</c:v>
                </c:pt>
                <c:pt idx="863">
                  <c:v>1</c:v>
                </c:pt>
                <c:pt idx="864">
                  <c:v>0</c:v>
                </c:pt>
                <c:pt idx="865">
                  <c:v>0</c:v>
                </c:pt>
                <c:pt idx="866">
                  <c:v>1</c:v>
                </c:pt>
                <c:pt idx="867">
                  <c:v>1</c:v>
                </c:pt>
                <c:pt idx="868">
                  <c:v>0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1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1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1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1</c:v>
                </c:pt>
                <c:pt idx="908">
                  <c:v>0</c:v>
                </c:pt>
                <c:pt idx="909">
                  <c:v>1</c:v>
                </c:pt>
                <c:pt idx="910">
                  <c:v>1</c:v>
                </c:pt>
                <c:pt idx="911">
                  <c:v>1</c:v>
                </c:pt>
                <c:pt idx="912">
                  <c:v>0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0</c:v>
                </c:pt>
                <c:pt idx="918">
                  <c:v>1</c:v>
                </c:pt>
                <c:pt idx="919">
                  <c:v>0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1</c:v>
                </c:pt>
                <c:pt idx="926">
                  <c:v>0</c:v>
                </c:pt>
                <c:pt idx="927">
                  <c:v>0</c:v>
                </c:pt>
                <c:pt idx="928">
                  <c:v>1</c:v>
                </c:pt>
                <c:pt idx="929">
                  <c:v>1</c:v>
                </c:pt>
                <c:pt idx="930">
                  <c:v>0</c:v>
                </c:pt>
                <c:pt idx="931">
                  <c:v>1</c:v>
                </c:pt>
                <c:pt idx="932">
                  <c:v>1</c:v>
                </c:pt>
                <c:pt idx="933">
                  <c:v>0</c:v>
                </c:pt>
                <c:pt idx="934">
                  <c:v>1</c:v>
                </c:pt>
                <c:pt idx="935">
                  <c:v>1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1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</c:v>
                </c:pt>
                <c:pt idx="945">
                  <c:v>1</c:v>
                </c:pt>
                <c:pt idx="946">
                  <c:v>1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1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1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1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1</c:v>
                </c:pt>
                <c:pt idx="978">
                  <c:v>0</c:v>
                </c:pt>
                <c:pt idx="979">
                  <c:v>0</c:v>
                </c:pt>
                <c:pt idx="980">
                  <c:v>1</c:v>
                </c:pt>
                <c:pt idx="981">
                  <c:v>1</c:v>
                </c:pt>
                <c:pt idx="982">
                  <c:v>1</c:v>
                </c:pt>
                <c:pt idx="983">
                  <c:v>0</c:v>
                </c:pt>
                <c:pt idx="984">
                  <c:v>1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1</c:v>
                </c:pt>
                <c:pt idx="990">
                  <c:v>1</c:v>
                </c:pt>
                <c:pt idx="991">
                  <c:v>0</c:v>
                </c:pt>
                <c:pt idx="992">
                  <c:v>1</c:v>
                </c:pt>
                <c:pt idx="993">
                  <c:v>1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</c:v>
                </c:pt>
                <c:pt idx="1002">
                  <c:v>1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1</c:v>
                </c:pt>
                <c:pt idx="1008">
                  <c:v>1</c:v>
                </c:pt>
                <c:pt idx="1009">
                  <c:v>0</c:v>
                </c:pt>
                <c:pt idx="1010">
                  <c:v>0</c:v>
                </c:pt>
                <c:pt idx="1011">
                  <c:v>1</c:v>
                </c:pt>
                <c:pt idx="1012">
                  <c:v>1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1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1</c:v>
                </c:pt>
                <c:pt idx="1027">
                  <c:v>1</c:v>
                </c:pt>
                <c:pt idx="1028">
                  <c:v>1</c:v>
                </c:pt>
                <c:pt idx="1029">
                  <c:v>0</c:v>
                </c:pt>
                <c:pt idx="1030">
                  <c:v>1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1</c:v>
                </c:pt>
                <c:pt idx="1038">
                  <c:v>1</c:v>
                </c:pt>
                <c:pt idx="1039">
                  <c:v>1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1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1</c:v>
                </c:pt>
                <c:pt idx="1060">
                  <c:v>1</c:v>
                </c:pt>
                <c:pt idx="1061">
                  <c:v>1</c:v>
                </c:pt>
                <c:pt idx="1062">
                  <c:v>0</c:v>
                </c:pt>
                <c:pt idx="1063">
                  <c:v>0</c:v>
                </c:pt>
                <c:pt idx="1064">
                  <c:v>1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1</c:v>
                </c:pt>
                <c:pt idx="1070">
                  <c:v>1</c:v>
                </c:pt>
                <c:pt idx="1071">
                  <c:v>1</c:v>
                </c:pt>
                <c:pt idx="1072">
                  <c:v>0</c:v>
                </c:pt>
                <c:pt idx="1073">
                  <c:v>1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1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1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1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1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1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1</c:v>
                </c:pt>
                <c:pt idx="1133">
                  <c:v>1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1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1</c:v>
                </c:pt>
                <c:pt idx="1148">
                  <c:v>1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1</c:v>
                </c:pt>
                <c:pt idx="1158">
                  <c:v>0</c:v>
                </c:pt>
                <c:pt idx="1159">
                  <c:v>1</c:v>
                </c:pt>
                <c:pt idx="1160">
                  <c:v>0</c:v>
                </c:pt>
                <c:pt idx="1161">
                  <c:v>0</c:v>
                </c:pt>
                <c:pt idx="1162">
                  <c:v>1</c:v>
                </c:pt>
                <c:pt idx="1163">
                  <c:v>1</c:v>
                </c:pt>
                <c:pt idx="1164">
                  <c:v>1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1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</c:v>
                </c:pt>
                <c:pt idx="1188">
                  <c:v>1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1</c:v>
                </c:pt>
                <c:pt idx="1194">
                  <c:v>1</c:v>
                </c:pt>
                <c:pt idx="1195">
                  <c:v>0</c:v>
                </c:pt>
                <c:pt idx="1196">
                  <c:v>1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1</c:v>
                </c:pt>
                <c:pt idx="1210">
                  <c:v>1</c:v>
                </c:pt>
                <c:pt idx="1211">
                  <c:v>0</c:v>
                </c:pt>
                <c:pt idx="1212">
                  <c:v>0</c:v>
                </c:pt>
                <c:pt idx="1213">
                  <c:v>1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1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1</c:v>
                </c:pt>
                <c:pt idx="1225">
                  <c:v>1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1</c:v>
                </c:pt>
                <c:pt idx="1231">
                  <c:v>1</c:v>
                </c:pt>
                <c:pt idx="1232">
                  <c:v>0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1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1</c:v>
                </c:pt>
                <c:pt idx="1248">
                  <c:v>1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1</c:v>
                </c:pt>
                <c:pt idx="1254">
                  <c:v>0</c:v>
                </c:pt>
                <c:pt idx="1255">
                  <c:v>1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1</c:v>
                </c:pt>
                <c:pt idx="1264">
                  <c:v>0</c:v>
                </c:pt>
                <c:pt idx="1265">
                  <c:v>1</c:v>
                </c:pt>
                <c:pt idx="1266">
                  <c:v>1</c:v>
                </c:pt>
                <c:pt idx="1267">
                  <c:v>0</c:v>
                </c:pt>
                <c:pt idx="1268">
                  <c:v>1</c:v>
                </c:pt>
                <c:pt idx="1269">
                  <c:v>1</c:v>
                </c:pt>
                <c:pt idx="1270">
                  <c:v>1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1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1</c:v>
                </c:pt>
                <c:pt idx="1291">
                  <c:v>0</c:v>
                </c:pt>
                <c:pt idx="1292">
                  <c:v>1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1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1</c:v>
                </c:pt>
                <c:pt idx="1321">
                  <c:v>1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1</c:v>
                </c:pt>
                <c:pt idx="1335">
                  <c:v>0</c:v>
                </c:pt>
                <c:pt idx="1336">
                  <c:v>0</c:v>
                </c:pt>
                <c:pt idx="1337">
                  <c:v>1</c:v>
                </c:pt>
                <c:pt idx="1338">
                  <c:v>0</c:v>
                </c:pt>
                <c:pt idx="1339">
                  <c:v>1</c:v>
                </c:pt>
                <c:pt idx="1340">
                  <c:v>1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</c:v>
                </c:pt>
                <c:pt idx="1350">
                  <c:v>0</c:v>
                </c:pt>
                <c:pt idx="1351">
                  <c:v>0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1</c:v>
                </c:pt>
                <c:pt idx="1357">
                  <c:v>0</c:v>
                </c:pt>
                <c:pt idx="1358">
                  <c:v>1</c:v>
                </c:pt>
                <c:pt idx="1359">
                  <c:v>0</c:v>
                </c:pt>
                <c:pt idx="1360">
                  <c:v>0</c:v>
                </c:pt>
                <c:pt idx="1361">
                  <c:v>1</c:v>
                </c:pt>
                <c:pt idx="1362">
                  <c:v>1</c:v>
                </c:pt>
                <c:pt idx="1363">
                  <c:v>0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1</c:v>
                </c:pt>
                <c:pt idx="1371">
                  <c:v>1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1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1</c:v>
                </c:pt>
                <c:pt idx="1385">
                  <c:v>0</c:v>
                </c:pt>
                <c:pt idx="1386">
                  <c:v>0</c:v>
                </c:pt>
                <c:pt idx="1387">
                  <c:v>1</c:v>
                </c:pt>
                <c:pt idx="1388">
                  <c:v>1</c:v>
                </c:pt>
                <c:pt idx="1389">
                  <c:v>0</c:v>
                </c:pt>
                <c:pt idx="1390">
                  <c:v>1</c:v>
                </c:pt>
                <c:pt idx="1391">
                  <c:v>1</c:v>
                </c:pt>
                <c:pt idx="1392">
                  <c:v>1</c:v>
                </c:pt>
                <c:pt idx="1393">
                  <c:v>0</c:v>
                </c:pt>
                <c:pt idx="1394">
                  <c:v>1</c:v>
                </c:pt>
                <c:pt idx="1395">
                  <c:v>0</c:v>
                </c:pt>
                <c:pt idx="1396">
                  <c:v>0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1</c:v>
                </c:pt>
                <c:pt idx="1423">
                  <c:v>0</c:v>
                </c:pt>
                <c:pt idx="1424">
                  <c:v>1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1</c:v>
                </c:pt>
                <c:pt idx="1431">
                  <c:v>0</c:v>
                </c:pt>
                <c:pt idx="1432">
                  <c:v>1</c:v>
                </c:pt>
                <c:pt idx="1433">
                  <c:v>0</c:v>
                </c:pt>
                <c:pt idx="1434">
                  <c:v>1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1</c:v>
                </c:pt>
                <c:pt idx="1441">
                  <c:v>0</c:v>
                </c:pt>
                <c:pt idx="1442">
                  <c:v>1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1</c:v>
                </c:pt>
                <c:pt idx="1449">
                  <c:v>0</c:v>
                </c:pt>
                <c:pt idx="1450">
                  <c:v>1</c:v>
                </c:pt>
                <c:pt idx="1451">
                  <c:v>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1</c:v>
                </c:pt>
                <c:pt idx="1466">
                  <c:v>0</c:v>
                </c:pt>
                <c:pt idx="1467">
                  <c:v>0</c:v>
                </c:pt>
                <c:pt idx="1468">
                  <c:v>1</c:v>
                </c:pt>
                <c:pt idx="1469">
                  <c:v>1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1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1</c:v>
                </c:pt>
                <c:pt idx="1503">
                  <c:v>1</c:v>
                </c:pt>
                <c:pt idx="1504">
                  <c:v>0</c:v>
                </c:pt>
                <c:pt idx="1505">
                  <c:v>0</c:v>
                </c:pt>
                <c:pt idx="1506">
                  <c:v>1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1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1</c:v>
                </c:pt>
                <c:pt idx="1550">
                  <c:v>1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1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1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1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1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1</c:v>
                </c:pt>
                <c:pt idx="1583">
                  <c:v>1</c:v>
                </c:pt>
                <c:pt idx="1584">
                  <c:v>1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0</c:v>
                </c:pt>
                <c:pt idx="1589">
                  <c:v>1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1</c:v>
                </c:pt>
                <c:pt idx="1600">
                  <c:v>1</c:v>
                </c:pt>
                <c:pt idx="1601">
                  <c:v>0</c:v>
                </c:pt>
                <c:pt idx="1602">
                  <c:v>1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1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</c:v>
                </c:pt>
                <c:pt idx="1615">
                  <c:v>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1</c:v>
                </c:pt>
                <c:pt idx="1622">
                  <c:v>1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1</c:v>
                </c:pt>
                <c:pt idx="1628">
                  <c:v>1</c:v>
                </c:pt>
                <c:pt idx="1629">
                  <c:v>0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1</c:v>
                </c:pt>
                <c:pt idx="1638">
                  <c:v>1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1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1</c:v>
                </c:pt>
                <c:pt idx="1649">
                  <c:v>1</c:v>
                </c:pt>
                <c:pt idx="1650">
                  <c:v>1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1</c:v>
                </c:pt>
                <c:pt idx="1655">
                  <c:v>1</c:v>
                </c:pt>
                <c:pt idx="1656">
                  <c:v>0</c:v>
                </c:pt>
                <c:pt idx="1657">
                  <c:v>1</c:v>
                </c:pt>
                <c:pt idx="1658">
                  <c:v>0</c:v>
                </c:pt>
                <c:pt idx="1659">
                  <c:v>1</c:v>
                </c:pt>
                <c:pt idx="1660">
                  <c:v>1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1</c:v>
                </c:pt>
                <c:pt idx="1667">
                  <c:v>1</c:v>
                </c:pt>
                <c:pt idx="1668">
                  <c:v>0</c:v>
                </c:pt>
                <c:pt idx="1669">
                  <c:v>1</c:v>
                </c:pt>
                <c:pt idx="1670">
                  <c:v>0</c:v>
                </c:pt>
                <c:pt idx="1671">
                  <c:v>1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1</c:v>
                </c:pt>
                <c:pt idx="1688">
                  <c:v>1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0</c:v>
                </c:pt>
                <c:pt idx="1703">
                  <c:v>1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0</c:v>
                </c:pt>
                <c:pt idx="1708">
                  <c:v>1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1</c:v>
                </c:pt>
                <c:pt idx="1714">
                  <c:v>0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1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1</c:v>
                </c:pt>
                <c:pt idx="1734">
                  <c:v>1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1</c:v>
                </c:pt>
                <c:pt idx="1739">
                  <c:v>1</c:v>
                </c:pt>
                <c:pt idx="1740">
                  <c:v>1</c:v>
                </c:pt>
                <c:pt idx="1741">
                  <c:v>0</c:v>
                </c:pt>
                <c:pt idx="1742">
                  <c:v>1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1</c:v>
                </c:pt>
                <c:pt idx="1749">
                  <c:v>1</c:v>
                </c:pt>
                <c:pt idx="1750">
                  <c:v>1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1</c:v>
                </c:pt>
                <c:pt idx="1769">
                  <c:v>0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1</c:v>
                </c:pt>
                <c:pt idx="1778">
                  <c:v>1</c:v>
                </c:pt>
                <c:pt idx="1779">
                  <c:v>1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1</c:v>
                </c:pt>
                <c:pt idx="1785">
                  <c:v>0</c:v>
                </c:pt>
                <c:pt idx="1786">
                  <c:v>0</c:v>
                </c:pt>
                <c:pt idx="1787">
                  <c:v>1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1</c:v>
                </c:pt>
                <c:pt idx="1803">
                  <c:v>0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1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1</c:v>
                </c:pt>
                <c:pt idx="1823">
                  <c:v>1</c:v>
                </c:pt>
                <c:pt idx="1824">
                  <c:v>1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1</c:v>
                </c:pt>
                <c:pt idx="1831">
                  <c:v>1</c:v>
                </c:pt>
                <c:pt idx="1832">
                  <c:v>1</c:v>
                </c:pt>
                <c:pt idx="1833">
                  <c:v>0</c:v>
                </c:pt>
                <c:pt idx="1834">
                  <c:v>1</c:v>
                </c:pt>
                <c:pt idx="1835">
                  <c:v>1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1</c:v>
                </c:pt>
                <c:pt idx="1842">
                  <c:v>1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</c:v>
                </c:pt>
                <c:pt idx="1854">
                  <c:v>0</c:v>
                </c:pt>
                <c:pt idx="1855">
                  <c:v>1</c:v>
                </c:pt>
                <c:pt idx="1856">
                  <c:v>1</c:v>
                </c:pt>
                <c:pt idx="1857">
                  <c:v>0</c:v>
                </c:pt>
                <c:pt idx="1858">
                  <c:v>0</c:v>
                </c:pt>
                <c:pt idx="1859">
                  <c:v>1</c:v>
                </c:pt>
                <c:pt idx="1860">
                  <c:v>1</c:v>
                </c:pt>
                <c:pt idx="1861">
                  <c:v>1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1</c:v>
                </c:pt>
                <c:pt idx="1866">
                  <c:v>1</c:v>
                </c:pt>
                <c:pt idx="1867">
                  <c:v>0</c:v>
                </c:pt>
                <c:pt idx="1868">
                  <c:v>0</c:v>
                </c:pt>
                <c:pt idx="1869">
                  <c:v>1</c:v>
                </c:pt>
                <c:pt idx="1870">
                  <c:v>0</c:v>
                </c:pt>
                <c:pt idx="1871">
                  <c:v>0</c:v>
                </c:pt>
                <c:pt idx="1872">
                  <c:v>1</c:v>
                </c:pt>
                <c:pt idx="1873">
                  <c:v>1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1</c:v>
                </c:pt>
                <c:pt idx="1894">
                  <c:v>0</c:v>
                </c:pt>
                <c:pt idx="1895">
                  <c:v>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1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1</c:v>
                </c:pt>
                <c:pt idx="1911">
                  <c:v>0</c:v>
                </c:pt>
                <c:pt idx="1912">
                  <c:v>0</c:v>
                </c:pt>
                <c:pt idx="1913">
                  <c:v>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1</c:v>
                </c:pt>
                <c:pt idx="1920">
                  <c:v>1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1</c:v>
                </c:pt>
                <c:pt idx="1928">
                  <c:v>0</c:v>
                </c:pt>
                <c:pt idx="1929">
                  <c:v>0</c:v>
                </c:pt>
                <c:pt idx="1930">
                  <c:v>1</c:v>
                </c:pt>
                <c:pt idx="1931">
                  <c:v>1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</c:v>
                </c:pt>
                <c:pt idx="1946">
                  <c:v>0</c:v>
                </c:pt>
                <c:pt idx="1947">
                  <c:v>1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1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1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1</c:v>
                </c:pt>
                <c:pt idx="1976">
                  <c:v>0</c:v>
                </c:pt>
                <c:pt idx="1977">
                  <c:v>0</c:v>
                </c:pt>
                <c:pt idx="1978">
                  <c:v>1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1</c:v>
                </c:pt>
                <c:pt idx="1990">
                  <c:v>0</c:v>
                </c:pt>
                <c:pt idx="1991">
                  <c:v>1</c:v>
                </c:pt>
                <c:pt idx="1992">
                  <c:v>0</c:v>
                </c:pt>
                <c:pt idx="1993">
                  <c:v>1</c:v>
                </c:pt>
                <c:pt idx="1994">
                  <c:v>1</c:v>
                </c:pt>
                <c:pt idx="1995">
                  <c:v>0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1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1</c:v>
                </c:pt>
                <c:pt idx="2009">
                  <c:v>1</c:v>
                </c:pt>
                <c:pt idx="2010">
                  <c:v>1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1</c:v>
                </c:pt>
                <c:pt idx="2017">
                  <c:v>1</c:v>
                </c:pt>
                <c:pt idx="2018">
                  <c:v>1</c:v>
                </c:pt>
                <c:pt idx="2019">
                  <c:v>0</c:v>
                </c:pt>
                <c:pt idx="2020">
                  <c:v>1</c:v>
                </c:pt>
                <c:pt idx="2021">
                  <c:v>1</c:v>
                </c:pt>
                <c:pt idx="2022">
                  <c:v>1</c:v>
                </c:pt>
                <c:pt idx="2023">
                  <c:v>0</c:v>
                </c:pt>
                <c:pt idx="2024">
                  <c:v>1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1</c:v>
                </c:pt>
                <c:pt idx="2033">
                  <c:v>1</c:v>
                </c:pt>
                <c:pt idx="2034">
                  <c:v>1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0</c:v>
                </c:pt>
                <c:pt idx="2045">
                  <c:v>0</c:v>
                </c:pt>
                <c:pt idx="2046">
                  <c:v>1</c:v>
                </c:pt>
                <c:pt idx="2047">
                  <c:v>0</c:v>
                </c:pt>
                <c:pt idx="2048">
                  <c:v>1</c:v>
                </c:pt>
                <c:pt idx="2049">
                  <c:v>0</c:v>
                </c:pt>
                <c:pt idx="2050">
                  <c:v>1</c:v>
                </c:pt>
                <c:pt idx="2051">
                  <c:v>1</c:v>
                </c:pt>
                <c:pt idx="2052">
                  <c:v>0</c:v>
                </c:pt>
                <c:pt idx="2053">
                  <c:v>1</c:v>
                </c:pt>
                <c:pt idx="2054">
                  <c:v>1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1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</c:v>
                </c:pt>
                <c:pt idx="2069">
                  <c:v>1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1</c:v>
                </c:pt>
                <c:pt idx="2086">
                  <c:v>0</c:v>
                </c:pt>
                <c:pt idx="2087">
                  <c:v>1</c:v>
                </c:pt>
                <c:pt idx="2088">
                  <c:v>1</c:v>
                </c:pt>
                <c:pt idx="2089">
                  <c:v>1</c:v>
                </c:pt>
                <c:pt idx="2090">
                  <c:v>0</c:v>
                </c:pt>
                <c:pt idx="2091">
                  <c:v>0</c:v>
                </c:pt>
                <c:pt idx="2092">
                  <c:v>1</c:v>
                </c:pt>
                <c:pt idx="2093">
                  <c:v>1</c:v>
                </c:pt>
                <c:pt idx="2094">
                  <c:v>0</c:v>
                </c:pt>
                <c:pt idx="2095">
                  <c:v>1</c:v>
                </c:pt>
                <c:pt idx="2096">
                  <c:v>1</c:v>
                </c:pt>
                <c:pt idx="2097">
                  <c:v>0</c:v>
                </c:pt>
                <c:pt idx="2098">
                  <c:v>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1</c:v>
                </c:pt>
                <c:pt idx="2106">
                  <c:v>0</c:v>
                </c:pt>
                <c:pt idx="2107">
                  <c:v>1</c:v>
                </c:pt>
                <c:pt idx="2108">
                  <c:v>1</c:v>
                </c:pt>
                <c:pt idx="2109">
                  <c:v>0</c:v>
                </c:pt>
                <c:pt idx="2110">
                  <c:v>1</c:v>
                </c:pt>
                <c:pt idx="2111">
                  <c:v>1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1</c:v>
                </c:pt>
                <c:pt idx="2127">
                  <c:v>0</c:v>
                </c:pt>
                <c:pt idx="2128">
                  <c:v>0</c:v>
                </c:pt>
                <c:pt idx="2129">
                  <c:v>1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1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1</c:v>
                </c:pt>
                <c:pt idx="2144">
                  <c:v>0</c:v>
                </c:pt>
                <c:pt idx="2145">
                  <c:v>1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1</c:v>
                </c:pt>
                <c:pt idx="2156">
                  <c:v>1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1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1</c:v>
                </c:pt>
                <c:pt idx="2174">
                  <c:v>0</c:v>
                </c:pt>
                <c:pt idx="2175">
                  <c:v>0</c:v>
                </c:pt>
                <c:pt idx="2176">
                  <c:v>1</c:v>
                </c:pt>
                <c:pt idx="2177">
                  <c:v>0</c:v>
                </c:pt>
                <c:pt idx="2178">
                  <c:v>0</c:v>
                </c:pt>
                <c:pt idx="2179">
                  <c:v>1</c:v>
                </c:pt>
                <c:pt idx="2180">
                  <c:v>0</c:v>
                </c:pt>
                <c:pt idx="2181">
                  <c:v>0</c:v>
                </c:pt>
                <c:pt idx="2182">
                  <c:v>1</c:v>
                </c:pt>
                <c:pt idx="2183">
                  <c:v>0</c:v>
                </c:pt>
                <c:pt idx="2184">
                  <c:v>1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1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1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1</c:v>
                </c:pt>
                <c:pt idx="2223">
                  <c:v>0</c:v>
                </c:pt>
                <c:pt idx="2224">
                  <c:v>1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1</c:v>
                </c:pt>
                <c:pt idx="2232">
                  <c:v>1</c:v>
                </c:pt>
                <c:pt idx="2233">
                  <c:v>0</c:v>
                </c:pt>
                <c:pt idx="2234">
                  <c:v>0</c:v>
                </c:pt>
                <c:pt idx="2235">
                  <c:v>1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1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1</c:v>
                </c:pt>
                <c:pt idx="2248">
                  <c:v>1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1</c:v>
                </c:pt>
                <c:pt idx="2264">
                  <c:v>1</c:v>
                </c:pt>
                <c:pt idx="2265">
                  <c:v>0</c:v>
                </c:pt>
                <c:pt idx="2266">
                  <c:v>1</c:v>
                </c:pt>
                <c:pt idx="2267">
                  <c:v>1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1</c:v>
                </c:pt>
                <c:pt idx="2283">
                  <c:v>1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1</c:v>
                </c:pt>
                <c:pt idx="2288">
                  <c:v>1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1</c:v>
                </c:pt>
                <c:pt idx="2296">
                  <c:v>1</c:v>
                </c:pt>
                <c:pt idx="2297">
                  <c:v>1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1</c:v>
                </c:pt>
                <c:pt idx="2302">
                  <c:v>1</c:v>
                </c:pt>
                <c:pt idx="2303">
                  <c:v>1</c:v>
                </c:pt>
                <c:pt idx="2304">
                  <c:v>0</c:v>
                </c:pt>
                <c:pt idx="2305">
                  <c:v>1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1</c:v>
                </c:pt>
                <c:pt idx="2315">
                  <c:v>0</c:v>
                </c:pt>
                <c:pt idx="2316">
                  <c:v>0</c:v>
                </c:pt>
                <c:pt idx="2317">
                  <c:v>1</c:v>
                </c:pt>
                <c:pt idx="2318">
                  <c:v>1</c:v>
                </c:pt>
                <c:pt idx="2319">
                  <c:v>1</c:v>
                </c:pt>
                <c:pt idx="2320">
                  <c:v>0</c:v>
                </c:pt>
                <c:pt idx="2321">
                  <c:v>1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1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1</c:v>
                </c:pt>
                <c:pt idx="2334">
                  <c:v>1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1</c:v>
                </c:pt>
                <c:pt idx="2341">
                  <c:v>1</c:v>
                </c:pt>
                <c:pt idx="2342">
                  <c:v>0</c:v>
                </c:pt>
                <c:pt idx="2343">
                  <c:v>0</c:v>
                </c:pt>
                <c:pt idx="2344">
                  <c:v>1</c:v>
                </c:pt>
                <c:pt idx="2345">
                  <c:v>1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1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1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1</c:v>
                </c:pt>
                <c:pt idx="2366">
                  <c:v>0</c:v>
                </c:pt>
                <c:pt idx="2367">
                  <c:v>1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1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1</c:v>
                </c:pt>
                <c:pt idx="2379">
                  <c:v>0</c:v>
                </c:pt>
                <c:pt idx="2380">
                  <c:v>1</c:v>
                </c:pt>
                <c:pt idx="2381">
                  <c:v>1</c:v>
                </c:pt>
                <c:pt idx="2382">
                  <c:v>0</c:v>
                </c:pt>
                <c:pt idx="2383">
                  <c:v>0</c:v>
                </c:pt>
                <c:pt idx="2384">
                  <c:v>1</c:v>
                </c:pt>
                <c:pt idx="2385">
                  <c:v>1</c:v>
                </c:pt>
                <c:pt idx="2386">
                  <c:v>0</c:v>
                </c:pt>
                <c:pt idx="2387">
                  <c:v>1</c:v>
                </c:pt>
                <c:pt idx="2388">
                  <c:v>1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1</c:v>
                </c:pt>
                <c:pt idx="2396">
                  <c:v>1</c:v>
                </c:pt>
                <c:pt idx="2397">
                  <c:v>0</c:v>
                </c:pt>
                <c:pt idx="2398">
                  <c:v>1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1</c:v>
                </c:pt>
                <c:pt idx="2403">
                  <c:v>1</c:v>
                </c:pt>
                <c:pt idx="2404">
                  <c:v>1</c:v>
                </c:pt>
                <c:pt idx="2405">
                  <c:v>0</c:v>
                </c:pt>
                <c:pt idx="2406">
                  <c:v>1</c:v>
                </c:pt>
                <c:pt idx="2407">
                  <c:v>1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1</c:v>
                </c:pt>
                <c:pt idx="2419">
                  <c:v>0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0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1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1</c:v>
                </c:pt>
                <c:pt idx="2438">
                  <c:v>1</c:v>
                </c:pt>
                <c:pt idx="2439">
                  <c:v>0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1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1</c:v>
                </c:pt>
                <c:pt idx="2455">
                  <c:v>1</c:v>
                </c:pt>
                <c:pt idx="2456">
                  <c:v>0</c:v>
                </c:pt>
                <c:pt idx="2457">
                  <c:v>0</c:v>
                </c:pt>
                <c:pt idx="2458">
                  <c:v>1</c:v>
                </c:pt>
                <c:pt idx="2459">
                  <c:v>1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1</c:v>
                </c:pt>
                <c:pt idx="2470">
                  <c:v>0</c:v>
                </c:pt>
                <c:pt idx="2471">
                  <c:v>0</c:v>
                </c:pt>
                <c:pt idx="2472">
                  <c:v>1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1</c:v>
                </c:pt>
                <c:pt idx="2483">
                  <c:v>1</c:v>
                </c:pt>
                <c:pt idx="2484">
                  <c:v>0</c:v>
                </c:pt>
                <c:pt idx="2485">
                  <c:v>1</c:v>
                </c:pt>
                <c:pt idx="2486">
                  <c:v>1</c:v>
                </c:pt>
                <c:pt idx="2487">
                  <c:v>0</c:v>
                </c:pt>
                <c:pt idx="2488">
                  <c:v>0</c:v>
                </c:pt>
                <c:pt idx="2489">
                  <c:v>1</c:v>
                </c:pt>
                <c:pt idx="2490">
                  <c:v>1</c:v>
                </c:pt>
                <c:pt idx="2491">
                  <c:v>0</c:v>
                </c:pt>
                <c:pt idx="2492">
                  <c:v>1</c:v>
                </c:pt>
                <c:pt idx="2493">
                  <c:v>1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1</c:v>
                </c:pt>
                <c:pt idx="2498">
                  <c:v>1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1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1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1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1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1</c:v>
                </c:pt>
                <c:pt idx="2549">
                  <c:v>0</c:v>
                </c:pt>
                <c:pt idx="2550">
                  <c:v>1</c:v>
                </c:pt>
                <c:pt idx="2551">
                  <c:v>1</c:v>
                </c:pt>
                <c:pt idx="2552">
                  <c:v>1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1</c:v>
                </c:pt>
                <c:pt idx="2558">
                  <c:v>1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1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1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1</c:v>
                </c:pt>
                <c:pt idx="2584">
                  <c:v>1</c:v>
                </c:pt>
                <c:pt idx="2585">
                  <c:v>0</c:v>
                </c:pt>
                <c:pt idx="2586">
                  <c:v>0</c:v>
                </c:pt>
                <c:pt idx="2587">
                  <c:v>1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1</c:v>
                </c:pt>
                <c:pt idx="2599">
                  <c:v>0</c:v>
                </c:pt>
                <c:pt idx="2600">
                  <c:v>0</c:v>
                </c:pt>
                <c:pt idx="2601">
                  <c:v>1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1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1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1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1</c:v>
                </c:pt>
                <c:pt idx="2632">
                  <c:v>1</c:v>
                </c:pt>
                <c:pt idx="2633">
                  <c:v>0</c:v>
                </c:pt>
                <c:pt idx="2634">
                  <c:v>0</c:v>
                </c:pt>
                <c:pt idx="2635">
                  <c:v>1</c:v>
                </c:pt>
                <c:pt idx="2636">
                  <c:v>1</c:v>
                </c:pt>
                <c:pt idx="2637">
                  <c:v>0</c:v>
                </c:pt>
                <c:pt idx="2638">
                  <c:v>0</c:v>
                </c:pt>
                <c:pt idx="2639">
                  <c:v>1</c:v>
                </c:pt>
                <c:pt idx="2640">
                  <c:v>1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1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1</c:v>
                </c:pt>
                <c:pt idx="2652">
                  <c:v>1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1</c:v>
                </c:pt>
                <c:pt idx="2663">
                  <c:v>0</c:v>
                </c:pt>
                <c:pt idx="2664">
                  <c:v>1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1</c:v>
                </c:pt>
                <c:pt idx="2678">
                  <c:v>0</c:v>
                </c:pt>
                <c:pt idx="2679">
                  <c:v>1</c:v>
                </c:pt>
                <c:pt idx="2680">
                  <c:v>1</c:v>
                </c:pt>
                <c:pt idx="2681">
                  <c:v>0</c:v>
                </c:pt>
                <c:pt idx="2682">
                  <c:v>1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1</c:v>
                </c:pt>
                <c:pt idx="2692">
                  <c:v>1</c:v>
                </c:pt>
                <c:pt idx="2693">
                  <c:v>0</c:v>
                </c:pt>
                <c:pt idx="2694">
                  <c:v>1</c:v>
                </c:pt>
                <c:pt idx="2695">
                  <c:v>1</c:v>
                </c:pt>
                <c:pt idx="2696">
                  <c:v>1</c:v>
                </c:pt>
                <c:pt idx="2697">
                  <c:v>0</c:v>
                </c:pt>
                <c:pt idx="2698">
                  <c:v>1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1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1</c:v>
                </c:pt>
                <c:pt idx="2714">
                  <c:v>1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1</c:v>
                </c:pt>
                <c:pt idx="2722">
                  <c:v>0</c:v>
                </c:pt>
                <c:pt idx="2723">
                  <c:v>1</c:v>
                </c:pt>
                <c:pt idx="2724">
                  <c:v>0</c:v>
                </c:pt>
                <c:pt idx="2725">
                  <c:v>1</c:v>
                </c:pt>
                <c:pt idx="2726">
                  <c:v>0</c:v>
                </c:pt>
                <c:pt idx="2727">
                  <c:v>1</c:v>
                </c:pt>
                <c:pt idx="2728">
                  <c:v>1</c:v>
                </c:pt>
                <c:pt idx="2729">
                  <c:v>0</c:v>
                </c:pt>
                <c:pt idx="2730">
                  <c:v>1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1</c:v>
                </c:pt>
                <c:pt idx="2739">
                  <c:v>0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1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1</c:v>
                </c:pt>
                <c:pt idx="2753">
                  <c:v>0</c:v>
                </c:pt>
                <c:pt idx="2754">
                  <c:v>0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1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1</c:v>
                </c:pt>
                <c:pt idx="2764">
                  <c:v>0</c:v>
                </c:pt>
                <c:pt idx="2765">
                  <c:v>1</c:v>
                </c:pt>
                <c:pt idx="2766">
                  <c:v>0</c:v>
                </c:pt>
                <c:pt idx="2767">
                  <c:v>1</c:v>
                </c:pt>
                <c:pt idx="2768">
                  <c:v>0</c:v>
                </c:pt>
                <c:pt idx="2769">
                  <c:v>1</c:v>
                </c:pt>
                <c:pt idx="2770">
                  <c:v>0</c:v>
                </c:pt>
                <c:pt idx="2771">
                  <c:v>0</c:v>
                </c:pt>
                <c:pt idx="2772">
                  <c:v>1</c:v>
                </c:pt>
                <c:pt idx="2773">
                  <c:v>1</c:v>
                </c:pt>
                <c:pt idx="2774">
                  <c:v>1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1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1</c:v>
                </c:pt>
                <c:pt idx="2787">
                  <c:v>1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1</c:v>
                </c:pt>
                <c:pt idx="2803">
                  <c:v>1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1</c:v>
                </c:pt>
                <c:pt idx="2810">
                  <c:v>1</c:v>
                </c:pt>
                <c:pt idx="2811">
                  <c:v>1</c:v>
                </c:pt>
                <c:pt idx="2812">
                  <c:v>0</c:v>
                </c:pt>
                <c:pt idx="2813">
                  <c:v>0</c:v>
                </c:pt>
                <c:pt idx="2814">
                  <c:v>1</c:v>
                </c:pt>
                <c:pt idx="2815">
                  <c:v>0</c:v>
                </c:pt>
                <c:pt idx="2816">
                  <c:v>1</c:v>
                </c:pt>
                <c:pt idx="2817">
                  <c:v>0</c:v>
                </c:pt>
                <c:pt idx="2818">
                  <c:v>0</c:v>
                </c:pt>
                <c:pt idx="2819">
                  <c:v>1</c:v>
                </c:pt>
                <c:pt idx="2820">
                  <c:v>0</c:v>
                </c:pt>
                <c:pt idx="2821">
                  <c:v>1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1</c:v>
                </c:pt>
                <c:pt idx="2827">
                  <c:v>1</c:v>
                </c:pt>
                <c:pt idx="2828">
                  <c:v>1</c:v>
                </c:pt>
                <c:pt idx="2829">
                  <c:v>0</c:v>
                </c:pt>
                <c:pt idx="2830">
                  <c:v>1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1</c:v>
                </c:pt>
                <c:pt idx="2835">
                  <c:v>1</c:v>
                </c:pt>
                <c:pt idx="2836">
                  <c:v>1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1</c:v>
                </c:pt>
                <c:pt idx="2842">
                  <c:v>1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1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1</c:v>
                </c:pt>
                <c:pt idx="2853">
                  <c:v>0</c:v>
                </c:pt>
                <c:pt idx="2854">
                  <c:v>0</c:v>
                </c:pt>
                <c:pt idx="2855">
                  <c:v>1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1</c:v>
                </c:pt>
                <c:pt idx="2863">
                  <c:v>0</c:v>
                </c:pt>
                <c:pt idx="2864">
                  <c:v>1</c:v>
                </c:pt>
                <c:pt idx="2865">
                  <c:v>1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1</c:v>
                </c:pt>
                <c:pt idx="2879">
                  <c:v>1</c:v>
                </c:pt>
                <c:pt idx="2880">
                  <c:v>0</c:v>
                </c:pt>
                <c:pt idx="2881">
                  <c:v>1</c:v>
                </c:pt>
                <c:pt idx="2882">
                  <c:v>1</c:v>
                </c:pt>
                <c:pt idx="2883">
                  <c:v>1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1</c:v>
                </c:pt>
                <c:pt idx="2894">
                  <c:v>1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1</c:v>
                </c:pt>
                <c:pt idx="2906">
                  <c:v>1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1</c:v>
                </c:pt>
                <c:pt idx="2914">
                  <c:v>0</c:v>
                </c:pt>
                <c:pt idx="2915">
                  <c:v>1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1</c:v>
                </c:pt>
                <c:pt idx="2941">
                  <c:v>1</c:v>
                </c:pt>
                <c:pt idx="2942">
                  <c:v>1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1</c:v>
                </c:pt>
                <c:pt idx="2953">
                  <c:v>1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1</c:v>
                </c:pt>
                <c:pt idx="2963">
                  <c:v>0</c:v>
                </c:pt>
                <c:pt idx="2964">
                  <c:v>0</c:v>
                </c:pt>
                <c:pt idx="2965">
                  <c:v>1</c:v>
                </c:pt>
                <c:pt idx="2966">
                  <c:v>1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1</c:v>
                </c:pt>
                <c:pt idx="2973">
                  <c:v>1</c:v>
                </c:pt>
                <c:pt idx="2974">
                  <c:v>0</c:v>
                </c:pt>
                <c:pt idx="2975">
                  <c:v>1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1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1</c:v>
                </c:pt>
                <c:pt idx="3007">
                  <c:v>0</c:v>
                </c:pt>
                <c:pt idx="3008">
                  <c:v>1</c:v>
                </c:pt>
                <c:pt idx="3009">
                  <c:v>1</c:v>
                </c:pt>
                <c:pt idx="3010">
                  <c:v>0</c:v>
                </c:pt>
                <c:pt idx="3011">
                  <c:v>1</c:v>
                </c:pt>
                <c:pt idx="3012">
                  <c:v>0</c:v>
                </c:pt>
                <c:pt idx="3013">
                  <c:v>1</c:v>
                </c:pt>
                <c:pt idx="3014">
                  <c:v>0</c:v>
                </c:pt>
                <c:pt idx="3015">
                  <c:v>1</c:v>
                </c:pt>
                <c:pt idx="3016">
                  <c:v>1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1</c:v>
                </c:pt>
                <c:pt idx="3024">
                  <c:v>0</c:v>
                </c:pt>
                <c:pt idx="3025">
                  <c:v>1</c:v>
                </c:pt>
                <c:pt idx="3026">
                  <c:v>0</c:v>
                </c:pt>
                <c:pt idx="3027">
                  <c:v>1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1</c:v>
                </c:pt>
                <c:pt idx="3039">
                  <c:v>1</c:v>
                </c:pt>
                <c:pt idx="3040">
                  <c:v>0</c:v>
                </c:pt>
                <c:pt idx="3041">
                  <c:v>1</c:v>
                </c:pt>
                <c:pt idx="3042">
                  <c:v>0</c:v>
                </c:pt>
                <c:pt idx="3043">
                  <c:v>0</c:v>
                </c:pt>
                <c:pt idx="3044">
                  <c:v>1</c:v>
                </c:pt>
                <c:pt idx="3045">
                  <c:v>1</c:v>
                </c:pt>
                <c:pt idx="3046">
                  <c:v>0</c:v>
                </c:pt>
                <c:pt idx="3047">
                  <c:v>0</c:v>
                </c:pt>
                <c:pt idx="3048">
                  <c:v>1</c:v>
                </c:pt>
                <c:pt idx="3049">
                  <c:v>1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1</c:v>
                </c:pt>
                <c:pt idx="3060">
                  <c:v>1</c:v>
                </c:pt>
                <c:pt idx="3061">
                  <c:v>0</c:v>
                </c:pt>
                <c:pt idx="3062">
                  <c:v>1</c:v>
                </c:pt>
                <c:pt idx="3063">
                  <c:v>1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1</c:v>
                </c:pt>
                <c:pt idx="3070">
                  <c:v>1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1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1</c:v>
                </c:pt>
                <c:pt idx="3085">
                  <c:v>0</c:v>
                </c:pt>
                <c:pt idx="3086">
                  <c:v>1</c:v>
                </c:pt>
                <c:pt idx="3087">
                  <c:v>1</c:v>
                </c:pt>
                <c:pt idx="3088">
                  <c:v>1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1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1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1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1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1</c:v>
                </c:pt>
                <c:pt idx="3131">
                  <c:v>1</c:v>
                </c:pt>
                <c:pt idx="3132">
                  <c:v>0</c:v>
                </c:pt>
                <c:pt idx="3133">
                  <c:v>0</c:v>
                </c:pt>
                <c:pt idx="3134">
                  <c:v>1</c:v>
                </c:pt>
                <c:pt idx="3135">
                  <c:v>1</c:v>
                </c:pt>
                <c:pt idx="3136">
                  <c:v>1</c:v>
                </c:pt>
                <c:pt idx="3137">
                  <c:v>0</c:v>
                </c:pt>
                <c:pt idx="3138">
                  <c:v>1</c:v>
                </c:pt>
                <c:pt idx="3139">
                  <c:v>1</c:v>
                </c:pt>
                <c:pt idx="3140">
                  <c:v>0</c:v>
                </c:pt>
                <c:pt idx="3141">
                  <c:v>0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1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1</c:v>
                </c:pt>
                <c:pt idx="3157">
                  <c:v>1</c:v>
                </c:pt>
                <c:pt idx="3158">
                  <c:v>1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1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1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1</c:v>
                </c:pt>
                <c:pt idx="3174">
                  <c:v>1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1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1</c:v>
                </c:pt>
                <c:pt idx="3186">
                  <c:v>1</c:v>
                </c:pt>
                <c:pt idx="3187">
                  <c:v>0</c:v>
                </c:pt>
                <c:pt idx="3188">
                  <c:v>1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1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1</c:v>
                </c:pt>
                <c:pt idx="3200">
                  <c:v>0</c:v>
                </c:pt>
                <c:pt idx="3201">
                  <c:v>1</c:v>
                </c:pt>
                <c:pt idx="3202">
                  <c:v>1</c:v>
                </c:pt>
                <c:pt idx="3203">
                  <c:v>1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1</c:v>
                </c:pt>
                <c:pt idx="3224">
                  <c:v>0</c:v>
                </c:pt>
                <c:pt idx="3225">
                  <c:v>0</c:v>
                </c:pt>
                <c:pt idx="3226">
                  <c:v>1</c:v>
                </c:pt>
                <c:pt idx="3227">
                  <c:v>1</c:v>
                </c:pt>
                <c:pt idx="3228">
                  <c:v>0</c:v>
                </c:pt>
                <c:pt idx="3229">
                  <c:v>1</c:v>
                </c:pt>
                <c:pt idx="3230">
                  <c:v>1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1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1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1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1</c:v>
                </c:pt>
                <c:pt idx="3255">
                  <c:v>1</c:v>
                </c:pt>
                <c:pt idx="3256">
                  <c:v>0</c:v>
                </c:pt>
                <c:pt idx="3257">
                  <c:v>1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1</c:v>
                </c:pt>
                <c:pt idx="3262">
                  <c:v>0</c:v>
                </c:pt>
                <c:pt idx="3263">
                  <c:v>1</c:v>
                </c:pt>
                <c:pt idx="3264">
                  <c:v>0</c:v>
                </c:pt>
                <c:pt idx="3265">
                  <c:v>0</c:v>
                </c:pt>
                <c:pt idx="3266">
                  <c:v>1</c:v>
                </c:pt>
                <c:pt idx="3267">
                  <c:v>0</c:v>
                </c:pt>
                <c:pt idx="3268">
                  <c:v>0</c:v>
                </c:pt>
                <c:pt idx="3269">
                  <c:v>1</c:v>
                </c:pt>
                <c:pt idx="3270">
                  <c:v>1</c:v>
                </c:pt>
                <c:pt idx="3271">
                  <c:v>1</c:v>
                </c:pt>
                <c:pt idx="3272">
                  <c:v>0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1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1</c:v>
                </c:pt>
                <c:pt idx="3287">
                  <c:v>0</c:v>
                </c:pt>
                <c:pt idx="3288">
                  <c:v>0</c:v>
                </c:pt>
                <c:pt idx="3289">
                  <c:v>1</c:v>
                </c:pt>
                <c:pt idx="3290">
                  <c:v>1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1</c:v>
                </c:pt>
                <c:pt idx="3327">
                  <c:v>1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1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1</c:v>
                </c:pt>
                <c:pt idx="3344">
                  <c:v>1</c:v>
                </c:pt>
                <c:pt idx="3345">
                  <c:v>0</c:v>
                </c:pt>
                <c:pt idx="3346">
                  <c:v>0</c:v>
                </c:pt>
                <c:pt idx="3347">
                  <c:v>1</c:v>
                </c:pt>
                <c:pt idx="3348">
                  <c:v>0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1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1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1</c:v>
                </c:pt>
                <c:pt idx="3370">
                  <c:v>0</c:v>
                </c:pt>
                <c:pt idx="3371">
                  <c:v>1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1</c:v>
                </c:pt>
                <c:pt idx="3382">
                  <c:v>0</c:v>
                </c:pt>
                <c:pt idx="3383">
                  <c:v>1</c:v>
                </c:pt>
                <c:pt idx="3384">
                  <c:v>1</c:v>
                </c:pt>
                <c:pt idx="3385">
                  <c:v>1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1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1</c:v>
                </c:pt>
                <c:pt idx="3416">
                  <c:v>1</c:v>
                </c:pt>
                <c:pt idx="3417">
                  <c:v>0</c:v>
                </c:pt>
                <c:pt idx="3418">
                  <c:v>1</c:v>
                </c:pt>
                <c:pt idx="3419">
                  <c:v>0</c:v>
                </c:pt>
                <c:pt idx="3420">
                  <c:v>1</c:v>
                </c:pt>
                <c:pt idx="3421">
                  <c:v>0</c:v>
                </c:pt>
                <c:pt idx="3422">
                  <c:v>0</c:v>
                </c:pt>
                <c:pt idx="3423">
                  <c:v>1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1</c:v>
                </c:pt>
                <c:pt idx="3434">
                  <c:v>0</c:v>
                </c:pt>
                <c:pt idx="3435">
                  <c:v>1</c:v>
                </c:pt>
                <c:pt idx="3436">
                  <c:v>1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1</c:v>
                </c:pt>
                <c:pt idx="3441">
                  <c:v>1</c:v>
                </c:pt>
                <c:pt idx="3442">
                  <c:v>1</c:v>
                </c:pt>
                <c:pt idx="3443">
                  <c:v>0</c:v>
                </c:pt>
                <c:pt idx="3444">
                  <c:v>0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1</c:v>
                </c:pt>
                <c:pt idx="3450">
                  <c:v>0</c:v>
                </c:pt>
                <c:pt idx="3451">
                  <c:v>0</c:v>
                </c:pt>
                <c:pt idx="3452">
                  <c:v>1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1</c:v>
                </c:pt>
                <c:pt idx="3461">
                  <c:v>0</c:v>
                </c:pt>
                <c:pt idx="3462">
                  <c:v>1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1</c:v>
                </c:pt>
                <c:pt idx="3474">
                  <c:v>0</c:v>
                </c:pt>
                <c:pt idx="3475">
                  <c:v>1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0</c:v>
                </c:pt>
                <c:pt idx="3482">
                  <c:v>1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1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1</c:v>
                </c:pt>
                <c:pt idx="3503">
                  <c:v>0</c:v>
                </c:pt>
                <c:pt idx="3504">
                  <c:v>1</c:v>
                </c:pt>
                <c:pt idx="3505">
                  <c:v>0</c:v>
                </c:pt>
                <c:pt idx="3506">
                  <c:v>1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1</c:v>
                </c:pt>
                <c:pt idx="3514">
                  <c:v>0</c:v>
                </c:pt>
                <c:pt idx="3515">
                  <c:v>0</c:v>
                </c:pt>
                <c:pt idx="3516">
                  <c:v>1</c:v>
                </c:pt>
                <c:pt idx="3517">
                  <c:v>0</c:v>
                </c:pt>
                <c:pt idx="3518">
                  <c:v>0</c:v>
                </c:pt>
                <c:pt idx="3519">
                  <c:v>1</c:v>
                </c:pt>
                <c:pt idx="3520">
                  <c:v>1</c:v>
                </c:pt>
                <c:pt idx="3521">
                  <c:v>1</c:v>
                </c:pt>
                <c:pt idx="3522">
                  <c:v>0</c:v>
                </c:pt>
                <c:pt idx="3523">
                  <c:v>1</c:v>
                </c:pt>
                <c:pt idx="3524">
                  <c:v>1</c:v>
                </c:pt>
                <c:pt idx="3525">
                  <c:v>1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1</c:v>
                </c:pt>
                <c:pt idx="3530">
                  <c:v>0</c:v>
                </c:pt>
                <c:pt idx="3531">
                  <c:v>1</c:v>
                </c:pt>
                <c:pt idx="3532">
                  <c:v>0</c:v>
                </c:pt>
                <c:pt idx="3533">
                  <c:v>0</c:v>
                </c:pt>
                <c:pt idx="3534">
                  <c:v>1</c:v>
                </c:pt>
                <c:pt idx="3535">
                  <c:v>1</c:v>
                </c:pt>
                <c:pt idx="3536">
                  <c:v>0</c:v>
                </c:pt>
                <c:pt idx="3537">
                  <c:v>1</c:v>
                </c:pt>
                <c:pt idx="3538">
                  <c:v>1</c:v>
                </c:pt>
                <c:pt idx="3539">
                  <c:v>1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1</c:v>
                </c:pt>
                <c:pt idx="3549">
                  <c:v>0</c:v>
                </c:pt>
                <c:pt idx="3550">
                  <c:v>1</c:v>
                </c:pt>
                <c:pt idx="3551">
                  <c:v>0</c:v>
                </c:pt>
                <c:pt idx="3552">
                  <c:v>1</c:v>
                </c:pt>
                <c:pt idx="3553">
                  <c:v>0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1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1</c:v>
                </c:pt>
                <c:pt idx="3567">
                  <c:v>1</c:v>
                </c:pt>
                <c:pt idx="3568">
                  <c:v>1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1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</c:v>
                </c:pt>
                <c:pt idx="3591">
                  <c:v>1</c:v>
                </c:pt>
                <c:pt idx="3592">
                  <c:v>1</c:v>
                </c:pt>
                <c:pt idx="3593">
                  <c:v>0</c:v>
                </c:pt>
                <c:pt idx="3594">
                  <c:v>1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0</c:v>
                </c:pt>
                <c:pt idx="3616">
                  <c:v>0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1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1</c:v>
                </c:pt>
                <c:pt idx="3630">
                  <c:v>1</c:v>
                </c:pt>
                <c:pt idx="3631">
                  <c:v>0</c:v>
                </c:pt>
                <c:pt idx="3632">
                  <c:v>1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1</c:v>
                </c:pt>
                <c:pt idx="3640">
                  <c:v>1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1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1</c:v>
                </c:pt>
                <c:pt idx="3654">
                  <c:v>1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1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1</c:v>
                </c:pt>
                <c:pt idx="3671">
                  <c:v>1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1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</c:v>
                </c:pt>
                <c:pt idx="3689">
                  <c:v>1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1</c:v>
                </c:pt>
                <c:pt idx="3696">
                  <c:v>0</c:v>
                </c:pt>
                <c:pt idx="3697">
                  <c:v>1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1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1</c:v>
                </c:pt>
                <c:pt idx="3721">
                  <c:v>0</c:v>
                </c:pt>
                <c:pt idx="3722">
                  <c:v>1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1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1</c:v>
                </c:pt>
                <c:pt idx="3741">
                  <c:v>1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1</c:v>
                </c:pt>
                <c:pt idx="3750">
                  <c:v>1</c:v>
                </c:pt>
                <c:pt idx="3751">
                  <c:v>0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1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1</c:v>
                </c:pt>
                <c:pt idx="3764">
                  <c:v>0</c:v>
                </c:pt>
                <c:pt idx="3765">
                  <c:v>0</c:v>
                </c:pt>
                <c:pt idx="3766">
                  <c:v>1</c:v>
                </c:pt>
                <c:pt idx="3767">
                  <c:v>1</c:v>
                </c:pt>
                <c:pt idx="3768">
                  <c:v>0</c:v>
                </c:pt>
                <c:pt idx="3769">
                  <c:v>0</c:v>
                </c:pt>
                <c:pt idx="3770">
                  <c:v>1</c:v>
                </c:pt>
                <c:pt idx="3771">
                  <c:v>1</c:v>
                </c:pt>
                <c:pt idx="3772">
                  <c:v>1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1</c:v>
                </c:pt>
                <c:pt idx="3778">
                  <c:v>1</c:v>
                </c:pt>
                <c:pt idx="3779">
                  <c:v>0</c:v>
                </c:pt>
                <c:pt idx="3780">
                  <c:v>1</c:v>
                </c:pt>
                <c:pt idx="3781">
                  <c:v>0</c:v>
                </c:pt>
                <c:pt idx="3782">
                  <c:v>0</c:v>
                </c:pt>
                <c:pt idx="3783">
                  <c:v>1</c:v>
                </c:pt>
                <c:pt idx="3784">
                  <c:v>0</c:v>
                </c:pt>
                <c:pt idx="3785">
                  <c:v>1</c:v>
                </c:pt>
                <c:pt idx="3786">
                  <c:v>1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1</c:v>
                </c:pt>
                <c:pt idx="3798">
                  <c:v>1</c:v>
                </c:pt>
                <c:pt idx="3799">
                  <c:v>0</c:v>
                </c:pt>
                <c:pt idx="3800">
                  <c:v>1</c:v>
                </c:pt>
                <c:pt idx="3801">
                  <c:v>1</c:v>
                </c:pt>
                <c:pt idx="3802">
                  <c:v>1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1</c:v>
                </c:pt>
                <c:pt idx="3810">
                  <c:v>1</c:v>
                </c:pt>
                <c:pt idx="3811">
                  <c:v>0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1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1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1</c:v>
                </c:pt>
                <c:pt idx="3829">
                  <c:v>1</c:v>
                </c:pt>
                <c:pt idx="3830">
                  <c:v>1</c:v>
                </c:pt>
                <c:pt idx="3831">
                  <c:v>0</c:v>
                </c:pt>
                <c:pt idx="3832">
                  <c:v>0</c:v>
                </c:pt>
                <c:pt idx="3833">
                  <c:v>1</c:v>
                </c:pt>
                <c:pt idx="3834">
                  <c:v>0</c:v>
                </c:pt>
                <c:pt idx="3835">
                  <c:v>0</c:v>
                </c:pt>
                <c:pt idx="3836">
                  <c:v>1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1</c:v>
                </c:pt>
                <c:pt idx="3848">
                  <c:v>1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1</c:v>
                </c:pt>
                <c:pt idx="3853">
                  <c:v>0</c:v>
                </c:pt>
                <c:pt idx="3854">
                  <c:v>1</c:v>
                </c:pt>
                <c:pt idx="3855">
                  <c:v>0</c:v>
                </c:pt>
                <c:pt idx="3856">
                  <c:v>1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1</c:v>
                </c:pt>
                <c:pt idx="3863">
                  <c:v>0</c:v>
                </c:pt>
                <c:pt idx="3864">
                  <c:v>0</c:v>
                </c:pt>
                <c:pt idx="3865">
                  <c:v>1</c:v>
                </c:pt>
                <c:pt idx="3866">
                  <c:v>1</c:v>
                </c:pt>
                <c:pt idx="3867">
                  <c:v>1</c:v>
                </c:pt>
                <c:pt idx="3868">
                  <c:v>0</c:v>
                </c:pt>
                <c:pt idx="3869">
                  <c:v>1</c:v>
                </c:pt>
                <c:pt idx="3870">
                  <c:v>1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1</c:v>
                </c:pt>
                <c:pt idx="3878">
                  <c:v>0</c:v>
                </c:pt>
                <c:pt idx="3879">
                  <c:v>0</c:v>
                </c:pt>
                <c:pt idx="3880">
                  <c:v>1</c:v>
                </c:pt>
                <c:pt idx="3881">
                  <c:v>1</c:v>
                </c:pt>
                <c:pt idx="3882">
                  <c:v>0</c:v>
                </c:pt>
                <c:pt idx="3883">
                  <c:v>0</c:v>
                </c:pt>
                <c:pt idx="3884">
                  <c:v>1</c:v>
                </c:pt>
                <c:pt idx="3885">
                  <c:v>1</c:v>
                </c:pt>
                <c:pt idx="3886">
                  <c:v>1</c:v>
                </c:pt>
                <c:pt idx="3887">
                  <c:v>0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1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1</c:v>
                </c:pt>
                <c:pt idx="3897">
                  <c:v>1</c:v>
                </c:pt>
                <c:pt idx="3898">
                  <c:v>0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1</c:v>
                </c:pt>
                <c:pt idx="3903">
                  <c:v>0</c:v>
                </c:pt>
                <c:pt idx="3904">
                  <c:v>0</c:v>
                </c:pt>
                <c:pt idx="3905">
                  <c:v>1</c:v>
                </c:pt>
                <c:pt idx="3906">
                  <c:v>1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1</c:v>
                </c:pt>
                <c:pt idx="3912">
                  <c:v>1</c:v>
                </c:pt>
                <c:pt idx="3913">
                  <c:v>0</c:v>
                </c:pt>
                <c:pt idx="3914">
                  <c:v>1</c:v>
                </c:pt>
                <c:pt idx="3915">
                  <c:v>0</c:v>
                </c:pt>
                <c:pt idx="3916">
                  <c:v>1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1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1</c:v>
                </c:pt>
                <c:pt idx="3931">
                  <c:v>0</c:v>
                </c:pt>
                <c:pt idx="3932">
                  <c:v>1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1</c:v>
                </c:pt>
                <c:pt idx="3943">
                  <c:v>0</c:v>
                </c:pt>
                <c:pt idx="3944">
                  <c:v>1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1</c:v>
                </c:pt>
                <c:pt idx="3949">
                  <c:v>1</c:v>
                </c:pt>
                <c:pt idx="3950">
                  <c:v>0</c:v>
                </c:pt>
                <c:pt idx="3951">
                  <c:v>0</c:v>
                </c:pt>
                <c:pt idx="3952">
                  <c:v>1</c:v>
                </c:pt>
                <c:pt idx="3953">
                  <c:v>0</c:v>
                </c:pt>
                <c:pt idx="3954">
                  <c:v>0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1</c:v>
                </c:pt>
                <c:pt idx="3961">
                  <c:v>0</c:v>
                </c:pt>
                <c:pt idx="3962">
                  <c:v>0</c:v>
                </c:pt>
                <c:pt idx="3963">
                  <c:v>1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0</c:v>
                </c:pt>
                <c:pt idx="3974">
                  <c:v>0</c:v>
                </c:pt>
                <c:pt idx="3975">
                  <c:v>1</c:v>
                </c:pt>
                <c:pt idx="3976">
                  <c:v>0</c:v>
                </c:pt>
                <c:pt idx="3977">
                  <c:v>1</c:v>
                </c:pt>
                <c:pt idx="3978">
                  <c:v>1</c:v>
                </c:pt>
                <c:pt idx="3979">
                  <c:v>0</c:v>
                </c:pt>
                <c:pt idx="3980">
                  <c:v>0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1</c:v>
                </c:pt>
                <c:pt idx="3991">
                  <c:v>0</c:v>
                </c:pt>
                <c:pt idx="3992">
                  <c:v>0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1</c:v>
                </c:pt>
                <c:pt idx="4000">
                  <c:v>0</c:v>
                </c:pt>
                <c:pt idx="4001">
                  <c:v>0</c:v>
                </c:pt>
                <c:pt idx="4002">
                  <c:v>1</c:v>
                </c:pt>
                <c:pt idx="4003">
                  <c:v>0</c:v>
                </c:pt>
                <c:pt idx="4004">
                  <c:v>1</c:v>
                </c:pt>
                <c:pt idx="4005">
                  <c:v>1</c:v>
                </c:pt>
                <c:pt idx="4006">
                  <c:v>1</c:v>
                </c:pt>
                <c:pt idx="4007">
                  <c:v>0</c:v>
                </c:pt>
                <c:pt idx="4008">
                  <c:v>1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1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1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1</c:v>
                </c:pt>
                <c:pt idx="4042">
                  <c:v>0</c:v>
                </c:pt>
                <c:pt idx="4043">
                  <c:v>1</c:v>
                </c:pt>
                <c:pt idx="4044">
                  <c:v>1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1</c:v>
                </c:pt>
                <c:pt idx="4057">
                  <c:v>0</c:v>
                </c:pt>
                <c:pt idx="4058">
                  <c:v>0</c:v>
                </c:pt>
                <c:pt idx="4059">
                  <c:v>1</c:v>
                </c:pt>
                <c:pt idx="4060">
                  <c:v>1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1</c:v>
                </c:pt>
                <c:pt idx="4066">
                  <c:v>0</c:v>
                </c:pt>
                <c:pt idx="4067">
                  <c:v>1</c:v>
                </c:pt>
                <c:pt idx="4068">
                  <c:v>0</c:v>
                </c:pt>
                <c:pt idx="4069">
                  <c:v>1</c:v>
                </c:pt>
                <c:pt idx="4070">
                  <c:v>1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1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1</c:v>
                </c:pt>
                <c:pt idx="4086">
                  <c:v>1</c:v>
                </c:pt>
                <c:pt idx="4087">
                  <c:v>1</c:v>
                </c:pt>
                <c:pt idx="4088">
                  <c:v>0</c:v>
                </c:pt>
                <c:pt idx="4089">
                  <c:v>0</c:v>
                </c:pt>
                <c:pt idx="4090">
                  <c:v>1</c:v>
                </c:pt>
                <c:pt idx="4091">
                  <c:v>1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1</c:v>
                </c:pt>
                <c:pt idx="4097">
                  <c:v>1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1</c:v>
                </c:pt>
                <c:pt idx="4102">
                  <c:v>1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1</c:v>
                </c:pt>
                <c:pt idx="4112">
                  <c:v>1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1</c:v>
                </c:pt>
                <c:pt idx="4123">
                  <c:v>0</c:v>
                </c:pt>
                <c:pt idx="4124">
                  <c:v>0</c:v>
                </c:pt>
                <c:pt idx="4125">
                  <c:v>1</c:v>
                </c:pt>
                <c:pt idx="4126">
                  <c:v>0</c:v>
                </c:pt>
                <c:pt idx="4127">
                  <c:v>0</c:v>
                </c:pt>
                <c:pt idx="4128">
                  <c:v>1</c:v>
                </c:pt>
                <c:pt idx="4129">
                  <c:v>1</c:v>
                </c:pt>
                <c:pt idx="4130">
                  <c:v>1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1</c:v>
                </c:pt>
                <c:pt idx="4140">
                  <c:v>0</c:v>
                </c:pt>
                <c:pt idx="4141">
                  <c:v>0</c:v>
                </c:pt>
                <c:pt idx="4142">
                  <c:v>1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1</c:v>
                </c:pt>
                <c:pt idx="4147">
                  <c:v>0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1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1</c:v>
                </c:pt>
                <c:pt idx="4161">
                  <c:v>1</c:v>
                </c:pt>
                <c:pt idx="4162">
                  <c:v>1</c:v>
                </c:pt>
                <c:pt idx="4163">
                  <c:v>0</c:v>
                </c:pt>
                <c:pt idx="4164">
                  <c:v>1</c:v>
                </c:pt>
                <c:pt idx="4165">
                  <c:v>1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1</c:v>
                </c:pt>
                <c:pt idx="4174">
                  <c:v>1</c:v>
                </c:pt>
                <c:pt idx="4175">
                  <c:v>0</c:v>
                </c:pt>
                <c:pt idx="4176">
                  <c:v>1</c:v>
                </c:pt>
                <c:pt idx="4177">
                  <c:v>1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1</c:v>
                </c:pt>
                <c:pt idx="4183">
                  <c:v>0</c:v>
                </c:pt>
                <c:pt idx="4184">
                  <c:v>0</c:v>
                </c:pt>
                <c:pt idx="4185">
                  <c:v>1</c:v>
                </c:pt>
                <c:pt idx="4186">
                  <c:v>1</c:v>
                </c:pt>
                <c:pt idx="4187">
                  <c:v>0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1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1</c:v>
                </c:pt>
                <c:pt idx="4203">
                  <c:v>0</c:v>
                </c:pt>
                <c:pt idx="4204">
                  <c:v>1</c:v>
                </c:pt>
                <c:pt idx="4205">
                  <c:v>1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1</c:v>
                </c:pt>
                <c:pt idx="4210">
                  <c:v>0</c:v>
                </c:pt>
                <c:pt idx="4211">
                  <c:v>1</c:v>
                </c:pt>
                <c:pt idx="4212">
                  <c:v>1</c:v>
                </c:pt>
                <c:pt idx="4213">
                  <c:v>1</c:v>
                </c:pt>
                <c:pt idx="4214">
                  <c:v>0</c:v>
                </c:pt>
                <c:pt idx="4215">
                  <c:v>0</c:v>
                </c:pt>
                <c:pt idx="4216">
                  <c:v>1</c:v>
                </c:pt>
                <c:pt idx="4217">
                  <c:v>1</c:v>
                </c:pt>
                <c:pt idx="4218">
                  <c:v>1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1</c:v>
                </c:pt>
                <c:pt idx="4227">
                  <c:v>0</c:v>
                </c:pt>
                <c:pt idx="4228">
                  <c:v>0</c:v>
                </c:pt>
                <c:pt idx="4229">
                  <c:v>1</c:v>
                </c:pt>
                <c:pt idx="4230">
                  <c:v>0</c:v>
                </c:pt>
                <c:pt idx="4231">
                  <c:v>1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1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1</c:v>
                </c:pt>
                <c:pt idx="4245">
                  <c:v>1</c:v>
                </c:pt>
                <c:pt idx="4246">
                  <c:v>0</c:v>
                </c:pt>
                <c:pt idx="4247">
                  <c:v>1</c:v>
                </c:pt>
                <c:pt idx="4248">
                  <c:v>1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1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1</c:v>
                </c:pt>
                <c:pt idx="4273">
                  <c:v>0</c:v>
                </c:pt>
                <c:pt idx="4274">
                  <c:v>1</c:v>
                </c:pt>
                <c:pt idx="4275">
                  <c:v>1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1</c:v>
                </c:pt>
                <c:pt idx="4280">
                  <c:v>1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1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1</c:v>
                </c:pt>
                <c:pt idx="4302">
                  <c:v>0</c:v>
                </c:pt>
                <c:pt idx="4303">
                  <c:v>1</c:v>
                </c:pt>
                <c:pt idx="4304">
                  <c:v>0</c:v>
                </c:pt>
                <c:pt idx="4305">
                  <c:v>0</c:v>
                </c:pt>
                <c:pt idx="4306">
                  <c:v>1</c:v>
                </c:pt>
                <c:pt idx="4307">
                  <c:v>1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1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v>Actual</c:v>
          </c:tx>
          <c:spPr>
            <a:ln w="6350"/>
          </c:spPr>
          <c:marker>
            <c:symbol val="none"/>
          </c:marker>
          <c:xVal>
            <c:numRef>
              <c:f>MASmoothingOutput!$B$26:$B$4346</c:f>
              <c:numCache>
                <c:formatCode>m/d/yyyy</c:formatCode>
                <c:ptCount val="4321"/>
                <c:pt idx="0">
                  <c:v>36527</c:v>
                </c:pt>
                <c:pt idx="1">
                  <c:v>36528</c:v>
                </c:pt>
                <c:pt idx="2">
                  <c:v>36529</c:v>
                </c:pt>
                <c:pt idx="3">
                  <c:v>36530</c:v>
                </c:pt>
                <c:pt idx="4">
                  <c:v>36531</c:v>
                </c:pt>
                <c:pt idx="5">
                  <c:v>36532</c:v>
                </c:pt>
                <c:pt idx="6">
                  <c:v>36533</c:v>
                </c:pt>
                <c:pt idx="7">
                  <c:v>36534</c:v>
                </c:pt>
                <c:pt idx="8">
                  <c:v>36535</c:v>
                </c:pt>
                <c:pt idx="9">
                  <c:v>36536</c:v>
                </c:pt>
                <c:pt idx="10">
                  <c:v>36537</c:v>
                </c:pt>
                <c:pt idx="11">
                  <c:v>36538</c:v>
                </c:pt>
                <c:pt idx="12">
                  <c:v>36539</c:v>
                </c:pt>
                <c:pt idx="13">
                  <c:v>36540</c:v>
                </c:pt>
                <c:pt idx="14">
                  <c:v>36541</c:v>
                </c:pt>
                <c:pt idx="15">
                  <c:v>36542</c:v>
                </c:pt>
                <c:pt idx="16">
                  <c:v>36543</c:v>
                </c:pt>
                <c:pt idx="17">
                  <c:v>36544</c:v>
                </c:pt>
                <c:pt idx="18">
                  <c:v>36545</c:v>
                </c:pt>
                <c:pt idx="19">
                  <c:v>36546</c:v>
                </c:pt>
                <c:pt idx="20">
                  <c:v>36547</c:v>
                </c:pt>
                <c:pt idx="21">
                  <c:v>36548</c:v>
                </c:pt>
                <c:pt idx="22">
                  <c:v>36549</c:v>
                </c:pt>
                <c:pt idx="23">
                  <c:v>36550</c:v>
                </c:pt>
                <c:pt idx="24">
                  <c:v>36551</c:v>
                </c:pt>
                <c:pt idx="25">
                  <c:v>36552</c:v>
                </c:pt>
                <c:pt idx="26">
                  <c:v>36553</c:v>
                </c:pt>
                <c:pt idx="27">
                  <c:v>36554</c:v>
                </c:pt>
                <c:pt idx="28">
                  <c:v>36555</c:v>
                </c:pt>
                <c:pt idx="29">
                  <c:v>36556</c:v>
                </c:pt>
                <c:pt idx="30">
                  <c:v>36557</c:v>
                </c:pt>
                <c:pt idx="31">
                  <c:v>36558</c:v>
                </c:pt>
                <c:pt idx="32">
                  <c:v>36559</c:v>
                </c:pt>
                <c:pt idx="33">
                  <c:v>36560</c:v>
                </c:pt>
                <c:pt idx="34">
                  <c:v>36561</c:v>
                </c:pt>
                <c:pt idx="35">
                  <c:v>36562</c:v>
                </c:pt>
                <c:pt idx="36">
                  <c:v>36563</c:v>
                </c:pt>
                <c:pt idx="37">
                  <c:v>36564</c:v>
                </c:pt>
                <c:pt idx="38">
                  <c:v>36565</c:v>
                </c:pt>
                <c:pt idx="39">
                  <c:v>36566</c:v>
                </c:pt>
                <c:pt idx="40">
                  <c:v>36567</c:v>
                </c:pt>
                <c:pt idx="41">
                  <c:v>36568</c:v>
                </c:pt>
                <c:pt idx="42">
                  <c:v>36569</c:v>
                </c:pt>
                <c:pt idx="43">
                  <c:v>36570</c:v>
                </c:pt>
                <c:pt idx="44">
                  <c:v>36571</c:v>
                </c:pt>
                <c:pt idx="45">
                  <c:v>36572</c:v>
                </c:pt>
                <c:pt idx="46">
                  <c:v>36573</c:v>
                </c:pt>
                <c:pt idx="47">
                  <c:v>36574</c:v>
                </c:pt>
                <c:pt idx="48">
                  <c:v>36575</c:v>
                </c:pt>
                <c:pt idx="49">
                  <c:v>36576</c:v>
                </c:pt>
                <c:pt idx="50">
                  <c:v>36577</c:v>
                </c:pt>
                <c:pt idx="51">
                  <c:v>36578</c:v>
                </c:pt>
                <c:pt idx="52">
                  <c:v>36579</c:v>
                </c:pt>
                <c:pt idx="53">
                  <c:v>36580</c:v>
                </c:pt>
                <c:pt idx="54">
                  <c:v>36581</c:v>
                </c:pt>
                <c:pt idx="55">
                  <c:v>36582</c:v>
                </c:pt>
                <c:pt idx="56">
                  <c:v>36583</c:v>
                </c:pt>
                <c:pt idx="57">
                  <c:v>36584</c:v>
                </c:pt>
                <c:pt idx="58">
                  <c:v>36585</c:v>
                </c:pt>
                <c:pt idx="59">
                  <c:v>36586</c:v>
                </c:pt>
                <c:pt idx="60">
                  <c:v>36587</c:v>
                </c:pt>
                <c:pt idx="61">
                  <c:v>36588</c:v>
                </c:pt>
                <c:pt idx="62">
                  <c:v>36589</c:v>
                </c:pt>
                <c:pt idx="63">
                  <c:v>36590</c:v>
                </c:pt>
                <c:pt idx="64">
                  <c:v>36591</c:v>
                </c:pt>
                <c:pt idx="65">
                  <c:v>36592</c:v>
                </c:pt>
                <c:pt idx="66">
                  <c:v>36593</c:v>
                </c:pt>
                <c:pt idx="67">
                  <c:v>36594</c:v>
                </c:pt>
                <c:pt idx="68">
                  <c:v>36595</c:v>
                </c:pt>
                <c:pt idx="69">
                  <c:v>36596</c:v>
                </c:pt>
                <c:pt idx="70">
                  <c:v>36597</c:v>
                </c:pt>
                <c:pt idx="71">
                  <c:v>36598</c:v>
                </c:pt>
                <c:pt idx="72">
                  <c:v>36599</c:v>
                </c:pt>
                <c:pt idx="73">
                  <c:v>36600</c:v>
                </c:pt>
                <c:pt idx="74">
                  <c:v>36601</c:v>
                </c:pt>
                <c:pt idx="75">
                  <c:v>36602</c:v>
                </c:pt>
                <c:pt idx="76">
                  <c:v>36603</c:v>
                </c:pt>
                <c:pt idx="77">
                  <c:v>36604</c:v>
                </c:pt>
                <c:pt idx="78">
                  <c:v>36605</c:v>
                </c:pt>
                <c:pt idx="79">
                  <c:v>36606</c:v>
                </c:pt>
                <c:pt idx="80">
                  <c:v>36607</c:v>
                </c:pt>
                <c:pt idx="81">
                  <c:v>36608</c:v>
                </c:pt>
                <c:pt idx="82">
                  <c:v>36609</c:v>
                </c:pt>
                <c:pt idx="83">
                  <c:v>36610</c:v>
                </c:pt>
                <c:pt idx="84">
                  <c:v>36611</c:v>
                </c:pt>
                <c:pt idx="85">
                  <c:v>36612</c:v>
                </c:pt>
                <c:pt idx="86">
                  <c:v>36613</c:v>
                </c:pt>
                <c:pt idx="87">
                  <c:v>36614</c:v>
                </c:pt>
                <c:pt idx="88">
                  <c:v>36615</c:v>
                </c:pt>
                <c:pt idx="89">
                  <c:v>36616</c:v>
                </c:pt>
                <c:pt idx="90">
                  <c:v>36617</c:v>
                </c:pt>
                <c:pt idx="91">
                  <c:v>36618</c:v>
                </c:pt>
                <c:pt idx="92">
                  <c:v>36619</c:v>
                </c:pt>
                <c:pt idx="93">
                  <c:v>36620</c:v>
                </c:pt>
                <c:pt idx="94">
                  <c:v>36621</c:v>
                </c:pt>
                <c:pt idx="95">
                  <c:v>36622</c:v>
                </c:pt>
                <c:pt idx="96">
                  <c:v>36623</c:v>
                </c:pt>
                <c:pt idx="97">
                  <c:v>36624</c:v>
                </c:pt>
                <c:pt idx="98">
                  <c:v>36625</c:v>
                </c:pt>
                <c:pt idx="99">
                  <c:v>36626</c:v>
                </c:pt>
                <c:pt idx="100">
                  <c:v>36627</c:v>
                </c:pt>
                <c:pt idx="101">
                  <c:v>36628</c:v>
                </c:pt>
                <c:pt idx="102">
                  <c:v>36629</c:v>
                </c:pt>
                <c:pt idx="103">
                  <c:v>36630</c:v>
                </c:pt>
                <c:pt idx="104">
                  <c:v>36631</c:v>
                </c:pt>
                <c:pt idx="105">
                  <c:v>36632</c:v>
                </c:pt>
                <c:pt idx="106">
                  <c:v>36633</c:v>
                </c:pt>
                <c:pt idx="107">
                  <c:v>36634</c:v>
                </c:pt>
                <c:pt idx="108">
                  <c:v>36635</c:v>
                </c:pt>
                <c:pt idx="109">
                  <c:v>36636</c:v>
                </c:pt>
                <c:pt idx="110">
                  <c:v>36637</c:v>
                </c:pt>
                <c:pt idx="111">
                  <c:v>36638</c:v>
                </c:pt>
                <c:pt idx="112">
                  <c:v>36639</c:v>
                </c:pt>
                <c:pt idx="113">
                  <c:v>36640</c:v>
                </c:pt>
                <c:pt idx="114">
                  <c:v>36641</c:v>
                </c:pt>
                <c:pt idx="115">
                  <c:v>36642</c:v>
                </c:pt>
                <c:pt idx="116">
                  <c:v>36643</c:v>
                </c:pt>
                <c:pt idx="117">
                  <c:v>36644</c:v>
                </c:pt>
                <c:pt idx="118">
                  <c:v>36645</c:v>
                </c:pt>
                <c:pt idx="119">
                  <c:v>36646</c:v>
                </c:pt>
                <c:pt idx="120">
                  <c:v>36647</c:v>
                </c:pt>
                <c:pt idx="121">
                  <c:v>36648</c:v>
                </c:pt>
                <c:pt idx="122">
                  <c:v>36649</c:v>
                </c:pt>
                <c:pt idx="123">
                  <c:v>36650</c:v>
                </c:pt>
                <c:pt idx="124">
                  <c:v>36651</c:v>
                </c:pt>
                <c:pt idx="125">
                  <c:v>36652</c:v>
                </c:pt>
                <c:pt idx="126">
                  <c:v>36653</c:v>
                </c:pt>
                <c:pt idx="127">
                  <c:v>36654</c:v>
                </c:pt>
                <c:pt idx="128">
                  <c:v>36655</c:v>
                </c:pt>
                <c:pt idx="129">
                  <c:v>36656</c:v>
                </c:pt>
                <c:pt idx="130">
                  <c:v>36657</c:v>
                </c:pt>
                <c:pt idx="131">
                  <c:v>36658</c:v>
                </c:pt>
                <c:pt idx="132">
                  <c:v>36659</c:v>
                </c:pt>
                <c:pt idx="133">
                  <c:v>36660</c:v>
                </c:pt>
                <c:pt idx="134">
                  <c:v>36661</c:v>
                </c:pt>
                <c:pt idx="135">
                  <c:v>36662</c:v>
                </c:pt>
                <c:pt idx="136">
                  <c:v>36663</c:v>
                </c:pt>
                <c:pt idx="137">
                  <c:v>36664</c:v>
                </c:pt>
                <c:pt idx="138">
                  <c:v>36665</c:v>
                </c:pt>
                <c:pt idx="139">
                  <c:v>36666</c:v>
                </c:pt>
                <c:pt idx="140">
                  <c:v>36667</c:v>
                </c:pt>
                <c:pt idx="141">
                  <c:v>36668</c:v>
                </c:pt>
                <c:pt idx="142">
                  <c:v>36669</c:v>
                </c:pt>
                <c:pt idx="143">
                  <c:v>36670</c:v>
                </c:pt>
                <c:pt idx="144">
                  <c:v>36671</c:v>
                </c:pt>
                <c:pt idx="145">
                  <c:v>36672</c:v>
                </c:pt>
                <c:pt idx="146">
                  <c:v>36673</c:v>
                </c:pt>
                <c:pt idx="147">
                  <c:v>36674</c:v>
                </c:pt>
                <c:pt idx="148">
                  <c:v>36675</c:v>
                </c:pt>
                <c:pt idx="149">
                  <c:v>36676</c:v>
                </c:pt>
                <c:pt idx="150">
                  <c:v>36677</c:v>
                </c:pt>
                <c:pt idx="151">
                  <c:v>36678</c:v>
                </c:pt>
                <c:pt idx="152">
                  <c:v>36679</c:v>
                </c:pt>
                <c:pt idx="153">
                  <c:v>36680</c:v>
                </c:pt>
                <c:pt idx="154">
                  <c:v>36681</c:v>
                </c:pt>
                <c:pt idx="155">
                  <c:v>36682</c:v>
                </c:pt>
                <c:pt idx="156">
                  <c:v>36683</c:v>
                </c:pt>
                <c:pt idx="157">
                  <c:v>36684</c:v>
                </c:pt>
                <c:pt idx="158">
                  <c:v>36685</c:v>
                </c:pt>
                <c:pt idx="159">
                  <c:v>36686</c:v>
                </c:pt>
                <c:pt idx="160">
                  <c:v>36687</c:v>
                </c:pt>
                <c:pt idx="161">
                  <c:v>36688</c:v>
                </c:pt>
                <c:pt idx="162">
                  <c:v>36689</c:v>
                </c:pt>
                <c:pt idx="163">
                  <c:v>36690</c:v>
                </c:pt>
                <c:pt idx="164">
                  <c:v>36691</c:v>
                </c:pt>
                <c:pt idx="165">
                  <c:v>36692</c:v>
                </c:pt>
                <c:pt idx="166">
                  <c:v>36693</c:v>
                </c:pt>
                <c:pt idx="167">
                  <c:v>36694</c:v>
                </c:pt>
                <c:pt idx="168">
                  <c:v>36695</c:v>
                </c:pt>
                <c:pt idx="169">
                  <c:v>36696</c:v>
                </c:pt>
                <c:pt idx="170">
                  <c:v>36697</c:v>
                </c:pt>
                <c:pt idx="171">
                  <c:v>36698</c:v>
                </c:pt>
                <c:pt idx="172">
                  <c:v>36699</c:v>
                </c:pt>
                <c:pt idx="173">
                  <c:v>36700</c:v>
                </c:pt>
                <c:pt idx="174">
                  <c:v>36701</c:v>
                </c:pt>
                <c:pt idx="175">
                  <c:v>36702</c:v>
                </c:pt>
                <c:pt idx="176">
                  <c:v>36703</c:v>
                </c:pt>
                <c:pt idx="177">
                  <c:v>36704</c:v>
                </c:pt>
                <c:pt idx="178">
                  <c:v>36705</c:v>
                </c:pt>
                <c:pt idx="179">
                  <c:v>36706</c:v>
                </c:pt>
                <c:pt idx="180">
                  <c:v>36707</c:v>
                </c:pt>
                <c:pt idx="181">
                  <c:v>36708</c:v>
                </c:pt>
                <c:pt idx="182">
                  <c:v>36709</c:v>
                </c:pt>
                <c:pt idx="183">
                  <c:v>36710</c:v>
                </c:pt>
                <c:pt idx="184">
                  <c:v>36711</c:v>
                </c:pt>
                <c:pt idx="185">
                  <c:v>36712</c:v>
                </c:pt>
                <c:pt idx="186">
                  <c:v>36713</c:v>
                </c:pt>
                <c:pt idx="187">
                  <c:v>36714</c:v>
                </c:pt>
                <c:pt idx="188">
                  <c:v>36715</c:v>
                </c:pt>
                <c:pt idx="189">
                  <c:v>36716</c:v>
                </c:pt>
                <c:pt idx="190">
                  <c:v>36717</c:v>
                </c:pt>
                <c:pt idx="191">
                  <c:v>36718</c:v>
                </c:pt>
                <c:pt idx="192">
                  <c:v>36719</c:v>
                </c:pt>
                <c:pt idx="193">
                  <c:v>36720</c:v>
                </c:pt>
                <c:pt idx="194">
                  <c:v>36721</c:v>
                </c:pt>
                <c:pt idx="195">
                  <c:v>36722</c:v>
                </c:pt>
                <c:pt idx="196">
                  <c:v>36723</c:v>
                </c:pt>
                <c:pt idx="197">
                  <c:v>36724</c:v>
                </c:pt>
                <c:pt idx="198">
                  <c:v>36725</c:v>
                </c:pt>
                <c:pt idx="199">
                  <c:v>36726</c:v>
                </c:pt>
                <c:pt idx="200">
                  <c:v>36727</c:v>
                </c:pt>
                <c:pt idx="201">
                  <c:v>36728</c:v>
                </c:pt>
                <c:pt idx="202">
                  <c:v>36729</c:v>
                </c:pt>
                <c:pt idx="203">
                  <c:v>36730</c:v>
                </c:pt>
                <c:pt idx="204">
                  <c:v>36731</c:v>
                </c:pt>
                <c:pt idx="205">
                  <c:v>36732</c:v>
                </c:pt>
                <c:pt idx="206">
                  <c:v>36733</c:v>
                </c:pt>
                <c:pt idx="207">
                  <c:v>36734</c:v>
                </c:pt>
                <c:pt idx="208">
                  <c:v>36735</c:v>
                </c:pt>
                <c:pt idx="209">
                  <c:v>36736</c:v>
                </c:pt>
                <c:pt idx="210">
                  <c:v>36737</c:v>
                </c:pt>
                <c:pt idx="211">
                  <c:v>36738</c:v>
                </c:pt>
                <c:pt idx="212">
                  <c:v>36739</c:v>
                </c:pt>
                <c:pt idx="213">
                  <c:v>36740</c:v>
                </c:pt>
                <c:pt idx="214">
                  <c:v>36741</c:v>
                </c:pt>
                <c:pt idx="215">
                  <c:v>36742</c:v>
                </c:pt>
                <c:pt idx="216">
                  <c:v>36743</c:v>
                </c:pt>
                <c:pt idx="217">
                  <c:v>36744</c:v>
                </c:pt>
                <c:pt idx="218">
                  <c:v>36745</c:v>
                </c:pt>
                <c:pt idx="219">
                  <c:v>36746</c:v>
                </c:pt>
                <c:pt idx="220">
                  <c:v>36747</c:v>
                </c:pt>
                <c:pt idx="221">
                  <c:v>36748</c:v>
                </c:pt>
                <c:pt idx="222">
                  <c:v>36749</c:v>
                </c:pt>
                <c:pt idx="223">
                  <c:v>36750</c:v>
                </c:pt>
                <c:pt idx="224">
                  <c:v>36751</c:v>
                </c:pt>
                <c:pt idx="225">
                  <c:v>36752</c:v>
                </c:pt>
                <c:pt idx="226">
                  <c:v>36753</c:v>
                </c:pt>
                <c:pt idx="227">
                  <c:v>36754</c:v>
                </c:pt>
                <c:pt idx="228">
                  <c:v>36755</c:v>
                </c:pt>
                <c:pt idx="229">
                  <c:v>36756</c:v>
                </c:pt>
                <c:pt idx="230">
                  <c:v>36757</c:v>
                </c:pt>
                <c:pt idx="231">
                  <c:v>36758</c:v>
                </c:pt>
                <c:pt idx="232">
                  <c:v>36759</c:v>
                </c:pt>
                <c:pt idx="233">
                  <c:v>36760</c:v>
                </c:pt>
                <c:pt idx="234">
                  <c:v>36761</c:v>
                </c:pt>
                <c:pt idx="235">
                  <c:v>36762</c:v>
                </c:pt>
                <c:pt idx="236">
                  <c:v>36763</c:v>
                </c:pt>
                <c:pt idx="237">
                  <c:v>36764</c:v>
                </c:pt>
                <c:pt idx="238">
                  <c:v>36765</c:v>
                </c:pt>
                <c:pt idx="239">
                  <c:v>36766</c:v>
                </c:pt>
                <c:pt idx="240">
                  <c:v>36767</c:v>
                </c:pt>
                <c:pt idx="241">
                  <c:v>36768</c:v>
                </c:pt>
                <c:pt idx="242">
                  <c:v>36769</c:v>
                </c:pt>
                <c:pt idx="243">
                  <c:v>36770</c:v>
                </c:pt>
                <c:pt idx="244">
                  <c:v>36771</c:v>
                </c:pt>
                <c:pt idx="245">
                  <c:v>36772</c:v>
                </c:pt>
                <c:pt idx="246">
                  <c:v>36773</c:v>
                </c:pt>
                <c:pt idx="247">
                  <c:v>36774</c:v>
                </c:pt>
                <c:pt idx="248">
                  <c:v>36775</c:v>
                </c:pt>
                <c:pt idx="249">
                  <c:v>36776</c:v>
                </c:pt>
                <c:pt idx="250">
                  <c:v>36777</c:v>
                </c:pt>
                <c:pt idx="251">
                  <c:v>36778</c:v>
                </c:pt>
                <c:pt idx="252">
                  <c:v>36779</c:v>
                </c:pt>
                <c:pt idx="253">
                  <c:v>36780</c:v>
                </c:pt>
                <c:pt idx="254">
                  <c:v>36781</c:v>
                </c:pt>
                <c:pt idx="255">
                  <c:v>36782</c:v>
                </c:pt>
                <c:pt idx="256">
                  <c:v>36783</c:v>
                </c:pt>
                <c:pt idx="257">
                  <c:v>36784</c:v>
                </c:pt>
                <c:pt idx="258">
                  <c:v>36785</c:v>
                </c:pt>
                <c:pt idx="259">
                  <c:v>36786</c:v>
                </c:pt>
                <c:pt idx="260">
                  <c:v>36787</c:v>
                </c:pt>
                <c:pt idx="261">
                  <c:v>36788</c:v>
                </c:pt>
                <c:pt idx="262">
                  <c:v>36789</c:v>
                </c:pt>
                <c:pt idx="263">
                  <c:v>36790</c:v>
                </c:pt>
                <c:pt idx="264">
                  <c:v>36791</c:v>
                </c:pt>
                <c:pt idx="265">
                  <c:v>36792</c:v>
                </c:pt>
                <c:pt idx="266">
                  <c:v>36793</c:v>
                </c:pt>
                <c:pt idx="267">
                  <c:v>36794</c:v>
                </c:pt>
                <c:pt idx="268">
                  <c:v>36795</c:v>
                </c:pt>
                <c:pt idx="269">
                  <c:v>36796</c:v>
                </c:pt>
                <c:pt idx="270">
                  <c:v>36797</c:v>
                </c:pt>
                <c:pt idx="271">
                  <c:v>36798</c:v>
                </c:pt>
                <c:pt idx="272">
                  <c:v>36799</c:v>
                </c:pt>
                <c:pt idx="273">
                  <c:v>36800</c:v>
                </c:pt>
                <c:pt idx="274">
                  <c:v>36801</c:v>
                </c:pt>
                <c:pt idx="275">
                  <c:v>36802</c:v>
                </c:pt>
                <c:pt idx="276">
                  <c:v>36803</c:v>
                </c:pt>
                <c:pt idx="277">
                  <c:v>36804</c:v>
                </c:pt>
                <c:pt idx="278">
                  <c:v>36805</c:v>
                </c:pt>
                <c:pt idx="279">
                  <c:v>36806</c:v>
                </c:pt>
                <c:pt idx="280">
                  <c:v>36807</c:v>
                </c:pt>
                <c:pt idx="281">
                  <c:v>36808</c:v>
                </c:pt>
                <c:pt idx="282">
                  <c:v>36809</c:v>
                </c:pt>
                <c:pt idx="283">
                  <c:v>36810</c:v>
                </c:pt>
                <c:pt idx="284">
                  <c:v>36811</c:v>
                </c:pt>
                <c:pt idx="285">
                  <c:v>36812</c:v>
                </c:pt>
                <c:pt idx="286">
                  <c:v>36813</c:v>
                </c:pt>
                <c:pt idx="287">
                  <c:v>36814</c:v>
                </c:pt>
                <c:pt idx="288">
                  <c:v>36815</c:v>
                </c:pt>
                <c:pt idx="289">
                  <c:v>36816</c:v>
                </c:pt>
                <c:pt idx="290">
                  <c:v>36817</c:v>
                </c:pt>
                <c:pt idx="291">
                  <c:v>36818</c:v>
                </c:pt>
                <c:pt idx="292">
                  <c:v>36819</c:v>
                </c:pt>
                <c:pt idx="293">
                  <c:v>36820</c:v>
                </c:pt>
                <c:pt idx="294">
                  <c:v>36821</c:v>
                </c:pt>
                <c:pt idx="295">
                  <c:v>36822</c:v>
                </c:pt>
                <c:pt idx="296">
                  <c:v>36823</c:v>
                </c:pt>
                <c:pt idx="297">
                  <c:v>36824</c:v>
                </c:pt>
                <c:pt idx="298">
                  <c:v>36825</c:v>
                </c:pt>
                <c:pt idx="299">
                  <c:v>36826</c:v>
                </c:pt>
                <c:pt idx="300">
                  <c:v>36827</c:v>
                </c:pt>
                <c:pt idx="301">
                  <c:v>36828</c:v>
                </c:pt>
                <c:pt idx="302">
                  <c:v>36829</c:v>
                </c:pt>
                <c:pt idx="303">
                  <c:v>36830</c:v>
                </c:pt>
                <c:pt idx="304">
                  <c:v>36831</c:v>
                </c:pt>
                <c:pt idx="305">
                  <c:v>36832</c:v>
                </c:pt>
                <c:pt idx="306">
                  <c:v>36833</c:v>
                </c:pt>
                <c:pt idx="307">
                  <c:v>36834</c:v>
                </c:pt>
                <c:pt idx="308">
                  <c:v>36835</c:v>
                </c:pt>
                <c:pt idx="309">
                  <c:v>36836</c:v>
                </c:pt>
                <c:pt idx="310">
                  <c:v>36837</c:v>
                </c:pt>
                <c:pt idx="311">
                  <c:v>36838</c:v>
                </c:pt>
                <c:pt idx="312">
                  <c:v>36839</c:v>
                </c:pt>
                <c:pt idx="313">
                  <c:v>36840</c:v>
                </c:pt>
                <c:pt idx="314">
                  <c:v>36841</c:v>
                </c:pt>
                <c:pt idx="315">
                  <c:v>36842</c:v>
                </c:pt>
                <c:pt idx="316">
                  <c:v>36843</c:v>
                </c:pt>
                <c:pt idx="317">
                  <c:v>36844</c:v>
                </c:pt>
                <c:pt idx="318">
                  <c:v>36845</c:v>
                </c:pt>
                <c:pt idx="319">
                  <c:v>36846</c:v>
                </c:pt>
                <c:pt idx="320">
                  <c:v>36847</c:v>
                </c:pt>
                <c:pt idx="321">
                  <c:v>36848</c:v>
                </c:pt>
                <c:pt idx="322">
                  <c:v>36849</c:v>
                </c:pt>
                <c:pt idx="323">
                  <c:v>36850</c:v>
                </c:pt>
                <c:pt idx="324">
                  <c:v>36851</c:v>
                </c:pt>
                <c:pt idx="325">
                  <c:v>36852</c:v>
                </c:pt>
                <c:pt idx="326">
                  <c:v>36853</c:v>
                </c:pt>
                <c:pt idx="327">
                  <c:v>36854</c:v>
                </c:pt>
                <c:pt idx="328">
                  <c:v>36855</c:v>
                </c:pt>
                <c:pt idx="329">
                  <c:v>36856</c:v>
                </c:pt>
                <c:pt idx="330">
                  <c:v>36857</c:v>
                </c:pt>
                <c:pt idx="331">
                  <c:v>36858</c:v>
                </c:pt>
                <c:pt idx="332">
                  <c:v>36859</c:v>
                </c:pt>
                <c:pt idx="333">
                  <c:v>36860</c:v>
                </c:pt>
                <c:pt idx="334">
                  <c:v>36861</c:v>
                </c:pt>
                <c:pt idx="335">
                  <c:v>36862</c:v>
                </c:pt>
                <c:pt idx="336">
                  <c:v>36863</c:v>
                </c:pt>
                <c:pt idx="337">
                  <c:v>36864</c:v>
                </c:pt>
                <c:pt idx="338">
                  <c:v>36865</c:v>
                </c:pt>
                <c:pt idx="339">
                  <c:v>36866</c:v>
                </c:pt>
                <c:pt idx="340">
                  <c:v>36867</c:v>
                </c:pt>
                <c:pt idx="341">
                  <c:v>36868</c:v>
                </c:pt>
                <c:pt idx="342">
                  <c:v>36869</c:v>
                </c:pt>
                <c:pt idx="343">
                  <c:v>36870</c:v>
                </c:pt>
                <c:pt idx="344">
                  <c:v>36871</c:v>
                </c:pt>
                <c:pt idx="345">
                  <c:v>36872</c:v>
                </c:pt>
                <c:pt idx="346">
                  <c:v>36873</c:v>
                </c:pt>
                <c:pt idx="347">
                  <c:v>36874</c:v>
                </c:pt>
                <c:pt idx="348">
                  <c:v>36875</c:v>
                </c:pt>
                <c:pt idx="349">
                  <c:v>36876</c:v>
                </c:pt>
                <c:pt idx="350">
                  <c:v>36877</c:v>
                </c:pt>
                <c:pt idx="351">
                  <c:v>36878</c:v>
                </c:pt>
                <c:pt idx="352">
                  <c:v>36879</c:v>
                </c:pt>
                <c:pt idx="353">
                  <c:v>36880</c:v>
                </c:pt>
                <c:pt idx="354">
                  <c:v>36881</c:v>
                </c:pt>
                <c:pt idx="355">
                  <c:v>36882</c:v>
                </c:pt>
                <c:pt idx="356">
                  <c:v>36883</c:v>
                </c:pt>
                <c:pt idx="357">
                  <c:v>36884</c:v>
                </c:pt>
                <c:pt idx="358">
                  <c:v>36885</c:v>
                </c:pt>
                <c:pt idx="359">
                  <c:v>36886</c:v>
                </c:pt>
                <c:pt idx="360">
                  <c:v>36887</c:v>
                </c:pt>
                <c:pt idx="361">
                  <c:v>36888</c:v>
                </c:pt>
                <c:pt idx="362">
                  <c:v>36889</c:v>
                </c:pt>
                <c:pt idx="363">
                  <c:v>36890</c:v>
                </c:pt>
                <c:pt idx="364">
                  <c:v>36891</c:v>
                </c:pt>
                <c:pt idx="365">
                  <c:v>36892</c:v>
                </c:pt>
                <c:pt idx="366">
                  <c:v>36893</c:v>
                </c:pt>
                <c:pt idx="367">
                  <c:v>36894</c:v>
                </c:pt>
                <c:pt idx="368">
                  <c:v>36895</c:v>
                </c:pt>
                <c:pt idx="369">
                  <c:v>36896</c:v>
                </c:pt>
                <c:pt idx="370">
                  <c:v>36897</c:v>
                </c:pt>
                <c:pt idx="371">
                  <c:v>36898</c:v>
                </c:pt>
                <c:pt idx="372">
                  <c:v>36899</c:v>
                </c:pt>
                <c:pt idx="373">
                  <c:v>36900</c:v>
                </c:pt>
                <c:pt idx="374">
                  <c:v>36901</c:v>
                </c:pt>
                <c:pt idx="375">
                  <c:v>36902</c:v>
                </c:pt>
                <c:pt idx="376">
                  <c:v>36903</c:v>
                </c:pt>
                <c:pt idx="377">
                  <c:v>36904</c:v>
                </c:pt>
                <c:pt idx="378">
                  <c:v>36905</c:v>
                </c:pt>
                <c:pt idx="379">
                  <c:v>36906</c:v>
                </c:pt>
                <c:pt idx="380">
                  <c:v>36907</c:v>
                </c:pt>
                <c:pt idx="381">
                  <c:v>36908</c:v>
                </c:pt>
                <c:pt idx="382">
                  <c:v>36909</c:v>
                </c:pt>
                <c:pt idx="383">
                  <c:v>36910</c:v>
                </c:pt>
                <c:pt idx="384">
                  <c:v>36911</c:v>
                </c:pt>
                <c:pt idx="385">
                  <c:v>36912</c:v>
                </c:pt>
                <c:pt idx="386">
                  <c:v>36913</c:v>
                </c:pt>
                <c:pt idx="387">
                  <c:v>36914</c:v>
                </c:pt>
                <c:pt idx="388">
                  <c:v>36915</c:v>
                </c:pt>
                <c:pt idx="389">
                  <c:v>36916</c:v>
                </c:pt>
                <c:pt idx="390">
                  <c:v>36917</c:v>
                </c:pt>
                <c:pt idx="391">
                  <c:v>36918</c:v>
                </c:pt>
                <c:pt idx="392">
                  <c:v>36919</c:v>
                </c:pt>
                <c:pt idx="393">
                  <c:v>36920</c:v>
                </c:pt>
                <c:pt idx="394">
                  <c:v>36921</c:v>
                </c:pt>
                <c:pt idx="395">
                  <c:v>36922</c:v>
                </c:pt>
                <c:pt idx="396">
                  <c:v>36923</c:v>
                </c:pt>
                <c:pt idx="397">
                  <c:v>36924</c:v>
                </c:pt>
                <c:pt idx="398">
                  <c:v>36925</c:v>
                </c:pt>
                <c:pt idx="399">
                  <c:v>36926</c:v>
                </c:pt>
                <c:pt idx="400">
                  <c:v>36927</c:v>
                </c:pt>
                <c:pt idx="401">
                  <c:v>36928</c:v>
                </c:pt>
                <c:pt idx="402">
                  <c:v>36929</c:v>
                </c:pt>
                <c:pt idx="403">
                  <c:v>36930</c:v>
                </c:pt>
                <c:pt idx="404">
                  <c:v>36931</c:v>
                </c:pt>
                <c:pt idx="405">
                  <c:v>36932</c:v>
                </c:pt>
                <c:pt idx="406">
                  <c:v>36933</c:v>
                </c:pt>
                <c:pt idx="407">
                  <c:v>36934</c:v>
                </c:pt>
                <c:pt idx="408">
                  <c:v>36935</c:v>
                </c:pt>
                <c:pt idx="409">
                  <c:v>36936</c:v>
                </c:pt>
                <c:pt idx="410">
                  <c:v>36937</c:v>
                </c:pt>
                <c:pt idx="411">
                  <c:v>36938</c:v>
                </c:pt>
                <c:pt idx="412">
                  <c:v>36939</c:v>
                </c:pt>
                <c:pt idx="413">
                  <c:v>36940</c:v>
                </c:pt>
                <c:pt idx="414">
                  <c:v>36941</c:v>
                </c:pt>
                <c:pt idx="415">
                  <c:v>36942</c:v>
                </c:pt>
                <c:pt idx="416">
                  <c:v>36943</c:v>
                </c:pt>
                <c:pt idx="417">
                  <c:v>36944</c:v>
                </c:pt>
                <c:pt idx="418">
                  <c:v>36945</c:v>
                </c:pt>
                <c:pt idx="419">
                  <c:v>36946</c:v>
                </c:pt>
                <c:pt idx="420">
                  <c:v>36947</c:v>
                </c:pt>
                <c:pt idx="421">
                  <c:v>36948</c:v>
                </c:pt>
                <c:pt idx="422">
                  <c:v>36949</c:v>
                </c:pt>
                <c:pt idx="423">
                  <c:v>36950</c:v>
                </c:pt>
                <c:pt idx="424">
                  <c:v>36951</c:v>
                </c:pt>
                <c:pt idx="425">
                  <c:v>36952</c:v>
                </c:pt>
                <c:pt idx="426">
                  <c:v>36953</c:v>
                </c:pt>
                <c:pt idx="427">
                  <c:v>36954</c:v>
                </c:pt>
                <c:pt idx="428">
                  <c:v>36955</c:v>
                </c:pt>
                <c:pt idx="429">
                  <c:v>36956</c:v>
                </c:pt>
                <c:pt idx="430">
                  <c:v>36957</c:v>
                </c:pt>
                <c:pt idx="431">
                  <c:v>36958</c:v>
                </c:pt>
                <c:pt idx="432">
                  <c:v>36959</c:v>
                </c:pt>
                <c:pt idx="433">
                  <c:v>36960</c:v>
                </c:pt>
                <c:pt idx="434">
                  <c:v>36961</c:v>
                </c:pt>
                <c:pt idx="435">
                  <c:v>36962</c:v>
                </c:pt>
                <c:pt idx="436">
                  <c:v>36963</c:v>
                </c:pt>
                <c:pt idx="437">
                  <c:v>36964</c:v>
                </c:pt>
                <c:pt idx="438">
                  <c:v>36965</c:v>
                </c:pt>
                <c:pt idx="439">
                  <c:v>36966</c:v>
                </c:pt>
                <c:pt idx="440">
                  <c:v>36967</c:v>
                </c:pt>
                <c:pt idx="441">
                  <c:v>36968</c:v>
                </c:pt>
                <c:pt idx="442">
                  <c:v>36969</c:v>
                </c:pt>
                <c:pt idx="443">
                  <c:v>36970</c:v>
                </c:pt>
                <c:pt idx="444">
                  <c:v>36971</c:v>
                </c:pt>
                <c:pt idx="445">
                  <c:v>36972</c:v>
                </c:pt>
                <c:pt idx="446">
                  <c:v>36973</c:v>
                </c:pt>
                <c:pt idx="447">
                  <c:v>36974</c:v>
                </c:pt>
                <c:pt idx="448">
                  <c:v>36975</c:v>
                </c:pt>
                <c:pt idx="449">
                  <c:v>36976</c:v>
                </c:pt>
                <c:pt idx="450">
                  <c:v>36977</c:v>
                </c:pt>
                <c:pt idx="451">
                  <c:v>36978</c:v>
                </c:pt>
                <c:pt idx="452">
                  <c:v>36979</c:v>
                </c:pt>
                <c:pt idx="453">
                  <c:v>36980</c:v>
                </c:pt>
                <c:pt idx="454">
                  <c:v>36981</c:v>
                </c:pt>
                <c:pt idx="455">
                  <c:v>36982</c:v>
                </c:pt>
                <c:pt idx="456">
                  <c:v>36983</c:v>
                </c:pt>
                <c:pt idx="457">
                  <c:v>36984</c:v>
                </c:pt>
                <c:pt idx="458">
                  <c:v>36985</c:v>
                </c:pt>
                <c:pt idx="459">
                  <c:v>36986</c:v>
                </c:pt>
                <c:pt idx="460">
                  <c:v>36987</c:v>
                </c:pt>
                <c:pt idx="461">
                  <c:v>36988</c:v>
                </c:pt>
                <c:pt idx="462">
                  <c:v>36989</c:v>
                </c:pt>
                <c:pt idx="463">
                  <c:v>36990</c:v>
                </c:pt>
                <c:pt idx="464">
                  <c:v>36991</c:v>
                </c:pt>
                <c:pt idx="465">
                  <c:v>36992</c:v>
                </c:pt>
                <c:pt idx="466">
                  <c:v>36993</c:v>
                </c:pt>
                <c:pt idx="467">
                  <c:v>36994</c:v>
                </c:pt>
                <c:pt idx="468">
                  <c:v>36995</c:v>
                </c:pt>
                <c:pt idx="469">
                  <c:v>36996</c:v>
                </c:pt>
                <c:pt idx="470">
                  <c:v>36997</c:v>
                </c:pt>
                <c:pt idx="471">
                  <c:v>36998</c:v>
                </c:pt>
                <c:pt idx="472">
                  <c:v>36999</c:v>
                </c:pt>
                <c:pt idx="473">
                  <c:v>37000</c:v>
                </c:pt>
                <c:pt idx="474">
                  <c:v>37001</c:v>
                </c:pt>
                <c:pt idx="475">
                  <c:v>37002</c:v>
                </c:pt>
                <c:pt idx="476">
                  <c:v>37003</c:v>
                </c:pt>
                <c:pt idx="477">
                  <c:v>37004</c:v>
                </c:pt>
                <c:pt idx="478">
                  <c:v>37005</c:v>
                </c:pt>
                <c:pt idx="479">
                  <c:v>37006</c:v>
                </c:pt>
                <c:pt idx="480">
                  <c:v>37007</c:v>
                </c:pt>
                <c:pt idx="481">
                  <c:v>37008</c:v>
                </c:pt>
                <c:pt idx="482">
                  <c:v>37009</c:v>
                </c:pt>
                <c:pt idx="483">
                  <c:v>37010</c:v>
                </c:pt>
                <c:pt idx="484">
                  <c:v>37011</c:v>
                </c:pt>
                <c:pt idx="485">
                  <c:v>37012</c:v>
                </c:pt>
                <c:pt idx="486">
                  <c:v>37013</c:v>
                </c:pt>
                <c:pt idx="487">
                  <c:v>37014</c:v>
                </c:pt>
                <c:pt idx="488">
                  <c:v>37015</c:v>
                </c:pt>
                <c:pt idx="489">
                  <c:v>37016</c:v>
                </c:pt>
                <c:pt idx="490">
                  <c:v>37017</c:v>
                </c:pt>
                <c:pt idx="491">
                  <c:v>37018</c:v>
                </c:pt>
                <c:pt idx="492">
                  <c:v>37019</c:v>
                </c:pt>
                <c:pt idx="493">
                  <c:v>37020</c:v>
                </c:pt>
                <c:pt idx="494">
                  <c:v>37021</c:v>
                </c:pt>
                <c:pt idx="495">
                  <c:v>37022</c:v>
                </c:pt>
                <c:pt idx="496">
                  <c:v>37023</c:v>
                </c:pt>
                <c:pt idx="497">
                  <c:v>37024</c:v>
                </c:pt>
                <c:pt idx="498">
                  <c:v>37025</c:v>
                </c:pt>
                <c:pt idx="499">
                  <c:v>37026</c:v>
                </c:pt>
                <c:pt idx="500">
                  <c:v>37027</c:v>
                </c:pt>
                <c:pt idx="501">
                  <c:v>37028</c:v>
                </c:pt>
                <c:pt idx="502">
                  <c:v>37029</c:v>
                </c:pt>
                <c:pt idx="503">
                  <c:v>37030</c:v>
                </c:pt>
                <c:pt idx="504">
                  <c:v>37031</c:v>
                </c:pt>
                <c:pt idx="505">
                  <c:v>37032</c:v>
                </c:pt>
                <c:pt idx="506">
                  <c:v>37033</c:v>
                </c:pt>
                <c:pt idx="507">
                  <c:v>37034</c:v>
                </c:pt>
                <c:pt idx="508">
                  <c:v>37035</c:v>
                </c:pt>
                <c:pt idx="509">
                  <c:v>37036</c:v>
                </c:pt>
                <c:pt idx="510">
                  <c:v>37037</c:v>
                </c:pt>
                <c:pt idx="511">
                  <c:v>37038</c:v>
                </c:pt>
                <c:pt idx="512">
                  <c:v>37039</c:v>
                </c:pt>
                <c:pt idx="513">
                  <c:v>37040</c:v>
                </c:pt>
                <c:pt idx="514">
                  <c:v>37041</c:v>
                </c:pt>
                <c:pt idx="515">
                  <c:v>37042</c:v>
                </c:pt>
                <c:pt idx="516">
                  <c:v>37043</c:v>
                </c:pt>
                <c:pt idx="517">
                  <c:v>37044</c:v>
                </c:pt>
                <c:pt idx="518">
                  <c:v>37045</c:v>
                </c:pt>
                <c:pt idx="519">
                  <c:v>37046</c:v>
                </c:pt>
                <c:pt idx="520">
                  <c:v>37047</c:v>
                </c:pt>
                <c:pt idx="521">
                  <c:v>37048</c:v>
                </c:pt>
                <c:pt idx="522">
                  <c:v>37049</c:v>
                </c:pt>
                <c:pt idx="523">
                  <c:v>37050</c:v>
                </c:pt>
                <c:pt idx="524">
                  <c:v>37051</c:v>
                </c:pt>
                <c:pt idx="525">
                  <c:v>37052</c:v>
                </c:pt>
                <c:pt idx="526">
                  <c:v>37053</c:v>
                </c:pt>
                <c:pt idx="527">
                  <c:v>37054</c:v>
                </c:pt>
                <c:pt idx="528">
                  <c:v>37055</c:v>
                </c:pt>
                <c:pt idx="529">
                  <c:v>37056</c:v>
                </c:pt>
                <c:pt idx="530">
                  <c:v>37057</c:v>
                </c:pt>
                <c:pt idx="531">
                  <c:v>37058</c:v>
                </c:pt>
                <c:pt idx="532">
                  <c:v>37059</c:v>
                </c:pt>
                <c:pt idx="533">
                  <c:v>37060</c:v>
                </c:pt>
                <c:pt idx="534">
                  <c:v>37061</c:v>
                </c:pt>
                <c:pt idx="535">
                  <c:v>37062</c:v>
                </c:pt>
                <c:pt idx="536">
                  <c:v>37063</c:v>
                </c:pt>
                <c:pt idx="537">
                  <c:v>37064</c:v>
                </c:pt>
                <c:pt idx="538">
                  <c:v>37065</c:v>
                </c:pt>
                <c:pt idx="539">
                  <c:v>37066</c:v>
                </c:pt>
                <c:pt idx="540">
                  <c:v>37067</c:v>
                </c:pt>
                <c:pt idx="541">
                  <c:v>37068</c:v>
                </c:pt>
                <c:pt idx="542">
                  <c:v>37069</c:v>
                </c:pt>
                <c:pt idx="543">
                  <c:v>37070</c:v>
                </c:pt>
                <c:pt idx="544">
                  <c:v>37071</c:v>
                </c:pt>
                <c:pt idx="545">
                  <c:v>37072</c:v>
                </c:pt>
                <c:pt idx="546">
                  <c:v>37073</c:v>
                </c:pt>
                <c:pt idx="547">
                  <c:v>37074</c:v>
                </c:pt>
                <c:pt idx="548">
                  <c:v>37075</c:v>
                </c:pt>
                <c:pt idx="549">
                  <c:v>37076</c:v>
                </c:pt>
                <c:pt idx="550">
                  <c:v>37077</c:v>
                </c:pt>
                <c:pt idx="551">
                  <c:v>37078</c:v>
                </c:pt>
                <c:pt idx="552">
                  <c:v>37079</c:v>
                </c:pt>
                <c:pt idx="553">
                  <c:v>37080</c:v>
                </c:pt>
                <c:pt idx="554">
                  <c:v>37081</c:v>
                </c:pt>
                <c:pt idx="555">
                  <c:v>37082</c:v>
                </c:pt>
                <c:pt idx="556">
                  <c:v>37083</c:v>
                </c:pt>
                <c:pt idx="557">
                  <c:v>37084</c:v>
                </c:pt>
                <c:pt idx="558">
                  <c:v>37085</c:v>
                </c:pt>
                <c:pt idx="559">
                  <c:v>37086</c:v>
                </c:pt>
                <c:pt idx="560">
                  <c:v>37087</c:v>
                </c:pt>
                <c:pt idx="561">
                  <c:v>37088</c:v>
                </c:pt>
                <c:pt idx="562">
                  <c:v>37089</c:v>
                </c:pt>
                <c:pt idx="563">
                  <c:v>37090</c:v>
                </c:pt>
                <c:pt idx="564">
                  <c:v>37091</c:v>
                </c:pt>
                <c:pt idx="565">
                  <c:v>37092</c:v>
                </c:pt>
                <c:pt idx="566">
                  <c:v>37093</c:v>
                </c:pt>
                <c:pt idx="567">
                  <c:v>37094</c:v>
                </c:pt>
                <c:pt idx="568">
                  <c:v>37095</c:v>
                </c:pt>
                <c:pt idx="569">
                  <c:v>37096</c:v>
                </c:pt>
                <c:pt idx="570">
                  <c:v>37097</c:v>
                </c:pt>
                <c:pt idx="571">
                  <c:v>37098</c:v>
                </c:pt>
                <c:pt idx="572">
                  <c:v>37099</c:v>
                </c:pt>
                <c:pt idx="573">
                  <c:v>37100</c:v>
                </c:pt>
                <c:pt idx="574">
                  <c:v>37101</c:v>
                </c:pt>
                <c:pt idx="575">
                  <c:v>37102</c:v>
                </c:pt>
                <c:pt idx="576">
                  <c:v>37103</c:v>
                </c:pt>
                <c:pt idx="577">
                  <c:v>37104</c:v>
                </c:pt>
                <c:pt idx="578">
                  <c:v>37105</c:v>
                </c:pt>
                <c:pt idx="579">
                  <c:v>37106</c:v>
                </c:pt>
                <c:pt idx="580">
                  <c:v>37107</c:v>
                </c:pt>
                <c:pt idx="581">
                  <c:v>37108</c:v>
                </c:pt>
                <c:pt idx="582">
                  <c:v>37109</c:v>
                </c:pt>
                <c:pt idx="583">
                  <c:v>37110</c:v>
                </c:pt>
                <c:pt idx="584">
                  <c:v>37111</c:v>
                </c:pt>
                <c:pt idx="585">
                  <c:v>37112</c:v>
                </c:pt>
                <c:pt idx="586">
                  <c:v>37113</c:v>
                </c:pt>
                <c:pt idx="587">
                  <c:v>37114</c:v>
                </c:pt>
                <c:pt idx="588">
                  <c:v>37115</c:v>
                </c:pt>
                <c:pt idx="589">
                  <c:v>37116</c:v>
                </c:pt>
                <c:pt idx="590">
                  <c:v>37117</c:v>
                </c:pt>
                <c:pt idx="591">
                  <c:v>37118</c:v>
                </c:pt>
                <c:pt idx="592">
                  <c:v>37119</c:v>
                </c:pt>
                <c:pt idx="593">
                  <c:v>37120</c:v>
                </c:pt>
                <c:pt idx="594">
                  <c:v>37121</c:v>
                </c:pt>
                <c:pt idx="595">
                  <c:v>37122</c:v>
                </c:pt>
                <c:pt idx="596">
                  <c:v>37123</c:v>
                </c:pt>
                <c:pt idx="597">
                  <c:v>37124</c:v>
                </c:pt>
                <c:pt idx="598">
                  <c:v>37125</c:v>
                </c:pt>
                <c:pt idx="599">
                  <c:v>37126</c:v>
                </c:pt>
                <c:pt idx="600">
                  <c:v>37127</c:v>
                </c:pt>
                <c:pt idx="601">
                  <c:v>37128</c:v>
                </c:pt>
                <c:pt idx="602">
                  <c:v>37129</c:v>
                </c:pt>
                <c:pt idx="603">
                  <c:v>37130</c:v>
                </c:pt>
                <c:pt idx="604">
                  <c:v>37131</c:v>
                </c:pt>
                <c:pt idx="605">
                  <c:v>37132</c:v>
                </c:pt>
                <c:pt idx="606">
                  <c:v>37133</c:v>
                </c:pt>
                <c:pt idx="607">
                  <c:v>37134</c:v>
                </c:pt>
                <c:pt idx="608">
                  <c:v>37135</c:v>
                </c:pt>
                <c:pt idx="609">
                  <c:v>37136</c:v>
                </c:pt>
                <c:pt idx="610">
                  <c:v>37137</c:v>
                </c:pt>
                <c:pt idx="611">
                  <c:v>37138</c:v>
                </c:pt>
                <c:pt idx="612">
                  <c:v>37139</c:v>
                </c:pt>
                <c:pt idx="613">
                  <c:v>37140</c:v>
                </c:pt>
                <c:pt idx="614">
                  <c:v>37141</c:v>
                </c:pt>
                <c:pt idx="615">
                  <c:v>37142</c:v>
                </c:pt>
                <c:pt idx="616">
                  <c:v>37143</c:v>
                </c:pt>
                <c:pt idx="617">
                  <c:v>37144</c:v>
                </c:pt>
                <c:pt idx="618">
                  <c:v>37145</c:v>
                </c:pt>
                <c:pt idx="619">
                  <c:v>37146</c:v>
                </c:pt>
                <c:pt idx="620">
                  <c:v>37147</c:v>
                </c:pt>
                <c:pt idx="621">
                  <c:v>37148</c:v>
                </c:pt>
                <c:pt idx="622">
                  <c:v>37149</c:v>
                </c:pt>
                <c:pt idx="623">
                  <c:v>37150</c:v>
                </c:pt>
                <c:pt idx="624">
                  <c:v>37151</c:v>
                </c:pt>
                <c:pt idx="625">
                  <c:v>37152</c:v>
                </c:pt>
                <c:pt idx="626">
                  <c:v>37153</c:v>
                </c:pt>
                <c:pt idx="627">
                  <c:v>37154</c:v>
                </c:pt>
                <c:pt idx="628">
                  <c:v>37155</c:v>
                </c:pt>
                <c:pt idx="629">
                  <c:v>37156</c:v>
                </c:pt>
                <c:pt idx="630">
                  <c:v>37157</c:v>
                </c:pt>
                <c:pt idx="631">
                  <c:v>37158</c:v>
                </c:pt>
                <c:pt idx="632">
                  <c:v>37159</c:v>
                </c:pt>
                <c:pt idx="633">
                  <c:v>37160</c:v>
                </c:pt>
                <c:pt idx="634">
                  <c:v>37161</c:v>
                </c:pt>
                <c:pt idx="635">
                  <c:v>37162</c:v>
                </c:pt>
                <c:pt idx="636">
                  <c:v>37163</c:v>
                </c:pt>
                <c:pt idx="637">
                  <c:v>37164</c:v>
                </c:pt>
                <c:pt idx="638">
                  <c:v>37165</c:v>
                </c:pt>
                <c:pt idx="639">
                  <c:v>37166</c:v>
                </c:pt>
                <c:pt idx="640">
                  <c:v>37167</c:v>
                </c:pt>
                <c:pt idx="641">
                  <c:v>37168</c:v>
                </c:pt>
                <c:pt idx="642">
                  <c:v>37169</c:v>
                </c:pt>
                <c:pt idx="643">
                  <c:v>37170</c:v>
                </c:pt>
                <c:pt idx="644">
                  <c:v>37171</c:v>
                </c:pt>
                <c:pt idx="645">
                  <c:v>37172</c:v>
                </c:pt>
                <c:pt idx="646">
                  <c:v>37173</c:v>
                </c:pt>
                <c:pt idx="647">
                  <c:v>37174</c:v>
                </c:pt>
                <c:pt idx="648">
                  <c:v>37175</c:v>
                </c:pt>
                <c:pt idx="649">
                  <c:v>37176</c:v>
                </c:pt>
                <c:pt idx="650">
                  <c:v>37177</c:v>
                </c:pt>
                <c:pt idx="651">
                  <c:v>37178</c:v>
                </c:pt>
                <c:pt idx="652">
                  <c:v>37179</c:v>
                </c:pt>
                <c:pt idx="653">
                  <c:v>37180</c:v>
                </c:pt>
                <c:pt idx="654">
                  <c:v>37181</c:v>
                </c:pt>
                <c:pt idx="655">
                  <c:v>37182</c:v>
                </c:pt>
                <c:pt idx="656">
                  <c:v>37183</c:v>
                </c:pt>
                <c:pt idx="657">
                  <c:v>37184</c:v>
                </c:pt>
                <c:pt idx="658">
                  <c:v>37185</c:v>
                </c:pt>
                <c:pt idx="659">
                  <c:v>37186</c:v>
                </c:pt>
                <c:pt idx="660">
                  <c:v>37187</c:v>
                </c:pt>
                <c:pt idx="661">
                  <c:v>37188</c:v>
                </c:pt>
                <c:pt idx="662">
                  <c:v>37189</c:v>
                </c:pt>
                <c:pt idx="663">
                  <c:v>37190</c:v>
                </c:pt>
                <c:pt idx="664">
                  <c:v>37191</c:v>
                </c:pt>
                <c:pt idx="665">
                  <c:v>37192</c:v>
                </c:pt>
                <c:pt idx="666">
                  <c:v>37193</c:v>
                </c:pt>
                <c:pt idx="667">
                  <c:v>37194</c:v>
                </c:pt>
                <c:pt idx="668">
                  <c:v>37195</c:v>
                </c:pt>
                <c:pt idx="669">
                  <c:v>37196</c:v>
                </c:pt>
                <c:pt idx="670">
                  <c:v>37197</c:v>
                </c:pt>
                <c:pt idx="671">
                  <c:v>37198</c:v>
                </c:pt>
                <c:pt idx="672">
                  <c:v>37199</c:v>
                </c:pt>
                <c:pt idx="673">
                  <c:v>37200</c:v>
                </c:pt>
                <c:pt idx="674">
                  <c:v>37201</c:v>
                </c:pt>
                <c:pt idx="675">
                  <c:v>37202</c:v>
                </c:pt>
                <c:pt idx="676">
                  <c:v>37203</c:v>
                </c:pt>
                <c:pt idx="677">
                  <c:v>37204</c:v>
                </c:pt>
                <c:pt idx="678">
                  <c:v>37205</c:v>
                </c:pt>
                <c:pt idx="679">
                  <c:v>37206</c:v>
                </c:pt>
                <c:pt idx="680">
                  <c:v>37207</c:v>
                </c:pt>
                <c:pt idx="681">
                  <c:v>37208</c:v>
                </c:pt>
                <c:pt idx="682">
                  <c:v>37209</c:v>
                </c:pt>
                <c:pt idx="683">
                  <c:v>37210</c:v>
                </c:pt>
                <c:pt idx="684">
                  <c:v>37211</c:v>
                </c:pt>
                <c:pt idx="685">
                  <c:v>37212</c:v>
                </c:pt>
                <c:pt idx="686">
                  <c:v>37213</c:v>
                </c:pt>
                <c:pt idx="687">
                  <c:v>37214</c:v>
                </c:pt>
                <c:pt idx="688">
                  <c:v>37215</c:v>
                </c:pt>
                <c:pt idx="689">
                  <c:v>37216</c:v>
                </c:pt>
                <c:pt idx="690">
                  <c:v>37217</c:v>
                </c:pt>
                <c:pt idx="691">
                  <c:v>37218</c:v>
                </c:pt>
                <c:pt idx="692">
                  <c:v>37219</c:v>
                </c:pt>
                <c:pt idx="693">
                  <c:v>37220</c:v>
                </c:pt>
                <c:pt idx="694">
                  <c:v>37221</c:v>
                </c:pt>
                <c:pt idx="695">
                  <c:v>37222</c:v>
                </c:pt>
                <c:pt idx="696">
                  <c:v>37223</c:v>
                </c:pt>
                <c:pt idx="697">
                  <c:v>37224</c:v>
                </c:pt>
                <c:pt idx="698">
                  <c:v>37225</c:v>
                </c:pt>
                <c:pt idx="699">
                  <c:v>37226</c:v>
                </c:pt>
                <c:pt idx="700">
                  <c:v>37227</c:v>
                </c:pt>
                <c:pt idx="701">
                  <c:v>37228</c:v>
                </c:pt>
                <c:pt idx="702">
                  <c:v>37229</c:v>
                </c:pt>
                <c:pt idx="703">
                  <c:v>37230</c:v>
                </c:pt>
                <c:pt idx="704">
                  <c:v>37231</c:v>
                </c:pt>
                <c:pt idx="705">
                  <c:v>37232</c:v>
                </c:pt>
                <c:pt idx="706">
                  <c:v>37233</c:v>
                </c:pt>
                <c:pt idx="707">
                  <c:v>37234</c:v>
                </c:pt>
                <c:pt idx="708">
                  <c:v>37235</c:v>
                </c:pt>
                <c:pt idx="709">
                  <c:v>37236</c:v>
                </c:pt>
                <c:pt idx="710">
                  <c:v>37237</c:v>
                </c:pt>
                <c:pt idx="711">
                  <c:v>37238</c:v>
                </c:pt>
                <c:pt idx="712">
                  <c:v>37239</c:v>
                </c:pt>
                <c:pt idx="713">
                  <c:v>37240</c:v>
                </c:pt>
                <c:pt idx="714">
                  <c:v>37241</c:v>
                </c:pt>
                <c:pt idx="715">
                  <c:v>37242</c:v>
                </c:pt>
                <c:pt idx="716">
                  <c:v>37243</c:v>
                </c:pt>
                <c:pt idx="717">
                  <c:v>37244</c:v>
                </c:pt>
                <c:pt idx="718">
                  <c:v>37245</c:v>
                </c:pt>
                <c:pt idx="719">
                  <c:v>37246</c:v>
                </c:pt>
                <c:pt idx="720">
                  <c:v>37247</c:v>
                </c:pt>
                <c:pt idx="721">
                  <c:v>37248</c:v>
                </c:pt>
                <c:pt idx="722">
                  <c:v>37249</c:v>
                </c:pt>
                <c:pt idx="723">
                  <c:v>37250</c:v>
                </c:pt>
                <c:pt idx="724">
                  <c:v>37251</c:v>
                </c:pt>
                <c:pt idx="725">
                  <c:v>37252</c:v>
                </c:pt>
                <c:pt idx="726">
                  <c:v>37253</c:v>
                </c:pt>
                <c:pt idx="727">
                  <c:v>37254</c:v>
                </c:pt>
                <c:pt idx="728">
                  <c:v>37255</c:v>
                </c:pt>
                <c:pt idx="729">
                  <c:v>37256</c:v>
                </c:pt>
                <c:pt idx="730">
                  <c:v>37257</c:v>
                </c:pt>
                <c:pt idx="731">
                  <c:v>37258</c:v>
                </c:pt>
                <c:pt idx="732">
                  <c:v>37259</c:v>
                </c:pt>
                <c:pt idx="733">
                  <c:v>37260</c:v>
                </c:pt>
                <c:pt idx="734">
                  <c:v>37261</c:v>
                </c:pt>
                <c:pt idx="735">
                  <c:v>37262</c:v>
                </c:pt>
                <c:pt idx="736">
                  <c:v>37263</c:v>
                </c:pt>
                <c:pt idx="737">
                  <c:v>37264</c:v>
                </c:pt>
                <c:pt idx="738">
                  <c:v>37265</c:v>
                </c:pt>
                <c:pt idx="739">
                  <c:v>37266</c:v>
                </c:pt>
                <c:pt idx="740">
                  <c:v>37267</c:v>
                </c:pt>
                <c:pt idx="741">
                  <c:v>37268</c:v>
                </c:pt>
                <c:pt idx="742">
                  <c:v>37269</c:v>
                </c:pt>
                <c:pt idx="743">
                  <c:v>37270</c:v>
                </c:pt>
                <c:pt idx="744">
                  <c:v>37271</c:v>
                </c:pt>
                <c:pt idx="745">
                  <c:v>37272</c:v>
                </c:pt>
                <c:pt idx="746">
                  <c:v>37273</c:v>
                </c:pt>
                <c:pt idx="747">
                  <c:v>37274</c:v>
                </c:pt>
                <c:pt idx="748">
                  <c:v>37275</c:v>
                </c:pt>
                <c:pt idx="749">
                  <c:v>37276</c:v>
                </c:pt>
                <c:pt idx="750">
                  <c:v>37277</c:v>
                </c:pt>
                <c:pt idx="751">
                  <c:v>37278</c:v>
                </c:pt>
                <c:pt idx="752">
                  <c:v>37279</c:v>
                </c:pt>
                <c:pt idx="753">
                  <c:v>37280</c:v>
                </c:pt>
                <c:pt idx="754">
                  <c:v>37281</c:v>
                </c:pt>
                <c:pt idx="755">
                  <c:v>37282</c:v>
                </c:pt>
                <c:pt idx="756">
                  <c:v>37283</c:v>
                </c:pt>
                <c:pt idx="757">
                  <c:v>37284</c:v>
                </c:pt>
                <c:pt idx="758">
                  <c:v>37285</c:v>
                </c:pt>
                <c:pt idx="759">
                  <c:v>37286</c:v>
                </c:pt>
                <c:pt idx="760">
                  <c:v>37287</c:v>
                </c:pt>
                <c:pt idx="761">
                  <c:v>37288</c:v>
                </c:pt>
                <c:pt idx="762">
                  <c:v>37289</c:v>
                </c:pt>
                <c:pt idx="763">
                  <c:v>37290</c:v>
                </c:pt>
                <c:pt idx="764">
                  <c:v>37291</c:v>
                </c:pt>
                <c:pt idx="765">
                  <c:v>37292</c:v>
                </c:pt>
                <c:pt idx="766">
                  <c:v>37293</c:v>
                </c:pt>
                <c:pt idx="767">
                  <c:v>37294</c:v>
                </c:pt>
                <c:pt idx="768">
                  <c:v>37295</c:v>
                </c:pt>
                <c:pt idx="769">
                  <c:v>37296</c:v>
                </c:pt>
                <c:pt idx="770">
                  <c:v>37297</c:v>
                </c:pt>
                <c:pt idx="771">
                  <c:v>37298</c:v>
                </c:pt>
                <c:pt idx="772">
                  <c:v>37299</c:v>
                </c:pt>
                <c:pt idx="773">
                  <c:v>37300</c:v>
                </c:pt>
                <c:pt idx="774">
                  <c:v>37301</c:v>
                </c:pt>
                <c:pt idx="775">
                  <c:v>37302</c:v>
                </c:pt>
                <c:pt idx="776">
                  <c:v>37303</c:v>
                </c:pt>
                <c:pt idx="777">
                  <c:v>37304</c:v>
                </c:pt>
                <c:pt idx="778">
                  <c:v>37305</c:v>
                </c:pt>
                <c:pt idx="779">
                  <c:v>37306</c:v>
                </c:pt>
                <c:pt idx="780">
                  <c:v>37307</c:v>
                </c:pt>
                <c:pt idx="781">
                  <c:v>37308</c:v>
                </c:pt>
                <c:pt idx="782">
                  <c:v>37309</c:v>
                </c:pt>
                <c:pt idx="783">
                  <c:v>37310</c:v>
                </c:pt>
                <c:pt idx="784">
                  <c:v>37311</c:v>
                </c:pt>
                <c:pt idx="785">
                  <c:v>37312</c:v>
                </c:pt>
                <c:pt idx="786">
                  <c:v>37313</c:v>
                </c:pt>
                <c:pt idx="787">
                  <c:v>37314</c:v>
                </c:pt>
                <c:pt idx="788">
                  <c:v>37315</c:v>
                </c:pt>
                <c:pt idx="789">
                  <c:v>37316</c:v>
                </c:pt>
                <c:pt idx="790">
                  <c:v>37317</c:v>
                </c:pt>
                <c:pt idx="791">
                  <c:v>37318</c:v>
                </c:pt>
                <c:pt idx="792">
                  <c:v>37319</c:v>
                </c:pt>
                <c:pt idx="793">
                  <c:v>37320</c:v>
                </c:pt>
                <c:pt idx="794">
                  <c:v>37321</c:v>
                </c:pt>
                <c:pt idx="795">
                  <c:v>37322</c:v>
                </c:pt>
                <c:pt idx="796">
                  <c:v>37323</c:v>
                </c:pt>
                <c:pt idx="797">
                  <c:v>37324</c:v>
                </c:pt>
                <c:pt idx="798">
                  <c:v>37325</c:v>
                </c:pt>
                <c:pt idx="799">
                  <c:v>37326</c:v>
                </c:pt>
                <c:pt idx="800">
                  <c:v>37327</c:v>
                </c:pt>
                <c:pt idx="801">
                  <c:v>37328</c:v>
                </c:pt>
                <c:pt idx="802">
                  <c:v>37329</c:v>
                </c:pt>
                <c:pt idx="803">
                  <c:v>37330</c:v>
                </c:pt>
                <c:pt idx="804">
                  <c:v>37331</c:v>
                </c:pt>
                <c:pt idx="805">
                  <c:v>37332</c:v>
                </c:pt>
                <c:pt idx="806">
                  <c:v>37333</c:v>
                </c:pt>
                <c:pt idx="807">
                  <c:v>37334</c:v>
                </c:pt>
                <c:pt idx="808">
                  <c:v>37335</c:v>
                </c:pt>
                <c:pt idx="809">
                  <c:v>37336</c:v>
                </c:pt>
                <c:pt idx="810">
                  <c:v>37337</c:v>
                </c:pt>
                <c:pt idx="811">
                  <c:v>37338</c:v>
                </c:pt>
                <c:pt idx="812">
                  <c:v>37339</c:v>
                </c:pt>
                <c:pt idx="813">
                  <c:v>37340</c:v>
                </c:pt>
                <c:pt idx="814">
                  <c:v>37341</c:v>
                </c:pt>
                <c:pt idx="815">
                  <c:v>37342</c:v>
                </c:pt>
                <c:pt idx="816">
                  <c:v>37343</c:v>
                </c:pt>
                <c:pt idx="817">
                  <c:v>37344</c:v>
                </c:pt>
                <c:pt idx="818">
                  <c:v>37345</c:v>
                </c:pt>
                <c:pt idx="819">
                  <c:v>37346</c:v>
                </c:pt>
                <c:pt idx="820">
                  <c:v>37347</c:v>
                </c:pt>
                <c:pt idx="821">
                  <c:v>37348</c:v>
                </c:pt>
                <c:pt idx="822">
                  <c:v>37349</c:v>
                </c:pt>
                <c:pt idx="823">
                  <c:v>37350</c:v>
                </c:pt>
                <c:pt idx="824">
                  <c:v>37351</c:v>
                </c:pt>
                <c:pt idx="825">
                  <c:v>37352</c:v>
                </c:pt>
                <c:pt idx="826">
                  <c:v>37353</c:v>
                </c:pt>
                <c:pt idx="827">
                  <c:v>37354</c:v>
                </c:pt>
                <c:pt idx="828">
                  <c:v>37355</c:v>
                </c:pt>
                <c:pt idx="829">
                  <c:v>37356</c:v>
                </c:pt>
                <c:pt idx="830">
                  <c:v>37357</c:v>
                </c:pt>
                <c:pt idx="831">
                  <c:v>37358</c:v>
                </c:pt>
                <c:pt idx="832">
                  <c:v>37359</c:v>
                </c:pt>
                <c:pt idx="833">
                  <c:v>37360</c:v>
                </c:pt>
                <c:pt idx="834">
                  <c:v>37361</c:v>
                </c:pt>
                <c:pt idx="835">
                  <c:v>37362</c:v>
                </c:pt>
                <c:pt idx="836">
                  <c:v>37363</c:v>
                </c:pt>
                <c:pt idx="837">
                  <c:v>37364</c:v>
                </c:pt>
                <c:pt idx="838">
                  <c:v>37365</c:v>
                </c:pt>
                <c:pt idx="839">
                  <c:v>37366</c:v>
                </c:pt>
                <c:pt idx="840">
                  <c:v>37367</c:v>
                </c:pt>
                <c:pt idx="841">
                  <c:v>37368</c:v>
                </c:pt>
                <c:pt idx="842">
                  <c:v>37369</c:v>
                </c:pt>
                <c:pt idx="843">
                  <c:v>37370</c:v>
                </c:pt>
                <c:pt idx="844">
                  <c:v>37371</c:v>
                </c:pt>
                <c:pt idx="845">
                  <c:v>37372</c:v>
                </c:pt>
                <c:pt idx="846">
                  <c:v>37373</c:v>
                </c:pt>
                <c:pt idx="847">
                  <c:v>37374</c:v>
                </c:pt>
                <c:pt idx="848">
                  <c:v>37375</c:v>
                </c:pt>
                <c:pt idx="849">
                  <c:v>37376</c:v>
                </c:pt>
                <c:pt idx="850">
                  <c:v>37377</c:v>
                </c:pt>
                <c:pt idx="851">
                  <c:v>37378</c:v>
                </c:pt>
                <c:pt idx="852">
                  <c:v>37379</c:v>
                </c:pt>
                <c:pt idx="853">
                  <c:v>37380</c:v>
                </c:pt>
                <c:pt idx="854">
                  <c:v>37381</c:v>
                </c:pt>
                <c:pt idx="855">
                  <c:v>37382</c:v>
                </c:pt>
                <c:pt idx="856">
                  <c:v>37383</c:v>
                </c:pt>
                <c:pt idx="857">
                  <c:v>37384</c:v>
                </c:pt>
                <c:pt idx="858">
                  <c:v>37385</c:v>
                </c:pt>
                <c:pt idx="859">
                  <c:v>37386</c:v>
                </c:pt>
                <c:pt idx="860">
                  <c:v>37387</c:v>
                </c:pt>
                <c:pt idx="861">
                  <c:v>37388</c:v>
                </c:pt>
                <c:pt idx="862">
                  <c:v>37389</c:v>
                </c:pt>
                <c:pt idx="863">
                  <c:v>37390</c:v>
                </c:pt>
                <c:pt idx="864">
                  <c:v>37391</c:v>
                </c:pt>
                <c:pt idx="865">
                  <c:v>37392</c:v>
                </c:pt>
                <c:pt idx="866">
                  <c:v>37393</c:v>
                </c:pt>
                <c:pt idx="867">
                  <c:v>37394</c:v>
                </c:pt>
                <c:pt idx="868">
                  <c:v>37395</c:v>
                </c:pt>
                <c:pt idx="869">
                  <c:v>37396</c:v>
                </c:pt>
                <c:pt idx="870">
                  <c:v>37397</c:v>
                </c:pt>
                <c:pt idx="871">
                  <c:v>37398</c:v>
                </c:pt>
                <c:pt idx="872">
                  <c:v>37399</c:v>
                </c:pt>
                <c:pt idx="873">
                  <c:v>37400</c:v>
                </c:pt>
                <c:pt idx="874">
                  <c:v>37401</c:v>
                </c:pt>
                <c:pt idx="875">
                  <c:v>37402</c:v>
                </c:pt>
                <c:pt idx="876">
                  <c:v>37403</c:v>
                </c:pt>
                <c:pt idx="877">
                  <c:v>37404</c:v>
                </c:pt>
                <c:pt idx="878">
                  <c:v>37405</c:v>
                </c:pt>
                <c:pt idx="879">
                  <c:v>37406</c:v>
                </c:pt>
                <c:pt idx="880">
                  <c:v>37407</c:v>
                </c:pt>
                <c:pt idx="881">
                  <c:v>37408</c:v>
                </c:pt>
                <c:pt idx="882">
                  <c:v>37409</c:v>
                </c:pt>
                <c:pt idx="883">
                  <c:v>37410</c:v>
                </c:pt>
                <c:pt idx="884">
                  <c:v>37411</c:v>
                </c:pt>
                <c:pt idx="885">
                  <c:v>37412</c:v>
                </c:pt>
                <c:pt idx="886">
                  <c:v>37413</c:v>
                </c:pt>
                <c:pt idx="887">
                  <c:v>37414</c:v>
                </c:pt>
                <c:pt idx="888">
                  <c:v>37415</c:v>
                </c:pt>
                <c:pt idx="889">
                  <c:v>37416</c:v>
                </c:pt>
                <c:pt idx="890">
                  <c:v>37417</c:v>
                </c:pt>
                <c:pt idx="891">
                  <c:v>37418</c:v>
                </c:pt>
                <c:pt idx="892">
                  <c:v>37419</c:v>
                </c:pt>
                <c:pt idx="893">
                  <c:v>37420</c:v>
                </c:pt>
                <c:pt idx="894">
                  <c:v>37421</c:v>
                </c:pt>
                <c:pt idx="895">
                  <c:v>37422</c:v>
                </c:pt>
                <c:pt idx="896">
                  <c:v>37423</c:v>
                </c:pt>
                <c:pt idx="897">
                  <c:v>37424</c:v>
                </c:pt>
                <c:pt idx="898">
                  <c:v>37425</c:v>
                </c:pt>
                <c:pt idx="899">
                  <c:v>37426</c:v>
                </c:pt>
                <c:pt idx="900">
                  <c:v>37427</c:v>
                </c:pt>
                <c:pt idx="901">
                  <c:v>37428</c:v>
                </c:pt>
                <c:pt idx="902">
                  <c:v>37429</c:v>
                </c:pt>
                <c:pt idx="903">
                  <c:v>37430</c:v>
                </c:pt>
                <c:pt idx="904">
                  <c:v>37431</c:v>
                </c:pt>
                <c:pt idx="905">
                  <c:v>37432</c:v>
                </c:pt>
                <c:pt idx="906">
                  <c:v>37433</c:v>
                </c:pt>
                <c:pt idx="907">
                  <c:v>37434</c:v>
                </c:pt>
                <c:pt idx="908">
                  <c:v>37435</c:v>
                </c:pt>
                <c:pt idx="909">
                  <c:v>37436</c:v>
                </c:pt>
                <c:pt idx="910">
                  <c:v>37437</c:v>
                </c:pt>
                <c:pt idx="911">
                  <c:v>37438</c:v>
                </c:pt>
                <c:pt idx="912">
                  <c:v>37439</c:v>
                </c:pt>
                <c:pt idx="913">
                  <c:v>37440</c:v>
                </c:pt>
                <c:pt idx="914">
                  <c:v>37441</c:v>
                </c:pt>
                <c:pt idx="915">
                  <c:v>37442</c:v>
                </c:pt>
                <c:pt idx="916">
                  <c:v>37443</c:v>
                </c:pt>
                <c:pt idx="917">
                  <c:v>37444</c:v>
                </c:pt>
                <c:pt idx="918">
                  <c:v>37445</c:v>
                </c:pt>
                <c:pt idx="919">
                  <c:v>37446</c:v>
                </c:pt>
                <c:pt idx="920">
                  <c:v>37447</c:v>
                </c:pt>
                <c:pt idx="921">
                  <c:v>37448</c:v>
                </c:pt>
                <c:pt idx="922">
                  <c:v>37449</c:v>
                </c:pt>
                <c:pt idx="923">
                  <c:v>37450</c:v>
                </c:pt>
                <c:pt idx="924">
                  <c:v>37451</c:v>
                </c:pt>
                <c:pt idx="925">
                  <c:v>37452</c:v>
                </c:pt>
                <c:pt idx="926">
                  <c:v>37453</c:v>
                </c:pt>
                <c:pt idx="927">
                  <c:v>37454</c:v>
                </c:pt>
                <c:pt idx="928">
                  <c:v>37455</c:v>
                </c:pt>
                <c:pt idx="929">
                  <c:v>37456</c:v>
                </c:pt>
                <c:pt idx="930">
                  <c:v>37457</c:v>
                </c:pt>
                <c:pt idx="931">
                  <c:v>37458</c:v>
                </c:pt>
                <c:pt idx="932">
                  <c:v>37459</c:v>
                </c:pt>
                <c:pt idx="933">
                  <c:v>37460</c:v>
                </c:pt>
                <c:pt idx="934">
                  <c:v>37461</c:v>
                </c:pt>
                <c:pt idx="935">
                  <c:v>37462</c:v>
                </c:pt>
                <c:pt idx="936">
                  <c:v>37463</c:v>
                </c:pt>
                <c:pt idx="937">
                  <c:v>37464</c:v>
                </c:pt>
                <c:pt idx="938">
                  <c:v>37465</c:v>
                </c:pt>
                <c:pt idx="939">
                  <c:v>37466</c:v>
                </c:pt>
                <c:pt idx="940">
                  <c:v>37467</c:v>
                </c:pt>
                <c:pt idx="941">
                  <c:v>37468</c:v>
                </c:pt>
                <c:pt idx="942">
                  <c:v>37469</c:v>
                </c:pt>
                <c:pt idx="943">
                  <c:v>37470</c:v>
                </c:pt>
                <c:pt idx="944">
                  <c:v>37471</c:v>
                </c:pt>
                <c:pt idx="945">
                  <c:v>37472</c:v>
                </c:pt>
                <c:pt idx="946">
                  <c:v>37473</c:v>
                </c:pt>
                <c:pt idx="947">
                  <c:v>37474</c:v>
                </c:pt>
                <c:pt idx="948">
                  <c:v>37475</c:v>
                </c:pt>
                <c:pt idx="949">
                  <c:v>37476</c:v>
                </c:pt>
                <c:pt idx="950">
                  <c:v>37477</c:v>
                </c:pt>
                <c:pt idx="951">
                  <c:v>37478</c:v>
                </c:pt>
                <c:pt idx="952">
                  <c:v>37479</c:v>
                </c:pt>
                <c:pt idx="953">
                  <c:v>37480</c:v>
                </c:pt>
                <c:pt idx="954">
                  <c:v>37481</c:v>
                </c:pt>
                <c:pt idx="955">
                  <c:v>37482</c:v>
                </c:pt>
                <c:pt idx="956">
                  <c:v>37483</c:v>
                </c:pt>
                <c:pt idx="957">
                  <c:v>37484</c:v>
                </c:pt>
                <c:pt idx="958">
                  <c:v>37485</c:v>
                </c:pt>
                <c:pt idx="959">
                  <c:v>37486</c:v>
                </c:pt>
                <c:pt idx="960">
                  <c:v>37487</c:v>
                </c:pt>
                <c:pt idx="961">
                  <c:v>37488</c:v>
                </c:pt>
                <c:pt idx="962">
                  <c:v>37489</c:v>
                </c:pt>
                <c:pt idx="963">
                  <c:v>37490</c:v>
                </c:pt>
                <c:pt idx="964">
                  <c:v>37491</c:v>
                </c:pt>
                <c:pt idx="965">
                  <c:v>37492</c:v>
                </c:pt>
                <c:pt idx="966">
                  <c:v>37493</c:v>
                </c:pt>
                <c:pt idx="967">
                  <c:v>37494</c:v>
                </c:pt>
                <c:pt idx="968">
                  <c:v>37495</c:v>
                </c:pt>
                <c:pt idx="969">
                  <c:v>37496</c:v>
                </c:pt>
                <c:pt idx="970">
                  <c:v>37497</c:v>
                </c:pt>
                <c:pt idx="971">
                  <c:v>37498</c:v>
                </c:pt>
                <c:pt idx="972">
                  <c:v>37499</c:v>
                </c:pt>
                <c:pt idx="973">
                  <c:v>37500</c:v>
                </c:pt>
                <c:pt idx="974">
                  <c:v>37501</c:v>
                </c:pt>
                <c:pt idx="975">
                  <c:v>37502</c:v>
                </c:pt>
                <c:pt idx="976">
                  <c:v>37503</c:v>
                </c:pt>
                <c:pt idx="977">
                  <c:v>37504</c:v>
                </c:pt>
                <c:pt idx="978">
                  <c:v>37505</c:v>
                </c:pt>
                <c:pt idx="979">
                  <c:v>37506</c:v>
                </c:pt>
                <c:pt idx="980">
                  <c:v>37507</c:v>
                </c:pt>
                <c:pt idx="981">
                  <c:v>37508</c:v>
                </c:pt>
                <c:pt idx="982">
                  <c:v>37509</c:v>
                </c:pt>
                <c:pt idx="983">
                  <c:v>37510</c:v>
                </c:pt>
                <c:pt idx="984">
                  <c:v>37511</c:v>
                </c:pt>
                <c:pt idx="985">
                  <c:v>37512</c:v>
                </c:pt>
                <c:pt idx="986">
                  <c:v>37513</c:v>
                </c:pt>
                <c:pt idx="987">
                  <c:v>37514</c:v>
                </c:pt>
                <c:pt idx="988">
                  <c:v>37515</c:v>
                </c:pt>
                <c:pt idx="989">
                  <c:v>37516</c:v>
                </c:pt>
                <c:pt idx="990">
                  <c:v>37517</c:v>
                </c:pt>
                <c:pt idx="991">
                  <c:v>37518</c:v>
                </c:pt>
                <c:pt idx="992">
                  <c:v>37519</c:v>
                </c:pt>
                <c:pt idx="993">
                  <c:v>37520</c:v>
                </c:pt>
                <c:pt idx="994">
                  <c:v>37521</c:v>
                </c:pt>
                <c:pt idx="995">
                  <c:v>37522</c:v>
                </c:pt>
                <c:pt idx="996">
                  <c:v>37523</c:v>
                </c:pt>
                <c:pt idx="997">
                  <c:v>37524</c:v>
                </c:pt>
                <c:pt idx="998">
                  <c:v>37525</c:v>
                </c:pt>
                <c:pt idx="999">
                  <c:v>37526</c:v>
                </c:pt>
                <c:pt idx="1000">
                  <c:v>37527</c:v>
                </c:pt>
                <c:pt idx="1001">
                  <c:v>37528</c:v>
                </c:pt>
                <c:pt idx="1002">
                  <c:v>37529</c:v>
                </c:pt>
                <c:pt idx="1003">
                  <c:v>37530</c:v>
                </c:pt>
                <c:pt idx="1004">
                  <c:v>37531</c:v>
                </c:pt>
                <c:pt idx="1005">
                  <c:v>37532</c:v>
                </c:pt>
                <c:pt idx="1006">
                  <c:v>37533</c:v>
                </c:pt>
                <c:pt idx="1007">
                  <c:v>37534</c:v>
                </c:pt>
                <c:pt idx="1008">
                  <c:v>37535</c:v>
                </c:pt>
                <c:pt idx="1009">
                  <c:v>37536</c:v>
                </c:pt>
                <c:pt idx="1010">
                  <c:v>37537</c:v>
                </c:pt>
                <c:pt idx="1011">
                  <c:v>37538</c:v>
                </c:pt>
                <c:pt idx="1012">
                  <c:v>37539</c:v>
                </c:pt>
                <c:pt idx="1013">
                  <c:v>37540</c:v>
                </c:pt>
                <c:pt idx="1014">
                  <c:v>37541</c:v>
                </c:pt>
                <c:pt idx="1015">
                  <c:v>37542</c:v>
                </c:pt>
                <c:pt idx="1016">
                  <c:v>37543</c:v>
                </c:pt>
                <c:pt idx="1017">
                  <c:v>37544</c:v>
                </c:pt>
                <c:pt idx="1018">
                  <c:v>37545</c:v>
                </c:pt>
                <c:pt idx="1019">
                  <c:v>37546</c:v>
                </c:pt>
                <c:pt idx="1020">
                  <c:v>37547</c:v>
                </c:pt>
                <c:pt idx="1021">
                  <c:v>37548</c:v>
                </c:pt>
                <c:pt idx="1022">
                  <c:v>37549</c:v>
                </c:pt>
                <c:pt idx="1023">
                  <c:v>37550</c:v>
                </c:pt>
                <c:pt idx="1024">
                  <c:v>37551</c:v>
                </c:pt>
                <c:pt idx="1025">
                  <c:v>37552</c:v>
                </c:pt>
                <c:pt idx="1026">
                  <c:v>37553</c:v>
                </c:pt>
                <c:pt idx="1027">
                  <c:v>37554</c:v>
                </c:pt>
                <c:pt idx="1028">
                  <c:v>37555</c:v>
                </c:pt>
                <c:pt idx="1029">
                  <c:v>37556</c:v>
                </c:pt>
                <c:pt idx="1030">
                  <c:v>37557</c:v>
                </c:pt>
                <c:pt idx="1031">
                  <c:v>37558</c:v>
                </c:pt>
                <c:pt idx="1032">
                  <c:v>37559</c:v>
                </c:pt>
                <c:pt idx="1033">
                  <c:v>37560</c:v>
                </c:pt>
                <c:pt idx="1034">
                  <c:v>37561</c:v>
                </c:pt>
                <c:pt idx="1035">
                  <c:v>37562</c:v>
                </c:pt>
                <c:pt idx="1036">
                  <c:v>37563</c:v>
                </c:pt>
                <c:pt idx="1037">
                  <c:v>37564</c:v>
                </c:pt>
                <c:pt idx="1038">
                  <c:v>37565</c:v>
                </c:pt>
                <c:pt idx="1039">
                  <c:v>37566</c:v>
                </c:pt>
                <c:pt idx="1040">
                  <c:v>37567</c:v>
                </c:pt>
                <c:pt idx="1041">
                  <c:v>37568</c:v>
                </c:pt>
                <c:pt idx="1042">
                  <c:v>37569</c:v>
                </c:pt>
                <c:pt idx="1043">
                  <c:v>37570</c:v>
                </c:pt>
                <c:pt idx="1044">
                  <c:v>37571</c:v>
                </c:pt>
                <c:pt idx="1045">
                  <c:v>37572</c:v>
                </c:pt>
                <c:pt idx="1046">
                  <c:v>37573</c:v>
                </c:pt>
                <c:pt idx="1047">
                  <c:v>37574</c:v>
                </c:pt>
                <c:pt idx="1048">
                  <c:v>37575</c:v>
                </c:pt>
                <c:pt idx="1049">
                  <c:v>37576</c:v>
                </c:pt>
                <c:pt idx="1050">
                  <c:v>37577</c:v>
                </c:pt>
                <c:pt idx="1051">
                  <c:v>37578</c:v>
                </c:pt>
                <c:pt idx="1052">
                  <c:v>37579</c:v>
                </c:pt>
                <c:pt idx="1053">
                  <c:v>37580</c:v>
                </c:pt>
                <c:pt idx="1054">
                  <c:v>37581</c:v>
                </c:pt>
                <c:pt idx="1055">
                  <c:v>37582</c:v>
                </c:pt>
                <c:pt idx="1056">
                  <c:v>37583</c:v>
                </c:pt>
                <c:pt idx="1057">
                  <c:v>37584</c:v>
                </c:pt>
                <c:pt idx="1058">
                  <c:v>37585</c:v>
                </c:pt>
                <c:pt idx="1059">
                  <c:v>37586</c:v>
                </c:pt>
                <c:pt idx="1060">
                  <c:v>37587</c:v>
                </c:pt>
                <c:pt idx="1061">
                  <c:v>37588</c:v>
                </c:pt>
                <c:pt idx="1062">
                  <c:v>37589</c:v>
                </c:pt>
                <c:pt idx="1063">
                  <c:v>37590</c:v>
                </c:pt>
                <c:pt idx="1064">
                  <c:v>37591</c:v>
                </c:pt>
                <c:pt idx="1065">
                  <c:v>37592</c:v>
                </c:pt>
                <c:pt idx="1066">
                  <c:v>37593</c:v>
                </c:pt>
                <c:pt idx="1067">
                  <c:v>37594</c:v>
                </c:pt>
                <c:pt idx="1068">
                  <c:v>37595</c:v>
                </c:pt>
                <c:pt idx="1069">
                  <c:v>37596</c:v>
                </c:pt>
                <c:pt idx="1070">
                  <c:v>37597</c:v>
                </c:pt>
                <c:pt idx="1071">
                  <c:v>37598</c:v>
                </c:pt>
                <c:pt idx="1072">
                  <c:v>37599</c:v>
                </c:pt>
                <c:pt idx="1073">
                  <c:v>37600</c:v>
                </c:pt>
                <c:pt idx="1074">
                  <c:v>37601</c:v>
                </c:pt>
                <c:pt idx="1075">
                  <c:v>37602</c:v>
                </c:pt>
                <c:pt idx="1076">
                  <c:v>37603</c:v>
                </c:pt>
                <c:pt idx="1077">
                  <c:v>37604</c:v>
                </c:pt>
                <c:pt idx="1078">
                  <c:v>37605</c:v>
                </c:pt>
                <c:pt idx="1079">
                  <c:v>37606</c:v>
                </c:pt>
                <c:pt idx="1080">
                  <c:v>37607</c:v>
                </c:pt>
                <c:pt idx="1081">
                  <c:v>37608</c:v>
                </c:pt>
                <c:pt idx="1082">
                  <c:v>37609</c:v>
                </c:pt>
                <c:pt idx="1083">
                  <c:v>37610</c:v>
                </c:pt>
                <c:pt idx="1084">
                  <c:v>37611</c:v>
                </c:pt>
                <c:pt idx="1085">
                  <c:v>37612</c:v>
                </c:pt>
                <c:pt idx="1086">
                  <c:v>37613</c:v>
                </c:pt>
                <c:pt idx="1087">
                  <c:v>37614</c:v>
                </c:pt>
                <c:pt idx="1088">
                  <c:v>37615</c:v>
                </c:pt>
                <c:pt idx="1089">
                  <c:v>37616</c:v>
                </c:pt>
                <c:pt idx="1090">
                  <c:v>37617</c:v>
                </c:pt>
                <c:pt idx="1091">
                  <c:v>37618</c:v>
                </c:pt>
                <c:pt idx="1092">
                  <c:v>37619</c:v>
                </c:pt>
                <c:pt idx="1093">
                  <c:v>37620</c:v>
                </c:pt>
                <c:pt idx="1094">
                  <c:v>37621</c:v>
                </c:pt>
                <c:pt idx="1095">
                  <c:v>37622</c:v>
                </c:pt>
                <c:pt idx="1096">
                  <c:v>37623</c:v>
                </c:pt>
                <c:pt idx="1097">
                  <c:v>37624</c:v>
                </c:pt>
                <c:pt idx="1098">
                  <c:v>37625</c:v>
                </c:pt>
                <c:pt idx="1099">
                  <c:v>37626</c:v>
                </c:pt>
                <c:pt idx="1100">
                  <c:v>37627</c:v>
                </c:pt>
                <c:pt idx="1101">
                  <c:v>37628</c:v>
                </c:pt>
                <c:pt idx="1102">
                  <c:v>37629</c:v>
                </c:pt>
                <c:pt idx="1103">
                  <c:v>37630</c:v>
                </c:pt>
                <c:pt idx="1104">
                  <c:v>37631</c:v>
                </c:pt>
                <c:pt idx="1105">
                  <c:v>37632</c:v>
                </c:pt>
                <c:pt idx="1106">
                  <c:v>37633</c:v>
                </c:pt>
                <c:pt idx="1107">
                  <c:v>37634</c:v>
                </c:pt>
                <c:pt idx="1108">
                  <c:v>37635</c:v>
                </c:pt>
                <c:pt idx="1109">
                  <c:v>37636</c:v>
                </c:pt>
                <c:pt idx="1110">
                  <c:v>37637</c:v>
                </c:pt>
                <c:pt idx="1111">
                  <c:v>37638</c:v>
                </c:pt>
                <c:pt idx="1112">
                  <c:v>37639</c:v>
                </c:pt>
                <c:pt idx="1113">
                  <c:v>37640</c:v>
                </c:pt>
                <c:pt idx="1114">
                  <c:v>37641</c:v>
                </c:pt>
                <c:pt idx="1115">
                  <c:v>37642</c:v>
                </c:pt>
                <c:pt idx="1116">
                  <c:v>37643</c:v>
                </c:pt>
                <c:pt idx="1117">
                  <c:v>37644</c:v>
                </c:pt>
                <c:pt idx="1118">
                  <c:v>37645</c:v>
                </c:pt>
                <c:pt idx="1119">
                  <c:v>37646</c:v>
                </c:pt>
                <c:pt idx="1120">
                  <c:v>37647</c:v>
                </c:pt>
                <c:pt idx="1121">
                  <c:v>37648</c:v>
                </c:pt>
                <c:pt idx="1122">
                  <c:v>37649</c:v>
                </c:pt>
                <c:pt idx="1123">
                  <c:v>37650</c:v>
                </c:pt>
                <c:pt idx="1124">
                  <c:v>37651</c:v>
                </c:pt>
                <c:pt idx="1125">
                  <c:v>37652</c:v>
                </c:pt>
                <c:pt idx="1126">
                  <c:v>37653</c:v>
                </c:pt>
                <c:pt idx="1127">
                  <c:v>37654</c:v>
                </c:pt>
                <c:pt idx="1128">
                  <c:v>37655</c:v>
                </c:pt>
                <c:pt idx="1129">
                  <c:v>37656</c:v>
                </c:pt>
                <c:pt idx="1130">
                  <c:v>37657</c:v>
                </c:pt>
                <c:pt idx="1131">
                  <c:v>37658</c:v>
                </c:pt>
                <c:pt idx="1132">
                  <c:v>37659</c:v>
                </c:pt>
                <c:pt idx="1133">
                  <c:v>37660</c:v>
                </c:pt>
                <c:pt idx="1134">
                  <c:v>37661</c:v>
                </c:pt>
                <c:pt idx="1135">
                  <c:v>37662</c:v>
                </c:pt>
                <c:pt idx="1136">
                  <c:v>37663</c:v>
                </c:pt>
                <c:pt idx="1137">
                  <c:v>37664</c:v>
                </c:pt>
                <c:pt idx="1138">
                  <c:v>37665</c:v>
                </c:pt>
                <c:pt idx="1139">
                  <c:v>37666</c:v>
                </c:pt>
                <c:pt idx="1140">
                  <c:v>37667</c:v>
                </c:pt>
                <c:pt idx="1141">
                  <c:v>37668</c:v>
                </c:pt>
                <c:pt idx="1142">
                  <c:v>37669</c:v>
                </c:pt>
                <c:pt idx="1143">
                  <c:v>37670</c:v>
                </c:pt>
                <c:pt idx="1144">
                  <c:v>37671</c:v>
                </c:pt>
                <c:pt idx="1145">
                  <c:v>37672</c:v>
                </c:pt>
                <c:pt idx="1146">
                  <c:v>37673</c:v>
                </c:pt>
                <c:pt idx="1147">
                  <c:v>37674</c:v>
                </c:pt>
                <c:pt idx="1148">
                  <c:v>37675</c:v>
                </c:pt>
                <c:pt idx="1149">
                  <c:v>37676</c:v>
                </c:pt>
                <c:pt idx="1150">
                  <c:v>37677</c:v>
                </c:pt>
                <c:pt idx="1151">
                  <c:v>37678</c:v>
                </c:pt>
                <c:pt idx="1152">
                  <c:v>37679</c:v>
                </c:pt>
                <c:pt idx="1153">
                  <c:v>37680</c:v>
                </c:pt>
                <c:pt idx="1154">
                  <c:v>37681</c:v>
                </c:pt>
                <c:pt idx="1155">
                  <c:v>37682</c:v>
                </c:pt>
                <c:pt idx="1156">
                  <c:v>37683</c:v>
                </c:pt>
                <c:pt idx="1157">
                  <c:v>37684</c:v>
                </c:pt>
                <c:pt idx="1158">
                  <c:v>37685</c:v>
                </c:pt>
                <c:pt idx="1159">
                  <c:v>37686</c:v>
                </c:pt>
                <c:pt idx="1160">
                  <c:v>37687</c:v>
                </c:pt>
                <c:pt idx="1161">
                  <c:v>37688</c:v>
                </c:pt>
                <c:pt idx="1162">
                  <c:v>37689</c:v>
                </c:pt>
                <c:pt idx="1163">
                  <c:v>37690</c:v>
                </c:pt>
                <c:pt idx="1164">
                  <c:v>37691</c:v>
                </c:pt>
                <c:pt idx="1165">
                  <c:v>37692</c:v>
                </c:pt>
                <c:pt idx="1166">
                  <c:v>37693</c:v>
                </c:pt>
                <c:pt idx="1167">
                  <c:v>37694</c:v>
                </c:pt>
                <c:pt idx="1168">
                  <c:v>37695</c:v>
                </c:pt>
                <c:pt idx="1169">
                  <c:v>37696</c:v>
                </c:pt>
                <c:pt idx="1170">
                  <c:v>37697</c:v>
                </c:pt>
                <c:pt idx="1171">
                  <c:v>37698</c:v>
                </c:pt>
                <c:pt idx="1172">
                  <c:v>37699</c:v>
                </c:pt>
                <c:pt idx="1173">
                  <c:v>37700</c:v>
                </c:pt>
                <c:pt idx="1174">
                  <c:v>37701</c:v>
                </c:pt>
                <c:pt idx="1175">
                  <c:v>37702</c:v>
                </c:pt>
                <c:pt idx="1176">
                  <c:v>37703</c:v>
                </c:pt>
                <c:pt idx="1177">
                  <c:v>37704</c:v>
                </c:pt>
                <c:pt idx="1178">
                  <c:v>37705</c:v>
                </c:pt>
                <c:pt idx="1179">
                  <c:v>37706</c:v>
                </c:pt>
                <c:pt idx="1180">
                  <c:v>37707</c:v>
                </c:pt>
                <c:pt idx="1181">
                  <c:v>37708</c:v>
                </c:pt>
                <c:pt idx="1182">
                  <c:v>37709</c:v>
                </c:pt>
                <c:pt idx="1183">
                  <c:v>37710</c:v>
                </c:pt>
                <c:pt idx="1184">
                  <c:v>37711</c:v>
                </c:pt>
                <c:pt idx="1185">
                  <c:v>37712</c:v>
                </c:pt>
                <c:pt idx="1186">
                  <c:v>37713</c:v>
                </c:pt>
                <c:pt idx="1187">
                  <c:v>37714</c:v>
                </c:pt>
                <c:pt idx="1188">
                  <c:v>37715</c:v>
                </c:pt>
                <c:pt idx="1189">
                  <c:v>37716</c:v>
                </c:pt>
                <c:pt idx="1190">
                  <c:v>37717</c:v>
                </c:pt>
                <c:pt idx="1191">
                  <c:v>37718</c:v>
                </c:pt>
                <c:pt idx="1192">
                  <c:v>37719</c:v>
                </c:pt>
                <c:pt idx="1193">
                  <c:v>37720</c:v>
                </c:pt>
                <c:pt idx="1194">
                  <c:v>37721</c:v>
                </c:pt>
                <c:pt idx="1195">
                  <c:v>37722</c:v>
                </c:pt>
                <c:pt idx="1196">
                  <c:v>37723</c:v>
                </c:pt>
                <c:pt idx="1197">
                  <c:v>37724</c:v>
                </c:pt>
                <c:pt idx="1198">
                  <c:v>37725</c:v>
                </c:pt>
                <c:pt idx="1199">
                  <c:v>37726</c:v>
                </c:pt>
                <c:pt idx="1200">
                  <c:v>37727</c:v>
                </c:pt>
                <c:pt idx="1201">
                  <c:v>37728</c:v>
                </c:pt>
                <c:pt idx="1202">
                  <c:v>37729</c:v>
                </c:pt>
                <c:pt idx="1203">
                  <c:v>37730</c:v>
                </c:pt>
                <c:pt idx="1204">
                  <c:v>37731</c:v>
                </c:pt>
                <c:pt idx="1205">
                  <c:v>37732</c:v>
                </c:pt>
                <c:pt idx="1206">
                  <c:v>37733</c:v>
                </c:pt>
                <c:pt idx="1207">
                  <c:v>37734</c:v>
                </c:pt>
                <c:pt idx="1208">
                  <c:v>37735</c:v>
                </c:pt>
                <c:pt idx="1209">
                  <c:v>37736</c:v>
                </c:pt>
                <c:pt idx="1210">
                  <c:v>37737</c:v>
                </c:pt>
                <c:pt idx="1211">
                  <c:v>37738</c:v>
                </c:pt>
                <c:pt idx="1212">
                  <c:v>37739</c:v>
                </c:pt>
                <c:pt idx="1213">
                  <c:v>37740</c:v>
                </c:pt>
                <c:pt idx="1214">
                  <c:v>37741</c:v>
                </c:pt>
                <c:pt idx="1215">
                  <c:v>37742</c:v>
                </c:pt>
                <c:pt idx="1216">
                  <c:v>37743</c:v>
                </c:pt>
                <c:pt idx="1217">
                  <c:v>37744</c:v>
                </c:pt>
                <c:pt idx="1218">
                  <c:v>37745</c:v>
                </c:pt>
                <c:pt idx="1219">
                  <c:v>37746</c:v>
                </c:pt>
                <c:pt idx="1220">
                  <c:v>37747</c:v>
                </c:pt>
                <c:pt idx="1221">
                  <c:v>37748</c:v>
                </c:pt>
                <c:pt idx="1222">
                  <c:v>37749</c:v>
                </c:pt>
                <c:pt idx="1223">
                  <c:v>37750</c:v>
                </c:pt>
                <c:pt idx="1224">
                  <c:v>37751</c:v>
                </c:pt>
                <c:pt idx="1225">
                  <c:v>37752</c:v>
                </c:pt>
                <c:pt idx="1226">
                  <c:v>37753</c:v>
                </c:pt>
                <c:pt idx="1227">
                  <c:v>37754</c:v>
                </c:pt>
                <c:pt idx="1228">
                  <c:v>37755</c:v>
                </c:pt>
                <c:pt idx="1229">
                  <c:v>37756</c:v>
                </c:pt>
                <c:pt idx="1230">
                  <c:v>37757</c:v>
                </c:pt>
                <c:pt idx="1231">
                  <c:v>37758</c:v>
                </c:pt>
                <c:pt idx="1232">
                  <c:v>37759</c:v>
                </c:pt>
                <c:pt idx="1233">
                  <c:v>37760</c:v>
                </c:pt>
                <c:pt idx="1234">
                  <c:v>37761</c:v>
                </c:pt>
                <c:pt idx="1235">
                  <c:v>37762</c:v>
                </c:pt>
                <c:pt idx="1236">
                  <c:v>37763</c:v>
                </c:pt>
                <c:pt idx="1237">
                  <c:v>37764</c:v>
                </c:pt>
                <c:pt idx="1238">
                  <c:v>37765</c:v>
                </c:pt>
                <c:pt idx="1239">
                  <c:v>37766</c:v>
                </c:pt>
                <c:pt idx="1240">
                  <c:v>37767</c:v>
                </c:pt>
                <c:pt idx="1241">
                  <c:v>37768</c:v>
                </c:pt>
                <c:pt idx="1242">
                  <c:v>37769</c:v>
                </c:pt>
                <c:pt idx="1243">
                  <c:v>37770</c:v>
                </c:pt>
                <c:pt idx="1244">
                  <c:v>37771</c:v>
                </c:pt>
                <c:pt idx="1245">
                  <c:v>37772</c:v>
                </c:pt>
                <c:pt idx="1246">
                  <c:v>37773</c:v>
                </c:pt>
                <c:pt idx="1247">
                  <c:v>37774</c:v>
                </c:pt>
                <c:pt idx="1248">
                  <c:v>37775</c:v>
                </c:pt>
                <c:pt idx="1249">
                  <c:v>37776</c:v>
                </c:pt>
                <c:pt idx="1250">
                  <c:v>37777</c:v>
                </c:pt>
                <c:pt idx="1251">
                  <c:v>37778</c:v>
                </c:pt>
                <c:pt idx="1252">
                  <c:v>37779</c:v>
                </c:pt>
                <c:pt idx="1253">
                  <c:v>37780</c:v>
                </c:pt>
                <c:pt idx="1254">
                  <c:v>37781</c:v>
                </c:pt>
                <c:pt idx="1255">
                  <c:v>37782</c:v>
                </c:pt>
                <c:pt idx="1256">
                  <c:v>37783</c:v>
                </c:pt>
                <c:pt idx="1257">
                  <c:v>37784</c:v>
                </c:pt>
                <c:pt idx="1258">
                  <c:v>37785</c:v>
                </c:pt>
                <c:pt idx="1259">
                  <c:v>37786</c:v>
                </c:pt>
                <c:pt idx="1260">
                  <c:v>37787</c:v>
                </c:pt>
                <c:pt idx="1261">
                  <c:v>37788</c:v>
                </c:pt>
                <c:pt idx="1262">
                  <c:v>37789</c:v>
                </c:pt>
                <c:pt idx="1263">
                  <c:v>37790</c:v>
                </c:pt>
                <c:pt idx="1264">
                  <c:v>37791</c:v>
                </c:pt>
                <c:pt idx="1265">
                  <c:v>37792</c:v>
                </c:pt>
                <c:pt idx="1266">
                  <c:v>37793</c:v>
                </c:pt>
                <c:pt idx="1267">
                  <c:v>37794</c:v>
                </c:pt>
                <c:pt idx="1268">
                  <c:v>37795</c:v>
                </c:pt>
                <c:pt idx="1269">
                  <c:v>37796</c:v>
                </c:pt>
                <c:pt idx="1270">
                  <c:v>37797</c:v>
                </c:pt>
                <c:pt idx="1271">
                  <c:v>37798</c:v>
                </c:pt>
                <c:pt idx="1272">
                  <c:v>37799</c:v>
                </c:pt>
                <c:pt idx="1273">
                  <c:v>37800</c:v>
                </c:pt>
                <c:pt idx="1274">
                  <c:v>37801</c:v>
                </c:pt>
                <c:pt idx="1275">
                  <c:v>37802</c:v>
                </c:pt>
                <c:pt idx="1276">
                  <c:v>37803</c:v>
                </c:pt>
                <c:pt idx="1277">
                  <c:v>37804</c:v>
                </c:pt>
                <c:pt idx="1278">
                  <c:v>37805</c:v>
                </c:pt>
                <c:pt idx="1279">
                  <c:v>37806</c:v>
                </c:pt>
                <c:pt idx="1280">
                  <c:v>37807</c:v>
                </c:pt>
                <c:pt idx="1281">
                  <c:v>37808</c:v>
                </c:pt>
                <c:pt idx="1282">
                  <c:v>37809</c:v>
                </c:pt>
                <c:pt idx="1283">
                  <c:v>37810</c:v>
                </c:pt>
                <c:pt idx="1284">
                  <c:v>37811</c:v>
                </c:pt>
                <c:pt idx="1285">
                  <c:v>37812</c:v>
                </c:pt>
                <c:pt idx="1286">
                  <c:v>37813</c:v>
                </c:pt>
                <c:pt idx="1287">
                  <c:v>37814</c:v>
                </c:pt>
                <c:pt idx="1288">
                  <c:v>37815</c:v>
                </c:pt>
                <c:pt idx="1289">
                  <c:v>37816</c:v>
                </c:pt>
                <c:pt idx="1290">
                  <c:v>37817</c:v>
                </c:pt>
                <c:pt idx="1291">
                  <c:v>37818</c:v>
                </c:pt>
                <c:pt idx="1292">
                  <c:v>37819</c:v>
                </c:pt>
                <c:pt idx="1293">
                  <c:v>37820</c:v>
                </c:pt>
                <c:pt idx="1294">
                  <c:v>37821</c:v>
                </c:pt>
                <c:pt idx="1295">
                  <c:v>37822</c:v>
                </c:pt>
                <c:pt idx="1296">
                  <c:v>37823</c:v>
                </c:pt>
                <c:pt idx="1297">
                  <c:v>37824</c:v>
                </c:pt>
                <c:pt idx="1298">
                  <c:v>37825</c:v>
                </c:pt>
                <c:pt idx="1299">
                  <c:v>37826</c:v>
                </c:pt>
                <c:pt idx="1300">
                  <c:v>37827</c:v>
                </c:pt>
                <c:pt idx="1301">
                  <c:v>37828</c:v>
                </c:pt>
                <c:pt idx="1302">
                  <c:v>37829</c:v>
                </c:pt>
                <c:pt idx="1303">
                  <c:v>37830</c:v>
                </c:pt>
                <c:pt idx="1304">
                  <c:v>37831</c:v>
                </c:pt>
                <c:pt idx="1305">
                  <c:v>37832</c:v>
                </c:pt>
                <c:pt idx="1306">
                  <c:v>37833</c:v>
                </c:pt>
                <c:pt idx="1307">
                  <c:v>37834</c:v>
                </c:pt>
                <c:pt idx="1308">
                  <c:v>37835</c:v>
                </c:pt>
                <c:pt idx="1309">
                  <c:v>37836</c:v>
                </c:pt>
                <c:pt idx="1310">
                  <c:v>37837</c:v>
                </c:pt>
                <c:pt idx="1311">
                  <c:v>37838</c:v>
                </c:pt>
                <c:pt idx="1312">
                  <c:v>37839</c:v>
                </c:pt>
                <c:pt idx="1313">
                  <c:v>37840</c:v>
                </c:pt>
                <c:pt idx="1314">
                  <c:v>37841</c:v>
                </c:pt>
                <c:pt idx="1315">
                  <c:v>37842</c:v>
                </c:pt>
                <c:pt idx="1316">
                  <c:v>37843</c:v>
                </c:pt>
                <c:pt idx="1317">
                  <c:v>37844</c:v>
                </c:pt>
                <c:pt idx="1318">
                  <c:v>37845</c:v>
                </c:pt>
                <c:pt idx="1319">
                  <c:v>37846</c:v>
                </c:pt>
                <c:pt idx="1320">
                  <c:v>37847</c:v>
                </c:pt>
                <c:pt idx="1321">
                  <c:v>37848</c:v>
                </c:pt>
                <c:pt idx="1322">
                  <c:v>37849</c:v>
                </c:pt>
                <c:pt idx="1323">
                  <c:v>37850</c:v>
                </c:pt>
                <c:pt idx="1324">
                  <c:v>37851</c:v>
                </c:pt>
                <c:pt idx="1325">
                  <c:v>37852</c:v>
                </c:pt>
                <c:pt idx="1326">
                  <c:v>37853</c:v>
                </c:pt>
                <c:pt idx="1327">
                  <c:v>37854</c:v>
                </c:pt>
                <c:pt idx="1328">
                  <c:v>37855</c:v>
                </c:pt>
                <c:pt idx="1329">
                  <c:v>37856</c:v>
                </c:pt>
                <c:pt idx="1330">
                  <c:v>37857</c:v>
                </c:pt>
                <c:pt idx="1331">
                  <c:v>37858</c:v>
                </c:pt>
                <c:pt idx="1332">
                  <c:v>37859</c:v>
                </c:pt>
                <c:pt idx="1333">
                  <c:v>37860</c:v>
                </c:pt>
                <c:pt idx="1334">
                  <c:v>37861</c:v>
                </c:pt>
                <c:pt idx="1335">
                  <c:v>37862</c:v>
                </c:pt>
                <c:pt idx="1336">
                  <c:v>37863</c:v>
                </c:pt>
                <c:pt idx="1337">
                  <c:v>37864</c:v>
                </c:pt>
                <c:pt idx="1338">
                  <c:v>37865</c:v>
                </c:pt>
                <c:pt idx="1339">
                  <c:v>37866</c:v>
                </c:pt>
                <c:pt idx="1340">
                  <c:v>37867</c:v>
                </c:pt>
                <c:pt idx="1341">
                  <c:v>37868</c:v>
                </c:pt>
                <c:pt idx="1342">
                  <c:v>37869</c:v>
                </c:pt>
                <c:pt idx="1343">
                  <c:v>37870</c:v>
                </c:pt>
                <c:pt idx="1344">
                  <c:v>37871</c:v>
                </c:pt>
                <c:pt idx="1345">
                  <c:v>37872</c:v>
                </c:pt>
                <c:pt idx="1346">
                  <c:v>37873</c:v>
                </c:pt>
                <c:pt idx="1347">
                  <c:v>37874</c:v>
                </c:pt>
                <c:pt idx="1348">
                  <c:v>37875</c:v>
                </c:pt>
                <c:pt idx="1349">
                  <c:v>37876</c:v>
                </c:pt>
                <c:pt idx="1350">
                  <c:v>37877</c:v>
                </c:pt>
                <c:pt idx="1351">
                  <c:v>37878</c:v>
                </c:pt>
                <c:pt idx="1352">
                  <c:v>37879</c:v>
                </c:pt>
                <c:pt idx="1353">
                  <c:v>37880</c:v>
                </c:pt>
                <c:pt idx="1354">
                  <c:v>37881</c:v>
                </c:pt>
                <c:pt idx="1355">
                  <c:v>37882</c:v>
                </c:pt>
                <c:pt idx="1356">
                  <c:v>37883</c:v>
                </c:pt>
                <c:pt idx="1357">
                  <c:v>37884</c:v>
                </c:pt>
                <c:pt idx="1358">
                  <c:v>37885</c:v>
                </c:pt>
                <c:pt idx="1359">
                  <c:v>37886</c:v>
                </c:pt>
                <c:pt idx="1360">
                  <c:v>37887</c:v>
                </c:pt>
                <c:pt idx="1361">
                  <c:v>37888</c:v>
                </c:pt>
                <c:pt idx="1362">
                  <c:v>37889</c:v>
                </c:pt>
                <c:pt idx="1363">
                  <c:v>37890</c:v>
                </c:pt>
                <c:pt idx="1364">
                  <c:v>37891</c:v>
                </c:pt>
                <c:pt idx="1365">
                  <c:v>37892</c:v>
                </c:pt>
                <c:pt idx="1366">
                  <c:v>37893</c:v>
                </c:pt>
                <c:pt idx="1367">
                  <c:v>37894</c:v>
                </c:pt>
                <c:pt idx="1368">
                  <c:v>37895</c:v>
                </c:pt>
                <c:pt idx="1369">
                  <c:v>37896</c:v>
                </c:pt>
                <c:pt idx="1370">
                  <c:v>37897</c:v>
                </c:pt>
                <c:pt idx="1371">
                  <c:v>37898</c:v>
                </c:pt>
                <c:pt idx="1372">
                  <c:v>37899</c:v>
                </c:pt>
                <c:pt idx="1373">
                  <c:v>37900</c:v>
                </c:pt>
                <c:pt idx="1374">
                  <c:v>37901</c:v>
                </c:pt>
                <c:pt idx="1375">
                  <c:v>37902</c:v>
                </c:pt>
                <c:pt idx="1376">
                  <c:v>37903</c:v>
                </c:pt>
                <c:pt idx="1377">
                  <c:v>37904</c:v>
                </c:pt>
                <c:pt idx="1378">
                  <c:v>37905</c:v>
                </c:pt>
                <c:pt idx="1379">
                  <c:v>37906</c:v>
                </c:pt>
                <c:pt idx="1380">
                  <c:v>37907</c:v>
                </c:pt>
                <c:pt idx="1381">
                  <c:v>37908</c:v>
                </c:pt>
                <c:pt idx="1382">
                  <c:v>37909</c:v>
                </c:pt>
                <c:pt idx="1383">
                  <c:v>37910</c:v>
                </c:pt>
                <c:pt idx="1384">
                  <c:v>37911</c:v>
                </c:pt>
                <c:pt idx="1385">
                  <c:v>37912</c:v>
                </c:pt>
                <c:pt idx="1386">
                  <c:v>37913</c:v>
                </c:pt>
                <c:pt idx="1387">
                  <c:v>37914</c:v>
                </c:pt>
                <c:pt idx="1388">
                  <c:v>37915</c:v>
                </c:pt>
                <c:pt idx="1389">
                  <c:v>37916</c:v>
                </c:pt>
                <c:pt idx="1390">
                  <c:v>37917</c:v>
                </c:pt>
                <c:pt idx="1391">
                  <c:v>37918</c:v>
                </c:pt>
                <c:pt idx="1392">
                  <c:v>37919</c:v>
                </c:pt>
                <c:pt idx="1393">
                  <c:v>37920</c:v>
                </c:pt>
                <c:pt idx="1394">
                  <c:v>37921</c:v>
                </c:pt>
                <c:pt idx="1395">
                  <c:v>37922</c:v>
                </c:pt>
                <c:pt idx="1396">
                  <c:v>37923</c:v>
                </c:pt>
                <c:pt idx="1397">
                  <c:v>37924</c:v>
                </c:pt>
                <c:pt idx="1398">
                  <c:v>37925</c:v>
                </c:pt>
                <c:pt idx="1399">
                  <c:v>37926</c:v>
                </c:pt>
                <c:pt idx="1400">
                  <c:v>37927</c:v>
                </c:pt>
                <c:pt idx="1401">
                  <c:v>37928</c:v>
                </c:pt>
                <c:pt idx="1402">
                  <c:v>37929</c:v>
                </c:pt>
                <c:pt idx="1403">
                  <c:v>37930</c:v>
                </c:pt>
                <c:pt idx="1404">
                  <c:v>37931</c:v>
                </c:pt>
                <c:pt idx="1405">
                  <c:v>37932</c:v>
                </c:pt>
                <c:pt idx="1406">
                  <c:v>37933</c:v>
                </c:pt>
                <c:pt idx="1407">
                  <c:v>37934</c:v>
                </c:pt>
                <c:pt idx="1408">
                  <c:v>37935</c:v>
                </c:pt>
                <c:pt idx="1409">
                  <c:v>37936</c:v>
                </c:pt>
                <c:pt idx="1410">
                  <c:v>37937</c:v>
                </c:pt>
                <c:pt idx="1411">
                  <c:v>37938</c:v>
                </c:pt>
                <c:pt idx="1412">
                  <c:v>37939</c:v>
                </c:pt>
                <c:pt idx="1413">
                  <c:v>37940</c:v>
                </c:pt>
                <c:pt idx="1414">
                  <c:v>37941</c:v>
                </c:pt>
                <c:pt idx="1415">
                  <c:v>37942</c:v>
                </c:pt>
                <c:pt idx="1416">
                  <c:v>37943</c:v>
                </c:pt>
                <c:pt idx="1417">
                  <c:v>37944</c:v>
                </c:pt>
                <c:pt idx="1418">
                  <c:v>37945</c:v>
                </c:pt>
                <c:pt idx="1419">
                  <c:v>37946</c:v>
                </c:pt>
                <c:pt idx="1420">
                  <c:v>37947</c:v>
                </c:pt>
                <c:pt idx="1421">
                  <c:v>37948</c:v>
                </c:pt>
                <c:pt idx="1422">
                  <c:v>37949</c:v>
                </c:pt>
                <c:pt idx="1423">
                  <c:v>37950</c:v>
                </c:pt>
                <c:pt idx="1424">
                  <c:v>37951</c:v>
                </c:pt>
                <c:pt idx="1425">
                  <c:v>37952</c:v>
                </c:pt>
                <c:pt idx="1426">
                  <c:v>37953</c:v>
                </c:pt>
                <c:pt idx="1427">
                  <c:v>37954</c:v>
                </c:pt>
                <c:pt idx="1428">
                  <c:v>37955</c:v>
                </c:pt>
                <c:pt idx="1429">
                  <c:v>37956</c:v>
                </c:pt>
                <c:pt idx="1430">
                  <c:v>37957</c:v>
                </c:pt>
                <c:pt idx="1431">
                  <c:v>37958</c:v>
                </c:pt>
                <c:pt idx="1432">
                  <c:v>37959</c:v>
                </c:pt>
                <c:pt idx="1433">
                  <c:v>37960</c:v>
                </c:pt>
                <c:pt idx="1434">
                  <c:v>37961</c:v>
                </c:pt>
                <c:pt idx="1435">
                  <c:v>37962</c:v>
                </c:pt>
                <c:pt idx="1436">
                  <c:v>37963</c:v>
                </c:pt>
                <c:pt idx="1437">
                  <c:v>37964</c:v>
                </c:pt>
                <c:pt idx="1438">
                  <c:v>37965</c:v>
                </c:pt>
                <c:pt idx="1439">
                  <c:v>37966</c:v>
                </c:pt>
                <c:pt idx="1440">
                  <c:v>37967</c:v>
                </c:pt>
                <c:pt idx="1441">
                  <c:v>37968</c:v>
                </c:pt>
                <c:pt idx="1442">
                  <c:v>37969</c:v>
                </c:pt>
                <c:pt idx="1443">
                  <c:v>37970</c:v>
                </c:pt>
                <c:pt idx="1444">
                  <c:v>37971</c:v>
                </c:pt>
                <c:pt idx="1445">
                  <c:v>37972</c:v>
                </c:pt>
                <c:pt idx="1446">
                  <c:v>37973</c:v>
                </c:pt>
                <c:pt idx="1447">
                  <c:v>37974</c:v>
                </c:pt>
                <c:pt idx="1448">
                  <c:v>37975</c:v>
                </c:pt>
                <c:pt idx="1449">
                  <c:v>37976</c:v>
                </c:pt>
                <c:pt idx="1450">
                  <c:v>37977</c:v>
                </c:pt>
                <c:pt idx="1451">
                  <c:v>37978</c:v>
                </c:pt>
                <c:pt idx="1452">
                  <c:v>37979</c:v>
                </c:pt>
                <c:pt idx="1453">
                  <c:v>37980</c:v>
                </c:pt>
                <c:pt idx="1454">
                  <c:v>37981</c:v>
                </c:pt>
                <c:pt idx="1455">
                  <c:v>37982</c:v>
                </c:pt>
                <c:pt idx="1456">
                  <c:v>37983</c:v>
                </c:pt>
                <c:pt idx="1457">
                  <c:v>37984</c:v>
                </c:pt>
                <c:pt idx="1458">
                  <c:v>37985</c:v>
                </c:pt>
                <c:pt idx="1459">
                  <c:v>37986</c:v>
                </c:pt>
                <c:pt idx="1460">
                  <c:v>37987</c:v>
                </c:pt>
                <c:pt idx="1461">
                  <c:v>37988</c:v>
                </c:pt>
                <c:pt idx="1462">
                  <c:v>37989</c:v>
                </c:pt>
                <c:pt idx="1463">
                  <c:v>37990</c:v>
                </c:pt>
                <c:pt idx="1464">
                  <c:v>37991</c:v>
                </c:pt>
                <c:pt idx="1465">
                  <c:v>37992</c:v>
                </c:pt>
                <c:pt idx="1466">
                  <c:v>37993</c:v>
                </c:pt>
                <c:pt idx="1467">
                  <c:v>37994</c:v>
                </c:pt>
                <c:pt idx="1468">
                  <c:v>37995</c:v>
                </c:pt>
                <c:pt idx="1469">
                  <c:v>37996</c:v>
                </c:pt>
                <c:pt idx="1470">
                  <c:v>37997</c:v>
                </c:pt>
                <c:pt idx="1471">
                  <c:v>37998</c:v>
                </c:pt>
                <c:pt idx="1472">
                  <c:v>37999</c:v>
                </c:pt>
                <c:pt idx="1473">
                  <c:v>38000</c:v>
                </c:pt>
                <c:pt idx="1474">
                  <c:v>38001</c:v>
                </c:pt>
                <c:pt idx="1475">
                  <c:v>38002</c:v>
                </c:pt>
                <c:pt idx="1476">
                  <c:v>38003</c:v>
                </c:pt>
                <c:pt idx="1477">
                  <c:v>38004</c:v>
                </c:pt>
                <c:pt idx="1478">
                  <c:v>38005</c:v>
                </c:pt>
                <c:pt idx="1479">
                  <c:v>38006</c:v>
                </c:pt>
                <c:pt idx="1480">
                  <c:v>38007</c:v>
                </c:pt>
                <c:pt idx="1481">
                  <c:v>38008</c:v>
                </c:pt>
                <c:pt idx="1482">
                  <c:v>38009</c:v>
                </c:pt>
                <c:pt idx="1483">
                  <c:v>38010</c:v>
                </c:pt>
                <c:pt idx="1484">
                  <c:v>38011</c:v>
                </c:pt>
                <c:pt idx="1485">
                  <c:v>38012</c:v>
                </c:pt>
                <c:pt idx="1486">
                  <c:v>38013</c:v>
                </c:pt>
                <c:pt idx="1487">
                  <c:v>38014</c:v>
                </c:pt>
                <c:pt idx="1488">
                  <c:v>38015</c:v>
                </c:pt>
                <c:pt idx="1489">
                  <c:v>38016</c:v>
                </c:pt>
                <c:pt idx="1490">
                  <c:v>38017</c:v>
                </c:pt>
                <c:pt idx="1491">
                  <c:v>38018</c:v>
                </c:pt>
                <c:pt idx="1492">
                  <c:v>38019</c:v>
                </c:pt>
                <c:pt idx="1493">
                  <c:v>38020</c:v>
                </c:pt>
                <c:pt idx="1494">
                  <c:v>38021</c:v>
                </c:pt>
                <c:pt idx="1495">
                  <c:v>38022</c:v>
                </c:pt>
                <c:pt idx="1496">
                  <c:v>38023</c:v>
                </c:pt>
                <c:pt idx="1497">
                  <c:v>38024</c:v>
                </c:pt>
                <c:pt idx="1498">
                  <c:v>38025</c:v>
                </c:pt>
                <c:pt idx="1499">
                  <c:v>38026</c:v>
                </c:pt>
                <c:pt idx="1500">
                  <c:v>38027</c:v>
                </c:pt>
                <c:pt idx="1501">
                  <c:v>38028</c:v>
                </c:pt>
                <c:pt idx="1502">
                  <c:v>38029</c:v>
                </c:pt>
                <c:pt idx="1503">
                  <c:v>38030</c:v>
                </c:pt>
                <c:pt idx="1504">
                  <c:v>38031</c:v>
                </c:pt>
                <c:pt idx="1505">
                  <c:v>38032</c:v>
                </c:pt>
                <c:pt idx="1506">
                  <c:v>38033</c:v>
                </c:pt>
                <c:pt idx="1507">
                  <c:v>38034</c:v>
                </c:pt>
                <c:pt idx="1508">
                  <c:v>38035</c:v>
                </c:pt>
                <c:pt idx="1509">
                  <c:v>38036</c:v>
                </c:pt>
                <c:pt idx="1510">
                  <c:v>38037</c:v>
                </c:pt>
                <c:pt idx="1511">
                  <c:v>38038</c:v>
                </c:pt>
                <c:pt idx="1512">
                  <c:v>38039</c:v>
                </c:pt>
                <c:pt idx="1513">
                  <c:v>38040</c:v>
                </c:pt>
                <c:pt idx="1514">
                  <c:v>38041</c:v>
                </c:pt>
                <c:pt idx="1515">
                  <c:v>38042</c:v>
                </c:pt>
                <c:pt idx="1516">
                  <c:v>38043</c:v>
                </c:pt>
                <c:pt idx="1517">
                  <c:v>38044</c:v>
                </c:pt>
                <c:pt idx="1518">
                  <c:v>38045</c:v>
                </c:pt>
                <c:pt idx="1519">
                  <c:v>38046</c:v>
                </c:pt>
                <c:pt idx="1520">
                  <c:v>38047</c:v>
                </c:pt>
                <c:pt idx="1521">
                  <c:v>38048</c:v>
                </c:pt>
                <c:pt idx="1522">
                  <c:v>38049</c:v>
                </c:pt>
                <c:pt idx="1523">
                  <c:v>38050</c:v>
                </c:pt>
                <c:pt idx="1524">
                  <c:v>38051</c:v>
                </c:pt>
                <c:pt idx="1525">
                  <c:v>38052</c:v>
                </c:pt>
                <c:pt idx="1526">
                  <c:v>38053</c:v>
                </c:pt>
                <c:pt idx="1527">
                  <c:v>38054</c:v>
                </c:pt>
                <c:pt idx="1528">
                  <c:v>38055</c:v>
                </c:pt>
                <c:pt idx="1529">
                  <c:v>38056</c:v>
                </c:pt>
                <c:pt idx="1530">
                  <c:v>38057</c:v>
                </c:pt>
                <c:pt idx="1531">
                  <c:v>38058</c:v>
                </c:pt>
                <c:pt idx="1532">
                  <c:v>38059</c:v>
                </c:pt>
                <c:pt idx="1533">
                  <c:v>38060</c:v>
                </c:pt>
                <c:pt idx="1534">
                  <c:v>38061</c:v>
                </c:pt>
                <c:pt idx="1535">
                  <c:v>38062</c:v>
                </c:pt>
                <c:pt idx="1536">
                  <c:v>38063</c:v>
                </c:pt>
                <c:pt idx="1537">
                  <c:v>38064</c:v>
                </c:pt>
                <c:pt idx="1538">
                  <c:v>38065</c:v>
                </c:pt>
                <c:pt idx="1539">
                  <c:v>38066</c:v>
                </c:pt>
                <c:pt idx="1540">
                  <c:v>38067</c:v>
                </c:pt>
                <c:pt idx="1541">
                  <c:v>38068</c:v>
                </c:pt>
                <c:pt idx="1542">
                  <c:v>38069</c:v>
                </c:pt>
                <c:pt idx="1543">
                  <c:v>38070</c:v>
                </c:pt>
                <c:pt idx="1544">
                  <c:v>38071</c:v>
                </c:pt>
                <c:pt idx="1545">
                  <c:v>38072</c:v>
                </c:pt>
                <c:pt idx="1546">
                  <c:v>38073</c:v>
                </c:pt>
                <c:pt idx="1547">
                  <c:v>38074</c:v>
                </c:pt>
                <c:pt idx="1548">
                  <c:v>38075</c:v>
                </c:pt>
                <c:pt idx="1549">
                  <c:v>38076</c:v>
                </c:pt>
                <c:pt idx="1550">
                  <c:v>38077</c:v>
                </c:pt>
                <c:pt idx="1551">
                  <c:v>38078</c:v>
                </c:pt>
                <c:pt idx="1552">
                  <c:v>38079</c:v>
                </c:pt>
                <c:pt idx="1553">
                  <c:v>38080</c:v>
                </c:pt>
                <c:pt idx="1554">
                  <c:v>38081</c:v>
                </c:pt>
                <c:pt idx="1555">
                  <c:v>38082</c:v>
                </c:pt>
                <c:pt idx="1556">
                  <c:v>38083</c:v>
                </c:pt>
                <c:pt idx="1557">
                  <c:v>38084</c:v>
                </c:pt>
                <c:pt idx="1558">
                  <c:v>38085</c:v>
                </c:pt>
                <c:pt idx="1559">
                  <c:v>38086</c:v>
                </c:pt>
                <c:pt idx="1560">
                  <c:v>38087</c:v>
                </c:pt>
                <c:pt idx="1561">
                  <c:v>38088</c:v>
                </c:pt>
                <c:pt idx="1562">
                  <c:v>38089</c:v>
                </c:pt>
                <c:pt idx="1563">
                  <c:v>38090</c:v>
                </c:pt>
                <c:pt idx="1564">
                  <c:v>38091</c:v>
                </c:pt>
                <c:pt idx="1565">
                  <c:v>38092</c:v>
                </c:pt>
                <c:pt idx="1566">
                  <c:v>38093</c:v>
                </c:pt>
                <c:pt idx="1567">
                  <c:v>38094</c:v>
                </c:pt>
                <c:pt idx="1568">
                  <c:v>38095</c:v>
                </c:pt>
                <c:pt idx="1569">
                  <c:v>38096</c:v>
                </c:pt>
                <c:pt idx="1570">
                  <c:v>38097</c:v>
                </c:pt>
                <c:pt idx="1571">
                  <c:v>38098</c:v>
                </c:pt>
                <c:pt idx="1572">
                  <c:v>38099</c:v>
                </c:pt>
                <c:pt idx="1573">
                  <c:v>38100</c:v>
                </c:pt>
                <c:pt idx="1574">
                  <c:v>38101</c:v>
                </c:pt>
                <c:pt idx="1575">
                  <c:v>38102</c:v>
                </c:pt>
                <c:pt idx="1576">
                  <c:v>38103</c:v>
                </c:pt>
                <c:pt idx="1577">
                  <c:v>38104</c:v>
                </c:pt>
                <c:pt idx="1578">
                  <c:v>38105</c:v>
                </c:pt>
                <c:pt idx="1579">
                  <c:v>38106</c:v>
                </c:pt>
                <c:pt idx="1580">
                  <c:v>38107</c:v>
                </c:pt>
                <c:pt idx="1581">
                  <c:v>38108</c:v>
                </c:pt>
                <c:pt idx="1582">
                  <c:v>38109</c:v>
                </c:pt>
                <c:pt idx="1583">
                  <c:v>38110</c:v>
                </c:pt>
                <c:pt idx="1584">
                  <c:v>38111</c:v>
                </c:pt>
                <c:pt idx="1585">
                  <c:v>38112</c:v>
                </c:pt>
                <c:pt idx="1586">
                  <c:v>38113</c:v>
                </c:pt>
                <c:pt idx="1587">
                  <c:v>38114</c:v>
                </c:pt>
                <c:pt idx="1588">
                  <c:v>38115</c:v>
                </c:pt>
                <c:pt idx="1589">
                  <c:v>38116</c:v>
                </c:pt>
                <c:pt idx="1590">
                  <c:v>38117</c:v>
                </c:pt>
                <c:pt idx="1591">
                  <c:v>38118</c:v>
                </c:pt>
                <c:pt idx="1592">
                  <c:v>38119</c:v>
                </c:pt>
                <c:pt idx="1593">
                  <c:v>38120</c:v>
                </c:pt>
                <c:pt idx="1594">
                  <c:v>38121</c:v>
                </c:pt>
                <c:pt idx="1595">
                  <c:v>38122</c:v>
                </c:pt>
                <c:pt idx="1596">
                  <c:v>38123</c:v>
                </c:pt>
                <c:pt idx="1597">
                  <c:v>38124</c:v>
                </c:pt>
                <c:pt idx="1598">
                  <c:v>38125</c:v>
                </c:pt>
                <c:pt idx="1599">
                  <c:v>38126</c:v>
                </c:pt>
                <c:pt idx="1600">
                  <c:v>38127</c:v>
                </c:pt>
                <c:pt idx="1601">
                  <c:v>38128</c:v>
                </c:pt>
                <c:pt idx="1602">
                  <c:v>38129</c:v>
                </c:pt>
                <c:pt idx="1603">
                  <c:v>38130</c:v>
                </c:pt>
                <c:pt idx="1604">
                  <c:v>38131</c:v>
                </c:pt>
                <c:pt idx="1605">
                  <c:v>38132</c:v>
                </c:pt>
                <c:pt idx="1606">
                  <c:v>38133</c:v>
                </c:pt>
                <c:pt idx="1607">
                  <c:v>38134</c:v>
                </c:pt>
                <c:pt idx="1608">
                  <c:v>38135</c:v>
                </c:pt>
                <c:pt idx="1609">
                  <c:v>38136</c:v>
                </c:pt>
                <c:pt idx="1610">
                  <c:v>38137</c:v>
                </c:pt>
                <c:pt idx="1611">
                  <c:v>38138</c:v>
                </c:pt>
                <c:pt idx="1612">
                  <c:v>38139</c:v>
                </c:pt>
                <c:pt idx="1613">
                  <c:v>38140</c:v>
                </c:pt>
                <c:pt idx="1614">
                  <c:v>38141</c:v>
                </c:pt>
                <c:pt idx="1615">
                  <c:v>38142</c:v>
                </c:pt>
                <c:pt idx="1616">
                  <c:v>38143</c:v>
                </c:pt>
                <c:pt idx="1617">
                  <c:v>38144</c:v>
                </c:pt>
                <c:pt idx="1618">
                  <c:v>38145</c:v>
                </c:pt>
                <c:pt idx="1619">
                  <c:v>38146</c:v>
                </c:pt>
                <c:pt idx="1620">
                  <c:v>38147</c:v>
                </c:pt>
                <c:pt idx="1621">
                  <c:v>38148</c:v>
                </c:pt>
                <c:pt idx="1622">
                  <c:v>38149</c:v>
                </c:pt>
                <c:pt idx="1623">
                  <c:v>38150</c:v>
                </c:pt>
                <c:pt idx="1624">
                  <c:v>38151</c:v>
                </c:pt>
                <c:pt idx="1625">
                  <c:v>38152</c:v>
                </c:pt>
                <c:pt idx="1626">
                  <c:v>38153</c:v>
                </c:pt>
                <c:pt idx="1627">
                  <c:v>38154</c:v>
                </c:pt>
                <c:pt idx="1628">
                  <c:v>38155</c:v>
                </c:pt>
                <c:pt idx="1629">
                  <c:v>38156</c:v>
                </c:pt>
                <c:pt idx="1630">
                  <c:v>38157</c:v>
                </c:pt>
                <c:pt idx="1631">
                  <c:v>38158</c:v>
                </c:pt>
                <c:pt idx="1632">
                  <c:v>38159</c:v>
                </c:pt>
                <c:pt idx="1633">
                  <c:v>38160</c:v>
                </c:pt>
                <c:pt idx="1634">
                  <c:v>38161</c:v>
                </c:pt>
                <c:pt idx="1635">
                  <c:v>38162</c:v>
                </c:pt>
                <c:pt idx="1636">
                  <c:v>38163</c:v>
                </c:pt>
                <c:pt idx="1637">
                  <c:v>38164</c:v>
                </c:pt>
                <c:pt idx="1638">
                  <c:v>38165</c:v>
                </c:pt>
                <c:pt idx="1639">
                  <c:v>38166</c:v>
                </c:pt>
                <c:pt idx="1640">
                  <c:v>38167</c:v>
                </c:pt>
                <c:pt idx="1641">
                  <c:v>38168</c:v>
                </c:pt>
                <c:pt idx="1642">
                  <c:v>38169</c:v>
                </c:pt>
                <c:pt idx="1643">
                  <c:v>38170</c:v>
                </c:pt>
                <c:pt idx="1644">
                  <c:v>38171</c:v>
                </c:pt>
                <c:pt idx="1645">
                  <c:v>38172</c:v>
                </c:pt>
                <c:pt idx="1646">
                  <c:v>38173</c:v>
                </c:pt>
                <c:pt idx="1647">
                  <c:v>38174</c:v>
                </c:pt>
                <c:pt idx="1648">
                  <c:v>38175</c:v>
                </c:pt>
                <c:pt idx="1649">
                  <c:v>38176</c:v>
                </c:pt>
                <c:pt idx="1650">
                  <c:v>38177</c:v>
                </c:pt>
                <c:pt idx="1651">
                  <c:v>38178</c:v>
                </c:pt>
                <c:pt idx="1652">
                  <c:v>38179</c:v>
                </c:pt>
                <c:pt idx="1653">
                  <c:v>38180</c:v>
                </c:pt>
                <c:pt idx="1654">
                  <c:v>38181</c:v>
                </c:pt>
                <c:pt idx="1655">
                  <c:v>38182</c:v>
                </c:pt>
                <c:pt idx="1656">
                  <c:v>38183</c:v>
                </c:pt>
                <c:pt idx="1657">
                  <c:v>38184</c:v>
                </c:pt>
                <c:pt idx="1658">
                  <c:v>38185</c:v>
                </c:pt>
                <c:pt idx="1659">
                  <c:v>38186</c:v>
                </c:pt>
                <c:pt idx="1660">
                  <c:v>38187</c:v>
                </c:pt>
                <c:pt idx="1661">
                  <c:v>38188</c:v>
                </c:pt>
                <c:pt idx="1662">
                  <c:v>38189</c:v>
                </c:pt>
                <c:pt idx="1663">
                  <c:v>38190</c:v>
                </c:pt>
                <c:pt idx="1664">
                  <c:v>38191</c:v>
                </c:pt>
                <c:pt idx="1665">
                  <c:v>38192</c:v>
                </c:pt>
                <c:pt idx="1666">
                  <c:v>38193</c:v>
                </c:pt>
                <c:pt idx="1667">
                  <c:v>38194</c:v>
                </c:pt>
                <c:pt idx="1668">
                  <c:v>38195</c:v>
                </c:pt>
                <c:pt idx="1669">
                  <c:v>38196</c:v>
                </c:pt>
                <c:pt idx="1670">
                  <c:v>38197</c:v>
                </c:pt>
                <c:pt idx="1671">
                  <c:v>38198</c:v>
                </c:pt>
                <c:pt idx="1672">
                  <c:v>38199</c:v>
                </c:pt>
                <c:pt idx="1673">
                  <c:v>38200</c:v>
                </c:pt>
                <c:pt idx="1674">
                  <c:v>38201</c:v>
                </c:pt>
                <c:pt idx="1675">
                  <c:v>38202</c:v>
                </c:pt>
                <c:pt idx="1676">
                  <c:v>38203</c:v>
                </c:pt>
                <c:pt idx="1677">
                  <c:v>38204</c:v>
                </c:pt>
                <c:pt idx="1678">
                  <c:v>38205</c:v>
                </c:pt>
                <c:pt idx="1679">
                  <c:v>38206</c:v>
                </c:pt>
                <c:pt idx="1680">
                  <c:v>38207</c:v>
                </c:pt>
                <c:pt idx="1681">
                  <c:v>38208</c:v>
                </c:pt>
                <c:pt idx="1682">
                  <c:v>38209</c:v>
                </c:pt>
                <c:pt idx="1683">
                  <c:v>38210</c:v>
                </c:pt>
                <c:pt idx="1684">
                  <c:v>38211</c:v>
                </c:pt>
                <c:pt idx="1685">
                  <c:v>38212</c:v>
                </c:pt>
                <c:pt idx="1686">
                  <c:v>38213</c:v>
                </c:pt>
                <c:pt idx="1687">
                  <c:v>38214</c:v>
                </c:pt>
                <c:pt idx="1688">
                  <c:v>38215</c:v>
                </c:pt>
                <c:pt idx="1689">
                  <c:v>38216</c:v>
                </c:pt>
                <c:pt idx="1690">
                  <c:v>38217</c:v>
                </c:pt>
                <c:pt idx="1691">
                  <c:v>38218</c:v>
                </c:pt>
                <c:pt idx="1692">
                  <c:v>38219</c:v>
                </c:pt>
                <c:pt idx="1693">
                  <c:v>38220</c:v>
                </c:pt>
                <c:pt idx="1694">
                  <c:v>38221</c:v>
                </c:pt>
                <c:pt idx="1695">
                  <c:v>38222</c:v>
                </c:pt>
                <c:pt idx="1696">
                  <c:v>38223</c:v>
                </c:pt>
                <c:pt idx="1697">
                  <c:v>38224</c:v>
                </c:pt>
                <c:pt idx="1698">
                  <c:v>38225</c:v>
                </c:pt>
                <c:pt idx="1699">
                  <c:v>38226</c:v>
                </c:pt>
                <c:pt idx="1700">
                  <c:v>38227</c:v>
                </c:pt>
                <c:pt idx="1701">
                  <c:v>38228</c:v>
                </c:pt>
                <c:pt idx="1702">
                  <c:v>38229</c:v>
                </c:pt>
                <c:pt idx="1703">
                  <c:v>38230</c:v>
                </c:pt>
                <c:pt idx="1704">
                  <c:v>38231</c:v>
                </c:pt>
                <c:pt idx="1705">
                  <c:v>38232</c:v>
                </c:pt>
                <c:pt idx="1706">
                  <c:v>38233</c:v>
                </c:pt>
                <c:pt idx="1707">
                  <c:v>38234</c:v>
                </c:pt>
                <c:pt idx="1708">
                  <c:v>38235</c:v>
                </c:pt>
                <c:pt idx="1709">
                  <c:v>38236</c:v>
                </c:pt>
                <c:pt idx="1710">
                  <c:v>38237</c:v>
                </c:pt>
                <c:pt idx="1711">
                  <c:v>38238</c:v>
                </c:pt>
                <c:pt idx="1712">
                  <c:v>38239</c:v>
                </c:pt>
                <c:pt idx="1713">
                  <c:v>38240</c:v>
                </c:pt>
                <c:pt idx="1714">
                  <c:v>38241</c:v>
                </c:pt>
                <c:pt idx="1715">
                  <c:v>38242</c:v>
                </c:pt>
                <c:pt idx="1716">
                  <c:v>38243</c:v>
                </c:pt>
                <c:pt idx="1717">
                  <c:v>38244</c:v>
                </c:pt>
                <c:pt idx="1718">
                  <c:v>38245</c:v>
                </c:pt>
                <c:pt idx="1719">
                  <c:v>38246</c:v>
                </c:pt>
                <c:pt idx="1720">
                  <c:v>38247</c:v>
                </c:pt>
                <c:pt idx="1721">
                  <c:v>38248</c:v>
                </c:pt>
                <c:pt idx="1722">
                  <c:v>38249</c:v>
                </c:pt>
                <c:pt idx="1723">
                  <c:v>38250</c:v>
                </c:pt>
                <c:pt idx="1724">
                  <c:v>38251</c:v>
                </c:pt>
                <c:pt idx="1725">
                  <c:v>38252</c:v>
                </c:pt>
                <c:pt idx="1726">
                  <c:v>38253</c:v>
                </c:pt>
                <c:pt idx="1727">
                  <c:v>38254</c:v>
                </c:pt>
                <c:pt idx="1728">
                  <c:v>38255</c:v>
                </c:pt>
                <c:pt idx="1729">
                  <c:v>38256</c:v>
                </c:pt>
                <c:pt idx="1730">
                  <c:v>38257</c:v>
                </c:pt>
                <c:pt idx="1731">
                  <c:v>38258</c:v>
                </c:pt>
                <c:pt idx="1732">
                  <c:v>38259</c:v>
                </c:pt>
                <c:pt idx="1733">
                  <c:v>38260</c:v>
                </c:pt>
                <c:pt idx="1734">
                  <c:v>38261</c:v>
                </c:pt>
                <c:pt idx="1735">
                  <c:v>38262</c:v>
                </c:pt>
                <c:pt idx="1736">
                  <c:v>38263</c:v>
                </c:pt>
                <c:pt idx="1737">
                  <c:v>38264</c:v>
                </c:pt>
                <c:pt idx="1738">
                  <c:v>38265</c:v>
                </c:pt>
                <c:pt idx="1739">
                  <c:v>38266</c:v>
                </c:pt>
                <c:pt idx="1740">
                  <c:v>38267</c:v>
                </c:pt>
                <c:pt idx="1741">
                  <c:v>38268</c:v>
                </c:pt>
                <c:pt idx="1742">
                  <c:v>38269</c:v>
                </c:pt>
                <c:pt idx="1743">
                  <c:v>38270</c:v>
                </c:pt>
                <c:pt idx="1744">
                  <c:v>38271</c:v>
                </c:pt>
                <c:pt idx="1745">
                  <c:v>38272</c:v>
                </c:pt>
                <c:pt idx="1746">
                  <c:v>38273</c:v>
                </c:pt>
                <c:pt idx="1747">
                  <c:v>38274</c:v>
                </c:pt>
                <c:pt idx="1748">
                  <c:v>38275</c:v>
                </c:pt>
                <c:pt idx="1749">
                  <c:v>38276</c:v>
                </c:pt>
                <c:pt idx="1750">
                  <c:v>38277</c:v>
                </c:pt>
                <c:pt idx="1751">
                  <c:v>38278</c:v>
                </c:pt>
                <c:pt idx="1752">
                  <c:v>38279</c:v>
                </c:pt>
                <c:pt idx="1753">
                  <c:v>38280</c:v>
                </c:pt>
                <c:pt idx="1754">
                  <c:v>38281</c:v>
                </c:pt>
                <c:pt idx="1755">
                  <c:v>38282</c:v>
                </c:pt>
                <c:pt idx="1756">
                  <c:v>38283</c:v>
                </c:pt>
                <c:pt idx="1757">
                  <c:v>38284</c:v>
                </c:pt>
                <c:pt idx="1758">
                  <c:v>38285</c:v>
                </c:pt>
                <c:pt idx="1759">
                  <c:v>38286</c:v>
                </c:pt>
                <c:pt idx="1760">
                  <c:v>38287</c:v>
                </c:pt>
                <c:pt idx="1761">
                  <c:v>38288</c:v>
                </c:pt>
                <c:pt idx="1762">
                  <c:v>38289</c:v>
                </c:pt>
                <c:pt idx="1763">
                  <c:v>38290</c:v>
                </c:pt>
                <c:pt idx="1764">
                  <c:v>38291</c:v>
                </c:pt>
                <c:pt idx="1765">
                  <c:v>38292</c:v>
                </c:pt>
                <c:pt idx="1766">
                  <c:v>38293</c:v>
                </c:pt>
                <c:pt idx="1767">
                  <c:v>38294</c:v>
                </c:pt>
                <c:pt idx="1768">
                  <c:v>38295</c:v>
                </c:pt>
                <c:pt idx="1769">
                  <c:v>38296</c:v>
                </c:pt>
                <c:pt idx="1770">
                  <c:v>38297</c:v>
                </c:pt>
                <c:pt idx="1771">
                  <c:v>38298</c:v>
                </c:pt>
                <c:pt idx="1772">
                  <c:v>38299</c:v>
                </c:pt>
                <c:pt idx="1773">
                  <c:v>38300</c:v>
                </c:pt>
                <c:pt idx="1774">
                  <c:v>38301</c:v>
                </c:pt>
                <c:pt idx="1775">
                  <c:v>38302</c:v>
                </c:pt>
                <c:pt idx="1776">
                  <c:v>38303</c:v>
                </c:pt>
                <c:pt idx="1777">
                  <c:v>38304</c:v>
                </c:pt>
                <c:pt idx="1778">
                  <c:v>38305</c:v>
                </c:pt>
                <c:pt idx="1779">
                  <c:v>38306</c:v>
                </c:pt>
                <c:pt idx="1780">
                  <c:v>38307</c:v>
                </c:pt>
                <c:pt idx="1781">
                  <c:v>38308</c:v>
                </c:pt>
                <c:pt idx="1782">
                  <c:v>38309</c:v>
                </c:pt>
                <c:pt idx="1783">
                  <c:v>38310</c:v>
                </c:pt>
                <c:pt idx="1784">
                  <c:v>38311</c:v>
                </c:pt>
                <c:pt idx="1785">
                  <c:v>38312</c:v>
                </c:pt>
                <c:pt idx="1786">
                  <c:v>38313</c:v>
                </c:pt>
                <c:pt idx="1787">
                  <c:v>38314</c:v>
                </c:pt>
                <c:pt idx="1788">
                  <c:v>38315</c:v>
                </c:pt>
                <c:pt idx="1789">
                  <c:v>38316</c:v>
                </c:pt>
                <c:pt idx="1790">
                  <c:v>38317</c:v>
                </c:pt>
                <c:pt idx="1791">
                  <c:v>38318</c:v>
                </c:pt>
                <c:pt idx="1792">
                  <c:v>38319</c:v>
                </c:pt>
                <c:pt idx="1793">
                  <c:v>38320</c:v>
                </c:pt>
                <c:pt idx="1794">
                  <c:v>38321</c:v>
                </c:pt>
                <c:pt idx="1795">
                  <c:v>38322</c:v>
                </c:pt>
                <c:pt idx="1796">
                  <c:v>38323</c:v>
                </c:pt>
                <c:pt idx="1797">
                  <c:v>38324</c:v>
                </c:pt>
                <c:pt idx="1798">
                  <c:v>38325</c:v>
                </c:pt>
                <c:pt idx="1799">
                  <c:v>38326</c:v>
                </c:pt>
                <c:pt idx="1800">
                  <c:v>38327</c:v>
                </c:pt>
                <c:pt idx="1801">
                  <c:v>38328</c:v>
                </c:pt>
                <c:pt idx="1802">
                  <c:v>38329</c:v>
                </c:pt>
                <c:pt idx="1803">
                  <c:v>38330</c:v>
                </c:pt>
                <c:pt idx="1804">
                  <c:v>38331</c:v>
                </c:pt>
                <c:pt idx="1805">
                  <c:v>38332</c:v>
                </c:pt>
                <c:pt idx="1806">
                  <c:v>38333</c:v>
                </c:pt>
                <c:pt idx="1807">
                  <c:v>38334</c:v>
                </c:pt>
                <c:pt idx="1808">
                  <c:v>38335</c:v>
                </c:pt>
                <c:pt idx="1809">
                  <c:v>38336</c:v>
                </c:pt>
                <c:pt idx="1810">
                  <c:v>38337</c:v>
                </c:pt>
                <c:pt idx="1811">
                  <c:v>38338</c:v>
                </c:pt>
                <c:pt idx="1812">
                  <c:v>38339</c:v>
                </c:pt>
                <c:pt idx="1813">
                  <c:v>38340</c:v>
                </c:pt>
                <c:pt idx="1814">
                  <c:v>38341</c:v>
                </c:pt>
                <c:pt idx="1815">
                  <c:v>38342</c:v>
                </c:pt>
                <c:pt idx="1816">
                  <c:v>38343</c:v>
                </c:pt>
                <c:pt idx="1817">
                  <c:v>38344</c:v>
                </c:pt>
                <c:pt idx="1818">
                  <c:v>38345</c:v>
                </c:pt>
                <c:pt idx="1819">
                  <c:v>38346</c:v>
                </c:pt>
                <c:pt idx="1820">
                  <c:v>38347</c:v>
                </c:pt>
                <c:pt idx="1821">
                  <c:v>38348</c:v>
                </c:pt>
                <c:pt idx="1822">
                  <c:v>38349</c:v>
                </c:pt>
                <c:pt idx="1823">
                  <c:v>38350</c:v>
                </c:pt>
                <c:pt idx="1824">
                  <c:v>38351</c:v>
                </c:pt>
                <c:pt idx="1825">
                  <c:v>38352</c:v>
                </c:pt>
                <c:pt idx="1826">
                  <c:v>38353</c:v>
                </c:pt>
                <c:pt idx="1827">
                  <c:v>38354</c:v>
                </c:pt>
                <c:pt idx="1828">
                  <c:v>38355</c:v>
                </c:pt>
                <c:pt idx="1829">
                  <c:v>38356</c:v>
                </c:pt>
                <c:pt idx="1830">
                  <c:v>38357</c:v>
                </c:pt>
                <c:pt idx="1831">
                  <c:v>38358</c:v>
                </c:pt>
                <c:pt idx="1832">
                  <c:v>38359</c:v>
                </c:pt>
                <c:pt idx="1833">
                  <c:v>38360</c:v>
                </c:pt>
                <c:pt idx="1834">
                  <c:v>38361</c:v>
                </c:pt>
                <c:pt idx="1835">
                  <c:v>38362</c:v>
                </c:pt>
                <c:pt idx="1836">
                  <c:v>38363</c:v>
                </c:pt>
                <c:pt idx="1837">
                  <c:v>38364</c:v>
                </c:pt>
                <c:pt idx="1838">
                  <c:v>38365</c:v>
                </c:pt>
                <c:pt idx="1839">
                  <c:v>38366</c:v>
                </c:pt>
                <c:pt idx="1840">
                  <c:v>38367</c:v>
                </c:pt>
                <c:pt idx="1841">
                  <c:v>38368</c:v>
                </c:pt>
                <c:pt idx="1842">
                  <c:v>38369</c:v>
                </c:pt>
                <c:pt idx="1843">
                  <c:v>38370</c:v>
                </c:pt>
                <c:pt idx="1844">
                  <c:v>38371</c:v>
                </c:pt>
                <c:pt idx="1845">
                  <c:v>38372</c:v>
                </c:pt>
                <c:pt idx="1846">
                  <c:v>38373</c:v>
                </c:pt>
                <c:pt idx="1847">
                  <c:v>38374</c:v>
                </c:pt>
                <c:pt idx="1848">
                  <c:v>38375</c:v>
                </c:pt>
                <c:pt idx="1849">
                  <c:v>38376</c:v>
                </c:pt>
                <c:pt idx="1850">
                  <c:v>38377</c:v>
                </c:pt>
                <c:pt idx="1851">
                  <c:v>38378</c:v>
                </c:pt>
                <c:pt idx="1852">
                  <c:v>38379</c:v>
                </c:pt>
                <c:pt idx="1853">
                  <c:v>38380</c:v>
                </c:pt>
                <c:pt idx="1854">
                  <c:v>38381</c:v>
                </c:pt>
                <c:pt idx="1855">
                  <c:v>38382</c:v>
                </c:pt>
                <c:pt idx="1856">
                  <c:v>38383</c:v>
                </c:pt>
                <c:pt idx="1857">
                  <c:v>38384</c:v>
                </c:pt>
                <c:pt idx="1858">
                  <c:v>38385</c:v>
                </c:pt>
                <c:pt idx="1859">
                  <c:v>38386</c:v>
                </c:pt>
                <c:pt idx="1860">
                  <c:v>38387</c:v>
                </c:pt>
                <c:pt idx="1861">
                  <c:v>38388</c:v>
                </c:pt>
                <c:pt idx="1862">
                  <c:v>38389</c:v>
                </c:pt>
                <c:pt idx="1863">
                  <c:v>38390</c:v>
                </c:pt>
                <c:pt idx="1864">
                  <c:v>38391</c:v>
                </c:pt>
                <c:pt idx="1865">
                  <c:v>38392</c:v>
                </c:pt>
                <c:pt idx="1866">
                  <c:v>38393</c:v>
                </c:pt>
                <c:pt idx="1867">
                  <c:v>38394</c:v>
                </c:pt>
                <c:pt idx="1868">
                  <c:v>38395</c:v>
                </c:pt>
                <c:pt idx="1869">
                  <c:v>38396</c:v>
                </c:pt>
                <c:pt idx="1870">
                  <c:v>38397</c:v>
                </c:pt>
                <c:pt idx="1871">
                  <c:v>38398</c:v>
                </c:pt>
                <c:pt idx="1872">
                  <c:v>38399</c:v>
                </c:pt>
                <c:pt idx="1873">
                  <c:v>38400</c:v>
                </c:pt>
                <c:pt idx="1874">
                  <c:v>38401</c:v>
                </c:pt>
                <c:pt idx="1875">
                  <c:v>38402</c:v>
                </c:pt>
                <c:pt idx="1876">
                  <c:v>38403</c:v>
                </c:pt>
                <c:pt idx="1877">
                  <c:v>38404</c:v>
                </c:pt>
                <c:pt idx="1878">
                  <c:v>38405</c:v>
                </c:pt>
                <c:pt idx="1879">
                  <c:v>38406</c:v>
                </c:pt>
                <c:pt idx="1880">
                  <c:v>38407</c:v>
                </c:pt>
                <c:pt idx="1881">
                  <c:v>38408</c:v>
                </c:pt>
                <c:pt idx="1882">
                  <c:v>38409</c:v>
                </c:pt>
                <c:pt idx="1883">
                  <c:v>38410</c:v>
                </c:pt>
                <c:pt idx="1884">
                  <c:v>38411</c:v>
                </c:pt>
                <c:pt idx="1885">
                  <c:v>38412</c:v>
                </c:pt>
                <c:pt idx="1886">
                  <c:v>38413</c:v>
                </c:pt>
                <c:pt idx="1887">
                  <c:v>38414</c:v>
                </c:pt>
                <c:pt idx="1888">
                  <c:v>38415</c:v>
                </c:pt>
                <c:pt idx="1889">
                  <c:v>38416</c:v>
                </c:pt>
                <c:pt idx="1890">
                  <c:v>38417</c:v>
                </c:pt>
                <c:pt idx="1891">
                  <c:v>38418</c:v>
                </c:pt>
                <c:pt idx="1892">
                  <c:v>38419</c:v>
                </c:pt>
                <c:pt idx="1893">
                  <c:v>38420</c:v>
                </c:pt>
                <c:pt idx="1894">
                  <c:v>38421</c:v>
                </c:pt>
                <c:pt idx="1895">
                  <c:v>38422</c:v>
                </c:pt>
                <c:pt idx="1896">
                  <c:v>38423</c:v>
                </c:pt>
                <c:pt idx="1897">
                  <c:v>38424</c:v>
                </c:pt>
                <c:pt idx="1898">
                  <c:v>38425</c:v>
                </c:pt>
                <c:pt idx="1899">
                  <c:v>38426</c:v>
                </c:pt>
                <c:pt idx="1900">
                  <c:v>38427</c:v>
                </c:pt>
                <c:pt idx="1901">
                  <c:v>38428</c:v>
                </c:pt>
                <c:pt idx="1902">
                  <c:v>38429</c:v>
                </c:pt>
                <c:pt idx="1903">
                  <c:v>38430</c:v>
                </c:pt>
                <c:pt idx="1904">
                  <c:v>38431</c:v>
                </c:pt>
                <c:pt idx="1905">
                  <c:v>38432</c:v>
                </c:pt>
                <c:pt idx="1906">
                  <c:v>38433</c:v>
                </c:pt>
                <c:pt idx="1907">
                  <c:v>38434</c:v>
                </c:pt>
                <c:pt idx="1908">
                  <c:v>38435</c:v>
                </c:pt>
                <c:pt idx="1909">
                  <c:v>38436</c:v>
                </c:pt>
                <c:pt idx="1910">
                  <c:v>38437</c:v>
                </c:pt>
                <c:pt idx="1911">
                  <c:v>38438</c:v>
                </c:pt>
                <c:pt idx="1912">
                  <c:v>38439</c:v>
                </c:pt>
                <c:pt idx="1913">
                  <c:v>38440</c:v>
                </c:pt>
                <c:pt idx="1914">
                  <c:v>38441</c:v>
                </c:pt>
                <c:pt idx="1915">
                  <c:v>38442</c:v>
                </c:pt>
                <c:pt idx="1916">
                  <c:v>38443</c:v>
                </c:pt>
                <c:pt idx="1917">
                  <c:v>38444</c:v>
                </c:pt>
                <c:pt idx="1918">
                  <c:v>38445</c:v>
                </c:pt>
                <c:pt idx="1919">
                  <c:v>38446</c:v>
                </c:pt>
                <c:pt idx="1920">
                  <c:v>38447</c:v>
                </c:pt>
                <c:pt idx="1921">
                  <c:v>38448</c:v>
                </c:pt>
                <c:pt idx="1922">
                  <c:v>38449</c:v>
                </c:pt>
                <c:pt idx="1923">
                  <c:v>38450</c:v>
                </c:pt>
                <c:pt idx="1924">
                  <c:v>38451</c:v>
                </c:pt>
                <c:pt idx="1925">
                  <c:v>38452</c:v>
                </c:pt>
                <c:pt idx="1926">
                  <c:v>38453</c:v>
                </c:pt>
                <c:pt idx="1927">
                  <c:v>38454</c:v>
                </c:pt>
                <c:pt idx="1928">
                  <c:v>38455</c:v>
                </c:pt>
                <c:pt idx="1929">
                  <c:v>38456</c:v>
                </c:pt>
                <c:pt idx="1930">
                  <c:v>38457</c:v>
                </c:pt>
                <c:pt idx="1931">
                  <c:v>38458</c:v>
                </c:pt>
                <c:pt idx="1932">
                  <c:v>38459</c:v>
                </c:pt>
                <c:pt idx="1933">
                  <c:v>38460</c:v>
                </c:pt>
                <c:pt idx="1934">
                  <c:v>38461</c:v>
                </c:pt>
                <c:pt idx="1935">
                  <c:v>38462</c:v>
                </c:pt>
                <c:pt idx="1936">
                  <c:v>38463</c:v>
                </c:pt>
                <c:pt idx="1937">
                  <c:v>38464</c:v>
                </c:pt>
                <c:pt idx="1938">
                  <c:v>38465</c:v>
                </c:pt>
                <c:pt idx="1939">
                  <c:v>38466</c:v>
                </c:pt>
                <c:pt idx="1940">
                  <c:v>38467</c:v>
                </c:pt>
                <c:pt idx="1941">
                  <c:v>38468</c:v>
                </c:pt>
                <c:pt idx="1942">
                  <c:v>38469</c:v>
                </c:pt>
                <c:pt idx="1943">
                  <c:v>38470</c:v>
                </c:pt>
                <c:pt idx="1944">
                  <c:v>38471</c:v>
                </c:pt>
                <c:pt idx="1945">
                  <c:v>38472</c:v>
                </c:pt>
                <c:pt idx="1946">
                  <c:v>38473</c:v>
                </c:pt>
                <c:pt idx="1947">
                  <c:v>38474</c:v>
                </c:pt>
                <c:pt idx="1948">
                  <c:v>38475</c:v>
                </c:pt>
                <c:pt idx="1949">
                  <c:v>38476</c:v>
                </c:pt>
                <c:pt idx="1950">
                  <c:v>38477</c:v>
                </c:pt>
                <c:pt idx="1951">
                  <c:v>38478</c:v>
                </c:pt>
                <c:pt idx="1952">
                  <c:v>38479</c:v>
                </c:pt>
                <c:pt idx="1953">
                  <c:v>38480</c:v>
                </c:pt>
                <c:pt idx="1954">
                  <c:v>38481</c:v>
                </c:pt>
                <c:pt idx="1955">
                  <c:v>38482</c:v>
                </c:pt>
                <c:pt idx="1956">
                  <c:v>38483</c:v>
                </c:pt>
                <c:pt idx="1957">
                  <c:v>38484</c:v>
                </c:pt>
                <c:pt idx="1958">
                  <c:v>38485</c:v>
                </c:pt>
                <c:pt idx="1959">
                  <c:v>38486</c:v>
                </c:pt>
                <c:pt idx="1960">
                  <c:v>38487</c:v>
                </c:pt>
                <c:pt idx="1961">
                  <c:v>38488</c:v>
                </c:pt>
                <c:pt idx="1962">
                  <c:v>38489</c:v>
                </c:pt>
                <c:pt idx="1963">
                  <c:v>38490</c:v>
                </c:pt>
                <c:pt idx="1964">
                  <c:v>38491</c:v>
                </c:pt>
                <c:pt idx="1965">
                  <c:v>38492</c:v>
                </c:pt>
                <c:pt idx="1966">
                  <c:v>38493</c:v>
                </c:pt>
                <c:pt idx="1967">
                  <c:v>38494</c:v>
                </c:pt>
                <c:pt idx="1968">
                  <c:v>38495</c:v>
                </c:pt>
                <c:pt idx="1969">
                  <c:v>38496</c:v>
                </c:pt>
                <c:pt idx="1970">
                  <c:v>38497</c:v>
                </c:pt>
                <c:pt idx="1971">
                  <c:v>38498</c:v>
                </c:pt>
                <c:pt idx="1972">
                  <c:v>38499</c:v>
                </c:pt>
                <c:pt idx="1973">
                  <c:v>38500</c:v>
                </c:pt>
                <c:pt idx="1974">
                  <c:v>38501</c:v>
                </c:pt>
                <c:pt idx="1975">
                  <c:v>38502</c:v>
                </c:pt>
                <c:pt idx="1976">
                  <c:v>38503</c:v>
                </c:pt>
                <c:pt idx="1977">
                  <c:v>38504</c:v>
                </c:pt>
                <c:pt idx="1978">
                  <c:v>38505</c:v>
                </c:pt>
                <c:pt idx="1979">
                  <c:v>38506</c:v>
                </c:pt>
                <c:pt idx="1980">
                  <c:v>38507</c:v>
                </c:pt>
                <c:pt idx="1981">
                  <c:v>38508</c:v>
                </c:pt>
                <c:pt idx="1982">
                  <c:v>38509</c:v>
                </c:pt>
                <c:pt idx="1983">
                  <c:v>38510</c:v>
                </c:pt>
                <c:pt idx="1984">
                  <c:v>38511</c:v>
                </c:pt>
                <c:pt idx="1985">
                  <c:v>38512</c:v>
                </c:pt>
                <c:pt idx="1986">
                  <c:v>38513</c:v>
                </c:pt>
                <c:pt idx="1987">
                  <c:v>38514</c:v>
                </c:pt>
                <c:pt idx="1988">
                  <c:v>38515</c:v>
                </c:pt>
                <c:pt idx="1989">
                  <c:v>38516</c:v>
                </c:pt>
                <c:pt idx="1990">
                  <c:v>38517</c:v>
                </c:pt>
                <c:pt idx="1991">
                  <c:v>38518</c:v>
                </c:pt>
                <c:pt idx="1992">
                  <c:v>38519</c:v>
                </c:pt>
                <c:pt idx="1993">
                  <c:v>38520</c:v>
                </c:pt>
                <c:pt idx="1994">
                  <c:v>38521</c:v>
                </c:pt>
                <c:pt idx="1995">
                  <c:v>38522</c:v>
                </c:pt>
                <c:pt idx="1996">
                  <c:v>38523</c:v>
                </c:pt>
                <c:pt idx="1997">
                  <c:v>38524</c:v>
                </c:pt>
                <c:pt idx="1998">
                  <c:v>38525</c:v>
                </c:pt>
                <c:pt idx="1999">
                  <c:v>38526</c:v>
                </c:pt>
                <c:pt idx="2000">
                  <c:v>38527</c:v>
                </c:pt>
                <c:pt idx="2001">
                  <c:v>38528</c:v>
                </c:pt>
                <c:pt idx="2002">
                  <c:v>38529</c:v>
                </c:pt>
                <c:pt idx="2003">
                  <c:v>38530</c:v>
                </c:pt>
                <c:pt idx="2004">
                  <c:v>38531</c:v>
                </c:pt>
                <c:pt idx="2005">
                  <c:v>38532</c:v>
                </c:pt>
                <c:pt idx="2006">
                  <c:v>38533</c:v>
                </c:pt>
                <c:pt idx="2007">
                  <c:v>38534</c:v>
                </c:pt>
                <c:pt idx="2008">
                  <c:v>38535</c:v>
                </c:pt>
                <c:pt idx="2009">
                  <c:v>38536</c:v>
                </c:pt>
                <c:pt idx="2010">
                  <c:v>38537</c:v>
                </c:pt>
                <c:pt idx="2011">
                  <c:v>38538</c:v>
                </c:pt>
                <c:pt idx="2012">
                  <c:v>38539</c:v>
                </c:pt>
                <c:pt idx="2013">
                  <c:v>38540</c:v>
                </c:pt>
                <c:pt idx="2014">
                  <c:v>38541</c:v>
                </c:pt>
                <c:pt idx="2015">
                  <c:v>38542</c:v>
                </c:pt>
                <c:pt idx="2016">
                  <c:v>38543</c:v>
                </c:pt>
                <c:pt idx="2017">
                  <c:v>38544</c:v>
                </c:pt>
                <c:pt idx="2018">
                  <c:v>38545</c:v>
                </c:pt>
                <c:pt idx="2019">
                  <c:v>38546</c:v>
                </c:pt>
                <c:pt idx="2020">
                  <c:v>38547</c:v>
                </c:pt>
                <c:pt idx="2021">
                  <c:v>38548</c:v>
                </c:pt>
                <c:pt idx="2022">
                  <c:v>38549</c:v>
                </c:pt>
                <c:pt idx="2023">
                  <c:v>38550</c:v>
                </c:pt>
                <c:pt idx="2024">
                  <c:v>38551</c:v>
                </c:pt>
                <c:pt idx="2025">
                  <c:v>38552</c:v>
                </c:pt>
                <c:pt idx="2026">
                  <c:v>38553</c:v>
                </c:pt>
                <c:pt idx="2027">
                  <c:v>38554</c:v>
                </c:pt>
                <c:pt idx="2028">
                  <c:v>38555</c:v>
                </c:pt>
                <c:pt idx="2029">
                  <c:v>38556</c:v>
                </c:pt>
                <c:pt idx="2030">
                  <c:v>38557</c:v>
                </c:pt>
                <c:pt idx="2031">
                  <c:v>38558</c:v>
                </c:pt>
                <c:pt idx="2032">
                  <c:v>38559</c:v>
                </c:pt>
                <c:pt idx="2033">
                  <c:v>38560</c:v>
                </c:pt>
                <c:pt idx="2034">
                  <c:v>38561</c:v>
                </c:pt>
                <c:pt idx="2035">
                  <c:v>38562</c:v>
                </c:pt>
                <c:pt idx="2036">
                  <c:v>38563</c:v>
                </c:pt>
                <c:pt idx="2037">
                  <c:v>38564</c:v>
                </c:pt>
                <c:pt idx="2038">
                  <c:v>38565</c:v>
                </c:pt>
                <c:pt idx="2039">
                  <c:v>38566</c:v>
                </c:pt>
                <c:pt idx="2040">
                  <c:v>38567</c:v>
                </c:pt>
                <c:pt idx="2041">
                  <c:v>38568</c:v>
                </c:pt>
                <c:pt idx="2042">
                  <c:v>38569</c:v>
                </c:pt>
                <c:pt idx="2043">
                  <c:v>38570</c:v>
                </c:pt>
                <c:pt idx="2044">
                  <c:v>38571</c:v>
                </c:pt>
                <c:pt idx="2045">
                  <c:v>38572</c:v>
                </c:pt>
                <c:pt idx="2046">
                  <c:v>38573</c:v>
                </c:pt>
                <c:pt idx="2047">
                  <c:v>38574</c:v>
                </c:pt>
                <c:pt idx="2048">
                  <c:v>38575</c:v>
                </c:pt>
                <c:pt idx="2049">
                  <c:v>38576</c:v>
                </c:pt>
                <c:pt idx="2050">
                  <c:v>38577</c:v>
                </c:pt>
                <c:pt idx="2051">
                  <c:v>38578</c:v>
                </c:pt>
                <c:pt idx="2052">
                  <c:v>38579</c:v>
                </c:pt>
                <c:pt idx="2053">
                  <c:v>38580</c:v>
                </c:pt>
                <c:pt idx="2054">
                  <c:v>38581</c:v>
                </c:pt>
                <c:pt idx="2055">
                  <c:v>38582</c:v>
                </c:pt>
                <c:pt idx="2056">
                  <c:v>38583</c:v>
                </c:pt>
                <c:pt idx="2057">
                  <c:v>38584</c:v>
                </c:pt>
                <c:pt idx="2058">
                  <c:v>38585</c:v>
                </c:pt>
                <c:pt idx="2059">
                  <c:v>38586</c:v>
                </c:pt>
                <c:pt idx="2060">
                  <c:v>38587</c:v>
                </c:pt>
                <c:pt idx="2061">
                  <c:v>38588</c:v>
                </c:pt>
                <c:pt idx="2062">
                  <c:v>38589</c:v>
                </c:pt>
                <c:pt idx="2063">
                  <c:v>38590</c:v>
                </c:pt>
                <c:pt idx="2064">
                  <c:v>38591</c:v>
                </c:pt>
                <c:pt idx="2065">
                  <c:v>38592</c:v>
                </c:pt>
                <c:pt idx="2066">
                  <c:v>38593</c:v>
                </c:pt>
                <c:pt idx="2067">
                  <c:v>38594</c:v>
                </c:pt>
                <c:pt idx="2068">
                  <c:v>38595</c:v>
                </c:pt>
                <c:pt idx="2069">
                  <c:v>38596</c:v>
                </c:pt>
                <c:pt idx="2070">
                  <c:v>38597</c:v>
                </c:pt>
                <c:pt idx="2071">
                  <c:v>38598</c:v>
                </c:pt>
                <c:pt idx="2072">
                  <c:v>38599</c:v>
                </c:pt>
                <c:pt idx="2073">
                  <c:v>38600</c:v>
                </c:pt>
                <c:pt idx="2074">
                  <c:v>38601</c:v>
                </c:pt>
                <c:pt idx="2075">
                  <c:v>38602</c:v>
                </c:pt>
                <c:pt idx="2076">
                  <c:v>38603</c:v>
                </c:pt>
                <c:pt idx="2077">
                  <c:v>38604</c:v>
                </c:pt>
                <c:pt idx="2078">
                  <c:v>38605</c:v>
                </c:pt>
                <c:pt idx="2079">
                  <c:v>38606</c:v>
                </c:pt>
                <c:pt idx="2080">
                  <c:v>38607</c:v>
                </c:pt>
                <c:pt idx="2081">
                  <c:v>38608</c:v>
                </c:pt>
                <c:pt idx="2082">
                  <c:v>38609</c:v>
                </c:pt>
                <c:pt idx="2083">
                  <c:v>38610</c:v>
                </c:pt>
                <c:pt idx="2084">
                  <c:v>38611</c:v>
                </c:pt>
                <c:pt idx="2085">
                  <c:v>38612</c:v>
                </c:pt>
                <c:pt idx="2086">
                  <c:v>38613</c:v>
                </c:pt>
                <c:pt idx="2087">
                  <c:v>38614</c:v>
                </c:pt>
                <c:pt idx="2088">
                  <c:v>38615</c:v>
                </c:pt>
                <c:pt idx="2089">
                  <c:v>38616</c:v>
                </c:pt>
                <c:pt idx="2090">
                  <c:v>38617</c:v>
                </c:pt>
                <c:pt idx="2091">
                  <c:v>38618</c:v>
                </c:pt>
                <c:pt idx="2092">
                  <c:v>38619</c:v>
                </c:pt>
                <c:pt idx="2093">
                  <c:v>38620</c:v>
                </c:pt>
                <c:pt idx="2094">
                  <c:v>38621</c:v>
                </c:pt>
                <c:pt idx="2095">
                  <c:v>38622</c:v>
                </c:pt>
                <c:pt idx="2096">
                  <c:v>38623</c:v>
                </c:pt>
                <c:pt idx="2097">
                  <c:v>38624</c:v>
                </c:pt>
                <c:pt idx="2098">
                  <c:v>38625</c:v>
                </c:pt>
                <c:pt idx="2099">
                  <c:v>38626</c:v>
                </c:pt>
                <c:pt idx="2100">
                  <c:v>38627</c:v>
                </c:pt>
                <c:pt idx="2101">
                  <c:v>38628</c:v>
                </c:pt>
                <c:pt idx="2102">
                  <c:v>38629</c:v>
                </c:pt>
                <c:pt idx="2103">
                  <c:v>38630</c:v>
                </c:pt>
                <c:pt idx="2104">
                  <c:v>38631</c:v>
                </c:pt>
                <c:pt idx="2105">
                  <c:v>38632</c:v>
                </c:pt>
                <c:pt idx="2106">
                  <c:v>38633</c:v>
                </c:pt>
                <c:pt idx="2107">
                  <c:v>38634</c:v>
                </c:pt>
                <c:pt idx="2108">
                  <c:v>38635</c:v>
                </c:pt>
                <c:pt idx="2109">
                  <c:v>38636</c:v>
                </c:pt>
                <c:pt idx="2110">
                  <c:v>38637</c:v>
                </c:pt>
                <c:pt idx="2111">
                  <c:v>38638</c:v>
                </c:pt>
                <c:pt idx="2112">
                  <c:v>38639</c:v>
                </c:pt>
                <c:pt idx="2113">
                  <c:v>38640</c:v>
                </c:pt>
                <c:pt idx="2114">
                  <c:v>38641</c:v>
                </c:pt>
                <c:pt idx="2115">
                  <c:v>38642</c:v>
                </c:pt>
                <c:pt idx="2116">
                  <c:v>38643</c:v>
                </c:pt>
                <c:pt idx="2117">
                  <c:v>38644</c:v>
                </c:pt>
                <c:pt idx="2118">
                  <c:v>38645</c:v>
                </c:pt>
                <c:pt idx="2119">
                  <c:v>38646</c:v>
                </c:pt>
                <c:pt idx="2120">
                  <c:v>38647</c:v>
                </c:pt>
                <c:pt idx="2121">
                  <c:v>38648</c:v>
                </c:pt>
                <c:pt idx="2122">
                  <c:v>38649</c:v>
                </c:pt>
                <c:pt idx="2123">
                  <c:v>38650</c:v>
                </c:pt>
                <c:pt idx="2124">
                  <c:v>38651</c:v>
                </c:pt>
                <c:pt idx="2125">
                  <c:v>38652</c:v>
                </c:pt>
                <c:pt idx="2126">
                  <c:v>38653</c:v>
                </c:pt>
                <c:pt idx="2127">
                  <c:v>38654</c:v>
                </c:pt>
                <c:pt idx="2128">
                  <c:v>38655</c:v>
                </c:pt>
                <c:pt idx="2129">
                  <c:v>38656</c:v>
                </c:pt>
                <c:pt idx="2130">
                  <c:v>38657</c:v>
                </c:pt>
                <c:pt idx="2131">
                  <c:v>38658</c:v>
                </c:pt>
                <c:pt idx="2132">
                  <c:v>38659</c:v>
                </c:pt>
                <c:pt idx="2133">
                  <c:v>38660</c:v>
                </c:pt>
                <c:pt idx="2134">
                  <c:v>38661</c:v>
                </c:pt>
                <c:pt idx="2135">
                  <c:v>38662</c:v>
                </c:pt>
                <c:pt idx="2136">
                  <c:v>38663</c:v>
                </c:pt>
                <c:pt idx="2137">
                  <c:v>38664</c:v>
                </c:pt>
                <c:pt idx="2138">
                  <c:v>38665</c:v>
                </c:pt>
                <c:pt idx="2139">
                  <c:v>38666</c:v>
                </c:pt>
                <c:pt idx="2140">
                  <c:v>38667</c:v>
                </c:pt>
                <c:pt idx="2141">
                  <c:v>38668</c:v>
                </c:pt>
                <c:pt idx="2142">
                  <c:v>38669</c:v>
                </c:pt>
                <c:pt idx="2143">
                  <c:v>38670</c:v>
                </c:pt>
                <c:pt idx="2144">
                  <c:v>38671</c:v>
                </c:pt>
                <c:pt idx="2145">
                  <c:v>38672</c:v>
                </c:pt>
                <c:pt idx="2146">
                  <c:v>38673</c:v>
                </c:pt>
                <c:pt idx="2147">
                  <c:v>38674</c:v>
                </c:pt>
                <c:pt idx="2148">
                  <c:v>38675</c:v>
                </c:pt>
                <c:pt idx="2149">
                  <c:v>38676</c:v>
                </c:pt>
                <c:pt idx="2150">
                  <c:v>38677</c:v>
                </c:pt>
                <c:pt idx="2151">
                  <c:v>38678</c:v>
                </c:pt>
                <c:pt idx="2152">
                  <c:v>38679</c:v>
                </c:pt>
                <c:pt idx="2153">
                  <c:v>38680</c:v>
                </c:pt>
                <c:pt idx="2154">
                  <c:v>38681</c:v>
                </c:pt>
                <c:pt idx="2155">
                  <c:v>38682</c:v>
                </c:pt>
                <c:pt idx="2156">
                  <c:v>38683</c:v>
                </c:pt>
                <c:pt idx="2157">
                  <c:v>38684</c:v>
                </c:pt>
                <c:pt idx="2158">
                  <c:v>38685</c:v>
                </c:pt>
                <c:pt idx="2159">
                  <c:v>38686</c:v>
                </c:pt>
                <c:pt idx="2160">
                  <c:v>38687</c:v>
                </c:pt>
                <c:pt idx="2161">
                  <c:v>38688</c:v>
                </c:pt>
                <c:pt idx="2162">
                  <c:v>38689</c:v>
                </c:pt>
                <c:pt idx="2163">
                  <c:v>38690</c:v>
                </c:pt>
                <c:pt idx="2164">
                  <c:v>38691</c:v>
                </c:pt>
                <c:pt idx="2165">
                  <c:v>38692</c:v>
                </c:pt>
                <c:pt idx="2166">
                  <c:v>38693</c:v>
                </c:pt>
                <c:pt idx="2167">
                  <c:v>38694</c:v>
                </c:pt>
                <c:pt idx="2168">
                  <c:v>38695</c:v>
                </c:pt>
                <c:pt idx="2169">
                  <c:v>38696</c:v>
                </c:pt>
                <c:pt idx="2170">
                  <c:v>38697</c:v>
                </c:pt>
                <c:pt idx="2171">
                  <c:v>38698</c:v>
                </c:pt>
                <c:pt idx="2172">
                  <c:v>38699</c:v>
                </c:pt>
                <c:pt idx="2173">
                  <c:v>38700</c:v>
                </c:pt>
                <c:pt idx="2174">
                  <c:v>38701</c:v>
                </c:pt>
                <c:pt idx="2175">
                  <c:v>38702</c:v>
                </c:pt>
                <c:pt idx="2176">
                  <c:v>38703</c:v>
                </c:pt>
                <c:pt idx="2177">
                  <c:v>38704</c:v>
                </c:pt>
                <c:pt idx="2178">
                  <c:v>38705</c:v>
                </c:pt>
                <c:pt idx="2179">
                  <c:v>38706</c:v>
                </c:pt>
                <c:pt idx="2180">
                  <c:v>38707</c:v>
                </c:pt>
                <c:pt idx="2181">
                  <c:v>38708</c:v>
                </c:pt>
                <c:pt idx="2182">
                  <c:v>38709</c:v>
                </c:pt>
                <c:pt idx="2183">
                  <c:v>38710</c:v>
                </c:pt>
                <c:pt idx="2184">
                  <c:v>38711</c:v>
                </c:pt>
                <c:pt idx="2185">
                  <c:v>38712</c:v>
                </c:pt>
                <c:pt idx="2186">
                  <c:v>38713</c:v>
                </c:pt>
                <c:pt idx="2187">
                  <c:v>38714</c:v>
                </c:pt>
                <c:pt idx="2188">
                  <c:v>38715</c:v>
                </c:pt>
                <c:pt idx="2189">
                  <c:v>38716</c:v>
                </c:pt>
                <c:pt idx="2190">
                  <c:v>38717</c:v>
                </c:pt>
                <c:pt idx="2191">
                  <c:v>38718</c:v>
                </c:pt>
                <c:pt idx="2192">
                  <c:v>38719</c:v>
                </c:pt>
                <c:pt idx="2193">
                  <c:v>38720</c:v>
                </c:pt>
                <c:pt idx="2194">
                  <c:v>38721</c:v>
                </c:pt>
                <c:pt idx="2195">
                  <c:v>38722</c:v>
                </c:pt>
                <c:pt idx="2196">
                  <c:v>38723</c:v>
                </c:pt>
                <c:pt idx="2197">
                  <c:v>38724</c:v>
                </c:pt>
                <c:pt idx="2198">
                  <c:v>38725</c:v>
                </c:pt>
                <c:pt idx="2199">
                  <c:v>38726</c:v>
                </c:pt>
                <c:pt idx="2200">
                  <c:v>38727</c:v>
                </c:pt>
                <c:pt idx="2201">
                  <c:v>38728</c:v>
                </c:pt>
                <c:pt idx="2202">
                  <c:v>38729</c:v>
                </c:pt>
                <c:pt idx="2203">
                  <c:v>38730</c:v>
                </c:pt>
                <c:pt idx="2204">
                  <c:v>38731</c:v>
                </c:pt>
                <c:pt idx="2205">
                  <c:v>38732</c:v>
                </c:pt>
                <c:pt idx="2206">
                  <c:v>38733</c:v>
                </c:pt>
                <c:pt idx="2207">
                  <c:v>38734</c:v>
                </c:pt>
                <c:pt idx="2208">
                  <c:v>38735</c:v>
                </c:pt>
                <c:pt idx="2209">
                  <c:v>38736</c:v>
                </c:pt>
                <c:pt idx="2210">
                  <c:v>38737</c:v>
                </c:pt>
                <c:pt idx="2211">
                  <c:v>38738</c:v>
                </c:pt>
                <c:pt idx="2212">
                  <c:v>38739</c:v>
                </c:pt>
                <c:pt idx="2213">
                  <c:v>38740</c:v>
                </c:pt>
                <c:pt idx="2214">
                  <c:v>38741</c:v>
                </c:pt>
                <c:pt idx="2215">
                  <c:v>38742</c:v>
                </c:pt>
                <c:pt idx="2216">
                  <c:v>38743</c:v>
                </c:pt>
                <c:pt idx="2217">
                  <c:v>38744</c:v>
                </c:pt>
                <c:pt idx="2218">
                  <c:v>38745</c:v>
                </c:pt>
                <c:pt idx="2219">
                  <c:v>38746</c:v>
                </c:pt>
                <c:pt idx="2220">
                  <c:v>38747</c:v>
                </c:pt>
                <c:pt idx="2221">
                  <c:v>38748</c:v>
                </c:pt>
                <c:pt idx="2222">
                  <c:v>38749</c:v>
                </c:pt>
                <c:pt idx="2223">
                  <c:v>38750</c:v>
                </c:pt>
                <c:pt idx="2224">
                  <c:v>38751</c:v>
                </c:pt>
                <c:pt idx="2225">
                  <c:v>38752</c:v>
                </c:pt>
                <c:pt idx="2226">
                  <c:v>38753</c:v>
                </c:pt>
                <c:pt idx="2227">
                  <c:v>38754</c:v>
                </c:pt>
                <c:pt idx="2228">
                  <c:v>38755</c:v>
                </c:pt>
                <c:pt idx="2229">
                  <c:v>38756</c:v>
                </c:pt>
                <c:pt idx="2230">
                  <c:v>38757</c:v>
                </c:pt>
                <c:pt idx="2231">
                  <c:v>38758</c:v>
                </c:pt>
                <c:pt idx="2232">
                  <c:v>38759</c:v>
                </c:pt>
                <c:pt idx="2233">
                  <c:v>38760</c:v>
                </c:pt>
                <c:pt idx="2234">
                  <c:v>38761</c:v>
                </c:pt>
                <c:pt idx="2235">
                  <c:v>38762</c:v>
                </c:pt>
                <c:pt idx="2236">
                  <c:v>38763</c:v>
                </c:pt>
                <c:pt idx="2237">
                  <c:v>38764</c:v>
                </c:pt>
                <c:pt idx="2238">
                  <c:v>38765</c:v>
                </c:pt>
                <c:pt idx="2239">
                  <c:v>38766</c:v>
                </c:pt>
                <c:pt idx="2240">
                  <c:v>38767</c:v>
                </c:pt>
                <c:pt idx="2241">
                  <c:v>38768</c:v>
                </c:pt>
                <c:pt idx="2242">
                  <c:v>38769</c:v>
                </c:pt>
                <c:pt idx="2243">
                  <c:v>38770</c:v>
                </c:pt>
                <c:pt idx="2244">
                  <c:v>38771</c:v>
                </c:pt>
                <c:pt idx="2245">
                  <c:v>38772</c:v>
                </c:pt>
                <c:pt idx="2246">
                  <c:v>38773</c:v>
                </c:pt>
                <c:pt idx="2247">
                  <c:v>38774</c:v>
                </c:pt>
                <c:pt idx="2248">
                  <c:v>38775</c:v>
                </c:pt>
                <c:pt idx="2249">
                  <c:v>38776</c:v>
                </c:pt>
                <c:pt idx="2250">
                  <c:v>38777</c:v>
                </c:pt>
                <c:pt idx="2251">
                  <c:v>38778</c:v>
                </c:pt>
                <c:pt idx="2252">
                  <c:v>38779</c:v>
                </c:pt>
                <c:pt idx="2253">
                  <c:v>38780</c:v>
                </c:pt>
                <c:pt idx="2254">
                  <c:v>38781</c:v>
                </c:pt>
                <c:pt idx="2255">
                  <c:v>38782</c:v>
                </c:pt>
                <c:pt idx="2256">
                  <c:v>38783</c:v>
                </c:pt>
                <c:pt idx="2257">
                  <c:v>38784</c:v>
                </c:pt>
                <c:pt idx="2258">
                  <c:v>38785</c:v>
                </c:pt>
                <c:pt idx="2259">
                  <c:v>38786</c:v>
                </c:pt>
                <c:pt idx="2260">
                  <c:v>38787</c:v>
                </c:pt>
                <c:pt idx="2261">
                  <c:v>38788</c:v>
                </c:pt>
                <c:pt idx="2262">
                  <c:v>38789</c:v>
                </c:pt>
                <c:pt idx="2263">
                  <c:v>38790</c:v>
                </c:pt>
                <c:pt idx="2264">
                  <c:v>38791</c:v>
                </c:pt>
                <c:pt idx="2265">
                  <c:v>38792</c:v>
                </c:pt>
                <c:pt idx="2266">
                  <c:v>38793</c:v>
                </c:pt>
                <c:pt idx="2267">
                  <c:v>38794</c:v>
                </c:pt>
                <c:pt idx="2268">
                  <c:v>38795</c:v>
                </c:pt>
                <c:pt idx="2269">
                  <c:v>38796</c:v>
                </c:pt>
                <c:pt idx="2270">
                  <c:v>38797</c:v>
                </c:pt>
                <c:pt idx="2271">
                  <c:v>38798</c:v>
                </c:pt>
                <c:pt idx="2272">
                  <c:v>38799</c:v>
                </c:pt>
                <c:pt idx="2273">
                  <c:v>38800</c:v>
                </c:pt>
                <c:pt idx="2274">
                  <c:v>38801</c:v>
                </c:pt>
                <c:pt idx="2275">
                  <c:v>38802</c:v>
                </c:pt>
                <c:pt idx="2276">
                  <c:v>38803</c:v>
                </c:pt>
                <c:pt idx="2277">
                  <c:v>38804</c:v>
                </c:pt>
                <c:pt idx="2278">
                  <c:v>38805</c:v>
                </c:pt>
                <c:pt idx="2279">
                  <c:v>38806</c:v>
                </c:pt>
                <c:pt idx="2280">
                  <c:v>38807</c:v>
                </c:pt>
                <c:pt idx="2281">
                  <c:v>38808</c:v>
                </c:pt>
                <c:pt idx="2282">
                  <c:v>38809</c:v>
                </c:pt>
                <c:pt idx="2283">
                  <c:v>38810</c:v>
                </c:pt>
                <c:pt idx="2284">
                  <c:v>38811</c:v>
                </c:pt>
                <c:pt idx="2285">
                  <c:v>38812</c:v>
                </c:pt>
                <c:pt idx="2286">
                  <c:v>38813</c:v>
                </c:pt>
                <c:pt idx="2287">
                  <c:v>38814</c:v>
                </c:pt>
                <c:pt idx="2288">
                  <c:v>38815</c:v>
                </c:pt>
                <c:pt idx="2289">
                  <c:v>38816</c:v>
                </c:pt>
                <c:pt idx="2290">
                  <c:v>38817</c:v>
                </c:pt>
                <c:pt idx="2291">
                  <c:v>38818</c:v>
                </c:pt>
                <c:pt idx="2292">
                  <c:v>38819</c:v>
                </c:pt>
                <c:pt idx="2293">
                  <c:v>38820</c:v>
                </c:pt>
                <c:pt idx="2294">
                  <c:v>38821</c:v>
                </c:pt>
                <c:pt idx="2295">
                  <c:v>38822</c:v>
                </c:pt>
                <c:pt idx="2296">
                  <c:v>38823</c:v>
                </c:pt>
                <c:pt idx="2297">
                  <c:v>38824</c:v>
                </c:pt>
                <c:pt idx="2298">
                  <c:v>38825</c:v>
                </c:pt>
                <c:pt idx="2299">
                  <c:v>38826</c:v>
                </c:pt>
                <c:pt idx="2300">
                  <c:v>38827</c:v>
                </c:pt>
                <c:pt idx="2301">
                  <c:v>38828</c:v>
                </c:pt>
                <c:pt idx="2302">
                  <c:v>38829</c:v>
                </c:pt>
                <c:pt idx="2303">
                  <c:v>38830</c:v>
                </c:pt>
                <c:pt idx="2304">
                  <c:v>38831</c:v>
                </c:pt>
                <c:pt idx="2305">
                  <c:v>38832</c:v>
                </c:pt>
                <c:pt idx="2306">
                  <c:v>38833</c:v>
                </c:pt>
                <c:pt idx="2307">
                  <c:v>38834</c:v>
                </c:pt>
                <c:pt idx="2308">
                  <c:v>38835</c:v>
                </c:pt>
                <c:pt idx="2309">
                  <c:v>38836</c:v>
                </c:pt>
                <c:pt idx="2310">
                  <c:v>38837</c:v>
                </c:pt>
                <c:pt idx="2311">
                  <c:v>38838</c:v>
                </c:pt>
                <c:pt idx="2312">
                  <c:v>38839</c:v>
                </c:pt>
                <c:pt idx="2313">
                  <c:v>38840</c:v>
                </c:pt>
                <c:pt idx="2314">
                  <c:v>38841</c:v>
                </c:pt>
                <c:pt idx="2315">
                  <c:v>38842</c:v>
                </c:pt>
                <c:pt idx="2316">
                  <c:v>38843</c:v>
                </c:pt>
                <c:pt idx="2317">
                  <c:v>38844</c:v>
                </c:pt>
                <c:pt idx="2318">
                  <c:v>38845</c:v>
                </c:pt>
                <c:pt idx="2319">
                  <c:v>38846</c:v>
                </c:pt>
                <c:pt idx="2320">
                  <c:v>38847</c:v>
                </c:pt>
                <c:pt idx="2321">
                  <c:v>38848</c:v>
                </c:pt>
                <c:pt idx="2322">
                  <c:v>38849</c:v>
                </c:pt>
                <c:pt idx="2323">
                  <c:v>38850</c:v>
                </c:pt>
                <c:pt idx="2324">
                  <c:v>38851</c:v>
                </c:pt>
                <c:pt idx="2325">
                  <c:v>38852</c:v>
                </c:pt>
                <c:pt idx="2326">
                  <c:v>38853</c:v>
                </c:pt>
                <c:pt idx="2327">
                  <c:v>38854</c:v>
                </c:pt>
                <c:pt idx="2328">
                  <c:v>38855</c:v>
                </c:pt>
                <c:pt idx="2329">
                  <c:v>38856</c:v>
                </c:pt>
                <c:pt idx="2330">
                  <c:v>38857</c:v>
                </c:pt>
                <c:pt idx="2331">
                  <c:v>38858</c:v>
                </c:pt>
                <c:pt idx="2332">
                  <c:v>38859</c:v>
                </c:pt>
                <c:pt idx="2333">
                  <c:v>38860</c:v>
                </c:pt>
                <c:pt idx="2334">
                  <c:v>38861</c:v>
                </c:pt>
                <c:pt idx="2335">
                  <c:v>38862</c:v>
                </c:pt>
                <c:pt idx="2336">
                  <c:v>38863</c:v>
                </c:pt>
                <c:pt idx="2337">
                  <c:v>38864</c:v>
                </c:pt>
                <c:pt idx="2338">
                  <c:v>38865</c:v>
                </c:pt>
                <c:pt idx="2339">
                  <c:v>38866</c:v>
                </c:pt>
                <c:pt idx="2340">
                  <c:v>38867</c:v>
                </c:pt>
                <c:pt idx="2341">
                  <c:v>38868</c:v>
                </c:pt>
                <c:pt idx="2342">
                  <c:v>38869</c:v>
                </c:pt>
                <c:pt idx="2343">
                  <c:v>38870</c:v>
                </c:pt>
                <c:pt idx="2344">
                  <c:v>38871</c:v>
                </c:pt>
                <c:pt idx="2345">
                  <c:v>38872</c:v>
                </c:pt>
                <c:pt idx="2346">
                  <c:v>38873</c:v>
                </c:pt>
                <c:pt idx="2347">
                  <c:v>38874</c:v>
                </c:pt>
                <c:pt idx="2348">
                  <c:v>38875</c:v>
                </c:pt>
                <c:pt idx="2349">
                  <c:v>38876</c:v>
                </c:pt>
                <c:pt idx="2350">
                  <c:v>38877</c:v>
                </c:pt>
                <c:pt idx="2351">
                  <c:v>38878</c:v>
                </c:pt>
                <c:pt idx="2352">
                  <c:v>38879</c:v>
                </c:pt>
                <c:pt idx="2353">
                  <c:v>38880</c:v>
                </c:pt>
                <c:pt idx="2354">
                  <c:v>38881</c:v>
                </c:pt>
                <c:pt idx="2355">
                  <c:v>38882</c:v>
                </c:pt>
                <c:pt idx="2356">
                  <c:v>38883</c:v>
                </c:pt>
                <c:pt idx="2357">
                  <c:v>38884</c:v>
                </c:pt>
                <c:pt idx="2358">
                  <c:v>38885</c:v>
                </c:pt>
                <c:pt idx="2359">
                  <c:v>38886</c:v>
                </c:pt>
                <c:pt idx="2360">
                  <c:v>38887</c:v>
                </c:pt>
                <c:pt idx="2361">
                  <c:v>38888</c:v>
                </c:pt>
                <c:pt idx="2362">
                  <c:v>38889</c:v>
                </c:pt>
                <c:pt idx="2363">
                  <c:v>38890</c:v>
                </c:pt>
                <c:pt idx="2364">
                  <c:v>38891</c:v>
                </c:pt>
                <c:pt idx="2365">
                  <c:v>38892</c:v>
                </c:pt>
                <c:pt idx="2366">
                  <c:v>38893</c:v>
                </c:pt>
                <c:pt idx="2367">
                  <c:v>38894</c:v>
                </c:pt>
                <c:pt idx="2368">
                  <c:v>38895</c:v>
                </c:pt>
                <c:pt idx="2369">
                  <c:v>38896</c:v>
                </c:pt>
                <c:pt idx="2370">
                  <c:v>38897</c:v>
                </c:pt>
                <c:pt idx="2371">
                  <c:v>38898</c:v>
                </c:pt>
                <c:pt idx="2372">
                  <c:v>38899</c:v>
                </c:pt>
                <c:pt idx="2373">
                  <c:v>38900</c:v>
                </c:pt>
                <c:pt idx="2374">
                  <c:v>38901</c:v>
                </c:pt>
                <c:pt idx="2375">
                  <c:v>38902</c:v>
                </c:pt>
                <c:pt idx="2376">
                  <c:v>38903</c:v>
                </c:pt>
                <c:pt idx="2377">
                  <c:v>38904</c:v>
                </c:pt>
                <c:pt idx="2378">
                  <c:v>38905</c:v>
                </c:pt>
                <c:pt idx="2379">
                  <c:v>38906</c:v>
                </c:pt>
                <c:pt idx="2380">
                  <c:v>38907</c:v>
                </c:pt>
                <c:pt idx="2381">
                  <c:v>38908</c:v>
                </c:pt>
                <c:pt idx="2382">
                  <c:v>38909</c:v>
                </c:pt>
                <c:pt idx="2383">
                  <c:v>38910</c:v>
                </c:pt>
                <c:pt idx="2384">
                  <c:v>38911</c:v>
                </c:pt>
                <c:pt idx="2385">
                  <c:v>38912</c:v>
                </c:pt>
                <c:pt idx="2386">
                  <c:v>38913</c:v>
                </c:pt>
                <c:pt idx="2387">
                  <c:v>38914</c:v>
                </c:pt>
                <c:pt idx="2388">
                  <c:v>38915</c:v>
                </c:pt>
                <c:pt idx="2389">
                  <c:v>38916</c:v>
                </c:pt>
                <c:pt idx="2390">
                  <c:v>38917</c:v>
                </c:pt>
                <c:pt idx="2391">
                  <c:v>38918</c:v>
                </c:pt>
                <c:pt idx="2392">
                  <c:v>38919</c:v>
                </c:pt>
                <c:pt idx="2393">
                  <c:v>38920</c:v>
                </c:pt>
                <c:pt idx="2394">
                  <c:v>38921</c:v>
                </c:pt>
                <c:pt idx="2395">
                  <c:v>38922</c:v>
                </c:pt>
                <c:pt idx="2396">
                  <c:v>38923</c:v>
                </c:pt>
                <c:pt idx="2397">
                  <c:v>38924</c:v>
                </c:pt>
                <c:pt idx="2398">
                  <c:v>38925</c:v>
                </c:pt>
                <c:pt idx="2399">
                  <c:v>38926</c:v>
                </c:pt>
                <c:pt idx="2400">
                  <c:v>38927</c:v>
                </c:pt>
                <c:pt idx="2401">
                  <c:v>38928</c:v>
                </c:pt>
                <c:pt idx="2402">
                  <c:v>38929</c:v>
                </c:pt>
                <c:pt idx="2403">
                  <c:v>38930</c:v>
                </c:pt>
                <c:pt idx="2404">
                  <c:v>38931</c:v>
                </c:pt>
                <c:pt idx="2405">
                  <c:v>38932</c:v>
                </c:pt>
                <c:pt idx="2406">
                  <c:v>38933</c:v>
                </c:pt>
                <c:pt idx="2407">
                  <c:v>38934</c:v>
                </c:pt>
                <c:pt idx="2408">
                  <c:v>38935</c:v>
                </c:pt>
                <c:pt idx="2409">
                  <c:v>38936</c:v>
                </c:pt>
                <c:pt idx="2410">
                  <c:v>38937</c:v>
                </c:pt>
                <c:pt idx="2411">
                  <c:v>38938</c:v>
                </c:pt>
                <c:pt idx="2412">
                  <c:v>38939</c:v>
                </c:pt>
                <c:pt idx="2413">
                  <c:v>38940</c:v>
                </c:pt>
                <c:pt idx="2414">
                  <c:v>38941</c:v>
                </c:pt>
                <c:pt idx="2415">
                  <c:v>38942</c:v>
                </c:pt>
                <c:pt idx="2416">
                  <c:v>38943</c:v>
                </c:pt>
                <c:pt idx="2417">
                  <c:v>38944</c:v>
                </c:pt>
                <c:pt idx="2418">
                  <c:v>38945</c:v>
                </c:pt>
                <c:pt idx="2419">
                  <c:v>38946</c:v>
                </c:pt>
                <c:pt idx="2420">
                  <c:v>38947</c:v>
                </c:pt>
                <c:pt idx="2421">
                  <c:v>38948</c:v>
                </c:pt>
                <c:pt idx="2422">
                  <c:v>38949</c:v>
                </c:pt>
                <c:pt idx="2423">
                  <c:v>38950</c:v>
                </c:pt>
                <c:pt idx="2424">
                  <c:v>38951</c:v>
                </c:pt>
                <c:pt idx="2425">
                  <c:v>38952</c:v>
                </c:pt>
                <c:pt idx="2426">
                  <c:v>38953</c:v>
                </c:pt>
                <c:pt idx="2427">
                  <c:v>38954</c:v>
                </c:pt>
                <c:pt idx="2428">
                  <c:v>38955</c:v>
                </c:pt>
                <c:pt idx="2429">
                  <c:v>38956</c:v>
                </c:pt>
                <c:pt idx="2430">
                  <c:v>38957</c:v>
                </c:pt>
                <c:pt idx="2431">
                  <c:v>38958</c:v>
                </c:pt>
                <c:pt idx="2432">
                  <c:v>38959</c:v>
                </c:pt>
                <c:pt idx="2433">
                  <c:v>38960</c:v>
                </c:pt>
                <c:pt idx="2434">
                  <c:v>38961</c:v>
                </c:pt>
                <c:pt idx="2435">
                  <c:v>38962</c:v>
                </c:pt>
                <c:pt idx="2436">
                  <c:v>38963</c:v>
                </c:pt>
                <c:pt idx="2437">
                  <c:v>38964</c:v>
                </c:pt>
                <c:pt idx="2438">
                  <c:v>38965</c:v>
                </c:pt>
                <c:pt idx="2439">
                  <c:v>38966</c:v>
                </c:pt>
                <c:pt idx="2440">
                  <c:v>38967</c:v>
                </c:pt>
                <c:pt idx="2441">
                  <c:v>38968</c:v>
                </c:pt>
                <c:pt idx="2442">
                  <c:v>38969</c:v>
                </c:pt>
                <c:pt idx="2443">
                  <c:v>38970</c:v>
                </c:pt>
                <c:pt idx="2444">
                  <c:v>38971</c:v>
                </c:pt>
                <c:pt idx="2445">
                  <c:v>38972</c:v>
                </c:pt>
                <c:pt idx="2446">
                  <c:v>38973</c:v>
                </c:pt>
                <c:pt idx="2447">
                  <c:v>38974</c:v>
                </c:pt>
                <c:pt idx="2448">
                  <c:v>38975</c:v>
                </c:pt>
                <c:pt idx="2449">
                  <c:v>38976</c:v>
                </c:pt>
                <c:pt idx="2450">
                  <c:v>38977</c:v>
                </c:pt>
                <c:pt idx="2451">
                  <c:v>38978</c:v>
                </c:pt>
                <c:pt idx="2452">
                  <c:v>38979</c:v>
                </c:pt>
                <c:pt idx="2453">
                  <c:v>38980</c:v>
                </c:pt>
                <c:pt idx="2454">
                  <c:v>38981</c:v>
                </c:pt>
                <c:pt idx="2455">
                  <c:v>38982</c:v>
                </c:pt>
                <c:pt idx="2456">
                  <c:v>38983</c:v>
                </c:pt>
                <c:pt idx="2457">
                  <c:v>38984</c:v>
                </c:pt>
                <c:pt idx="2458">
                  <c:v>38985</c:v>
                </c:pt>
                <c:pt idx="2459">
                  <c:v>38986</c:v>
                </c:pt>
                <c:pt idx="2460">
                  <c:v>38987</c:v>
                </c:pt>
                <c:pt idx="2461">
                  <c:v>38988</c:v>
                </c:pt>
                <c:pt idx="2462">
                  <c:v>38989</c:v>
                </c:pt>
                <c:pt idx="2463">
                  <c:v>38990</c:v>
                </c:pt>
                <c:pt idx="2464">
                  <c:v>38991</c:v>
                </c:pt>
                <c:pt idx="2465">
                  <c:v>38992</c:v>
                </c:pt>
                <c:pt idx="2466">
                  <c:v>38993</c:v>
                </c:pt>
                <c:pt idx="2467">
                  <c:v>38994</c:v>
                </c:pt>
                <c:pt idx="2468">
                  <c:v>38995</c:v>
                </c:pt>
                <c:pt idx="2469">
                  <c:v>38996</c:v>
                </c:pt>
                <c:pt idx="2470">
                  <c:v>38997</c:v>
                </c:pt>
                <c:pt idx="2471">
                  <c:v>38998</c:v>
                </c:pt>
                <c:pt idx="2472">
                  <c:v>38999</c:v>
                </c:pt>
                <c:pt idx="2473">
                  <c:v>39000</c:v>
                </c:pt>
                <c:pt idx="2474">
                  <c:v>39001</c:v>
                </c:pt>
                <c:pt idx="2475">
                  <c:v>39002</c:v>
                </c:pt>
                <c:pt idx="2476">
                  <c:v>39003</c:v>
                </c:pt>
                <c:pt idx="2477">
                  <c:v>39004</c:v>
                </c:pt>
                <c:pt idx="2478">
                  <c:v>39005</c:v>
                </c:pt>
                <c:pt idx="2479">
                  <c:v>39006</c:v>
                </c:pt>
                <c:pt idx="2480">
                  <c:v>39007</c:v>
                </c:pt>
                <c:pt idx="2481">
                  <c:v>39008</c:v>
                </c:pt>
                <c:pt idx="2482">
                  <c:v>39009</c:v>
                </c:pt>
                <c:pt idx="2483">
                  <c:v>39010</c:v>
                </c:pt>
                <c:pt idx="2484">
                  <c:v>39011</c:v>
                </c:pt>
                <c:pt idx="2485">
                  <c:v>39012</c:v>
                </c:pt>
                <c:pt idx="2486">
                  <c:v>39013</c:v>
                </c:pt>
                <c:pt idx="2487">
                  <c:v>39014</c:v>
                </c:pt>
                <c:pt idx="2488">
                  <c:v>39015</c:v>
                </c:pt>
                <c:pt idx="2489">
                  <c:v>39016</c:v>
                </c:pt>
                <c:pt idx="2490">
                  <c:v>39017</c:v>
                </c:pt>
                <c:pt idx="2491">
                  <c:v>39018</c:v>
                </c:pt>
                <c:pt idx="2492">
                  <c:v>39019</c:v>
                </c:pt>
                <c:pt idx="2493">
                  <c:v>39020</c:v>
                </c:pt>
                <c:pt idx="2494">
                  <c:v>39021</c:v>
                </c:pt>
                <c:pt idx="2495">
                  <c:v>39022</c:v>
                </c:pt>
                <c:pt idx="2496">
                  <c:v>39023</c:v>
                </c:pt>
                <c:pt idx="2497">
                  <c:v>39024</c:v>
                </c:pt>
                <c:pt idx="2498">
                  <c:v>39025</c:v>
                </c:pt>
                <c:pt idx="2499">
                  <c:v>39026</c:v>
                </c:pt>
                <c:pt idx="2500">
                  <c:v>39027</c:v>
                </c:pt>
                <c:pt idx="2501">
                  <c:v>39028</c:v>
                </c:pt>
                <c:pt idx="2502">
                  <c:v>39029</c:v>
                </c:pt>
                <c:pt idx="2503">
                  <c:v>39030</c:v>
                </c:pt>
                <c:pt idx="2504">
                  <c:v>39031</c:v>
                </c:pt>
                <c:pt idx="2505">
                  <c:v>39032</c:v>
                </c:pt>
                <c:pt idx="2506">
                  <c:v>39033</c:v>
                </c:pt>
                <c:pt idx="2507">
                  <c:v>39034</c:v>
                </c:pt>
                <c:pt idx="2508">
                  <c:v>39035</c:v>
                </c:pt>
                <c:pt idx="2509">
                  <c:v>39036</c:v>
                </c:pt>
                <c:pt idx="2510">
                  <c:v>39037</c:v>
                </c:pt>
                <c:pt idx="2511">
                  <c:v>39038</c:v>
                </c:pt>
                <c:pt idx="2512">
                  <c:v>39039</c:v>
                </c:pt>
                <c:pt idx="2513">
                  <c:v>39040</c:v>
                </c:pt>
                <c:pt idx="2514">
                  <c:v>39041</c:v>
                </c:pt>
                <c:pt idx="2515">
                  <c:v>39042</c:v>
                </c:pt>
                <c:pt idx="2516">
                  <c:v>39043</c:v>
                </c:pt>
                <c:pt idx="2517">
                  <c:v>39044</c:v>
                </c:pt>
                <c:pt idx="2518">
                  <c:v>39045</c:v>
                </c:pt>
                <c:pt idx="2519">
                  <c:v>39046</c:v>
                </c:pt>
                <c:pt idx="2520">
                  <c:v>39047</c:v>
                </c:pt>
                <c:pt idx="2521">
                  <c:v>39048</c:v>
                </c:pt>
                <c:pt idx="2522">
                  <c:v>39049</c:v>
                </c:pt>
                <c:pt idx="2523">
                  <c:v>39050</c:v>
                </c:pt>
                <c:pt idx="2524">
                  <c:v>39051</c:v>
                </c:pt>
                <c:pt idx="2525">
                  <c:v>39052</c:v>
                </c:pt>
                <c:pt idx="2526">
                  <c:v>39053</c:v>
                </c:pt>
                <c:pt idx="2527">
                  <c:v>39054</c:v>
                </c:pt>
                <c:pt idx="2528">
                  <c:v>39055</c:v>
                </c:pt>
                <c:pt idx="2529">
                  <c:v>39056</c:v>
                </c:pt>
                <c:pt idx="2530">
                  <c:v>39057</c:v>
                </c:pt>
                <c:pt idx="2531">
                  <c:v>39058</c:v>
                </c:pt>
                <c:pt idx="2532">
                  <c:v>39059</c:v>
                </c:pt>
                <c:pt idx="2533">
                  <c:v>39060</c:v>
                </c:pt>
                <c:pt idx="2534">
                  <c:v>39061</c:v>
                </c:pt>
                <c:pt idx="2535">
                  <c:v>39062</c:v>
                </c:pt>
                <c:pt idx="2536">
                  <c:v>39063</c:v>
                </c:pt>
                <c:pt idx="2537">
                  <c:v>39064</c:v>
                </c:pt>
                <c:pt idx="2538">
                  <c:v>39065</c:v>
                </c:pt>
                <c:pt idx="2539">
                  <c:v>39066</c:v>
                </c:pt>
                <c:pt idx="2540">
                  <c:v>39067</c:v>
                </c:pt>
                <c:pt idx="2541">
                  <c:v>39068</c:v>
                </c:pt>
                <c:pt idx="2542">
                  <c:v>39069</c:v>
                </c:pt>
                <c:pt idx="2543">
                  <c:v>39070</c:v>
                </c:pt>
                <c:pt idx="2544">
                  <c:v>39071</c:v>
                </c:pt>
                <c:pt idx="2545">
                  <c:v>39072</c:v>
                </c:pt>
                <c:pt idx="2546">
                  <c:v>39073</c:v>
                </c:pt>
                <c:pt idx="2547">
                  <c:v>39074</c:v>
                </c:pt>
                <c:pt idx="2548">
                  <c:v>39075</c:v>
                </c:pt>
                <c:pt idx="2549">
                  <c:v>39076</c:v>
                </c:pt>
                <c:pt idx="2550">
                  <c:v>39077</c:v>
                </c:pt>
                <c:pt idx="2551">
                  <c:v>39078</c:v>
                </c:pt>
                <c:pt idx="2552">
                  <c:v>39079</c:v>
                </c:pt>
                <c:pt idx="2553">
                  <c:v>39080</c:v>
                </c:pt>
                <c:pt idx="2554">
                  <c:v>39081</c:v>
                </c:pt>
                <c:pt idx="2555">
                  <c:v>39082</c:v>
                </c:pt>
                <c:pt idx="2556">
                  <c:v>39083</c:v>
                </c:pt>
                <c:pt idx="2557">
                  <c:v>39084</c:v>
                </c:pt>
                <c:pt idx="2558">
                  <c:v>39085</c:v>
                </c:pt>
                <c:pt idx="2559">
                  <c:v>39086</c:v>
                </c:pt>
                <c:pt idx="2560">
                  <c:v>39087</c:v>
                </c:pt>
                <c:pt idx="2561">
                  <c:v>39088</c:v>
                </c:pt>
                <c:pt idx="2562">
                  <c:v>39089</c:v>
                </c:pt>
                <c:pt idx="2563">
                  <c:v>39090</c:v>
                </c:pt>
                <c:pt idx="2564">
                  <c:v>39091</c:v>
                </c:pt>
                <c:pt idx="2565">
                  <c:v>39092</c:v>
                </c:pt>
                <c:pt idx="2566">
                  <c:v>39093</c:v>
                </c:pt>
                <c:pt idx="2567">
                  <c:v>39094</c:v>
                </c:pt>
                <c:pt idx="2568">
                  <c:v>39095</c:v>
                </c:pt>
                <c:pt idx="2569">
                  <c:v>39096</c:v>
                </c:pt>
                <c:pt idx="2570">
                  <c:v>39097</c:v>
                </c:pt>
                <c:pt idx="2571">
                  <c:v>39098</c:v>
                </c:pt>
                <c:pt idx="2572">
                  <c:v>39099</c:v>
                </c:pt>
                <c:pt idx="2573">
                  <c:v>39100</c:v>
                </c:pt>
                <c:pt idx="2574">
                  <c:v>39101</c:v>
                </c:pt>
                <c:pt idx="2575">
                  <c:v>39102</c:v>
                </c:pt>
                <c:pt idx="2576">
                  <c:v>39103</c:v>
                </c:pt>
                <c:pt idx="2577">
                  <c:v>39104</c:v>
                </c:pt>
                <c:pt idx="2578">
                  <c:v>39105</c:v>
                </c:pt>
                <c:pt idx="2579">
                  <c:v>39106</c:v>
                </c:pt>
                <c:pt idx="2580">
                  <c:v>39107</c:v>
                </c:pt>
                <c:pt idx="2581">
                  <c:v>39108</c:v>
                </c:pt>
                <c:pt idx="2582">
                  <c:v>39109</c:v>
                </c:pt>
                <c:pt idx="2583">
                  <c:v>39110</c:v>
                </c:pt>
                <c:pt idx="2584">
                  <c:v>39111</c:v>
                </c:pt>
                <c:pt idx="2585">
                  <c:v>39112</c:v>
                </c:pt>
                <c:pt idx="2586">
                  <c:v>39113</c:v>
                </c:pt>
                <c:pt idx="2587">
                  <c:v>39114</c:v>
                </c:pt>
                <c:pt idx="2588">
                  <c:v>39115</c:v>
                </c:pt>
                <c:pt idx="2589">
                  <c:v>39116</c:v>
                </c:pt>
                <c:pt idx="2590">
                  <c:v>39117</c:v>
                </c:pt>
                <c:pt idx="2591">
                  <c:v>39118</c:v>
                </c:pt>
                <c:pt idx="2592">
                  <c:v>39119</c:v>
                </c:pt>
                <c:pt idx="2593">
                  <c:v>39120</c:v>
                </c:pt>
                <c:pt idx="2594">
                  <c:v>39121</c:v>
                </c:pt>
                <c:pt idx="2595">
                  <c:v>39122</c:v>
                </c:pt>
                <c:pt idx="2596">
                  <c:v>39123</c:v>
                </c:pt>
                <c:pt idx="2597">
                  <c:v>39124</c:v>
                </c:pt>
                <c:pt idx="2598">
                  <c:v>39125</c:v>
                </c:pt>
                <c:pt idx="2599">
                  <c:v>39126</c:v>
                </c:pt>
                <c:pt idx="2600">
                  <c:v>39127</c:v>
                </c:pt>
                <c:pt idx="2601">
                  <c:v>39128</c:v>
                </c:pt>
                <c:pt idx="2602">
                  <c:v>39129</c:v>
                </c:pt>
                <c:pt idx="2603">
                  <c:v>39130</c:v>
                </c:pt>
                <c:pt idx="2604">
                  <c:v>39131</c:v>
                </c:pt>
                <c:pt idx="2605">
                  <c:v>39132</c:v>
                </c:pt>
                <c:pt idx="2606">
                  <c:v>39133</c:v>
                </c:pt>
                <c:pt idx="2607">
                  <c:v>39134</c:v>
                </c:pt>
                <c:pt idx="2608">
                  <c:v>39135</c:v>
                </c:pt>
                <c:pt idx="2609">
                  <c:v>39136</c:v>
                </c:pt>
                <c:pt idx="2610">
                  <c:v>39137</c:v>
                </c:pt>
                <c:pt idx="2611">
                  <c:v>39138</c:v>
                </c:pt>
                <c:pt idx="2612">
                  <c:v>39139</c:v>
                </c:pt>
                <c:pt idx="2613">
                  <c:v>39140</c:v>
                </c:pt>
                <c:pt idx="2614">
                  <c:v>39141</c:v>
                </c:pt>
                <c:pt idx="2615">
                  <c:v>39142</c:v>
                </c:pt>
                <c:pt idx="2616">
                  <c:v>39143</c:v>
                </c:pt>
                <c:pt idx="2617">
                  <c:v>39144</c:v>
                </c:pt>
                <c:pt idx="2618">
                  <c:v>39145</c:v>
                </c:pt>
                <c:pt idx="2619">
                  <c:v>39146</c:v>
                </c:pt>
                <c:pt idx="2620">
                  <c:v>39147</c:v>
                </c:pt>
                <c:pt idx="2621">
                  <c:v>39148</c:v>
                </c:pt>
                <c:pt idx="2622">
                  <c:v>39149</c:v>
                </c:pt>
                <c:pt idx="2623">
                  <c:v>39150</c:v>
                </c:pt>
                <c:pt idx="2624">
                  <c:v>39151</c:v>
                </c:pt>
                <c:pt idx="2625">
                  <c:v>39152</c:v>
                </c:pt>
                <c:pt idx="2626">
                  <c:v>39153</c:v>
                </c:pt>
                <c:pt idx="2627">
                  <c:v>39154</c:v>
                </c:pt>
                <c:pt idx="2628">
                  <c:v>39155</c:v>
                </c:pt>
                <c:pt idx="2629">
                  <c:v>39156</c:v>
                </c:pt>
                <c:pt idx="2630">
                  <c:v>39157</c:v>
                </c:pt>
                <c:pt idx="2631">
                  <c:v>39158</c:v>
                </c:pt>
                <c:pt idx="2632">
                  <c:v>39159</c:v>
                </c:pt>
                <c:pt idx="2633">
                  <c:v>39160</c:v>
                </c:pt>
                <c:pt idx="2634">
                  <c:v>39161</c:v>
                </c:pt>
                <c:pt idx="2635">
                  <c:v>39162</c:v>
                </c:pt>
                <c:pt idx="2636">
                  <c:v>39163</c:v>
                </c:pt>
                <c:pt idx="2637">
                  <c:v>39164</c:v>
                </c:pt>
                <c:pt idx="2638">
                  <c:v>39165</c:v>
                </c:pt>
                <c:pt idx="2639">
                  <c:v>39166</c:v>
                </c:pt>
                <c:pt idx="2640">
                  <c:v>39167</c:v>
                </c:pt>
                <c:pt idx="2641">
                  <c:v>39168</c:v>
                </c:pt>
                <c:pt idx="2642">
                  <c:v>39169</c:v>
                </c:pt>
                <c:pt idx="2643">
                  <c:v>39170</c:v>
                </c:pt>
                <c:pt idx="2644">
                  <c:v>39171</c:v>
                </c:pt>
                <c:pt idx="2645">
                  <c:v>39172</c:v>
                </c:pt>
                <c:pt idx="2646">
                  <c:v>39173</c:v>
                </c:pt>
                <c:pt idx="2647">
                  <c:v>39174</c:v>
                </c:pt>
                <c:pt idx="2648">
                  <c:v>39175</c:v>
                </c:pt>
                <c:pt idx="2649">
                  <c:v>39176</c:v>
                </c:pt>
                <c:pt idx="2650">
                  <c:v>39177</c:v>
                </c:pt>
                <c:pt idx="2651">
                  <c:v>39178</c:v>
                </c:pt>
                <c:pt idx="2652">
                  <c:v>39179</c:v>
                </c:pt>
                <c:pt idx="2653">
                  <c:v>39180</c:v>
                </c:pt>
                <c:pt idx="2654">
                  <c:v>39181</c:v>
                </c:pt>
                <c:pt idx="2655">
                  <c:v>39182</c:v>
                </c:pt>
                <c:pt idx="2656">
                  <c:v>39183</c:v>
                </c:pt>
                <c:pt idx="2657">
                  <c:v>39184</c:v>
                </c:pt>
                <c:pt idx="2658">
                  <c:v>39185</c:v>
                </c:pt>
                <c:pt idx="2659">
                  <c:v>39186</c:v>
                </c:pt>
                <c:pt idx="2660">
                  <c:v>39187</c:v>
                </c:pt>
                <c:pt idx="2661">
                  <c:v>39188</c:v>
                </c:pt>
                <c:pt idx="2662">
                  <c:v>39189</c:v>
                </c:pt>
                <c:pt idx="2663">
                  <c:v>39190</c:v>
                </c:pt>
                <c:pt idx="2664">
                  <c:v>39191</c:v>
                </c:pt>
                <c:pt idx="2665">
                  <c:v>39192</c:v>
                </c:pt>
                <c:pt idx="2666">
                  <c:v>39193</c:v>
                </c:pt>
                <c:pt idx="2667">
                  <c:v>39194</c:v>
                </c:pt>
                <c:pt idx="2668">
                  <c:v>39195</c:v>
                </c:pt>
                <c:pt idx="2669">
                  <c:v>39196</c:v>
                </c:pt>
                <c:pt idx="2670">
                  <c:v>39197</c:v>
                </c:pt>
                <c:pt idx="2671">
                  <c:v>39198</c:v>
                </c:pt>
                <c:pt idx="2672">
                  <c:v>39199</c:v>
                </c:pt>
                <c:pt idx="2673">
                  <c:v>39200</c:v>
                </c:pt>
                <c:pt idx="2674">
                  <c:v>39201</c:v>
                </c:pt>
                <c:pt idx="2675">
                  <c:v>39202</c:v>
                </c:pt>
                <c:pt idx="2676">
                  <c:v>39203</c:v>
                </c:pt>
                <c:pt idx="2677">
                  <c:v>39204</c:v>
                </c:pt>
                <c:pt idx="2678">
                  <c:v>39205</c:v>
                </c:pt>
                <c:pt idx="2679">
                  <c:v>39206</c:v>
                </c:pt>
                <c:pt idx="2680">
                  <c:v>39207</c:v>
                </c:pt>
                <c:pt idx="2681">
                  <c:v>39208</c:v>
                </c:pt>
                <c:pt idx="2682">
                  <c:v>39209</c:v>
                </c:pt>
                <c:pt idx="2683">
                  <c:v>39210</c:v>
                </c:pt>
                <c:pt idx="2684">
                  <c:v>39211</c:v>
                </c:pt>
                <c:pt idx="2685">
                  <c:v>39212</c:v>
                </c:pt>
                <c:pt idx="2686">
                  <c:v>39213</c:v>
                </c:pt>
                <c:pt idx="2687">
                  <c:v>39214</c:v>
                </c:pt>
                <c:pt idx="2688">
                  <c:v>39215</c:v>
                </c:pt>
                <c:pt idx="2689">
                  <c:v>39216</c:v>
                </c:pt>
                <c:pt idx="2690">
                  <c:v>39217</c:v>
                </c:pt>
                <c:pt idx="2691">
                  <c:v>39218</c:v>
                </c:pt>
                <c:pt idx="2692">
                  <c:v>39219</c:v>
                </c:pt>
                <c:pt idx="2693">
                  <c:v>39220</c:v>
                </c:pt>
                <c:pt idx="2694">
                  <c:v>39221</c:v>
                </c:pt>
                <c:pt idx="2695">
                  <c:v>39222</c:v>
                </c:pt>
                <c:pt idx="2696">
                  <c:v>39223</c:v>
                </c:pt>
                <c:pt idx="2697">
                  <c:v>39224</c:v>
                </c:pt>
                <c:pt idx="2698">
                  <c:v>39225</c:v>
                </c:pt>
                <c:pt idx="2699">
                  <c:v>39226</c:v>
                </c:pt>
                <c:pt idx="2700">
                  <c:v>39227</c:v>
                </c:pt>
                <c:pt idx="2701">
                  <c:v>39228</c:v>
                </c:pt>
                <c:pt idx="2702">
                  <c:v>39229</c:v>
                </c:pt>
                <c:pt idx="2703">
                  <c:v>39230</c:v>
                </c:pt>
                <c:pt idx="2704">
                  <c:v>39231</c:v>
                </c:pt>
                <c:pt idx="2705">
                  <c:v>39232</c:v>
                </c:pt>
                <c:pt idx="2706">
                  <c:v>39233</c:v>
                </c:pt>
                <c:pt idx="2707">
                  <c:v>39234</c:v>
                </c:pt>
                <c:pt idx="2708">
                  <c:v>39235</c:v>
                </c:pt>
                <c:pt idx="2709">
                  <c:v>39236</c:v>
                </c:pt>
                <c:pt idx="2710">
                  <c:v>39237</c:v>
                </c:pt>
                <c:pt idx="2711">
                  <c:v>39238</c:v>
                </c:pt>
                <c:pt idx="2712">
                  <c:v>39239</c:v>
                </c:pt>
                <c:pt idx="2713">
                  <c:v>39240</c:v>
                </c:pt>
                <c:pt idx="2714">
                  <c:v>39241</c:v>
                </c:pt>
                <c:pt idx="2715">
                  <c:v>39242</c:v>
                </c:pt>
                <c:pt idx="2716">
                  <c:v>39243</c:v>
                </c:pt>
                <c:pt idx="2717">
                  <c:v>39244</c:v>
                </c:pt>
                <c:pt idx="2718">
                  <c:v>39245</c:v>
                </c:pt>
                <c:pt idx="2719">
                  <c:v>39246</c:v>
                </c:pt>
                <c:pt idx="2720">
                  <c:v>39247</c:v>
                </c:pt>
                <c:pt idx="2721">
                  <c:v>39248</c:v>
                </c:pt>
                <c:pt idx="2722">
                  <c:v>39249</c:v>
                </c:pt>
                <c:pt idx="2723">
                  <c:v>39250</c:v>
                </c:pt>
                <c:pt idx="2724">
                  <c:v>39251</c:v>
                </c:pt>
                <c:pt idx="2725">
                  <c:v>39252</c:v>
                </c:pt>
                <c:pt idx="2726">
                  <c:v>39253</c:v>
                </c:pt>
                <c:pt idx="2727">
                  <c:v>39254</c:v>
                </c:pt>
                <c:pt idx="2728">
                  <c:v>39255</c:v>
                </c:pt>
                <c:pt idx="2729">
                  <c:v>39256</c:v>
                </c:pt>
                <c:pt idx="2730">
                  <c:v>39257</c:v>
                </c:pt>
                <c:pt idx="2731">
                  <c:v>39258</c:v>
                </c:pt>
                <c:pt idx="2732">
                  <c:v>39259</c:v>
                </c:pt>
                <c:pt idx="2733">
                  <c:v>39260</c:v>
                </c:pt>
                <c:pt idx="2734">
                  <c:v>39261</c:v>
                </c:pt>
                <c:pt idx="2735">
                  <c:v>39262</c:v>
                </c:pt>
                <c:pt idx="2736">
                  <c:v>39263</c:v>
                </c:pt>
                <c:pt idx="2737">
                  <c:v>39264</c:v>
                </c:pt>
                <c:pt idx="2738">
                  <c:v>39265</c:v>
                </c:pt>
                <c:pt idx="2739">
                  <c:v>39266</c:v>
                </c:pt>
                <c:pt idx="2740">
                  <c:v>39267</c:v>
                </c:pt>
                <c:pt idx="2741">
                  <c:v>39268</c:v>
                </c:pt>
                <c:pt idx="2742">
                  <c:v>39269</c:v>
                </c:pt>
                <c:pt idx="2743">
                  <c:v>39270</c:v>
                </c:pt>
                <c:pt idx="2744">
                  <c:v>39271</c:v>
                </c:pt>
                <c:pt idx="2745">
                  <c:v>39272</c:v>
                </c:pt>
                <c:pt idx="2746">
                  <c:v>39273</c:v>
                </c:pt>
                <c:pt idx="2747">
                  <c:v>39274</c:v>
                </c:pt>
                <c:pt idx="2748">
                  <c:v>39275</c:v>
                </c:pt>
                <c:pt idx="2749">
                  <c:v>39276</c:v>
                </c:pt>
                <c:pt idx="2750">
                  <c:v>39277</c:v>
                </c:pt>
                <c:pt idx="2751">
                  <c:v>39278</c:v>
                </c:pt>
                <c:pt idx="2752">
                  <c:v>39279</c:v>
                </c:pt>
                <c:pt idx="2753">
                  <c:v>39280</c:v>
                </c:pt>
                <c:pt idx="2754">
                  <c:v>39281</c:v>
                </c:pt>
                <c:pt idx="2755">
                  <c:v>39282</c:v>
                </c:pt>
                <c:pt idx="2756">
                  <c:v>39283</c:v>
                </c:pt>
                <c:pt idx="2757">
                  <c:v>39284</c:v>
                </c:pt>
                <c:pt idx="2758">
                  <c:v>39285</c:v>
                </c:pt>
                <c:pt idx="2759">
                  <c:v>39286</c:v>
                </c:pt>
                <c:pt idx="2760">
                  <c:v>39287</c:v>
                </c:pt>
                <c:pt idx="2761">
                  <c:v>39288</c:v>
                </c:pt>
                <c:pt idx="2762">
                  <c:v>39289</c:v>
                </c:pt>
                <c:pt idx="2763">
                  <c:v>39290</c:v>
                </c:pt>
                <c:pt idx="2764">
                  <c:v>39291</c:v>
                </c:pt>
                <c:pt idx="2765">
                  <c:v>39292</c:v>
                </c:pt>
                <c:pt idx="2766">
                  <c:v>39293</c:v>
                </c:pt>
                <c:pt idx="2767">
                  <c:v>39294</c:v>
                </c:pt>
                <c:pt idx="2768">
                  <c:v>39295</c:v>
                </c:pt>
                <c:pt idx="2769">
                  <c:v>39296</c:v>
                </c:pt>
                <c:pt idx="2770">
                  <c:v>39297</c:v>
                </c:pt>
                <c:pt idx="2771">
                  <c:v>39298</c:v>
                </c:pt>
                <c:pt idx="2772">
                  <c:v>39299</c:v>
                </c:pt>
                <c:pt idx="2773">
                  <c:v>39300</c:v>
                </c:pt>
                <c:pt idx="2774">
                  <c:v>39301</c:v>
                </c:pt>
                <c:pt idx="2775">
                  <c:v>39302</c:v>
                </c:pt>
                <c:pt idx="2776">
                  <c:v>39303</c:v>
                </c:pt>
                <c:pt idx="2777">
                  <c:v>39304</c:v>
                </c:pt>
                <c:pt idx="2778">
                  <c:v>39305</c:v>
                </c:pt>
                <c:pt idx="2779">
                  <c:v>39306</c:v>
                </c:pt>
                <c:pt idx="2780">
                  <c:v>39307</c:v>
                </c:pt>
                <c:pt idx="2781">
                  <c:v>39308</c:v>
                </c:pt>
                <c:pt idx="2782">
                  <c:v>39309</c:v>
                </c:pt>
                <c:pt idx="2783">
                  <c:v>39310</c:v>
                </c:pt>
                <c:pt idx="2784">
                  <c:v>39311</c:v>
                </c:pt>
                <c:pt idx="2785">
                  <c:v>39312</c:v>
                </c:pt>
                <c:pt idx="2786">
                  <c:v>39313</c:v>
                </c:pt>
                <c:pt idx="2787">
                  <c:v>39314</c:v>
                </c:pt>
                <c:pt idx="2788">
                  <c:v>39315</c:v>
                </c:pt>
                <c:pt idx="2789">
                  <c:v>39316</c:v>
                </c:pt>
                <c:pt idx="2790">
                  <c:v>39317</c:v>
                </c:pt>
                <c:pt idx="2791">
                  <c:v>39318</c:v>
                </c:pt>
                <c:pt idx="2792">
                  <c:v>39319</c:v>
                </c:pt>
                <c:pt idx="2793">
                  <c:v>39320</c:v>
                </c:pt>
                <c:pt idx="2794">
                  <c:v>39321</c:v>
                </c:pt>
                <c:pt idx="2795">
                  <c:v>39322</c:v>
                </c:pt>
                <c:pt idx="2796">
                  <c:v>39323</c:v>
                </c:pt>
                <c:pt idx="2797">
                  <c:v>39324</c:v>
                </c:pt>
                <c:pt idx="2798">
                  <c:v>39325</c:v>
                </c:pt>
                <c:pt idx="2799">
                  <c:v>39326</c:v>
                </c:pt>
                <c:pt idx="2800">
                  <c:v>39327</c:v>
                </c:pt>
                <c:pt idx="2801">
                  <c:v>39328</c:v>
                </c:pt>
                <c:pt idx="2802">
                  <c:v>39329</c:v>
                </c:pt>
                <c:pt idx="2803">
                  <c:v>39330</c:v>
                </c:pt>
                <c:pt idx="2804">
                  <c:v>39331</c:v>
                </c:pt>
                <c:pt idx="2805">
                  <c:v>39332</c:v>
                </c:pt>
                <c:pt idx="2806">
                  <c:v>39333</c:v>
                </c:pt>
                <c:pt idx="2807">
                  <c:v>39334</c:v>
                </c:pt>
                <c:pt idx="2808">
                  <c:v>39335</c:v>
                </c:pt>
                <c:pt idx="2809">
                  <c:v>39336</c:v>
                </c:pt>
                <c:pt idx="2810">
                  <c:v>39337</c:v>
                </c:pt>
                <c:pt idx="2811">
                  <c:v>39338</c:v>
                </c:pt>
                <c:pt idx="2812">
                  <c:v>39339</c:v>
                </c:pt>
                <c:pt idx="2813">
                  <c:v>39340</c:v>
                </c:pt>
                <c:pt idx="2814">
                  <c:v>39341</c:v>
                </c:pt>
                <c:pt idx="2815">
                  <c:v>39342</c:v>
                </c:pt>
                <c:pt idx="2816">
                  <c:v>39343</c:v>
                </c:pt>
                <c:pt idx="2817">
                  <c:v>39344</c:v>
                </c:pt>
                <c:pt idx="2818">
                  <c:v>39345</c:v>
                </c:pt>
                <c:pt idx="2819">
                  <c:v>39346</c:v>
                </c:pt>
                <c:pt idx="2820">
                  <c:v>39347</c:v>
                </c:pt>
                <c:pt idx="2821">
                  <c:v>39348</c:v>
                </c:pt>
                <c:pt idx="2822">
                  <c:v>39349</c:v>
                </c:pt>
                <c:pt idx="2823">
                  <c:v>39350</c:v>
                </c:pt>
                <c:pt idx="2824">
                  <c:v>39351</c:v>
                </c:pt>
                <c:pt idx="2825">
                  <c:v>39352</c:v>
                </c:pt>
                <c:pt idx="2826">
                  <c:v>39353</c:v>
                </c:pt>
                <c:pt idx="2827">
                  <c:v>39354</c:v>
                </c:pt>
                <c:pt idx="2828">
                  <c:v>39355</c:v>
                </c:pt>
                <c:pt idx="2829">
                  <c:v>39356</c:v>
                </c:pt>
                <c:pt idx="2830">
                  <c:v>39357</c:v>
                </c:pt>
                <c:pt idx="2831">
                  <c:v>39358</c:v>
                </c:pt>
                <c:pt idx="2832">
                  <c:v>39359</c:v>
                </c:pt>
                <c:pt idx="2833">
                  <c:v>39360</c:v>
                </c:pt>
                <c:pt idx="2834">
                  <c:v>39361</c:v>
                </c:pt>
                <c:pt idx="2835">
                  <c:v>39362</c:v>
                </c:pt>
                <c:pt idx="2836">
                  <c:v>39363</c:v>
                </c:pt>
                <c:pt idx="2837">
                  <c:v>39364</c:v>
                </c:pt>
                <c:pt idx="2838">
                  <c:v>39365</c:v>
                </c:pt>
                <c:pt idx="2839">
                  <c:v>39366</c:v>
                </c:pt>
                <c:pt idx="2840">
                  <c:v>39367</c:v>
                </c:pt>
                <c:pt idx="2841">
                  <c:v>39368</c:v>
                </c:pt>
                <c:pt idx="2842">
                  <c:v>39369</c:v>
                </c:pt>
                <c:pt idx="2843">
                  <c:v>39370</c:v>
                </c:pt>
                <c:pt idx="2844">
                  <c:v>39371</c:v>
                </c:pt>
                <c:pt idx="2845">
                  <c:v>39372</c:v>
                </c:pt>
                <c:pt idx="2846">
                  <c:v>39373</c:v>
                </c:pt>
                <c:pt idx="2847">
                  <c:v>39374</c:v>
                </c:pt>
                <c:pt idx="2848">
                  <c:v>39375</c:v>
                </c:pt>
                <c:pt idx="2849">
                  <c:v>39376</c:v>
                </c:pt>
                <c:pt idx="2850">
                  <c:v>39377</c:v>
                </c:pt>
                <c:pt idx="2851">
                  <c:v>39378</c:v>
                </c:pt>
                <c:pt idx="2852">
                  <c:v>39379</c:v>
                </c:pt>
                <c:pt idx="2853">
                  <c:v>39380</c:v>
                </c:pt>
                <c:pt idx="2854">
                  <c:v>39381</c:v>
                </c:pt>
                <c:pt idx="2855">
                  <c:v>39382</c:v>
                </c:pt>
                <c:pt idx="2856">
                  <c:v>39383</c:v>
                </c:pt>
                <c:pt idx="2857">
                  <c:v>39384</c:v>
                </c:pt>
                <c:pt idx="2858">
                  <c:v>39385</c:v>
                </c:pt>
                <c:pt idx="2859">
                  <c:v>39386</c:v>
                </c:pt>
                <c:pt idx="2860">
                  <c:v>39387</c:v>
                </c:pt>
                <c:pt idx="2861">
                  <c:v>39388</c:v>
                </c:pt>
                <c:pt idx="2862">
                  <c:v>39389</c:v>
                </c:pt>
                <c:pt idx="2863">
                  <c:v>39390</c:v>
                </c:pt>
                <c:pt idx="2864">
                  <c:v>39391</c:v>
                </c:pt>
                <c:pt idx="2865">
                  <c:v>39392</c:v>
                </c:pt>
                <c:pt idx="2866">
                  <c:v>39393</c:v>
                </c:pt>
                <c:pt idx="2867">
                  <c:v>39394</c:v>
                </c:pt>
                <c:pt idx="2868">
                  <c:v>39395</c:v>
                </c:pt>
                <c:pt idx="2869">
                  <c:v>39396</c:v>
                </c:pt>
                <c:pt idx="2870">
                  <c:v>39397</c:v>
                </c:pt>
                <c:pt idx="2871">
                  <c:v>39398</c:v>
                </c:pt>
                <c:pt idx="2872">
                  <c:v>39399</c:v>
                </c:pt>
                <c:pt idx="2873">
                  <c:v>39400</c:v>
                </c:pt>
                <c:pt idx="2874">
                  <c:v>39401</c:v>
                </c:pt>
                <c:pt idx="2875">
                  <c:v>39402</c:v>
                </c:pt>
                <c:pt idx="2876">
                  <c:v>39403</c:v>
                </c:pt>
                <c:pt idx="2877">
                  <c:v>39404</c:v>
                </c:pt>
                <c:pt idx="2878">
                  <c:v>39405</c:v>
                </c:pt>
                <c:pt idx="2879">
                  <c:v>39406</c:v>
                </c:pt>
                <c:pt idx="2880">
                  <c:v>39407</c:v>
                </c:pt>
                <c:pt idx="2881">
                  <c:v>39408</c:v>
                </c:pt>
                <c:pt idx="2882">
                  <c:v>39409</c:v>
                </c:pt>
                <c:pt idx="2883">
                  <c:v>39410</c:v>
                </c:pt>
                <c:pt idx="2884">
                  <c:v>39411</c:v>
                </c:pt>
                <c:pt idx="2885">
                  <c:v>39412</c:v>
                </c:pt>
                <c:pt idx="2886">
                  <c:v>39413</c:v>
                </c:pt>
                <c:pt idx="2887">
                  <c:v>39414</c:v>
                </c:pt>
                <c:pt idx="2888">
                  <c:v>39415</c:v>
                </c:pt>
                <c:pt idx="2889">
                  <c:v>39416</c:v>
                </c:pt>
                <c:pt idx="2890">
                  <c:v>39417</c:v>
                </c:pt>
                <c:pt idx="2891">
                  <c:v>39418</c:v>
                </c:pt>
                <c:pt idx="2892">
                  <c:v>39419</c:v>
                </c:pt>
                <c:pt idx="2893">
                  <c:v>39420</c:v>
                </c:pt>
                <c:pt idx="2894">
                  <c:v>39421</c:v>
                </c:pt>
                <c:pt idx="2895">
                  <c:v>39422</c:v>
                </c:pt>
                <c:pt idx="2896">
                  <c:v>39423</c:v>
                </c:pt>
                <c:pt idx="2897">
                  <c:v>39424</c:v>
                </c:pt>
                <c:pt idx="2898">
                  <c:v>39425</c:v>
                </c:pt>
                <c:pt idx="2899">
                  <c:v>39426</c:v>
                </c:pt>
                <c:pt idx="2900">
                  <c:v>39427</c:v>
                </c:pt>
                <c:pt idx="2901">
                  <c:v>39428</c:v>
                </c:pt>
                <c:pt idx="2902">
                  <c:v>39429</c:v>
                </c:pt>
                <c:pt idx="2903">
                  <c:v>39430</c:v>
                </c:pt>
                <c:pt idx="2904">
                  <c:v>39431</c:v>
                </c:pt>
                <c:pt idx="2905">
                  <c:v>39432</c:v>
                </c:pt>
                <c:pt idx="2906">
                  <c:v>39433</c:v>
                </c:pt>
                <c:pt idx="2907">
                  <c:v>39434</c:v>
                </c:pt>
                <c:pt idx="2908">
                  <c:v>39435</c:v>
                </c:pt>
                <c:pt idx="2909">
                  <c:v>39436</c:v>
                </c:pt>
                <c:pt idx="2910">
                  <c:v>39437</c:v>
                </c:pt>
                <c:pt idx="2911">
                  <c:v>39438</c:v>
                </c:pt>
                <c:pt idx="2912">
                  <c:v>39439</c:v>
                </c:pt>
                <c:pt idx="2913">
                  <c:v>39440</c:v>
                </c:pt>
                <c:pt idx="2914">
                  <c:v>39441</c:v>
                </c:pt>
                <c:pt idx="2915">
                  <c:v>39442</c:v>
                </c:pt>
                <c:pt idx="2916">
                  <c:v>39443</c:v>
                </c:pt>
                <c:pt idx="2917">
                  <c:v>39444</c:v>
                </c:pt>
                <c:pt idx="2918">
                  <c:v>39445</c:v>
                </c:pt>
                <c:pt idx="2919">
                  <c:v>39446</c:v>
                </c:pt>
                <c:pt idx="2920">
                  <c:v>39447</c:v>
                </c:pt>
                <c:pt idx="2921">
                  <c:v>39448</c:v>
                </c:pt>
                <c:pt idx="2922">
                  <c:v>39449</c:v>
                </c:pt>
                <c:pt idx="2923">
                  <c:v>39450</c:v>
                </c:pt>
                <c:pt idx="2924">
                  <c:v>39451</c:v>
                </c:pt>
                <c:pt idx="2925">
                  <c:v>39452</c:v>
                </c:pt>
                <c:pt idx="2926">
                  <c:v>39453</c:v>
                </c:pt>
                <c:pt idx="2927">
                  <c:v>39454</c:v>
                </c:pt>
                <c:pt idx="2928">
                  <c:v>39455</c:v>
                </c:pt>
                <c:pt idx="2929">
                  <c:v>39456</c:v>
                </c:pt>
                <c:pt idx="2930">
                  <c:v>39457</c:v>
                </c:pt>
                <c:pt idx="2931">
                  <c:v>39458</c:v>
                </c:pt>
                <c:pt idx="2932">
                  <c:v>39459</c:v>
                </c:pt>
                <c:pt idx="2933">
                  <c:v>39460</c:v>
                </c:pt>
                <c:pt idx="2934">
                  <c:v>39461</c:v>
                </c:pt>
                <c:pt idx="2935">
                  <c:v>39462</c:v>
                </c:pt>
                <c:pt idx="2936">
                  <c:v>39463</c:v>
                </c:pt>
                <c:pt idx="2937">
                  <c:v>39464</c:v>
                </c:pt>
                <c:pt idx="2938">
                  <c:v>39465</c:v>
                </c:pt>
                <c:pt idx="2939">
                  <c:v>39466</c:v>
                </c:pt>
                <c:pt idx="2940">
                  <c:v>39467</c:v>
                </c:pt>
                <c:pt idx="2941">
                  <c:v>39468</c:v>
                </c:pt>
                <c:pt idx="2942">
                  <c:v>39469</c:v>
                </c:pt>
                <c:pt idx="2943">
                  <c:v>39470</c:v>
                </c:pt>
                <c:pt idx="2944">
                  <c:v>39471</c:v>
                </c:pt>
                <c:pt idx="2945">
                  <c:v>39472</c:v>
                </c:pt>
                <c:pt idx="2946">
                  <c:v>39473</c:v>
                </c:pt>
                <c:pt idx="2947">
                  <c:v>39474</c:v>
                </c:pt>
                <c:pt idx="2948">
                  <c:v>39475</c:v>
                </c:pt>
                <c:pt idx="2949">
                  <c:v>39476</c:v>
                </c:pt>
                <c:pt idx="2950">
                  <c:v>39477</c:v>
                </c:pt>
                <c:pt idx="2951">
                  <c:v>39478</c:v>
                </c:pt>
                <c:pt idx="2952">
                  <c:v>39479</c:v>
                </c:pt>
                <c:pt idx="2953">
                  <c:v>39480</c:v>
                </c:pt>
                <c:pt idx="2954">
                  <c:v>39481</c:v>
                </c:pt>
                <c:pt idx="2955">
                  <c:v>39482</c:v>
                </c:pt>
                <c:pt idx="2956">
                  <c:v>39483</c:v>
                </c:pt>
                <c:pt idx="2957">
                  <c:v>39484</c:v>
                </c:pt>
                <c:pt idx="2958">
                  <c:v>39485</c:v>
                </c:pt>
                <c:pt idx="2959">
                  <c:v>39486</c:v>
                </c:pt>
                <c:pt idx="2960">
                  <c:v>39487</c:v>
                </c:pt>
                <c:pt idx="2961">
                  <c:v>39488</c:v>
                </c:pt>
                <c:pt idx="2962">
                  <c:v>39489</c:v>
                </c:pt>
                <c:pt idx="2963">
                  <c:v>39490</c:v>
                </c:pt>
                <c:pt idx="2964">
                  <c:v>39491</c:v>
                </c:pt>
                <c:pt idx="2965">
                  <c:v>39492</c:v>
                </c:pt>
                <c:pt idx="2966">
                  <c:v>39493</c:v>
                </c:pt>
                <c:pt idx="2967">
                  <c:v>39494</c:v>
                </c:pt>
                <c:pt idx="2968">
                  <c:v>39495</c:v>
                </c:pt>
                <c:pt idx="2969">
                  <c:v>39496</c:v>
                </c:pt>
                <c:pt idx="2970">
                  <c:v>39497</c:v>
                </c:pt>
                <c:pt idx="2971">
                  <c:v>39498</c:v>
                </c:pt>
                <c:pt idx="2972">
                  <c:v>39499</c:v>
                </c:pt>
                <c:pt idx="2973">
                  <c:v>39500</c:v>
                </c:pt>
                <c:pt idx="2974">
                  <c:v>39501</c:v>
                </c:pt>
                <c:pt idx="2975">
                  <c:v>39502</c:v>
                </c:pt>
                <c:pt idx="2976">
                  <c:v>39503</c:v>
                </c:pt>
                <c:pt idx="2977">
                  <c:v>39504</c:v>
                </c:pt>
                <c:pt idx="2978">
                  <c:v>39505</c:v>
                </c:pt>
                <c:pt idx="2979">
                  <c:v>39506</c:v>
                </c:pt>
                <c:pt idx="2980">
                  <c:v>39507</c:v>
                </c:pt>
                <c:pt idx="2981">
                  <c:v>39508</c:v>
                </c:pt>
                <c:pt idx="2982">
                  <c:v>39509</c:v>
                </c:pt>
                <c:pt idx="2983">
                  <c:v>39510</c:v>
                </c:pt>
                <c:pt idx="2984">
                  <c:v>39511</c:v>
                </c:pt>
                <c:pt idx="2985">
                  <c:v>39512</c:v>
                </c:pt>
                <c:pt idx="2986">
                  <c:v>39513</c:v>
                </c:pt>
                <c:pt idx="2987">
                  <c:v>39514</c:v>
                </c:pt>
                <c:pt idx="2988">
                  <c:v>39515</c:v>
                </c:pt>
                <c:pt idx="2989">
                  <c:v>39516</c:v>
                </c:pt>
                <c:pt idx="2990">
                  <c:v>39517</c:v>
                </c:pt>
                <c:pt idx="2991">
                  <c:v>39518</c:v>
                </c:pt>
                <c:pt idx="2992">
                  <c:v>39519</c:v>
                </c:pt>
                <c:pt idx="2993">
                  <c:v>39520</c:v>
                </c:pt>
                <c:pt idx="2994">
                  <c:v>39521</c:v>
                </c:pt>
                <c:pt idx="2995">
                  <c:v>39522</c:v>
                </c:pt>
                <c:pt idx="2996">
                  <c:v>39523</c:v>
                </c:pt>
                <c:pt idx="2997">
                  <c:v>39524</c:v>
                </c:pt>
                <c:pt idx="2998">
                  <c:v>39525</c:v>
                </c:pt>
                <c:pt idx="2999">
                  <c:v>39526</c:v>
                </c:pt>
                <c:pt idx="3000">
                  <c:v>39527</c:v>
                </c:pt>
                <c:pt idx="3001">
                  <c:v>39528</c:v>
                </c:pt>
                <c:pt idx="3002">
                  <c:v>39529</c:v>
                </c:pt>
                <c:pt idx="3003">
                  <c:v>39530</c:v>
                </c:pt>
                <c:pt idx="3004">
                  <c:v>39531</c:v>
                </c:pt>
                <c:pt idx="3005">
                  <c:v>39532</c:v>
                </c:pt>
                <c:pt idx="3006">
                  <c:v>39533</c:v>
                </c:pt>
                <c:pt idx="3007">
                  <c:v>39534</c:v>
                </c:pt>
                <c:pt idx="3008">
                  <c:v>39535</c:v>
                </c:pt>
                <c:pt idx="3009">
                  <c:v>39536</c:v>
                </c:pt>
                <c:pt idx="3010">
                  <c:v>39537</c:v>
                </c:pt>
                <c:pt idx="3011">
                  <c:v>39538</c:v>
                </c:pt>
                <c:pt idx="3012">
                  <c:v>39539</c:v>
                </c:pt>
                <c:pt idx="3013">
                  <c:v>39540</c:v>
                </c:pt>
                <c:pt idx="3014">
                  <c:v>39541</c:v>
                </c:pt>
                <c:pt idx="3015">
                  <c:v>39542</c:v>
                </c:pt>
                <c:pt idx="3016">
                  <c:v>39543</c:v>
                </c:pt>
                <c:pt idx="3017">
                  <c:v>39544</c:v>
                </c:pt>
                <c:pt idx="3018">
                  <c:v>39545</c:v>
                </c:pt>
                <c:pt idx="3019">
                  <c:v>39546</c:v>
                </c:pt>
                <c:pt idx="3020">
                  <c:v>39547</c:v>
                </c:pt>
                <c:pt idx="3021">
                  <c:v>39548</c:v>
                </c:pt>
                <c:pt idx="3022">
                  <c:v>39549</c:v>
                </c:pt>
                <c:pt idx="3023">
                  <c:v>39550</c:v>
                </c:pt>
                <c:pt idx="3024">
                  <c:v>39551</c:v>
                </c:pt>
                <c:pt idx="3025">
                  <c:v>39552</c:v>
                </c:pt>
                <c:pt idx="3026">
                  <c:v>39553</c:v>
                </c:pt>
                <c:pt idx="3027">
                  <c:v>39554</c:v>
                </c:pt>
                <c:pt idx="3028">
                  <c:v>39555</c:v>
                </c:pt>
                <c:pt idx="3029">
                  <c:v>39556</c:v>
                </c:pt>
                <c:pt idx="3030">
                  <c:v>39557</c:v>
                </c:pt>
                <c:pt idx="3031">
                  <c:v>39558</c:v>
                </c:pt>
                <c:pt idx="3032">
                  <c:v>39559</c:v>
                </c:pt>
                <c:pt idx="3033">
                  <c:v>39560</c:v>
                </c:pt>
                <c:pt idx="3034">
                  <c:v>39561</c:v>
                </c:pt>
                <c:pt idx="3035">
                  <c:v>39562</c:v>
                </c:pt>
                <c:pt idx="3036">
                  <c:v>39563</c:v>
                </c:pt>
                <c:pt idx="3037">
                  <c:v>39564</c:v>
                </c:pt>
                <c:pt idx="3038">
                  <c:v>39565</c:v>
                </c:pt>
                <c:pt idx="3039">
                  <c:v>39566</c:v>
                </c:pt>
                <c:pt idx="3040">
                  <c:v>39567</c:v>
                </c:pt>
                <c:pt idx="3041">
                  <c:v>39568</c:v>
                </c:pt>
                <c:pt idx="3042">
                  <c:v>39569</c:v>
                </c:pt>
                <c:pt idx="3043">
                  <c:v>39570</c:v>
                </c:pt>
                <c:pt idx="3044">
                  <c:v>39571</c:v>
                </c:pt>
                <c:pt idx="3045">
                  <c:v>39572</c:v>
                </c:pt>
                <c:pt idx="3046">
                  <c:v>39573</c:v>
                </c:pt>
                <c:pt idx="3047">
                  <c:v>39574</c:v>
                </c:pt>
                <c:pt idx="3048">
                  <c:v>39575</c:v>
                </c:pt>
                <c:pt idx="3049">
                  <c:v>39576</c:v>
                </c:pt>
                <c:pt idx="3050">
                  <c:v>39577</c:v>
                </c:pt>
                <c:pt idx="3051">
                  <c:v>39578</c:v>
                </c:pt>
                <c:pt idx="3052">
                  <c:v>39579</c:v>
                </c:pt>
                <c:pt idx="3053">
                  <c:v>39580</c:v>
                </c:pt>
                <c:pt idx="3054">
                  <c:v>39581</c:v>
                </c:pt>
                <c:pt idx="3055">
                  <c:v>39582</c:v>
                </c:pt>
                <c:pt idx="3056">
                  <c:v>39583</c:v>
                </c:pt>
                <c:pt idx="3057">
                  <c:v>39584</c:v>
                </c:pt>
                <c:pt idx="3058">
                  <c:v>39585</c:v>
                </c:pt>
                <c:pt idx="3059">
                  <c:v>39586</c:v>
                </c:pt>
                <c:pt idx="3060">
                  <c:v>39587</c:v>
                </c:pt>
                <c:pt idx="3061">
                  <c:v>39588</c:v>
                </c:pt>
                <c:pt idx="3062">
                  <c:v>39589</c:v>
                </c:pt>
                <c:pt idx="3063">
                  <c:v>39590</c:v>
                </c:pt>
                <c:pt idx="3064">
                  <c:v>39591</c:v>
                </c:pt>
                <c:pt idx="3065">
                  <c:v>39592</c:v>
                </c:pt>
                <c:pt idx="3066">
                  <c:v>39593</c:v>
                </c:pt>
                <c:pt idx="3067">
                  <c:v>39594</c:v>
                </c:pt>
                <c:pt idx="3068">
                  <c:v>39595</c:v>
                </c:pt>
                <c:pt idx="3069">
                  <c:v>39596</c:v>
                </c:pt>
                <c:pt idx="3070">
                  <c:v>39597</c:v>
                </c:pt>
                <c:pt idx="3071">
                  <c:v>39598</c:v>
                </c:pt>
                <c:pt idx="3072">
                  <c:v>39599</c:v>
                </c:pt>
                <c:pt idx="3073">
                  <c:v>39600</c:v>
                </c:pt>
                <c:pt idx="3074">
                  <c:v>39601</c:v>
                </c:pt>
                <c:pt idx="3075">
                  <c:v>39602</c:v>
                </c:pt>
                <c:pt idx="3076">
                  <c:v>39603</c:v>
                </c:pt>
                <c:pt idx="3077">
                  <c:v>39604</c:v>
                </c:pt>
                <c:pt idx="3078">
                  <c:v>39605</c:v>
                </c:pt>
                <c:pt idx="3079">
                  <c:v>39606</c:v>
                </c:pt>
                <c:pt idx="3080">
                  <c:v>39607</c:v>
                </c:pt>
                <c:pt idx="3081">
                  <c:v>39608</c:v>
                </c:pt>
                <c:pt idx="3082">
                  <c:v>39609</c:v>
                </c:pt>
                <c:pt idx="3083">
                  <c:v>39610</c:v>
                </c:pt>
                <c:pt idx="3084">
                  <c:v>39611</c:v>
                </c:pt>
                <c:pt idx="3085">
                  <c:v>39612</c:v>
                </c:pt>
                <c:pt idx="3086">
                  <c:v>39613</c:v>
                </c:pt>
                <c:pt idx="3087">
                  <c:v>39614</c:v>
                </c:pt>
                <c:pt idx="3088">
                  <c:v>39615</c:v>
                </c:pt>
                <c:pt idx="3089">
                  <c:v>39616</c:v>
                </c:pt>
                <c:pt idx="3090">
                  <c:v>39617</c:v>
                </c:pt>
                <c:pt idx="3091">
                  <c:v>39618</c:v>
                </c:pt>
                <c:pt idx="3092">
                  <c:v>39619</c:v>
                </c:pt>
                <c:pt idx="3093">
                  <c:v>39620</c:v>
                </c:pt>
                <c:pt idx="3094">
                  <c:v>39621</c:v>
                </c:pt>
                <c:pt idx="3095">
                  <c:v>39622</c:v>
                </c:pt>
                <c:pt idx="3096">
                  <c:v>39623</c:v>
                </c:pt>
                <c:pt idx="3097">
                  <c:v>39624</c:v>
                </c:pt>
                <c:pt idx="3098">
                  <c:v>39625</c:v>
                </c:pt>
                <c:pt idx="3099">
                  <c:v>39626</c:v>
                </c:pt>
                <c:pt idx="3100">
                  <c:v>39627</c:v>
                </c:pt>
                <c:pt idx="3101">
                  <c:v>39628</c:v>
                </c:pt>
                <c:pt idx="3102">
                  <c:v>39629</c:v>
                </c:pt>
                <c:pt idx="3103">
                  <c:v>39630</c:v>
                </c:pt>
                <c:pt idx="3104">
                  <c:v>39631</c:v>
                </c:pt>
                <c:pt idx="3105">
                  <c:v>39632</c:v>
                </c:pt>
                <c:pt idx="3106">
                  <c:v>39633</c:v>
                </c:pt>
                <c:pt idx="3107">
                  <c:v>39634</c:v>
                </c:pt>
                <c:pt idx="3108">
                  <c:v>39635</c:v>
                </c:pt>
                <c:pt idx="3109">
                  <c:v>39636</c:v>
                </c:pt>
                <c:pt idx="3110">
                  <c:v>39637</c:v>
                </c:pt>
                <c:pt idx="3111">
                  <c:v>39638</c:v>
                </c:pt>
                <c:pt idx="3112">
                  <c:v>39639</c:v>
                </c:pt>
                <c:pt idx="3113">
                  <c:v>39640</c:v>
                </c:pt>
                <c:pt idx="3114">
                  <c:v>39641</c:v>
                </c:pt>
                <c:pt idx="3115">
                  <c:v>39642</c:v>
                </c:pt>
                <c:pt idx="3116">
                  <c:v>39643</c:v>
                </c:pt>
                <c:pt idx="3117">
                  <c:v>39644</c:v>
                </c:pt>
                <c:pt idx="3118">
                  <c:v>39645</c:v>
                </c:pt>
                <c:pt idx="3119">
                  <c:v>39646</c:v>
                </c:pt>
                <c:pt idx="3120">
                  <c:v>39647</c:v>
                </c:pt>
                <c:pt idx="3121">
                  <c:v>39648</c:v>
                </c:pt>
                <c:pt idx="3122">
                  <c:v>39649</c:v>
                </c:pt>
                <c:pt idx="3123">
                  <c:v>39650</c:v>
                </c:pt>
                <c:pt idx="3124">
                  <c:v>39651</c:v>
                </c:pt>
                <c:pt idx="3125">
                  <c:v>39652</c:v>
                </c:pt>
                <c:pt idx="3126">
                  <c:v>39653</c:v>
                </c:pt>
                <c:pt idx="3127">
                  <c:v>39654</c:v>
                </c:pt>
                <c:pt idx="3128">
                  <c:v>39655</c:v>
                </c:pt>
                <c:pt idx="3129">
                  <c:v>39656</c:v>
                </c:pt>
                <c:pt idx="3130">
                  <c:v>39657</c:v>
                </c:pt>
                <c:pt idx="3131">
                  <c:v>39658</c:v>
                </c:pt>
                <c:pt idx="3132">
                  <c:v>39659</c:v>
                </c:pt>
                <c:pt idx="3133">
                  <c:v>39660</c:v>
                </c:pt>
                <c:pt idx="3134">
                  <c:v>39661</c:v>
                </c:pt>
                <c:pt idx="3135">
                  <c:v>39662</c:v>
                </c:pt>
                <c:pt idx="3136">
                  <c:v>39663</c:v>
                </c:pt>
                <c:pt idx="3137">
                  <c:v>39664</c:v>
                </c:pt>
                <c:pt idx="3138">
                  <c:v>39665</c:v>
                </c:pt>
                <c:pt idx="3139">
                  <c:v>39666</c:v>
                </c:pt>
                <c:pt idx="3140">
                  <c:v>39667</c:v>
                </c:pt>
                <c:pt idx="3141">
                  <c:v>39668</c:v>
                </c:pt>
                <c:pt idx="3142">
                  <c:v>39669</c:v>
                </c:pt>
                <c:pt idx="3143">
                  <c:v>39670</c:v>
                </c:pt>
                <c:pt idx="3144">
                  <c:v>39671</c:v>
                </c:pt>
                <c:pt idx="3145">
                  <c:v>39672</c:v>
                </c:pt>
                <c:pt idx="3146">
                  <c:v>39673</c:v>
                </c:pt>
                <c:pt idx="3147">
                  <c:v>39674</c:v>
                </c:pt>
                <c:pt idx="3148">
                  <c:v>39675</c:v>
                </c:pt>
                <c:pt idx="3149">
                  <c:v>39676</c:v>
                </c:pt>
                <c:pt idx="3150">
                  <c:v>39677</c:v>
                </c:pt>
                <c:pt idx="3151">
                  <c:v>39678</c:v>
                </c:pt>
                <c:pt idx="3152">
                  <c:v>39679</c:v>
                </c:pt>
                <c:pt idx="3153">
                  <c:v>39680</c:v>
                </c:pt>
                <c:pt idx="3154">
                  <c:v>39681</c:v>
                </c:pt>
                <c:pt idx="3155">
                  <c:v>39682</c:v>
                </c:pt>
                <c:pt idx="3156">
                  <c:v>39683</c:v>
                </c:pt>
                <c:pt idx="3157">
                  <c:v>39684</c:v>
                </c:pt>
                <c:pt idx="3158">
                  <c:v>39685</c:v>
                </c:pt>
                <c:pt idx="3159">
                  <c:v>39686</c:v>
                </c:pt>
                <c:pt idx="3160">
                  <c:v>39687</c:v>
                </c:pt>
                <c:pt idx="3161">
                  <c:v>39688</c:v>
                </c:pt>
                <c:pt idx="3162">
                  <c:v>39689</c:v>
                </c:pt>
                <c:pt idx="3163">
                  <c:v>39690</c:v>
                </c:pt>
                <c:pt idx="3164">
                  <c:v>39691</c:v>
                </c:pt>
                <c:pt idx="3165">
                  <c:v>39692</c:v>
                </c:pt>
                <c:pt idx="3166">
                  <c:v>39693</c:v>
                </c:pt>
                <c:pt idx="3167">
                  <c:v>39694</c:v>
                </c:pt>
                <c:pt idx="3168">
                  <c:v>39695</c:v>
                </c:pt>
                <c:pt idx="3169">
                  <c:v>39696</c:v>
                </c:pt>
                <c:pt idx="3170">
                  <c:v>39697</c:v>
                </c:pt>
                <c:pt idx="3171">
                  <c:v>39698</c:v>
                </c:pt>
                <c:pt idx="3172">
                  <c:v>39699</c:v>
                </c:pt>
                <c:pt idx="3173">
                  <c:v>39700</c:v>
                </c:pt>
                <c:pt idx="3174">
                  <c:v>39701</c:v>
                </c:pt>
                <c:pt idx="3175">
                  <c:v>39702</c:v>
                </c:pt>
                <c:pt idx="3176">
                  <c:v>39703</c:v>
                </c:pt>
                <c:pt idx="3177">
                  <c:v>39704</c:v>
                </c:pt>
                <c:pt idx="3178">
                  <c:v>39705</c:v>
                </c:pt>
                <c:pt idx="3179">
                  <c:v>39706</c:v>
                </c:pt>
                <c:pt idx="3180">
                  <c:v>39707</c:v>
                </c:pt>
                <c:pt idx="3181">
                  <c:v>39708</c:v>
                </c:pt>
                <c:pt idx="3182">
                  <c:v>39709</c:v>
                </c:pt>
                <c:pt idx="3183">
                  <c:v>39710</c:v>
                </c:pt>
                <c:pt idx="3184">
                  <c:v>39711</c:v>
                </c:pt>
                <c:pt idx="3185">
                  <c:v>39712</c:v>
                </c:pt>
                <c:pt idx="3186">
                  <c:v>39713</c:v>
                </c:pt>
                <c:pt idx="3187">
                  <c:v>39714</c:v>
                </c:pt>
                <c:pt idx="3188">
                  <c:v>39715</c:v>
                </c:pt>
                <c:pt idx="3189">
                  <c:v>39716</c:v>
                </c:pt>
                <c:pt idx="3190">
                  <c:v>39717</c:v>
                </c:pt>
                <c:pt idx="3191">
                  <c:v>39718</c:v>
                </c:pt>
                <c:pt idx="3192">
                  <c:v>39719</c:v>
                </c:pt>
                <c:pt idx="3193">
                  <c:v>39720</c:v>
                </c:pt>
                <c:pt idx="3194">
                  <c:v>39721</c:v>
                </c:pt>
                <c:pt idx="3195">
                  <c:v>39722</c:v>
                </c:pt>
                <c:pt idx="3196">
                  <c:v>39723</c:v>
                </c:pt>
                <c:pt idx="3197">
                  <c:v>39724</c:v>
                </c:pt>
                <c:pt idx="3198">
                  <c:v>39725</c:v>
                </c:pt>
                <c:pt idx="3199">
                  <c:v>39726</c:v>
                </c:pt>
                <c:pt idx="3200">
                  <c:v>39727</c:v>
                </c:pt>
                <c:pt idx="3201">
                  <c:v>39728</c:v>
                </c:pt>
                <c:pt idx="3202">
                  <c:v>39729</c:v>
                </c:pt>
                <c:pt idx="3203">
                  <c:v>39730</c:v>
                </c:pt>
                <c:pt idx="3204">
                  <c:v>39731</c:v>
                </c:pt>
                <c:pt idx="3205">
                  <c:v>39732</c:v>
                </c:pt>
                <c:pt idx="3206">
                  <c:v>39733</c:v>
                </c:pt>
                <c:pt idx="3207">
                  <c:v>39734</c:v>
                </c:pt>
                <c:pt idx="3208">
                  <c:v>39735</c:v>
                </c:pt>
                <c:pt idx="3209">
                  <c:v>39736</c:v>
                </c:pt>
                <c:pt idx="3210">
                  <c:v>39737</c:v>
                </c:pt>
                <c:pt idx="3211">
                  <c:v>39738</c:v>
                </c:pt>
                <c:pt idx="3212">
                  <c:v>39739</c:v>
                </c:pt>
                <c:pt idx="3213">
                  <c:v>39740</c:v>
                </c:pt>
                <c:pt idx="3214">
                  <c:v>39741</c:v>
                </c:pt>
                <c:pt idx="3215">
                  <c:v>39742</c:v>
                </c:pt>
                <c:pt idx="3216">
                  <c:v>39743</c:v>
                </c:pt>
                <c:pt idx="3217">
                  <c:v>39744</c:v>
                </c:pt>
                <c:pt idx="3218">
                  <c:v>39745</c:v>
                </c:pt>
                <c:pt idx="3219">
                  <c:v>39746</c:v>
                </c:pt>
                <c:pt idx="3220">
                  <c:v>39747</c:v>
                </c:pt>
                <c:pt idx="3221">
                  <c:v>39748</c:v>
                </c:pt>
                <c:pt idx="3222">
                  <c:v>39749</c:v>
                </c:pt>
                <c:pt idx="3223">
                  <c:v>39750</c:v>
                </c:pt>
                <c:pt idx="3224">
                  <c:v>39751</c:v>
                </c:pt>
                <c:pt idx="3225">
                  <c:v>39752</c:v>
                </c:pt>
                <c:pt idx="3226">
                  <c:v>39753</c:v>
                </c:pt>
                <c:pt idx="3227">
                  <c:v>39754</c:v>
                </c:pt>
                <c:pt idx="3228">
                  <c:v>39755</c:v>
                </c:pt>
                <c:pt idx="3229">
                  <c:v>39756</c:v>
                </c:pt>
                <c:pt idx="3230">
                  <c:v>39757</c:v>
                </c:pt>
                <c:pt idx="3231">
                  <c:v>39758</c:v>
                </c:pt>
                <c:pt idx="3232">
                  <c:v>39759</c:v>
                </c:pt>
                <c:pt idx="3233">
                  <c:v>39760</c:v>
                </c:pt>
                <c:pt idx="3234">
                  <c:v>39761</c:v>
                </c:pt>
                <c:pt idx="3235">
                  <c:v>39762</c:v>
                </c:pt>
                <c:pt idx="3236">
                  <c:v>39763</c:v>
                </c:pt>
                <c:pt idx="3237">
                  <c:v>39764</c:v>
                </c:pt>
                <c:pt idx="3238">
                  <c:v>39765</c:v>
                </c:pt>
                <c:pt idx="3239">
                  <c:v>39766</c:v>
                </c:pt>
                <c:pt idx="3240">
                  <c:v>39767</c:v>
                </c:pt>
                <c:pt idx="3241">
                  <c:v>39768</c:v>
                </c:pt>
                <c:pt idx="3242">
                  <c:v>39769</c:v>
                </c:pt>
                <c:pt idx="3243">
                  <c:v>39770</c:v>
                </c:pt>
                <c:pt idx="3244">
                  <c:v>39771</c:v>
                </c:pt>
                <c:pt idx="3245">
                  <c:v>39772</c:v>
                </c:pt>
                <c:pt idx="3246">
                  <c:v>39773</c:v>
                </c:pt>
                <c:pt idx="3247">
                  <c:v>39774</c:v>
                </c:pt>
                <c:pt idx="3248">
                  <c:v>39775</c:v>
                </c:pt>
                <c:pt idx="3249">
                  <c:v>39776</c:v>
                </c:pt>
                <c:pt idx="3250">
                  <c:v>39777</c:v>
                </c:pt>
                <c:pt idx="3251">
                  <c:v>39778</c:v>
                </c:pt>
                <c:pt idx="3252">
                  <c:v>39779</c:v>
                </c:pt>
                <c:pt idx="3253">
                  <c:v>39780</c:v>
                </c:pt>
                <c:pt idx="3254">
                  <c:v>39781</c:v>
                </c:pt>
                <c:pt idx="3255">
                  <c:v>39782</c:v>
                </c:pt>
                <c:pt idx="3256">
                  <c:v>39783</c:v>
                </c:pt>
                <c:pt idx="3257">
                  <c:v>39784</c:v>
                </c:pt>
                <c:pt idx="3258">
                  <c:v>39785</c:v>
                </c:pt>
                <c:pt idx="3259">
                  <c:v>39786</c:v>
                </c:pt>
                <c:pt idx="3260">
                  <c:v>39787</c:v>
                </c:pt>
                <c:pt idx="3261">
                  <c:v>39788</c:v>
                </c:pt>
                <c:pt idx="3262">
                  <c:v>39789</c:v>
                </c:pt>
                <c:pt idx="3263">
                  <c:v>39790</c:v>
                </c:pt>
                <c:pt idx="3264">
                  <c:v>39791</c:v>
                </c:pt>
                <c:pt idx="3265">
                  <c:v>39792</c:v>
                </c:pt>
                <c:pt idx="3266">
                  <c:v>39793</c:v>
                </c:pt>
                <c:pt idx="3267">
                  <c:v>39794</c:v>
                </c:pt>
                <c:pt idx="3268">
                  <c:v>39795</c:v>
                </c:pt>
                <c:pt idx="3269">
                  <c:v>39796</c:v>
                </c:pt>
                <c:pt idx="3270">
                  <c:v>39797</c:v>
                </c:pt>
                <c:pt idx="3271">
                  <c:v>39798</c:v>
                </c:pt>
                <c:pt idx="3272">
                  <c:v>39799</c:v>
                </c:pt>
                <c:pt idx="3273">
                  <c:v>39800</c:v>
                </c:pt>
                <c:pt idx="3274">
                  <c:v>39801</c:v>
                </c:pt>
                <c:pt idx="3275">
                  <c:v>39802</c:v>
                </c:pt>
                <c:pt idx="3276">
                  <c:v>39803</c:v>
                </c:pt>
                <c:pt idx="3277">
                  <c:v>39804</c:v>
                </c:pt>
                <c:pt idx="3278">
                  <c:v>39805</c:v>
                </c:pt>
                <c:pt idx="3279">
                  <c:v>39806</c:v>
                </c:pt>
                <c:pt idx="3280">
                  <c:v>39807</c:v>
                </c:pt>
                <c:pt idx="3281">
                  <c:v>39808</c:v>
                </c:pt>
                <c:pt idx="3282">
                  <c:v>39809</c:v>
                </c:pt>
                <c:pt idx="3283">
                  <c:v>39810</c:v>
                </c:pt>
                <c:pt idx="3284">
                  <c:v>39811</c:v>
                </c:pt>
                <c:pt idx="3285">
                  <c:v>39812</c:v>
                </c:pt>
                <c:pt idx="3286">
                  <c:v>39813</c:v>
                </c:pt>
                <c:pt idx="3287">
                  <c:v>39814</c:v>
                </c:pt>
                <c:pt idx="3288">
                  <c:v>39815</c:v>
                </c:pt>
                <c:pt idx="3289">
                  <c:v>39816</c:v>
                </c:pt>
                <c:pt idx="3290">
                  <c:v>39817</c:v>
                </c:pt>
                <c:pt idx="3291">
                  <c:v>39818</c:v>
                </c:pt>
                <c:pt idx="3292">
                  <c:v>39819</c:v>
                </c:pt>
                <c:pt idx="3293">
                  <c:v>39820</c:v>
                </c:pt>
                <c:pt idx="3294">
                  <c:v>39821</c:v>
                </c:pt>
                <c:pt idx="3295">
                  <c:v>39822</c:v>
                </c:pt>
                <c:pt idx="3296">
                  <c:v>39823</c:v>
                </c:pt>
                <c:pt idx="3297">
                  <c:v>39824</c:v>
                </c:pt>
                <c:pt idx="3298">
                  <c:v>39825</c:v>
                </c:pt>
                <c:pt idx="3299">
                  <c:v>39826</c:v>
                </c:pt>
                <c:pt idx="3300">
                  <c:v>39827</c:v>
                </c:pt>
                <c:pt idx="3301">
                  <c:v>39828</c:v>
                </c:pt>
                <c:pt idx="3302">
                  <c:v>39829</c:v>
                </c:pt>
                <c:pt idx="3303">
                  <c:v>39830</c:v>
                </c:pt>
                <c:pt idx="3304">
                  <c:v>39831</c:v>
                </c:pt>
                <c:pt idx="3305">
                  <c:v>39832</c:v>
                </c:pt>
                <c:pt idx="3306">
                  <c:v>39833</c:v>
                </c:pt>
                <c:pt idx="3307">
                  <c:v>39834</c:v>
                </c:pt>
                <c:pt idx="3308">
                  <c:v>39835</c:v>
                </c:pt>
                <c:pt idx="3309">
                  <c:v>39836</c:v>
                </c:pt>
                <c:pt idx="3310">
                  <c:v>39837</c:v>
                </c:pt>
                <c:pt idx="3311">
                  <c:v>39838</c:v>
                </c:pt>
                <c:pt idx="3312">
                  <c:v>39839</c:v>
                </c:pt>
                <c:pt idx="3313">
                  <c:v>39840</c:v>
                </c:pt>
                <c:pt idx="3314">
                  <c:v>39841</c:v>
                </c:pt>
                <c:pt idx="3315">
                  <c:v>39842</c:v>
                </c:pt>
                <c:pt idx="3316">
                  <c:v>39843</c:v>
                </c:pt>
                <c:pt idx="3317">
                  <c:v>39844</c:v>
                </c:pt>
                <c:pt idx="3318">
                  <c:v>39845</c:v>
                </c:pt>
                <c:pt idx="3319">
                  <c:v>39846</c:v>
                </c:pt>
                <c:pt idx="3320">
                  <c:v>39847</c:v>
                </c:pt>
                <c:pt idx="3321">
                  <c:v>39848</c:v>
                </c:pt>
                <c:pt idx="3322">
                  <c:v>39849</c:v>
                </c:pt>
                <c:pt idx="3323">
                  <c:v>39850</c:v>
                </c:pt>
                <c:pt idx="3324">
                  <c:v>39851</c:v>
                </c:pt>
                <c:pt idx="3325">
                  <c:v>39852</c:v>
                </c:pt>
                <c:pt idx="3326">
                  <c:v>39853</c:v>
                </c:pt>
                <c:pt idx="3327">
                  <c:v>39854</c:v>
                </c:pt>
                <c:pt idx="3328">
                  <c:v>39855</c:v>
                </c:pt>
                <c:pt idx="3329">
                  <c:v>39856</c:v>
                </c:pt>
                <c:pt idx="3330">
                  <c:v>39857</c:v>
                </c:pt>
                <c:pt idx="3331">
                  <c:v>39858</c:v>
                </c:pt>
                <c:pt idx="3332">
                  <c:v>39859</c:v>
                </c:pt>
                <c:pt idx="3333">
                  <c:v>39860</c:v>
                </c:pt>
                <c:pt idx="3334">
                  <c:v>39861</c:v>
                </c:pt>
                <c:pt idx="3335">
                  <c:v>39862</c:v>
                </c:pt>
                <c:pt idx="3336">
                  <c:v>39863</c:v>
                </c:pt>
                <c:pt idx="3337">
                  <c:v>39864</c:v>
                </c:pt>
                <c:pt idx="3338">
                  <c:v>39865</c:v>
                </c:pt>
                <c:pt idx="3339">
                  <c:v>39866</c:v>
                </c:pt>
                <c:pt idx="3340">
                  <c:v>39867</c:v>
                </c:pt>
                <c:pt idx="3341">
                  <c:v>39868</c:v>
                </c:pt>
                <c:pt idx="3342">
                  <c:v>39869</c:v>
                </c:pt>
                <c:pt idx="3343">
                  <c:v>39870</c:v>
                </c:pt>
                <c:pt idx="3344">
                  <c:v>39871</c:v>
                </c:pt>
                <c:pt idx="3345">
                  <c:v>39872</c:v>
                </c:pt>
                <c:pt idx="3346">
                  <c:v>39873</c:v>
                </c:pt>
                <c:pt idx="3347">
                  <c:v>39874</c:v>
                </c:pt>
                <c:pt idx="3348">
                  <c:v>39875</c:v>
                </c:pt>
                <c:pt idx="3349">
                  <c:v>39876</c:v>
                </c:pt>
                <c:pt idx="3350">
                  <c:v>39877</c:v>
                </c:pt>
                <c:pt idx="3351">
                  <c:v>39878</c:v>
                </c:pt>
                <c:pt idx="3352">
                  <c:v>39879</c:v>
                </c:pt>
                <c:pt idx="3353">
                  <c:v>39880</c:v>
                </c:pt>
                <c:pt idx="3354">
                  <c:v>39881</c:v>
                </c:pt>
                <c:pt idx="3355">
                  <c:v>39882</c:v>
                </c:pt>
                <c:pt idx="3356">
                  <c:v>39883</c:v>
                </c:pt>
                <c:pt idx="3357">
                  <c:v>39884</c:v>
                </c:pt>
                <c:pt idx="3358">
                  <c:v>39885</c:v>
                </c:pt>
                <c:pt idx="3359">
                  <c:v>39886</c:v>
                </c:pt>
                <c:pt idx="3360">
                  <c:v>39887</c:v>
                </c:pt>
                <c:pt idx="3361">
                  <c:v>39888</c:v>
                </c:pt>
                <c:pt idx="3362">
                  <c:v>39889</c:v>
                </c:pt>
                <c:pt idx="3363">
                  <c:v>39890</c:v>
                </c:pt>
                <c:pt idx="3364">
                  <c:v>39891</c:v>
                </c:pt>
                <c:pt idx="3365">
                  <c:v>39892</c:v>
                </c:pt>
                <c:pt idx="3366">
                  <c:v>39893</c:v>
                </c:pt>
                <c:pt idx="3367">
                  <c:v>39894</c:v>
                </c:pt>
                <c:pt idx="3368">
                  <c:v>39895</c:v>
                </c:pt>
                <c:pt idx="3369">
                  <c:v>39896</c:v>
                </c:pt>
                <c:pt idx="3370">
                  <c:v>39897</c:v>
                </c:pt>
                <c:pt idx="3371">
                  <c:v>39898</c:v>
                </c:pt>
                <c:pt idx="3372">
                  <c:v>39899</c:v>
                </c:pt>
                <c:pt idx="3373">
                  <c:v>39900</c:v>
                </c:pt>
                <c:pt idx="3374">
                  <c:v>39901</c:v>
                </c:pt>
                <c:pt idx="3375">
                  <c:v>39902</c:v>
                </c:pt>
                <c:pt idx="3376">
                  <c:v>39903</c:v>
                </c:pt>
                <c:pt idx="3377">
                  <c:v>39904</c:v>
                </c:pt>
                <c:pt idx="3378">
                  <c:v>39905</c:v>
                </c:pt>
                <c:pt idx="3379">
                  <c:v>39906</c:v>
                </c:pt>
                <c:pt idx="3380">
                  <c:v>39907</c:v>
                </c:pt>
                <c:pt idx="3381">
                  <c:v>39908</c:v>
                </c:pt>
                <c:pt idx="3382">
                  <c:v>39909</c:v>
                </c:pt>
                <c:pt idx="3383">
                  <c:v>39910</c:v>
                </c:pt>
                <c:pt idx="3384">
                  <c:v>39911</c:v>
                </c:pt>
                <c:pt idx="3385">
                  <c:v>39912</c:v>
                </c:pt>
                <c:pt idx="3386">
                  <c:v>39913</c:v>
                </c:pt>
                <c:pt idx="3387">
                  <c:v>39914</c:v>
                </c:pt>
                <c:pt idx="3388">
                  <c:v>39915</c:v>
                </c:pt>
                <c:pt idx="3389">
                  <c:v>39916</c:v>
                </c:pt>
                <c:pt idx="3390">
                  <c:v>39917</c:v>
                </c:pt>
                <c:pt idx="3391">
                  <c:v>39918</c:v>
                </c:pt>
                <c:pt idx="3392">
                  <c:v>39919</c:v>
                </c:pt>
                <c:pt idx="3393">
                  <c:v>39920</c:v>
                </c:pt>
                <c:pt idx="3394">
                  <c:v>39921</c:v>
                </c:pt>
                <c:pt idx="3395">
                  <c:v>39922</c:v>
                </c:pt>
                <c:pt idx="3396">
                  <c:v>39923</c:v>
                </c:pt>
                <c:pt idx="3397">
                  <c:v>39924</c:v>
                </c:pt>
                <c:pt idx="3398">
                  <c:v>39925</c:v>
                </c:pt>
                <c:pt idx="3399">
                  <c:v>39926</c:v>
                </c:pt>
                <c:pt idx="3400">
                  <c:v>39927</c:v>
                </c:pt>
                <c:pt idx="3401">
                  <c:v>39928</c:v>
                </c:pt>
                <c:pt idx="3402">
                  <c:v>39929</c:v>
                </c:pt>
                <c:pt idx="3403">
                  <c:v>39930</c:v>
                </c:pt>
                <c:pt idx="3404">
                  <c:v>39931</c:v>
                </c:pt>
                <c:pt idx="3405">
                  <c:v>39932</c:v>
                </c:pt>
                <c:pt idx="3406">
                  <c:v>39933</c:v>
                </c:pt>
                <c:pt idx="3407">
                  <c:v>39934</c:v>
                </c:pt>
                <c:pt idx="3408">
                  <c:v>39935</c:v>
                </c:pt>
                <c:pt idx="3409">
                  <c:v>39936</c:v>
                </c:pt>
                <c:pt idx="3410">
                  <c:v>39937</c:v>
                </c:pt>
                <c:pt idx="3411">
                  <c:v>39938</c:v>
                </c:pt>
                <c:pt idx="3412">
                  <c:v>39939</c:v>
                </c:pt>
                <c:pt idx="3413">
                  <c:v>39940</c:v>
                </c:pt>
                <c:pt idx="3414">
                  <c:v>39941</c:v>
                </c:pt>
                <c:pt idx="3415">
                  <c:v>39942</c:v>
                </c:pt>
                <c:pt idx="3416">
                  <c:v>39943</c:v>
                </c:pt>
                <c:pt idx="3417">
                  <c:v>39944</c:v>
                </c:pt>
                <c:pt idx="3418">
                  <c:v>39945</c:v>
                </c:pt>
                <c:pt idx="3419">
                  <c:v>39946</c:v>
                </c:pt>
                <c:pt idx="3420">
                  <c:v>39947</c:v>
                </c:pt>
                <c:pt idx="3421">
                  <c:v>39948</c:v>
                </c:pt>
                <c:pt idx="3422">
                  <c:v>39949</c:v>
                </c:pt>
                <c:pt idx="3423">
                  <c:v>39950</c:v>
                </c:pt>
                <c:pt idx="3424">
                  <c:v>39951</c:v>
                </c:pt>
                <c:pt idx="3425">
                  <c:v>39952</c:v>
                </c:pt>
                <c:pt idx="3426">
                  <c:v>39953</c:v>
                </c:pt>
                <c:pt idx="3427">
                  <c:v>39954</c:v>
                </c:pt>
                <c:pt idx="3428">
                  <c:v>39955</c:v>
                </c:pt>
                <c:pt idx="3429">
                  <c:v>39956</c:v>
                </c:pt>
                <c:pt idx="3430">
                  <c:v>39957</c:v>
                </c:pt>
                <c:pt idx="3431">
                  <c:v>39958</c:v>
                </c:pt>
                <c:pt idx="3432">
                  <c:v>39959</c:v>
                </c:pt>
                <c:pt idx="3433">
                  <c:v>39960</c:v>
                </c:pt>
                <c:pt idx="3434">
                  <c:v>39961</c:v>
                </c:pt>
                <c:pt idx="3435">
                  <c:v>39962</c:v>
                </c:pt>
                <c:pt idx="3436">
                  <c:v>39963</c:v>
                </c:pt>
                <c:pt idx="3437">
                  <c:v>39964</c:v>
                </c:pt>
                <c:pt idx="3438">
                  <c:v>39965</c:v>
                </c:pt>
                <c:pt idx="3439">
                  <c:v>39966</c:v>
                </c:pt>
                <c:pt idx="3440">
                  <c:v>39967</c:v>
                </c:pt>
                <c:pt idx="3441">
                  <c:v>39968</c:v>
                </c:pt>
                <c:pt idx="3442">
                  <c:v>39969</c:v>
                </c:pt>
                <c:pt idx="3443">
                  <c:v>39970</c:v>
                </c:pt>
                <c:pt idx="3444">
                  <c:v>39971</c:v>
                </c:pt>
                <c:pt idx="3445">
                  <c:v>39972</c:v>
                </c:pt>
                <c:pt idx="3446">
                  <c:v>39973</c:v>
                </c:pt>
                <c:pt idx="3447">
                  <c:v>39974</c:v>
                </c:pt>
                <c:pt idx="3448">
                  <c:v>39975</c:v>
                </c:pt>
                <c:pt idx="3449">
                  <c:v>39976</c:v>
                </c:pt>
                <c:pt idx="3450">
                  <c:v>39977</c:v>
                </c:pt>
                <c:pt idx="3451">
                  <c:v>39978</c:v>
                </c:pt>
                <c:pt idx="3452">
                  <c:v>39979</c:v>
                </c:pt>
                <c:pt idx="3453">
                  <c:v>39980</c:v>
                </c:pt>
                <c:pt idx="3454">
                  <c:v>39981</c:v>
                </c:pt>
                <c:pt idx="3455">
                  <c:v>39982</c:v>
                </c:pt>
                <c:pt idx="3456">
                  <c:v>39983</c:v>
                </c:pt>
                <c:pt idx="3457">
                  <c:v>39984</c:v>
                </c:pt>
                <c:pt idx="3458">
                  <c:v>39985</c:v>
                </c:pt>
                <c:pt idx="3459">
                  <c:v>39986</c:v>
                </c:pt>
                <c:pt idx="3460">
                  <c:v>39987</c:v>
                </c:pt>
                <c:pt idx="3461">
                  <c:v>39988</c:v>
                </c:pt>
                <c:pt idx="3462">
                  <c:v>39989</c:v>
                </c:pt>
                <c:pt idx="3463">
                  <c:v>39990</c:v>
                </c:pt>
                <c:pt idx="3464">
                  <c:v>39991</c:v>
                </c:pt>
                <c:pt idx="3465">
                  <c:v>39992</c:v>
                </c:pt>
                <c:pt idx="3466">
                  <c:v>39993</c:v>
                </c:pt>
                <c:pt idx="3467">
                  <c:v>39994</c:v>
                </c:pt>
                <c:pt idx="3468">
                  <c:v>39995</c:v>
                </c:pt>
                <c:pt idx="3469">
                  <c:v>39996</c:v>
                </c:pt>
                <c:pt idx="3470">
                  <c:v>39997</c:v>
                </c:pt>
                <c:pt idx="3471">
                  <c:v>39998</c:v>
                </c:pt>
                <c:pt idx="3472">
                  <c:v>39999</c:v>
                </c:pt>
                <c:pt idx="3473">
                  <c:v>40000</c:v>
                </c:pt>
                <c:pt idx="3474">
                  <c:v>40001</c:v>
                </c:pt>
                <c:pt idx="3475">
                  <c:v>40002</c:v>
                </c:pt>
                <c:pt idx="3476">
                  <c:v>40003</c:v>
                </c:pt>
                <c:pt idx="3477">
                  <c:v>40004</c:v>
                </c:pt>
                <c:pt idx="3478">
                  <c:v>40005</c:v>
                </c:pt>
                <c:pt idx="3479">
                  <c:v>40006</c:v>
                </c:pt>
                <c:pt idx="3480">
                  <c:v>40007</c:v>
                </c:pt>
                <c:pt idx="3481">
                  <c:v>40008</c:v>
                </c:pt>
                <c:pt idx="3482">
                  <c:v>40009</c:v>
                </c:pt>
                <c:pt idx="3483">
                  <c:v>40010</c:v>
                </c:pt>
                <c:pt idx="3484">
                  <c:v>40011</c:v>
                </c:pt>
                <c:pt idx="3485">
                  <c:v>40012</c:v>
                </c:pt>
                <c:pt idx="3486">
                  <c:v>40013</c:v>
                </c:pt>
                <c:pt idx="3487">
                  <c:v>40014</c:v>
                </c:pt>
                <c:pt idx="3488">
                  <c:v>40015</c:v>
                </c:pt>
                <c:pt idx="3489">
                  <c:v>40016</c:v>
                </c:pt>
                <c:pt idx="3490">
                  <c:v>40017</c:v>
                </c:pt>
                <c:pt idx="3491">
                  <c:v>40018</c:v>
                </c:pt>
                <c:pt idx="3492">
                  <c:v>40019</c:v>
                </c:pt>
                <c:pt idx="3493">
                  <c:v>40020</c:v>
                </c:pt>
                <c:pt idx="3494">
                  <c:v>40021</c:v>
                </c:pt>
                <c:pt idx="3495">
                  <c:v>40022</c:v>
                </c:pt>
                <c:pt idx="3496">
                  <c:v>40023</c:v>
                </c:pt>
                <c:pt idx="3497">
                  <c:v>40024</c:v>
                </c:pt>
                <c:pt idx="3498">
                  <c:v>40025</c:v>
                </c:pt>
                <c:pt idx="3499">
                  <c:v>40026</c:v>
                </c:pt>
                <c:pt idx="3500">
                  <c:v>40027</c:v>
                </c:pt>
                <c:pt idx="3501">
                  <c:v>40028</c:v>
                </c:pt>
                <c:pt idx="3502">
                  <c:v>40029</c:v>
                </c:pt>
                <c:pt idx="3503">
                  <c:v>40030</c:v>
                </c:pt>
                <c:pt idx="3504">
                  <c:v>40031</c:v>
                </c:pt>
                <c:pt idx="3505">
                  <c:v>40032</c:v>
                </c:pt>
                <c:pt idx="3506">
                  <c:v>40033</c:v>
                </c:pt>
                <c:pt idx="3507">
                  <c:v>40034</c:v>
                </c:pt>
                <c:pt idx="3508">
                  <c:v>40035</c:v>
                </c:pt>
                <c:pt idx="3509">
                  <c:v>40036</c:v>
                </c:pt>
                <c:pt idx="3510">
                  <c:v>40037</c:v>
                </c:pt>
                <c:pt idx="3511">
                  <c:v>40038</c:v>
                </c:pt>
                <c:pt idx="3512">
                  <c:v>40039</c:v>
                </c:pt>
                <c:pt idx="3513">
                  <c:v>40040</c:v>
                </c:pt>
                <c:pt idx="3514">
                  <c:v>40041</c:v>
                </c:pt>
                <c:pt idx="3515">
                  <c:v>40042</c:v>
                </c:pt>
                <c:pt idx="3516">
                  <c:v>40043</c:v>
                </c:pt>
                <c:pt idx="3517">
                  <c:v>40044</c:v>
                </c:pt>
                <c:pt idx="3518">
                  <c:v>40045</c:v>
                </c:pt>
                <c:pt idx="3519">
                  <c:v>40046</c:v>
                </c:pt>
                <c:pt idx="3520">
                  <c:v>40047</c:v>
                </c:pt>
                <c:pt idx="3521">
                  <c:v>40048</c:v>
                </c:pt>
                <c:pt idx="3522">
                  <c:v>40049</c:v>
                </c:pt>
                <c:pt idx="3523">
                  <c:v>40050</c:v>
                </c:pt>
                <c:pt idx="3524">
                  <c:v>40051</c:v>
                </c:pt>
                <c:pt idx="3525">
                  <c:v>40052</c:v>
                </c:pt>
                <c:pt idx="3526">
                  <c:v>40053</c:v>
                </c:pt>
                <c:pt idx="3527">
                  <c:v>40054</c:v>
                </c:pt>
                <c:pt idx="3528">
                  <c:v>40055</c:v>
                </c:pt>
                <c:pt idx="3529">
                  <c:v>40056</c:v>
                </c:pt>
                <c:pt idx="3530">
                  <c:v>40057</c:v>
                </c:pt>
                <c:pt idx="3531">
                  <c:v>40058</c:v>
                </c:pt>
                <c:pt idx="3532">
                  <c:v>40059</c:v>
                </c:pt>
                <c:pt idx="3533">
                  <c:v>40060</c:v>
                </c:pt>
                <c:pt idx="3534">
                  <c:v>40061</c:v>
                </c:pt>
                <c:pt idx="3535">
                  <c:v>40062</c:v>
                </c:pt>
                <c:pt idx="3536">
                  <c:v>40063</c:v>
                </c:pt>
                <c:pt idx="3537">
                  <c:v>40064</c:v>
                </c:pt>
                <c:pt idx="3538">
                  <c:v>40065</c:v>
                </c:pt>
                <c:pt idx="3539">
                  <c:v>40066</c:v>
                </c:pt>
                <c:pt idx="3540">
                  <c:v>40067</c:v>
                </c:pt>
                <c:pt idx="3541">
                  <c:v>40068</c:v>
                </c:pt>
                <c:pt idx="3542">
                  <c:v>40069</c:v>
                </c:pt>
                <c:pt idx="3543">
                  <c:v>40070</c:v>
                </c:pt>
                <c:pt idx="3544">
                  <c:v>40071</c:v>
                </c:pt>
                <c:pt idx="3545">
                  <c:v>40072</c:v>
                </c:pt>
                <c:pt idx="3546">
                  <c:v>40073</c:v>
                </c:pt>
                <c:pt idx="3547">
                  <c:v>40074</c:v>
                </c:pt>
                <c:pt idx="3548">
                  <c:v>40075</c:v>
                </c:pt>
                <c:pt idx="3549">
                  <c:v>40076</c:v>
                </c:pt>
                <c:pt idx="3550">
                  <c:v>40077</c:v>
                </c:pt>
                <c:pt idx="3551">
                  <c:v>40078</c:v>
                </c:pt>
                <c:pt idx="3552">
                  <c:v>40079</c:v>
                </c:pt>
                <c:pt idx="3553">
                  <c:v>40080</c:v>
                </c:pt>
                <c:pt idx="3554">
                  <c:v>40081</c:v>
                </c:pt>
                <c:pt idx="3555">
                  <c:v>40082</c:v>
                </c:pt>
                <c:pt idx="3556">
                  <c:v>40083</c:v>
                </c:pt>
                <c:pt idx="3557">
                  <c:v>40084</c:v>
                </c:pt>
                <c:pt idx="3558">
                  <c:v>40085</c:v>
                </c:pt>
                <c:pt idx="3559">
                  <c:v>40086</c:v>
                </c:pt>
                <c:pt idx="3560">
                  <c:v>40087</c:v>
                </c:pt>
                <c:pt idx="3561">
                  <c:v>40088</c:v>
                </c:pt>
                <c:pt idx="3562">
                  <c:v>40089</c:v>
                </c:pt>
                <c:pt idx="3563">
                  <c:v>40090</c:v>
                </c:pt>
                <c:pt idx="3564">
                  <c:v>40091</c:v>
                </c:pt>
                <c:pt idx="3565">
                  <c:v>40092</c:v>
                </c:pt>
                <c:pt idx="3566">
                  <c:v>40093</c:v>
                </c:pt>
                <c:pt idx="3567">
                  <c:v>40094</c:v>
                </c:pt>
                <c:pt idx="3568">
                  <c:v>40095</c:v>
                </c:pt>
                <c:pt idx="3569">
                  <c:v>40096</c:v>
                </c:pt>
                <c:pt idx="3570">
                  <c:v>40097</c:v>
                </c:pt>
                <c:pt idx="3571">
                  <c:v>40098</c:v>
                </c:pt>
                <c:pt idx="3572">
                  <c:v>40099</c:v>
                </c:pt>
                <c:pt idx="3573">
                  <c:v>40100</c:v>
                </c:pt>
                <c:pt idx="3574">
                  <c:v>40101</c:v>
                </c:pt>
                <c:pt idx="3575">
                  <c:v>40102</c:v>
                </c:pt>
                <c:pt idx="3576">
                  <c:v>40103</c:v>
                </c:pt>
                <c:pt idx="3577">
                  <c:v>40104</c:v>
                </c:pt>
                <c:pt idx="3578">
                  <c:v>40105</c:v>
                </c:pt>
                <c:pt idx="3579">
                  <c:v>40106</c:v>
                </c:pt>
                <c:pt idx="3580">
                  <c:v>40107</c:v>
                </c:pt>
                <c:pt idx="3581">
                  <c:v>40108</c:v>
                </c:pt>
                <c:pt idx="3582">
                  <c:v>40109</c:v>
                </c:pt>
                <c:pt idx="3583">
                  <c:v>40110</c:v>
                </c:pt>
                <c:pt idx="3584">
                  <c:v>40111</c:v>
                </c:pt>
                <c:pt idx="3585">
                  <c:v>40112</c:v>
                </c:pt>
                <c:pt idx="3586">
                  <c:v>40113</c:v>
                </c:pt>
                <c:pt idx="3587">
                  <c:v>40114</c:v>
                </c:pt>
                <c:pt idx="3588">
                  <c:v>40115</c:v>
                </c:pt>
                <c:pt idx="3589">
                  <c:v>40116</c:v>
                </c:pt>
                <c:pt idx="3590">
                  <c:v>40117</c:v>
                </c:pt>
                <c:pt idx="3591">
                  <c:v>40118</c:v>
                </c:pt>
                <c:pt idx="3592">
                  <c:v>40119</c:v>
                </c:pt>
                <c:pt idx="3593">
                  <c:v>40120</c:v>
                </c:pt>
                <c:pt idx="3594">
                  <c:v>40121</c:v>
                </c:pt>
                <c:pt idx="3595">
                  <c:v>40122</c:v>
                </c:pt>
                <c:pt idx="3596">
                  <c:v>40123</c:v>
                </c:pt>
                <c:pt idx="3597">
                  <c:v>40124</c:v>
                </c:pt>
                <c:pt idx="3598">
                  <c:v>40125</c:v>
                </c:pt>
                <c:pt idx="3599">
                  <c:v>40126</c:v>
                </c:pt>
                <c:pt idx="3600">
                  <c:v>40127</c:v>
                </c:pt>
                <c:pt idx="3601">
                  <c:v>40128</c:v>
                </c:pt>
                <c:pt idx="3602">
                  <c:v>40129</c:v>
                </c:pt>
                <c:pt idx="3603">
                  <c:v>40130</c:v>
                </c:pt>
                <c:pt idx="3604">
                  <c:v>40131</c:v>
                </c:pt>
                <c:pt idx="3605">
                  <c:v>40132</c:v>
                </c:pt>
                <c:pt idx="3606">
                  <c:v>40133</c:v>
                </c:pt>
                <c:pt idx="3607">
                  <c:v>40134</c:v>
                </c:pt>
                <c:pt idx="3608">
                  <c:v>40135</c:v>
                </c:pt>
                <c:pt idx="3609">
                  <c:v>40136</c:v>
                </c:pt>
                <c:pt idx="3610">
                  <c:v>40137</c:v>
                </c:pt>
                <c:pt idx="3611">
                  <c:v>40138</c:v>
                </c:pt>
                <c:pt idx="3612">
                  <c:v>40139</c:v>
                </c:pt>
                <c:pt idx="3613">
                  <c:v>40140</c:v>
                </c:pt>
                <c:pt idx="3614">
                  <c:v>40141</c:v>
                </c:pt>
                <c:pt idx="3615">
                  <c:v>40142</c:v>
                </c:pt>
                <c:pt idx="3616">
                  <c:v>40143</c:v>
                </c:pt>
                <c:pt idx="3617">
                  <c:v>40144</c:v>
                </c:pt>
                <c:pt idx="3618">
                  <c:v>40145</c:v>
                </c:pt>
                <c:pt idx="3619">
                  <c:v>40146</c:v>
                </c:pt>
                <c:pt idx="3620">
                  <c:v>40147</c:v>
                </c:pt>
                <c:pt idx="3621">
                  <c:v>40148</c:v>
                </c:pt>
                <c:pt idx="3622">
                  <c:v>40149</c:v>
                </c:pt>
                <c:pt idx="3623">
                  <c:v>40150</c:v>
                </c:pt>
                <c:pt idx="3624">
                  <c:v>40151</c:v>
                </c:pt>
                <c:pt idx="3625">
                  <c:v>40152</c:v>
                </c:pt>
                <c:pt idx="3626">
                  <c:v>40153</c:v>
                </c:pt>
                <c:pt idx="3627">
                  <c:v>40154</c:v>
                </c:pt>
                <c:pt idx="3628">
                  <c:v>40155</c:v>
                </c:pt>
                <c:pt idx="3629">
                  <c:v>40156</c:v>
                </c:pt>
                <c:pt idx="3630">
                  <c:v>40157</c:v>
                </c:pt>
                <c:pt idx="3631">
                  <c:v>40158</c:v>
                </c:pt>
                <c:pt idx="3632">
                  <c:v>40159</c:v>
                </c:pt>
                <c:pt idx="3633">
                  <c:v>40160</c:v>
                </c:pt>
                <c:pt idx="3634">
                  <c:v>40161</c:v>
                </c:pt>
                <c:pt idx="3635">
                  <c:v>40162</c:v>
                </c:pt>
                <c:pt idx="3636">
                  <c:v>40163</c:v>
                </c:pt>
                <c:pt idx="3637">
                  <c:v>40164</c:v>
                </c:pt>
                <c:pt idx="3638">
                  <c:v>40165</c:v>
                </c:pt>
                <c:pt idx="3639">
                  <c:v>40166</c:v>
                </c:pt>
                <c:pt idx="3640">
                  <c:v>40167</c:v>
                </c:pt>
                <c:pt idx="3641">
                  <c:v>40168</c:v>
                </c:pt>
                <c:pt idx="3642">
                  <c:v>40169</c:v>
                </c:pt>
                <c:pt idx="3643">
                  <c:v>40170</c:v>
                </c:pt>
                <c:pt idx="3644">
                  <c:v>40171</c:v>
                </c:pt>
                <c:pt idx="3645">
                  <c:v>40172</c:v>
                </c:pt>
                <c:pt idx="3646">
                  <c:v>40173</c:v>
                </c:pt>
                <c:pt idx="3647">
                  <c:v>40174</c:v>
                </c:pt>
                <c:pt idx="3648">
                  <c:v>40175</c:v>
                </c:pt>
                <c:pt idx="3649">
                  <c:v>40176</c:v>
                </c:pt>
                <c:pt idx="3650">
                  <c:v>40177</c:v>
                </c:pt>
                <c:pt idx="3651">
                  <c:v>40178</c:v>
                </c:pt>
                <c:pt idx="3652">
                  <c:v>40179</c:v>
                </c:pt>
                <c:pt idx="3653">
                  <c:v>40180</c:v>
                </c:pt>
                <c:pt idx="3654">
                  <c:v>40181</c:v>
                </c:pt>
                <c:pt idx="3655">
                  <c:v>40182</c:v>
                </c:pt>
                <c:pt idx="3656">
                  <c:v>40183</c:v>
                </c:pt>
                <c:pt idx="3657">
                  <c:v>40184</c:v>
                </c:pt>
                <c:pt idx="3658">
                  <c:v>40185</c:v>
                </c:pt>
                <c:pt idx="3659">
                  <c:v>40186</c:v>
                </c:pt>
                <c:pt idx="3660">
                  <c:v>40187</c:v>
                </c:pt>
                <c:pt idx="3661">
                  <c:v>40188</c:v>
                </c:pt>
                <c:pt idx="3662">
                  <c:v>40189</c:v>
                </c:pt>
                <c:pt idx="3663">
                  <c:v>40190</c:v>
                </c:pt>
                <c:pt idx="3664">
                  <c:v>40191</c:v>
                </c:pt>
                <c:pt idx="3665">
                  <c:v>40192</c:v>
                </c:pt>
                <c:pt idx="3666">
                  <c:v>40193</c:v>
                </c:pt>
                <c:pt idx="3667">
                  <c:v>40194</c:v>
                </c:pt>
                <c:pt idx="3668">
                  <c:v>40195</c:v>
                </c:pt>
                <c:pt idx="3669">
                  <c:v>40196</c:v>
                </c:pt>
                <c:pt idx="3670">
                  <c:v>40197</c:v>
                </c:pt>
                <c:pt idx="3671">
                  <c:v>40198</c:v>
                </c:pt>
                <c:pt idx="3672">
                  <c:v>40199</c:v>
                </c:pt>
                <c:pt idx="3673">
                  <c:v>40200</c:v>
                </c:pt>
                <c:pt idx="3674">
                  <c:v>40201</c:v>
                </c:pt>
                <c:pt idx="3675">
                  <c:v>40202</c:v>
                </c:pt>
                <c:pt idx="3676">
                  <c:v>40203</c:v>
                </c:pt>
                <c:pt idx="3677">
                  <c:v>40204</c:v>
                </c:pt>
                <c:pt idx="3678">
                  <c:v>40205</c:v>
                </c:pt>
                <c:pt idx="3679">
                  <c:v>40206</c:v>
                </c:pt>
                <c:pt idx="3680">
                  <c:v>40207</c:v>
                </c:pt>
                <c:pt idx="3681">
                  <c:v>40208</c:v>
                </c:pt>
                <c:pt idx="3682">
                  <c:v>40209</c:v>
                </c:pt>
                <c:pt idx="3683">
                  <c:v>40210</c:v>
                </c:pt>
                <c:pt idx="3684">
                  <c:v>40211</c:v>
                </c:pt>
                <c:pt idx="3685">
                  <c:v>40212</c:v>
                </c:pt>
                <c:pt idx="3686">
                  <c:v>40213</c:v>
                </c:pt>
                <c:pt idx="3687">
                  <c:v>40214</c:v>
                </c:pt>
                <c:pt idx="3688">
                  <c:v>40215</c:v>
                </c:pt>
                <c:pt idx="3689">
                  <c:v>40216</c:v>
                </c:pt>
                <c:pt idx="3690">
                  <c:v>40217</c:v>
                </c:pt>
                <c:pt idx="3691">
                  <c:v>40218</c:v>
                </c:pt>
                <c:pt idx="3692">
                  <c:v>40219</c:v>
                </c:pt>
                <c:pt idx="3693">
                  <c:v>40220</c:v>
                </c:pt>
                <c:pt idx="3694">
                  <c:v>40221</c:v>
                </c:pt>
                <c:pt idx="3695">
                  <c:v>40222</c:v>
                </c:pt>
                <c:pt idx="3696">
                  <c:v>40223</c:v>
                </c:pt>
                <c:pt idx="3697">
                  <c:v>40224</c:v>
                </c:pt>
                <c:pt idx="3698">
                  <c:v>40225</c:v>
                </c:pt>
                <c:pt idx="3699">
                  <c:v>40226</c:v>
                </c:pt>
                <c:pt idx="3700">
                  <c:v>40227</c:v>
                </c:pt>
                <c:pt idx="3701">
                  <c:v>40228</c:v>
                </c:pt>
                <c:pt idx="3702">
                  <c:v>40229</c:v>
                </c:pt>
                <c:pt idx="3703">
                  <c:v>40230</c:v>
                </c:pt>
                <c:pt idx="3704">
                  <c:v>40231</c:v>
                </c:pt>
                <c:pt idx="3705">
                  <c:v>40232</c:v>
                </c:pt>
                <c:pt idx="3706">
                  <c:v>40233</c:v>
                </c:pt>
                <c:pt idx="3707">
                  <c:v>40234</c:v>
                </c:pt>
                <c:pt idx="3708">
                  <c:v>40235</c:v>
                </c:pt>
                <c:pt idx="3709">
                  <c:v>40236</c:v>
                </c:pt>
                <c:pt idx="3710">
                  <c:v>40237</c:v>
                </c:pt>
                <c:pt idx="3711">
                  <c:v>40238</c:v>
                </c:pt>
                <c:pt idx="3712">
                  <c:v>40239</c:v>
                </c:pt>
                <c:pt idx="3713">
                  <c:v>40240</c:v>
                </c:pt>
                <c:pt idx="3714">
                  <c:v>40241</c:v>
                </c:pt>
                <c:pt idx="3715">
                  <c:v>40242</c:v>
                </c:pt>
                <c:pt idx="3716">
                  <c:v>40243</c:v>
                </c:pt>
                <c:pt idx="3717">
                  <c:v>40244</c:v>
                </c:pt>
                <c:pt idx="3718">
                  <c:v>40245</c:v>
                </c:pt>
                <c:pt idx="3719">
                  <c:v>40246</c:v>
                </c:pt>
                <c:pt idx="3720">
                  <c:v>40247</c:v>
                </c:pt>
                <c:pt idx="3721">
                  <c:v>40248</c:v>
                </c:pt>
                <c:pt idx="3722">
                  <c:v>40249</c:v>
                </c:pt>
                <c:pt idx="3723">
                  <c:v>40250</c:v>
                </c:pt>
                <c:pt idx="3724">
                  <c:v>40251</c:v>
                </c:pt>
                <c:pt idx="3725">
                  <c:v>40252</c:v>
                </c:pt>
                <c:pt idx="3726">
                  <c:v>40253</c:v>
                </c:pt>
                <c:pt idx="3727">
                  <c:v>40254</c:v>
                </c:pt>
                <c:pt idx="3728">
                  <c:v>40255</c:v>
                </c:pt>
                <c:pt idx="3729">
                  <c:v>40256</c:v>
                </c:pt>
                <c:pt idx="3730">
                  <c:v>40257</c:v>
                </c:pt>
                <c:pt idx="3731">
                  <c:v>40258</c:v>
                </c:pt>
                <c:pt idx="3732">
                  <c:v>40259</c:v>
                </c:pt>
                <c:pt idx="3733">
                  <c:v>40260</c:v>
                </c:pt>
                <c:pt idx="3734">
                  <c:v>40261</c:v>
                </c:pt>
                <c:pt idx="3735">
                  <c:v>40262</c:v>
                </c:pt>
                <c:pt idx="3736">
                  <c:v>40263</c:v>
                </c:pt>
                <c:pt idx="3737">
                  <c:v>40264</c:v>
                </c:pt>
                <c:pt idx="3738">
                  <c:v>40265</c:v>
                </c:pt>
                <c:pt idx="3739">
                  <c:v>40266</c:v>
                </c:pt>
                <c:pt idx="3740">
                  <c:v>40267</c:v>
                </c:pt>
                <c:pt idx="3741">
                  <c:v>40268</c:v>
                </c:pt>
                <c:pt idx="3742">
                  <c:v>40269</c:v>
                </c:pt>
                <c:pt idx="3743">
                  <c:v>40270</c:v>
                </c:pt>
                <c:pt idx="3744">
                  <c:v>40271</c:v>
                </c:pt>
                <c:pt idx="3745">
                  <c:v>40272</c:v>
                </c:pt>
                <c:pt idx="3746">
                  <c:v>40273</c:v>
                </c:pt>
                <c:pt idx="3747">
                  <c:v>40274</c:v>
                </c:pt>
                <c:pt idx="3748">
                  <c:v>40275</c:v>
                </c:pt>
                <c:pt idx="3749">
                  <c:v>40276</c:v>
                </c:pt>
                <c:pt idx="3750">
                  <c:v>40277</c:v>
                </c:pt>
                <c:pt idx="3751">
                  <c:v>40278</c:v>
                </c:pt>
                <c:pt idx="3752">
                  <c:v>40279</c:v>
                </c:pt>
                <c:pt idx="3753">
                  <c:v>40280</c:v>
                </c:pt>
                <c:pt idx="3754">
                  <c:v>40281</c:v>
                </c:pt>
                <c:pt idx="3755">
                  <c:v>40282</c:v>
                </c:pt>
                <c:pt idx="3756">
                  <c:v>40283</c:v>
                </c:pt>
                <c:pt idx="3757">
                  <c:v>40284</c:v>
                </c:pt>
                <c:pt idx="3758">
                  <c:v>40285</c:v>
                </c:pt>
                <c:pt idx="3759">
                  <c:v>40286</c:v>
                </c:pt>
                <c:pt idx="3760">
                  <c:v>40287</c:v>
                </c:pt>
                <c:pt idx="3761">
                  <c:v>40288</c:v>
                </c:pt>
                <c:pt idx="3762">
                  <c:v>40289</c:v>
                </c:pt>
                <c:pt idx="3763">
                  <c:v>40290</c:v>
                </c:pt>
                <c:pt idx="3764">
                  <c:v>40291</c:v>
                </c:pt>
                <c:pt idx="3765">
                  <c:v>40292</c:v>
                </c:pt>
                <c:pt idx="3766">
                  <c:v>40293</c:v>
                </c:pt>
                <c:pt idx="3767">
                  <c:v>40294</c:v>
                </c:pt>
                <c:pt idx="3768">
                  <c:v>40295</c:v>
                </c:pt>
                <c:pt idx="3769">
                  <c:v>40296</c:v>
                </c:pt>
                <c:pt idx="3770">
                  <c:v>40297</c:v>
                </c:pt>
                <c:pt idx="3771">
                  <c:v>40298</c:v>
                </c:pt>
                <c:pt idx="3772">
                  <c:v>40299</c:v>
                </c:pt>
                <c:pt idx="3773">
                  <c:v>40300</c:v>
                </c:pt>
                <c:pt idx="3774">
                  <c:v>40301</c:v>
                </c:pt>
                <c:pt idx="3775">
                  <c:v>40302</c:v>
                </c:pt>
                <c:pt idx="3776">
                  <c:v>40303</c:v>
                </c:pt>
                <c:pt idx="3777">
                  <c:v>40304</c:v>
                </c:pt>
                <c:pt idx="3778">
                  <c:v>40305</c:v>
                </c:pt>
                <c:pt idx="3779">
                  <c:v>40306</c:v>
                </c:pt>
                <c:pt idx="3780">
                  <c:v>40307</c:v>
                </c:pt>
                <c:pt idx="3781">
                  <c:v>40308</c:v>
                </c:pt>
                <c:pt idx="3782">
                  <c:v>40309</c:v>
                </c:pt>
                <c:pt idx="3783">
                  <c:v>40310</c:v>
                </c:pt>
                <c:pt idx="3784">
                  <c:v>40311</c:v>
                </c:pt>
                <c:pt idx="3785">
                  <c:v>40312</c:v>
                </c:pt>
                <c:pt idx="3786">
                  <c:v>40313</c:v>
                </c:pt>
                <c:pt idx="3787">
                  <c:v>40314</c:v>
                </c:pt>
                <c:pt idx="3788">
                  <c:v>40315</c:v>
                </c:pt>
                <c:pt idx="3789">
                  <c:v>40316</c:v>
                </c:pt>
                <c:pt idx="3790">
                  <c:v>40317</c:v>
                </c:pt>
                <c:pt idx="3791">
                  <c:v>40318</c:v>
                </c:pt>
                <c:pt idx="3792">
                  <c:v>40319</c:v>
                </c:pt>
                <c:pt idx="3793">
                  <c:v>40320</c:v>
                </c:pt>
                <c:pt idx="3794">
                  <c:v>40321</c:v>
                </c:pt>
                <c:pt idx="3795">
                  <c:v>40322</c:v>
                </c:pt>
                <c:pt idx="3796">
                  <c:v>40323</c:v>
                </c:pt>
                <c:pt idx="3797">
                  <c:v>40324</c:v>
                </c:pt>
                <c:pt idx="3798">
                  <c:v>40325</c:v>
                </c:pt>
                <c:pt idx="3799">
                  <c:v>40326</c:v>
                </c:pt>
                <c:pt idx="3800">
                  <c:v>40327</c:v>
                </c:pt>
                <c:pt idx="3801">
                  <c:v>40328</c:v>
                </c:pt>
                <c:pt idx="3802">
                  <c:v>40329</c:v>
                </c:pt>
                <c:pt idx="3803">
                  <c:v>40330</c:v>
                </c:pt>
                <c:pt idx="3804">
                  <c:v>40331</c:v>
                </c:pt>
                <c:pt idx="3805">
                  <c:v>40332</c:v>
                </c:pt>
                <c:pt idx="3806">
                  <c:v>40333</c:v>
                </c:pt>
                <c:pt idx="3807">
                  <c:v>40334</c:v>
                </c:pt>
                <c:pt idx="3808">
                  <c:v>40335</c:v>
                </c:pt>
                <c:pt idx="3809">
                  <c:v>40336</c:v>
                </c:pt>
                <c:pt idx="3810">
                  <c:v>40337</c:v>
                </c:pt>
                <c:pt idx="3811">
                  <c:v>40338</c:v>
                </c:pt>
                <c:pt idx="3812">
                  <c:v>40339</c:v>
                </c:pt>
                <c:pt idx="3813">
                  <c:v>40340</c:v>
                </c:pt>
                <c:pt idx="3814">
                  <c:v>40341</c:v>
                </c:pt>
                <c:pt idx="3815">
                  <c:v>40342</c:v>
                </c:pt>
                <c:pt idx="3816">
                  <c:v>40343</c:v>
                </c:pt>
                <c:pt idx="3817">
                  <c:v>40344</c:v>
                </c:pt>
                <c:pt idx="3818">
                  <c:v>40345</c:v>
                </c:pt>
                <c:pt idx="3819">
                  <c:v>40346</c:v>
                </c:pt>
                <c:pt idx="3820">
                  <c:v>40347</c:v>
                </c:pt>
                <c:pt idx="3821">
                  <c:v>40348</c:v>
                </c:pt>
                <c:pt idx="3822">
                  <c:v>40349</c:v>
                </c:pt>
                <c:pt idx="3823">
                  <c:v>40350</c:v>
                </c:pt>
                <c:pt idx="3824">
                  <c:v>40351</c:v>
                </c:pt>
                <c:pt idx="3825">
                  <c:v>40352</c:v>
                </c:pt>
                <c:pt idx="3826">
                  <c:v>40353</c:v>
                </c:pt>
                <c:pt idx="3827">
                  <c:v>40354</c:v>
                </c:pt>
                <c:pt idx="3828">
                  <c:v>40355</c:v>
                </c:pt>
                <c:pt idx="3829">
                  <c:v>40356</c:v>
                </c:pt>
                <c:pt idx="3830">
                  <c:v>40357</c:v>
                </c:pt>
                <c:pt idx="3831">
                  <c:v>40358</c:v>
                </c:pt>
                <c:pt idx="3832">
                  <c:v>40359</c:v>
                </c:pt>
                <c:pt idx="3833">
                  <c:v>40360</c:v>
                </c:pt>
                <c:pt idx="3834">
                  <c:v>40361</c:v>
                </c:pt>
                <c:pt idx="3835">
                  <c:v>40362</c:v>
                </c:pt>
                <c:pt idx="3836">
                  <c:v>40363</c:v>
                </c:pt>
                <c:pt idx="3837">
                  <c:v>40364</c:v>
                </c:pt>
                <c:pt idx="3838">
                  <c:v>40365</c:v>
                </c:pt>
                <c:pt idx="3839">
                  <c:v>40366</c:v>
                </c:pt>
                <c:pt idx="3840">
                  <c:v>40367</c:v>
                </c:pt>
                <c:pt idx="3841">
                  <c:v>40368</c:v>
                </c:pt>
                <c:pt idx="3842">
                  <c:v>40369</c:v>
                </c:pt>
                <c:pt idx="3843">
                  <c:v>40370</c:v>
                </c:pt>
                <c:pt idx="3844">
                  <c:v>40371</c:v>
                </c:pt>
                <c:pt idx="3845">
                  <c:v>40372</c:v>
                </c:pt>
                <c:pt idx="3846">
                  <c:v>40373</c:v>
                </c:pt>
                <c:pt idx="3847">
                  <c:v>40374</c:v>
                </c:pt>
                <c:pt idx="3848">
                  <c:v>40375</c:v>
                </c:pt>
                <c:pt idx="3849">
                  <c:v>40376</c:v>
                </c:pt>
                <c:pt idx="3850">
                  <c:v>40377</c:v>
                </c:pt>
                <c:pt idx="3851">
                  <c:v>40378</c:v>
                </c:pt>
                <c:pt idx="3852">
                  <c:v>40379</c:v>
                </c:pt>
                <c:pt idx="3853">
                  <c:v>40380</c:v>
                </c:pt>
                <c:pt idx="3854">
                  <c:v>40381</c:v>
                </c:pt>
                <c:pt idx="3855">
                  <c:v>40382</c:v>
                </c:pt>
                <c:pt idx="3856">
                  <c:v>40383</c:v>
                </c:pt>
                <c:pt idx="3857">
                  <c:v>40384</c:v>
                </c:pt>
                <c:pt idx="3858">
                  <c:v>40385</c:v>
                </c:pt>
                <c:pt idx="3859">
                  <c:v>40386</c:v>
                </c:pt>
                <c:pt idx="3860">
                  <c:v>40387</c:v>
                </c:pt>
                <c:pt idx="3861">
                  <c:v>40388</c:v>
                </c:pt>
                <c:pt idx="3862">
                  <c:v>40389</c:v>
                </c:pt>
                <c:pt idx="3863">
                  <c:v>40390</c:v>
                </c:pt>
                <c:pt idx="3864">
                  <c:v>40391</c:v>
                </c:pt>
                <c:pt idx="3865">
                  <c:v>40392</c:v>
                </c:pt>
                <c:pt idx="3866">
                  <c:v>40393</c:v>
                </c:pt>
                <c:pt idx="3867">
                  <c:v>40394</c:v>
                </c:pt>
                <c:pt idx="3868">
                  <c:v>40395</c:v>
                </c:pt>
                <c:pt idx="3869">
                  <c:v>40396</c:v>
                </c:pt>
                <c:pt idx="3870">
                  <c:v>40397</c:v>
                </c:pt>
                <c:pt idx="3871">
                  <c:v>40398</c:v>
                </c:pt>
                <c:pt idx="3872">
                  <c:v>40399</c:v>
                </c:pt>
                <c:pt idx="3873">
                  <c:v>40400</c:v>
                </c:pt>
                <c:pt idx="3874">
                  <c:v>40401</c:v>
                </c:pt>
                <c:pt idx="3875">
                  <c:v>40402</c:v>
                </c:pt>
                <c:pt idx="3876">
                  <c:v>40403</c:v>
                </c:pt>
                <c:pt idx="3877">
                  <c:v>40404</c:v>
                </c:pt>
                <c:pt idx="3878">
                  <c:v>40405</c:v>
                </c:pt>
                <c:pt idx="3879">
                  <c:v>40406</c:v>
                </c:pt>
                <c:pt idx="3880">
                  <c:v>40407</c:v>
                </c:pt>
                <c:pt idx="3881">
                  <c:v>40408</c:v>
                </c:pt>
                <c:pt idx="3882">
                  <c:v>40409</c:v>
                </c:pt>
                <c:pt idx="3883">
                  <c:v>40410</c:v>
                </c:pt>
                <c:pt idx="3884">
                  <c:v>40411</c:v>
                </c:pt>
                <c:pt idx="3885">
                  <c:v>40412</c:v>
                </c:pt>
                <c:pt idx="3886">
                  <c:v>40413</c:v>
                </c:pt>
                <c:pt idx="3887">
                  <c:v>40414</c:v>
                </c:pt>
                <c:pt idx="3888">
                  <c:v>40415</c:v>
                </c:pt>
                <c:pt idx="3889">
                  <c:v>40416</c:v>
                </c:pt>
                <c:pt idx="3890">
                  <c:v>40417</c:v>
                </c:pt>
                <c:pt idx="3891">
                  <c:v>40418</c:v>
                </c:pt>
                <c:pt idx="3892">
                  <c:v>40419</c:v>
                </c:pt>
                <c:pt idx="3893">
                  <c:v>40420</c:v>
                </c:pt>
                <c:pt idx="3894">
                  <c:v>40421</c:v>
                </c:pt>
                <c:pt idx="3895">
                  <c:v>40422</c:v>
                </c:pt>
                <c:pt idx="3896">
                  <c:v>40423</c:v>
                </c:pt>
                <c:pt idx="3897">
                  <c:v>40424</c:v>
                </c:pt>
                <c:pt idx="3898">
                  <c:v>40425</c:v>
                </c:pt>
                <c:pt idx="3899">
                  <c:v>40426</c:v>
                </c:pt>
                <c:pt idx="3900">
                  <c:v>40427</c:v>
                </c:pt>
                <c:pt idx="3901">
                  <c:v>40428</c:v>
                </c:pt>
                <c:pt idx="3902">
                  <c:v>40429</c:v>
                </c:pt>
                <c:pt idx="3903">
                  <c:v>40430</c:v>
                </c:pt>
                <c:pt idx="3904">
                  <c:v>40431</c:v>
                </c:pt>
                <c:pt idx="3905">
                  <c:v>40432</c:v>
                </c:pt>
                <c:pt idx="3906">
                  <c:v>40433</c:v>
                </c:pt>
                <c:pt idx="3907">
                  <c:v>40434</c:v>
                </c:pt>
                <c:pt idx="3908">
                  <c:v>40435</c:v>
                </c:pt>
                <c:pt idx="3909">
                  <c:v>40436</c:v>
                </c:pt>
                <c:pt idx="3910">
                  <c:v>40437</c:v>
                </c:pt>
                <c:pt idx="3911">
                  <c:v>40438</c:v>
                </c:pt>
                <c:pt idx="3912">
                  <c:v>40439</c:v>
                </c:pt>
                <c:pt idx="3913">
                  <c:v>40440</c:v>
                </c:pt>
                <c:pt idx="3914">
                  <c:v>40441</c:v>
                </c:pt>
                <c:pt idx="3915">
                  <c:v>40442</c:v>
                </c:pt>
                <c:pt idx="3916">
                  <c:v>40443</c:v>
                </c:pt>
                <c:pt idx="3917">
                  <c:v>40444</c:v>
                </c:pt>
                <c:pt idx="3918">
                  <c:v>40445</c:v>
                </c:pt>
                <c:pt idx="3919">
                  <c:v>40446</c:v>
                </c:pt>
                <c:pt idx="3920">
                  <c:v>40447</c:v>
                </c:pt>
                <c:pt idx="3921">
                  <c:v>40448</c:v>
                </c:pt>
                <c:pt idx="3922">
                  <c:v>40449</c:v>
                </c:pt>
                <c:pt idx="3923">
                  <c:v>40450</c:v>
                </c:pt>
                <c:pt idx="3924">
                  <c:v>40451</c:v>
                </c:pt>
                <c:pt idx="3925">
                  <c:v>40452</c:v>
                </c:pt>
                <c:pt idx="3926">
                  <c:v>40453</c:v>
                </c:pt>
                <c:pt idx="3927">
                  <c:v>40454</c:v>
                </c:pt>
                <c:pt idx="3928">
                  <c:v>40455</c:v>
                </c:pt>
                <c:pt idx="3929">
                  <c:v>40456</c:v>
                </c:pt>
                <c:pt idx="3930">
                  <c:v>40457</c:v>
                </c:pt>
                <c:pt idx="3931">
                  <c:v>40458</c:v>
                </c:pt>
                <c:pt idx="3932">
                  <c:v>40459</c:v>
                </c:pt>
                <c:pt idx="3933">
                  <c:v>40460</c:v>
                </c:pt>
                <c:pt idx="3934">
                  <c:v>40461</c:v>
                </c:pt>
                <c:pt idx="3935">
                  <c:v>40462</c:v>
                </c:pt>
                <c:pt idx="3936">
                  <c:v>40463</c:v>
                </c:pt>
                <c:pt idx="3937">
                  <c:v>40464</c:v>
                </c:pt>
                <c:pt idx="3938">
                  <c:v>40465</c:v>
                </c:pt>
                <c:pt idx="3939">
                  <c:v>40466</c:v>
                </c:pt>
                <c:pt idx="3940">
                  <c:v>40467</c:v>
                </c:pt>
                <c:pt idx="3941">
                  <c:v>40468</c:v>
                </c:pt>
                <c:pt idx="3942">
                  <c:v>40469</c:v>
                </c:pt>
                <c:pt idx="3943">
                  <c:v>40470</c:v>
                </c:pt>
                <c:pt idx="3944">
                  <c:v>40471</c:v>
                </c:pt>
                <c:pt idx="3945">
                  <c:v>40472</c:v>
                </c:pt>
                <c:pt idx="3946">
                  <c:v>40473</c:v>
                </c:pt>
                <c:pt idx="3947">
                  <c:v>40474</c:v>
                </c:pt>
                <c:pt idx="3948">
                  <c:v>40475</c:v>
                </c:pt>
                <c:pt idx="3949">
                  <c:v>40476</c:v>
                </c:pt>
                <c:pt idx="3950">
                  <c:v>40477</c:v>
                </c:pt>
                <c:pt idx="3951">
                  <c:v>40478</c:v>
                </c:pt>
                <c:pt idx="3952">
                  <c:v>40479</c:v>
                </c:pt>
                <c:pt idx="3953">
                  <c:v>40480</c:v>
                </c:pt>
                <c:pt idx="3954">
                  <c:v>40481</c:v>
                </c:pt>
                <c:pt idx="3955">
                  <c:v>40482</c:v>
                </c:pt>
                <c:pt idx="3956">
                  <c:v>40483</c:v>
                </c:pt>
                <c:pt idx="3957">
                  <c:v>40484</c:v>
                </c:pt>
                <c:pt idx="3958">
                  <c:v>40485</c:v>
                </c:pt>
                <c:pt idx="3959">
                  <c:v>40486</c:v>
                </c:pt>
                <c:pt idx="3960">
                  <c:v>40487</c:v>
                </c:pt>
                <c:pt idx="3961">
                  <c:v>40488</c:v>
                </c:pt>
                <c:pt idx="3962">
                  <c:v>40489</c:v>
                </c:pt>
                <c:pt idx="3963">
                  <c:v>40490</c:v>
                </c:pt>
                <c:pt idx="3964">
                  <c:v>40491</c:v>
                </c:pt>
                <c:pt idx="3965">
                  <c:v>40492</c:v>
                </c:pt>
                <c:pt idx="3966">
                  <c:v>40493</c:v>
                </c:pt>
                <c:pt idx="3967">
                  <c:v>40494</c:v>
                </c:pt>
                <c:pt idx="3968">
                  <c:v>40495</c:v>
                </c:pt>
                <c:pt idx="3969">
                  <c:v>40496</c:v>
                </c:pt>
                <c:pt idx="3970">
                  <c:v>40497</c:v>
                </c:pt>
                <c:pt idx="3971">
                  <c:v>40498</c:v>
                </c:pt>
                <c:pt idx="3972">
                  <c:v>40499</c:v>
                </c:pt>
                <c:pt idx="3973">
                  <c:v>40500</c:v>
                </c:pt>
                <c:pt idx="3974">
                  <c:v>40501</c:v>
                </c:pt>
                <c:pt idx="3975">
                  <c:v>40502</c:v>
                </c:pt>
                <c:pt idx="3976">
                  <c:v>40503</c:v>
                </c:pt>
                <c:pt idx="3977">
                  <c:v>40504</c:v>
                </c:pt>
                <c:pt idx="3978">
                  <c:v>40505</c:v>
                </c:pt>
                <c:pt idx="3979">
                  <c:v>40506</c:v>
                </c:pt>
                <c:pt idx="3980">
                  <c:v>40507</c:v>
                </c:pt>
                <c:pt idx="3981">
                  <c:v>40508</c:v>
                </c:pt>
                <c:pt idx="3982">
                  <c:v>40509</c:v>
                </c:pt>
                <c:pt idx="3983">
                  <c:v>40510</c:v>
                </c:pt>
                <c:pt idx="3984">
                  <c:v>40511</c:v>
                </c:pt>
                <c:pt idx="3985">
                  <c:v>40512</c:v>
                </c:pt>
                <c:pt idx="3986">
                  <c:v>40513</c:v>
                </c:pt>
                <c:pt idx="3987">
                  <c:v>40514</c:v>
                </c:pt>
                <c:pt idx="3988">
                  <c:v>40515</c:v>
                </c:pt>
                <c:pt idx="3989">
                  <c:v>40516</c:v>
                </c:pt>
                <c:pt idx="3990">
                  <c:v>40517</c:v>
                </c:pt>
                <c:pt idx="3991">
                  <c:v>40518</c:v>
                </c:pt>
                <c:pt idx="3992">
                  <c:v>40519</c:v>
                </c:pt>
                <c:pt idx="3993">
                  <c:v>40520</c:v>
                </c:pt>
                <c:pt idx="3994">
                  <c:v>40521</c:v>
                </c:pt>
                <c:pt idx="3995">
                  <c:v>40522</c:v>
                </c:pt>
                <c:pt idx="3996">
                  <c:v>40523</c:v>
                </c:pt>
                <c:pt idx="3997">
                  <c:v>40524</c:v>
                </c:pt>
                <c:pt idx="3998">
                  <c:v>40525</c:v>
                </c:pt>
                <c:pt idx="3999">
                  <c:v>40526</c:v>
                </c:pt>
                <c:pt idx="4000">
                  <c:v>40527</c:v>
                </c:pt>
                <c:pt idx="4001">
                  <c:v>40528</c:v>
                </c:pt>
                <c:pt idx="4002">
                  <c:v>40529</c:v>
                </c:pt>
                <c:pt idx="4003">
                  <c:v>40530</c:v>
                </c:pt>
                <c:pt idx="4004">
                  <c:v>40531</c:v>
                </c:pt>
                <c:pt idx="4005">
                  <c:v>40532</c:v>
                </c:pt>
                <c:pt idx="4006">
                  <c:v>40533</c:v>
                </c:pt>
                <c:pt idx="4007">
                  <c:v>40534</c:v>
                </c:pt>
                <c:pt idx="4008">
                  <c:v>40535</c:v>
                </c:pt>
                <c:pt idx="4009">
                  <c:v>40536</c:v>
                </c:pt>
                <c:pt idx="4010">
                  <c:v>40537</c:v>
                </c:pt>
                <c:pt idx="4011">
                  <c:v>40538</c:v>
                </c:pt>
                <c:pt idx="4012">
                  <c:v>40539</c:v>
                </c:pt>
                <c:pt idx="4013">
                  <c:v>40540</c:v>
                </c:pt>
                <c:pt idx="4014">
                  <c:v>40541</c:v>
                </c:pt>
                <c:pt idx="4015">
                  <c:v>40542</c:v>
                </c:pt>
                <c:pt idx="4016">
                  <c:v>40543</c:v>
                </c:pt>
                <c:pt idx="4017">
                  <c:v>40544</c:v>
                </c:pt>
                <c:pt idx="4018">
                  <c:v>40545</c:v>
                </c:pt>
                <c:pt idx="4019">
                  <c:v>40546</c:v>
                </c:pt>
                <c:pt idx="4020">
                  <c:v>40547</c:v>
                </c:pt>
                <c:pt idx="4021">
                  <c:v>40548</c:v>
                </c:pt>
                <c:pt idx="4022">
                  <c:v>40549</c:v>
                </c:pt>
                <c:pt idx="4023">
                  <c:v>40550</c:v>
                </c:pt>
                <c:pt idx="4024">
                  <c:v>40551</c:v>
                </c:pt>
                <c:pt idx="4025">
                  <c:v>40552</c:v>
                </c:pt>
                <c:pt idx="4026">
                  <c:v>40553</c:v>
                </c:pt>
                <c:pt idx="4027">
                  <c:v>40554</c:v>
                </c:pt>
                <c:pt idx="4028">
                  <c:v>40555</c:v>
                </c:pt>
                <c:pt idx="4029">
                  <c:v>40556</c:v>
                </c:pt>
                <c:pt idx="4030">
                  <c:v>40557</c:v>
                </c:pt>
                <c:pt idx="4031">
                  <c:v>40558</c:v>
                </c:pt>
                <c:pt idx="4032">
                  <c:v>40559</c:v>
                </c:pt>
                <c:pt idx="4033">
                  <c:v>40560</c:v>
                </c:pt>
                <c:pt idx="4034">
                  <c:v>40561</c:v>
                </c:pt>
                <c:pt idx="4035">
                  <c:v>40562</c:v>
                </c:pt>
                <c:pt idx="4036">
                  <c:v>40563</c:v>
                </c:pt>
                <c:pt idx="4037">
                  <c:v>40564</c:v>
                </c:pt>
                <c:pt idx="4038">
                  <c:v>40565</c:v>
                </c:pt>
                <c:pt idx="4039">
                  <c:v>40566</c:v>
                </c:pt>
                <c:pt idx="4040">
                  <c:v>40567</c:v>
                </c:pt>
                <c:pt idx="4041">
                  <c:v>40568</c:v>
                </c:pt>
                <c:pt idx="4042">
                  <c:v>40569</c:v>
                </c:pt>
                <c:pt idx="4043">
                  <c:v>40570</c:v>
                </c:pt>
                <c:pt idx="4044">
                  <c:v>40571</c:v>
                </c:pt>
                <c:pt idx="4045">
                  <c:v>40572</c:v>
                </c:pt>
                <c:pt idx="4046">
                  <c:v>40573</c:v>
                </c:pt>
                <c:pt idx="4047">
                  <c:v>40574</c:v>
                </c:pt>
                <c:pt idx="4048">
                  <c:v>40575</c:v>
                </c:pt>
                <c:pt idx="4049">
                  <c:v>40576</c:v>
                </c:pt>
                <c:pt idx="4050">
                  <c:v>40577</c:v>
                </c:pt>
                <c:pt idx="4051">
                  <c:v>40578</c:v>
                </c:pt>
                <c:pt idx="4052">
                  <c:v>40579</c:v>
                </c:pt>
                <c:pt idx="4053">
                  <c:v>40580</c:v>
                </c:pt>
                <c:pt idx="4054">
                  <c:v>40581</c:v>
                </c:pt>
                <c:pt idx="4055">
                  <c:v>40582</c:v>
                </c:pt>
                <c:pt idx="4056">
                  <c:v>40583</c:v>
                </c:pt>
                <c:pt idx="4057">
                  <c:v>40584</c:v>
                </c:pt>
                <c:pt idx="4058">
                  <c:v>40585</c:v>
                </c:pt>
                <c:pt idx="4059">
                  <c:v>40586</c:v>
                </c:pt>
                <c:pt idx="4060">
                  <c:v>40587</c:v>
                </c:pt>
                <c:pt idx="4061">
                  <c:v>40588</c:v>
                </c:pt>
                <c:pt idx="4062">
                  <c:v>40589</c:v>
                </c:pt>
                <c:pt idx="4063">
                  <c:v>40590</c:v>
                </c:pt>
                <c:pt idx="4064">
                  <c:v>40591</c:v>
                </c:pt>
                <c:pt idx="4065">
                  <c:v>40592</c:v>
                </c:pt>
                <c:pt idx="4066">
                  <c:v>40593</c:v>
                </c:pt>
                <c:pt idx="4067">
                  <c:v>40594</c:v>
                </c:pt>
                <c:pt idx="4068">
                  <c:v>40595</c:v>
                </c:pt>
                <c:pt idx="4069">
                  <c:v>40596</c:v>
                </c:pt>
                <c:pt idx="4070">
                  <c:v>40597</c:v>
                </c:pt>
                <c:pt idx="4071">
                  <c:v>40598</c:v>
                </c:pt>
                <c:pt idx="4072">
                  <c:v>40599</c:v>
                </c:pt>
                <c:pt idx="4073">
                  <c:v>40600</c:v>
                </c:pt>
                <c:pt idx="4074">
                  <c:v>40601</c:v>
                </c:pt>
                <c:pt idx="4075">
                  <c:v>40602</c:v>
                </c:pt>
                <c:pt idx="4076">
                  <c:v>40603</c:v>
                </c:pt>
                <c:pt idx="4077">
                  <c:v>40604</c:v>
                </c:pt>
                <c:pt idx="4078">
                  <c:v>40605</c:v>
                </c:pt>
                <c:pt idx="4079">
                  <c:v>40606</c:v>
                </c:pt>
                <c:pt idx="4080">
                  <c:v>40607</c:v>
                </c:pt>
                <c:pt idx="4081">
                  <c:v>40608</c:v>
                </c:pt>
                <c:pt idx="4082">
                  <c:v>40609</c:v>
                </c:pt>
                <c:pt idx="4083">
                  <c:v>40610</c:v>
                </c:pt>
                <c:pt idx="4084">
                  <c:v>40611</c:v>
                </c:pt>
                <c:pt idx="4085">
                  <c:v>40612</c:v>
                </c:pt>
                <c:pt idx="4086">
                  <c:v>40613</c:v>
                </c:pt>
                <c:pt idx="4087">
                  <c:v>40614</c:v>
                </c:pt>
                <c:pt idx="4088">
                  <c:v>40615</c:v>
                </c:pt>
                <c:pt idx="4089">
                  <c:v>40616</c:v>
                </c:pt>
                <c:pt idx="4090">
                  <c:v>40617</c:v>
                </c:pt>
                <c:pt idx="4091">
                  <c:v>40618</c:v>
                </c:pt>
                <c:pt idx="4092">
                  <c:v>40619</c:v>
                </c:pt>
                <c:pt idx="4093">
                  <c:v>40620</c:v>
                </c:pt>
                <c:pt idx="4094">
                  <c:v>40621</c:v>
                </c:pt>
                <c:pt idx="4095">
                  <c:v>40622</c:v>
                </c:pt>
                <c:pt idx="4096">
                  <c:v>40623</c:v>
                </c:pt>
                <c:pt idx="4097">
                  <c:v>40624</c:v>
                </c:pt>
                <c:pt idx="4098">
                  <c:v>40625</c:v>
                </c:pt>
                <c:pt idx="4099">
                  <c:v>40626</c:v>
                </c:pt>
                <c:pt idx="4100">
                  <c:v>40627</c:v>
                </c:pt>
                <c:pt idx="4101">
                  <c:v>40628</c:v>
                </c:pt>
                <c:pt idx="4102">
                  <c:v>40629</c:v>
                </c:pt>
                <c:pt idx="4103">
                  <c:v>40630</c:v>
                </c:pt>
                <c:pt idx="4104">
                  <c:v>40631</c:v>
                </c:pt>
                <c:pt idx="4105">
                  <c:v>40632</c:v>
                </c:pt>
                <c:pt idx="4106">
                  <c:v>40633</c:v>
                </c:pt>
                <c:pt idx="4107">
                  <c:v>40634</c:v>
                </c:pt>
                <c:pt idx="4108">
                  <c:v>40635</c:v>
                </c:pt>
                <c:pt idx="4109">
                  <c:v>40636</c:v>
                </c:pt>
                <c:pt idx="4110">
                  <c:v>40637</c:v>
                </c:pt>
                <c:pt idx="4111">
                  <c:v>40638</c:v>
                </c:pt>
                <c:pt idx="4112">
                  <c:v>40639</c:v>
                </c:pt>
                <c:pt idx="4113">
                  <c:v>40640</c:v>
                </c:pt>
                <c:pt idx="4114">
                  <c:v>40641</c:v>
                </c:pt>
                <c:pt idx="4115">
                  <c:v>40642</c:v>
                </c:pt>
                <c:pt idx="4116">
                  <c:v>40643</c:v>
                </c:pt>
                <c:pt idx="4117">
                  <c:v>40644</c:v>
                </c:pt>
                <c:pt idx="4118">
                  <c:v>40645</c:v>
                </c:pt>
                <c:pt idx="4119">
                  <c:v>40646</c:v>
                </c:pt>
                <c:pt idx="4120">
                  <c:v>40647</c:v>
                </c:pt>
                <c:pt idx="4121">
                  <c:v>40648</c:v>
                </c:pt>
                <c:pt idx="4122">
                  <c:v>40649</c:v>
                </c:pt>
                <c:pt idx="4123">
                  <c:v>40650</c:v>
                </c:pt>
                <c:pt idx="4124">
                  <c:v>40651</c:v>
                </c:pt>
                <c:pt idx="4125">
                  <c:v>40652</c:v>
                </c:pt>
                <c:pt idx="4126">
                  <c:v>40653</c:v>
                </c:pt>
                <c:pt idx="4127">
                  <c:v>40654</c:v>
                </c:pt>
                <c:pt idx="4128">
                  <c:v>40655</c:v>
                </c:pt>
                <c:pt idx="4129">
                  <c:v>40656</c:v>
                </c:pt>
                <c:pt idx="4130">
                  <c:v>40657</c:v>
                </c:pt>
                <c:pt idx="4131">
                  <c:v>40658</c:v>
                </c:pt>
                <c:pt idx="4132">
                  <c:v>40659</c:v>
                </c:pt>
                <c:pt idx="4133">
                  <c:v>40660</c:v>
                </c:pt>
                <c:pt idx="4134">
                  <c:v>40661</c:v>
                </c:pt>
                <c:pt idx="4135">
                  <c:v>40662</c:v>
                </c:pt>
                <c:pt idx="4136">
                  <c:v>40663</c:v>
                </c:pt>
                <c:pt idx="4137">
                  <c:v>40664</c:v>
                </c:pt>
                <c:pt idx="4138">
                  <c:v>40665</c:v>
                </c:pt>
                <c:pt idx="4139">
                  <c:v>40666</c:v>
                </c:pt>
                <c:pt idx="4140">
                  <c:v>40667</c:v>
                </c:pt>
                <c:pt idx="4141">
                  <c:v>40668</c:v>
                </c:pt>
                <c:pt idx="4142">
                  <c:v>40669</c:v>
                </c:pt>
                <c:pt idx="4143">
                  <c:v>40670</c:v>
                </c:pt>
                <c:pt idx="4144">
                  <c:v>40671</c:v>
                </c:pt>
                <c:pt idx="4145">
                  <c:v>40672</c:v>
                </c:pt>
                <c:pt idx="4146">
                  <c:v>40673</c:v>
                </c:pt>
                <c:pt idx="4147">
                  <c:v>40674</c:v>
                </c:pt>
                <c:pt idx="4148">
                  <c:v>40675</c:v>
                </c:pt>
                <c:pt idx="4149">
                  <c:v>40676</c:v>
                </c:pt>
                <c:pt idx="4150">
                  <c:v>40677</c:v>
                </c:pt>
                <c:pt idx="4151">
                  <c:v>40678</c:v>
                </c:pt>
                <c:pt idx="4152">
                  <c:v>40679</c:v>
                </c:pt>
                <c:pt idx="4153">
                  <c:v>40680</c:v>
                </c:pt>
                <c:pt idx="4154">
                  <c:v>40681</c:v>
                </c:pt>
                <c:pt idx="4155">
                  <c:v>40682</c:v>
                </c:pt>
                <c:pt idx="4156">
                  <c:v>40683</c:v>
                </c:pt>
                <c:pt idx="4157">
                  <c:v>40684</c:v>
                </c:pt>
                <c:pt idx="4158">
                  <c:v>40685</c:v>
                </c:pt>
                <c:pt idx="4159">
                  <c:v>40686</c:v>
                </c:pt>
                <c:pt idx="4160">
                  <c:v>40687</c:v>
                </c:pt>
                <c:pt idx="4161">
                  <c:v>40688</c:v>
                </c:pt>
                <c:pt idx="4162">
                  <c:v>40689</c:v>
                </c:pt>
                <c:pt idx="4163">
                  <c:v>40690</c:v>
                </c:pt>
                <c:pt idx="4164">
                  <c:v>40691</c:v>
                </c:pt>
                <c:pt idx="4165">
                  <c:v>40692</c:v>
                </c:pt>
                <c:pt idx="4166">
                  <c:v>40693</c:v>
                </c:pt>
                <c:pt idx="4167">
                  <c:v>40694</c:v>
                </c:pt>
                <c:pt idx="4168">
                  <c:v>40695</c:v>
                </c:pt>
                <c:pt idx="4169">
                  <c:v>40696</c:v>
                </c:pt>
                <c:pt idx="4170">
                  <c:v>40697</c:v>
                </c:pt>
                <c:pt idx="4171">
                  <c:v>40698</c:v>
                </c:pt>
                <c:pt idx="4172">
                  <c:v>40699</c:v>
                </c:pt>
                <c:pt idx="4173">
                  <c:v>40700</c:v>
                </c:pt>
                <c:pt idx="4174">
                  <c:v>40701</c:v>
                </c:pt>
                <c:pt idx="4175">
                  <c:v>40702</c:v>
                </c:pt>
                <c:pt idx="4176">
                  <c:v>40703</c:v>
                </c:pt>
                <c:pt idx="4177">
                  <c:v>40704</c:v>
                </c:pt>
                <c:pt idx="4178">
                  <c:v>40705</c:v>
                </c:pt>
                <c:pt idx="4179">
                  <c:v>40706</c:v>
                </c:pt>
                <c:pt idx="4180">
                  <c:v>40707</c:v>
                </c:pt>
                <c:pt idx="4181">
                  <c:v>40708</c:v>
                </c:pt>
                <c:pt idx="4182">
                  <c:v>40709</c:v>
                </c:pt>
                <c:pt idx="4183">
                  <c:v>40710</c:v>
                </c:pt>
                <c:pt idx="4184">
                  <c:v>40711</c:v>
                </c:pt>
                <c:pt idx="4185">
                  <c:v>40712</c:v>
                </c:pt>
                <c:pt idx="4186">
                  <c:v>40713</c:v>
                </c:pt>
                <c:pt idx="4187">
                  <c:v>40714</c:v>
                </c:pt>
                <c:pt idx="4188">
                  <c:v>40715</c:v>
                </c:pt>
                <c:pt idx="4189">
                  <c:v>40716</c:v>
                </c:pt>
                <c:pt idx="4190">
                  <c:v>40717</c:v>
                </c:pt>
                <c:pt idx="4191">
                  <c:v>40718</c:v>
                </c:pt>
                <c:pt idx="4192">
                  <c:v>40719</c:v>
                </c:pt>
                <c:pt idx="4193">
                  <c:v>40720</c:v>
                </c:pt>
                <c:pt idx="4194">
                  <c:v>40721</c:v>
                </c:pt>
                <c:pt idx="4195">
                  <c:v>40722</c:v>
                </c:pt>
                <c:pt idx="4196">
                  <c:v>40723</c:v>
                </c:pt>
                <c:pt idx="4197">
                  <c:v>40724</c:v>
                </c:pt>
                <c:pt idx="4198">
                  <c:v>40725</c:v>
                </c:pt>
                <c:pt idx="4199">
                  <c:v>40726</c:v>
                </c:pt>
                <c:pt idx="4200">
                  <c:v>40727</c:v>
                </c:pt>
                <c:pt idx="4201">
                  <c:v>40728</c:v>
                </c:pt>
                <c:pt idx="4202">
                  <c:v>40729</c:v>
                </c:pt>
                <c:pt idx="4203">
                  <c:v>40730</c:v>
                </c:pt>
                <c:pt idx="4204">
                  <c:v>40731</c:v>
                </c:pt>
                <c:pt idx="4205">
                  <c:v>40732</c:v>
                </c:pt>
                <c:pt idx="4206">
                  <c:v>40733</c:v>
                </c:pt>
                <c:pt idx="4207">
                  <c:v>40734</c:v>
                </c:pt>
                <c:pt idx="4208">
                  <c:v>40735</c:v>
                </c:pt>
                <c:pt idx="4209">
                  <c:v>40736</c:v>
                </c:pt>
                <c:pt idx="4210">
                  <c:v>40737</c:v>
                </c:pt>
                <c:pt idx="4211">
                  <c:v>40738</c:v>
                </c:pt>
                <c:pt idx="4212">
                  <c:v>40739</c:v>
                </c:pt>
                <c:pt idx="4213">
                  <c:v>40740</c:v>
                </c:pt>
                <c:pt idx="4214">
                  <c:v>40741</c:v>
                </c:pt>
                <c:pt idx="4215">
                  <c:v>40742</c:v>
                </c:pt>
                <c:pt idx="4216">
                  <c:v>40743</c:v>
                </c:pt>
                <c:pt idx="4217">
                  <c:v>40744</c:v>
                </c:pt>
                <c:pt idx="4218">
                  <c:v>40745</c:v>
                </c:pt>
                <c:pt idx="4219">
                  <c:v>40746</c:v>
                </c:pt>
                <c:pt idx="4220">
                  <c:v>40747</c:v>
                </c:pt>
                <c:pt idx="4221">
                  <c:v>40748</c:v>
                </c:pt>
                <c:pt idx="4222">
                  <c:v>40749</c:v>
                </c:pt>
                <c:pt idx="4223">
                  <c:v>40750</c:v>
                </c:pt>
                <c:pt idx="4224">
                  <c:v>40751</c:v>
                </c:pt>
                <c:pt idx="4225">
                  <c:v>40752</c:v>
                </c:pt>
                <c:pt idx="4226">
                  <c:v>40753</c:v>
                </c:pt>
                <c:pt idx="4227">
                  <c:v>40754</c:v>
                </c:pt>
                <c:pt idx="4228">
                  <c:v>40755</c:v>
                </c:pt>
                <c:pt idx="4229">
                  <c:v>40756</c:v>
                </c:pt>
                <c:pt idx="4230">
                  <c:v>40757</c:v>
                </c:pt>
                <c:pt idx="4231">
                  <c:v>40758</c:v>
                </c:pt>
                <c:pt idx="4232">
                  <c:v>40759</c:v>
                </c:pt>
                <c:pt idx="4233">
                  <c:v>40760</c:v>
                </c:pt>
                <c:pt idx="4234">
                  <c:v>40761</c:v>
                </c:pt>
                <c:pt idx="4235">
                  <c:v>40762</c:v>
                </c:pt>
                <c:pt idx="4236">
                  <c:v>40763</c:v>
                </c:pt>
                <c:pt idx="4237">
                  <c:v>40764</c:v>
                </c:pt>
                <c:pt idx="4238">
                  <c:v>40765</c:v>
                </c:pt>
                <c:pt idx="4239">
                  <c:v>40766</c:v>
                </c:pt>
                <c:pt idx="4240">
                  <c:v>40767</c:v>
                </c:pt>
                <c:pt idx="4241">
                  <c:v>40768</c:v>
                </c:pt>
                <c:pt idx="4242">
                  <c:v>40769</c:v>
                </c:pt>
                <c:pt idx="4243">
                  <c:v>40770</c:v>
                </c:pt>
                <c:pt idx="4244">
                  <c:v>40771</c:v>
                </c:pt>
                <c:pt idx="4245">
                  <c:v>40772</c:v>
                </c:pt>
                <c:pt idx="4246">
                  <c:v>40773</c:v>
                </c:pt>
                <c:pt idx="4247">
                  <c:v>40774</c:v>
                </c:pt>
                <c:pt idx="4248">
                  <c:v>40775</c:v>
                </c:pt>
                <c:pt idx="4249">
                  <c:v>40776</c:v>
                </c:pt>
                <c:pt idx="4250">
                  <c:v>40777</c:v>
                </c:pt>
                <c:pt idx="4251">
                  <c:v>40778</c:v>
                </c:pt>
                <c:pt idx="4252">
                  <c:v>40779</c:v>
                </c:pt>
                <c:pt idx="4253">
                  <c:v>40780</c:v>
                </c:pt>
                <c:pt idx="4254">
                  <c:v>40781</c:v>
                </c:pt>
                <c:pt idx="4255">
                  <c:v>40782</c:v>
                </c:pt>
                <c:pt idx="4256">
                  <c:v>40783</c:v>
                </c:pt>
                <c:pt idx="4257">
                  <c:v>40784</c:v>
                </c:pt>
                <c:pt idx="4258">
                  <c:v>40785</c:v>
                </c:pt>
                <c:pt idx="4259">
                  <c:v>40786</c:v>
                </c:pt>
                <c:pt idx="4260">
                  <c:v>40787</c:v>
                </c:pt>
                <c:pt idx="4261">
                  <c:v>40788</c:v>
                </c:pt>
                <c:pt idx="4262">
                  <c:v>40789</c:v>
                </c:pt>
                <c:pt idx="4263">
                  <c:v>40790</c:v>
                </c:pt>
                <c:pt idx="4264">
                  <c:v>40791</c:v>
                </c:pt>
                <c:pt idx="4265">
                  <c:v>40792</c:v>
                </c:pt>
                <c:pt idx="4266">
                  <c:v>40793</c:v>
                </c:pt>
                <c:pt idx="4267">
                  <c:v>40794</c:v>
                </c:pt>
                <c:pt idx="4268">
                  <c:v>40795</c:v>
                </c:pt>
                <c:pt idx="4269">
                  <c:v>40796</c:v>
                </c:pt>
                <c:pt idx="4270">
                  <c:v>40797</c:v>
                </c:pt>
                <c:pt idx="4271">
                  <c:v>40798</c:v>
                </c:pt>
                <c:pt idx="4272">
                  <c:v>40799</c:v>
                </c:pt>
                <c:pt idx="4273">
                  <c:v>40800</c:v>
                </c:pt>
                <c:pt idx="4274">
                  <c:v>40801</c:v>
                </c:pt>
                <c:pt idx="4275">
                  <c:v>40802</c:v>
                </c:pt>
                <c:pt idx="4276">
                  <c:v>40803</c:v>
                </c:pt>
                <c:pt idx="4277">
                  <c:v>40804</c:v>
                </c:pt>
                <c:pt idx="4278">
                  <c:v>40805</c:v>
                </c:pt>
                <c:pt idx="4279">
                  <c:v>40806</c:v>
                </c:pt>
                <c:pt idx="4280">
                  <c:v>40807</c:v>
                </c:pt>
                <c:pt idx="4281">
                  <c:v>40808</c:v>
                </c:pt>
                <c:pt idx="4282">
                  <c:v>40809</c:v>
                </c:pt>
                <c:pt idx="4283">
                  <c:v>40810</c:v>
                </c:pt>
                <c:pt idx="4284">
                  <c:v>40811</c:v>
                </c:pt>
                <c:pt idx="4285">
                  <c:v>40812</c:v>
                </c:pt>
                <c:pt idx="4286">
                  <c:v>40813</c:v>
                </c:pt>
                <c:pt idx="4287">
                  <c:v>40814</c:v>
                </c:pt>
                <c:pt idx="4288">
                  <c:v>40815</c:v>
                </c:pt>
                <c:pt idx="4289">
                  <c:v>40816</c:v>
                </c:pt>
                <c:pt idx="4290">
                  <c:v>40817</c:v>
                </c:pt>
                <c:pt idx="4291">
                  <c:v>40818</c:v>
                </c:pt>
                <c:pt idx="4292">
                  <c:v>40819</c:v>
                </c:pt>
                <c:pt idx="4293">
                  <c:v>40820</c:v>
                </c:pt>
                <c:pt idx="4294">
                  <c:v>40821</c:v>
                </c:pt>
                <c:pt idx="4295">
                  <c:v>40822</c:v>
                </c:pt>
                <c:pt idx="4296">
                  <c:v>40823</c:v>
                </c:pt>
                <c:pt idx="4297">
                  <c:v>40824</c:v>
                </c:pt>
                <c:pt idx="4298">
                  <c:v>40825</c:v>
                </c:pt>
                <c:pt idx="4299">
                  <c:v>40826</c:v>
                </c:pt>
                <c:pt idx="4300">
                  <c:v>40827</c:v>
                </c:pt>
                <c:pt idx="4301">
                  <c:v>40828</c:v>
                </c:pt>
                <c:pt idx="4302">
                  <c:v>40829</c:v>
                </c:pt>
                <c:pt idx="4303">
                  <c:v>40830</c:v>
                </c:pt>
                <c:pt idx="4304">
                  <c:v>40831</c:v>
                </c:pt>
                <c:pt idx="4305">
                  <c:v>40832</c:v>
                </c:pt>
                <c:pt idx="4306">
                  <c:v>40833</c:v>
                </c:pt>
                <c:pt idx="4307">
                  <c:v>40834</c:v>
                </c:pt>
                <c:pt idx="4308">
                  <c:v>40835</c:v>
                </c:pt>
                <c:pt idx="4309">
                  <c:v>40836</c:v>
                </c:pt>
                <c:pt idx="4310">
                  <c:v>40837</c:v>
                </c:pt>
                <c:pt idx="4311">
                  <c:v>40838</c:v>
                </c:pt>
                <c:pt idx="4312">
                  <c:v>40839</c:v>
                </c:pt>
                <c:pt idx="4313">
                  <c:v>40840</c:v>
                </c:pt>
                <c:pt idx="4314">
                  <c:v>40841</c:v>
                </c:pt>
                <c:pt idx="4315">
                  <c:v>40842</c:v>
                </c:pt>
                <c:pt idx="4316">
                  <c:v>40843</c:v>
                </c:pt>
                <c:pt idx="4317">
                  <c:v>40844</c:v>
                </c:pt>
                <c:pt idx="4318">
                  <c:v>40845</c:v>
                </c:pt>
                <c:pt idx="4319">
                  <c:v>40846</c:v>
                </c:pt>
                <c:pt idx="4320">
                  <c:v>40847</c:v>
                </c:pt>
              </c:numCache>
            </c:numRef>
          </c:xVal>
          <c:yVal>
            <c:numRef>
              <c:f>MASmoothingOutput!$C$26:$C$4346</c:f>
              <c:numCache>
                <c:formatCode>General</c:formatCode>
                <c:ptCount val="4321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1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1</c:v>
                </c:pt>
                <c:pt idx="120">
                  <c:v>1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0</c:v>
                </c:pt>
                <c:pt idx="134">
                  <c:v>0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</c:v>
                </c:pt>
                <c:pt idx="147">
                  <c:v>1</c:v>
                </c:pt>
                <c:pt idx="148">
                  <c:v>1</c:v>
                </c:pt>
                <c:pt idx="149">
                  <c:v>1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0</c:v>
                </c:pt>
                <c:pt idx="154">
                  <c:v>1</c:v>
                </c:pt>
                <c:pt idx="155">
                  <c:v>1</c:v>
                </c:pt>
                <c:pt idx="156">
                  <c:v>1</c:v>
                </c:pt>
                <c:pt idx="157">
                  <c:v>1</c:v>
                </c:pt>
                <c:pt idx="158">
                  <c:v>0</c:v>
                </c:pt>
                <c:pt idx="159">
                  <c:v>0</c:v>
                </c:pt>
                <c:pt idx="160">
                  <c:v>1</c:v>
                </c:pt>
                <c:pt idx="161">
                  <c:v>1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1</c:v>
                </c:pt>
                <c:pt idx="172">
                  <c:v>1</c:v>
                </c:pt>
                <c:pt idx="173">
                  <c:v>1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1</c:v>
                </c:pt>
                <c:pt idx="180">
                  <c:v>1</c:v>
                </c:pt>
                <c:pt idx="181">
                  <c:v>1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1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1</c:v>
                </c:pt>
                <c:pt idx="191">
                  <c:v>1</c:v>
                </c:pt>
                <c:pt idx="192">
                  <c:v>0</c:v>
                </c:pt>
                <c:pt idx="193">
                  <c:v>1</c:v>
                </c:pt>
                <c:pt idx="194">
                  <c:v>1</c:v>
                </c:pt>
                <c:pt idx="195">
                  <c:v>1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1</c:v>
                </c:pt>
                <c:pt idx="200">
                  <c:v>1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1</c:v>
                </c:pt>
                <c:pt idx="206">
                  <c:v>1</c:v>
                </c:pt>
                <c:pt idx="207">
                  <c:v>1</c:v>
                </c:pt>
                <c:pt idx="208">
                  <c:v>1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1</c:v>
                </c:pt>
                <c:pt idx="221">
                  <c:v>1</c:v>
                </c:pt>
                <c:pt idx="222">
                  <c:v>0</c:v>
                </c:pt>
                <c:pt idx="223">
                  <c:v>1</c:v>
                </c:pt>
                <c:pt idx="224">
                  <c:v>0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1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1</c:v>
                </c:pt>
                <c:pt idx="238">
                  <c:v>0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0</c:v>
                </c:pt>
                <c:pt idx="244">
                  <c:v>1</c:v>
                </c:pt>
                <c:pt idx="245">
                  <c:v>1</c:v>
                </c:pt>
                <c:pt idx="246">
                  <c:v>0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1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1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0</c:v>
                </c:pt>
                <c:pt idx="271">
                  <c:v>1</c:v>
                </c:pt>
                <c:pt idx="272">
                  <c:v>0</c:v>
                </c:pt>
                <c:pt idx="273">
                  <c:v>1</c:v>
                </c:pt>
                <c:pt idx="274">
                  <c:v>1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1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1</c:v>
                </c:pt>
                <c:pt idx="288">
                  <c:v>1</c:v>
                </c:pt>
                <c:pt idx="289">
                  <c:v>1</c:v>
                </c:pt>
                <c:pt idx="290">
                  <c:v>0</c:v>
                </c:pt>
                <c:pt idx="291">
                  <c:v>1</c:v>
                </c:pt>
                <c:pt idx="292">
                  <c:v>1</c:v>
                </c:pt>
                <c:pt idx="293">
                  <c:v>1</c:v>
                </c:pt>
                <c:pt idx="294">
                  <c:v>0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1</c:v>
                </c:pt>
                <c:pt idx="299">
                  <c:v>1</c:v>
                </c:pt>
                <c:pt idx="300">
                  <c:v>1</c:v>
                </c:pt>
                <c:pt idx="301">
                  <c:v>1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1</c:v>
                </c:pt>
                <c:pt idx="307">
                  <c:v>0</c:v>
                </c:pt>
                <c:pt idx="308">
                  <c:v>0</c:v>
                </c:pt>
                <c:pt idx="309">
                  <c:v>1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1</c:v>
                </c:pt>
                <c:pt idx="314">
                  <c:v>1</c:v>
                </c:pt>
                <c:pt idx="315">
                  <c:v>1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1</c:v>
                </c:pt>
                <c:pt idx="320">
                  <c:v>1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1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1</c:v>
                </c:pt>
                <c:pt idx="333">
                  <c:v>0</c:v>
                </c:pt>
                <c:pt idx="334">
                  <c:v>1</c:v>
                </c:pt>
                <c:pt idx="335">
                  <c:v>0</c:v>
                </c:pt>
                <c:pt idx="336">
                  <c:v>0</c:v>
                </c:pt>
                <c:pt idx="337">
                  <c:v>1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1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1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1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1</c:v>
                </c:pt>
                <c:pt idx="388">
                  <c:v>1</c:v>
                </c:pt>
                <c:pt idx="389">
                  <c:v>1</c:v>
                </c:pt>
                <c:pt idx="390">
                  <c:v>0</c:v>
                </c:pt>
                <c:pt idx="391">
                  <c:v>1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1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1</c:v>
                </c:pt>
                <c:pt idx="406">
                  <c:v>0</c:v>
                </c:pt>
                <c:pt idx="407">
                  <c:v>0</c:v>
                </c:pt>
                <c:pt idx="408">
                  <c:v>1</c:v>
                </c:pt>
                <c:pt idx="409">
                  <c:v>0</c:v>
                </c:pt>
                <c:pt idx="410">
                  <c:v>1</c:v>
                </c:pt>
                <c:pt idx="411">
                  <c:v>1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1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1</c:v>
                </c:pt>
                <c:pt idx="445">
                  <c:v>1</c:v>
                </c:pt>
                <c:pt idx="446">
                  <c:v>1</c:v>
                </c:pt>
                <c:pt idx="447">
                  <c:v>0</c:v>
                </c:pt>
                <c:pt idx="448">
                  <c:v>1</c:v>
                </c:pt>
                <c:pt idx="449">
                  <c:v>0</c:v>
                </c:pt>
                <c:pt idx="450">
                  <c:v>1</c:v>
                </c:pt>
                <c:pt idx="451">
                  <c:v>1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1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1</c:v>
                </c:pt>
                <c:pt idx="464">
                  <c:v>1</c:v>
                </c:pt>
                <c:pt idx="465">
                  <c:v>1</c:v>
                </c:pt>
                <c:pt idx="466">
                  <c:v>1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</c:v>
                </c:pt>
                <c:pt idx="474">
                  <c:v>0</c:v>
                </c:pt>
                <c:pt idx="475">
                  <c:v>0</c:v>
                </c:pt>
                <c:pt idx="476">
                  <c:v>1</c:v>
                </c:pt>
                <c:pt idx="477">
                  <c:v>1</c:v>
                </c:pt>
                <c:pt idx="478">
                  <c:v>1</c:v>
                </c:pt>
                <c:pt idx="479">
                  <c:v>1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0</c:v>
                </c:pt>
                <c:pt idx="505">
                  <c:v>1</c:v>
                </c:pt>
                <c:pt idx="506">
                  <c:v>1</c:v>
                </c:pt>
                <c:pt idx="507">
                  <c:v>0</c:v>
                </c:pt>
                <c:pt idx="508">
                  <c:v>1</c:v>
                </c:pt>
                <c:pt idx="509">
                  <c:v>0</c:v>
                </c:pt>
                <c:pt idx="510">
                  <c:v>1</c:v>
                </c:pt>
                <c:pt idx="511">
                  <c:v>0</c:v>
                </c:pt>
                <c:pt idx="512">
                  <c:v>1</c:v>
                </c:pt>
                <c:pt idx="513">
                  <c:v>1</c:v>
                </c:pt>
                <c:pt idx="514">
                  <c:v>1</c:v>
                </c:pt>
                <c:pt idx="515">
                  <c:v>1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1</c:v>
                </c:pt>
                <c:pt idx="520">
                  <c:v>0</c:v>
                </c:pt>
                <c:pt idx="521">
                  <c:v>1</c:v>
                </c:pt>
                <c:pt idx="522">
                  <c:v>1</c:v>
                </c:pt>
                <c:pt idx="523">
                  <c:v>0</c:v>
                </c:pt>
                <c:pt idx="524">
                  <c:v>1</c:v>
                </c:pt>
                <c:pt idx="525">
                  <c:v>1</c:v>
                </c:pt>
                <c:pt idx="526">
                  <c:v>0</c:v>
                </c:pt>
                <c:pt idx="527">
                  <c:v>0</c:v>
                </c:pt>
                <c:pt idx="528">
                  <c:v>1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1</c:v>
                </c:pt>
                <c:pt idx="533">
                  <c:v>1</c:v>
                </c:pt>
                <c:pt idx="534">
                  <c:v>0</c:v>
                </c:pt>
                <c:pt idx="535">
                  <c:v>0</c:v>
                </c:pt>
                <c:pt idx="536">
                  <c:v>1</c:v>
                </c:pt>
                <c:pt idx="537">
                  <c:v>1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0</c:v>
                </c:pt>
                <c:pt idx="556">
                  <c:v>0</c:v>
                </c:pt>
                <c:pt idx="557">
                  <c:v>1</c:v>
                </c:pt>
                <c:pt idx="558">
                  <c:v>1</c:v>
                </c:pt>
                <c:pt idx="559">
                  <c:v>1</c:v>
                </c:pt>
                <c:pt idx="560">
                  <c:v>1</c:v>
                </c:pt>
                <c:pt idx="561">
                  <c:v>1</c:v>
                </c:pt>
                <c:pt idx="562">
                  <c:v>1</c:v>
                </c:pt>
                <c:pt idx="563">
                  <c:v>1</c:v>
                </c:pt>
                <c:pt idx="564">
                  <c:v>1</c:v>
                </c:pt>
                <c:pt idx="565">
                  <c:v>1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1</c:v>
                </c:pt>
                <c:pt idx="572">
                  <c:v>0</c:v>
                </c:pt>
                <c:pt idx="573">
                  <c:v>1</c:v>
                </c:pt>
                <c:pt idx="574">
                  <c:v>1</c:v>
                </c:pt>
                <c:pt idx="575">
                  <c:v>0</c:v>
                </c:pt>
                <c:pt idx="576">
                  <c:v>0</c:v>
                </c:pt>
                <c:pt idx="577">
                  <c:v>1</c:v>
                </c:pt>
                <c:pt idx="578">
                  <c:v>1</c:v>
                </c:pt>
                <c:pt idx="579">
                  <c:v>0</c:v>
                </c:pt>
                <c:pt idx="580">
                  <c:v>0</c:v>
                </c:pt>
                <c:pt idx="581">
                  <c:v>1</c:v>
                </c:pt>
                <c:pt idx="582">
                  <c:v>1</c:v>
                </c:pt>
                <c:pt idx="583">
                  <c:v>1</c:v>
                </c:pt>
                <c:pt idx="584">
                  <c:v>1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1</c:v>
                </c:pt>
                <c:pt idx="594">
                  <c:v>1</c:v>
                </c:pt>
                <c:pt idx="595">
                  <c:v>0</c:v>
                </c:pt>
                <c:pt idx="596">
                  <c:v>1</c:v>
                </c:pt>
                <c:pt idx="597">
                  <c:v>1</c:v>
                </c:pt>
                <c:pt idx="598">
                  <c:v>1</c:v>
                </c:pt>
                <c:pt idx="599">
                  <c:v>1</c:v>
                </c:pt>
                <c:pt idx="600">
                  <c:v>1</c:v>
                </c:pt>
                <c:pt idx="601">
                  <c:v>0</c:v>
                </c:pt>
                <c:pt idx="602">
                  <c:v>1</c:v>
                </c:pt>
                <c:pt idx="603">
                  <c:v>1</c:v>
                </c:pt>
                <c:pt idx="604">
                  <c:v>1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</c:v>
                </c:pt>
                <c:pt idx="609">
                  <c:v>1</c:v>
                </c:pt>
                <c:pt idx="610">
                  <c:v>0</c:v>
                </c:pt>
                <c:pt idx="611">
                  <c:v>1</c:v>
                </c:pt>
                <c:pt idx="612">
                  <c:v>1</c:v>
                </c:pt>
                <c:pt idx="613">
                  <c:v>0</c:v>
                </c:pt>
                <c:pt idx="614">
                  <c:v>0</c:v>
                </c:pt>
                <c:pt idx="615">
                  <c:v>1</c:v>
                </c:pt>
                <c:pt idx="616">
                  <c:v>1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1</c:v>
                </c:pt>
                <c:pt idx="633">
                  <c:v>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1</c:v>
                </c:pt>
                <c:pt idx="639">
                  <c:v>0</c:v>
                </c:pt>
                <c:pt idx="640">
                  <c:v>1</c:v>
                </c:pt>
                <c:pt idx="641">
                  <c:v>1</c:v>
                </c:pt>
                <c:pt idx="642">
                  <c:v>1</c:v>
                </c:pt>
                <c:pt idx="643">
                  <c:v>1</c:v>
                </c:pt>
                <c:pt idx="644">
                  <c:v>1</c:v>
                </c:pt>
                <c:pt idx="645">
                  <c:v>1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1</c:v>
                </c:pt>
                <c:pt idx="650">
                  <c:v>1</c:v>
                </c:pt>
                <c:pt idx="651">
                  <c:v>1</c:v>
                </c:pt>
                <c:pt idx="652">
                  <c:v>0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1</c:v>
                </c:pt>
                <c:pt idx="657">
                  <c:v>1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1</c:v>
                </c:pt>
                <c:pt idx="662">
                  <c:v>0</c:v>
                </c:pt>
                <c:pt idx="663">
                  <c:v>1</c:v>
                </c:pt>
                <c:pt idx="664">
                  <c:v>1</c:v>
                </c:pt>
                <c:pt idx="665">
                  <c:v>1</c:v>
                </c:pt>
                <c:pt idx="666">
                  <c:v>0</c:v>
                </c:pt>
                <c:pt idx="667">
                  <c:v>1</c:v>
                </c:pt>
                <c:pt idx="668">
                  <c:v>1</c:v>
                </c:pt>
                <c:pt idx="669">
                  <c:v>1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</c:v>
                </c:pt>
                <c:pt idx="675">
                  <c:v>1</c:v>
                </c:pt>
                <c:pt idx="676">
                  <c:v>1</c:v>
                </c:pt>
                <c:pt idx="677">
                  <c:v>1</c:v>
                </c:pt>
                <c:pt idx="678">
                  <c:v>0</c:v>
                </c:pt>
                <c:pt idx="679">
                  <c:v>1</c:v>
                </c:pt>
                <c:pt idx="680">
                  <c:v>1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1</c:v>
                </c:pt>
                <c:pt idx="687">
                  <c:v>1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1</c:v>
                </c:pt>
                <c:pt idx="695">
                  <c:v>1</c:v>
                </c:pt>
                <c:pt idx="696">
                  <c:v>0</c:v>
                </c:pt>
                <c:pt idx="697">
                  <c:v>0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</c:v>
                </c:pt>
                <c:pt idx="703">
                  <c:v>0</c:v>
                </c:pt>
                <c:pt idx="704">
                  <c:v>0</c:v>
                </c:pt>
                <c:pt idx="705">
                  <c:v>1</c:v>
                </c:pt>
                <c:pt idx="706">
                  <c:v>1</c:v>
                </c:pt>
                <c:pt idx="707">
                  <c:v>0</c:v>
                </c:pt>
                <c:pt idx="708">
                  <c:v>0</c:v>
                </c:pt>
                <c:pt idx="709">
                  <c:v>1</c:v>
                </c:pt>
                <c:pt idx="710">
                  <c:v>1</c:v>
                </c:pt>
                <c:pt idx="711">
                  <c:v>1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1</c:v>
                </c:pt>
                <c:pt idx="725">
                  <c:v>1</c:v>
                </c:pt>
                <c:pt idx="726">
                  <c:v>1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1</c:v>
                </c:pt>
                <c:pt idx="731">
                  <c:v>1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1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1</c:v>
                </c:pt>
                <c:pt idx="743">
                  <c:v>1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1</c:v>
                </c:pt>
                <c:pt idx="751">
                  <c:v>1</c:v>
                </c:pt>
                <c:pt idx="752">
                  <c:v>1</c:v>
                </c:pt>
                <c:pt idx="753">
                  <c:v>0</c:v>
                </c:pt>
                <c:pt idx="754">
                  <c:v>0</c:v>
                </c:pt>
                <c:pt idx="755">
                  <c:v>1</c:v>
                </c:pt>
                <c:pt idx="756">
                  <c:v>1</c:v>
                </c:pt>
                <c:pt idx="757">
                  <c:v>1</c:v>
                </c:pt>
                <c:pt idx="758">
                  <c:v>1</c:v>
                </c:pt>
                <c:pt idx="759">
                  <c:v>1</c:v>
                </c:pt>
                <c:pt idx="760">
                  <c:v>0</c:v>
                </c:pt>
                <c:pt idx="761">
                  <c:v>0</c:v>
                </c:pt>
                <c:pt idx="762">
                  <c:v>1</c:v>
                </c:pt>
                <c:pt idx="763">
                  <c:v>1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1</c:v>
                </c:pt>
                <c:pt idx="769">
                  <c:v>1</c:v>
                </c:pt>
                <c:pt idx="770">
                  <c:v>1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1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1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1</c:v>
                </c:pt>
                <c:pt idx="792">
                  <c:v>1</c:v>
                </c:pt>
                <c:pt idx="793">
                  <c:v>0</c:v>
                </c:pt>
                <c:pt idx="794">
                  <c:v>0</c:v>
                </c:pt>
                <c:pt idx="795">
                  <c:v>1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1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1</c:v>
                </c:pt>
                <c:pt idx="810">
                  <c:v>1</c:v>
                </c:pt>
                <c:pt idx="811">
                  <c:v>0</c:v>
                </c:pt>
                <c:pt idx="812">
                  <c:v>0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1</c:v>
                </c:pt>
                <c:pt idx="817">
                  <c:v>1</c:v>
                </c:pt>
                <c:pt idx="818">
                  <c:v>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1</c:v>
                </c:pt>
                <c:pt idx="830">
                  <c:v>0</c:v>
                </c:pt>
                <c:pt idx="831">
                  <c:v>0</c:v>
                </c:pt>
                <c:pt idx="832">
                  <c:v>1</c:v>
                </c:pt>
                <c:pt idx="833">
                  <c:v>1</c:v>
                </c:pt>
                <c:pt idx="834">
                  <c:v>0</c:v>
                </c:pt>
                <c:pt idx="835">
                  <c:v>1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1</c:v>
                </c:pt>
                <c:pt idx="840">
                  <c:v>1</c:v>
                </c:pt>
                <c:pt idx="841">
                  <c:v>0</c:v>
                </c:pt>
                <c:pt idx="842">
                  <c:v>0</c:v>
                </c:pt>
                <c:pt idx="843">
                  <c:v>1</c:v>
                </c:pt>
                <c:pt idx="844">
                  <c:v>1</c:v>
                </c:pt>
                <c:pt idx="845">
                  <c:v>1</c:v>
                </c:pt>
                <c:pt idx="846">
                  <c:v>1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1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0</c:v>
                </c:pt>
                <c:pt idx="864">
                  <c:v>0</c:v>
                </c:pt>
                <c:pt idx="865">
                  <c:v>1</c:v>
                </c:pt>
                <c:pt idx="866">
                  <c:v>1</c:v>
                </c:pt>
                <c:pt idx="867">
                  <c:v>0</c:v>
                </c:pt>
                <c:pt idx="868">
                  <c:v>1</c:v>
                </c:pt>
                <c:pt idx="869">
                  <c:v>1</c:v>
                </c:pt>
                <c:pt idx="870">
                  <c:v>1</c:v>
                </c:pt>
                <c:pt idx="871">
                  <c:v>1</c:v>
                </c:pt>
                <c:pt idx="872">
                  <c:v>1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1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1</c:v>
                </c:pt>
                <c:pt idx="894">
                  <c:v>1</c:v>
                </c:pt>
                <c:pt idx="895">
                  <c:v>1</c:v>
                </c:pt>
                <c:pt idx="896">
                  <c:v>1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1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1</c:v>
                </c:pt>
                <c:pt idx="907">
                  <c:v>0</c:v>
                </c:pt>
                <c:pt idx="908">
                  <c:v>1</c:v>
                </c:pt>
                <c:pt idx="909">
                  <c:v>1</c:v>
                </c:pt>
                <c:pt idx="910">
                  <c:v>1</c:v>
                </c:pt>
                <c:pt idx="911">
                  <c:v>0</c:v>
                </c:pt>
                <c:pt idx="912">
                  <c:v>0</c:v>
                </c:pt>
                <c:pt idx="913">
                  <c:v>1</c:v>
                </c:pt>
                <c:pt idx="914">
                  <c:v>1</c:v>
                </c:pt>
                <c:pt idx="915">
                  <c:v>1</c:v>
                </c:pt>
                <c:pt idx="916">
                  <c:v>0</c:v>
                </c:pt>
                <c:pt idx="917">
                  <c:v>1</c:v>
                </c:pt>
                <c:pt idx="918">
                  <c:v>0</c:v>
                </c:pt>
                <c:pt idx="919">
                  <c:v>0</c:v>
                </c:pt>
                <c:pt idx="920">
                  <c:v>1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</c:v>
                </c:pt>
                <c:pt idx="925">
                  <c:v>0</c:v>
                </c:pt>
                <c:pt idx="926">
                  <c:v>0</c:v>
                </c:pt>
                <c:pt idx="927">
                  <c:v>1</c:v>
                </c:pt>
                <c:pt idx="928">
                  <c:v>1</c:v>
                </c:pt>
                <c:pt idx="929">
                  <c:v>0</c:v>
                </c:pt>
                <c:pt idx="930">
                  <c:v>1</c:v>
                </c:pt>
                <c:pt idx="931">
                  <c:v>1</c:v>
                </c:pt>
                <c:pt idx="932">
                  <c:v>0</c:v>
                </c:pt>
                <c:pt idx="933">
                  <c:v>1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1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1</c:v>
                </c:pt>
                <c:pt idx="944">
                  <c:v>1</c:v>
                </c:pt>
                <c:pt idx="945">
                  <c:v>1</c:v>
                </c:pt>
                <c:pt idx="946">
                  <c:v>0</c:v>
                </c:pt>
                <c:pt idx="947">
                  <c:v>1</c:v>
                </c:pt>
                <c:pt idx="948">
                  <c:v>1</c:v>
                </c:pt>
                <c:pt idx="949">
                  <c:v>1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</c:v>
                </c:pt>
                <c:pt idx="954">
                  <c:v>1</c:v>
                </c:pt>
                <c:pt idx="955">
                  <c:v>1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1</c:v>
                </c:pt>
                <c:pt idx="971">
                  <c:v>0</c:v>
                </c:pt>
                <c:pt idx="972">
                  <c:v>1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1</c:v>
                </c:pt>
                <c:pt idx="977">
                  <c:v>0</c:v>
                </c:pt>
                <c:pt idx="978">
                  <c:v>0</c:v>
                </c:pt>
                <c:pt idx="979">
                  <c:v>1</c:v>
                </c:pt>
                <c:pt idx="980">
                  <c:v>1</c:v>
                </c:pt>
                <c:pt idx="981">
                  <c:v>1</c:v>
                </c:pt>
                <c:pt idx="982">
                  <c:v>0</c:v>
                </c:pt>
                <c:pt idx="983">
                  <c:v>1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1</c:v>
                </c:pt>
                <c:pt idx="989">
                  <c:v>1</c:v>
                </c:pt>
                <c:pt idx="990">
                  <c:v>0</c:v>
                </c:pt>
                <c:pt idx="991">
                  <c:v>1</c:v>
                </c:pt>
                <c:pt idx="992">
                  <c:v>1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1</c:v>
                </c:pt>
                <c:pt idx="1001">
                  <c:v>1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</c:v>
                </c:pt>
                <c:pt idx="1007">
                  <c:v>1</c:v>
                </c:pt>
                <c:pt idx="1008">
                  <c:v>0</c:v>
                </c:pt>
                <c:pt idx="1009">
                  <c:v>0</c:v>
                </c:pt>
                <c:pt idx="1010">
                  <c:v>1</c:v>
                </c:pt>
                <c:pt idx="1011">
                  <c:v>1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1</c:v>
                </c:pt>
                <c:pt idx="1016">
                  <c:v>1</c:v>
                </c:pt>
                <c:pt idx="1017">
                  <c:v>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1</c:v>
                </c:pt>
                <c:pt idx="1026">
                  <c:v>1</c:v>
                </c:pt>
                <c:pt idx="1027">
                  <c:v>1</c:v>
                </c:pt>
                <c:pt idx="1028">
                  <c:v>0</c:v>
                </c:pt>
                <c:pt idx="1029">
                  <c:v>1</c:v>
                </c:pt>
                <c:pt idx="1030">
                  <c:v>1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1</c:v>
                </c:pt>
                <c:pt idx="1037">
                  <c:v>1</c:v>
                </c:pt>
                <c:pt idx="1038">
                  <c:v>1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1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1</c:v>
                </c:pt>
                <c:pt idx="1059">
                  <c:v>1</c:v>
                </c:pt>
                <c:pt idx="1060">
                  <c:v>1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1</c:v>
                </c:pt>
                <c:pt idx="1069">
                  <c:v>1</c:v>
                </c:pt>
                <c:pt idx="1070">
                  <c:v>1</c:v>
                </c:pt>
                <c:pt idx="1071">
                  <c:v>0</c:v>
                </c:pt>
                <c:pt idx="1072">
                  <c:v>1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1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1</c:v>
                </c:pt>
                <c:pt idx="1095">
                  <c:v>1</c:v>
                </c:pt>
                <c:pt idx="1096">
                  <c:v>1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1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1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1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1</c:v>
                </c:pt>
                <c:pt idx="1132">
                  <c:v>1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1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</c:v>
                </c:pt>
                <c:pt idx="1147">
                  <c:v>1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</c:v>
                </c:pt>
                <c:pt idx="1154">
                  <c:v>1</c:v>
                </c:pt>
                <c:pt idx="1155">
                  <c:v>1</c:v>
                </c:pt>
                <c:pt idx="1156">
                  <c:v>1</c:v>
                </c:pt>
                <c:pt idx="1157">
                  <c:v>0</c:v>
                </c:pt>
                <c:pt idx="1158">
                  <c:v>1</c:v>
                </c:pt>
                <c:pt idx="1159">
                  <c:v>0</c:v>
                </c:pt>
                <c:pt idx="1160">
                  <c:v>0</c:v>
                </c:pt>
                <c:pt idx="1161">
                  <c:v>1</c:v>
                </c:pt>
                <c:pt idx="1162">
                  <c:v>1</c:v>
                </c:pt>
                <c:pt idx="1163">
                  <c:v>1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1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1</c:v>
                </c:pt>
                <c:pt idx="1187">
                  <c:v>1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1</c:v>
                </c:pt>
                <c:pt idx="1193">
                  <c:v>1</c:v>
                </c:pt>
                <c:pt idx="1194">
                  <c:v>0</c:v>
                </c:pt>
                <c:pt idx="1195">
                  <c:v>1</c:v>
                </c:pt>
                <c:pt idx="1196">
                  <c:v>1</c:v>
                </c:pt>
                <c:pt idx="1197">
                  <c:v>0</c:v>
                </c:pt>
                <c:pt idx="1198">
                  <c:v>1</c:v>
                </c:pt>
                <c:pt idx="1199">
                  <c:v>0</c:v>
                </c:pt>
                <c:pt idx="1200">
                  <c:v>1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1</c:v>
                </c:pt>
                <c:pt idx="1209">
                  <c:v>1</c:v>
                </c:pt>
                <c:pt idx="1210">
                  <c:v>0</c:v>
                </c:pt>
                <c:pt idx="1211">
                  <c:v>0</c:v>
                </c:pt>
                <c:pt idx="1212">
                  <c:v>1</c:v>
                </c:pt>
                <c:pt idx="1213">
                  <c:v>0</c:v>
                </c:pt>
                <c:pt idx="1214">
                  <c:v>0</c:v>
                </c:pt>
                <c:pt idx="1215">
                  <c:v>1</c:v>
                </c:pt>
                <c:pt idx="1216">
                  <c:v>0</c:v>
                </c:pt>
                <c:pt idx="1217">
                  <c:v>0</c:v>
                </c:pt>
                <c:pt idx="1218">
                  <c:v>1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1</c:v>
                </c:pt>
                <c:pt idx="1224">
                  <c:v>1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1</c:v>
                </c:pt>
                <c:pt idx="1230">
                  <c:v>1</c:v>
                </c:pt>
                <c:pt idx="1231">
                  <c:v>0</c:v>
                </c:pt>
                <c:pt idx="1232">
                  <c:v>1</c:v>
                </c:pt>
                <c:pt idx="1233">
                  <c:v>1</c:v>
                </c:pt>
                <c:pt idx="1234">
                  <c:v>1</c:v>
                </c:pt>
                <c:pt idx="1235">
                  <c:v>1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1</c:v>
                </c:pt>
                <c:pt idx="1253">
                  <c:v>0</c:v>
                </c:pt>
                <c:pt idx="1254">
                  <c:v>1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1</c:v>
                </c:pt>
                <c:pt idx="1260">
                  <c:v>1</c:v>
                </c:pt>
                <c:pt idx="1261">
                  <c:v>1</c:v>
                </c:pt>
                <c:pt idx="1262">
                  <c:v>1</c:v>
                </c:pt>
                <c:pt idx="1263">
                  <c:v>0</c:v>
                </c:pt>
                <c:pt idx="1264">
                  <c:v>1</c:v>
                </c:pt>
                <c:pt idx="1265">
                  <c:v>1</c:v>
                </c:pt>
                <c:pt idx="1266">
                  <c:v>0</c:v>
                </c:pt>
                <c:pt idx="1267">
                  <c:v>1</c:v>
                </c:pt>
                <c:pt idx="1268">
                  <c:v>1</c:v>
                </c:pt>
                <c:pt idx="1269">
                  <c:v>1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1</c:v>
                </c:pt>
                <c:pt idx="1274">
                  <c:v>1</c:v>
                </c:pt>
                <c:pt idx="1275">
                  <c:v>1</c:v>
                </c:pt>
                <c:pt idx="1276">
                  <c:v>1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</c:v>
                </c:pt>
                <c:pt idx="1290">
                  <c:v>0</c:v>
                </c:pt>
                <c:pt idx="1291">
                  <c:v>1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</c:v>
                </c:pt>
                <c:pt idx="1298">
                  <c:v>1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1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</c:v>
                </c:pt>
                <c:pt idx="1313">
                  <c:v>1</c:v>
                </c:pt>
                <c:pt idx="1314">
                  <c:v>0</c:v>
                </c:pt>
                <c:pt idx="1315">
                  <c:v>1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1</c:v>
                </c:pt>
                <c:pt idx="1320">
                  <c:v>1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1</c:v>
                </c:pt>
                <c:pt idx="1325">
                  <c:v>1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1</c:v>
                </c:pt>
                <c:pt idx="1331">
                  <c:v>1</c:v>
                </c:pt>
                <c:pt idx="1332">
                  <c:v>1</c:v>
                </c:pt>
                <c:pt idx="1333">
                  <c:v>1</c:v>
                </c:pt>
                <c:pt idx="1334">
                  <c:v>0</c:v>
                </c:pt>
                <c:pt idx="1335">
                  <c:v>0</c:v>
                </c:pt>
                <c:pt idx="1336">
                  <c:v>1</c:v>
                </c:pt>
                <c:pt idx="1337">
                  <c:v>0</c:v>
                </c:pt>
                <c:pt idx="1338">
                  <c:v>1</c:v>
                </c:pt>
                <c:pt idx="1339">
                  <c:v>1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1</c:v>
                </c:pt>
                <c:pt idx="1352">
                  <c:v>1</c:v>
                </c:pt>
                <c:pt idx="1353">
                  <c:v>1</c:v>
                </c:pt>
                <c:pt idx="1354">
                  <c:v>1</c:v>
                </c:pt>
                <c:pt idx="1355">
                  <c:v>1</c:v>
                </c:pt>
                <c:pt idx="1356">
                  <c:v>0</c:v>
                </c:pt>
                <c:pt idx="1357">
                  <c:v>1</c:v>
                </c:pt>
                <c:pt idx="1358">
                  <c:v>0</c:v>
                </c:pt>
                <c:pt idx="1359">
                  <c:v>0</c:v>
                </c:pt>
                <c:pt idx="1360">
                  <c:v>1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1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0</c:v>
                </c:pt>
                <c:pt idx="1369">
                  <c:v>1</c:v>
                </c:pt>
                <c:pt idx="1370">
                  <c:v>1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1</c:v>
                </c:pt>
                <c:pt idx="1376">
                  <c:v>1</c:v>
                </c:pt>
                <c:pt idx="1377">
                  <c:v>1</c:v>
                </c:pt>
                <c:pt idx="1378">
                  <c:v>1</c:v>
                </c:pt>
                <c:pt idx="1379">
                  <c:v>1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1</c:v>
                </c:pt>
                <c:pt idx="1384">
                  <c:v>0</c:v>
                </c:pt>
                <c:pt idx="1385">
                  <c:v>0</c:v>
                </c:pt>
                <c:pt idx="1386">
                  <c:v>1</c:v>
                </c:pt>
                <c:pt idx="1387">
                  <c:v>1</c:v>
                </c:pt>
                <c:pt idx="1388">
                  <c:v>0</c:v>
                </c:pt>
                <c:pt idx="1389">
                  <c:v>1</c:v>
                </c:pt>
                <c:pt idx="1390">
                  <c:v>1</c:v>
                </c:pt>
                <c:pt idx="1391">
                  <c:v>1</c:v>
                </c:pt>
                <c:pt idx="1392">
                  <c:v>0</c:v>
                </c:pt>
                <c:pt idx="1393">
                  <c:v>1</c:v>
                </c:pt>
                <c:pt idx="1394">
                  <c:v>0</c:v>
                </c:pt>
                <c:pt idx="1395">
                  <c:v>0</c:v>
                </c:pt>
                <c:pt idx="1396">
                  <c:v>1</c:v>
                </c:pt>
                <c:pt idx="1397">
                  <c:v>1</c:v>
                </c:pt>
                <c:pt idx="1398">
                  <c:v>1</c:v>
                </c:pt>
                <c:pt idx="1399">
                  <c:v>1</c:v>
                </c:pt>
                <c:pt idx="1400">
                  <c:v>1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1</c:v>
                </c:pt>
                <c:pt idx="1419">
                  <c:v>1</c:v>
                </c:pt>
                <c:pt idx="1420">
                  <c:v>1</c:v>
                </c:pt>
                <c:pt idx="1421">
                  <c:v>1</c:v>
                </c:pt>
                <c:pt idx="1422">
                  <c:v>0</c:v>
                </c:pt>
                <c:pt idx="1423">
                  <c:v>1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1</c:v>
                </c:pt>
                <c:pt idx="1430">
                  <c:v>0</c:v>
                </c:pt>
                <c:pt idx="1431">
                  <c:v>1</c:v>
                </c:pt>
                <c:pt idx="1432">
                  <c:v>0</c:v>
                </c:pt>
                <c:pt idx="1433">
                  <c:v>1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1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1</c:v>
                </c:pt>
                <c:pt idx="1448">
                  <c:v>0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1</c:v>
                </c:pt>
                <c:pt idx="1465">
                  <c:v>0</c:v>
                </c:pt>
                <c:pt idx="1466">
                  <c:v>0</c:v>
                </c:pt>
                <c:pt idx="1467">
                  <c:v>1</c:v>
                </c:pt>
                <c:pt idx="1468">
                  <c:v>1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1</c:v>
                </c:pt>
                <c:pt idx="1490">
                  <c:v>1</c:v>
                </c:pt>
                <c:pt idx="1491">
                  <c:v>1</c:v>
                </c:pt>
                <c:pt idx="1492">
                  <c:v>1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1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1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</c:v>
                </c:pt>
                <c:pt idx="1527">
                  <c:v>1</c:v>
                </c:pt>
                <c:pt idx="1528">
                  <c:v>1</c:v>
                </c:pt>
                <c:pt idx="1529">
                  <c:v>1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1</c:v>
                </c:pt>
                <c:pt idx="1549">
                  <c:v>1</c:v>
                </c:pt>
                <c:pt idx="1550">
                  <c:v>1</c:v>
                </c:pt>
                <c:pt idx="1551">
                  <c:v>0</c:v>
                </c:pt>
                <c:pt idx="1552">
                  <c:v>1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1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1</c:v>
                </c:pt>
                <c:pt idx="1574">
                  <c:v>1</c:v>
                </c:pt>
                <c:pt idx="1575">
                  <c:v>0</c:v>
                </c:pt>
                <c:pt idx="1576">
                  <c:v>0</c:v>
                </c:pt>
                <c:pt idx="1577">
                  <c:v>1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</c:v>
                </c:pt>
                <c:pt idx="1582">
                  <c:v>1</c:v>
                </c:pt>
                <c:pt idx="1583">
                  <c:v>1</c:v>
                </c:pt>
                <c:pt idx="1584">
                  <c:v>0</c:v>
                </c:pt>
                <c:pt idx="1585">
                  <c:v>1</c:v>
                </c:pt>
                <c:pt idx="1586">
                  <c:v>0</c:v>
                </c:pt>
                <c:pt idx="1587">
                  <c:v>0</c:v>
                </c:pt>
                <c:pt idx="1588">
                  <c:v>1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1</c:v>
                </c:pt>
                <c:pt idx="1599">
                  <c:v>1</c:v>
                </c:pt>
                <c:pt idx="1600">
                  <c:v>0</c:v>
                </c:pt>
                <c:pt idx="1601">
                  <c:v>1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1</c:v>
                </c:pt>
                <c:pt idx="1607">
                  <c:v>1</c:v>
                </c:pt>
                <c:pt idx="1608">
                  <c:v>1</c:v>
                </c:pt>
                <c:pt idx="1609">
                  <c:v>1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1</c:v>
                </c:pt>
                <c:pt idx="1614">
                  <c:v>0</c:v>
                </c:pt>
                <c:pt idx="1615">
                  <c:v>1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1</c:v>
                </c:pt>
                <c:pt idx="1621">
                  <c:v>1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1</c:v>
                </c:pt>
                <c:pt idx="1627">
                  <c:v>1</c:v>
                </c:pt>
                <c:pt idx="1628">
                  <c:v>0</c:v>
                </c:pt>
                <c:pt idx="1629">
                  <c:v>1</c:v>
                </c:pt>
                <c:pt idx="1630">
                  <c:v>1</c:v>
                </c:pt>
                <c:pt idx="1631">
                  <c:v>1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1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1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1</c:v>
                </c:pt>
                <c:pt idx="1648">
                  <c:v>1</c:v>
                </c:pt>
                <c:pt idx="1649">
                  <c:v>1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1</c:v>
                </c:pt>
                <c:pt idx="1654">
                  <c:v>1</c:v>
                </c:pt>
                <c:pt idx="1655">
                  <c:v>0</c:v>
                </c:pt>
                <c:pt idx="1656">
                  <c:v>1</c:v>
                </c:pt>
                <c:pt idx="1657">
                  <c:v>0</c:v>
                </c:pt>
                <c:pt idx="1658">
                  <c:v>1</c:v>
                </c:pt>
                <c:pt idx="1659">
                  <c:v>1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1</c:v>
                </c:pt>
                <c:pt idx="1666">
                  <c:v>1</c:v>
                </c:pt>
                <c:pt idx="1667">
                  <c:v>0</c:v>
                </c:pt>
                <c:pt idx="1668">
                  <c:v>1</c:v>
                </c:pt>
                <c:pt idx="1669">
                  <c:v>0</c:v>
                </c:pt>
                <c:pt idx="1670">
                  <c:v>1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1</c:v>
                </c:pt>
                <c:pt idx="1675">
                  <c:v>1</c:v>
                </c:pt>
                <c:pt idx="1676">
                  <c:v>1</c:v>
                </c:pt>
                <c:pt idx="1677">
                  <c:v>1</c:v>
                </c:pt>
                <c:pt idx="1678">
                  <c:v>1</c:v>
                </c:pt>
                <c:pt idx="1679">
                  <c:v>1</c:v>
                </c:pt>
                <c:pt idx="1680">
                  <c:v>1</c:v>
                </c:pt>
                <c:pt idx="1681">
                  <c:v>1</c:v>
                </c:pt>
                <c:pt idx="1682">
                  <c:v>1</c:v>
                </c:pt>
                <c:pt idx="1683">
                  <c:v>1</c:v>
                </c:pt>
                <c:pt idx="1684">
                  <c:v>0</c:v>
                </c:pt>
                <c:pt idx="1685">
                  <c:v>0</c:v>
                </c:pt>
                <c:pt idx="1686">
                  <c:v>1</c:v>
                </c:pt>
                <c:pt idx="1687">
                  <c:v>1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1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1</c:v>
                </c:pt>
                <c:pt idx="1700">
                  <c:v>0</c:v>
                </c:pt>
                <c:pt idx="1701">
                  <c:v>0</c:v>
                </c:pt>
                <c:pt idx="1702">
                  <c:v>1</c:v>
                </c:pt>
                <c:pt idx="1703">
                  <c:v>1</c:v>
                </c:pt>
                <c:pt idx="1704">
                  <c:v>1</c:v>
                </c:pt>
                <c:pt idx="1705">
                  <c:v>0</c:v>
                </c:pt>
                <c:pt idx="1706">
                  <c:v>0</c:v>
                </c:pt>
                <c:pt idx="1707">
                  <c:v>1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1</c:v>
                </c:pt>
                <c:pt idx="1712">
                  <c:v>1</c:v>
                </c:pt>
                <c:pt idx="1713">
                  <c:v>0</c:v>
                </c:pt>
                <c:pt idx="1714">
                  <c:v>1</c:v>
                </c:pt>
                <c:pt idx="1715">
                  <c:v>1</c:v>
                </c:pt>
                <c:pt idx="1716">
                  <c:v>1</c:v>
                </c:pt>
                <c:pt idx="1717">
                  <c:v>1</c:v>
                </c:pt>
                <c:pt idx="1718">
                  <c:v>1</c:v>
                </c:pt>
                <c:pt idx="1719">
                  <c:v>1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1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1</c:v>
                </c:pt>
                <c:pt idx="1733">
                  <c:v>1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1</c:v>
                </c:pt>
                <c:pt idx="1738">
                  <c:v>1</c:v>
                </c:pt>
                <c:pt idx="1739">
                  <c:v>1</c:v>
                </c:pt>
                <c:pt idx="1740">
                  <c:v>0</c:v>
                </c:pt>
                <c:pt idx="1741">
                  <c:v>1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1</c:v>
                </c:pt>
                <c:pt idx="1748">
                  <c:v>1</c:v>
                </c:pt>
                <c:pt idx="1749">
                  <c:v>1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1</c:v>
                </c:pt>
                <c:pt idx="1761">
                  <c:v>1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0</c:v>
                </c:pt>
                <c:pt idx="1769">
                  <c:v>1</c:v>
                </c:pt>
                <c:pt idx="1770">
                  <c:v>1</c:v>
                </c:pt>
                <c:pt idx="1771">
                  <c:v>1</c:v>
                </c:pt>
                <c:pt idx="1772">
                  <c:v>1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1</c:v>
                </c:pt>
                <c:pt idx="1777">
                  <c:v>1</c:v>
                </c:pt>
                <c:pt idx="1778">
                  <c:v>1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1</c:v>
                </c:pt>
                <c:pt idx="1784">
                  <c:v>0</c:v>
                </c:pt>
                <c:pt idx="1785">
                  <c:v>0</c:v>
                </c:pt>
                <c:pt idx="1786">
                  <c:v>1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1</c:v>
                </c:pt>
                <c:pt idx="1796">
                  <c:v>1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1</c:v>
                </c:pt>
                <c:pt idx="1802">
                  <c:v>0</c:v>
                </c:pt>
                <c:pt idx="1803">
                  <c:v>1</c:v>
                </c:pt>
                <c:pt idx="1804">
                  <c:v>1</c:v>
                </c:pt>
                <c:pt idx="1805">
                  <c:v>1</c:v>
                </c:pt>
                <c:pt idx="1806">
                  <c:v>1</c:v>
                </c:pt>
                <c:pt idx="1807">
                  <c:v>1</c:v>
                </c:pt>
                <c:pt idx="1808">
                  <c:v>1</c:v>
                </c:pt>
                <c:pt idx="1809">
                  <c:v>1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1</c:v>
                </c:pt>
                <c:pt idx="1822">
                  <c:v>1</c:v>
                </c:pt>
                <c:pt idx="1823">
                  <c:v>1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1</c:v>
                </c:pt>
                <c:pt idx="1830">
                  <c:v>1</c:v>
                </c:pt>
                <c:pt idx="1831">
                  <c:v>1</c:v>
                </c:pt>
                <c:pt idx="1832">
                  <c:v>0</c:v>
                </c:pt>
                <c:pt idx="1833">
                  <c:v>1</c:v>
                </c:pt>
                <c:pt idx="1834">
                  <c:v>1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1</c:v>
                </c:pt>
                <c:pt idx="1841">
                  <c:v>1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1</c:v>
                </c:pt>
                <c:pt idx="1853">
                  <c:v>0</c:v>
                </c:pt>
                <c:pt idx="1854">
                  <c:v>1</c:v>
                </c:pt>
                <c:pt idx="1855">
                  <c:v>1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1</c:v>
                </c:pt>
                <c:pt idx="1860">
                  <c:v>1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1</c:v>
                </c:pt>
                <c:pt idx="1865">
                  <c:v>1</c:v>
                </c:pt>
                <c:pt idx="1866">
                  <c:v>0</c:v>
                </c:pt>
                <c:pt idx="1867">
                  <c:v>0</c:v>
                </c:pt>
                <c:pt idx="1868">
                  <c:v>1</c:v>
                </c:pt>
                <c:pt idx="1869">
                  <c:v>0</c:v>
                </c:pt>
                <c:pt idx="1870">
                  <c:v>0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</c:v>
                </c:pt>
                <c:pt idx="1890">
                  <c:v>1</c:v>
                </c:pt>
                <c:pt idx="1891">
                  <c:v>1</c:v>
                </c:pt>
                <c:pt idx="1892">
                  <c:v>1</c:v>
                </c:pt>
                <c:pt idx="1893">
                  <c:v>0</c:v>
                </c:pt>
                <c:pt idx="1894">
                  <c:v>1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1</c:v>
                </c:pt>
                <c:pt idx="1910">
                  <c:v>0</c:v>
                </c:pt>
                <c:pt idx="1911">
                  <c:v>0</c:v>
                </c:pt>
                <c:pt idx="1912">
                  <c:v>1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</c:v>
                </c:pt>
                <c:pt idx="1919">
                  <c:v>1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</c:v>
                </c:pt>
                <c:pt idx="1945">
                  <c:v>0</c:v>
                </c:pt>
                <c:pt idx="1946">
                  <c:v>1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1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1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1</c:v>
                </c:pt>
                <c:pt idx="1970">
                  <c:v>1</c:v>
                </c:pt>
                <c:pt idx="1971">
                  <c:v>1</c:v>
                </c:pt>
                <c:pt idx="1972">
                  <c:v>1</c:v>
                </c:pt>
                <c:pt idx="1973">
                  <c:v>1</c:v>
                </c:pt>
                <c:pt idx="1974">
                  <c:v>1</c:v>
                </c:pt>
                <c:pt idx="1975">
                  <c:v>0</c:v>
                </c:pt>
                <c:pt idx="1976">
                  <c:v>0</c:v>
                </c:pt>
                <c:pt idx="1977">
                  <c:v>1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1</c:v>
                </c:pt>
                <c:pt idx="1986">
                  <c:v>1</c:v>
                </c:pt>
                <c:pt idx="1987">
                  <c:v>1</c:v>
                </c:pt>
                <c:pt idx="1988">
                  <c:v>1</c:v>
                </c:pt>
                <c:pt idx="1989">
                  <c:v>0</c:v>
                </c:pt>
                <c:pt idx="1990">
                  <c:v>1</c:v>
                </c:pt>
                <c:pt idx="1991">
                  <c:v>0</c:v>
                </c:pt>
                <c:pt idx="1992">
                  <c:v>1</c:v>
                </c:pt>
                <c:pt idx="1993">
                  <c:v>1</c:v>
                </c:pt>
                <c:pt idx="1994">
                  <c:v>0</c:v>
                </c:pt>
                <c:pt idx="1995">
                  <c:v>1</c:v>
                </c:pt>
                <c:pt idx="1996">
                  <c:v>1</c:v>
                </c:pt>
                <c:pt idx="1997">
                  <c:v>1</c:v>
                </c:pt>
                <c:pt idx="1998">
                  <c:v>1</c:v>
                </c:pt>
                <c:pt idx="1999">
                  <c:v>1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1</c:v>
                </c:pt>
                <c:pt idx="2008">
                  <c:v>1</c:v>
                </c:pt>
                <c:pt idx="2009">
                  <c:v>1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1</c:v>
                </c:pt>
                <c:pt idx="2016">
                  <c:v>1</c:v>
                </c:pt>
                <c:pt idx="2017">
                  <c:v>1</c:v>
                </c:pt>
                <c:pt idx="2018">
                  <c:v>0</c:v>
                </c:pt>
                <c:pt idx="2019">
                  <c:v>1</c:v>
                </c:pt>
                <c:pt idx="2020">
                  <c:v>1</c:v>
                </c:pt>
                <c:pt idx="2021">
                  <c:v>1</c:v>
                </c:pt>
                <c:pt idx="2022">
                  <c:v>0</c:v>
                </c:pt>
                <c:pt idx="2023">
                  <c:v>1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1</c:v>
                </c:pt>
                <c:pt idx="2033">
                  <c:v>1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1</c:v>
                </c:pt>
                <c:pt idx="2042">
                  <c:v>1</c:v>
                </c:pt>
                <c:pt idx="2043">
                  <c:v>0</c:v>
                </c:pt>
                <c:pt idx="2044">
                  <c:v>0</c:v>
                </c:pt>
                <c:pt idx="2045">
                  <c:v>1</c:v>
                </c:pt>
                <c:pt idx="2046">
                  <c:v>0</c:v>
                </c:pt>
                <c:pt idx="2047">
                  <c:v>1</c:v>
                </c:pt>
                <c:pt idx="2048">
                  <c:v>0</c:v>
                </c:pt>
                <c:pt idx="2049">
                  <c:v>1</c:v>
                </c:pt>
                <c:pt idx="2050">
                  <c:v>1</c:v>
                </c:pt>
                <c:pt idx="2051">
                  <c:v>0</c:v>
                </c:pt>
                <c:pt idx="2052">
                  <c:v>1</c:v>
                </c:pt>
                <c:pt idx="2053">
                  <c:v>1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</c:v>
                </c:pt>
                <c:pt idx="2058">
                  <c:v>1</c:v>
                </c:pt>
                <c:pt idx="2059">
                  <c:v>1</c:v>
                </c:pt>
                <c:pt idx="2060">
                  <c:v>1</c:v>
                </c:pt>
                <c:pt idx="2061">
                  <c:v>1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1</c:v>
                </c:pt>
                <c:pt idx="2068">
                  <c:v>1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1</c:v>
                </c:pt>
                <c:pt idx="2078">
                  <c:v>1</c:v>
                </c:pt>
                <c:pt idx="2079">
                  <c:v>1</c:v>
                </c:pt>
                <c:pt idx="2080">
                  <c:v>1</c:v>
                </c:pt>
                <c:pt idx="2081">
                  <c:v>1</c:v>
                </c:pt>
                <c:pt idx="2082">
                  <c:v>1</c:v>
                </c:pt>
                <c:pt idx="2083">
                  <c:v>1</c:v>
                </c:pt>
                <c:pt idx="2084">
                  <c:v>1</c:v>
                </c:pt>
                <c:pt idx="2085">
                  <c:v>0</c:v>
                </c:pt>
                <c:pt idx="2086">
                  <c:v>1</c:v>
                </c:pt>
                <c:pt idx="2087">
                  <c:v>1</c:v>
                </c:pt>
                <c:pt idx="2088">
                  <c:v>1</c:v>
                </c:pt>
                <c:pt idx="2089">
                  <c:v>0</c:v>
                </c:pt>
                <c:pt idx="2090">
                  <c:v>0</c:v>
                </c:pt>
                <c:pt idx="2091">
                  <c:v>1</c:v>
                </c:pt>
                <c:pt idx="2092">
                  <c:v>1</c:v>
                </c:pt>
                <c:pt idx="2093">
                  <c:v>0</c:v>
                </c:pt>
                <c:pt idx="2094">
                  <c:v>1</c:v>
                </c:pt>
                <c:pt idx="2095">
                  <c:v>1</c:v>
                </c:pt>
                <c:pt idx="2096">
                  <c:v>0</c:v>
                </c:pt>
                <c:pt idx="2097">
                  <c:v>1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1</c:v>
                </c:pt>
                <c:pt idx="2105">
                  <c:v>0</c:v>
                </c:pt>
                <c:pt idx="2106">
                  <c:v>1</c:v>
                </c:pt>
                <c:pt idx="2107">
                  <c:v>1</c:v>
                </c:pt>
                <c:pt idx="2108">
                  <c:v>0</c:v>
                </c:pt>
                <c:pt idx="2109">
                  <c:v>1</c:v>
                </c:pt>
                <c:pt idx="2110">
                  <c:v>1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1</c:v>
                </c:pt>
                <c:pt idx="2119">
                  <c:v>1</c:v>
                </c:pt>
                <c:pt idx="2120">
                  <c:v>1</c:v>
                </c:pt>
                <c:pt idx="2121">
                  <c:v>1</c:v>
                </c:pt>
                <c:pt idx="2122">
                  <c:v>1</c:v>
                </c:pt>
                <c:pt idx="2123">
                  <c:v>1</c:v>
                </c:pt>
                <c:pt idx="2124">
                  <c:v>1</c:v>
                </c:pt>
                <c:pt idx="2125">
                  <c:v>1</c:v>
                </c:pt>
                <c:pt idx="2126">
                  <c:v>0</c:v>
                </c:pt>
                <c:pt idx="2127">
                  <c:v>0</c:v>
                </c:pt>
                <c:pt idx="2128">
                  <c:v>1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1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1</c:v>
                </c:pt>
                <c:pt idx="2138">
                  <c:v>1</c:v>
                </c:pt>
                <c:pt idx="2139">
                  <c:v>1</c:v>
                </c:pt>
                <c:pt idx="2140">
                  <c:v>1</c:v>
                </c:pt>
                <c:pt idx="2141">
                  <c:v>1</c:v>
                </c:pt>
                <c:pt idx="2142">
                  <c:v>1</c:v>
                </c:pt>
                <c:pt idx="2143">
                  <c:v>0</c:v>
                </c:pt>
                <c:pt idx="2144">
                  <c:v>1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1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1</c:v>
                </c:pt>
                <c:pt idx="2155">
                  <c:v>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1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1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1</c:v>
                </c:pt>
                <c:pt idx="2173">
                  <c:v>0</c:v>
                </c:pt>
                <c:pt idx="2174">
                  <c:v>0</c:v>
                </c:pt>
                <c:pt idx="2175">
                  <c:v>1</c:v>
                </c:pt>
                <c:pt idx="2176">
                  <c:v>0</c:v>
                </c:pt>
                <c:pt idx="2177">
                  <c:v>0</c:v>
                </c:pt>
                <c:pt idx="2178">
                  <c:v>1</c:v>
                </c:pt>
                <c:pt idx="2179">
                  <c:v>0</c:v>
                </c:pt>
                <c:pt idx="2180">
                  <c:v>0</c:v>
                </c:pt>
                <c:pt idx="2181">
                  <c:v>1</c:v>
                </c:pt>
                <c:pt idx="2182">
                  <c:v>0</c:v>
                </c:pt>
                <c:pt idx="2183">
                  <c:v>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1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1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1</c:v>
                </c:pt>
                <c:pt idx="2218">
                  <c:v>1</c:v>
                </c:pt>
                <c:pt idx="2219">
                  <c:v>1</c:v>
                </c:pt>
                <c:pt idx="2220">
                  <c:v>1</c:v>
                </c:pt>
                <c:pt idx="2221">
                  <c:v>1</c:v>
                </c:pt>
                <c:pt idx="2222">
                  <c:v>0</c:v>
                </c:pt>
                <c:pt idx="2223">
                  <c:v>1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1</c:v>
                </c:pt>
                <c:pt idx="2231">
                  <c:v>1</c:v>
                </c:pt>
                <c:pt idx="2232">
                  <c:v>0</c:v>
                </c:pt>
                <c:pt idx="2233">
                  <c:v>0</c:v>
                </c:pt>
                <c:pt idx="2234">
                  <c:v>1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1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1</c:v>
                </c:pt>
                <c:pt idx="2247">
                  <c:v>1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1</c:v>
                </c:pt>
                <c:pt idx="2263">
                  <c:v>1</c:v>
                </c:pt>
                <c:pt idx="2264">
                  <c:v>0</c:v>
                </c:pt>
                <c:pt idx="2265">
                  <c:v>1</c:v>
                </c:pt>
                <c:pt idx="2266">
                  <c:v>1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1</c:v>
                </c:pt>
                <c:pt idx="2282">
                  <c:v>1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1</c:v>
                </c:pt>
                <c:pt idx="2287">
                  <c:v>1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1</c:v>
                </c:pt>
                <c:pt idx="2295">
                  <c:v>1</c:v>
                </c:pt>
                <c:pt idx="2296">
                  <c:v>1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1</c:v>
                </c:pt>
                <c:pt idx="2301">
                  <c:v>1</c:v>
                </c:pt>
                <c:pt idx="2302">
                  <c:v>1</c:v>
                </c:pt>
                <c:pt idx="2303">
                  <c:v>0</c:v>
                </c:pt>
                <c:pt idx="2304">
                  <c:v>1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1</c:v>
                </c:pt>
                <c:pt idx="2310">
                  <c:v>1</c:v>
                </c:pt>
                <c:pt idx="2311">
                  <c:v>1</c:v>
                </c:pt>
                <c:pt idx="2312">
                  <c:v>1</c:v>
                </c:pt>
                <c:pt idx="2313">
                  <c:v>1</c:v>
                </c:pt>
                <c:pt idx="2314">
                  <c:v>0</c:v>
                </c:pt>
                <c:pt idx="2315">
                  <c:v>0</c:v>
                </c:pt>
                <c:pt idx="2316">
                  <c:v>1</c:v>
                </c:pt>
                <c:pt idx="2317">
                  <c:v>1</c:v>
                </c:pt>
                <c:pt idx="2318">
                  <c:v>1</c:v>
                </c:pt>
                <c:pt idx="2319">
                  <c:v>0</c:v>
                </c:pt>
                <c:pt idx="2320">
                  <c:v>1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1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1</c:v>
                </c:pt>
                <c:pt idx="2333">
                  <c:v>1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1</c:v>
                </c:pt>
                <c:pt idx="2340">
                  <c:v>1</c:v>
                </c:pt>
                <c:pt idx="2341">
                  <c:v>0</c:v>
                </c:pt>
                <c:pt idx="2342">
                  <c:v>0</c:v>
                </c:pt>
                <c:pt idx="2343">
                  <c:v>1</c:v>
                </c:pt>
                <c:pt idx="2344">
                  <c:v>1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1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1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</c:v>
                </c:pt>
                <c:pt idx="2365">
                  <c:v>0</c:v>
                </c:pt>
                <c:pt idx="2366">
                  <c:v>1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1</c:v>
                </c:pt>
                <c:pt idx="2374">
                  <c:v>1</c:v>
                </c:pt>
                <c:pt idx="2375">
                  <c:v>0</c:v>
                </c:pt>
                <c:pt idx="2376">
                  <c:v>0</c:v>
                </c:pt>
                <c:pt idx="2377">
                  <c:v>1</c:v>
                </c:pt>
                <c:pt idx="2378">
                  <c:v>0</c:v>
                </c:pt>
                <c:pt idx="2379">
                  <c:v>1</c:v>
                </c:pt>
                <c:pt idx="2380">
                  <c:v>1</c:v>
                </c:pt>
                <c:pt idx="2381">
                  <c:v>0</c:v>
                </c:pt>
                <c:pt idx="2382">
                  <c:v>0</c:v>
                </c:pt>
                <c:pt idx="2383">
                  <c:v>1</c:v>
                </c:pt>
                <c:pt idx="2384">
                  <c:v>1</c:v>
                </c:pt>
                <c:pt idx="2385">
                  <c:v>0</c:v>
                </c:pt>
                <c:pt idx="2386">
                  <c:v>1</c:v>
                </c:pt>
                <c:pt idx="2387">
                  <c:v>1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1</c:v>
                </c:pt>
                <c:pt idx="2395">
                  <c:v>1</c:v>
                </c:pt>
                <c:pt idx="2396">
                  <c:v>0</c:v>
                </c:pt>
                <c:pt idx="2397">
                  <c:v>1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1</c:v>
                </c:pt>
                <c:pt idx="2402">
                  <c:v>1</c:v>
                </c:pt>
                <c:pt idx="2403">
                  <c:v>1</c:v>
                </c:pt>
                <c:pt idx="2404">
                  <c:v>0</c:v>
                </c:pt>
                <c:pt idx="2405">
                  <c:v>1</c:v>
                </c:pt>
                <c:pt idx="2406">
                  <c:v>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1</c:v>
                </c:pt>
                <c:pt idx="2418">
                  <c:v>0</c:v>
                </c:pt>
                <c:pt idx="2419">
                  <c:v>1</c:v>
                </c:pt>
                <c:pt idx="2420">
                  <c:v>0</c:v>
                </c:pt>
                <c:pt idx="2421">
                  <c:v>1</c:v>
                </c:pt>
                <c:pt idx="2422">
                  <c:v>0</c:v>
                </c:pt>
                <c:pt idx="2423">
                  <c:v>0</c:v>
                </c:pt>
                <c:pt idx="2424">
                  <c:v>1</c:v>
                </c:pt>
                <c:pt idx="2425">
                  <c:v>1</c:v>
                </c:pt>
                <c:pt idx="2426">
                  <c:v>1</c:v>
                </c:pt>
                <c:pt idx="2427">
                  <c:v>1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1</c:v>
                </c:pt>
                <c:pt idx="2437">
                  <c:v>1</c:v>
                </c:pt>
                <c:pt idx="2438">
                  <c:v>0</c:v>
                </c:pt>
                <c:pt idx="2439">
                  <c:v>1</c:v>
                </c:pt>
                <c:pt idx="2440">
                  <c:v>1</c:v>
                </c:pt>
                <c:pt idx="2441">
                  <c:v>1</c:v>
                </c:pt>
                <c:pt idx="2442">
                  <c:v>1</c:v>
                </c:pt>
                <c:pt idx="2443">
                  <c:v>1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1</c:v>
                </c:pt>
                <c:pt idx="2454">
                  <c:v>1</c:v>
                </c:pt>
                <c:pt idx="2455">
                  <c:v>0</c:v>
                </c:pt>
                <c:pt idx="2456">
                  <c:v>0</c:v>
                </c:pt>
                <c:pt idx="2457">
                  <c:v>1</c:v>
                </c:pt>
                <c:pt idx="2458">
                  <c:v>1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1</c:v>
                </c:pt>
                <c:pt idx="2469">
                  <c:v>0</c:v>
                </c:pt>
                <c:pt idx="2470">
                  <c:v>0</c:v>
                </c:pt>
                <c:pt idx="2471">
                  <c:v>1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1</c:v>
                </c:pt>
                <c:pt idx="2482">
                  <c:v>1</c:v>
                </c:pt>
                <c:pt idx="2483">
                  <c:v>0</c:v>
                </c:pt>
                <c:pt idx="2484">
                  <c:v>1</c:v>
                </c:pt>
                <c:pt idx="2485">
                  <c:v>1</c:v>
                </c:pt>
                <c:pt idx="2486">
                  <c:v>0</c:v>
                </c:pt>
                <c:pt idx="2487">
                  <c:v>0</c:v>
                </c:pt>
                <c:pt idx="2488">
                  <c:v>1</c:v>
                </c:pt>
                <c:pt idx="2489">
                  <c:v>1</c:v>
                </c:pt>
                <c:pt idx="2490">
                  <c:v>0</c:v>
                </c:pt>
                <c:pt idx="2491">
                  <c:v>1</c:v>
                </c:pt>
                <c:pt idx="2492">
                  <c:v>1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1</c:v>
                </c:pt>
                <c:pt idx="2497">
                  <c:v>1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1</c:v>
                </c:pt>
                <c:pt idx="2507">
                  <c:v>1</c:v>
                </c:pt>
                <c:pt idx="2508">
                  <c:v>1</c:v>
                </c:pt>
                <c:pt idx="2509">
                  <c:v>1</c:v>
                </c:pt>
                <c:pt idx="2510">
                  <c:v>1</c:v>
                </c:pt>
                <c:pt idx="2511">
                  <c:v>1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1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1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1</c:v>
                </c:pt>
                <c:pt idx="2548">
                  <c:v>0</c:v>
                </c:pt>
                <c:pt idx="2549">
                  <c:v>1</c:v>
                </c:pt>
                <c:pt idx="2550">
                  <c:v>1</c:v>
                </c:pt>
                <c:pt idx="2551">
                  <c:v>1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1</c:v>
                </c:pt>
                <c:pt idx="2557">
                  <c:v>1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1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1</c:v>
                </c:pt>
                <c:pt idx="2575">
                  <c:v>1</c:v>
                </c:pt>
                <c:pt idx="2576">
                  <c:v>1</c:v>
                </c:pt>
                <c:pt idx="2577">
                  <c:v>1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1</c:v>
                </c:pt>
                <c:pt idx="2583">
                  <c:v>1</c:v>
                </c:pt>
                <c:pt idx="2584">
                  <c:v>0</c:v>
                </c:pt>
                <c:pt idx="2585">
                  <c:v>0</c:v>
                </c:pt>
                <c:pt idx="2586">
                  <c:v>1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1</c:v>
                </c:pt>
                <c:pt idx="2598">
                  <c:v>0</c:v>
                </c:pt>
                <c:pt idx="2599">
                  <c:v>0</c:v>
                </c:pt>
                <c:pt idx="2600">
                  <c:v>1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1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1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1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1</c:v>
                </c:pt>
                <c:pt idx="2631">
                  <c:v>1</c:v>
                </c:pt>
                <c:pt idx="2632">
                  <c:v>0</c:v>
                </c:pt>
                <c:pt idx="2633">
                  <c:v>0</c:v>
                </c:pt>
                <c:pt idx="2634">
                  <c:v>1</c:v>
                </c:pt>
                <c:pt idx="2635">
                  <c:v>1</c:v>
                </c:pt>
                <c:pt idx="2636">
                  <c:v>0</c:v>
                </c:pt>
                <c:pt idx="2637">
                  <c:v>0</c:v>
                </c:pt>
                <c:pt idx="2638">
                  <c:v>1</c:v>
                </c:pt>
                <c:pt idx="2639">
                  <c:v>1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1</c:v>
                </c:pt>
                <c:pt idx="2644">
                  <c:v>1</c:v>
                </c:pt>
                <c:pt idx="2645">
                  <c:v>1</c:v>
                </c:pt>
                <c:pt idx="2646">
                  <c:v>1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1</c:v>
                </c:pt>
                <c:pt idx="2651">
                  <c:v>1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1</c:v>
                </c:pt>
                <c:pt idx="2662">
                  <c:v>0</c:v>
                </c:pt>
                <c:pt idx="2663">
                  <c:v>1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1</c:v>
                </c:pt>
                <c:pt idx="2668">
                  <c:v>1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1</c:v>
                </c:pt>
                <c:pt idx="2674">
                  <c:v>1</c:v>
                </c:pt>
                <c:pt idx="2675">
                  <c:v>1</c:v>
                </c:pt>
                <c:pt idx="2676">
                  <c:v>1</c:v>
                </c:pt>
                <c:pt idx="2677">
                  <c:v>0</c:v>
                </c:pt>
                <c:pt idx="2678">
                  <c:v>1</c:v>
                </c:pt>
                <c:pt idx="2679">
                  <c:v>1</c:v>
                </c:pt>
                <c:pt idx="2680">
                  <c:v>0</c:v>
                </c:pt>
                <c:pt idx="2681">
                  <c:v>1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1</c:v>
                </c:pt>
                <c:pt idx="2691">
                  <c:v>1</c:v>
                </c:pt>
                <c:pt idx="2692">
                  <c:v>0</c:v>
                </c:pt>
                <c:pt idx="2693">
                  <c:v>1</c:v>
                </c:pt>
                <c:pt idx="2694">
                  <c:v>1</c:v>
                </c:pt>
                <c:pt idx="2695">
                  <c:v>1</c:v>
                </c:pt>
                <c:pt idx="2696">
                  <c:v>0</c:v>
                </c:pt>
                <c:pt idx="2697">
                  <c:v>1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1</c:v>
                </c:pt>
                <c:pt idx="2706">
                  <c:v>1</c:v>
                </c:pt>
                <c:pt idx="2707">
                  <c:v>1</c:v>
                </c:pt>
                <c:pt idx="2708">
                  <c:v>1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1</c:v>
                </c:pt>
                <c:pt idx="2713">
                  <c:v>1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1</c:v>
                </c:pt>
                <c:pt idx="2718">
                  <c:v>1</c:v>
                </c:pt>
                <c:pt idx="2719">
                  <c:v>1</c:v>
                </c:pt>
                <c:pt idx="2720">
                  <c:v>1</c:v>
                </c:pt>
                <c:pt idx="2721">
                  <c:v>0</c:v>
                </c:pt>
                <c:pt idx="2722">
                  <c:v>1</c:v>
                </c:pt>
                <c:pt idx="2723">
                  <c:v>0</c:v>
                </c:pt>
                <c:pt idx="2724">
                  <c:v>1</c:v>
                </c:pt>
                <c:pt idx="2725">
                  <c:v>0</c:v>
                </c:pt>
                <c:pt idx="2726">
                  <c:v>1</c:v>
                </c:pt>
                <c:pt idx="2727">
                  <c:v>1</c:v>
                </c:pt>
                <c:pt idx="2728">
                  <c:v>0</c:v>
                </c:pt>
                <c:pt idx="2729">
                  <c:v>1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1</c:v>
                </c:pt>
                <c:pt idx="2734">
                  <c:v>1</c:v>
                </c:pt>
                <c:pt idx="2735">
                  <c:v>1</c:v>
                </c:pt>
                <c:pt idx="2736">
                  <c:v>1</c:v>
                </c:pt>
                <c:pt idx="2737">
                  <c:v>1</c:v>
                </c:pt>
                <c:pt idx="2738">
                  <c:v>0</c:v>
                </c:pt>
                <c:pt idx="2739">
                  <c:v>1</c:v>
                </c:pt>
                <c:pt idx="2740">
                  <c:v>1</c:v>
                </c:pt>
                <c:pt idx="2741">
                  <c:v>1</c:v>
                </c:pt>
                <c:pt idx="2742">
                  <c:v>1</c:v>
                </c:pt>
                <c:pt idx="2743">
                  <c:v>1</c:v>
                </c:pt>
                <c:pt idx="2744">
                  <c:v>1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1</c:v>
                </c:pt>
                <c:pt idx="2749">
                  <c:v>1</c:v>
                </c:pt>
                <c:pt idx="2750">
                  <c:v>1</c:v>
                </c:pt>
                <c:pt idx="2751">
                  <c:v>1</c:v>
                </c:pt>
                <c:pt idx="2752">
                  <c:v>0</c:v>
                </c:pt>
                <c:pt idx="2753">
                  <c:v>0</c:v>
                </c:pt>
                <c:pt idx="2754">
                  <c:v>1</c:v>
                </c:pt>
                <c:pt idx="2755">
                  <c:v>1</c:v>
                </c:pt>
                <c:pt idx="2756">
                  <c:v>1</c:v>
                </c:pt>
                <c:pt idx="2757">
                  <c:v>1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1</c:v>
                </c:pt>
                <c:pt idx="2763">
                  <c:v>0</c:v>
                </c:pt>
                <c:pt idx="2764">
                  <c:v>1</c:v>
                </c:pt>
                <c:pt idx="2765">
                  <c:v>0</c:v>
                </c:pt>
                <c:pt idx="2766">
                  <c:v>1</c:v>
                </c:pt>
                <c:pt idx="2767">
                  <c:v>0</c:v>
                </c:pt>
                <c:pt idx="2768">
                  <c:v>1</c:v>
                </c:pt>
                <c:pt idx="2769">
                  <c:v>0</c:v>
                </c:pt>
                <c:pt idx="2770">
                  <c:v>0</c:v>
                </c:pt>
                <c:pt idx="2771">
                  <c:v>1</c:v>
                </c:pt>
                <c:pt idx="2772">
                  <c:v>1</c:v>
                </c:pt>
                <c:pt idx="2773">
                  <c:v>1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1</c:v>
                </c:pt>
                <c:pt idx="2778">
                  <c:v>1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1</c:v>
                </c:pt>
                <c:pt idx="2786">
                  <c:v>1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1</c:v>
                </c:pt>
                <c:pt idx="2802">
                  <c:v>1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1</c:v>
                </c:pt>
                <c:pt idx="2809">
                  <c:v>1</c:v>
                </c:pt>
                <c:pt idx="2810">
                  <c:v>1</c:v>
                </c:pt>
                <c:pt idx="2811">
                  <c:v>0</c:v>
                </c:pt>
                <c:pt idx="2812">
                  <c:v>0</c:v>
                </c:pt>
                <c:pt idx="2813">
                  <c:v>1</c:v>
                </c:pt>
                <c:pt idx="2814">
                  <c:v>0</c:v>
                </c:pt>
                <c:pt idx="2815">
                  <c:v>1</c:v>
                </c:pt>
                <c:pt idx="2816">
                  <c:v>0</c:v>
                </c:pt>
                <c:pt idx="2817">
                  <c:v>0</c:v>
                </c:pt>
                <c:pt idx="2818">
                  <c:v>1</c:v>
                </c:pt>
                <c:pt idx="2819">
                  <c:v>0</c:v>
                </c:pt>
                <c:pt idx="2820">
                  <c:v>1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1</c:v>
                </c:pt>
                <c:pt idx="2826">
                  <c:v>1</c:v>
                </c:pt>
                <c:pt idx="2827">
                  <c:v>1</c:v>
                </c:pt>
                <c:pt idx="2828">
                  <c:v>0</c:v>
                </c:pt>
                <c:pt idx="2829">
                  <c:v>1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1</c:v>
                </c:pt>
                <c:pt idx="2841">
                  <c:v>1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1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1</c:v>
                </c:pt>
                <c:pt idx="2852">
                  <c:v>0</c:v>
                </c:pt>
                <c:pt idx="2853">
                  <c:v>0</c:v>
                </c:pt>
                <c:pt idx="2854">
                  <c:v>1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1</c:v>
                </c:pt>
                <c:pt idx="2862">
                  <c:v>0</c:v>
                </c:pt>
                <c:pt idx="2863">
                  <c:v>1</c:v>
                </c:pt>
                <c:pt idx="2864">
                  <c:v>1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1</c:v>
                </c:pt>
                <c:pt idx="2878">
                  <c:v>1</c:v>
                </c:pt>
                <c:pt idx="2879">
                  <c:v>0</c:v>
                </c:pt>
                <c:pt idx="2880">
                  <c:v>1</c:v>
                </c:pt>
                <c:pt idx="2881">
                  <c:v>1</c:v>
                </c:pt>
                <c:pt idx="2882">
                  <c:v>1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1</c:v>
                </c:pt>
                <c:pt idx="2893">
                  <c:v>1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1</c:v>
                </c:pt>
                <c:pt idx="2905">
                  <c:v>1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1</c:v>
                </c:pt>
                <c:pt idx="2910">
                  <c:v>1</c:v>
                </c:pt>
                <c:pt idx="2911">
                  <c:v>1</c:v>
                </c:pt>
                <c:pt idx="2912">
                  <c:v>1</c:v>
                </c:pt>
                <c:pt idx="2913">
                  <c:v>0</c:v>
                </c:pt>
                <c:pt idx="2914">
                  <c:v>1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1</c:v>
                </c:pt>
                <c:pt idx="2940">
                  <c:v>1</c:v>
                </c:pt>
                <c:pt idx="2941">
                  <c:v>1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1</c:v>
                </c:pt>
                <c:pt idx="2952">
                  <c:v>1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1</c:v>
                </c:pt>
                <c:pt idx="2959">
                  <c:v>1</c:v>
                </c:pt>
                <c:pt idx="2960">
                  <c:v>1</c:v>
                </c:pt>
                <c:pt idx="2961">
                  <c:v>1</c:v>
                </c:pt>
                <c:pt idx="2962">
                  <c:v>0</c:v>
                </c:pt>
                <c:pt idx="2963">
                  <c:v>0</c:v>
                </c:pt>
                <c:pt idx="2964">
                  <c:v>1</c:v>
                </c:pt>
                <c:pt idx="2965">
                  <c:v>1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</c:v>
                </c:pt>
                <c:pt idx="2972">
                  <c:v>1</c:v>
                </c:pt>
                <c:pt idx="2973">
                  <c:v>0</c:v>
                </c:pt>
                <c:pt idx="2974">
                  <c:v>1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1</c:v>
                </c:pt>
                <c:pt idx="2980">
                  <c:v>1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1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1</c:v>
                </c:pt>
                <c:pt idx="3006">
                  <c:v>0</c:v>
                </c:pt>
                <c:pt idx="3007">
                  <c:v>1</c:v>
                </c:pt>
                <c:pt idx="3008">
                  <c:v>1</c:v>
                </c:pt>
                <c:pt idx="3009">
                  <c:v>0</c:v>
                </c:pt>
                <c:pt idx="3010">
                  <c:v>1</c:v>
                </c:pt>
                <c:pt idx="3011">
                  <c:v>0</c:v>
                </c:pt>
                <c:pt idx="3012">
                  <c:v>1</c:v>
                </c:pt>
                <c:pt idx="3013">
                  <c:v>0</c:v>
                </c:pt>
                <c:pt idx="3014">
                  <c:v>1</c:v>
                </c:pt>
                <c:pt idx="3015">
                  <c:v>1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1</c:v>
                </c:pt>
                <c:pt idx="3023">
                  <c:v>0</c:v>
                </c:pt>
                <c:pt idx="3024">
                  <c:v>1</c:v>
                </c:pt>
                <c:pt idx="3025">
                  <c:v>0</c:v>
                </c:pt>
                <c:pt idx="3026">
                  <c:v>1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1</c:v>
                </c:pt>
                <c:pt idx="3038">
                  <c:v>1</c:v>
                </c:pt>
                <c:pt idx="3039">
                  <c:v>0</c:v>
                </c:pt>
                <c:pt idx="3040">
                  <c:v>1</c:v>
                </c:pt>
                <c:pt idx="3041">
                  <c:v>0</c:v>
                </c:pt>
                <c:pt idx="3042">
                  <c:v>0</c:v>
                </c:pt>
                <c:pt idx="3043">
                  <c:v>1</c:v>
                </c:pt>
                <c:pt idx="3044">
                  <c:v>1</c:v>
                </c:pt>
                <c:pt idx="3045">
                  <c:v>0</c:v>
                </c:pt>
                <c:pt idx="3046">
                  <c:v>0</c:v>
                </c:pt>
                <c:pt idx="3047">
                  <c:v>1</c:v>
                </c:pt>
                <c:pt idx="3048">
                  <c:v>1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1</c:v>
                </c:pt>
                <c:pt idx="3059">
                  <c:v>1</c:v>
                </c:pt>
                <c:pt idx="3060">
                  <c:v>0</c:v>
                </c:pt>
                <c:pt idx="3061">
                  <c:v>1</c:v>
                </c:pt>
                <c:pt idx="3062">
                  <c:v>1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1</c:v>
                </c:pt>
                <c:pt idx="3069">
                  <c:v>1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1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1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1</c:v>
                </c:pt>
                <c:pt idx="3084">
                  <c:v>0</c:v>
                </c:pt>
                <c:pt idx="3085">
                  <c:v>1</c:v>
                </c:pt>
                <c:pt idx="3086">
                  <c:v>1</c:v>
                </c:pt>
                <c:pt idx="3087">
                  <c:v>1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1</c:v>
                </c:pt>
                <c:pt idx="3093">
                  <c:v>1</c:v>
                </c:pt>
                <c:pt idx="3094">
                  <c:v>1</c:v>
                </c:pt>
                <c:pt idx="3095">
                  <c:v>1</c:v>
                </c:pt>
                <c:pt idx="3096">
                  <c:v>1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1</c:v>
                </c:pt>
                <c:pt idx="3104">
                  <c:v>1</c:v>
                </c:pt>
                <c:pt idx="3105">
                  <c:v>1</c:v>
                </c:pt>
                <c:pt idx="3106">
                  <c:v>1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1</c:v>
                </c:pt>
                <c:pt idx="3111">
                  <c:v>1</c:v>
                </c:pt>
                <c:pt idx="3112">
                  <c:v>1</c:v>
                </c:pt>
                <c:pt idx="3113">
                  <c:v>1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1</c:v>
                </c:pt>
                <c:pt idx="3121">
                  <c:v>1</c:v>
                </c:pt>
                <c:pt idx="3122">
                  <c:v>1</c:v>
                </c:pt>
                <c:pt idx="3123">
                  <c:v>1</c:v>
                </c:pt>
                <c:pt idx="3124">
                  <c:v>1</c:v>
                </c:pt>
                <c:pt idx="3125">
                  <c:v>1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1</c:v>
                </c:pt>
                <c:pt idx="3130">
                  <c:v>1</c:v>
                </c:pt>
                <c:pt idx="3131">
                  <c:v>0</c:v>
                </c:pt>
                <c:pt idx="3132">
                  <c:v>0</c:v>
                </c:pt>
                <c:pt idx="3133">
                  <c:v>1</c:v>
                </c:pt>
                <c:pt idx="3134">
                  <c:v>1</c:v>
                </c:pt>
                <c:pt idx="3135">
                  <c:v>1</c:v>
                </c:pt>
                <c:pt idx="3136">
                  <c:v>0</c:v>
                </c:pt>
                <c:pt idx="3137">
                  <c:v>1</c:v>
                </c:pt>
                <c:pt idx="3138">
                  <c:v>1</c:v>
                </c:pt>
                <c:pt idx="3139">
                  <c:v>0</c:v>
                </c:pt>
                <c:pt idx="3140">
                  <c:v>0</c:v>
                </c:pt>
                <c:pt idx="3141">
                  <c:v>1</c:v>
                </c:pt>
                <c:pt idx="3142">
                  <c:v>1</c:v>
                </c:pt>
                <c:pt idx="3143">
                  <c:v>1</c:v>
                </c:pt>
                <c:pt idx="3144">
                  <c:v>1</c:v>
                </c:pt>
                <c:pt idx="3145">
                  <c:v>1</c:v>
                </c:pt>
                <c:pt idx="3146">
                  <c:v>1</c:v>
                </c:pt>
                <c:pt idx="3147">
                  <c:v>1</c:v>
                </c:pt>
                <c:pt idx="3148">
                  <c:v>1</c:v>
                </c:pt>
                <c:pt idx="3149">
                  <c:v>1</c:v>
                </c:pt>
                <c:pt idx="3150">
                  <c:v>1</c:v>
                </c:pt>
                <c:pt idx="3151">
                  <c:v>1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1</c:v>
                </c:pt>
                <c:pt idx="3156">
                  <c:v>1</c:v>
                </c:pt>
                <c:pt idx="3157">
                  <c:v>1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1</c:v>
                </c:pt>
                <c:pt idx="3165">
                  <c:v>1</c:v>
                </c:pt>
                <c:pt idx="3166">
                  <c:v>1</c:v>
                </c:pt>
                <c:pt idx="3167">
                  <c:v>1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1</c:v>
                </c:pt>
                <c:pt idx="3173">
                  <c:v>1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1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1</c:v>
                </c:pt>
                <c:pt idx="3185">
                  <c:v>1</c:v>
                </c:pt>
                <c:pt idx="3186">
                  <c:v>0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1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1</c:v>
                </c:pt>
                <c:pt idx="3199">
                  <c:v>0</c:v>
                </c:pt>
                <c:pt idx="3200">
                  <c:v>1</c:v>
                </c:pt>
                <c:pt idx="3201">
                  <c:v>1</c:v>
                </c:pt>
                <c:pt idx="3202">
                  <c:v>1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1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1</c:v>
                </c:pt>
                <c:pt idx="3223">
                  <c:v>0</c:v>
                </c:pt>
                <c:pt idx="3224">
                  <c:v>0</c:v>
                </c:pt>
                <c:pt idx="3225">
                  <c:v>1</c:v>
                </c:pt>
                <c:pt idx="3226">
                  <c:v>1</c:v>
                </c:pt>
                <c:pt idx="3227">
                  <c:v>0</c:v>
                </c:pt>
                <c:pt idx="3228">
                  <c:v>1</c:v>
                </c:pt>
                <c:pt idx="3229">
                  <c:v>1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1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1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1</c:v>
                </c:pt>
                <c:pt idx="3245">
                  <c:v>1</c:v>
                </c:pt>
                <c:pt idx="3246">
                  <c:v>1</c:v>
                </c:pt>
                <c:pt idx="3247">
                  <c:v>1</c:v>
                </c:pt>
                <c:pt idx="3248">
                  <c:v>1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1</c:v>
                </c:pt>
                <c:pt idx="3254">
                  <c:v>1</c:v>
                </c:pt>
                <c:pt idx="3255">
                  <c:v>0</c:v>
                </c:pt>
                <c:pt idx="3256">
                  <c:v>1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1</c:v>
                </c:pt>
                <c:pt idx="3261">
                  <c:v>0</c:v>
                </c:pt>
                <c:pt idx="3262">
                  <c:v>1</c:v>
                </c:pt>
                <c:pt idx="3263">
                  <c:v>0</c:v>
                </c:pt>
                <c:pt idx="3264">
                  <c:v>0</c:v>
                </c:pt>
                <c:pt idx="3265">
                  <c:v>1</c:v>
                </c:pt>
                <c:pt idx="3266">
                  <c:v>0</c:v>
                </c:pt>
                <c:pt idx="3267">
                  <c:v>0</c:v>
                </c:pt>
                <c:pt idx="3268">
                  <c:v>1</c:v>
                </c:pt>
                <c:pt idx="3269">
                  <c:v>1</c:v>
                </c:pt>
                <c:pt idx="3270">
                  <c:v>1</c:v>
                </c:pt>
                <c:pt idx="3271">
                  <c:v>0</c:v>
                </c:pt>
                <c:pt idx="3272">
                  <c:v>1</c:v>
                </c:pt>
                <c:pt idx="3273">
                  <c:v>1</c:v>
                </c:pt>
                <c:pt idx="3274">
                  <c:v>1</c:v>
                </c:pt>
                <c:pt idx="3275">
                  <c:v>1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1</c:v>
                </c:pt>
                <c:pt idx="3286">
                  <c:v>0</c:v>
                </c:pt>
                <c:pt idx="3287">
                  <c:v>0</c:v>
                </c:pt>
                <c:pt idx="3288">
                  <c:v>1</c:v>
                </c:pt>
                <c:pt idx="3289">
                  <c:v>1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1</c:v>
                </c:pt>
                <c:pt idx="3326">
                  <c:v>1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1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0</c:v>
                </c:pt>
                <c:pt idx="3346">
                  <c:v>1</c:v>
                </c:pt>
                <c:pt idx="3347">
                  <c:v>0</c:v>
                </c:pt>
                <c:pt idx="3348">
                  <c:v>1</c:v>
                </c:pt>
                <c:pt idx="3349">
                  <c:v>1</c:v>
                </c:pt>
                <c:pt idx="3350">
                  <c:v>1</c:v>
                </c:pt>
                <c:pt idx="3351">
                  <c:v>1</c:v>
                </c:pt>
                <c:pt idx="3352">
                  <c:v>1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1</c:v>
                </c:pt>
                <c:pt idx="3358">
                  <c:v>1</c:v>
                </c:pt>
                <c:pt idx="3359">
                  <c:v>1</c:v>
                </c:pt>
                <c:pt idx="3360">
                  <c:v>1</c:v>
                </c:pt>
                <c:pt idx="3361">
                  <c:v>1</c:v>
                </c:pt>
                <c:pt idx="3362">
                  <c:v>1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1</c:v>
                </c:pt>
                <c:pt idx="3369">
                  <c:v>0</c:v>
                </c:pt>
                <c:pt idx="3370">
                  <c:v>1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1</c:v>
                </c:pt>
                <c:pt idx="3381">
                  <c:v>0</c:v>
                </c:pt>
                <c:pt idx="3382">
                  <c:v>1</c:v>
                </c:pt>
                <c:pt idx="3383">
                  <c:v>1</c:v>
                </c:pt>
                <c:pt idx="3384">
                  <c:v>1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1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1</c:v>
                </c:pt>
                <c:pt idx="3415">
                  <c:v>1</c:v>
                </c:pt>
                <c:pt idx="3416">
                  <c:v>0</c:v>
                </c:pt>
                <c:pt idx="3417">
                  <c:v>1</c:v>
                </c:pt>
                <c:pt idx="3418">
                  <c:v>0</c:v>
                </c:pt>
                <c:pt idx="3419">
                  <c:v>1</c:v>
                </c:pt>
                <c:pt idx="3420">
                  <c:v>0</c:v>
                </c:pt>
                <c:pt idx="3421">
                  <c:v>0</c:v>
                </c:pt>
                <c:pt idx="3422">
                  <c:v>1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</c:v>
                </c:pt>
                <c:pt idx="3433">
                  <c:v>0</c:v>
                </c:pt>
                <c:pt idx="3434">
                  <c:v>1</c:v>
                </c:pt>
                <c:pt idx="3435">
                  <c:v>1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1</c:v>
                </c:pt>
                <c:pt idx="3445">
                  <c:v>1</c:v>
                </c:pt>
                <c:pt idx="3446">
                  <c:v>1</c:v>
                </c:pt>
                <c:pt idx="3447">
                  <c:v>1</c:v>
                </c:pt>
                <c:pt idx="3448">
                  <c:v>1</c:v>
                </c:pt>
                <c:pt idx="3449">
                  <c:v>0</c:v>
                </c:pt>
                <c:pt idx="3450">
                  <c:v>0</c:v>
                </c:pt>
                <c:pt idx="3451">
                  <c:v>1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1</c:v>
                </c:pt>
                <c:pt idx="3460">
                  <c:v>0</c:v>
                </c:pt>
                <c:pt idx="3461">
                  <c:v>1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1</c:v>
                </c:pt>
                <c:pt idx="3469">
                  <c:v>1</c:v>
                </c:pt>
                <c:pt idx="3470">
                  <c:v>1</c:v>
                </c:pt>
                <c:pt idx="3471">
                  <c:v>1</c:v>
                </c:pt>
                <c:pt idx="3472">
                  <c:v>1</c:v>
                </c:pt>
                <c:pt idx="3473">
                  <c:v>0</c:v>
                </c:pt>
                <c:pt idx="3474">
                  <c:v>1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1</c:v>
                </c:pt>
                <c:pt idx="3479">
                  <c:v>1</c:v>
                </c:pt>
                <c:pt idx="3480">
                  <c:v>0</c:v>
                </c:pt>
                <c:pt idx="3481">
                  <c:v>1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1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1</c:v>
                </c:pt>
                <c:pt idx="3498">
                  <c:v>1</c:v>
                </c:pt>
                <c:pt idx="3499">
                  <c:v>1</c:v>
                </c:pt>
                <c:pt idx="3500">
                  <c:v>1</c:v>
                </c:pt>
                <c:pt idx="3501">
                  <c:v>1</c:v>
                </c:pt>
                <c:pt idx="3502">
                  <c:v>0</c:v>
                </c:pt>
                <c:pt idx="3503">
                  <c:v>1</c:v>
                </c:pt>
                <c:pt idx="3504">
                  <c:v>0</c:v>
                </c:pt>
                <c:pt idx="3505">
                  <c:v>1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1</c:v>
                </c:pt>
                <c:pt idx="3510">
                  <c:v>1</c:v>
                </c:pt>
                <c:pt idx="3511">
                  <c:v>1</c:v>
                </c:pt>
                <c:pt idx="3512">
                  <c:v>1</c:v>
                </c:pt>
                <c:pt idx="3513">
                  <c:v>0</c:v>
                </c:pt>
                <c:pt idx="3514">
                  <c:v>0</c:v>
                </c:pt>
                <c:pt idx="3515">
                  <c:v>1</c:v>
                </c:pt>
                <c:pt idx="3516">
                  <c:v>0</c:v>
                </c:pt>
                <c:pt idx="3517">
                  <c:v>0</c:v>
                </c:pt>
                <c:pt idx="3518">
                  <c:v>1</c:v>
                </c:pt>
                <c:pt idx="3519">
                  <c:v>1</c:v>
                </c:pt>
                <c:pt idx="3520">
                  <c:v>1</c:v>
                </c:pt>
                <c:pt idx="3521">
                  <c:v>0</c:v>
                </c:pt>
                <c:pt idx="3522">
                  <c:v>1</c:v>
                </c:pt>
                <c:pt idx="3523">
                  <c:v>1</c:v>
                </c:pt>
                <c:pt idx="3524">
                  <c:v>1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1</c:v>
                </c:pt>
                <c:pt idx="3531">
                  <c:v>0</c:v>
                </c:pt>
                <c:pt idx="3532">
                  <c:v>0</c:v>
                </c:pt>
                <c:pt idx="3533">
                  <c:v>1</c:v>
                </c:pt>
                <c:pt idx="3534">
                  <c:v>1</c:v>
                </c:pt>
                <c:pt idx="3535">
                  <c:v>0</c:v>
                </c:pt>
                <c:pt idx="3536">
                  <c:v>1</c:v>
                </c:pt>
                <c:pt idx="3537">
                  <c:v>1</c:v>
                </c:pt>
                <c:pt idx="3538">
                  <c:v>1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1</c:v>
                </c:pt>
                <c:pt idx="3548">
                  <c:v>0</c:v>
                </c:pt>
                <c:pt idx="3549">
                  <c:v>1</c:v>
                </c:pt>
                <c:pt idx="3550">
                  <c:v>0</c:v>
                </c:pt>
                <c:pt idx="3551">
                  <c:v>1</c:v>
                </c:pt>
                <c:pt idx="3552">
                  <c:v>0</c:v>
                </c:pt>
                <c:pt idx="3553">
                  <c:v>1</c:v>
                </c:pt>
                <c:pt idx="3554">
                  <c:v>1</c:v>
                </c:pt>
                <c:pt idx="3555">
                  <c:v>1</c:v>
                </c:pt>
                <c:pt idx="3556">
                  <c:v>1</c:v>
                </c:pt>
                <c:pt idx="3557">
                  <c:v>1</c:v>
                </c:pt>
                <c:pt idx="3558">
                  <c:v>1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</c:v>
                </c:pt>
                <c:pt idx="3566">
                  <c:v>1</c:v>
                </c:pt>
                <c:pt idx="3567">
                  <c:v>1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1</c:v>
                </c:pt>
                <c:pt idx="3572">
                  <c:v>1</c:v>
                </c:pt>
                <c:pt idx="3573">
                  <c:v>1</c:v>
                </c:pt>
                <c:pt idx="3574">
                  <c:v>1</c:v>
                </c:pt>
                <c:pt idx="3575">
                  <c:v>1</c:v>
                </c:pt>
                <c:pt idx="3576">
                  <c:v>1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1</c:v>
                </c:pt>
                <c:pt idx="3590">
                  <c:v>1</c:v>
                </c:pt>
                <c:pt idx="3591">
                  <c:v>1</c:v>
                </c:pt>
                <c:pt idx="3592">
                  <c:v>0</c:v>
                </c:pt>
                <c:pt idx="3593">
                  <c:v>1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1</c:v>
                </c:pt>
                <c:pt idx="3612">
                  <c:v>1</c:v>
                </c:pt>
                <c:pt idx="3613">
                  <c:v>1</c:v>
                </c:pt>
                <c:pt idx="3614">
                  <c:v>0</c:v>
                </c:pt>
                <c:pt idx="3615">
                  <c:v>0</c:v>
                </c:pt>
                <c:pt idx="3616">
                  <c:v>1</c:v>
                </c:pt>
                <c:pt idx="3617">
                  <c:v>1</c:v>
                </c:pt>
                <c:pt idx="3618">
                  <c:v>1</c:v>
                </c:pt>
                <c:pt idx="3619">
                  <c:v>1</c:v>
                </c:pt>
                <c:pt idx="3620">
                  <c:v>1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1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1</c:v>
                </c:pt>
                <c:pt idx="3639">
                  <c:v>1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1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1</c:v>
                </c:pt>
                <c:pt idx="3653">
                  <c:v>1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1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1</c:v>
                </c:pt>
                <c:pt idx="3670">
                  <c:v>1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1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1</c:v>
                </c:pt>
                <c:pt idx="3688">
                  <c:v>1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1</c:v>
                </c:pt>
                <c:pt idx="3695">
                  <c:v>0</c:v>
                </c:pt>
                <c:pt idx="3696">
                  <c:v>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1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1</c:v>
                </c:pt>
                <c:pt idx="3716">
                  <c:v>1</c:v>
                </c:pt>
                <c:pt idx="3717">
                  <c:v>1</c:v>
                </c:pt>
                <c:pt idx="3718">
                  <c:v>1</c:v>
                </c:pt>
                <c:pt idx="3719">
                  <c:v>1</c:v>
                </c:pt>
                <c:pt idx="3720">
                  <c:v>0</c:v>
                </c:pt>
                <c:pt idx="3721">
                  <c:v>1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1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1</c:v>
                </c:pt>
                <c:pt idx="3740">
                  <c:v>1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1</c:v>
                </c:pt>
                <c:pt idx="3749">
                  <c:v>1</c:v>
                </c:pt>
                <c:pt idx="3750">
                  <c:v>0</c:v>
                </c:pt>
                <c:pt idx="3751">
                  <c:v>1</c:v>
                </c:pt>
                <c:pt idx="3752">
                  <c:v>1</c:v>
                </c:pt>
                <c:pt idx="3753">
                  <c:v>1</c:v>
                </c:pt>
                <c:pt idx="3754">
                  <c:v>1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1</c:v>
                </c:pt>
                <c:pt idx="3763">
                  <c:v>0</c:v>
                </c:pt>
                <c:pt idx="3764">
                  <c:v>0</c:v>
                </c:pt>
                <c:pt idx="3765">
                  <c:v>1</c:v>
                </c:pt>
                <c:pt idx="3766">
                  <c:v>1</c:v>
                </c:pt>
                <c:pt idx="3767">
                  <c:v>0</c:v>
                </c:pt>
                <c:pt idx="3768">
                  <c:v>0</c:v>
                </c:pt>
                <c:pt idx="3769">
                  <c:v>1</c:v>
                </c:pt>
                <c:pt idx="3770">
                  <c:v>1</c:v>
                </c:pt>
                <c:pt idx="3771">
                  <c:v>1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1</c:v>
                </c:pt>
                <c:pt idx="3777">
                  <c:v>1</c:v>
                </c:pt>
                <c:pt idx="3778">
                  <c:v>0</c:v>
                </c:pt>
                <c:pt idx="3779">
                  <c:v>1</c:v>
                </c:pt>
                <c:pt idx="3780">
                  <c:v>0</c:v>
                </c:pt>
                <c:pt idx="3781">
                  <c:v>0</c:v>
                </c:pt>
                <c:pt idx="3782">
                  <c:v>1</c:v>
                </c:pt>
                <c:pt idx="3783">
                  <c:v>0</c:v>
                </c:pt>
                <c:pt idx="3784">
                  <c:v>1</c:v>
                </c:pt>
                <c:pt idx="3785">
                  <c:v>1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1</c:v>
                </c:pt>
                <c:pt idx="3797">
                  <c:v>1</c:v>
                </c:pt>
                <c:pt idx="3798">
                  <c:v>0</c:v>
                </c:pt>
                <c:pt idx="3799">
                  <c:v>1</c:v>
                </c:pt>
                <c:pt idx="3800">
                  <c:v>1</c:v>
                </c:pt>
                <c:pt idx="3801">
                  <c:v>1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1</c:v>
                </c:pt>
                <c:pt idx="3809">
                  <c:v>1</c:v>
                </c:pt>
                <c:pt idx="3810">
                  <c:v>0</c:v>
                </c:pt>
                <c:pt idx="3811">
                  <c:v>1</c:v>
                </c:pt>
                <c:pt idx="3812">
                  <c:v>1</c:v>
                </c:pt>
                <c:pt idx="3813">
                  <c:v>1</c:v>
                </c:pt>
                <c:pt idx="3814">
                  <c:v>1</c:v>
                </c:pt>
                <c:pt idx="3815">
                  <c:v>1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1</c:v>
                </c:pt>
                <c:pt idx="3821">
                  <c:v>1</c:v>
                </c:pt>
                <c:pt idx="3822">
                  <c:v>1</c:v>
                </c:pt>
                <c:pt idx="3823">
                  <c:v>1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1</c:v>
                </c:pt>
                <c:pt idx="3828">
                  <c:v>1</c:v>
                </c:pt>
                <c:pt idx="3829">
                  <c:v>1</c:v>
                </c:pt>
                <c:pt idx="3830">
                  <c:v>0</c:v>
                </c:pt>
                <c:pt idx="3831">
                  <c:v>0</c:v>
                </c:pt>
                <c:pt idx="3832">
                  <c:v>1</c:v>
                </c:pt>
                <c:pt idx="3833">
                  <c:v>0</c:v>
                </c:pt>
                <c:pt idx="3834">
                  <c:v>0</c:v>
                </c:pt>
                <c:pt idx="3835">
                  <c:v>1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1</c:v>
                </c:pt>
                <c:pt idx="3847">
                  <c:v>1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1</c:v>
                </c:pt>
                <c:pt idx="3852">
                  <c:v>0</c:v>
                </c:pt>
                <c:pt idx="3853">
                  <c:v>1</c:v>
                </c:pt>
                <c:pt idx="3854">
                  <c:v>0</c:v>
                </c:pt>
                <c:pt idx="3855">
                  <c:v>1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1</c:v>
                </c:pt>
                <c:pt idx="3862">
                  <c:v>0</c:v>
                </c:pt>
                <c:pt idx="3863">
                  <c:v>0</c:v>
                </c:pt>
                <c:pt idx="3864">
                  <c:v>1</c:v>
                </c:pt>
                <c:pt idx="3865">
                  <c:v>1</c:v>
                </c:pt>
                <c:pt idx="3866">
                  <c:v>1</c:v>
                </c:pt>
                <c:pt idx="3867">
                  <c:v>0</c:v>
                </c:pt>
                <c:pt idx="3868">
                  <c:v>1</c:v>
                </c:pt>
                <c:pt idx="3869">
                  <c:v>1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1</c:v>
                </c:pt>
                <c:pt idx="3874">
                  <c:v>1</c:v>
                </c:pt>
                <c:pt idx="3875">
                  <c:v>1</c:v>
                </c:pt>
                <c:pt idx="3876">
                  <c:v>1</c:v>
                </c:pt>
                <c:pt idx="3877">
                  <c:v>0</c:v>
                </c:pt>
                <c:pt idx="3878">
                  <c:v>0</c:v>
                </c:pt>
                <c:pt idx="3879">
                  <c:v>1</c:v>
                </c:pt>
                <c:pt idx="3880">
                  <c:v>1</c:v>
                </c:pt>
                <c:pt idx="3881">
                  <c:v>0</c:v>
                </c:pt>
                <c:pt idx="3882">
                  <c:v>0</c:v>
                </c:pt>
                <c:pt idx="3883">
                  <c:v>1</c:v>
                </c:pt>
                <c:pt idx="3884">
                  <c:v>1</c:v>
                </c:pt>
                <c:pt idx="3885">
                  <c:v>1</c:v>
                </c:pt>
                <c:pt idx="3886">
                  <c:v>0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1</c:v>
                </c:pt>
                <c:pt idx="3891">
                  <c:v>1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1</c:v>
                </c:pt>
                <c:pt idx="3896">
                  <c:v>1</c:v>
                </c:pt>
                <c:pt idx="3897">
                  <c:v>0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1</c:v>
                </c:pt>
                <c:pt idx="3905">
                  <c:v>1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1</c:v>
                </c:pt>
                <c:pt idx="3911">
                  <c:v>1</c:v>
                </c:pt>
                <c:pt idx="3912">
                  <c:v>0</c:v>
                </c:pt>
                <c:pt idx="3913">
                  <c:v>1</c:v>
                </c:pt>
                <c:pt idx="3914">
                  <c:v>0</c:v>
                </c:pt>
                <c:pt idx="3915">
                  <c:v>1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</c:v>
                </c:pt>
                <c:pt idx="3921">
                  <c:v>1</c:v>
                </c:pt>
                <c:pt idx="3922">
                  <c:v>1</c:v>
                </c:pt>
                <c:pt idx="3923">
                  <c:v>1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1</c:v>
                </c:pt>
                <c:pt idx="3930">
                  <c:v>0</c:v>
                </c:pt>
                <c:pt idx="3931">
                  <c:v>1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1</c:v>
                </c:pt>
                <c:pt idx="3938">
                  <c:v>1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0</c:v>
                </c:pt>
                <c:pt idx="3943">
                  <c:v>1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1</c:v>
                </c:pt>
                <c:pt idx="3948">
                  <c:v>1</c:v>
                </c:pt>
                <c:pt idx="3949">
                  <c:v>0</c:v>
                </c:pt>
                <c:pt idx="3950">
                  <c:v>0</c:v>
                </c:pt>
                <c:pt idx="3951">
                  <c:v>1</c:v>
                </c:pt>
                <c:pt idx="3952">
                  <c:v>0</c:v>
                </c:pt>
                <c:pt idx="3953">
                  <c:v>0</c:v>
                </c:pt>
                <c:pt idx="3954">
                  <c:v>1</c:v>
                </c:pt>
                <c:pt idx="3955">
                  <c:v>1</c:v>
                </c:pt>
                <c:pt idx="3956">
                  <c:v>1</c:v>
                </c:pt>
                <c:pt idx="3957">
                  <c:v>1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1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1</c:v>
                </c:pt>
                <c:pt idx="3969">
                  <c:v>1</c:v>
                </c:pt>
                <c:pt idx="3970">
                  <c:v>1</c:v>
                </c:pt>
                <c:pt idx="3971">
                  <c:v>1</c:v>
                </c:pt>
                <c:pt idx="3972">
                  <c:v>0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1</c:v>
                </c:pt>
                <c:pt idx="3977">
                  <c:v>1</c:v>
                </c:pt>
                <c:pt idx="3978">
                  <c:v>0</c:v>
                </c:pt>
                <c:pt idx="3979">
                  <c:v>0</c:v>
                </c:pt>
                <c:pt idx="3980">
                  <c:v>1</c:v>
                </c:pt>
                <c:pt idx="3981">
                  <c:v>1</c:v>
                </c:pt>
                <c:pt idx="3982">
                  <c:v>1</c:v>
                </c:pt>
                <c:pt idx="3983">
                  <c:v>1</c:v>
                </c:pt>
                <c:pt idx="3984">
                  <c:v>1</c:v>
                </c:pt>
                <c:pt idx="3985">
                  <c:v>1</c:v>
                </c:pt>
                <c:pt idx="3986">
                  <c:v>1</c:v>
                </c:pt>
                <c:pt idx="3987">
                  <c:v>1</c:v>
                </c:pt>
                <c:pt idx="3988">
                  <c:v>1</c:v>
                </c:pt>
                <c:pt idx="3989">
                  <c:v>1</c:v>
                </c:pt>
                <c:pt idx="3990">
                  <c:v>0</c:v>
                </c:pt>
                <c:pt idx="3991">
                  <c:v>0</c:v>
                </c:pt>
                <c:pt idx="3992">
                  <c:v>1</c:v>
                </c:pt>
                <c:pt idx="3993">
                  <c:v>1</c:v>
                </c:pt>
                <c:pt idx="3994">
                  <c:v>1</c:v>
                </c:pt>
                <c:pt idx="3995">
                  <c:v>1</c:v>
                </c:pt>
                <c:pt idx="3996">
                  <c:v>1</c:v>
                </c:pt>
                <c:pt idx="3997">
                  <c:v>1</c:v>
                </c:pt>
                <c:pt idx="3998">
                  <c:v>1</c:v>
                </c:pt>
                <c:pt idx="3999">
                  <c:v>0</c:v>
                </c:pt>
                <c:pt idx="4000">
                  <c:v>0</c:v>
                </c:pt>
                <c:pt idx="4001">
                  <c:v>1</c:v>
                </c:pt>
                <c:pt idx="4002">
                  <c:v>0</c:v>
                </c:pt>
                <c:pt idx="4003">
                  <c:v>1</c:v>
                </c:pt>
                <c:pt idx="4004">
                  <c:v>1</c:v>
                </c:pt>
                <c:pt idx="4005">
                  <c:v>1</c:v>
                </c:pt>
                <c:pt idx="4006">
                  <c:v>0</c:v>
                </c:pt>
                <c:pt idx="4007">
                  <c:v>1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1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1</c:v>
                </c:pt>
                <c:pt idx="4026">
                  <c:v>1</c:v>
                </c:pt>
                <c:pt idx="4027">
                  <c:v>1</c:v>
                </c:pt>
                <c:pt idx="4028">
                  <c:v>1</c:v>
                </c:pt>
                <c:pt idx="4029">
                  <c:v>1</c:v>
                </c:pt>
                <c:pt idx="4030">
                  <c:v>1</c:v>
                </c:pt>
                <c:pt idx="4031">
                  <c:v>1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1</c:v>
                </c:pt>
                <c:pt idx="4041">
                  <c:v>0</c:v>
                </c:pt>
                <c:pt idx="4042">
                  <c:v>1</c:v>
                </c:pt>
                <c:pt idx="4043">
                  <c:v>1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1</c:v>
                </c:pt>
                <c:pt idx="4052">
                  <c:v>1</c:v>
                </c:pt>
                <c:pt idx="4053">
                  <c:v>1</c:v>
                </c:pt>
                <c:pt idx="4054">
                  <c:v>1</c:v>
                </c:pt>
                <c:pt idx="4055">
                  <c:v>1</c:v>
                </c:pt>
                <c:pt idx="4056">
                  <c:v>0</c:v>
                </c:pt>
                <c:pt idx="4057">
                  <c:v>0</c:v>
                </c:pt>
                <c:pt idx="4058">
                  <c:v>1</c:v>
                </c:pt>
                <c:pt idx="4059">
                  <c:v>1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1</c:v>
                </c:pt>
                <c:pt idx="4065">
                  <c:v>0</c:v>
                </c:pt>
                <c:pt idx="4066">
                  <c:v>1</c:v>
                </c:pt>
                <c:pt idx="4067">
                  <c:v>0</c:v>
                </c:pt>
                <c:pt idx="4068">
                  <c:v>1</c:v>
                </c:pt>
                <c:pt idx="4069">
                  <c:v>1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1</c:v>
                </c:pt>
                <c:pt idx="4075">
                  <c:v>1</c:v>
                </c:pt>
                <c:pt idx="4076">
                  <c:v>1</c:v>
                </c:pt>
                <c:pt idx="4077">
                  <c:v>1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1</c:v>
                </c:pt>
                <c:pt idx="4085">
                  <c:v>1</c:v>
                </c:pt>
                <c:pt idx="4086">
                  <c:v>1</c:v>
                </c:pt>
                <c:pt idx="4087">
                  <c:v>0</c:v>
                </c:pt>
                <c:pt idx="4088">
                  <c:v>0</c:v>
                </c:pt>
                <c:pt idx="4089">
                  <c:v>1</c:v>
                </c:pt>
                <c:pt idx="4090">
                  <c:v>1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1</c:v>
                </c:pt>
                <c:pt idx="4096">
                  <c:v>1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1</c:v>
                </c:pt>
                <c:pt idx="4101">
                  <c:v>1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1</c:v>
                </c:pt>
                <c:pt idx="4111">
                  <c:v>1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1</c:v>
                </c:pt>
                <c:pt idx="4117">
                  <c:v>1</c:v>
                </c:pt>
                <c:pt idx="4118">
                  <c:v>1</c:v>
                </c:pt>
                <c:pt idx="4119">
                  <c:v>1</c:v>
                </c:pt>
                <c:pt idx="4120">
                  <c:v>1</c:v>
                </c:pt>
                <c:pt idx="4121">
                  <c:v>1</c:v>
                </c:pt>
                <c:pt idx="4122">
                  <c:v>0</c:v>
                </c:pt>
                <c:pt idx="4123">
                  <c:v>0</c:v>
                </c:pt>
                <c:pt idx="4124">
                  <c:v>1</c:v>
                </c:pt>
                <c:pt idx="4125">
                  <c:v>0</c:v>
                </c:pt>
                <c:pt idx="4126">
                  <c:v>0</c:v>
                </c:pt>
                <c:pt idx="4127">
                  <c:v>1</c:v>
                </c:pt>
                <c:pt idx="4128">
                  <c:v>1</c:v>
                </c:pt>
                <c:pt idx="4129">
                  <c:v>1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1</c:v>
                </c:pt>
                <c:pt idx="4139">
                  <c:v>0</c:v>
                </c:pt>
                <c:pt idx="4140">
                  <c:v>0</c:v>
                </c:pt>
                <c:pt idx="4141">
                  <c:v>1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1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1</c:v>
                </c:pt>
                <c:pt idx="4150">
                  <c:v>1</c:v>
                </c:pt>
                <c:pt idx="4151">
                  <c:v>1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0</c:v>
                </c:pt>
                <c:pt idx="4163">
                  <c:v>1</c:v>
                </c:pt>
                <c:pt idx="4164">
                  <c:v>1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1</c:v>
                </c:pt>
                <c:pt idx="4173">
                  <c:v>1</c:v>
                </c:pt>
                <c:pt idx="4174">
                  <c:v>0</c:v>
                </c:pt>
                <c:pt idx="4175">
                  <c:v>1</c:v>
                </c:pt>
                <c:pt idx="4176">
                  <c:v>1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1</c:v>
                </c:pt>
                <c:pt idx="4182">
                  <c:v>0</c:v>
                </c:pt>
                <c:pt idx="4183">
                  <c:v>0</c:v>
                </c:pt>
                <c:pt idx="4184">
                  <c:v>1</c:v>
                </c:pt>
                <c:pt idx="4185">
                  <c:v>1</c:v>
                </c:pt>
                <c:pt idx="4186">
                  <c:v>0</c:v>
                </c:pt>
                <c:pt idx="4187">
                  <c:v>1</c:v>
                </c:pt>
                <c:pt idx="4188">
                  <c:v>1</c:v>
                </c:pt>
                <c:pt idx="4189">
                  <c:v>1</c:v>
                </c:pt>
                <c:pt idx="4190">
                  <c:v>1</c:v>
                </c:pt>
                <c:pt idx="4191">
                  <c:v>1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1</c:v>
                </c:pt>
                <c:pt idx="4202">
                  <c:v>0</c:v>
                </c:pt>
                <c:pt idx="4203">
                  <c:v>1</c:v>
                </c:pt>
                <c:pt idx="4204">
                  <c:v>1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1</c:v>
                </c:pt>
                <c:pt idx="4209">
                  <c:v>0</c:v>
                </c:pt>
                <c:pt idx="4210">
                  <c:v>1</c:v>
                </c:pt>
                <c:pt idx="4211">
                  <c:v>1</c:v>
                </c:pt>
                <c:pt idx="4212">
                  <c:v>1</c:v>
                </c:pt>
                <c:pt idx="4213">
                  <c:v>0</c:v>
                </c:pt>
                <c:pt idx="4214">
                  <c:v>0</c:v>
                </c:pt>
                <c:pt idx="4215">
                  <c:v>1</c:v>
                </c:pt>
                <c:pt idx="4216">
                  <c:v>1</c:v>
                </c:pt>
                <c:pt idx="4217">
                  <c:v>1</c:v>
                </c:pt>
                <c:pt idx="4218">
                  <c:v>0</c:v>
                </c:pt>
                <c:pt idx="4219">
                  <c:v>1</c:v>
                </c:pt>
                <c:pt idx="4220">
                  <c:v>0</c:v>
                </c:pt>
                <c:pt idx="4221">
                  <c:v>1</c:v>
                </c:pt>
                <c:pt idx="4222">
                  <c:v>1</c:v>
                </c:pt>
                <c:pt idx="4223">
                  <c:v>1</c:v>
                </c:pt>
                <c:pt idx="4224">
                  <c:v>1</c:v>
                </c:pt>
                <c:pt idx="4225">
                  <c:v>1</c:v>
                </c:pt>
                <c:pt idx="4226">
                  <c:v>0</c:v>
                </c:pt>
                <c:pt idx="4227">
                  <c:v>0</c:v>
                </c:pt>
                <c:pt idx="4228">
                  <c:v>1</c:v>
                </c:pt>
                <c:pt idx="4229">
                  <c:v>0</c:v>
                </c:pt>
                <c:pt idx="4230">
                  <c:v>1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1</c:v>
                </c:pt>
                <c:pt idx="4236">
                  <c:v>1</c:v>
                </c:pt>
                <c:pt idx="4237">
                  <c:v>1</c:v>
                </c:pt>
                <c:pt idx="4238">
                  <c:v>1</c:v>
                </c:pt>
                <c:pt idx="4239">
                  <c:v>1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1</c:v>
                </c:pt>
                <c:pt idx="4244">
                  <c:v>1</c:v>
                </c:pt>
                <c:pt idx="4245">
                  <c:v>0</c:v>
                </c:pt>
                <c:pt idx="4246">
                  <c:v>1</c:v>
                </c:pt>
                <c:pt idx="4247">
                  <c:v>1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1</c:v>
                </c:pt>
                <c:pt idx="4269">
                  <c:v>1</c:v>
                </c:pt>
                <c:pt idx="4270">
                  <c:v>1</c:v>
                </c:pt>
                <c:pt idx="4271">
                  <c:v>1</c:v>
                </c:pt>
                <c:pt idx="4272">
                  <c:v>0</c:v>
                </c:pt>
                <c:pt idx="4273">
                  <c:v>1</c:v>
                </c:pt>
                <c:pt idx="4274">
                  <c:v>1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1</c:v>
                </c:pt>
                <c:pt idx="4279">
                  <c:v>1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1</c:v>
                </c:pt>
                <c:pt idx="4289">
                  <c:v>1</c:v>
                </c:pt>
                <c:pt idx="4290">
                  <c:v>1</c:v>
                </c:pt>
                <c:pt idx="4291">
                  <c:v>1</c:v>
                </c:pt>
                <c:pt idx="4292">
                  <c:v>1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1</c:v>
                </c:pt>
                <c:pt idx="4298">
                  <c:v>1</c:v>
                </c:pt>
                <c:pt idx="4299">
                  <c:v>1</c:v>
                </c:pt>
                <c:pt idx="4300">
                  <c:v>1</c:v>
                </c:pt>
                <c:pt idx="4301">
                  <c:v>0</c:v>
                </c:pt>
                <c:pt idx="4302">
                  <c:v>1</c:v>
                </c:pt>
                <c:pt idx="4303">
                  <c:v>0</c:v>
                </c:pt>
                <c:pt idx="4304">
                  <c:v>0</c:v>
                </c:pt>
                <c:pt idx="4305">
                  <c:v>1</c:v>
                </c:pt>
                <c:pt idx="4306">
                  <c:v>1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1</c:v>
                </c:pt>
                <c:pt idx="4311">
                  <c:v>1</c:v>
                </c:pt>
                <c:pt idx="4312">
                  <c:v>1</c:v>
                </c:pt>
                <c:pt idx="4313">
                  <c:v>1</c:v>
                </c:pt>
                <c:pt idx="4314">
                  <c:v>1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1</c:v>
                </c:pt>
                <c:pt idx="4319">
                  <c:v>1</c:v>
                </c:pt>
                <c:pt idx="4320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49218672"/>
        <c:axId val="-945610640"/>
      </c:scatterChart>
      <c:valAx>
        <c:axId val="-849218672"/>
        <c:scaling>
          <c:orientation val="minMax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</a:t>
                </a:r>
              </a:p>
            </c:rich>
          </c:tx>
          <c:layout/>
          <c:overlay val="0"/>
        </c:title>
        <c:numFmt formatCode="m/d/yyyy" sourceLinked="1"/>
        <c:majorTickMark val="out"/>
        <c:minorTickMark val="none"/>
        <c:tickLblPos val="nextTo"/>
        <c:crossAx val="-945610640"/>
        <c:crosses val="autoZero"/>
        <c:crossBetween val="midCat"/>
      </c:valAx>
      <c:valAx>
        <c:axId val="-94561064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Rain?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-849218672"/>
        <c:crosses val="autoZero"/>
        <c:crossBetween val="midCat"/>
      </c:valAx>
      <c:spPr>
        <a:noFill/>
        <a:ln w="25400">
          <a:noFill/>
        </a:ln>
      </c:spPr>
    </c:plotArea>
    <c:legend>
      <c:legendPos val="r"/>
      <c:layout/>
      <c:overlay val="0"/>
      <c:spPr>
        <a:ln>
          <a:solidFill>
            <a:srgbClr val="000000"/>
          </a:solidFill>
          <a:prstDash val="solid"/>
        </a:ln>
      </c:sp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</xdr:colOff>
      <xdr:row>24</xdr:row>
      <xdr:rowOff>177800</xdr:rowOff>
    </xdr:from>
    <xdr:to>
      <xdr:col>12</xdr:col>
      <xdr:colOff>470014</xdr:colOff>
      <xdr:row>42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</xdr:colOff>
      <xdr:row>23</xdr:row>
      <xdr:rowOff>177800</xdr:rowOff>
    </xdr:from>
    <xdr:to>
      <xdr:col>12</xdr:col>
      <xdr:colOff>470014</xdr:colOff>
      <xdr:row>41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Teaching/ISB%20Forecasting/Public%20Forecasting/MelbourneRainfa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Data_PartitionTS1"/>
      <sheetName val="NaiveForecasts"/>
      <sheetName val="MLR_Output1"/>
      <sheetName val="LR_Output1"/>
      <sheetName val="LR_TrainScore1"/>
      <sheetName val="LR_ValidScore1"/>
      <sheetName val="LR_Stored_1"/>
      <sheetName val="LR_Output2"/>
      <sheetName val="LR_Stored_2"/>
      <sheetName val="ValidationOnly"/>
      <sheetName val="CategoryVar1"/>
      <sheetName val="Data_PartitionTS2"/>
      <sheetName val="LR_Output3"/>
      <sheetName val="LR_Stored_3"/>
      <sheetName val="SOI"/>
      <sheetName val="Data_PartitionTS3"/>
      <sheetName val="LR_Output4"/>
      <sheetName val="LR_Stored_4"/>
      <sheetName val="Data_PartitionTS4"/>
      <sheetName val="LR_Output5"/>
      <sheetName val="LR_Stored_5"/>
      <sheetName val="Data_PartitionTS5"/>
      <sheetName val="LR_Output6"/>
      <sheetName val="LR_TrainScore6"/>
      <sheetName val="LR_ValidScore6"/>
      <sheetName val="LR_Stored_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1">
          <cell r="A1" t="str">
            <v>MM-YY</v>
          </cell>
          <cell r="B1" t="str">
            <v>SOI</v>
          </cell>
          <cell r="C1" t="str">
            <v>Lag-SOI</v>
          </cell>
        </row>
        <row r="2">
          <cell r="A2">
            <v>36526</v>
          </cell>
          <cell r="B2">
            <v>5.0999999999999996</v>
          </cell>
          <cell r="C2">
            <v>12.8</v>
          </cell>
        </row>
        <row r="3">
          <cell r="A3">
            <v>36557</v>
          </cell>
          <cell r="B3">
            <v>12.9</v>
          </cell>
          <cell r="C3">
            <v>5.0999999999999996</v>
          </cell>
        </row>
        <row r="4">
          <cell r="A4">
            <v>36586</v>
          </cell>
          <cell r="B4">
            <v>9.4</v>
          </cell>
          <cell r="C4">
            <v>12.9</v>
          </cell>
        </row>
        <row r="5">
          <cell r="A5">
            <v>36617</v>
          </cell>
          <cell r="B5">
            <v>16.8</v>
          </cell>
          <cell r="C5">
            <v>9.4</v>
          </cell>
        </row>
        <row r="6">
          <cell r="A6">
            <v>36647</v>
          </cell>
          <cell r="B6">
            <v>3.6</v>
          </cell>
          <cell r="C6">
            <v>16.8</v>
          </cell>
        </row>
        <row r="7">
          <cell r="A7">
            <v>36678</v>
          </cell>
          <cell r="B7">
            <v>-5.5</v>
          </cell>
          <cell r="C7">
            <v>3.6</v>
          </cell>
        </row>
        <row r="8">
          <cell r="A8">
            <v>36708</v>
          </cell>
          <cell r="B8">
            <v>-3.7</v>
          </cell>
          <cell r="C8">
            <v>-5.5</v>
          </cell>
        </row>
        <row r="9">
          <cell r="A9">
            <v>36739</v>
          </cell>
          <cell r="B9">
            <v>5.3</v>
          </cell>
          <cell r="C9">
            <v>-3.7</v>
          </cell>
        </row>
        <row r="10">
          <cell r="A10">
            <v>36770</v>
          </cell>
          <cell r="B10">
            <v>9.9</v>
          </cell>
          <cell r="C10">
            <v>5.3</v>
          </cell>
        </row>
        <row r="11">
          <cell r="A11">
            <v>36800</v>
          </cell>
          <cell r="B11">
            <v>9.6999999999999993</v>
          </cell>
          <cell r="C11">
            <v>9.9</v>
          </cell>
        </row>
        <row r="12">
          <cell r="A12">
            <v>36831</v>
          </cell>
          <cell r="B12">
            <v>22.4</v>
          </cell>
          <cell r="C12">
            <v>9.6999999999999993</v>
          </cell>
        </row>
        <row r="13">
          <cell r="A13">
            <v>36861</v>
          </cell>
          <cell r="B13">
            <v>7.7</v>
          </cell>
          <cell r="C13">
            <v>22.4</v>
          </cell>
        </row>
        <row r="14">
          <cell r="A14">
            <v>36892</v>
          </cell>
          <cell r="B14">
            <v>8.9</v>
          </cell>
          <cell r="C14">
            <v>7.7</v>
          </cell>
        </row>
        <row r="15">
          <cell r="A15">
            <v>36923</v>
          </cell>
          <cell r="B15">
            <v>11.9</v>
          </cell>
          <cell r="C15">
            <v>8.9</v>
          </cell>
        </row>
        <row r="16">
          <cell r="A16">
            <v>36951</v>
          </cell>
          <cell r="B16">
            <v>6.7</v>
          </cell>
          <cell r="C16">
            <v>11.9</v>
          </cell>
        </row>
        <row r="17">
          <cell r="A17">
            <v>36982</v>
          </cell>
          <cell r="B17">
            <v>0.3</v>
          </cell>
          <cell r="C17">
            <v>6.7</v>
          </cell>
        </row>
        <row r="18">
          <cell r="A18">
            <v>37012</v>
          </cell>
          <cell r="B18">
            <v>-9</v>
          </cell>
          <cell r="C18">
            <v>0.3</v>
          </cell>
        </row>
        <row r="19">
          <cell r="A19">
            <v>37043</v>
          </cell>
          <cell r="B19">
            <v>1.8</v>
          </cell>
          <cell r="C19">
            <v>-9</v>
          </cell>
        </row>
        <row r="20">
          <cell r="A20">
            <v>37073</v>
          </cell>
          <cell r="B20">
            <v>-3</v>
          </cell>
          <cell r="C20">
            <v>1.8</v>
          </cell>
        </row>
        <row r="21">
          <cell r="A21">
            <v>37104</v>
          </cell>
          <cell r="B21">
            <v>-8.9</v>
          </cell>
          <cell r="C21">
            <v>-3</v>
          </cell>
        </row>
        <row r="22">
          <cell r="A22">
            <v>37135</v>
          </cell>
          <cell r="B22">
            <v>1.4</v>
          </cell>
          <cell r="C22">
            <v>-8.9</v>
          </cell>
        </row>
        <row r="23">
          <cell r="A23">
            <v>37165</v>
          </cell>
          <cell r="B23">
            <v>-1.9</v>
          </cell>
          <cell r="C23">
            <v>1.4</v>
          </cell>
        </row>
        <row r="24">
          <cell r="A24">
            <v>37196</v>
          </cell>
          <cell r="B24">
            <v>7.2</v>
          </cell>
          <cell r="C24">
            <v>-1.9</v>
          </cell>
        </row>
        <row r="25">
          <cell r="A25">
            <v>37226</v>
          </cell>
          <cell r="B25">
            <v>-9.1</v>
          </cell>
          <cell r="C25">
            <v>7.2</v>
          </cell>
        </row>
        <row r="26">
          <cell r="A26">
            <v>37257</v>
          </cell>
          <cell r="B26">
            <v>2.7</v>
          </cell>
          <cell r="C26">
            <v>-9.1</v>
          </cell>
        </row>
        <row r="27">
          <cell r="A27">
            <v>37288</v>
          </cell>
          <cell r="B27">
            <v>7.7</v>
          </cell>
          <cell r="C27">
            <v>2.7</v>
          </cell>
        </row>
        <row r="28">
          <cell r="A28">
            <v>37316</v>
          </cell>
          <cell r="B28">
            <v>-5.2</v>
          </cell>
          <cell r="C28">
            <v>7.7</v>
          </cell>
        </row>
        <row r="29">
          <cell r="A29">
            <v>37347</v>
          </cell>
          <cell r="B29">
            <v>-3.8</v>
          </cell>
          <cell r="C29">
            <v>-5.2</v>
          </cell>
        </row>
        <row r="30">
          <cell r="A30">
            <v>37377</v>
          </cell>
          <cell r="B30">
            <v>-14.5</v>
          </cell>
          <cell r="C30">
            <v>-3.8</v>
          </cell>
        </row>
        <row r="31">
          <cell r="A31">
            <v>37408</v>
          </cell>
          <cell r="B31">
            <v>-6.3</v>
          </cell>
          <cell r="C31">
            <v>-14.5</v>
          </cell>
        </row>
        <row r="32">
          <cell r="A32">
            <v>37438</v>
          </cell>
          <cell r="B32">
            <v>-7.6</v>
          </cell>
          <cell r="C32">
            <v>-6.3</v>
          </cell>
        </row>
        <row r="33">
          <cell r="A33">
            <v>37469</v>
          </cell>
          <cell r="B33">
            <v>-14.6</v>
          </cell>
          <cell r="C33">
            <v>-7.6</v>
          </cell>
        </row>
        <row r="34">
          <cell r="A34">
            <v>37500</v>
          </cell>
          <cell r="B34">
            <v>-7.6</v>
          </cell>
          <cell r="C34">
            <v>-14.6</v>
          </cell>
        </row>
        <row r="35">
          <cell r="A35">
            <v>37530</v>
          </cell>
          <cell r="B35">
            <v>-7.4</v>
          </cell>
          <cell r="C35">
            <v>-7.6</v>
          </cell>
        </row>
        <row r="36">
          <cell r="A36">
            <v>37561</v>
          </cell>
          <cell r="B36">
            <v>-6</v>
          </cell>
          <cell r="C36">
            <v>-7.4</v>
          </cell>
        </row>
        <row r="37">
          <cell r="A37">
            <v>37591</v>
          </cell>
          <cell r="B37">
            <v>-10.6</v>
          </cell>
          <cell r="C37">
            <v>-6</v>
          </cell>
        </row>
        <row r="38">
          <cell r="A38">
            <v>37622</v>
          </cell>
          <cell r="B38">
            <v>-2</v>
          </cell>
          <cell r="C38">
            <v>-10.6</v>
          </cell>
        </row>
        <row r="39">
          <cell r="A39">
            <v>37653</v>
          </cell>
          <cell r="B39">
            <v>-7.4</v>
          </cell>
          <cell r="C39">
            <v>-2</v>
          </cell>
        </row>
        <row r="40">
          <cell r="A40">
            <v>37681</v>
          </cell>
          <cell r="B40">
            <v>-6.8</v>
          </cell>
          <cell r="C40">
            <v>-7.4</v>
          </cell>
        </row>
        <row r="41">
          <cell r="A41">
            <v>37712</v>
          </cell>
          <cell r="B41">
            <v>-5.5</v>
          </cell>
          <cell r="C41">
            <v>-6.8</v>
          </cell>
        </row>
        <row r="42">
          <cell r="A42">
            <v>37742</v>
          </cell>
          <cell r="B42">
            <v>-7.4</v>
          </cell>
          <cell r="C42">
            <v>-5.5</v>
          </cell>
        </row>
        <row r="43">
          <cell r="A43">
            <v>37773</v>
          </cell>
          <cell r="B43">
            <v>-12</v>
          </cell>
          <cell r="C43">
            <v>-7.4</v>
          </cell>
        </row>
        <row r="44">
          <cell r="A44">
            <v>37803</v>
          </cell>
          <cell r="B44">
            <v>2.9</v>
          </cell>
          <cell r="C44">
            <v>-12</v>
          </cell>
        </row>
        <row r="45">
          <cell r="A45">
            <v>37834</v>
          </cell>
          <cell r="B45">
            <v>-1.8</v>
          </cell>
          <cell r="C45">
            <v>2.9</v>
          </cell>
        </row>
        <row r="46">
          <cell r="A46">
            <v>37865</v>
          </cell>
          <cell r="B46">
            <v>-2.2000000000000002</v>
          </cell>
          <cell r="C46">
            <v>-1.8</v>
          </cell>
        </row>
        <row r="47">
          <cell r="A47">
            <v>37895</v>
          </cell>
          <cell r="B47">
            <v>-1.9</v>
          </cell>
          <cell r="C47">
            <v>-2.2000000000000002</v>
          </cell>
        </row>
        <row r="48">
          <cell r="A48">
            <v>37926</v>
          </cell>
          <cell r="B48">
            <v>-3.4</v>
          </cell>
          <cell r="C48">
            <v>-1.9</v>
          </cell>
        </row>
        <row r="49">
          <cell r="A49">
            <v>37956</v>
          </cell>
          <cell r="B49">
            <v>9.8000000000000007</v>
          </cell>
          <cell r="C49">
            <v>-3.4</v>
          </cell>
        </row>
        <row r="50">
          <cell r="A50">
            <v>37987</v>
          </cell>
          <cell r="B50">
            <v>-11.6</v>
          </cell>
          <cell r="C50">
            <v>9.8000000000000007</v>
          </cell>
        </row>
        <row r="51">
          <cell r="A51">
            <v>38018</v>
          </cell>
          <cell r="B51">
            <v>8.6</v>
          </cell>
          <cell r="C51">
            <v>-11.6</v>
          </cell>
        </row>
        <row r="52">
          <cell r="A52">
            <v>38047</v>
          </cell>
          <cell r="B52">
            <v>0.2</v>
          </cell>
          <cell r="C52">
            <v>8.6</v>
          </cell>
        </row>
        <row r="53">
          <cell r="A53">
            <v>38078</v>
          </cell>
          <cell r="B53">
            <v>-15.4</v>
          </cell>
          <cell r="C53">
            <v>0.2</v>
          </cell>
        </row>
        <row r="54">
          <cell r="A54">
            <v>38108</v>
          </cell>
          <cell r="B54">
            <v>13.1</v>
          </cell>
          <cell r="C54">
            <v>-15.4</v>
          </cell>
        </row>
        <row r="55">
          <cell r="A55">
            <v>38139</v>
          </cell>
          <cell r="B55">
            <v>-14.4</v>
          </cell>
          <cell r="C55">
            <v>13.1</v>
          </cell>
        </row>
        <row r="56">
          <cell r="A56">
            <v>38169</v>
          </cell>
          <cell r="B56">
            <v>-6.9</v>
          </cell>
          <cell r="C56">
            <v>-14.4</v>
          </cell>
        </row>
        <row r="57">
          <cell r="A57">
            <v>38200</v>
          </cell>
          <cell r="B57">
            <v>-7.6</v>
          </cell>
          <cell r="C57">
            <v>-6.9</v>
          </cell>
        </row>
        <row r="58">
          <cell r="A58">
            <v>38231</v>
          </cell>
          <cell r="B58">
            <v>-2.8</v>
          </cell>
          <cell r="C58">
            <v>-7.6</v>
          </cell>
        </row>
        <row r="59">
          <cell r="A59">
            <v>38261</v>
          </cell>
          <cell r="B59">
            <v>-3.7</v>
          </cell>
          <cell r="C59">
            <v>-2.8</v>
          </cell>
        </row>
        <row r="60">
          <cell r="A60">
            <v>38292</v>
          </cell>
          <cell r="B60">
            <v>-9.3000000000000007</v>
          </cell>
          <cell r="C60">
            <v>-3.7</v>
          </cell>
        </row>
        <row r="61">
          <cell r="A61">
            <v>38322</v>
          </cell>
          <cell r="B61">
            <v>-8</v>
          </cell>
          <cell r="C61">
            <v>-9.3000000000000007</v>
          </cell>
        </row>
        <row r="62">
          <cell r="A62">
            <v>38353</v>
          </cell>
          <cell r="B62">
            <v>1.8</v>
          </cell>
          <cell r="C62">
            <v>-8</v>
          </cell>
        </row>
        <row r="63">
          <cell r="A63">
            <v>38384</v>
          </cell>
          <cell r="B63">
            <v>-29.1</v>
          </cell>
          <cell r="C63">
            <v>1.8</v>
          </cell>
        </row>
        <row r="64">
          <cell r="A64">
            <v>38412</v>
          </cell>
          <cell r="B64">
            <v>0.2</v>
          </cell>
          <cell r="C64">
            <v>-29.1</v>
          </cell>
        </row>
        <row r="65">
          <cell r="A65">
            <v>38443</v>
          </cell>
          <cell r="B65">
            <v>-11.2</v>
          </cell>
          <cell r="C65">
            <v>0.2</v>
          </cell>
        </row>
        <row r="66">
          <cell r="A66">
            <v>38473</v>
          </cell>
          <cell r="B66">
            <v>-14.5</v>
          </cell>
          <cell r="C66">
            <v>-11.2</v>
          </cell>
        </row>
        <row r="67">
          <cell r="A67">
            <v>38504</v>
          </cell>
          <cell r="B67">
            <v>2.6</v>
          </cell>
          <cell r="C67">
            <v>-14.5</v>
          </cell>
        </row>
        <row r="68">
          <cell r="A68">
            <v>38534</v>
          </cell>
          <cell r="B68">
            <v>0.9</v>
          </cell>
          <cell r="C68">
            <v>2.6</v>
          </cell>
        </row>
        <row r="69">
          <cell r="A69">
            <v>38565</v>
          </cell>
          <cell r="B69">
            <v>-6.9</v>
          </cell>
          <cell r="C69">
            <v>0.9</v>
          </cell>
        </row>
        <row r="70">
          <cell r="A70">
            <v>38596</v>
          </cell>
          <cell r="B70">
            <v>3.9</v>
          </cell>
          <cell r="C70">
            <v>-6.9</v>
          </cell>
        </row>
        <row r="71">
          <cell r="A71">
            <v>38626</v>
          </cell>
          <cell r="B71">
            <v>10.9</v>
          </cell>
          <cell r="C71">
            <v>3.9</v>
          </cell>
        </row>
        <row r="72">
          <cell r="A72">
            <v>38657</v>
          </cell>
          <cell r="B72">
            <v>-2.7</v>
          </cell>
          <cell r="C72">
            <v>10.9</v>
          </cell>
        </row>
        <row r="73">
          <cell r="A73">
            <v>38687</v>
          </cell>
          <cell r="B73">
            <v>0.6</v>
          </cell>
          <cell r="C73">
            <v>-2.7</v>
          </cell>
        </row>
        <row r="74">
          <cell r="A74">
            <v>38718</v>
          </cell>
          <cell r="B74">
            <v>12.7</v>
          </cell>
          <cell r="C74">
            <v>0.6</v>
          </cell>
        </row>
        <row r="75">
          <cell r="A75">
            <v>38749</v>
          </cell>
          <cell r="B75">
            <v>0.1</v>
          </cell>
          <cell r="C75">
            <v>12.7</v>
          </cell>
        </row>
        <row r="76">
          <cell r="A76">
            <v>38777</v>
          </cell>
          <cell r="B76">
            <v>13.8</v>
          </cell>
          <cell r="C76">
            <v>0.1</v>
          </cell>
        </row>
        <row r="77">
          <cell r="A77">
            <v>38808</v>
          </cell>
          <cell r="B77">
            <v>15.2</v>
          </cell>
          <cell r="C77">
            <v>13.8</v>
          </cell>
        </row>
        <row r="78">
          <cell r="A78">
            <v>38838</v>
          </cell>
          <cell r="B78">
            <v>-9.8000000000000007</v>
          </cell>
          <cell r="C78">
            <v>15.2</v>
          </cell>
        </row>
        <row r="79">
          <cell r="A79">
            <v>38869</v>
          </cell>
          <cell r="B79">
            <v>-5.5</v>
          </cell>
          <cell r="C79">
            <v>-9.8000000000000007</v>
          </cell>
        </row>
        <row r="80">
          <cell r="A80">
            <v>38899</v>
          </cell>
          <cell r="B80">
            <v>-8.9</v>
          </cell>
          <cell r="C80">
            <v>-5.5</v>
          </cell>
        </row>
        <row r="81">
          <cell r="A81">
            <v>38930</v>
          </cell>
          <cell r="B81">
            <v>-15.9</v>
          </cell>
          <cell r="C81">
            <v>-8.9</v>
          </cell>
        </row>
        <row r="82">
          <cell r="A82">
            <v>38961</v>
          </cell>
          <cell r="B82">
            <v>-5.0999999999999996</v>
          </cell>
          <cell r="C82">
            <v>-15.9</v>
          </cell>
        </row>
        <row r="83">
          <cell r="A83">
            <v>38991</v>
          </cell>
          <cell r="B83">
            <v>-15.3</v>
          </cell>
          <cell r="C83">
            <v>-5.0999999999999996</v>
          </cell>
        </row>
        <row r="84">
          <cell r="A84">
            <v>39022</v>
          </cell>
          <cell r="B84">
            <v>-1.4</v>
          </cell>
          <cell r="C84">
            <v>-15.3</v>
          </cell>
        </row>
        <row r="85">
          <cell r="A85">
            <v>39052</v>
          </cell>
          <cell r="B85">
            <v>-3</v>
          </cell>
          <cell r="C85">
            <v>-1.4</v>
          </cell>
        </row>
        <row r="86">
          <cell r="A86">
            <v>39083</v>
          </cell>
          <cell r="B86">
            <v>-7.3</v>
          </cell>
          <cell r="C86">
            <v>-3</v>
          </cell>
        </row>
        <row r="87">
          <cell r="A87">
            <v>39114</v>
          </cell>
          <cell r="B87">
            <v>-2.7</v>
          </cell>
          <cell r="C87">
            <v>-7.3</v>
          </cell>
        </row>
        <row r="88">
          <cell r="A88">
            <v>39142</v>
          </cell>
          <cell r="B88">
            <v>-1.4</v>
          </cell>
          <cell r="C88">
            <v>-2.7</v>
          </cell>
        </row>
        <row r="89">
          <cell r="A89">
            <v>39173</v>
          </cell>
          <cell r="B89">
            <v>-3</v>
          </cell>
          <cell r="C89">
            <v>-1.4</v>
          </cell>
        </row>
        <row r="90">
          <cell r="A90">
            <v>39203</v>
          </cell>
          <cell r="B90">
            <v>-2.7</v>
          </cell>
          <cell r="C90">
            <v>-3</v>
          </cell>
        </row>
        <row r="91">
          <cell r="A91">
            <v>39234</v>
          </cell>
          <cell r="B91">
            <v>5</v>
          </cell>
          <cell r="C91">
            <v>-2.7</v>
          </cell>
        </row>
        <row r="92">
          <cell r="A92">
            <v>39264</v>
          </cell>
          <cell r="B92">
            <v>-4.3</v>
          </cell>
          <cell r="C92">
            <v>5</v>
          </cell>
        </row>
        <row r="93">
          <cell r="A93">
            <v>39295</v>
          </cell>
          <cell r="B93">
            <v>2.7</v>
          </cell>
          <cell r="C93">
            <v>-4.3</v>
          </cell>
        </row>
        <row r="94">
          <cell r="A94">
            <v>39326</v>
          </cell>
          <cell r="B94">
            <v>1.5</v>
          </cell>
          <cell r="C94">
            <v>2.7</v>
          </cell>
        </row>
        <row r="95">
          <cell r="A95">
            <v>39356</v>
          </cell>
          <cell r="B95">
            <v>5.4</v>
          </cell>
          <cell r="C95">
            <v>1.5</v>
          </cell>
        </row>
        <row r="96">
          <cell r="A96">
            <v>39387</v>
          </cell>
          <cell r="B96">
            <v>9.8000000000000007</v>
          </cell>
          <cell r="C96">
            <v>5.4</v>
          </cell>
        </row>
        <row r="97">
          <cell r="A97">
            <v>39417</v>
          </cell>
          <cell r="B97">
            <v>14.4</v>
          </cell>
          <cell r="C97">
            <v>9.8000000000000007</v>
          </cell>
        </row>
        <row r="98">
          <cell r="A98">
            <v>39448</v>
          </cell>
          <cell r="B98">
            <v>14.1</v>
          </cell>
          <cell r="C98">
            <v>14.4</v>
          </cell>
        </row>
        <row r="99">
          <cell r="A99">
            <v>39479</v>
          </cell>
          <cell r="B99">
            <v>21.3</v>
          </cell>
          <cell r="C99">
            <v>14.1</v>
          </cell>
        </row>
        <row r="100">
          <cell r="A100">
            <v>39508</v>
          </cell>
          <cell r="B100">
            <v>12.2</v>
          </cell>
          <cell r="C100">
            <v>21.3</v>
          </cell>
        </row>
        <row r="101">
          <cell r="A101">
            <v>39539</v>
          </cell>
          <cell r="B101">
            <v>4.5</v>
          </cell>
          <cell r="C101">
            <v>12.2</v>
          </cell>
        </row>
        <row r="102">
          <cell r="A102">
            <v>39569</v>
          </cell>
          <cell r="B102">
            <v>-4.3</v>
          </cell>
          <cell r="C102">
            <v>4.5</v>
          </cell>
        </row>
        <row r="103">
          <cell r="A103">
            <v>39600</v>
          </cell>
          <cell r="B103">
            <v>5</v>
          </cell>
          <cell r="C103">
            <v>-4.3</v>
          </cell>
        </row>
        <row r="104">
          <cell r="A104">
            <v>39630</v>
          </cell>
          <cell r="B104">
            <v>2.2000000000000002</v>
          </cell>
          <cell r="C104">
            <v>5</v>
          </cell>
        </row>
        <row r="105">
          <cell r="A105">
            <v>39661</v>
          </cell>
          <cell r="B105">
            <v>9.1</v>
          </cell>
          <cell r="C105">
            <v>2.2000000000000002</v>
          </cell>
        </row>
        <row r="106">
          <cell r="A106">
            <v>39692</v>
          </cell>
          <cell r="B106">
            <v>14.1</v>
          </cell>
          <cell r="C106">
            <v>9.1</v>
          </cell>
        </row>
        <row r="107">
          <cell r="A107">
            <v>39722</v>
          </cell>
          <cell r="B107">
            <v>13.4</v>
          </cell>
          <cell r="C107">
            <v>14.1</v>
          </cell>
        </row>
        <row r="108">
          <cell r="A108">
            <v>39753</v>
          </cell>
          <cell r="B108">
            <v>17.100000000000001</v>
          </cell>
          <cell r="C108">
            <v>13.4</v>
          </cell>
        </row>
        <row r="109">
          <cell r="A109">
            <v>39783</v>
          </cell>
          <cell r="B109">
            <v>13.3</v>
          </cell>
          <cell r="C109">
            <v>17.100000000000001</v>
          </cell>
        </row>
        <row r="110">
          <cell r="A110">
            <v>39814</v>
          </cell>
          <cell r="B110">
            <v>9.4</v>
          </cell>
          <cell r="C110">
            <v>13.3</v>
          </cell>
        </row>
        <row r="111">
          <cell r="A111">
            <v>39845</v>
          </cell>
          <cell r="B111">
            <v>14.8</v>
          </cell>
          <cell r="C111">
            <v>9.4</v>
          </cell>
        </row>
        <row r="112">
          <cell r="A112">
            <v>39873</v>
          </cell>
          <cell r="B112">
            <v>0.2</v>
          </cell>
          <cell r="C112">
            <v>14.8</v>
          </cell>
        </row>
        <row r="113">
          <cell r="A113">
            <v>39904</v>
          </cell>
          <cell r="B113">
            <v>8.6</v>
          </cell>
          <cell r="C113">
            <v>0.2</v>
          </cell>
        </row>
        <row r="114">
          <cell r="A114">
            <v>39934</v>
          </cell>
          <cell r="B114">
            <v>-5.0999999999999996</v>
          </cell>
          <cell r="C114">
            <v>8.6</v>
          </cell>
        </row>
        <row r="115">
          <cell r="A115">
            <v>39965</v>
          </cell>
          <cell r="B115">
            <v>-2.2999999999999998</v>
          </cell>
          <cell r="C115">
            <v>-5.0999999999999996</v>
          </cell>
        </row>
        <row r="116">
          <cell r="A116">
            <v>39995</v>
          </cell>
          <cell r="B116">
            <v>1.6</v>
          </cell>
          <cell r="C116">
            <v>-2.2999999999999998</v>
          </cell>
        </row>
        <row r="117">
          <cell r="A117">
            <v>40026</v>
          </cell>
          <cell r="B117">
            <v>-5</v>
          </cell>
          <cell r="C117">
            <v>1.6</v>
          </cell>
        </row>
        <row r="118">
          <cell r="A118">
            <v>40057</v>
          </cell>
          <cell r="B118">
            <v>3.9</v>
          </cell>
          <cell r="C118">
            <v>-5</v>
          </cell>
        </row>
        <row r="119">
          <cell r="A119">
            <v>40087</v>
          </cell>
          <cell r="B119">
            <v>-14.7</v>
          </cell>
          <cell r="C119">
            <v>3.9</v>
          </cell>
        </row>
        <row r="120">
          <cell r="A120">
            <v>40118</v>
          </cell>
          <cell r="B120">
            <v>-6.7</v>
          </cell>
          <cell r="C120">
            <v>-14.7</v>
          </cell>
        </row>
        <row r="121">
          <cell r="A121">
            <v>40148</v>
          </cell>
          <cell r="B121">
            <v>-7</v>
          </cell>
          <cell r="C121">
            <v>-6.7</v>
          </cell>
        </row>
        <row r="122">
          <cell r="A122">
            <v>40179</v>
          </cell>
          <cell r="B122">
            <v>-10.1</v>
          </cell>
          <cell r="C122">
            <v>-7</v>
          </cell>
        </row>
        <row r="123">
          <cell r="A123">
            <v>40210</v>
          </cell>
          <cell r="B123">
            <v>-14.5</v>
          </cell>
          <cell r="C123">
            <v>-10.1</v>
          </cell>
        </row>
        <row r="124">
          <cell r="A124">
            <v>40238</v>
          </cell>
          <cell r="B124">
            <v>-10.6</v>
          </cell>
          <cell r="C124">
            <v>-14.5</v>
          </cell>
        </row>
        <row r="125">
          <cell r="A125">
            <v>40269</v>
          </cell>
          <cell r="B125">
            <v>15.2</v>
          </cell>
          <cell r="C125">
            <v>-10.6</v>
          </cell>
        </row>
        <row r="126">
          <cell r="A126">
            <v>40299</v>
          </cell>
          <cell r="B126">
            <v>10</v>
          </cell>
          <cell r="C126">
            <v>15.2</v>
          </cell>
        </row>
        <row r="127">
          <cell r="A127">
            <v>40330</v>
          </cell>
          <cell r="B127">
            <v>1.8</v>
          </cell>
          <cell r="C127">
            <v>10</v>
          </cell>
        </row>
        <row r="128">
          <cell r="A128">
            <v>40360</v>
          </cell>
          <cell r="B128">
            <v>20.5</v>
          </cell>
          <cell r="C128">
            <v>1.8</v>
          </cell>
        </row>
        <row r="129">
          <cell r="A129">
            <v>40391</v>
          </cell>
          <cell r="B129">
            <v>18.8</v>
          </cell>
          <cell r="C129">
            <v>20.5</v>
          </cell>
        </row>
        <row r="130">
          <cell r="A130">
            <v>40422</v>
          </cell>
          <cell r="B130">
            <v>25</v>
          </cell>
          <cell r="C130">
            <v>18.8</v>
          </cell>
        </row>
        <row r="131">
          <cell r="A131">
            <v>40452</v>
          </cell>
          <cell r="B131">
            <v>18.3</v>
          </cell>
          <cell r="C131">
            <v>25</v>
          </cell>
        </row>
        <row r="132">
          <cell r="A132">
            <v>40483</v>
          </cell>
          <cell r="B132">
            <v>16.399999999999999</v>
          </cell>
          <cell r="C132">
            <v>18.3</v>
          </cell>
        </row>
        <row r="133">
          <cell r="A133">
            <v>40513</v>
          </cell>
          <cell r="B133">
            <v>27.1</v>
          </cell>
          <cell r="C133">
            <v>16.399999999999999</v>
          </cell>
        </row>
        <row r="134">
          <cell r="A134">
            <v>40544</v>
          </cell>
          <cell r="B134">
            <v>19.899999999999999</v>
          </cell>
          <cell r="C134">
            <v>27.1</v>
          </cell>
        </row>
        <row r="135">
          <cell r="A135">
            <v>40575</v>
          </cell>
          <cell r="B135">
            <v>22.3</v>
          </cell>
          <cell r="C135">
            <v>19.899999999999999</v>
          </cell>
        </row>
        <row r="136">
          <cell r="A136">
            <v>40603</v>
          </cell>
          <cell r="B136">
            <v>21.4</v>
          </cell>
          <cell r="C136">
            <v>22.3</v>
          </cell>
        </row>
        <row r="137">
          <cell r="A137">
            <v>40634</v>
          </cell>
          <cell r="B137">
            <v>25.1</v>
          </cell>
          <cell r="C137">
            <v>21.4</v>
          </cell>
        </row>
        <row r="138">
          <cell r="A138">
            <v>40664</v>
          </cell>
          <cell r="B138">
            <v>2.1</v>
          </cell>
          <cell r="C138">
            <v>25.1</v>
          </cell>
        </row>
        <row r="139">
          <cell r="A139">
            <v>40695</v>
          </cell>
          <cell r="B139">
            <v>0.2</v>
          </cell>
          <cell r="C139">
            <v>2.1</v>
          </cell>
        </row>
        <row r="140">
          <cell r="A140">
            <v>40725</v>
          </cell>
          <cell r="B140">
            <v>10.7</v>
          </cell>
          <cell r="C140">
            <v>0.2</v>
          </cell>
        </row>
        <row r="141">
          <cell r="A141">
            <v>40756</v>
          </cell>
          <cell r="B141">
            <v>2.1</v>
          </cell>
          <cell r="C141">
            <v>10.7</v>
          </cell>
        </row>
        <row r="142">
          <cell r="A142">
            <v>40787</v>
          </cell>
          <cell r="B142">
            <v>11.7</v>
          </cell>
          <cell r="C142">
            <v>2.1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4323"/>
  <sheetViews>
    <sheetView tabSelected="1" topLeftCell="B3633" workbookViewId="0">
      <selection activeCell="D3654" sqref="D3654"/>
    </sheetView>
  </sheetViews>
  <sheetFormatPr defaultRowHeight="14.5" x14ac:dyDescent="0.35"/>
  <cols>
    <col min="4" max="4" width="10.453125" bestFit="1" customWidth="1"/>
    <col min="6" max="6" width="11.453125" bestFit="1" customWidth="1"/>
  </cols>
  <sheetData>
    <row r="1" spans="1:1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5">
      <c r="A2">
        <v>2000</v>
      </c>
      <c r="B2">
        <v>1</v>
      </c>
      <c r="C2">
        <v>1</v>
      </c>
      <c r="D2" s="1">
        <f>DATE(A2,B2,C2)</f>
        <v>36526</v>
      </c>
      <c r="E2">
        <v>0.4</v>
      </c>
      <c r="F2">
        <v>1.8</v>
      </c>
      <c r="G2">
        <f>IF(E2=0,0,1)</f>
        <v>1</v>
      </c>
      <c r="H2">
        <v>1</v>
      </c>
      <c r="I2">
        <v>1</v>
      </c>
      <c r="J2">
        <f>SIN(2*PI()*I2/365.25)</f>
        <v>1.7201575418260506E-2</v>
      </c>
      <c r="K2">
        <f>COS(2*PI()*I2/365.25)</f>
        <v>0.99985204195577349</v>
      </c>
      <c r="L2">
        <f>VLOOKUP(D2,[1]SOI!$A$1:$C$142,3)</f>
        <v>12.8</v>
      </c>
      <c r="M2" s="2">
        <f>I2*J2</f>
        <v>1.7201575418260506E-2</v>
      </c>
      <c r="N2">
        <f>I2*K2</f>
        <v>0.99985204195577349</v>
      </c>
      <c r="O2" t="s">
        <v>8</v>
      </c>
    </row>
    <row r="3" spans="1:15" x14ac:dyDescent="0.35">
      <c r="A3">
        <v>2000</v>
      </c>
      <c r="B3">
        <v>1</v>
      </c>
      <c r="C3">
        <v>2</v>
      </c>
      <c r="D3" s="1">
        <f t="shared" ref="D3:D66" si="0">DATE(A3,B3,C3)</f>
        <v>36527</v>
      </c>
      <c r="E3">
        <v>0</v>
      </c>
      <c r="F3">
        <f>E2</f>
        <v>0.4</v>
      </c>
      <c r="G3">
        <f t="shared" ref="G3:G66" si="1">IF(E3=0,0,1)</f>
        <v>0</v>
      </c>
      <c r="H3">
        <f>G2</f>
        <v>1</v>
      </c>
      <c r="I3">
        <v>2</v>
      </c>
      <c r="J3">
        <f t="shared" ref="J3:J66" si="2">SIN(2*PI()*I3/365.25)</f>
        <v>3.4398060613608013E-2</v>
      </c>
      <c r="K3">
        <f t="shared" ref="K3:K66" si="3">COS(2*PI()*I3/365.25)</f>
        <v>0.99940821160625981</v>
      </c>
      <c r="L3">
        <f>VLOOKUP(D3,[1]SOI!$A$1:$C$142,3)</f>
        <v>12.8</v>
      </c>
      <c r="M3" s="2">
        <f t="shared" ref="M3:M66" si="4">I3*J3</f>
        <v>6.8796121227216026E-2</v>
      </c>
      <c r="N3">
        <f t="shared" ref="N3:N66" si="5">I3*K3</f>
        <v>1.9988164232125196</v>
      </c>
      <c r="O3" t="s">
        <v>8</v>
      </c>
    </row>
    <row r="4" spans="1:15" x14ac:dyDescent="0.35">
      <c r="A4">
        <v>2000</v>
      </c>
      <c r="B4">
        <v>1</v>
      </c>
      <c r="C4">
        <v>3</v>
      </c>
      <c r="D4" s="1">
        <f t="shared" si="0"/>
        <v>36528</v>
      </c>
      <c r="E4">
        <v>0</v>
      </c>
      <c r="F4">
        <f t="shared" ref="F4:F67" si="6">E3</f>
        <v>0</v>
      </c>
      <c r="G4">
        <f t="shared" si="1"/>
        <v>0</v>
      </c>
      <c r="H4">
        <f t="shared" ref="H4:H67" si="7">G3</f>
        <v>0</v>
      </c>
      <c r="I4">
        <v>3</v>
      </c>
      <c r="J4">
        <f t="shared" si="2"/>
        <v>5.1584366869408364E-2</v>
      </c>
      <c r="K4">
        <f t="shared" si="3"/>
        <v>0.99866864028799973</v>
      </c>
      <c r="L4">
        <f>VLOOKUP(D4,[1]SOI!$A$1:$C$142,3)</f>
        <v>12.8</v>
      </c>
      <c r="M4" s="2">
        <f t="shared" si="4"/>
        <v>0.15475310060822509</v>
      </c>
      <c r="N4">
        <f t="shared" si="5"/>
        <v>2.9960059208639991</v>
      </c>
      <c r="O4" t="s">
        <v>8</v>
      </c>
    </row>
    <row r="5" spans="1:15" x14ac:dyDescent="0.35">
      <c r="A5">
        <v>2000</v>
      </c>
      <c r="B5">
        <v>1</v>
      </c>
      <c r="C5">
        <v>4</v>
      </c>
      <c r="D5" s="1">
        <f t="shared" si="0"/>
        <v>36529</v>
      </c>
      <c r="E5">
        <v>3.4</v>
      </c>
      <c r="F5">
        <f t="shared" si="6"/>
        <v>0</v>
      </c>
      <c r="G5">
        <f t="shared" si="1"/>
        <v>1</v>
      </c>
      <c r="H5">
        <f t="shared" si="7"/>
        <v>0</v>
      </c>
      <c r="I5">
        <v>4</v>
      </c>
      <c r="J5">
        <f t="shared" si="2"/>
        <v>6.875540848113941E-2</v>
      </c>
      <c r="K5">
        <f t="shared" si="3"/>
        <v>0.99763354685204508</v>
      </c>
      <c r="L5">
        <f>VLOOKUP(D5,[1]SOI!$A$1:$C$142,3)</f>
        <v>12.8</v>
      </c>
      <c r="M5" s="2">
        <f t="shared" si="4"/>
        <v>0.27502163392455764</v>
      </c>
      <c r="N5">
        <f t="shared" si="5"/>
        <v>3.9905341874081803</v>
      </c>
      <c r="O5" t="s">
        <v>8</v>
      </c>
    </row>
    <row r="6" spans="1:15" x14ac:dyDescent="0.35">
      <c r="A6">
        <v>2000</v>
      </c>
      <c r="B6">
        <v>1</v>
      </c>
      <c r="C6">
        <v>5</v>
      </c>
      <c r="D6" s="1">
        <f t="shared" si="0"/>
        <v>36530</v>
      </c>
      <c r="E6">
        <v>1.4</v>
      </c>
      <c r="F6">
        <f t="shared" si="6"/>
        <v>3.4</v>
      </c>
      <c r="G6">
        <f t="shared" si="1"/>
        <v>1</v>
      </c>
      <c r="H6">
        <f t="shared" si="7"/>
        <v>1</v>
      </c>
      <c r="I6">
        <v>5</v>
      </c>
      <c r="J6">
        <f t="shared" si="2"/>
        <v>8.5906104261332716E-2</v>
      </c>
      <c r="K6">
        <f t="shared" si="3"/>
        <v>0.99630323759919648</v>
      </c>
      <c r="L6">
        <f>VLOOKUP(D6,[1]SOI!$A$1:$C$142,3)</f>
        <v>12.8</v>
      </c>
      <c r="M6" s="2">
        <f t="shared" si="4"/>
        <v>0.42953052130666358</v>
      </c>
      <c r="N6">
        <f t="shared" si="5"/>
        <v>4.9815161879959824</v>
      </c>
      <c r="O6" t="s">
        <v>8</v>
      </c>
    </row>
    <row r="7" spans="1:15" x14ac:dyDescent="0.35">
      <c r="A7">
        <v>2000</v>
      </c>
      <c r="B7">
        <v>1</v>
      </c>
      <c r="C7">
        <v>6</v>
      </c>
      <c r="D7" s="1">
        <f t="shared" si="0"/>
        <v>36531</v>
      </c>
      <c r="E7">
        <v>0</v>
      </c>
      <c r="F7">
        <f t="shared" si="6"/>
        <v>1.4</v>
      </c>
      <c r="G7">
        <f t="shared" si="1"/>
        <v>0</v>
      </c>
      <c r="H7">
        <f t="shared" si="7"/>
        <v>1</v>
      </c>
      <c r="I7">
        <v>6</v>
      </c>
      <c r="J7">
        <f t="shared" si="2"/>
        <v>0.10303137904317879</v>
      </c>
      <c r="K7">
        <f t="shared" si="3"/>
        <v>0.99467810618936459</v>
      </c>
      <c r="L7">
        <f>VLOOKUP(D7,[1]SOI!$A$1:$C$142,3)</f>
        <v>12.8</v>
      </c>
      <c r="M7" s="2">
        <f t="shared" si="4"/>
        <v>0.61818827425907275</v>
      </c>
      <c r="N7">
        <f t="shared" si="5"/>
        <v>5.968068637136188</v>
      </c>
      <c r="O7" t="s">
        <v>8</v>
      </c>
    </row>
    <row r="8" spans="1:15" x14ac:dyDescent="0.35">
      <c r="A8">
        <v>2000</v>
      </c>
      <c r="B8">
        <v>1</v>
      </c>
      <c r="C8">
        <v>7</v>
      </c>
      <c r="D8" s="1">
        <f t="shared" si="0"/>
        <v>36532</v>
      </c>
      <c r="E8">
        <v>0</v>
      </c>
      <c r="F8">
        <f t="shared" si="6"/>
        <v>0</v>
      </c>
      <c r="G8">
        <f t="shared" si="1"/>
        <v>0</v>
      </c>
      <c r="H8">
        <f t="shared" si="7"/>
        <v>0</v>
      </c>
      <c r="I8">
        <v>7</v>
      </c>
      <c r="J8">
        <f t="shared" si="2"/>
        <v>0.1201261651823505</v>
      </c>
      <c r="K8">
        <f t="shared" si="3"/>
        <v>0.99275863352507931</v>
      </c>
      <c r="L8">
        <f>VLOOKUP(D8,[1]SOI!$A$1:$C$142,3)</f>
        <v>12.8</v>
      </c>
      <c r="M8" s="2">
        <f t="shared" si="4"/>
        <v>0.84088315627645349</v>
      </c>
      <c r="N8">
        <f t="shared" si="5"/>
        <v>6.9493104346755548</v>
      </c>
      <c r="O8" t="s">
        <v>8</v>
      </c>
    </row>
    <row r="9" spans="1:15" x14ac:dyDescent="0.35">
      <c r="A9">
        <v>2000</v>
      </c>
      <c r="B9">
        <v>1</v>
      </c>
      <c r="C9">
        <v>8</v>
      </c>
      <c r="D9" s="1">
        <f t="shared" si="0"/>
        <v>36533</v>
      </c>
      <c r="E9">
        <v>0</v>
      </c>
      <c r="F9">
        <f t="shared" si="6"/>
        <v>0</v>
      </c>
      <c r="G9">
        <f t="shared" si="1"/>
        <v>0</v>
      </c>
      <c r="H9">
        <f t="shared" si="7"/>
        <v>0</v>
      </c>
      <c r="I9">
        <v>8</v>
      </c>
      <c r="J9">
        <f t="shared" si="2"/>
        <v>0.13718540405660057</v>
      </c>
      <c r="K9">
        <f t="shared" si="3"/>
        <v>0.99054538760918331</v>
      </c>
      <c r="L9">
        <f>VLOOKUP(D9,[1]SOI!$A$1:$C$142,3)</f>
        <v>12.8</v>
      </c>
      <c r="M9" s="2">
        <f t="shared" si="4"/>
        <v>1.0974832324528045</v>
      </c>
      <c r="N9">
        <f t="shared" si="5"/>
        <v>7.9243631008734665</v>
      </c>
      <c r="O9" t="s">
        <v>8</v>
      </c>
    </row>
    <row r="10" spans="1:15" x14ac:dyDescent="0.35">
      <c r="A10">
        <v>2000</v>
      </c>
      <c r="B10">
        <v>1</v>
      </c>
      <c r="C10">
        <v>9</v>
      </c>
      <c r="D10" s="1">
        <f t="shared" si="0"/>
        <v>36534</v>
      </c>
      <c r="E10">
        <v>0</v>
      </c>
      <c r="F10">
        <f t="shared" si="6"/>
        <v>0</v>
      </c>
      <c r="G10">
        <f t="shared" si="1"/>
        <v>0</v>
      </c>
      <c r="H10">
        <f t="shared" si="7"/>
        <v>0</v>
      </c>
      <c r="I10">
        <v>9</v>
      </c>
      <c r="J10">
        <f t="shared" si="2"/>
        <v>0.15420404756268941</v>
      </c>
      <c r="K10">
        <f t="shared" si="3"/>
        <v>0.98803902337675098</v>
      </c>
      <c r="L10">
        <f>VLOOKUP(D10,[1]SOI!$A$1:$C$142,3)</f>
        <v>12.8</v>
      </c>
      <c r="M10" s="2">
        <f t="shared" si="4"/>
        <v>1.3878364280642046</v>
      </c>
      <c r="N10">
        <f t="shared" si="5"/>
        <v>8.8923512103907587</v>
      </c>
      <c r="O10" t="s">
        <v>8</v>
      </c>
    </row>
    <row r="11" spans="1:15" x14ac:dyDescent="0.35">
      <c r="A11">
        <v>2000</v>
      </c>
      <c r="B11">
        <v>1</v>
      </c>
      <c r="C11">
        <v>10</v>
      </c>
      <c r="D11" s="1">
        <f t="shared" si="0"/>
        <v>36535</v>
      </c>
      <c r="E11">
        <v>2.2000000000000002</v>
      </c>
      <c r="F11">
        <f t="shared" si="6"/>
        <v>0</v>
      </c>
      <c r="G11">
        <f t="shared" si="1"/>
        <v>1</v>
      </c>
      <c r="H11">
        <f t="shared" si="7"/>
        <v>0</v>
      </c>
      <c r="I11">
        <v>10</v>
      </c>
      <c r="J11">
        <f t="shared" si="2"/>
        <v>0.17117705961019986</v>
      </c>
      <c r="K11">
        <f t="shared" si="3"/>
        <v>0.98524028250128204</v>
      </c>
      <c r="L11">
        <f>VLOOKUP(D11,[1]SOI!$A$1:$C$142,3)</f>
        <v>12.8</v>
      </c>
      <c r="M11" s="2">
        <f t="shared" si="4"/>
        <v>1.7117705961019984</v>
      </c>
      <c r="N11">
        <f t="shared" si="5"/>
        <v>9.8524028250128204</v>
      </c>
      <c r="O11" t="s">
        <v>8</v>
      </c>
    </row>
    <row r="12" spans="1:15" x14ac:dyDescent="0.35">
      <c r="A12">
        <v>2000</v>
      </c>
      <c r="B12">
        <v>1</v>
      </c>
      <c r="C12">
        <v>11</v>
      </c>
      <c r="D12" s="1">
        <f t="shared" si="0"/>
        <v>36536</v>
      </c>
      <c r="E12">
        <v>0</v>
      </c>
      <c r="F12">
        <f t="shared" si="6"/>
        <v>2.2000000000000002</v>
      </c>
      <c r="G12">
        <f t="shared" si="1"/>
        <v>0</v>
      </c>
      <c r="H12">
        <f t="shared" si="7"/>
        <v>1</v>
      </c>
      <c r="I12">
        <v>11</v>
      </c>
      <c r="J12">
        <f t="shared" si="2"/>
        <v>0.18809941761179758</v>
      </c>
      <c r="K12">
        <f t="shared" si="3"/>
        <v>0.98214999317522911</v>
      </c>
      <c r="L12">
        <f>VLOOKUP(D12,[1]SOI!$A$1:$C$142,3)</f>
        <v>12.8</v>
      </c>
      <c r="M12" s="2">
        <f t="shared" si="4"/>
        <v>2.0690935937297734</v>
      </c>
      <c r="N12">
        <f t="shared" si="5"/>
        <v>10.80364992492752</v>
      </c>
      <c r="O12" t="s">
        <v>8</v>
      </c>
    </row>
    <row r="13" spans="1:15" x14ac:dyDescent="0.35">
      <c r="A13">
        <v>2000</v>
      </c>
      <c r="B13">
        <v>1</v>
      </c>
      <c r="C13">
        <v>12</v>
      </c>
      <c r="D13" s="1">
        <f t="shared" si="0"/>
        <v>36537</v>
      </c>
      <c r="E13">
        <v>0</v>
      </c>
      <c r="F13">
        <f t="shared" si="6"/>
        <v>0</v>
      </c>
      <c r="G13">
        <f t="shared" si="1"/>
        <v>0</v>
      </c>
      <c r="H13">
        <f t="shared" si="7"/>
        <v>0</v>
      </c>
      <c r="I13">
        <v>12</v>
      </c>
      <c r="J13">
        <f t="shared" si="2"/>
        <v>0.20496611396949532</v>
      </c>
      <c r="K13">
        <f t="shared" si="3"/>
        <v>0.97876906986492163</v>
      </c>
      <c r="L13">
        <f>VLOOKUP(D13,[1]SOI!$A$1:$C$142,3)</f>
        <v>12.8</v>
      </c>
      <c r="M13" s="2">
        <f t="shared" si="4"/>
        <v>2.4595933676339437</v>
      </c>
      <c r="N13">
        <f t="shared" si="5"/>
        <v>11.74522883837906</v>
      </c>
      <c r="O13" t="s">
        <v>8</v>
      </c>
    </row>
    <row r="14" spans="1:15" x14ac:dyDescent="0.35">
      <c r="A14">
        <v>2000</v>
      </c>
      <c r="B14">
        <v>1</v>
      </c>
      <c r="C14">
        <v>13</v>
      </c>
      <c r="D14" s="1">
        <f t="shared" si="0"/>
        <v>36538</v>
      </c>
      <c r="E14">
        <v>0</v>
      </c>
      <c r="F14">
        <f t="shared" si="6"/>
        <v>0</v>
      </c>
      <c r="G14">
        <f t="shared" si="1"/>
        <v>0</v>
      </c>
      <c r="H14">
        <f t="shared" si="7"/>
        <v>0</v>
      </c>
      <c r="I14">
        <v>13</v>
      </c>
      <c r="J14">
        <f t="shared" si="2"/>
        <v>0.22177215755648186</v>
      </c>
      <c r="K14">
        <f t="shared" si="3"/>
        <v>0.97509851303996098</v>
      </c>
      <c r="L14">
        <f>VLOOKUP(D14,[1]SOI!$A$1:$C$142,3)</f>
        <v>12.8</v>
      </c>
      <c r="M14" s="2">
        <f t="shared" si="4"/>
        <v>2.8830380482342641</v>
      </c>
      <c r="N14">
        <f t="shared" si="5"/>
        <v>12.676280669519493</v>
      </c>
      <c r="O14" t="s">
        <v>8</v>
      </c>
    </row>
    <row r="15" spans="1:15" x14ac:dyDescent="0.35">
      <c r="A15">
        <v>2000</v>
      </c>
      <c r="B15">
        <v>1</v>
      </c>
      <c r="C15">
        <v>14</v>
      </c>
      <c r="D15" s="1">
        <f t="shared" si="0"/>
        <v>36539</v>
      </c>
      <c r="E15">
        <v>0</v>
      </c>
      <c r="F15">
        <f t="shared" si="6"/>
        <v>0</v>
      </c>
      <c r="G15">
        <f t="shared" si="1"/>
        <v>0</v>
      </c>
      <c r="H15">
        <f t="shared" si="7"/>
        <v>0</v>
      </c>
      <c r="I15">
        <v>14</v>
      </c>
      <c r="J15">
        <f t="shared" si="2"/>
        <v>0.23851257519407648</v>
      </c>
      <c r="K15">
        <f t="shared" si="3"/>
        <v>0.97113940887716532</v>
      </c>
      <c r="L15">
        <f>VLOOKUP(D15,[1]SOI!$A$1:$C$142,3)</f>
        <v>12.8</v>
      </c>
      <c r="M15" s="2">
        <f t="shared" si="4"/>
        <v>3.3391760527170709</v>
      </c>
      <c r="N15">
        <f t="shared" si="5"/>
        <v>13.595951724280315</v>
      </c>
      <c r="O15" t="s">
        <v>8</v>
      </c>
    </row>
    <row r="16" spans="1:15" x14ac:dyDescent="0.35">
      <c r="A16">
        <v>2000</v>
      </c>
      <c r="B16">
        <v>1</v>
      </c>
      <c r="C16">
        <v>15</v>
      </c>
      <c r="D16" s="1">
        <f t="shared" si="0"/>
        <v>36540</v>
      </c>
      <c r="E16">
        <v>0</v>
      </c>
      <c r="F16">
        <f t="shared" si="6"/>
        <v>0</v>
      </c>
      <c r="G16">
        <f t="shared" si="1"/>
        <v>0</v>
      </c>
      <c r="H16">
        <f t="shared" si="7"/>
        <v>0</v>
      </c>
      <c r="I16">
        <v>15</v>
      </c>
      <c r="J16">
        <f t="shared" si="2"/>
        <v>0.25518241312337281</v>
      </c>
      <c r="K16">
        <f t="shared" si="3"/>
        <v>0.96689292893915213</v>
      </c>
      <c r="L16">
        <f>VLOOKUP(D16,[1]SOI!$A$1:$C$142,3)</f>
        <v>12.8</v>
      </c>
      <c r="M16" s="2">
        <f t="shared" si="4"/>
        <v>3.8277361968505921</v>
      </c>
      <c r="N16">
        <f t="shared" si="5"/>
        <v>14.503393934087281</v>
      </c>
      <c r="O16" t="s">
        <v>8</v>
      </c>
    </row>
    <row r="17" spans="1:15" x14ac:dyDescent="0.35">
      <c r="A17">
        <v>2000</v>
      </c>
      <c r="B17">
        <v>1</v>
      </c>
      <c r="C17">
        <v>16</v>
      </c>
      <c r="D17" s="1">
        <f t="shared" si="0"/>
        <v>36541</v>
      </c>
      <c r="E17">
        <v>0.4</v>
      </c>
      <c r="F17">
        <f t="shared" si="6"/>
        <v>0</v>
      </c>
      <c r="G17">
        <f t="shared" si="1"/>
        <v>1</v>
      </c>
      <c r="H17">
        <f t="shared" si="7"/>
        <v>0</v>
      </c>
      <c r="I17">
        <v>16</v>
      </c>
      <c r="J17">
        <f t="shared" si="2"/>
        <v>0.2717767384711357</v>
      </c>
      <c r="K17">
        <f t="shared" si="3"/>
        <v>0.96236032982765451</v>
      </c>
      <c r="L17">
        <f>VLOOKUP(D17,[1]SOI!$A$1:$C$142,3)</f>
        <v>12.8</v>
      </c>
      <c r="M17" s="2">
        <f t="shared" si="4"/>
        <v>4.3484278155381713</v>
      </c>
      <c r="N17">
        <f t="shared" si="5"/>
        <v>15.397765277242472</v>
      </c>
      <c r="O17" t="s">
        <v>8</v>
      </c>
    </row>
    <row r="18" spans="1:15" x14ac:dyDescent="0.35">
      <c r="A18">
        <v>2000</v>
      </c>
      <c r="B18">
        <v>1</v>
      </c>
      <c r="C18">
        <v>17</v>
      </c>
      <c r="D18" s="1">
        <f t="shared" si="0"/>
        <v>36542</v>
      </c>
      <c r="E18">
        <v>0.8</v>
      </c>
      <c r="F18">
        <f t="shared" si="6"/>
        <v>0.4</v>
      </c>
      <c r="G18">
        <f t="shared" si="1"/>
        <v>1</v>
      </c>
      <c r="H18">
        <f t="shared" si="7"/>
        <v>1</v>
      </c>
      <c r="I18">
        <v>17</v>
      </c>
      <c r="J18">
        <f t="shared" si="2"/>
        <v>0.28829064070951771</v>
      </c>
      <c r="K18">
        <f t="shared" si="3"/>
        <v>0.9575429528116719</v>
      </c>
      <c r="L18">
        <f>VLOOKUP(D18,[1]SOI!$A$1:$C$142,3)</f>
        <v>12.8</v>
      </c>
      <c r="M18" s="2">
        <f t="shared" si="4"/>
        <v>4.9009408920618007</v>
      </c>
      <c r="N18">
        <f t="shared" si="5"/>
        <v>16.278230197798422</v>
      </c>
      <c r="O18" t="s">
        <v>8</v>
      </c>
    </row>
    <row r="19" spans="1:15" x14ac:dyDescent="0.35">
      <c r="A19">
        <v>2000</v>
      </c>
      <c r="B19">
        <v>1</v>
      </c>
      <c r="C19">
        <v>18</v>
      </c>
      <c r="D19" s="1">
        <f t="shared" si="0"/>
        <v>36543</v>
      </c>
      <c r="E19">
        <v>0</v>
      </c>
      <c r="F19">
        <f t="shared" si="6"/>
        <v>0.8</v>
      </c>
      <c r="G19">
        <f t="shared" si="1"/>
        <v>0</v>
      </c>
      <c r="H19">
        <f t="shared" si="7"/>
        <v>1</v>
      </c>
      <c r="I19">
        <v>18</v>
      </c>
      <c r="J19">
        <f t="shared" si="2"/>
        <v>0.30471923310916338</v>
      </c>
      <c r="K19">
        <f t="shared" si="3"/>
        <v>0.95244222343056761</v>
      </c>
      <c r="L19">
        <f>VLOOKUP(D19,[1]SOI!$A$1:$C$142,3)</f>
        <v>12.8</v>
      </c>
      <c r="M19" s="2">
        <f t="shared" si="4"/>
        <v>5.484946195964941</v>
      </c>
      <c r="N19">
        <f t="shared" si="5"/>
        <v>17.143960021750217</v>
      </c>
      <c r="O19" t="s">
        <v>8</v>
      </c>
    </row>
    <row r="20" spans="1:15" x14ac:dyDescent="0.35">
      <c r="A20">
        <v>2000</v>
      </c>
      <c r="B20">
        <v>1</v>
      </c>
      <c r="C20">
        <v>19</v>
      </c>
      <c r="D20" s="1">
        <f t="shared" si="0"/>
        <v>36544</v>
      </c>
      <c r="E20">
        <v>0</v>
      </c>
      <c r="F20">
        <f t="shared" si="6"/>
        <v>0</v>
      </c>
      <c r="G20">
        <f t="shared" si="1"/>
        <v>0</v>
      </c>
      <c r="H20">
        <f t="shared" si="7"/>
        <v>0</v>
      </c>
      <c r="I20">
        <v>19</v>
      </c>
      <c r="J20">
        <f t="shared" si="2"/>
        <v>0.32105765418527099</v>
      </c>
      <c r="K20">
        <f t="shared" si="3"/>
        <v>0.94705965107222834</v>
      </c>
      <c r="L20">
        <f>VLOOKUP(D20,[1]SOI!$A$1:$C$142,3)</f>
        <v>12.8</v>
      </c>
      <c r="M20" s="2">
        <f t="shared" si="4"/>
        <v>6.1000954295201488</v>
      </c>
      <c r="N20">
        <f t="shared" si="5"/>
        <v>17.994133370372339</v>
      </c>
      <c r="O20" t="s">
        <v>8</v>
      </c>
    </row>
    <row r="21" spans="1:15" x14ac:dyDescent="0.35">
      <c r="A21">
        <v>2000</v>
      </c>
      <c r="B21">
        <v>1</v>
      </c>
      <c r="C21">
        <v>20</v>
      </c>
      <c r="D21" s="1">
        <f t="shared" si="0"/>
        <v>36545</v>
      </c>
      <c r="E21">
        <v>0</v>
      </c>
      <c r="F21">
        <f t="shared" si="6"/>
        <v>0</v>
      </c>
      <c r="G21">
        <f t="shared" si="1"/>
        <v>0</v>
      </c>
      <c r="H21">
        <f t="shared" si="7"/>
        <v>0</v>
      </c>
      <c r="I21">
        <v>20</v>
      </c>
      <c r="J21">
        <f t="shared" si="2"/>
        <v>0.33730106913618418</v>
      </c>
      <c r="K21">
        <f t="shared" si="3"/>
        <v>0.94139682852641215</v>
      </c>
      <c r="L21">
        <f>VLOOKUP(D21,[1]SOI!$A$1:$C$142,3)</f>
        <v>12.8</v>
      </c>
      <c r="M21" s="2">
        <f t="shared" si="4"/>
        <v>6.7460213827236837</v>
      </c>
      <c r="N21">
        <f t="shared" si="5"/>
        <v>18.827936570528244</v>
      </c>
      <c r="O21" t="s">
        <v>8</v>
      </c>
    </row>
    <row r="22" spans="1:15" x14ac:dyDescent="0.35">
      <c r="A22">
        <v>2000</v>
      </c>
      <c r="B22">
        <v>1</v>
      </c>
      <c r="C22">
        <v>21</v>
      </c>
      <c r="D22" s="1">
        <f t="shared" si="0"/>
        <v>36546</v>
      </c>
      <c r="E22">
        <v>0</v>
      </c>
      <c r="F22">
        <f t="shared" si="6"/>
        <v>0</v>
      </c>
      <c r="G22">
        <f t="shared" si="1"/>
        <v>0</v>
      </c>
      <c r="H22">
        <f t="shared" si="7"/>
        <v>0</v>
      </c>
      <c r="I22">
        <v>21</v>
      </c>
      <c r="J22">
        <f t="shared" si="2"/>
        <v>0.35344467127408769</v>
      </c>
      <c r="K22">
        <f t="shared" si="3"/>
        <v>0.93545543151341637</v>
      </c>
      <c r="L22">
        <f>VLOOKUP(D22,[1]SOI!$A$1:$C$142,3)</f>
        <v>12.8</v>
      </c>
      <c r="M22" s="2">
        <f t="shared" si="4"/>
        <v>7.4223380967558414</v>
      </c>
      <c r="N22">
        <f t="shared" si="5"/>
        <v>19.644564061781743</v>
      </c>
      <c r="O22" t="s">
        <v>8</v>
      </c>
    </row>
    <row r="23" spans="1:15" x14ac:dyDescent="0.35">
      <c r="A23">
        <v>2000</v>
      </c>
      <c r="B23">
        <v>1</v>
      </c>
      <c r="C23">
        <v>22</v>
      </c>
      <c r="D23" s="1">
        <f t="shared" si="0"/>
        <v>36547</v>
      </c>
      <c r="E23">
        <v>0.6</v>
      </c>
      <c r="F23">
        <f t="shared" si="6"/>
        <v>0</v>
      </c>
      <c r="G23">
        <f t="shared" si="1"/>
        <v>1</v>
      </c>
      <c r="H23">
        <f t="shared" si="7"/>
        <v>0</v>
      </c>
      <c r="I23">
        <v>22</v>
      </c>
      <c r="J23">
        <f t="shared" si="2"/>
        <v>0.36948368344738308</v>
      </c>
      <c r="K23">
        <f t="shared" si="3"/>
        <v>0.92923721818820515</v>
      </c>
      <c r="L23">
        <f>VLOOKUP(D23,[1]SOI!$A$1:$C$142,3)</f>
        <v>12.8</v>
      </c>
      <c r="M23" s="2">
        <f t="shared" si="4"/>
        <v>8.1286410358424277</v>
      </c>
      <c r="N23">
        <f t="shared" si="5"/>
        <v>20.443218800140514</v>
      </c>
      <c r="O23" t="s">
        <v>8</v>
      </c>
    </row>
    <row r="24" spans="1:15" x14ac:dyDescent="0.35">
      <c r="A24">
        <v>2000</v>
      </c>
      <c r="B24">
        <v>1</v>
      </c>
      <c r="C24">
        <v>23</v>
      </c>
      <c r="D24" s="1">
        <f t="shared" si="0"/>
        <v>36548</v>
      </c>
      <c r="E24">
        <v>9.4</v>
      </c>
      <c r="F24">
        <f t="shared" si="6"/>
        <v>0.6</v>
      </c>
      <c r="G24">
        <f t="shared" si="1"/>
        <v>1</v>
      </c>
      <c r="H24">
        <f t="shared" si="7"/>
        <v>1</v>
      </c>
      <c r="I24">
        <v>23</v>
      </c>
      <c r="J24">
        <f t="shared" si="2"/>
        <v>0.38541335945432564</v>
      </c>
      <c r="K24">
        <f t="shared" si="3"/>
        <v>0.92274402862014271</v>
      </c>
      <c r="L24">
        <f>VLOOKUP(D24,[1]SOI!$A$1:$C$142,3)</f>
        <v>12.8</v>
      </c>
      <c r="M24" s="2">
        <f t="shared" si="4"/>
        <v>8.8645072674494898</v>
      </c>
      <c r="N24">
        <f t="shared" si="5"/>
        <v>21.223112658263283</v>
      </c>
      <c r="O24" t="s">
        <v>8</v>
      </c>
    </row>
    <row r="25" spans="1:15" x14ac:dyDescent="0.35">
      <c r="A25">
        <v>2000</v>
      </c>
      <c r="B25">
        <v>1</v>
      </c>
      <c r="C25">
        <v>24</v>
      </c>
      <c r="D25" s="1">
        <f t="shared" si="0"/>
        <v>36549</v>
      </c>
      <c r="E25">
        <v>0.4</v>
      </c>
      <c r="F25">
        <f t="shared" si="6"/>
        <v>9.4</v>
      </c>
      <c r="G25">
        <f t="shared" si="1"/>
        <v>1</v>
      </c>
      <c r="H25">
        <f t="shared" si="7"/>
        <v>1</v>
      </c>
      <c r="I25">
        <v>24</v>
      </c>
      <c r="J25">
        <f t="shared" si="2"/>
        <v>0.40122898544750091</v>
      </c>
      <c r="K25">
        <f t="shared" si="3"/>
        <v>0.91597778424848775</v>
      </c>
      <c r="L25">
        <f>VLOOKUP(D25,[1]SOI!$A$1:$C$142,3)</f>
        <v>12.8</v>
      </c>
      <c r="M25" s="2">
        <f t="shared" si="4"/>
        <v>9.6294956507400222</v>
      </c>
      <c r="N25">
        <f t="shared" si="5"/>
        <v>21.983466821963706</v>
      </c>
      <c r="O25" t="s">
        <v>8</v>
      </c>
    </row>
    <row r="26" spans="1:15" x14ac:dyDescent="0.35">
      <c r="A26">
        <v>2000</v>
      </c>
      <c r="B26">
        <v>1</v>
      </c>
      <c r="C26">
        <v>25</v>
      </c>
      <c r="D26" s="1">
        <f t="shared" si="0"/>
        <v>36550</v>
      </c>
      <c r="E26">
        <v>0.2</v>
      </c>
      <c r="F26">
        <f t="shared" si="6"/>
        <v>0.4</v>
      </c>
      <c r="G26">
        <f t="shared" si="1"/>
        <v>1</v>
      </c>
      <c r="H26">
        <f t="shared" si="7"/>
        <v>1</v>
      </c>
      <c r="I26">
        <v>25</v>
      </c>
      <c r="J26">
        <f t="shared" si="2"/>
        <v>0.41692588132872871</v>
      </c>
      <c r="K26">
        <f t="shared" si="3"/>
        <v>0.90894048731380805</v>
      </c>
      <c r="L26">
        <f>VLOOKUP(D26,[1]SOI!$A$1:$C$142,3)</f>
        <v>12.8</v>
      </c>
      <c r="M26" s="2">
        <f t="shared" si="4"/>
        <v>10.423147033218218</v>
      </c>
      <c r="N26">
        <f t="shared" si="5"/>
        <v>22.723512182845202</v>
      </c>
      <c r="O26" t="s">
        <v>8</v>
      </c>
    </row>
    <row r="27" spans="1:15" x14ac:dyDescent="0.35">
      <c r="A27">
        <v>2000</v>
      </c>
      <c r="B27">
        <v>1</v>
      </c>
      <c r="C27">
        <v>26</v>
      </c>
      <c r="D27" s="1">
        <f t="shared" si="0"/>
        <v>36551</v>
      </c>
      <c r="E27">
        <v>1.8</v>
      </c>
      <c r="F27">
        <f t="shared" si="6"/>
        <v>0.2</v>
      </c>
      <c r="G27">
        <f t="shared" si="1"/>
        <v>1</v>
      </c>
      <c r="H27">
        <f t="shared" si="7"/>
        <v>1</v>
      </c>
      <c r="I27">
        <v>26</v>
      </c>
      <c r="J27">
        <f t="shared" si="2"/>
        <v>0.43249940213397881</v>
      </c>
      <c r="K27">
        <f t="shared" si="3"/>
        <v>0.90163422026548601</v>
      </c>
      <c r="L27">
        <f>VLOOKUP(D27,[1]SOI!$A$1:$C$142,3)</f>
        <v>12.8</v>
      </c>
      <c r="M27" s="2">
        <f t="shared" si="4"/>
        <v>11.244984455483449</v>
      </c>
      <c r="N27">
        <f t="shared" si="5"/>
        <v>23.442489726902636</v>
      </c>
      <c r="O27" t="s">
        <v>8</v>
      </c>
    </row>
    <row r="28" spans="1:15" x14ac:dyDescent="0.35">
      <c r="A28">
        <v>2000</v>
      </c>
      <c r="B28">
        <v>1</v>
      </c>
      <c r="C28">
        <v>27</v>
      </c>
      <c r="D28" s="1">
        <f t="shared" si="0"/>
        <v>36552</v>
      </c>
      <c r="E28">
        <v>14.2</v>
      </c>
      <c r="F28">
        <f t="shared" si="6"/>
        <v>1.8</v>
      </c>
      <c r="G28">
        <f t="shared" si="1"/>
        <v>1</v>
      </c>
      <c r="H28">
        <f t="shared" si="7"/>
        <v>1</v>
      </c>
      <c r="I28">
        <v>27</v>
      </c>
      <c r="J28">
        <f t="shared" si="2"/>
        <v>0.44794493940789115</v>
      </c>
      <c r="K28">
        <f t="shared" si="3"/>
        <v>0.89406114514548762</v>
      </c>
      <c r="L28">
        <f>VLOOKUP(D28,[1]SOI!$A$1:$C$142,3)</f>
        <v>12.8</v>
      </c>
      <c r="M28" s="2">
        <f t="shared" si="4"/>
        <v>12.094513364013061</v>
      </c>
      <c r="N28">
        <f t="shared" si="5"/>
        <v>24.139650918928165</v>
      </c>
      <c r="O28" t="s">
        <v>8</v>
      </c>
    </row>
    <row r="29" spans="1:15" x14ac:dyDescent="0.35">
      <c r="A29">
        <v>2000</v>
      </c>
      <c r="B29">
        <v>1</v>
      </c>
      <c r="C29">
        <v>28</v>
      </c>
      <c r="D29" s="1">
        <f t="shared" si="0"/>
        <v>36553</v>
      </c>
      <c r="E29">
        <v>2.6</v>
      </c>
      <c r="F29">
        <f t="shared" si="6"/>
        <v>14.2</v>
      </c>
      <c r="G29">
        <f t="shared" si="1"/>
        <v>1</v>
      </c>
      <c r="H29">
        <f t="shared" si="7"/>
        <v>1</v>
      </c>
      <c r="I29">
        <v>28</v>
      </c>
      <c r="J29">
        <f t="shared" si="2"/>
        <v>0.46325792256749171</v>
      </c>
      <c r="K29">
        <f t="shared" si="3"/>
        <v>0.88622350294857999</v>
      </c>
      <c r="L29">
        <f>VLOOKUP(D29,[1]SOI!$A$1:$C$142,3)</f>
        <v>12.8</v>
      </c>
      <c r="M29" s="2">
        <f t="shared" si="4"/>
        <v>12.971221831889768</v>
      </c>
      <c r="N29">
        <f t="shared" si="5"/>
        <v>24.81425808256024</v>
      </c>
      <c r="O29" t="s">
        <v>8</v>
      </c>
    </row>
    <row r="30" spans="1:15" x14ac:dyDescent="0.35">
      <c r="A30">
        <v>2000</v>
      </c>
      <c r="B30">
        <v>1</v>
      </c>
      <c r="C30">
        <v>29</v>
      </c>
      <c r="D30" s="1">
        <f t="shared" si="0"/>
        <v>36554</v>
      </c>
      <c r="E30">
        <v>0.2</v>
      </c>
      <c r="F30">
        <f t="shared" si="6"/>
        <v>2.6</v>
      </c>
      <c r="G30">
        <f t="shared" si="1"/>
        <v>1</v>
      </c>
      <c r="H30">
        <f t="shared" si="7"/>
        <v>1</v>
      </c>
      <c r="I30">
        <v>29</v>
      </c>
      <c r="J30">
        <f t="shared" si="2"/>
        <v>0.47843382025470121</v>
      </c>
      <c r="K30">
        <f t="shared" si="3"/>
        <v>0.87812361295918484</v>
      </c>
      <c r="L30">
        <f>VLOOKUP(D30,[1]SOI!$A$1:$C$142,3)</f>
        <v>12.8</v>
      </c>
      <c r="M30" s="2">
        <f t="shared" si="4"/>
        <v>13.874580787386336</v>
      </c>
      <c r="N30">
        <f t="shared" si="5"/>
        <v>25.46558477581636</v>
      </c>
      <c r="O30" t="s">
        <v>8</v>
      </c>
    </row>
    <row r="31" spans="1:15" x14ac:dyDescent="0.35">
      <c r="A31">
        <v>2000</v>
      </c>
      <c r="B31">
        <v>1</v>
      </c>
      <c r="C31">
        <v>30</v>
      </c>
      <c r="D31" s="1">
        <f t="shared" si="0"/>
        <v>36555</v>
      </c>
      <c r="E31">
        <v>0</v>
      </c>
      <c r="F31">
        <f t="shared" si="6"/>
        <v>0.2</v>
      </c>
      <c r="G31">
        <f t="shared" si="1"/>
        <v>0</v>
      </c>
      <c r="H31">
        <f t="shared" si="7"/>
        <v>1</v>
      </c>
      <c r="I31">
        <v>30</v>
      </c>
      <c r="J31">
        <f t="shared" si="2"/>
        <v>0.49346814167723735</v>
      </c>
      <c r="K31">
        <f t="shared" si="3"/>
        <v>0.86976387206506456</v>
      </c>
      <c r="L31">
        <f>VLOOKUP(D31,[1]SOI!$A$1:$C$142,3)</f>
        <v>12.8</v>
      </c>
      <c r="M31" s="2">
        <f t="shared" si="4"/>
        <v>14.804044250317121</v>
      </c>
      <c r="N31">
        <f t="shared" si="5"/>
        <v>26.092916161951937</v>
      </c>
      <c r="O31" t="s">
        <v>8</v>
      </c>
    </row>
    <row r="32" spans="1:15" x14ac:dyDescent="0.35">
      <c r="A32">
        <v>2000</v>
      </c>
      <c r="B32">
        <v>1</v>
      </c>
      <c r="C32">
        <v>31</v>
      </c>
      <c r="D32" s="1">
        <f t="shared" si="0"/>
        <v>36556</v>
      </c>
      <c r="E32">
        <v>0</v>
      </c>
      <c r="F32">
        <f t="shared" si="6"/>
        <v>0</v>
      </c>
      <c r="G32">
        <f t="shared" si="1"/>
        <v>0</v>
      </c>
      <c r="H32">
        <f t="shared" si="7"/>
        <v>0</v>
      </c>
      <c r="I32">
        <v>31</v>
      </c>
      <c r="J32">
        <f t="shared" si="2"/>
        <v>0.50835643793751217</v>
      </c>
      <c r="K32">
        <f t="shared" si="3"/>
        <v>0.86114675404804519</v>
      </c>
      <c r="L32">
        <f>VLOOKUP(D32,[1]SOI!$A$1:$C$142,3)</f>
        <v>12.8</v>
      </c>
      <c r="M32" s="2">
        <f t="shared" si="4"/>
        <v>15.759049576062877</v>
      </c>
      <c r="N32">
        <f t="shared" si="5"/>
        <v>26.695549375489399</v>
      </c>
      <c r="O32" t="s">
        <v>8</v>
      </c>
    </row>
    <row r="33" spans="1:15" x14ac:dyDescent="0.35">
      <c r="A33">
        <v>2000</v>
      </c>
      <c r="B33">
        <v>2</v>
      </c>
      <c r="C33">
        <v>1</v>
      </c>
      <c r="D33" s="1">
        <f t="shared" si="0"/>
        <v>36557</v>
      </c>
      <c r="E33">
        <v>0</v>
      </c>
      <c r="F33">
        <f t="shared" si="6"/>
        <v>0</v>
      </c>
      <c r="G33">
        <f t="shared" si="1"/>
        <v>0</v>
      </c>
      <c r="H33">
        <f t="shared" si="7"/>
        <v>0</v>
      </c>
      <c r="I33">
        <v>32</v>
      </c>
      <c r="J33">
        <f t="shared" si="2"/>
        <v>0.52309430334913265</v>
      </c>
      <c r="K33">
        <f t="shared" si="3"/>
        <v>0.85227480885198381</v>
      </c>
      <c r="L33">
        <f>VLOOKUP(D33,[1]SOI!$A$1:$C$142,3)</f>
        <v>5.0999999999999996</v>
      </c>
      <c r="M33" s="2">
        <f t="shared" si="4"/>
        <v>16.739017707172245</v>
      </c>
      <c r="N33">
        <f t="shared" si="5"/>
        <v>27.272793883263482</v>
      </c>
      <c r="O33" t="s">
        <v>8</v>
      </c>
    </row>
    <row r="34" spans="1:15" x14ac:dyDescent="0.35">
      <c r="A34">
        <v>2000</v>
      </c>
      <c r="B34">
        <v>2</v>
      </c>
      <c r="C34">
        <v>2</v>
      </c>
      <c r="D34" s="1">
        <f t="shared" si="0"/>
        <v>36558</v>
      </c>
      <c r="E34">
        <v>0</v>
      </c>
      <c r="F34">
        <f t="shared" si="6"/>
        <v>0</v>
      </c>
      <c r="G34">
        <f t="shared" si="1"/>
        <v>0</v>
      </c>
      <c r="H34">
        <f t="shared" si="7"/>
        <v>0</v>
      </c>
      <c r="I34">
        <v>33</v>
      </c>
      <c r="J34">
        <f t="shared" si="2"/>
        <v>0.53767737674061411</v>
      </c>
      <c r="K34">
        <f t="shared" si="3"/>
        <v>0.84315066182819998</v>
      </c>
      <c r="L34">
        <f>VLOOKUP(D34,[1]SOI!$A$1:$C$142,3)</f>
        <v>5.0999999999999996</v>
      </c>
      <c r="M34" s="2">
        <f t="shared" si="4"/>
        <v>17.743353432440266</v>
      </c>
      <c r="N34">
        <f t="shared" si="5"/>
        <v>27.8239718403306</v>
      </c>
      <c r="O34" t="s">
        <v>8</v>
      </c>
    </row>
    <row r="35" spans="1:15" x14ac:dyDescent="0.35">
      <c r="A35">
        <v>2000</v>
      </c>
      <c r="B35">
        <v>2</v>
      </c>
      <c r="C35">
        <v>3</v>
      </c>
      <c r="D35" s="1">
        <f t="shared" si="0"/>
        <v>36559</v>
      </c>
      <c r="E35">
        <v>0</v>
      </c>
      <c r="F35">
        <f t="shared" si="6"/>
        <v>0</v>
      </c>
      <c r="G35">
        <f t="shared" si="1"/>
        <v>0</v>
      </c>
      <c r="H35">
        <f t="shared" si="7"/>
        <v>0</v>
      </c>
      <c r="I35">
        <v>34</v>
      </c>
      <c r="J35">
        <f t="shared" si="2"/>
        <v>0.55210134274592082</v>
      </c>
      <c r="K35">
        <f t="shared" si="3"/>
        <v>0.83377701295859152</v>
      </c>
      <c r="L35">
        <f>VLOOKUP(D35,[1]SOI!$A$1:$C$142,3)</f>
        <v>5.0999999999999996</v>
      </c>
      <c r="M35" s="2">
        <f t="shared" si="4"/>
        <v>18.771445653361308</v>
      </c>
      <c r="N35">
        <f t="shared" si="5"/>
        <v>28.348418440592113</v>
      </c>
      <c r="O35" t="s">
        <v>8</v>
      </c>
    </row>
    <row r="36" spans="1:15" x14ac:dyDescent="0.35">
      <c r="A36">
        <v>2000</v>
      </c>
      <c r="B36">
        <v>2</v>
      </c>
      <c r="C36">
        <v>4</v>
      </c>
      <c r="D36" s="1">
        <f t="shared" si="0"/>
        <v>36560</v>
      </c>
      <c r="E36">
        <v>0.4</v>
      </c>
      <c r="F36">
        <f t="shared" si="6"/>
        <v>0</v>
      </c>
      <c r="G36">
        <f t="shared" si="1"/>
        <v>1</v>
      </c>
      <c r="H36">
        <f t="shared" si="7"/>
        <v>0</v>
      </c>
      <c r="I36">
        <v>35</v>
      </c>
      <c r="J36">
        <f t="shared" si="2"/>
        <v>0.56636193308145244</v>
      </c>
      <c r="K36">
        <f t="shared" si="3"/>
        <v>0.82415663605666634</v>
      </c>
      <c r="L36">
        <f>VLOOKUP(D36,[1]SOI!$A$1:$C$142,3)</f>
        <v>5.0999999999999996</v>
      </c>
      <c r="M36" s="2">
        <f t="shared" si="4"/>
        <v>19.822667657850836</v>
      </c>
      <c r="N36">
        <f t="shared" si="5"/>
        <v>28.845482261983321</v>
      </c>
      <c r="O36" t="s">
        <v>8</v>
      </c>
    </row>
    <row r="37" spans="1:15" x14ac:dyDescent="0.35">
      <c r="A37">
        <v>2000</v>
      </c>
      <c r="B37">
        <v>2</v>
      </c>
      <c r="C37">
        <v>5</v>
      </c>
      <c r="D37" s="1">
        <f t="shared" si="0"/>
        <v>36561</v>
      </c>
      <c r="E37">
        <v>0</v>
      </c>
      <c r="F37">
        <f t="shared" si="6"/>
        <v>0.4</v>
      </c>
      <c r="G37">
        <f t="shared" si="1"/>
        <v>0</v>
      </c>
      <c r="H37">
        <f t="shared" si="7"/>
        <v>1</v>
      </c>
      <c r="I37">
        <v>36</v>
      </c>
      <c r="J37">
        <f t="shared" si="2"/>
        <v>0.58045492780909802</v>
      </c>
      <c r="K37">
        <f t="shared" si="3"/>
        <v>0.81429237794672671</v>
      </c>
      <c r="L37">
        <f>VLOOKUP(D37,[1]SOI!$A$1:$C$142,3)</f>
        <v>5.0999999999999996</v>
      </c>
      <c r="M37" s="2">
        <f t="shared" si="4"/>
        <v>20.896377401127531</v>
      </c>
      <c r="N37">
        <f t="shared" si="5"/>
        <v>29.31452560608216</v>
      </c>
      <c r="O37" t="s">
        <v>8</v>
      </c>
    </row>
    <row r="38" spans="1:15" x14ac:dyDescent="0.35">
      <c r="A38">
        <v>2000</v>
      </c>
      <c r="B38">
        <v>2</v>
      </c>
      <c r="C38">
        <v>6</v>
      </c>
      <c r="D38" s="1">
        <f t="shared" si="0"/>
        <v>36562</v>
      </c>
      <c r="E38">
        <v>0</v>
      </c>
      <c r="F38">
        <f t="shared" si="6"/>
        <v>0</v>
      </c>
      <c r="G38">
        <f t="shared" si="1"/>
        <v>0</v>
      </c>
      <c r="H38">
        <f t="shared" si="7"/>
        <v>0</v>
      </c>
      <c r="I38">
        <v>37</v>
      </c>
      <c r="J38">
        <f t="shared" si="2"/>
        <v>0.59437615658498311</v>
      </c>
      <c r="K38">
        <f t="shared" si="3"/>
        <v>0.80418715762144799</v>
      </c>
      <c r="L38">
        <f>VLOOKUP(D38,[1]SOI!$A$1:$C$142,3)</f>
        <v>5.0999999999999996</v>
      </c>
      <c r="M38" s="2">
        <f t="shared" si="4"/>
        <v>21.991917793644376</v>
      </c>
      <c r="N38">
        <f t="shared" si="5"/>
        <v>29.754924831993577</v>
      </c>
      <c r="O38" t="s">
        <v>8</v>
      </c>
    </row>
    <row r="39" spans="1:15" x14ac:dyDescent="0.35">
      <c r="A39">
        <v>2000</v>
      </c>
      <c r="B39">
        <v>2</v>
      </c>
      <c r="C39">
        <v>7</v>
      </c>
      <c r="D39" s="1">
        <f t="shared" si="0"/>
        <v>36563</v>
      </c>
      <c r="E39">
        <v>0</v>
      </c>
      <c r="F39">
        <f t="shared" si="6"/>
        <v>0</v>
      </c>
      <c r="G39">
        <f t="shared" si="1"/>
        <v>0</v>
      </c>
      <c r="H39">
        <f t="shared" si="7"/>
        <v>0</v>
      </c>
      <c r="I39">
        <v>38</v>
      </c>
      <c r="J39">
        <f t="shared" si="2"/>
        <v>0.60812149989354181</v>
      </c>
      <c r="K39">
        <f t="shared" si="3"/>
        <v>0.79384396537810187</v>
      </c>
      <c r="L39">
        <f>VLOOKUP(D39,[1]SOI!$A$1:$C$142,3)</f>
        <v>5.0999999999999996</v>
      </c>
      <c r="M39" s="2">
        <f t="shared" si="4"/>
        <v>23.108616995954588</v>
      </c>
      <c r="N39">
        <f t="shared" si="5"/>
        <v>30.16607068436787</v>
      </c>
      <c r="O39" t="s">
        <v>8</v>
      </c>
    </row>
    <row r="40" spans="1:15" x14ac:dyDescent="0.35">
      <c r="A40">
        <v>2000</v>
      </c>
      <c r="B40">
        <v>2</v>
      </c>
      <c r="C40">
        <v>8</v>
      </c>
      <c r="D40" s="1">
        <f t="shared" si="0"/>
        <v>36564</v>
      </c>
      <c r="E40">
        <v>0</v>
      </c>
      <c r="F40">
        <f t="shared" si="6"/>
        <v>0</v>
      </c>
      <c r="G40">
        <f t="shared" si="1"/>
        <v>0</v>
      </c>
      <c r="H40">
        <f t="shared" si="7"/>
        <v>0</v>
      </c>
      <c r="I40">
        <v>39</v>
      </c>
      <c r="J40">
        <f t="shared" si="2"/>
        <v>0.62168689026654789</v>
      </c>
      <c r="K40">
        <f t="shared" si="3"/>
        <v>0.78326586193367909</v>
      </c>
      <c r="L40">
        <f>VLOOKUP(D40,[1]SOI!$A$1:$C$142,3)</f>
        <v>5.0999999999999996</v>
      </c>
      <c r="M40" s="2">
        <f t="shared" si="4"/>
        <v>24.245788720395367</v>
      </c>
      <c r="N40">
        <f t="shared" si="5"/>
        <v>30.547368615413486</v>
      </c>
      <c r="O40" t="s">
        <v>8</v>
      </c>
    </row>
    <row r="41" spans="1:15" x14ac:dyDescent="0.35">
      <c r="A41">
        <v>2000</v>
      </c>
      <c r="B41">
        <v>2</v>
      </c>
      <c r="C41">
        <v>9</v>
      </c>
      <c r="D41" s="1">
        <f t="shared" si="0"/>
        <v>36565</v>
      </c>
      <c r="E41">
        <v>0</v>
      </c>
      <c r="F41">
        <f t="shared" si="6"/>
        <v>0</v>
      </c>
      <c r="G41">
        <f t="shared" si="1"/>
        <v>0</v>
      </c>
      <c r="H41">
        <f t="shared" si="7"/>
        <v>0</v>
      </c>
      <c r="I41">
        <v>40</v>
      </c>
      <c r="J41">
        <f t="shared" si="2"/>
        <v>0.63506831348674375</v>
      </c>
      <c r="K41">
        <f t="shared" si="3"/>
        <v>0.77245597751917416</v>
      </c>
      <c r="L41">
        <f>VLOOKUP(D41,[1]SOI!$A$1:$C$142,3)</f>
        <v>5.0999999999999996</v>
      </c>
      <c r="M41" s="2">
        <f t="shared" si="4"/>
        <v>25.402732539469749</v>
      </c>
      <c r="N41">
        <f t="shared" si="5"/>
        <v>30.898239100766965</v>
      </c>
      <c r="O41" t="s">
        <v>8</v>
      </c>
    </row>
    <row r="42" spans="1:15" x14ac:dyDescent="0.35">
      <c r="A42">
        <v>2000</v>
      </c>
      <c r="B42">
        <v>2</v>
      </c>
      <c r="C42">
        <v>10</v>
      </c>
      <c r="D42" s="1">
        <f t="shared" si="0"/>
        <v>36566</v>
      </c>
      <c r="E42">
        <v>0</v>
      </c>
      <c r="F42">
        <f t="shared" si="6"/>
        <v>0</v>
      </c>
      <c r="G42">
        <f t="shared" si="1"/>
        <v>0</v>
      </c>
      <c r="H42">
        <f t="shared" si="7"/>
        <v>0</v>
      </c>
      <c r="I42">
        <v>41</v>
      </c>
      <c r="J42">
        <f t="shared" si="2"/>
        <v>0.64826180977571224</v>
      </c>
      <c r="K42">
        <f t="shared" si="3"/>
        <v>0.76141751095329968</v>
      </c>
      <c r="L42">
        <f>VLOOKUP(D42,[1]SOI!$A$1:$C$142,3)</f>
        <v>5.0999999999999996</v>
      </c>
      <c r="M42" s="2">
        <f t="shared" si="4"/>
        <v>26.578734200804202</v>
      </c>
      <c r="N42">
        <f t="shared" si="5"/>
        <v>31.218117949085286</v>
      </c>
      <c r="O42" t="s">
        <v>8</v>
      </c>
    </row>
    <row r="43" spans="1:15" x14ac:dyDescent="0.35">
      <c r="A43">
        <v>2000</v>
      </c>
      <c r="B43">
        <v>2</v>
      </c>
      <c r="C43">
        <v>11</v>
      </c>
      <c r="D43" s="1">
        <f t="shared" si="0"/>
        <v>36567</v>
      </c>
      <c r="E43">
        <v>6.4</v>
      </c>
      <c r="F43">
        <f t="shared" si="6"/>
        <v>0</v>
      </c>
      <c r="G43">
        <f t="shared" si="1"/>
        <v>1</v>
      </c>
      <c r="H43">
        <f t="shared" si="7"/>
        <v>0</v>
      </c>
      <c r="I43">
        <v>42</v>
      </c>
      <c r="J43">
        <f t="shared" si="2"/>
        <v>0.66126347496563864</v>
      </c>
      <c r="K43">
        <f t="shared" si="3"/>
        <v>0.75015372869590424</v>
      </c>
      <c r="L43">
        <f>VLOOKUP(D43,[1]SOI!$A$1:$C$142,3)</f>
        <v>5.0999999999999996</v>
      </c>
      <c r="M43" s="2">
        <f t="shared" si="4"/>
        <v>27.773065948556823</v>
      </c>
      <c r="N43">
        <f t="shared" si="5"/>
        <v>31.506456605227978</v>
      </c>
      <c r="O43" t="s">
        <v>8</v>
      </c>
    </row>
    <row r="44" spans="1:15" x14ac:dyDescent="0.35">
      <c r="A44">
        <v>2000</v>
      </c>
      <c r="B44">
        <v>2</v>
      </c>
      <c r="C44">
        <v>12</v>
      </c>
      <c r="D44" s="1">
        <f t="shared" si="0"/>
        <v>36568</v>
      </c>
      <c r="E44">
        <v>3.2</v>
      </c>
      <c r="F44">
        <f t="shared" si="6"/>
        <v>6.4</v>
      </c>
      <c r="G44">
        <f t="shared" si="1"/>
        <v>1</v>
      </c>
      <c r="H44">
        <f t="shared" si="7"/>
        <v>1</v>
      </c>
      <c r="I44">
        <v>43</v>
      </c>
      <c r="J44">
        <f t="shared" si="2"/>
        <v>0.67406946165461612</v>
      </c>
      <c r="K44">
        <f t="shared" si="3"/>
        <v>0.73866796388137479</v>
      </c>
      <c r="L44">
        <f>VLOOKUP(D44,[1]SOI!$A$1:$C$142,3)</f>
        <v>5.0999999999999996</v>
      </c>
      <c r="M44" s="2">
        <f t="shared" si="4"/>
        <v>28.984986851148491</v>
      </c>
      <c r="N44">
        <f t="shared" si="5"/>
        <v>31.762722446899115</v>
      </c>
      <c r="O44" t="s">
        <v>8</v>
      </c>
    </row>
    <row r="45" spans="1:15" x14ac:dyDescent="0.35">
      <c r="A45">
        <v>2000</v>
      </c>
      <c r="B45">
        <v>2</v>
      </c>
      <c r="C45">
        <v>13</v>
      </c>
      <c r="D45" s="1">
        <f t="shared" si="0"/>
        <v>36569</v>
      </c>
      <c r="E45">
        <v>0</v>
      </c>
      <c r="F45">
        <f t="shared" si="6"/>
        <v>3.2</v>
      </c>
      <c r="G45">
        <f t="shared" si="1"/>
        <v>0</v>
      </c>
      <c r="H45">
        <f t="shared" si="7"/>
        <v>1</v>
      </c>
      <c r="I45">
        <v>44</v>
      </c>
      <c r="J45">
        <f t="shared" si="2"/>
        <v>0.68667598034515531</v>
      </c>
      <c r="K45">
        <f t="shared" si="3"/>
        <v>0.72696361533230802</v>
      </c>
      <c r="L45">
        <f>VLOOKUP(D45,[1]SOI!$A$1:$C$142,3)</f>
        <v>5.0999999999999996</v>
      </c>
      <c r="M45" s="2">
        <f t="shared" si="4"/>
        <v>30.213743135186835</v>
      </c>
      <c r="N45">
        <f t="shared" si="5"/>
        <v>31.986399074621552</v>
      </c>
      <c r="O45" t="s">
        <v>8</v>
      </c>
    </row>
    <row r="46" spans="1:15" x14ac:dyDescent="0.35">
      <c r="A46">
        <v>2000</v>
      </c>
      <c r="B46">
        <v>2</v>
      </c>
      <c r="C46">
        <v>14</v>
      </c>
      <c r="D46" s="1">
        <f t="shared" si="0"/>
        <v>36570</v>
      </c>
      <c r="E46">
        <v>0</v>
      </c>
      <c r="F46">
        <f t="shared" si="6"/>
        <v>0</v>
      </c>
      <c r="G46">
        <f t="shared" si="1"/>
        <v>0</v>
      </c>
      <c r="H46">
        <f t="shared" si="7"/>
        <v>0</v>
      </c>
      <c r="I46">
        <v>45</v>
      </c>
      <c r="J46">
        <f t="shared" si="2"/>
        <v>0.69907930056555623</v>
      </c>
      <c r="K46">
        <f t="shared" si="3"/>
        <v>0.71504414655374438</v>
      </c>
      <c r="L46">
        <f>VLOOKUP(D46,[1]SOI!$A$1:$C$142,3)</f>
        <v>5.0999999999999996</v>
      </c>
      <c r="M46" s="2">
        <f t="shared" si="4"/>
        <v>31.45856852545003</v>
      </c>
      <c r="N46">
        <f t="shared" si="5"/>
        <v>32.176986594918496</v>
      </c>
      <c r="O46" t="s">
        <v>8</v>
      </c>
    </row>
    <row r="47" spans="1:15" x14ac:dyDescent="0.35">
      <c r="A47">
        <v>2000</v>
      </c>
      <c r="B47">
        <v>2</v>
      </c>
      <c r="C47">
        <v>15</v>
      </c>
      <c r="D47" s="1">
        <f t="shared" si="0"/>
        <v>36571</v>
      </c>
      <c r="E47">
        <v>0</v>
      </c>
      <c r="F47">
        <f t="shared" si="6"/>
        <v>0</v>
      </c>
      <c r="G47">
        <f t="shared" si="1"/>
        <v>0</v>
      </c>
      <c r="H47">
        <f t="shared" si="7"/>
        <v>0</v>
      </c>
      <c r="I47">
        <v>46</v>
      </c>
      <c r="J47">
        <f t="shared" si="2"/>
        <v>0.71127575197381521</v>
      </c>
      <c r="K47">
        <f t="shared" si="3"/>
        <v>0.70291308470826153</v>
      </c>
      <c r="L47">
        <f>VLOOKUP(D47,[1]SOI!$A$1:$C$142,3)</f>
        <v>5.0999999999999996</v>
      </c>
      <c r="M47" s="2">
        <f t="shared" si="4"/>
        <v>32.718684590795498</v>
      </c>
      <c r="N47">
        <f t="shared" si="5"/>
        <v>32.334001896580027</v>
      </c>
      <c r="O47" t="s">
        <v>8</v>
      </c>
    </row>
    <row r="48" spans="1:15" x14ac:dyDescent="0.35">
      <c r="A48">
        <v>2000</v>
      </c>
      <c r="B48">
        <v>2</v>
      </c>
      <c r="C48">
        <v>16</v>
      </c>
      <c r="D48" s="1">
        <f t="shared" si="0"/>
        <v>36572</v>
      </c>
      <c r="E48">
        <v>0</v>
      </c>
      <c r="F48">
        <f t="shared" si="6"/>
        <v>0</v>
      </c>
      <c r="G48">
        <f t="shared" si="1"/>
        <v>0</v>
      </c>
      <c r="H48">
        <f t="shared" si="7"/>
        <v>0</v>
      </c>
      <c r="I48">
        <v>47</v>
      </c>
      <c r="J48">
        <f t="shared" si="2"/>
        <v>0.72326172544373879</v>
      </c>
      <c r="K48">
        <f t="shared" si="3"/>
        <v>0.69057401957222941</v>
      </c>
      <c r="L48">
        <f>VLOOKUP(D48,[1]SOI!$A$1:$C$142,3)</f>
        <v>5.0999999999999996</v>
      </c>
      <c r="M48" s="2">
        <f t="shared" si="4"/>
        <v>33.99330109585572</v>
      </c>
      <c r="N48">
        <f t="shared" si="5"/>
        <v>32.45697891989478</v>
      </c>
      <c r="O48" t="s">
        <v>8</v>
      </c>
    </row>
    <row r="49" spans="1:15" x14ac:dyDescent="0.35">
      <c r="A49">
        <v>2000</v>
      </c>
      <c r="B49">
        <v>2</v>
      </c>
      <c r="C49">
        <v>17</v>
      </c>
      <c r="D49" s="1">
        <f t="shared" si="0"/>
        <v>36573</v>
      </c>
      <c r="E49">
        <v>0</v>
      </c>
      <c r="F49">
        <f t="shared" si="6"/>
        <v>0</v>
      </c>
      <c r="G49">
        <f t="shared" si="1"/>
        <v>0</v>
      </c>
      <c r="H49">
        <f t="shared" si="7"/>
        <v>0</v>
      </c>
      <c r="I49">
        <v>48</v>
      </c>
      <c r="J49">
        <f t="shared" si="2"/>
        <v>0.73503367413294118</v>
      </c>
      <c r="K49">
        <f t="shared" si="3"/>
        <v>0.67803060247353819</v>
      </c>
      <c r="L49">
        <f>VLOOKUP(D49,[1]SOI!$A$1:$C$142,3)</f>
        <v>5.0999999999999996</v>
      </c>
      <c r="M49" s="2">
        <f t="shared" si="4"/>
        <v>35.281616358381179</v>
      </c>
      <c r="N49">
        <f t="shared" si="5"/>
        <v>32.545468918729831</v>
      </c>
      <c r="O49" t="s">
        <v>8</v>
      </c>
    </row>
    <row r="50" spans="1:15" x14ac:dyDescent="0.35">
      <c r="A50">
        <v>2000</v>
      </c>
      <c r="B50">
        <v>2</v>
      </c>
      <c r="C50">
        <v>18</v>
      </c>
      <c r="D50" s="1">
        <f t="shared" si="0"/>
        <v>36574</v>
      </c>
      <c r="E50">
        <v>0</v>
      </c>
      <c r="F50">
        <f t="shared" si="6"/>
        <v>0</v>
      </c>
      <c r="G50">
        <f t="shared" si="1"/>
        <v>0</v>
      </c>
      <c r="H50">
        <f t="shared" si="7"/>
        <v>0</v>
      </c>
      <c r="I50">
        <v>49</v>
      </c>
      <c r="J50">
        <f t="shared" si="2"/>
        <v>0.74658811453241303</v>
      </c>
      <c r="K50">
        <f t="shared" si="3"/>
        <v>0.66528654521111164</v>
      </c>
      <c r="L50">
        <f>VLOOKUP(D50,[1]SOI!$A$1:$C$142,3)</f>
        <v>5.0999999999999996</v>
      </c>
      <c r="M50" s="2">
        <f t="shared" si="4"/>
        <v>36.582817612088242</v>
      </c>
      <c r="N50">
        <f t="shared" si="5"/>
        <v>32.599040715344472</v>
      </c>
      <c r="O50" t="s">
        <v>8</v>
      </c>
    </row>
    <row r="51" spans="1:15" x14ac:dyDescent="0.35">
      <c r="A51">
        <v>2000</v>
      </c>
      <c r="B51">
        <v>2</v>
      </c>
      <c r="C51">
        <v>19</v>
      </c>
      <c r="D51" s="1">
        <f t="shared" si="0"/>
        <v>36575</v>
      </c>
      <c r="E51">
        <v>0</v>
      </c>
      <c r="F51">
        <f t="shared" si="6"/>
        <v>0</v>
      </c>
      <c r="G51">
        <f t="shared" si="1"/>
        <v>0</v>
      </c>
      <c r="H51">
        <f t="shared" si="7"/>
        <v>0</v>
      </c>
      <c r="I51">
        <v>50</v>
      </c>
      <c r="J51">
        <f t="shared" si="2"/>
        <v>0.75792162749734715</v>
      </c>
      <c r="K51">
        <f t="shared" si="3"/>
        <v>0.65234561895652565</v>
      </c>
      <c r="L51">
        <f>VLOOKUP(D51,[1]SOI!$A$1:$C$142,3)</f>
        <v>5.0999999999999996</v>
      </c>
      <c r="M51" s="2">
        <f t="shared" si="4"/>
        <v>37.896081374867357</v>
      </c>
      <c r="N51">
        <f t="shared" si="5"/>
        <v>32.617280947826281</v>
      </c>
      <c r="O51" t="s">
        <v>8</v>
      </c>
    </row>
    <row r="52" spans="1:15" x14ac:dyDescent="0.35">
      <c r="A52">
        <v>2000</v>
      </c>
      <c r="B52">
        <v>2</v>
      </c>
      <c r="C52">
        <v>20</v>
      </c>
      <c r="D52" s="1">
        <f t="shared" si="0"/>
        <v>36576</v>
      </c>
      <c r="E52">
        <v>0.4</v>
      </c>
      <c r="F52">
        <f t="shared" si="6"/>
        <v>0</v>
      </c>
      <c r="G52">
        <f t="shared" si="1"/>
        <v>1</v>
      </c>
      <c r="H52">
        <f t="shared" si="7"/>
        <v>0</v>
      </c>
      <c r="I52">
        <v>51</v>
      </c>
      <c r="J52">
        <f t="shared" si="2"/>
        <v>0.76903085925891812</v>
      </c>
      <c r="K52">
        <f t="shared" si="3"/>
        <v>0.63921165313805883</v>
      </c>
      <c r="L52">
        <f>VLOOKUP(D52,[1]SOI!$A$1:$C$142,3)</f>
        <v>5.0999999999999996</v>
      </c>
      <c r="M52" s="2">
        <f t="shared" si="4"/>
        <v>39.220573822204827</v>
      </c>
      <c r="N52">
        <f t="shared" si="5"/>
        <v>32.599794310040998</v>
      </c>
      <c r="O52" t="s">
        <v>8</v>
      </c>
    </row>
    <row r="53" spans="1:15" x14ac:dyDescent="0.35">
      <c r="A53">
        <v>2000</v>
      </c>
      <c r="B53">
        <v>2</v>
      </c>
      <c r="C53">
        <v>21</v>
      </c>
      <c r="D53" s="1">
        <f t="shared" si="0"/>
        <v>36577</v>
      </c>
      <c r="E53">
        <v>0</v>
      </c>
      <c r="F53">
        <f t="shared" si="6"/>
        <v>0.4</v>
      </c>
      <c r="G53">
        <f t="shared" si="1"/>
        <v>0</v>
      </c>
      <c r="H53">
        <f t="shared" si="7"/>
        <v>1</v>
      </c>
      <c r="I53">
        <v>52</v>
      </c>
      <c r="J53">
        <f t="shared" si="2"/>
        <v>0.77991252241671771</v>
      </c>
      <c r="K53">
        <f t="shared" si="3"/>
        <v>0.6258885343075018</v>
      </c>
      <c r="L53">
        <f>VLOOKUP(D53,[1]SOI!$A$1:$C$142,3)</f>
        <v>5.0999999999999996</v>
      </c>
      <c r="M53" s="2">
        <f t="shared" si="4"/>
        <v>40.555451165669318</v>
      </c>
      <c r="N53">
        <f t="shared" si="5"/>
        <v>32.546203783990094</v>
      </c>
      <c r="O53" t="s">
        <v>8</v>
      </c>
    </row>
    <row r="54" spans="1:15" x14ac:dyDescent="0.35">
      <c r="A54">
        <v>2000</v>
      </c>
      <c r="B54">
        <v>2</v>
      </c>
      <c r="C54">
        <v>22</v>
      </c>
      <c r="D54" s="1">
        <f t="shared" si="0"/>
        <v>36578</v>
      </c>
      <c r="E54">
        <v>2.8</v>
      </c>
      <c r="F54">
        <f t="shared" si="6"/>
        <v>0</v>
      </c>
      <c r="G54">
        <f t="shared" si="1"/>
        <v>1</v>
      </c>
      <c r="H54">
        <f t="shared" si="7"/>
        <v>0</v>
      </c>
      <c r="I54">
        <v>53</v>
      </c>
      <c r="J54">
        <f t="shared" si="2"/>
        <v>0.7905633969115482</v>
      </c>
      <c r="K54">
        <f t="shared" si="3"/>
        <v>0.61238020499006496</v>
      </c>
      <c r="L54">
        <f>VLOOKUP(D54,[1]SOI!$A$1:$C$142,3)</f>
        <v>5.0999999999999996</v>
      </c>
      <c r="M54" s="2">
        <f t="shared" si="4"/>
        <v>41.899860036312056</v>
      </c>
      <c r="N54">
        <f t="shared" si="5"/>
        <v>32.456150864473443</v>
      </c>
      <c r="O54" t="s">
        <v>8</v>
      </c>
    </row>
    <row r="55" spans="1:15" x14ac:dyDescent="0.35">
      <c r="A55">
        <v>2000</v>
      </c>
      <c r="B55">
        <v>2</v>
      </c>
      <c r="C55">
        <v>23</v>
      </c>
      <c r="D55" s="1">
        <f t="shared" si="0"/>
        <v>36579</v>
      </c>
      <c r="E55">
        <v>2</v>
      </c>
      <c r="F55">
        <f t="shared" si="6"/>
        <v>2.8</v>
      </c>
      <c r="G55">
        <f t="shared" si="1"/>
        <v>1</v>
      </c>
      <c r="H55">
        <f t="shared" si="7"/>
        <v>1</v>
      </c>
      <c r="I55">
        <v>54</v>
      </c>
      <c r="J55">
        <f t="shared" si="2"/>
        <v>0.80098033097829047</v>
      </c>
      <c r="K55">
        <f t="shared" si="3"/>
        <v>0.59869066251772141</v>
      </c>
      <c r="L55">
        <f>VLOOKUP(D55,[1]SOI!$A$1:$C$142,3)</f>
        <v>5.0999999999999996</v>
      </c>
      <c r="M55" s="2">
        <f t="shared" si="4"/>
        <v>43.252937872827687</v>
      </c>
      <c r="N55">
        <f t="shared" si="5"/>
        <v>32.329295775956957</v>
      </c>
      <c r="O55" t="s">
        <v>8</v>
      </c>
    </row>
    <row r="56" spans="1:15" x14ac:dyDescent="0.35">
      <c r="A56">
        <v>2000</v>
      </c>
      <c r="B56">
        <v>2</v>
      </c>
      <c r="C56">
        <v>24</v>
      </c>
      <c r="D56" s="1">
        <f t="shared" si="0"/>
        <v>36580</v>
      </c>
      <c r="E56">
        <v>1.4</v>
      </c>
      <c r="F56">
        <f t="shared" si="6"/>
        <v>2</v>
      </c>
      <c r="G56">
        <f t="shared" si="1"/>
        <v>1</v>
      </c>
      <c r="H56">
        <f t="shared" si="7"/>
        <v>1</v>
      </c>
      <c r="I56">
        <v>55</v>
      </c>
      <c r="J56">
        <f t="shared" si="2"/>
        <v>0.81116024207856208</v>
      </c>
      <c r="K56">
        <f t="shared" si="3"/>
        <v>0.58482395784633223</v>
      </c>
      <c r="L56">
        <f>VLOOKUP(D56,[1]SOI!$A$1:$C$142,3)</f>
        <v>5.0999999999999996</v>
      </c>
      <c r="M56" s="2">
        <f t="shared" si="4"/>
        <v>44.613813314320915</v>
      </c>
      <c r="N56">
        <f t="shared" si="5"/>
        <v>32.165317681548274</v>
      </c>
      <c r="O56" t="s">
        <v>8</v>
      </c>
    </row>
    <row r="57" spans="1:15" x14ac:dyDescent="0.35">
      <c r="A57">
        <v>2000</v>
      </c>
      <c r="B57">
        <v>2</v>
      </c>
      <c r="C57">
        <v>25</v>
      </c>
      <c r="D57" s="1">
        <f t="shared" si="0"/>
        <v>36581</v>
      </c>
      <c r="E57">
        <v>0</v>
      </c>
      <c r="F57">
        <f t="shared" si="6"/>
        <v>1.4</v>
      </c>
      <c r="G57">
        <f t="shared" si="1"/>
        <v>0</v>
      </c>
      <c r="H57">
        <f t="shared" si="7"/>
        <v>1</v>
      </c>
      <c r="I57">
        <v>56</v>
      </c>
      <c r="J57">
        <f t="shared" si="2"/>
        <v>0.82110011781288916</v>
      </c>
      <c r="K57">
        <f t="shared" si="3"/>
        <v>0.57078419435690364</v>
      </c>
      <c r="L57">
        <f>VLOOKUP(D57,[1]SOI!$A$1:$C$142,3)</f>
        <v>5.0999999999999996</v>
      </c>
      <c r="M57" s="2">
        <f t="shared" si="4"/>
        <v>45.98160659752179</v>
      </c>
      <c r="N57">
        <f t="shared" si="5"/>
        <v>31.963914883986604</v>
      </c>
      <c r="O57" t="s">
        <v>8</v>
      </c>
    </row>
    <row r="58" spans="1:15" x14ac:dyDescent="0.35">
      <c r="A58">
        <v>2000</v>
      </c>
      <c r="B58">
        <v>2</v>
      </c>
      <c r="C58">
        <v>26</v>
      </c>
      <c r="D58" s="1">
        <f t="shared" si="0"/>
        <v>36582</v>
      </c>
      <c r="E58">
        <v>16.600000000000001</v>
      </c>
      <c r="F58">
        <f t="shared" si="6"/>
        <v>0</v>
      </c>
      <c r="G58">
        <f t="shared" si="1"/>
        <v>1</v>
      </c>
      <c r="H58">
        <f t="shared" si="7"/>
        <v>0</v>
      </c>
      <c r="I58">
        <v>57</v>
      </c>
      <c r="J58">
        <f t="shared" si="2"/>
        <v>0.8307970168121247</v>
      </c>
      <c r="K58">
        <f t="shared" si="3"/>
        <v>0.55657552664133025</v>
      </c>
      <c r="L58">
        <f>VLOOKUP(D58,[1]SOI!$A$1:$C$142,3)</f>
        <v>5.0999999999999996</v>
      </c>
      <c r="M58" s="2">
        <f t="shared" si="4"/>
        <v>47.355429958291111</v>
      </c>
      <c r="N58">
        <f t="shared" si="5"/>
        <v>31.724805018555823</v>
      </c>
      <c r="O58" t="s">
        <v>8</v>
      </c>
    </row>
    <row r="59" spans="1:15" x14ac:dyDescent="0.35">
      <c r="A59">
        <v>2000</v>
      </c>
      <c r="B59">
        <v>2</v>
      </c>
      <c r="C59">
        <v>27</v>
      </c>
      <c r="D59" s="1">
        <f t="shared" si="0"/>
        <v>36583</v>
      </c>
      <c r="E59">
        <v>0</v>
      </c>
      <c r="F59">
        <f t="shared" si="6"/>
        <v>16.600000000000001</v>
      </c>
      <c r="G59">
        <f t="shared" si="1"/>
        <v>0</v>
      </c>
      <c r="H59">
        <f t="shared" si="7"/>
        <v>1</v>
      </c>
      <c r="I59">
        <v>58</v>
      </c>
      <c r="J59">
        <f t="shared" si="2"/>
        <v>0.84024806960784693</v>
      </c>
      <c r="K59">
        <f t="shared" si="3"/>
        <v>0.54220215927298443</v>
      </c>
      <c r="L59">
        <f>VLOOKUP(D59,[1]SOI!$A$1:$C$142,3)</f>
        <v>5.0999999999999996</v>
      </c>
      <c r="M59" s="2">
        <f t="shared" si="4"/>
        <v>48.734388037255123</v>
      </c>
      <c r="N59">
        <f t="shared" si="5"/>
        <v>31.447725237833097</v>
      </c>
      <c r="O59" t="s">
        <v>8</v>
      </c>
    </row>
    <row r="60" spans="1:15" x14ac:dyDescent="0.35">
      <c r="A60">
        <v>2000</v>
      </c>
      <c r="B60">
        <v>2</v>
      </c>
      <c r="C60">
        <v>28</v>
      </c>
      <c r="D60" s="1">
        <f t="shared" si="0"/>
        <v>36584</v>
      </c>
      <c r="E60">
        <v>0</v>
      </c>
      <c r="F60">
        <f t="shared" si="6"/>
        <v>0</v>
      </c>
      <c r="G60">
        <f t="shared" si="1"/>
        <v>0</v>
      </c>
      <c r="H60">
        <f t="shared" si="7"/>
        <v>0</v>
      </c>
      <c r="I60">
        <v>59</v>
      </c>
      <c r="J60">
        <f t="shared" si="2"/>
        <v>0.84945047948148056</v>
      </c>
      <c r="K60">
        <f t="shared" si="3"/>
        <v>0.52766834556251596</v>
      </c>
      <c r="L60">
        <f>VLOOKUP(D60,[1]SOI!$A$1:$C$142,3)</f>
        <v>5.0999999999999996</v>
      </c>
      <c r="M60" s="2">
        <f t="shared" si="4"/>
        <v>50.117578289407355</v>
      </c>
      <c r="N60">
        <f t="shared" si="5"/>
        <v>31.132432388188441</v>
      </c>
      <c r="O60" t="s">
        <v>8</v>
      </c>
    </row>
    <row r="61" spans="1:15" x14ac:dyDescent="0.35">
      <c r="A61">
        <v>2000</v>
      </c>
      <c r="B61">
        <v>2</v>
      </c>
      <c r="C61">
        <v>29</v>
      </c>
      <c r="D61" s="1">
        <f t="shared" si="0"/>
        <v>36585</v>
      </c>
      <c r="E61">
        <v>0.2</v>
      </c>
      <c r="F61">
        <f t="shared" si="6"/>
        <v>0</v>
      </c>
      <c r="G61">
        <f t="shared" si="1"/>
        <v>1</v>
      </c>
      <c r="H61">
        <f t="shared" si="7"/>
        <v>0</v>
      </c>
      <c r="I61">
        <v>60</v>
      </c>
      <c r="J61">
        <f t="shared" si="2"/>
        <v>0.85840152329189168</v>
      </c>
      <c r="K61">
        <f t="shared" si="3"/>
        <v>0.51297838629922798</v>
      </c>
      <c r="L61">
        <f>VLOOKUP(D61,[1]SOI!$A$1:$C$142,3)</f>
        <v>5.0999999999999996</v>
      </c>
      <c r="M61" s="2">
        <f t="shared" si="4"/>
        <v>51.504091397513498</v>
      </c>
      <c r="N61">
        <f t="shared" si="5"/>
        <v>30.77870317795368</v>
      </c>
      <c r="O61" t="s">
        <v>8</v>
      </c>
    </row>
    <row r="62" spans="1:15" x14ac:dyDescent="0.35">
      <c r="A62">
        <v>2000</v>
      </c>
      <c r="B62">
        <v>3</v>
      </c>
      <c r="C62">
        <v>1</v>
      </c>
      <c r="D62" s="1">
        <f t="shared" si="0"/>
        <v>36586</v>
      </c>
      <c r="E62">
        <v>0.2</v>
      </c>
      <c r="F62">
        <f t="shared" si="6"/>
        <v>0.2</v>
      </c>
      <c r="G62">
        <f t="shared" si="1"/>
        <v>1</v>
      </c>
      <c r="H62">
        <f t="shared" si="7"/>
        <v>1</v>
      </c>
      <c r="I62">
        <v>61</v>
      </c>
      <c r="J62">
        <f t="shared" si="2"/>
        <v>0.86709855228120813</v>
      </c>
      <c r="K62">
        <f t="shared" si="3"/>
        <v>0.49813662847840551</v>
      </c>
      <c r="L62">
        <f>VLOOKUP(D62,[1]SOI!$A$1:$C$142,3)</f>
        <v>12.9</v>
      </c>
      <c r="M62" s="2">
        <f t="shared" si="4"/>
        <v>52.893011689153695</v>
      </c>
      <c r="N62">
        <f t="shared" si="5"/>
        <v>30.386334337182735</v>
      </c>
      <c r="O62" t="s">
        <v>8</v>
      </c>
    </row>
    <row r="63" spans="1:15" x14ac:dyDescent="0.35">
      <c r="A63">
        <v>2000</v>
      </c>
      <c r="B63">
        <v>3</v>
      </c>
      <c r="C63">
        <v>2</v>
      </c>
      <c r="D63" s="1">
        <f t="shared" si="0"/>
        <v>36587</v>
      </c>
      <c r="E63">
        <v>0</v>
      </c>
      <c r="F63">
        <f t="shared" si="6"/>
        <v>0.2</v>
      </c>
      <c r="G63">
        <f t="shared" si="1"/>
        <v>0</v>
      </c>
      <c r="H63">
        <f t="shared" si="7"/>
        <v>1</v>
      </c>
      <c r="I63">
        <v>62</v>
      </c>
      <c r="J63">
        <f t="shared" si="2"/>
        <v>0.87553899285863024</v>
      </c>
      <c r="K63">
        <f t="shared" si="3"/>
        <v>0.48314746401496872</v>
      </c>
      <c r="L63">
        <f>VLOOKUP(D63,[1]SOI!$A$1:$C$142,3)</f>
        <v>12.9</v>
      </c>
      <c r="M63" s="2">
        <f t="shared" si="4"/>
        <v>54.283417557235076</v>
      </c>
      <c r="N63">
        <f t="shared" si="5"/>
        <v>29.955142768928059</v>
      </c>
      <c r="O63" t="s">
        <v>8</v>
      </c>
    </row>
    <row r="64" spans="1:15" x14ac:dyDescent="0.35">
      <c r="A64">
        <v>2000</v>
      </c>
      <c r="B64">
        <v>3</v>
      </c>
      <c r="C64">
        <v>3</v>
      </c>
      <c r="D64" s="1">
        <f t="shared" si="0"/>
        <v>36588</v>
      </c>
      <c r="E64">
        <v>0</v>
      </c>
      <c r="F64">
        <f t="shared" si="6"/>
        <v>0</v>
      </c>
      <c r="G64">
        <f t="shared" si="1"/>
        <v>0</v>
      </c>
      <c r="H64">
        <f t="shared" si="7"/>
        <v>0</v>
      </c>
      <c r="I64">
        <v>63</v>
      </c>
      <c r="J64">
        <f t="shared" si="2"/>
        <v>0.88372034736199767</v>
      </c>
      <c r="K64">
        <f t="shared" si="3"/>
        <v>0.46801532844383448</v>
      </c>
      <c r="L64">
        <f>VLOOKUP(D64,[1]SOI!$A$1:$C$142,3)</f>
        <v>12.9</v>
      </c>
      <c r="M64" s="2">
        <f t="shared" si="4"/>
        <v>55.67438188380585</v>
      </c>
      <c r="N64">
        <f t="shared" si="5"/>
        <v>29.484965691961573</v>
      </c>
      <c r="O64" t="s">
        <v>8</v>
      </c>
    </row>
    <row r="65" spans="1:15" x14ac:dyDescent="0.35">
      <c r="A65">
        <v>2000</v>
      </c>
      <c r="B65">
        <v>3</v>
      </c>
      <c r="C65">
        <v>4</v>
      </c>
      <c r="D65" s="1">
        <f t="shared" si="0"/>
        <v>36589</v>
      </c>
      <c r="E65">
        <v>5.2</v>
      </c>
      <c r="F65">
        <f t="shared" si="6"/>
        <v>0</v>
      </c>
      <c r="G65">
        <f t="shared" si="1"/>
        <v>1</v>
      </c>
      <c r="H65">
        <f t="shared" si="7"/>
        <v>0</v>
      </c>
      <c r="I65">
        <v>64</v>
      </c>
      <c r="J65">
        <f t="shared" si="2"/>
        <v>0.89164019479688739</v>
      </c>
      <c r="K65">
        <f t="shared" si="3"/>
        <v>0.45274469960737107</v>
      </c>
      <c r="L65">
        <f>VLOOKUP(D65,[1]SOI!$A$1:$C$142,3)</f>
        <v>12.9</v>
      </c>
      <c r="M65" s="2">
        <f t="shared" si="4"/>
        <v>57.064972467000793</v>
      </c>
      <c r="N65">
        <f t="shared" si="5"/>
        <v>28.975660774871749</v>
      </c>
      <c r="O65" t="s">
        <v>8</v>
      </c>
    </row>
    <row r="66" spans="1:15" x14ac:dyDescent="0.35">
      <c r="A66">
        <v>2000</v>
      </c>
      <c r="B66">
        <v>3</v>
      </c>
      <c r="C66">
        <v>5</v>
      </c>
      <c r="D66" s="1">
        <f t="shared" si="0"/>
        <v>36590</v>
      </c>
      <c r="E66">
        <v>0</v>
      </c>
      <c r="F66">
        <f t="shared" si="6"/>
        <v>5.2</v>
      </c>
      <c r="G66">
        <f t="shared" si="1"/>
        <v>0</v>
      </c>
      <c r="H66">
        <f t="shared" si="7"/>
        <v>1</v>
      </c>
      <c r="I66">
        <v>65</v>
      </c>
      <c r="J66">
        <f t="shared" si="2"/>
        <v>0.89929619155302531</v>
      </c>
      <c r="K66">
        <f t="shared" si="3"/>
        <v>0.43734009633033227</v>
      </c>
      <c r="L66">
        <f>VLOOKUP(D66,[1]SOI!$A$1:$C$142,3)</f>
        <v>12.9</v>
      </c>
      <c r="M66" s="2">
        <f t="shared" si="4"/>
        <v>58.454252450946647</v>
      </c>
      <c r="N66">
        <f t="shared" si="5"/>
        <v>28.427106261471597</v>
      </c>
      <c r="O66" t="s">
        <v>8</v>
      </c>
    </row>
    <row r="67" spans="1:15" x14ac:dyDescent="0.35">
      <c r="A67">
        <v>2000</v>
      </c>
      <c r="B67">
        <v>3</v>
      </c>
      <c r="C67">
        <v>6</v>
      </c>
      <c r="D67" s="1">
        <f t="shared" ref="D67:D130" si="8">DATE(A67,B67,C67)</f>
        <v>36591</v>
      </c>
      <c r="E67">
        <v>0.4</v>
      </c>
      <c r="F67">
        <f t="shared" si="6"/>
        <v>0</v>
      </c>
      <c r="G67">
        <f t="shared" ref="G67:G130" si="9">IF(E67=0,0,1)</f>
        <v>1</v>
      </c>
      <c r="H67">
        <f t="shared" si="7"/>
        <v>0</v>
      </c>
      <c r="I67">
        <v>66</v>
      </c>
      <c r="J67">
        <f t="shared" ref="J67:J130" si="10">SIN(2*PI()*I67/365.25)</f>
        <v>0.9066860720977985</v>
      </c>
      <c r="K67">
        <f t="shared" ref="K67:K130" si="11">COS(2*PI()*I67/365.25)</f>
        <v>0.42180607708266338</v>
      </c>
      <c r="L67">
        <f>VLOOKUP(D67,[1]SOI!$A$1:$C$142,3)</f>
        <v>12.9</v>
      </c>
      <c r="M67" s="2">
        <f t="shared" ref="M67:M130" si="12">I67*J67</f>
        <v>59.841280758454701</v>
      </c>
      <c r="N67">
        <f t="shared" ref="N67:N130" si="13">I67*K67</f>
        <v>27.839201087455784</v>
      </c>
      <c r="O67" t="s">
        <v>8</v>
      </c>
    </row>
    <row r="68" spans="1:15" x14ac:dyDescent="0.35">
      <c r="A68">
        <v>2000</v>
      </c>
      <c r="B68">
        <v>3</v>
      </c>
      <c r="C68">
        <v>7</v>
      </c>
      <c r="D68" s="1">
        <f t="shared" si="8"/>
        <v>36592</v>
      </c>
      <c r="E68">
        <v>0</v>
      </c>
      <c r="F68">
        <f t="shared" ref="F68:F131" si="14">E67</f>
        <v>0.4</v>
      </c>
      <c r="G68">
        <f t="shared" si="9"/>
        <v>0</v>
      </c>
      <c r="H68">
        <f t="shared" ref="H68:H131" si="15">G67</f>
        <v>1</v>
      </c>
      <c r="I68">
        <v>67</v>
      </c>
      <c r="J68">
        <f t="shared" si="10"/>
        <v>0.9138076496466615</v>
      </c>
      <c r="K68">
        <f t="shared" si="11"/>
        <v>0.40614723863057883</v>
      </c>
      <c r="L68">
        <f>VLOOKUP(D68,[1]SOI!$A$1:$C$142,3)</f>
        <v>12.9</v>
      </c>
      <c r="M68" s="2">
        <f t="shared" si="12"/>
        <v>61.225112526326321</v>
      </c>
      <c r="N68">
        <f t="shared" si="13"/>
        <v>27.211864988248781</v>
      </c>
      <c r="O68" t="s">
        <v>8</v>
      </c>
    </row>
    <row r="69" spans="1:15" x14ac:dyDescent="0.35">
      <c r="A69">
        <v>2000</v>
      </c>
      <c r="B69">
        <v>3</v>
      </c>
      <c r="C69">
        <v>8</v>
      </c>
      <c r="D69" s="1">
        <f t="shared" si="8"/>
        <v>36593</v>
      </c>
      <c r="E69">
        <v>0</v>
      </c>
      <c r="F69">
        <f t="shared" si="14"/>
        <v>0</v>
      </c>
      <c r="G69">
        <f t="shared" si="9"/>
        <v>0</v>
      </c>
      <c r="H69">
        <f t="shared" si="15"/>
        <v>0</v>
      </c>
      <c r="I69">
        <v>68</v>
      </c>
      <c r="J69">
        <f t="shared" si="10"/>
        <v>0.92065881681024275</v>
      </c>
      <c r="K69">
        <f t="shared" si="11"/>
        <v>0.39036821467630262</v>
      </c>
      <c r="L69">
        <f>VLOOKUP(D69,[1]SOI!$A$1:$C$142,3)</f>
        <v>12.9</v>
      </c>
      <c r="M69" s="2">
        <f t="shared" si="12"/>
        <v>62.604799543096505</v>
      </c>
      <c r="N69">
        <f t="shared" si="13"/>
        <v>26.545038597988579</v>
      </c>
      <c r="O69" t="s">
        <v>8</v>
      </c>
    </row>
    <row r="70" spans="1:15" x14ac:dyDescent="0.35">
      <c r="A70">
        <v>2000</v>
      </c>
      <c r="B70">
        <v>3</v>
      </c>
      <c r="C70">
        <v>9</v>
      </c>
      <c r="D70" s="1">
        <f t="shared" si="8"/>
        <v>36594</v>
      </c>
      <c r="E70">
        <v>0</v>
      </c>
      <c r="F70">
        <f t="shared" si="14"/>
        <v>0</v>
      </c>
      <c r="G70">
        <f t="shared" si="9"/>
        <v>0</v>
      </c>
      <c r="H70">
        <f t="shared" si="15"/>
        <v>0</v>
      </c>
      <c r="I70">
        <v>69</v>
      </c>
      <c r="J70">
        <f t="shared" si="10"/>
        <v>0.92723754621795373</v>
      </c>
      <c r="K70">
        <f t="shared" si="11"/>
        <v>0.37447367448688301</v>
      </c>
      <c r="L70">
        <f>VLOOKUP(D70,[1]SOI!$A$1:$C$142,3)</f>
        <v>12.9</v>
      </c>
      <c r="M70" s="2">
        <f t="shared" si="12"/>
        <v>63.979390689038809</v>
      </c>
      <c r="N70">
        <f t="shared" si="13"/>
        <v>25.838683539594928</v>
      </c>
      <c r="O70" t="s">
        <v>8</v>
      </c>
    </row>
    <row r="71" spans="1:15" x14ac:dyDescent="0.35">
      <c r="A71">
        <v>2000</v>
      </c>
      <c r="B71">
        <v>3</v>
      </c>
      <c r="C71">
        <v>10</v>
      </c>
      <c r="D71" s="1">
        <f t="shared" si="8"/>
        <v>36595</v>
      </c>
      <c r="E71">
        <v>0</v>
      </c>
      <c r="F71">
        <f t="shared" si="14"/>
        <v>0</v>
      </c>
      <c r="G71">
        <f t="shared" si="9"/>
        <v>0</v>
      </c>
      <c r="H71">
        <f t="shared" si="15"/>
        <v>0</v>
      </c>
      <c r="I71">
        <v>70</v>
      </c>
      <c r="J71">
        <f t="shared" si="10"/>
        <v>0.93354189111792119</v>
      </c>
      <c r="K71">
        <f t="shared" si="11"/>
        <v>0.35846832151248087</v>
      </c>
      <c r="L71">
        <f>VLOOKUP(D71,[1]SOI!$A$1:$C$142,3)</f>
        <v>12.9</v>
      </c>
      <c r="M71" s="2">
        <f t="shared" si="12"/>
        <v>65.347932378254484</v>
      </c>
      <c r="N71">
        <f t="shared" si="13"/>
        <v>25.092782505873661</v>
      </c>
      <c r="O71" t="s">
        <v>8</v>
      </c>
    </row>
    <row r="72" spans="1:15" x14ac:dyDescent="0.35">
      <c r="A72">
        <v>2000</v>
      </c>
      <c r="B72">
        <v>3</v>
      </c>
      <c r="C72">
        <v>11</v>
      </c>
      <c r="D72" s="1">
        <f t="shared" si="8"/>
        <v>36596</v>
      </c>
      <c r="E72">
        <v>0</v>
      </c>
      <c r="F72">
        <f t="shared" si="14"/>
        <v>0</v>
      </c>
      <c r="G72">
        <f t="shared" si="9"/>
        <v>0</v>
      </c>
      <c r="H72">
        <f t="shared" si="15"/>
        <v>0</v>
      </c>
      <c r="I72">
        <v>71</v>
      </c>
      <c r="J72">
        <f t="shared" si="10"/>
        <v>0.93956998595306218</v>
      </c>
      <c r="K72">
        <f t="shared" si="11"/>
        <v>0.342356891994542</v>
      </c>
      <c r="L72">
        <f>VLOOKUP(D72,[1]SOI!$A$1:$C$142,3)</f>
        <v>12.9</v>
      </c>
      <c r="M72" s="2">
        <f t="shared" si="12"/>
        <v>66.709469002667419</v>
      </c>
      <c r="N72">
        <f t="shared" si="13"/>
        <v>24.307339331612482</v>
      </c>
      <c r="O72" t="s">
        <v>8</v>
      </c>
    </row>
    <row r="73" spans="1:15" x14ac:dyDescent="0.35">
      <c r="A73">
        <v>2000</v>
      </c>
      <c r="B73">
        <v>3</v>
      </c>
      <c r="C73">
        <v>12</v>
      </c>
      <c r="D73" s="1">
        <f t="shared" si="8"/>
        <v>36597</v>
      </c>
      <c r="E73">
        <v>0</v>
      </c>
      <c r="F73">
        <f t="shared" si="14"/>
        <v>0</v>
      </c>
      <c r="G73">
        <f t="shared" si="9"/>
        <v>0</v>
      </c>
      <c r="H73">
        <f t="shared" si="15"/>
        <v>0</v>
      </c>
      <c r="I73">
        <v>72</v>
      </c>
      <c r="J73">
        <f t="shared" si="10"/>
        <v>0.94532004691313198</v>
      </c>
      <c r="K73">
        <f t="shared" si="11"/>
        <v>0.32614415356426962</v>
      </c>
      <c r="L73">
        <f>VLOOKUP(D73,[1]SOI!$A$1:$C$142,3)</f>
        <v>12.9</v>
      </c>
      <c r="M73" s="2">
        <f t="shared" si="12"/>
        <v>68.063043377745501</v>
      </c>
      <c r="N73">
        <f t="shared" si="13"/>
        <v>23.482379056627412</v>
      </c>
      <c r="O73" t="s">
        <v>8</v>
      </c>
    </row>
    <row r="74" spans="1:15" x14ac:dyDescent="0.35">
      <c r="A74">
        <v>2000</v>
      </c>
      <c r="B74">
        <v>3</v>
      </c>
      <c r="C74">
        <v>13</v>
      </c>
      <c r="D74" s="1">
        <f t="shared" si="8"/>
        <v>36598</v>
      </c>
      <c r="E74">
        <v>0</v>
      </c>
      <c r="F74">
        <f t="shared" si="14"/>
        <v>0</v>
      </c>
      <c r="G74">
        <f t="shared" si="9"/>
        <v>0</v>
      </c>
      <c r="H74">
        <f t="shared" si="15"/>
        <v>0</v>
      </c>
      <c r="I74">
        <v>73</v>
      </c>
      <c r="J74">
        <f t="shared" si="10"/>
        <v>0.95079037246258324</v>
      </c>
      <c r="K74">
        <f t="shared" si="11"/>
        <v>0.30983490383180251</v>
      </c>
      <c r="L74">
        <f>VLOOKUP(D74,[1]SOI!$A$1:$C$142,3)</f>
        <v>12.9</v>
      </c>
      <c r="M74" s="2">
        <f t="shared" si="12"/>
        <v>69.407697189768584</v>
      </c>
      <c r="N74">
        <f t="shared" si="13"/>
        <v>22.617947979721585</v>
      </c>
      <c r="O74" t="s">
        <v>8</v>
      </c>
    </row>
    <row r="75" spans="1:15" x14ac:dyDescent="0.35">
      <c r="A75">
        <v>2000</v>
      </c>
      <c r="B75">
        <v>3</v>
      </c>
      <c r="C75">
        <v>14</v>
      </c>
      <c r="D75" s="1">
        <f t="shared" si="8"/>
        <v>36599</v>
      </c>
      <c r="E75">
        <v>0</v>
      </c>
      <c r="F75">
        <f t="shared" si="14"/>
        <v>0</v>
      </c>
      <c r="G75">
        <f t="shared" si="9"/>
        <v>0</v>
      </c>
      <c r="H75">
        <f t="shared" si="15"/>
        <v>0</v>
      </c>
      <c r="I75">
        <v>74</v>
      </c>
      <c r="J75">
        <f t="shared" si="10"/>
        <v>0.95597934384407657</v>
      </c>
      <c r="K75">
        <f t="shared" si="11"/>
        <v>0.29343396896652729</v>
      </c>
      <c r="L75">
        <f>VLOOKUP(D75,[1]SOI!$A$1:$C$142,3)</f>
        <v>12.9</v>
      </c>
      <c r="M75" s="2">
        <f t="shared" si="12"/>
        <v>70.742471444461671</v>
      </c>
      <c r="N75">
        <f t="shared" si="13"/>
        <v>21.714113703523019</v>
      </c>
      <c r="O75" t="s">
        <v>8</v>
      </c>
    </row>
    <row r="76" spans="1:15" x14ac:dyDescent="0.35">
      <c r="A76">
        <v>2000</v>
      </c>
      <c r="B76">
        <v>3</v>
      </c>
      <c r="C76">
        <v>15</v>
      </c>
      <c r="D76" s="1">
        <f t="shared" si="8"/>
        <v>36600</v>
      </c>
      <c r="E76">
        <v>0</v>
      </c>
      <c r="F76">
        <f t="shared" si="14"/>
        <v>0</v>
      </c>
      <c r="G76">
        <f t="shared" si="9"/>
        <v>0</v>
      </c>
      <c r="H76">
        <f t="shared" si="15"/>
        <v>0</v>
      </c>
      <c r="I76">
        <v>75</v>
      </c>
      <c r="J76">
        <f t="shared" si="10"/>
        <v>0.96088542555749767</v>
      </c>
      <c r="K76">
        <f t="shared" si="11"/>
        <v>0.27694620226893646</v>
      </c>
      <c r="L76">
        <f>VLOOKUP(D76,[1]SOI!$A$1:$C$142,3)</f>
        <v>12.9</v>
      </c>
      <c r="M76" s="2">
        <f t="shared" si="12"/>
        <v>72.066406916812326</v>
      </c>
      <c r="N76">
        <f t="shared" si="13"/>
        <v>20.770965170170236</v>
      </c>
      <c r="O76" t="s">
        <v>8</v>
      </c>
    </row>
    <row r="77" spans="1:15" x14ac:dyDescent="0.35">
      <c r="A77">
        <v>2000</v>
      </c>
      <c r="B77">
        <v>3</v>
      </c>
      <c r="C77">
        <v>16</v>
      </c>
      <c r="D77" s="1">
        <f t="shared" si="8"/>
        <v>36601</v>
      </c>
      <c r="E77">
        <v>0</v>
      </c>
      <c r="F77">
        <f t="shared" si="14"/>
        <v>0</v>
      </c>
      <c r="G77">
        <f t="shared" si="9"/>
        <v>0</v>
      </c>
      <c r="H77">
        <f t="shared" si="15"/>
        <v>0</v>
      </c>
      <c r="I77">
        <v>76</v>
      </c>
      <c r="J77">
        <f t="shared" si="10"/>
        <v>0.96550716581433638</v>
      </c>
      <c r="K77">
        <f t="shared" si="11"/>
        <v>0.26037648273445813</v>
      </c>
      <c r="L77">
        <f>VLOOKUP(D77,[1]SOI!$A$1:$C$142,3)</f>
        <v>12.9</v>
      </c>
      <c r="M77" s="2">
        <f t="shared" si="12"/>
        <v>73.378544601889558</v>
      </c>
      <c r="N77">
        <f t="shared" si="13"/>
        <v>19.788612687818819</v>
      </c>
      <c r="O77" t="s">
        <v>8</v>
      </c>
    </row>
    <row r="78" spans="1:15" x14ac:dyDescent="0.35">
      <c r="A78">
        <v>2000</v>
      </c>
      <c r="B78">
        <v>3</v>
      </c>
      <c r="C78">
        <v>17</v>
      </c>
      <c r="D78" s="1">
        <f t="shared" si="8"/>
        <v>36602</v>
      </c>
      <c r="E78">
        <v>0</v>
      </c>
      <c r="F78">
        <f t="shared" si="14"/>
        <v>0</v>
      </c>
      <c r="G78">
        <f t="shared" si="9"/>
        <v>0</v>
      </c>
      <c r="H78">
        <f t="shared" si="15"/>
        <v>0</v>
      </c>
      <c r="I78">
        <v>77</v>
      </c>
      <c r="J78">
        <f t="shared" si="10"/>
        <v>0.96984319696729404</v>
      </c>
      <c r="K78">
        <f t="shared" si="11"/>
        <v>0.24372971360968387</v>
      </c>
      <c r="L78">
        <f>VLOOKUP(D78,[1]SOI!$A$1:$C$142,3)</f>
        <v>12.9</v>
      </c>
      <c r="M78" s="2">
        <f t="shared" si="12"/>
        <v>74.67792616648164</v>
      </c>
      <c r="N78">
        <f t="shared" si="13"/>
        <v>18.767187947945658</v>
      </c>
      <c r="O78" t="s">
        <v>8</v>
      </c>
    </row>
    <row r="79" spans="1:15" x14ac:dyDescent="0.35">
      <c r="A79">
        <v>2000</v>
      </c>
      <c r="B79">
        <v>3</v>
      </c>
      <c r="C79">
        <v>18</v>
      </c>
      <c r="D79" s="1">
        <f t="shared" si="8"/>
        <v>36603</v>
      </c>
      <c r="E79">
        <v>0</v>
      </c>
      <c r="F79">
        <f t="shared" si="14"/>
        <v>0</v>
      </c>
      <c r="G79">
        <f t="shared" si="9"/>
        <v>0</v>
      </c>
      <c r="H79">
        <f t="shared" si="15"/>
        <v>0</v>
      </c>
      <c r="I79">
        <v>78</v>
      </c>
      <c r="J79">
        <f t="shared" si="10"/>
        <v>0.97389223591499241</v>
      </c>
      <c r="K79">
        <f t="shared" si="11"/>
        <v>0.22701082094141847</v>
      </c>
      <c r="L79">
        <f>VLOOKUP(D79,[1]SOI!$A$1:$C$142,3)</f>
        <v>12.9</v>
      </c>
      <c r="M79" s="2">
        <f t="shared" si="12"/>
        <v>75.963594401369406</v>
      </c>
      <c r="N79">
        <f t="shared" si="13"/>
        <v>17.706844033430642</v>
      </c>
      <c r="O79" t="s">
        <v>8</v>
      </c>
    </row>
    <row r="80" spans="1:15" x14ac:dyDescent="0.35">
      <c r="A80">
        <v>2000</v>
      </c>
      <c r="B80">
        <v>3</v>
      </c>
      <c r="C80">
        <v>19</v>
      </c>
      <c r="D80" s="1">
        <f t="shared" si="8"/>
        <v>36604</v>
      </c>
      <c r="E80">
        <v>0</v>
      </c>
      <c r="F80">
        <f t="shared" si="14"/>
        <v>0</v>
      </c>
      <c r="G80">
        <f t="shared" si="9"/>
        <v>0</v>
      </c>
      <c r="H80">
        <f t="shared" si="15"/>
        <v>0</v>
      </c>
      <c r="I80">
        <v>79</v>
      </c>
      <c r="J80">
        <f t="shared" si="10"/>
        <v>0.9776530844816641</v>
      </c>
      <c r="K80">
        <f t="shared" si="11"/>
        <v>0.21022475211898359</v>
      </c>
      <c r="L80">
        <f>VLOOKUP(D80,[1]SOI!$A$1:$C$142,3)</f>
        <v>12.9</v>
      </c>
      <c r="M80" s="2">
        <f t="shared" si="12"/>
        <v>77.234593674051467</v>
      </c>
      <c r="N80">
        <f t="shared" si="13"/>
        <v>16.607755417399705</v>
      </c>
      <c r="O80" t="s">
        <v>8</v>
      </c>
    </row>
    <row r="81" spans="1:15" x14ac:dyDescent="0.35">
      <c r="A81">
        <v>2000</v>
      </c>
      <c r="B81">
        <v>3</v>
      </c>
      <c r="C81">
        <v>20</v>
      </c>
      <c r="D81" s="1">
        <f t="shared" si="8"/>
        <v>36605</v>
      </c>
      <c r="E81">
        <v>0.6</v>
      </c>
      <c r="F81">
        <f t="shared" si="14"/>
        <v>0</v>
      </c>
      <c r="G81">
        <f t="shared" si="9"/>
        <v>1</v>
      </c>
      <c r="H81">
        <f t="shared" si="15"/>
        <v>0</v>
      </c>
      <c r="I81">
        <v>80</v>
      </c>
      <c r="J81">
        <f t="shared" si="10"/>
        <v>0.981124629771712</v>
      </c>
      <c r="K81">
        <f t="shared" si="11"/>
        <v>0.19337647441020586</v>
      </c>
      <c r="L81">
        <f>VLOOKUP(D81,[1]SOI!$A$1:$C$142,3)</f>
        <v>12.9</v>
      </c>
      <c r="M81" s="2">
        <f t="shared" si="12"/>
        <v>78.489970381736953</v>
      </c>
      <c r="N81">
        <f t="shared" si="13"/>
        <v>15.470117952816469</v>
      </c>
      <c r="O81" t="s">
        <v>8</v>
      </c>
    </row>
    <row r="82" spans="1:15" x14ac:dyDescent="0.35">
      <c r="A82">
        <v>2000</v>
      </c>
      <c r="B82">
        <v>3</v>
      </c>
      <c r="C82">
        <v>21</v>
      </c>
      <c r="D82" s="1">
        <f t="shared" si="8"/>
        <v>36606</v>
      </c>
      <c r="E82">
        <v>0</v>
      </c>
      <c r="F82">
        <f t="shared" si="14"/>
        <v>0.6</v>
      </c>
      <c r="G82">
        <f t="shared" si="9"/>
        <v>0</v>
      </c>
      <c r="H82">
        <f t="shared" si="15"/>
        <v>1</v>
      </c>
      <c r="I82">
        <v>81</v>
      </c>
      <c r="J82">
        <f t="shared" si="10"/>
        <v>0.98430584449903302</v>
      </c>
      <c r="K82">
        <f t="shared" si="11"/>
        <v>0.17647097349152166</v>
      </c>
      <c r="L82">
        <f>VLOOKUP(D82,[1]SOI!$A$1:$C$142,3)</f>
        <v>12.9</v>
      </c>
      <c r="M82" s="2">
        <f t="shared" si="12"/>
        <v>79.728773404421673</v>
      </c>
      <c r="N82">
        <f t="shared" si="13"/>
        <v>14.294148852813255</v>
      </c>
      <c r="O82" t="s">
        <v>8</v>
      </c>
    </row>
    <row r="83" spans="1:15" x14ac:dyDescent="0.35">
      <c r="A83">
        <v>2000</v>
      </c>
      <c r="B83">
        <v>3</v>
      </c>
      <c r="C83">
        <v>22</v>
      </c>
      <c r="D83" s="1">
        <f t="shared" si="8"/>
        <v>36607</v>
      </c>
      <c r="E83">
        <v>0</v>
      </c>
      <c r="F83">
        <f t="shared" si="14"/>
        <v>0</v>
      </c>
      <c r="G83">
        <f t="shared" si="9"/>
        <v>0</v>
      </c>
      <c r="H83">
        <f t="shared" si="15"/>
        <v>0</v>
      </c>
      <c r="I83">
        <v>82</v>
      </c>
      <c r="J83">
        <f t="shared" si="10"/>
        <v>0.98719578729100854</v>
      </c>
      <c r="K83">
        <f t="shared" si="11"/>
        <v>0.15951325197263655</v>
      </c>
      <c r="L83">
        <f>VLOOKUP(D83,[1]SOI!$A$1:$C$142,3)</f>
        <v>12.9</v>
      </c>
      <c r="M83" s="2">
        <f t="shared" si="12"/>
        <v>80.9500545578627</v>
      </c>
      <c r="N83">
        <f t="shared" si="13"/>
        <v>13.080086661756198</v>
      </c>
      <c r="O83" t="s">
        <v>8</v>
      </c>
    </row>
    <row r="84" spans="1:15" x14ac:dyDescent="0.35">
      <c r="A84">
        <v>2000</v>
      </c>
      <c r="B84">
        <v>3</v>
      </c>
      <c r="C84">
        <v>23</v>
      </c>
      <c r="D84" s="1">
        <f t="shared" si="8"/>
        <v>36608</v>
      </c>
      <c r="E84">
        <v>18.8</v>
      </c>
      <c r="F84">
        <f t="shared" si="14"/>
        <v>0</v>
      </c>
      <c r="G84">
        <f t="shared" si="9"/>
        <v>1</v>
      </c>
      <c r="H84">
        <f t="shared" si="15"/>
        <v>0</v>
      </c>
      <c r="I84">
        <v>83</v>
      </c>
      <c r="J84">
        <f t="shared" si="10"/>
        <v>0.98979360296707164</v>
      </c>
      <c r="K84">
        <f t="shared" si="11"/>
        <v>0.14250832791617088</v>
      </c>
      <c r="L84">
        <f>VLOOKUP(D84,[1]SOI!$A$1:$C$142,3)</f>
        <v>12.9</v>
      </c>
      <c r="M84" s="2">
        <f t="shared" si="12"/>
        <v>82.152869046266943</v>
      </c>
      <c r="N84">
        <f t="shared" si="13"/>
        <v>11.828191217042184</v>
      </c>
      <c r="O84" t="s">
        <v>8</v>
      </c>
    </row>
    <row r="85" spans="1:15" x14ac:dyDescent="0.35">
      <c r="A85">
        <v>2000</v>
      </c>
      <c r="B85">
        <v>3</v>
      </c>
      <c r="C85">
        <v>24</v>
      </c>
      <c r="D85" s="1">
        <f t="shared" si="8"/>
        <v>36609</v>
      </c>
      <c r="E85">
        <v>0</v>
      </c>
      <c r="F85">
        <f t="shared" si="14"/>
        <v>18.8</v>
      </c>
      <c r="G85">
        <f t="shared" si="9"/>
        <v>0</v>
      </c>
      <c r="H85">
        <f t="shared" si="15"/>
        <v>1</v>
      </c>
      <c r="I85">
        <v>84</v>
      </c>
      <c r="J85">
        <f t="shared" si="10"/>
        <v>0.99209852279176902</v>
      </c>
      <c r="K85">
        <f t="shared" si="11"/>
        <v>0.12546123335273648</v>
      </c>
      <c r="L85">
        <f>VLOOKUP(D85,[1]SOI!$A$1:$C$142,3)</f>
        <v>12.9</v>
      </c>
      <c r="M85" s="2">
        <f t="shared" si="12"/>
        <v>83.336275914508605</v>
      </c>
      <c r="N85">
        <f t="shared" si="13"/>
        <v>10.538743601629864</v>
      </c>
      <c r="O85" t="s">
        <v>8</v>
      </c>
    </row>
    <row r="86" spans="1:15" x14ac:dyDescent="0.35">
      <c r="A86">
        <v>2000</v>
      </c>
      <c r="B86">
        <v>3</v>
      </c>
      <c r="C86">
        <v>25</v>
      </c>
      <c r="D86" s="1">
        <f t="shared" si="8"/>
        <v>36610</v>
      </c>
      <c r="E86">
        <v>0</v>
      </c>
      <c r="F86">
        <f t="shared" si="14"/>
        <v>0</v>
      </c>
      <c r="G86">
        <f t="shared" si="9"/>
        <v>0</v>
      </c>
      <c r="H86">
        <f t="shared" si="15"/>
        <v>0</v>
      </c>
      <c r="I86">
        <v>85</v>
      </c>
      <c r="J86">
        <f t="shared" si="10"/>
        <v>0.99410986470224183</v>
      </c>
      <c r="K86">
        <f t="shared" si="11"/>
        <v>0.10837701279187609</v>
      </c>
      <c r="L86">
        <f>VLOOKUP(D86,[1]SOI!$A$1:$C$142,3)</f>
        <v>12.9</v>
      </c>
      <c r="M86" s="2">
        <f t="shared" si="12"/>
        <v>84.499338499690552</v>
      </c>
      <c r="N86">
        <f t="shared" si="13"/>
        <v>9.2120460873094672</v>
      </c>
      <c r="O86" t="s">
        <v>8</v>
      </c>
    </row>
    <row r="87" spans="1:15" x14ac:dyDescent="0.35">
      <c r="A87">
        <v>2000</v>
      </c>
      <c r="B87">
        <v>3</v>
      </c>
      <c r="C87">
        <v>26</v>
      </c>
      <c r="D87" s="1">
        <f t="shared" si="8"/>
        <v>36611</v>
      </c>
      <c r="E87">
        <v>0</v>
      </c>
      <c r="F87">
        <f t="shared" si="14"/>
        <v>0</v>
      </c>
      <c r="G87">
        <f t="shared" si="9"/>
        <v>0</v>
      </c>
      <c r="H87">
        <f t="shared" si="15"/>
        <v>0</v>
      </c>
      <c r="I87">
        <v>86</v>
      </c>
      <c r="J87">
        <f t="shared" si="10"/>
        <v>0.99582703351005952</v>
      </c>
      <c r="K87">
        <f t="shared" si="11"/>
        <v>9.1260721729311878E-2</v>
      </c>
      <c r="L87">
        <f>VLOOKUP(D87,[1]SOI!$A$1:$C$142,3)</f>
        <v>12.9</v>
      </c>
      <c r="M87" s="2">
        <f t="shared" si="12"/>
        <v>85.641124881865125</v>
      </c>
      <c r="N87">
        <f t="shared" si="13"/>
        <v>7.8484220687208213</v>
      </c>
      <c r="O87" t="s">
        <v>8</v>
      </c>
    </row>
    <row r="88" spans="1:15" x14ac:dyDescent="0.35">
      <c r="A88">
        <v>2000</v>
      </c>
      <c r="B88">
        <v>3</v>
      </c>
      <c r="C88">
        <v>27</v>
      </c>
      <c r="D88" s="1">
        <f t="shared" si="8"/>
        <v>36612</v>
      </c>
      <c r="E88">
        <v>0</v>
      </c>
      <c r="F88">
        <f t="shared" si="14"/>
        <v>0</v>
      </c>
      <c r="G88">
        <f t="shared" si="9"/>
        <v>0</v>
      </c>
      <c r="H88">
        <f t="shared" si="15"/>
        <v>0</v>
      </c>
      <c r="I88">
        <v>87</v>
      </c>
      <c r="J88">
        <f t="shared" si="10"/>
        <v>0.9972495210773451</v>
      </c>
      <c r="K88">
        <f t="shared" si="11"/>
        <v>7.4117425150944369E-2</v>
      </c>
      <c r="L88">
        <f>VLOOKUP(D88,[1]SOI!$A$1:$C$142,3)</f>
        <v>12.9</v>
      </c>
      <c r="M88" s="2">
        <f t="shared" si="12"/>
        <v>86.760708333729028</v>
      </c>
      <c r="N88">
        <f t="shared" si="13"/>
        <v>6.4482159881321603</v>
      </c>
      <c r="O88" t="s">
        <v>8</v>
      </c>
    </row>
    <row r="89" spans="1:15" x14ac:dyDescent="0.35">
      <c r="A89">
        <v>2000</v>
      </c>
      <c r="B89">
        <v>3</v>
      </c>
      <c r="C89">
        <v>28</v>
      </c>
      <c r="D89" s="1">
        <f t="shared" si="8"/>
        <v>36613</v>
      </c>
      <c r="E89">
        <v>0</v>
      </c>
      <c r="F89">
        <f t="shared" si="14"/>
        <v>0</v>
      </c>
      <c r="G89">
        <f t="shared" si="9"/>
        <v>0</v>
      </c>
      <c r="H89">
        <f t="shared" si="15"/>
        <v>0</v>
      </c>
      <c r="I89">
        <v>88</v>
      </c>
      <c r="J89">
        <f t="shared" si="10"/>
        <v>0.99837690646714194</v>
      </c>
      <c r="K89">
        <f t="shared" si="11"/>
        <v>5.6952196034039754E-2</v>
      </c>
      <c r="L89">
        <f>VLOOKUP(D89,[1]SOI!$A$1:$C$142,3)</f>
        <v>12.9</v>
      </c>
      <c r="M89" s="2">
        <f t="shared" si="12"/>
        <v>87.857167769108486</v>
      </c>
      <c r="N89">
        <f t="shared" si="13"/>
        <v>5.0117932509954981</v>
      </c>
      <c r="O89" t="s">
        <v>8</v>
      </c>
    </row>
    <row r="90" spans="1:15" x14ac:dyDescent="0.35">
      <c r="A90">
        <v>2000</v>
      </c>
      <c r="B90">
        <v>3</v>
      </c>
      <c r="C90">
        <v>29</v>
      </c>
      <c r="D90" s="1">
        <f t="shared" si="8"/>
        <v>36614</v>
      </c>
      <c r="E90">
        <v>0.2</v>
      </c>
      <c r="F90">
        <f t="shared" si="14"/>
        <v>0</v>
      </c>
      <c r="G90">
        <f t="shared" si="9"/>
        <v>1</v>
      </c>
      <c r="H90">
        <f t="shared" si="15"/>
        <v>0</v>
      </c>
      <c r="I90">
        <v>89</v>
      </c>
      <c r="J90">
        <f t="shared" si="10"/>
        <v>0.99920885606797527</v>
      </c>
      <c r="K90">
        <f t="shared" si="11"/>
        <v>3.9770113846055721E-2</v>
      </c>
      <c r="L90">
        <f>VLOOKUP(D90,[1]SOI!$A$1:$C$142,3)</f>
        <v>12.9</v>
      </c>
      <c r="M90" s="2">
        <f t="shared" si="12"/>
        <v>88.929588190049799</v>
      </c>
      <c r="N90">
        <f t="shared" si="13"/>
        <v>3.539540132298959</v>
      </c>
      <c r="O90" t="s">
        <v>8</v>
      </c>
    </row>
    <row r="91" spans="1:15" x14ac:dyDescent="0.35">
      <c r="A91">
        <v>2000</v>
      </c>
      <c r="B91">
        <v>3</v>
      </c>
      <c r="C91">
        <v>30</v>
      </c>
      <c r="D91" s="1">
        <f t="shared" si="8"/>
        <v>36615</v>
      </c>
      <c r="E91">
        <v>0</v>
      </c>
      <c r="F91">
        <f t="shared" si="14"/>
        <v>0.2</v>
      </c>
      <c r="G91">
        <f t="shared" si="9"/>
        <v>0</v>
      </c>
      <c r="H91">
        <f t="shared" si="15"/>
        <v>1</v>
      </c>
      <c r="I91">
        <v>90</v>
      </c>
      <c r="J91">
        <f t="shared" si="10"/>
        <v>0.9997451236925734</v>
      </c>
      <c r="K91">
        <f t="shared" si="11"/>
        <v>2.2576263041545485E-2</v>
      </c>
      <c r="L91">
        <f>VLOOKUP(D91,[1]SOI!$A$1:$C$142,3)</f>
        <v>12.9</v>
      </c>
      <c r="M91" s="2">
        <f t="shared" si="12"/>
        <v>89.977061132331613</v>
      </c>
      <c r="N91">
        <f t="shared" si="13"/>
        <v>2.0318636737390938</v>
      </c>
      <c r="O91" t="s">
        <v>8</v>
      </c>
    </row>
    <row r="92" spans="1:15" x14ac:dyDescent="0.35">
      <c r="A92">
        <v>2000</v>
      </c>
      <c r="B92">
        <v>3</v>
      </c>
      <c r="C92">
        <v>31</v>
      </c>
      <c r="D92" s="1">
        <f t="shared" si="8"/>
        <v>36616</v>
      </c>
      <c r="E92">
        <v>0</v>
      </c>
      <c r="F92">
        <f t="shared" si="14"/>
        <v>0</v>
      </c>
      <c r="G92">
        <f t="shared" si="9"/>
        <v>0</v>
      </c>
      <c r="H92">
        <f t="shared" si="15"/>
        <v>0</v>
      </c>
      <c r="I92">
        <v>91</v>
      </c>
      <c r="J92">
        <f t="shared" si="10"/>
        <v>0.99998555065071859</v>
      </c>
      <c r="K92">
        <f t="shared" si="11"/>
        <v>5.3757315575838844E-3</v>
      </c>
      <c r="L92">
        <f>VLOOKUP(D92,[1]SOI!$A$1:$C$142,3)</f>
        <v>12.9</v>
      </c>
      <c r="M92" s="2">
        <f t="shared" si="12"/>
        <v>90.998685109215387</v>
      </c>
      <c r="N92">
        <f t="shared" si="13"/>
        <v>0.4891915717401335</v>
      </c>
      <c r="O92" t="s">
        <v>8</v>
      </c>
    </row>
    <row r="93" spans="1:15" x14ac:dyDescent="0.35">
      <c r="A93">
        <v>2000</v>
      </c>
      <c r="B93">
        <v>4</v>
      </c>
      <c r="C93">
        <v>1</v>
      </c>
      <c r="D93" s="1">
        <f t="shared" si="8"/>
        <v>36617</v>
      </c>
      <c r="E93">
        <v>0.2</v>
      </c>
      <c r="F93">
        <f t="shared" si="14"/>
        <v>0</v>
      </c>
      <c r="G93">
        <f t="shared" si="9"/>
        <v>1</v>
      </c>
      <c r="H93">
        <f t="shared" si="15"/>
        <v>0</v>
      </c>
      <c r="I93">
        <v>92</v>
      </c>
      <c r="J93">
        <f t="shared" si="10"/>
        <v>0.99993006579620569</v>
      </c>
      <c r="K93">
        <f t="shared" si="11"/>
        <v>-1.1826390691832589E-2</v>
      </c>
      <c r="L93">
        <f>VLOOKUP(D93,[1]SOI!$A$1:$C$142,3)</f>
        <v>9.4</v>
      </c>
      <c r="M93" s="2">
        <f t="shared" si="12"/>
        <v>91.99356605325093</v>
      </c>
      <c r="N93">
        <f t="shared" si="13"/>
        <v>-1.0880279436485982</v>
      </c>
      <c r="O93" t="s">
        <v>8</v>
      </c>
    </row>
    <row r="94" spans="1:15" x14ac:dyDescent="0.35">
      <c r="A94">
        <v>2000</v>
      </c>
      <c r="B94">
        <v>4</v>
      </c>
      <c r="C94">
        <v>2</v>
      </c>
      <c r="D94" s="1">
        <f t="shared" si="8"/>
        <v>36618</v>
      </c>
      <c r="E94">
        <v>0</v>
      </c>
      <c r="F94">
        <f t="shared" si="14"/>
        <v>0.2</v>
      </c>
      <c r="G94">
        <f t="shared" si="9"/>
        <v>0</v>
      </c>
      <c r="H94">
        <f t="shared" si="15"/>
        <v>1</v>
      </c>
      <c r="I94">
        <v>93</v>
      </c>
      <c r="J94">
        <f t="shared" si="10"/>
        <v>0.99957868554789575</v>
      </c>
      <c r="K94">
        <f t="shared" si="11"/>
        <v>-2.9025013321975237E-2</v>
      </c>
      <c r="L94">
        <f>VLOOKUP(D94,[1]SOI!$A$1:$C$142,3)</f>
        <v>9.4</v>
      </c>
      <c r="M94" s="2">
        <f t="shared" si="12"/>
        <v>92.960817755954309</v>
      </c>
      <c r="N94">
        <f t="shared" si="13"/>
        <v>-2.6993262389436969</v>
      </c>
      <c r="O94" t="s">
        <v>8</v>
      </c>
    </row>
    <row r="95" spans="1:15" x14ac:dyDescent="0.35">
      <c r="A95">
        <v>2000</v>
      </c>
      <c r="B95">
        <v>4</v>
      </c>
      <c r="C95">
        <v>3</v>
      </c>
      <c r="D95" s="1">
        <f t="shared" si="8"/>
        <v>36619</v>
      </c>
      <c r="E95">
        <v>0</v>
      </c>
      <c r="F95">
        <f t="shared" si="14"/>
        <v>0</v>
      </c>
      <c r="G95">
        <f t="shared" si="9"/>
        <v>0</v>
      </c>
      <c r="H95">
        <f t="shared" si="15"/>
        <v>0</v>
      </c>
      <c r="I95">
        <v>94</v>
      </c>
      <c r="J95">
        <f t="shared" si="10"/>
        <v>0.99893151388485768</v>
      </c>
      <c r="K95">
        <f t="shared" si="11"/>
        <v>-4.6215046983708354E-2</v>
      </c>
      <c r="L95">
        <f>VLOOKUP(D95,[1]SOI!$A$1:$C$142,3)</f>
        <v>9.4</v>
      </c>
      <c r="M95" s="2">
        <f t="shared" si="12"/>
        <v>93.899562305176616</v>
      </c>
      <c r="N95">
        <f t="shared" si="13"/>
        <v>-4.344214416468585</v>
      </c>
      <c r="O95" t="s">
        <v>8</v>
      </c>
    </row>
    <row r="96" spans="1:15" x14ac:dyDescent="0.35">
      <c r="A96">
        <v>2000</v>
      </c>
      <c r="B96">
        <v>4</v>
      </c>
      <c r="C96">
        <v>4</v>
      </c>
      <c r="D96" s="1">
        <f t="shared" si="8"/>
        <v>36620</v>
      </c>
      <c r="E96">
        <v>0</v>
      </c>
      <c r="F96">
        <f t="shared" si="14"/>
        <v>0</v>
      </c>
      <c r="G96">
        <f t="shared" si="9"/>
        <v>0</v>
      </c>
      <c r="H96">
        <f t="shared" si="15"/>
        <v>0</v>
      </c>
      <c r="I96">
        <v>95</v>
      </c>
      <c r="J96">
        <f t="shared" si="10"/>
        <v>0.99798874231559842</v>
      </c>
      <c r="K96">
        <f t="shared" si="11"/>
        <v>-6.3391404869510379E-2</v>
      </c>
      <c r="L96">
        <f>VLOOKUP(D96,[1]SOI!$A$1:$C$142,3)</f>
        <v>9.4</v>
      </c>
      <c r="M96" s="2">
        <f t="shared" si="12"/>
        <v>94.808930519981857</v>
      </c>
      <c r="N96">
        <f t="shared" si="13"/>
        <v>-6.0221834626034862</v>
      </c>
      <c r="O96" t="s">
        <v>8</v>
      </c>
    </row>
    <row r="97" spans="1:15" x14ac:dyDescent="0.35">
      <c r="A97">
        <v>2000</v>
      </c>
      <c r="B97">
        <v>4</v>
      </c>
      <c r="C97">
        <v>5</v>
      </c>
      <c r="D97" s="1">
        <f t="shared" si="8"/>
        <v>36621</v>
      </c>
      <c r="E97">
        <v>30.4</v>
      </c>
      <c r="F97">
        <f t="shared" si="14"/>
        <v>0</v>
      </c>
      <c r="G97">
        <f t="shared" si="9"/>
        <v>1</v>
      </c>
      <c r="H97">
        <f t="shared" si="15"/>
        <v>0</v>
      </c>
      <c r="I97">
        <v>96</v>
      </c>
      <c r="J97">
        <f t="shared" si="10"/>
        <v>0.99675064982139294</v>
      </c>
      <c r="K97">
        <f t="shared" si="11"/>
        <v>-8.0549004218741671E-2</v>
      </c>
      <c r="L97">
        <f>VLOOKUP(D97,[1]SOI!$A$1:$C$142,3)</f>
        <v>9.4</v>
      </c>
      <c r="M97" s="2">
        <f t="shared" si="12"/>
        <v>95.68806238285373</v>
      </c>
      <c r="N97">
        <f t="shared" si="13"/>
        <v>-7.7327044049992004</v>
      </c>
      <c r="O97" t="s">
        <v>8</v>
      </c>
    </row>
    <row r="98" spans="1:15" x14ac:dyDescent="0.35">
      <c r="A98">
        <v>2000</v>
      </c>
      <c r="B98">
        <v>4</v>
      </c>
      <c r="C98">
        <v>6</v>
      </c>
      <c r="D98" s="1">
        <f t="shared" si="8"/>
        <v>36622</v>
      </c>
      <c r="E98">
        <v>0</v>
      </c>
      <c r="F98">
        <f t="shared" si="14"/>
        <v>30.4</v>
      </c>
      <c r="G98">
        <f t="shared" si="9"/>
        <v>0</v>
      </c>
      <c r="H98">
        <f t="shared" si="15"/>
        <v>1</v>
      </c>
      <c r="I98">
        <v>97</v>
      </c>
      <c r="J98">
        <f t="shared" si="10"/>
        <v>0.99521760277372939</v>
      </c>
      <c r="K98">
        <f t="shared" si="11"/>
        <v>-9.7682767821715977E-2</v>
      </c>
      <c r="L98">
        <f>VLOOKUP(D98,[1]SOI!$A$1:$C$142,3)</f>
        <v>9.4</v>
      </c>
      <c r="M98" s="2">
        <f t="shared" si="12"/>
        <v>96.536107469051757</v>
      </c>
      <c r="N98">
        <f t="shared" si="13"/>
        <v>-9.47522847870645</v>
      </c>
      <c r="O98" t="s">
        <v>8</v>
      </c>
    </row>
    <row r="99" spans="1:15" x14ac:dyDescent="0.35">
      <c r="A99">
        <v>2000</v>
      </c>
      <c r="B99">
        <v>4</v>
      </c>
      <c r="C99">
        <v>7</v>
      </c>
      <c r="D99" s="1">
        <f t="shared" si="8"/>
        <v>36623</v>
      </c>
      <c r="E99">
        <v>0</v>
      </c>
      <c r="F99">
        <f t="shared" si="14"/>
        <v>0</v>
      </c>
      <c r="G99">
        <f t="shared" si="9"/>
        <v>0</v>
      </c>
      <c r="H99">
        <f t="shared" si="15"/>
        <v>0</v>
      </c>
      <c r="I99">
        <v>98</v>
      </c>
      <c r="J99">
        <f t="shared" si="10"/>
        <v>0.9933900548258936</v>
      </c>
      <c r="K99">
        <f t="shared" si="11"/>
        <v>-0.11478762552212701</v>
      </c>
      <c r="L99">
        <f>VLOOKUP(D99,[1]SOI!$A$1:$C$142,3)</f>
        <v>9.4</v>
      </c>
      <c r="M99" s="2">
        <f t="shared" si="12"/>
        <v>97.352225372937568</v>
      </c>
      <c r="N99">
        <f t="shared" si="13"/>
        <v>-11.249187301168448</v>
      </c>
      <c r="O99" t="s">
        <v>8</v>
      </c>
    </row>
    <row r="100" spans="1:15" x14ac:dyDescent="0.35">
      <c r="A100">
        <v>2000</v>
      </c>
      <c r="B100">
        <v>4</v>
      </c>
      <c r="C100">
        <v>8</v>
      </c>
      <c r="D100" s="1">
        <f t="shared" si="8"/>
        <v>36624</v>
      </c>
      <c r="E100">
        <v>0</v>
      </c>
      <c r="F100">
        <f t="shared" si="14"/>
        <v>0</v>
      </c>
      <c r="G100">
        <f t="shared" si="9"/>
        <v>0</v>
      </c>
      <c r="H100">
        <f t="shared" si="15"/>
        <v>0</v>
      </c>
      <c r="I100">
        <v>99</v>
      </c>
      <c r="J100">
        <f t="shared" si="10"/>
        <v>0.99126854677872556</v>
      </c>
      <c r="K100">
        <f t="shared" si="11"/>
        <v>-0.13185851571739118</v>
      </c>
      <c r="L100">
        <f>VLOOKUP(D100,[1]SOI!$A$1:$C$142,3)</f>
        <v>9.4</v>
      </c>
      <c r="M100" s="2">
        <f t="shared" si="12"/>
        <v>98.135586131093831</v>
      </c>
      <c r="N100">
        <f t="shared" si="13"/>
        <v>-13.053993056021728</v>
      </c>
      <c r="O100" t="s">
        <v>8</v>
      </c>
    </row>
    <row r="101" spans="1:15" x14ac:dyDescent="0.35">
      <c r="A101">
        <v>2000</v>
      </c>
      <c r="B101">
        <v>4</v>
      </c>
      <c r="C101">
        <v>9</v>
      </c>
      <c r="D101" s="1">
        <f t="shared" si="8"/>
        <v>36625</v>
      </c>
      <c r="E101">
        <v>0</v>
      </c>
      <c r="F101">
        <f t="shared" si="14"/>
        <v>0</v>
      </c>
      <c r="G101">
        <f t="shared" si="9"/>
        <v>0</v>
      </c>
      <c r="H101">
        <f t="shared" si="15"/>
        <v>0</v>
      </c>
      <c r="I101">
        <v>100</v>
      </c>
      <c r="J101">
        <f t="shared" si="10"/>
        <v>0.98885370642058845</v>
      </c>
      <c r="K101">
        <f t="shared" si="11"/>
        <v>-0.14889038685645481</v>
      </c>
      <c r="L101">
        <f>VLOOKUP(D101,[1]SOI!$A$1:$C$142,3)</f>
        <v>9.4</v>
      </c>
      <c r="M101" s="2">
        <f t="shared" si="12"/>
        <v>98.885370642058845</v>
      </c>
      <c r="N101">
        <f t="shared" si="13"/>
        <v>-14.889038685645481</v>
      </c>
      <c r="O101" t="s">
        <v>8</v>
      </c>
    </row>
    <row r="102" spans="1:15" x14ac:dyDescent="0.35">
      <c r="A102">
        <v>2000</v>
      </c>
      <c r="B102">
        <v>4</v>
      </c>
      <c r="C102">
        <v>10</v>
      </c>
      <c r="D102" s="1">
        <f t="shared" si="8"/>
        <v>36626</v>
      </c>
      <c r="E102">
        <v>0</v>
      </c>
      <c r="F102">
        <f t="shared" si="14"/>
        <v>0</v>
      </c>
      <c r="G102">
        <f t="shared" si="9"/>
        <v>0</v>
      </c>
      <c r="H102">
        <f t="shared" si="15"/>
        <v>0</v>
      </c>
      <c r="I102">
        <v>101</v>
      </c>
      <c r="J102">
        <f t="shared" si="10"/>
        <v>0.98614624834159503</v>
      </c>
      <c r="K102">
        <f t="shared" si="11"/>
        <v>-0.16587819893463143</v>
      </c>
      <c r="L102">
        <f>VLOOKUP(D102,[1]SOI!$A$1:$C$142,3)</f>
        <v>9.4</v>
      </c>
      <c r="M102" s="2">
        <f t="shared" si="12"/>
        <v>99.600771082501097</v>
      </c>
      <c r="N102">
        <f t="shared" si="13"/>
        <v>-16.753698092397773</v>
      </c>
      <c r="O102" t="s">
        <v>8</v>
      </c>
    </row>
    <row r="103" spans="1:15" x14ac:dyDescent="0.35">
      <c r="A103">
        <v>2000</v>
      </c>
      <c r="B103">
        <v>4</v>
      </c>
      <c r="C103">
        <v>11</v>
      </c>
      <c r="D103" s="1">
        <f t="shared" si="8"/>
        <v>36627</v>
      </c>
      <c r="E103">
        <v>0</v>
      </c>
      <c r="F103">
        <f t="shared" si="14"/>
        <v>0</v>
      </c>
      <c r="G103">
        <f t="shared" si="9"/>
        <v>0</v>
      </c>
      <c r="H103">
        <f t="shared" si="15"/>
        <v>0</v>
      </c>
      <c r="I103">
        <v>102</v>
      </c>
      <c r="J103">
        <f t="shared" si="10"/>
        <v>0.98314697372214988</v>
      </c>
      <c r="K103">
        <f t="shared" si="11"/>
        <v>-0.18281692498501989</v>
      </c>
      <c r="L103">
        <f>VLOOKUP(D103,[1]SOI!$A$1:$C$142,3)</f>
        <v>9.4</v>
      </c>
      <c r="M103" s="2">
        <f t="shared" si="12"/>
        <v>100.28099131965929</v>
      </c>
      <c r="N103">
        <f t="shared" si="13"/>
        <v>-18.647326348472028</v>
      </c>
      <c r="O103" t="s">
        <v>8</v>
      </c>
    </row>
    <row r="104" spans="1:15" x14ac:dyDescent="0.35">
      <c r="A104">
        <v>2000</v>
      </c>
      <c r="B104">
        <v>4</v>
      </c>
      <c r="C104">
        <v>12</v>
      </c>
      <c r="D104" s="1">
        <f t="shared" si="8"/>
        <v>36628</v>
      </c>
      <c r="E104">
        <v>0</v>
      </c>
      <c r="F104">
        <f t="shared" si="14"/>
        <v>0</v>
      </c>
      <c r="G104">
        <f t="shared" si="9"/>
        <v>0</v>
      </c>
      <c r="H104">
        <f t="shared" si="15"/>
        <v>0</v>
      </c>
      <c r="I104">
        <v>103</v>
      </c>
      <c r="J104">
        <f t="shared" si="10"/>
        <v>0.97985677009586647</v>
      </c>
      <c r="K104">
        <f t="shared" si="11"/>
        <v>-0.19970155256606359</v>
      </c>
      <c r="L104">
        <f>VLOOKUP(D104,[1]SOI!$A$1:$C$142,3)</f>
        <v>9.4</v>
      </c>
      <c r="M104" s="2">
        <f t="shared" si="12"/>
        <v>100.92524731987425</v>
      </c>
      <c r="N104">
        <f t="shared" si="13"/>
        <v>-20.569259914304549</v>
      </c>
      <c r="O104" t="s">
        <v>8</v>
      </c>
    </row>
    <row r="105" spans="1:15" x14ac:dyDescent="0.35">
      <c r="A105">
        <v>2000</v>
      </c>
      <c r="B105">
        <v>4</v>
      </c>
      <c r="C105">
        <v>13</v>
      </c>
      <c r="D105" s="1">
        <f t="shared" si="8"/>
        <v>36629</v>
      </c>
      <c r="E105">
        <v>0</v>
      </c>
      <c r="F105">
        <f t="shared" si="14"/>
        <v>0</v>
      </c>
      <c r="G105">
        <f t="shared" si="9"/>
        <v>0</v>
      </c>
      <c r="H105">
        <f t="shared" si="15"/>
        <v>0</v>
      </c>
      <c r="I105">
        <v>104</v>
      </c>
      <c r="J105">
        <f t="shared" si="10"/>
        <v>0.97627661108693209</v>
      </c>
      <c r="K105">
        <f t="shared" si="11"/>
        <v>-0.21652708524481437</v>
      </c>
      <c r="L105">
        <f>VLOOKUP(D105,[1]SOI!$A$1:$C$142,3)</f>
        <v>9.4</v>
      </c>
      <c r="M105" s="2">
        <f t="shared" si="12"/>
        <v>101.53276755304094</v>
      </c>
      <c r="N105">
        <f t="shared" si="13"/>
        <v>-22.518816865460696</v>
      </c>
      <c r="O105" t="s">
        <v>8</v>
      </c>
    </row>
    <row r="106" spans="1:15" x14ac:dyDescent="0.35">
      <c r="A106">
        <v>2000</v>
      </c>
      <c r="B106">
        <v>4</v>
      </c>
      <c r="C106">
        <v>14</v>
      </c>
      <c r="D106" s="1">
        <f t="shared" si="8"/>
        <v>36630</v>
      </c>
      <c r="E106">
        <v>4.4000000000000004</v>
      </c>
      <c r="F106">
        <f t="shared" si="14"/>
        <v>0</v>
      </c>
      <c r="G106">
        <f t="shared" si="9"/>
        <v>1</v>
      </c>
      <c r="H106">
        <f t="shared" si="15"/>
        <v>0</v>
      </c>
      <c r="I106">
        <v>105</v>
      </c>
      <c r="J106">
        <f t="shared" si="10"/>
        <v>0.97240755612199681</v>
      </c>
      <c r="K106">
        <f t="shared" si="11"/>
        <v>-0.23328854407545518</v>
      </c>
      <c r="L106">
        <f>VLOOKUP(D106,[1]SOI!$A$1:$C$142,3)</f>
        <v>9.4</v>
      </c>
      <c r="M106" s="2">
        <f t="shared" si="12"/>
        <v>102.10279339280966</v>
      </c>
      <c r="N106">
        <f t="shared" si="13"/>
        <v>-24.495297127922793</v>
      </c>
      <c r="O106" t="s">
        <v>8</v>
      </c>
    </row>
    <row r="107" spans="1:15" x14ac:dyDescent="0.35">
      <c r="A107">
        <v>2000</v>
      </c>
      <c r="B107">
        <v>4</v>
      </c>
      <c r="C107">
        <v>15</v>
      </c>
      <c r="D107" s="1">
        <f t="shared" si="8"/>
        <v>36631</v>
      </c>
      <c r="E107">
        <v>2.8</v>
      </c>
      <c r="F107">
        <f t="shared" si="14"/>
        <v>4.4000000000000004</v>
      </c>
      <c r="G107">
        <f t="shared" si="9"/>
        <v>1</v>
      </c>
      <c r="H107">
        <f t="shared" si="15"/>
        <v>1</v>
      </c>
      <c r="I107">
        <v>106</v>
      </c>
      <c r="J107">
        <f t="shared" si="10"/>
        <v>0.96825075011667183</v>
      </c>
      <c r="K107">
        <f t="shared" si="11"/>
        <v>-0.2499809690726521</v>
      </c>
      <c r="L107">
        <f>VLOOKUP(D107,[1]SOI!$A$1:$C$142,3)</f>
        <v>9.4</v>
      </c>
      <c r="M107" s="2">
        <f t="shared" si="12"/>
        <v>102.63457951236721</v>
      </c>
      <c r="N107">
        <f t="shared" si="13"/>
        <v>-26.497982721701124</v>
      </c>
      <c r="O107" t="s">
        <v>8</v>
      </c>
    </row>
    <row r="108" spans="1:15" x14ac:dyDescent="0.35">
      <c r="A108">
        <v>2000</v>
      </c>
      <c r="B108">
        <v>4</v>
      </c>
      <c r="C108">
        <v>16</v>
      </c>
      <c r="D108" s="1">
        <f t="shared" si="8"/>
        <v>36632</v>
      </c>
      <c r="E108">
        <v>1</v>
      </c>
      <c r="F108">
        <f t="shared" si="14"/>
        <v>2.8</v>
      </c>
      <c r="G108">
        <f t="shared" si="9"/>
        <v>1</v>
      </c>
      <c r="H108">
        <f t="shared" si="15"/>
        <v>1</v>
      </c>
      <c r="I108">
        <v>107</v>
      </c>
      <c r="J108">
        <f t="shared" si="10"/>
        <v>0.96380742313673073</v>
      </c>
      <c r="K108">
        <f t="shared" si="11"/>
        <v>-0.26659942067929354</v>
      </c>
      <c r="L108">
        <f>VLOOKUP(D108,[1]SOI!$A$1:$C$142,3)</f>
        <v>9.4</v>
      </c>
      <c r="M108" s="2">
        <f t="shared" si="12"/>
        <v>103.12739427563019</v>
      </c>
      <c r="N108">
        <f t="shared" si="13"/>
        <v>-28.52613801268441</v>
      </c>
      <c r="O108" t="s">
        <v>8</v>
      </c>
    </row>
    <row r="109" spans="1:15" x14ac:dyDescent="0.35">
      <c r="A109">
        <v>2000</v>
      </c>
      <c r="B109">
        <v>4</v>
      </c>
      <c r="C109">
        <v>17</v>
      </c>
      <c r="D109" s="1">
        <f t="shared" si="8"/>
        <v>36633</v>
      </c>
      <c r="E109">
        <v>0.2</v>
      </c>
      <c r="F109">
        <f t="shared" si="14"/>
        <v>1</v>
      </c>
      <c r="G109">
        <f t="shared" si="9"/>
        <v>1</v>
      </c>
      <c r="H109">
        <f t="shared" si="15"/>
        <v>1</v>
      </c>
      <c r="I109">
        <v>108</v>
      </c>
      <c r="J109">
        <f t="shared" si="10"/>
        <v>0.95907889003411306</v>
      </c>
      <c r="K109">
        <f t="shared" si="11"/>
        <v>-0.28313898122818354</v>
      </c>
      <c r="L109">
        <f>VLOOKUP(D109,[1]SOI!$A$1:$C$142,3)</f>
        <v>9.4</v>
      </c>
      <c r="M109" s="2">
        <f t="shared" si="12"/>
        <v>103.58052012368421</v>
      </c>
      <c r="N109">
        <f t="shared" si="13"/>
        <v>-30.579009972643821</v>
      </c>
      <c r="O109" t="s">
        <v>8</v>
      </c>
    </row>
    <row r="110" spans="1:15" x14ac:dyDescent="0.35">
      <c r="A110">
        <v>2000</v>
      </c>
      <c r="B110">
        <v>4</v>
      </c>
      <c r="C110">
        <v>18</v>
      </c>
      <c r="D110" s="1">
        <f t="shared" si="8"/>
        <v>36634</v>
      </c>
      <c r="E110">
        <v>0</v>
      </c>
      <c r="F110">
        <f t="shared" si="14"/>
        <v>0.2</v>
      </c>
      <c r="G110">
        <f t="shared" si="9"/>
        <v>0</v>
      </c>
      <c r="H110">
        <f t="shared" si="15"/>
        <v>1</v>
      </c>
      <c r="I110">
        <v>109</v>
      </c>
      <c r="J110">
        <f t="shared" si="10"/>
        <v>0.95406655005783869</v>
      </c>
      <c r="K110">
        <f t="shared" si="11"/>
        <v>-0.29959475639726019</v>
      </c>
      <c r="L110">
        <f>VLOOKUP(D110,[1]SOI!$A$1:$C$142,3)</f>
        <v>9.4</v>
      </c>
      <c r="M110" s="2">
        <f t="shared" si="12"/>
        <v>103.99325395630441</v>
      </c>
      <c r="N110">
        <f t="shared" si="13"/>
        <v>-32.65582844730136</v>
      </c>
      <c r="O110" t="s">
        <v>8</v>
      </c>
    </row>
    <row r="111" spans="1:15" x14ac:dyDescent="0.35">
      <c r="A111">
        <v>2000</v>
      </c>
      <c r="B111">
        <v>4</v>
      </c>
      <c r="C111">
        <v>19</v>
      </c>
      <c r="D111" s="1">
        <f t="shared" si="8"/>
        <v>36635</v>
      </c>
      <c r="E111">
        <v>0</v>
      </c>
      <c r="F111">
        <f t="shared" si="14"/>
        <v>0</v>
      </c>
      <c r="G111">
        <f t="shared" si="9"/>
        <v>0</v>
      </c>
      <c r="H111">
        <f t="shared" si="15"/>
        <v>0</v>
      </c>
      <c r="I111">
        <v>110</v>
      </c>
      <c r="J111">
        <f t="shared" si="10"/>
        <v>0.94877188643994725</v>
      </c>
      <c r="K111">
        <f t="shared" si="11"/>
        <v>-0.31596187665790293</v>
      </c>
      <c r="L111">
        <f>VLOOKUP(D111,[1]SOI!$A$1:$C$142,3)</f>
        <v>9.4</v>
      </c>
      <c r="M111" s="2">
        <f t="shared" si="12"/>
        <v>104.3649075083942</v>
      </c>
      <c r="N111">
        <f t="shared" si="13"/>
        <v>-34.755806432369319</v>
      </c>
      <c r="O111" t="s">
        <v>8</v>
      </c>
    </row>
    <row r="112" spans="1:15" x14ac:dyDescent="0.35">
      <c r="A112">
        <v>2000</v>
      </c>
      <c r="B112">
        <v>4</v>
      </c>
      <c r="C112">
        <v>20</v>
      </c>
      <c r="D112" s="1">
        <f t="shared" si="8"/>
        <v>36636</v>
      </c>
      <c r="E112">
        <v>0</v>
      </c>
      <c r="F112">
        <f t="shared" si="14"/>
        <v>0</v>
      </c>
      <c r="G112">
        <f t="shared" si="9"/>
        <v>0</v>
      </c>
      <c r="H112">
        <f t="shared" si="15"/>
        <v>0</v>
      </c>
      <c r="I112">
        <v>111</v>
      </c>
      <c r="J112">
        <f t="shared" si="10"/>
        <v>0.94319646595658657</v>
      </c>
      <c r="K112">
        <f t="shared" si="11"/>
        <v>-0.33223549871590435</v>
      </c>
      <c r="L112">
        <f>VLOOKUP(D112,[1]SOI!$A$1:$C$142,3)</f>
        <v>9.4</v>
      </c>
      <c r="M112" s="2">
        <f t="shared" si="12"/>
        <v>104.69480772118111</v>
      </c>
      <c r="N112">
        <f t="shared" si="13"/>
        <v>-36.878140357465384</v>
      </c>
      <c r="O112" t="s">
        <v>8</v>
      </c>
    </row>
    <row r="113" spans="1:15" x14ac:dyDescent="0.35">
      <c r="A113">
        <v>2000</v>
      </c>
      <c r="B113">
        <v>4</v>
      </c>
      <c r="C113">
        <v>21</v>
      </c>
      <c r="D113" s="1">
        <f t="shared" si="8"/>
        <v>36637</v>
      </c>
      <c r="E113">
        <v>0</v>
      </c>
      <c r="F113">
        <f t="shared" si="14"/>
        <v>0</v>
      </c>
      <c r="G113">
        <f t="shared" si="9"/>
        <v>0</v>
      </c>
      <c r="H113">
        <f t="shared" si="15"/>
        <v>0</v>
      </c>
      <c r="I113">
        <v>112</v>
      </c>
      <c r="J113">
        <f t="shared" si="10"/>
        <v>0.93734193846437719</v>
      </c>
      <c r="K113">
        <f t="shared" si="11"/>
        <v>-0.3484108069446808</v>
      </c>
      <c r="L113">
        <f>VLOOKUP(D113,[1]SOI!$A$1:$C$142,3)</f>
        <v>9.4</v>
      </c>
      <c r="M113" s="2">
        <f t="shared" si="12"/>
        <v>104.98229710801024</v>
      </c>
      <c r="N113">
        <f t="shared" si="13"/>
        <v>-39.02201037780425</v>
      </c>
      <c r="O113" t="s">
        <v>8</v>
      </c>
    </row>
    <row r="114" spans="1:15" x14ac:dyDescent="0.35">
      <c r="A114">
        <v>2000</v>
      </c>
      <c r="B114">
        <v>4</v>
      </c>
      <c r="C114">
        <v>22</v>
      </c>
      <c r="D114" s="1">
        <f t="shared" si="8"/>
        <v>36638</v>
      </c>
      <c r="E114">
        <v>0.2</v>
      </c>
      <c r="F114">
        <f t="shared" si="14"/>
        <v>0</v>
      </c>
      <c r="G114">
        <f t="shared" si="9"/>
        <v>1</v>
      </c>
      <c r="H114">
        <f t="shared" si="15"/>
        <v>0</v>
      </c>
      <c r="I114">
        <v>113</v>
      </c>
      <c r="J114">
        <f t="shared" si="10"/>
        <v>0.93121003641219469</v>
      </c>
      <c r="K114">
        <f t="shared" si="11"/>
        <v>-0.36448301481029122</v>
      </c>
      <c r="L114">
        <f>VLOOKUP(D114,[1]SOI!$A$1:$C$142,3)</f>
        <v>9.4</v>
      </c>
      <c r="M114" s="2">
        <f t="shared" si="12"/>
        <v>105.22673411457799</v>
      </c>
      <c r="N114">
        <f t="shared" si="13"/>
        <v>-41.186580673562908</v>
      </c>
      <c r="O114" t="s">
        <v>8</v>
      </c>
    </row>
    <row r="115" spans="1:15" x14ac:dyDescent="0.35">
      <c r="A115">
        <v>2000</v>
      </c>
      <c r="B115">
        <v>4</v>
      </c>
      <c r="C115">
        <v>23</v>
      </c>
      <c r="D115" s="1">
        <f t="shared" si="8"/>
        <v>36639</v>
      </c>
      <c r="E115">
        <v>0</v>
      </c>
      <c r="F115">
        <f t="shared" si="14"/>
        <v>0.2</v>
      </c>
      <c r="G115">
        <f t="shared" si="9"/>
        <v>0</v>
      </c>
      <c r="H115">
        <f t="shared" si="15"/>
        <v>1</v>
      </c>
      <c r="I115">
        <v>114</v>
      </c>
      <c r="J115">
        <f t="shared" si="10"/>
        <v>0.92480257432850888</v>
      </c>
      <c r="K115">
        <f t="shared" si="11"/>
        <v>-0.38044736628785164</v>
      </c>
      <c r="L115">
        <f>VLOOKUP(D115,[1]SOI!$A$1:$C$142,3)</f>
        <v>9.4</v>
      </c>
      <c r="M115" s="2">
        <f t="shared" si="12"/>
        <v>105.42749347345001</v>
      </c>
      <c r="N115">
        <f t="shared" si="13"/>
        <v>-43.370999756815088</v>
      </c>
      <c r="O115" t="s">
        <v>8</v>
      </c>
    </row>
    <row r="116" spans="1:15" x14ac:dyDescent="0.35">
      <c r="A116">
        <v>2000</v>
      </c>
      <c r="B116">
        <v>4</v>
      </c>
      <c r="C116">
        <v>24</v>
      </c>
      <c r="D116" s="1">
        <f t="shared" si="8"/>
        <v>36640</v>
      </c>
      <c r="E116">
        <v>0</v>
      </c>
      <c r="F116">
        <f t="shared" si="14"/>
        <v>0</v>
      </c>
      <c r="G116">
        <f t="shared" si="9"/>
        <v>0</v>
      </c>
      <c r="H116">
        <f t="shared" si="15"/>
        <v>0</v>
      </c>
      <c r="I116">
        <v>115</v>
      </c>
      <c r="J116">
        <f t="shared" si="10"/>
        <v>0.91812144828443654</v>
      </c>
      <c r="K116">
        <f t="shared" si="11"/>
        <v>-0.39629913726891813</v>
      </c>
      <c r="L116">
        <f>VLOOKUP(D116,[1]SOI!$A$1:$C$142,3)</f>
        <v>9.4</v>
      </c>
      <c r="M116" s="2">
        <f t="shared" si="12"/>
        <v>105.58396655271021</v>
      </c>
      <c r="N116">
        <f t="shared" si="13"/>
        <v>-45.574400785925583</v>
      </c>
      <c r="O116" t="s">
        <v>8</v>
      </c>
    </row>
    <row r="117" spans="1:15" x14ac:dyDescent="0.35">
      <c r="A117">
        <v>2000</v>
      </c>
      <c r="B117">
        <v>4</v>
      </c>
      <c r="C117">
        <v>25</v>
      </c>
      <c r="D117" s="1">
        <f t="shared" si="8"/>
        <v>36641</v>
      </c>
      <c r="E117">
        <v>0</v>
      </c>
      <c r="F117">
        <f t="shared" si="14"/>
        <v>0</v>
      </c>
      <c r="G117">
        <f t="shared" si="9"/>
        <v>0</v>
      </c>
      <c r="H117">
        <f t="shared" si="15"/>
        <v>0</v>
      </c>
      <c r="I117">
        <v>116</v>
      </c>
      <c r="J117">
        <f t="shared" si="10"/>
        <v>0.91116863533266312</v>
      </c>
      <c r="K117">
        <f t="shared" si="11"/>
        <v>-0.41203363695942635</v>
      </c>
      <c r="L117">
        <f>VLOOKUP(D117,[1]SOI!$A$1:$C$142,3)</f>
        <v>9.4</v>
      </c>
      <c r="M117" s="2">
        <f t="shared" si="12"/>
        <v>105.69556169858892</v>
      </c>
      <c r="N117">
        <f t="shared" si="13"/>
        <v>-47.795901887293454</v>
      </c>
      <c r="O117" t="s">
        <v>8</v>
      </c>
    </row>
    <row r="118" spans="1:15" x14ac:dyDescent="0.35">
      <c r="A118">
        <v>2000</v>
      </c>
      <c r="B118">
        <v>4</v>
      </c>
      <c r="C118">
        <v>26</v>
      </c>
      <c r="D118" s="1">
        <f t="shared" si="8"/>
        <v>36642</v>
      </c>
      <c r="E118">
        <v>0</v>
      </c>
      <c r="F118">
        <f t="shared" si="14"/>
        <v>0</v>
      </c>
      <c r="G118">
        <f t="shared" si="9"/>
        <v>0</v>
      </c>
      <c r="H118">
        <f t="shared" si="15"/>
        <v>0</v>
      </c>
      <c r="I118">
        <v>117</v>
      </c>
      <c r="J118">
        <f t="shared" si="10"/>
        <v>0.90394619292240108</v>
      </c>
      <c r="K118">
        <f t="shared" si="11"/>
        <v>-0.42764620926777464</v>
      </c>
      <c r="L118">
        <f>VLOOKUP(D118,[1]SOI!$A$1:$C$142,3)</f>
        <v>9.4</v>
      </c>
      <c r="M118" s="2">
        <f t="shared" si="12"/>
        <v>105.76170457192093</v>
      </c>
      <c r="N118">
        <f t="shared" si="13"/>
        <v>-50.034606484329629</v>
      </c>
      <c r="O118" t="s">
        <v>8</v>
      </c>
    </row>
    <row r="119" spans="1:15" x14ac:dyDescent="0.35">
      <c r="A119">
        <v>2000</v>
      </c>
      <c r="B119">
        <v>4</v>
      </c>
      <c r="C119">
        <v>27</v>
      </c>
      <c r="D119" s="1">
        <f t="shared" si="8"/>
        <v>36643</v>
      </c>
      <c r="E119">
        <v>0</v>
      </c>
      <c r="F119">
        <f t="shared" si="14"/>
        <v>0</v>
      </c>
      <c r="G119">
        <f t="shared" si="9"/>
        <v>0</v>
      </c>
      <c r="H119">
        <f t="shared" si="15"/>
        <v>0</v>
      </c>
      <c r="I119">
        <v>118</v>
      </c>
      <c r="J119">
        <f t="shared" si="10"/>
        <v>0.89645625829055753</v>
      </c>
      <c r="K119">
        <f t="shared" si="11"/>
        <v>-0.44313223418263453</v>
      </c>
      <c r="L119">
        <f>VLOOKUP(D119,[1]SOI!$A$1:$C$142,3)</f>
        <v>9.4</v>
      </c>
      <c r="M119" s="2">
        <f t="shared" si="12"/>
        <v>105.78183847828579</v>
      </c>
      <c r="N119">
        <f t="shared" si="13"/>
        <v>-52.289603633550875</v>
      </c>
      <c r="O119" t="s">
        <v>8</v>
      </c>
    </row>
    <row r="120" spans="1:15" x14ac:dyDescent="0.35">
      <c r="A120">
        <v>2000</v>
      </c>
      <c r="B120">
        <v>4</v>
      </c>
      <c r="C120">
        <v>28</v>
      </c>
      <c r="D120" s="1">
        <f t="shared" si="8"/>
        <v>36644</v>
      </c>
      <c r="E120">
        <v>0</v>
      </c>
      <c r="F120">
        <f t="shared" si="14"/>
        <v>0</v>
      </c>
      <c r="G120">
        <f t="shared" si="9"/>
        <v>0</v>
      </c>
      <c r="H120">
        <f t="shared" si="15"/>
        <v>0</v>
      </c>
      <c r="I120">
        <v>119</v>
      </c>
      <c r="J120">
        <f t="shared" si="10"/>
        <v>0.88870104782929149</v>
      </c>
      <c r="K120">
        <f t="shared" si="11"/>
        <v>-0.45848712914008766</v>
      </c>
      <c r="L120">
        <f>VLOOKUP(D120,[1]SOI!$A$1:$C$142,3)</f>
        <v>9.4</v>
      </c>
      <c r="M120" s="2">
        <f t="shared" si="12"/>
        <v>105.75542469168569</v>
      </c>
      <c r="N120">
        <f t="shared" si="13"/>
        <v>-54.559968367670429</v>
      </c>
      <c r="O120" t="s">
        <v>8</v>
      </c>
    </row>
    <row r="121" spans="1:15" x14ac:dyDescent="0.35">
      <c r="A121">
        <v>2000</v>
      </c>
      <c r="B121">
        <v>4</v>
      </c>
      <c r="C121">
        <v>29</v>
      </c>
      <c r="D121" s="1">
        <f t="shared" si="8"/>
        <v>36645</v>
      </c>
      <c r="E121">
        <v>0</v>
      </c>
      <c r="F121">
        <f t="shared" si="14"/>
        <v>0</v>
      </c>
      <c r="G121">
        <f t="shared" si="9"/>
        <v>0</v>
      </c>
      <c r="H121">
        <f t="shared" si="15"/>
        <v>0</v>
      </c>
      <c r="I121">
        <v>120</v>
      </c>
      <c r="J121">
        <f t="shared" si="10"/>
        <v>0.88068285643014754</v>
      </c>
      <c r="K121">
        <f t="shared" si="11"/>
        <v>-0.47370635037968001</v>
      </c>
      <c r="L121">
        <f>VLOOKUP(D121,[1]SOI!$A$1:$C$142,3)</f>
        <v>9.4</v>
      </c>
      <c r="M121" s="2">
        <f t="shared" si="12"/>
        <v>105.6819427716177</v>
      </c>
      <c r="N121">
        <f t="shared" si="13"/>
        <v>-56.844762045561602</v>
      </c>
      <c r="O121" t="s">
        <v>8</v>
      </c>
    </row>
    <row r="122" spans="1:15" x14ac:dyDescent="0.35">
      <c r="A122">
        <v>2000</v>
      </c>
      <c r="B122">
        <v>4</v>
      </c>
      <c r="C122">
        <v>30</v>
      </c>
      <c r="D122" s="1">
        <f t="shared" si="8"/>
        <v>36646</v>
      </c>
      <c r="E122">
        <v>7.8</v>
      </c>
      <c r="F122">
        <f t="shared" si="14"/>
        <v>0</v>
      </c>
      <c r="G122">
        <f t="shared" si="9"/>
        <v>1</v>
      </c>
      <c r="H122">
        <f t="shared" si="15"/>
        <v>0</v>
      </c>
      <c r="I122">
        <v>121</v>
      </c>
      <c r="J122">
        <f t="shared" si="10"/>
        <v>0.87240405680496125</v>
      </c>
      <c r="K122">
        <f t="shared" si="11"/>
        <v>-0.48878539428899265</v>
      </c>
      <c r="L122">
        <f>VLOOKUP(D122,[1]SOI!$A$1:$C$142,3)</f>
        <v>9.4</v>
      </c>
      <c r="M122" s="2">
        <f t="shared" si="12"/>
        <v>105.56089087340031</v>
      </c>
      <c r="N122">
        <f t="shared" si="13"/>
        <v>-59.143032708968107</v>
      </c>
      <c r="O122" t="s">
        <v>8</v>
      </c>
    </row>
    <row r="123" spans="1:15" x14ac:dyDescent="0.35">
      <c r="A123">
        <v>2000</v>
      </c>
      <c r="B123">
        <v>5</v>
      </c>
      <c r="C123">
        <v>1</v>
      </c>
      <c r="D123" s="1">
        <f t="shared" si="8"/>
        <v>36647</v>
      </c>
      <c r="E123">
        <v>3.8</v>
      </c>
      <c r="F123">
        <f t="shared" si="14"/>
        <v>7.8</v>
      </c>
      <c r="G123">
        <f t="shared" si="9"/>
        <v>1</v>
      </c>
      <c r="H123">
        <f t="shared" si="15"/>
        <v>1</v>
      </c>
      <c r="I123">
        <v>122</v>
      </c>
      <c r="J123">
        <f t="shared" si="10"/>
        <v>0.86386709878373491</v>
      </c>
      <c r="K123">
        <f t="shared" si="11"/>
        <v>-0.50371979873633399</v>
      </c>
      <c r="L123">
        <f>VLOOKUP(D123,[1]SOI!$A$1:$C$142,3)</f>
        <v>16.8</v>
      </c>
      <c r="M123" s="2">
        <f t="shared" si="12"/>
        <v>105.39178605161565</v>
      </c>
      <c r="N123">
        <f t="shared" si="13"/>
        <v>-61.453815445832745</v>
      </c>
      <c r="O123" t="s">
        <v>8</v>
      </c>
    </row>
    <row r="124" spans="1:15" x14ac:dyDescent="0.35">
      <c r="A124">
        <v>2000</v>
      </c>
      <c r="B124">
        <v>5</v>
      </c>
      <c r="C124">
        <v>2</v>
      </c>
      <c r="D124" s="1">
        <f t="shared" si="8"/>
        <v>36648</v>
      </c>
      <c r="E124">
        <v>0</v>
      </c>
      <c r="F124">
        <f t="shared" si="14"/>
        <v>3.8</v>
      </c>
      <c r="G124">
        <f t="shared" si="9"/>
        <v>0</v>
      </c>
      <c r="H124">
        <f t="shared" si="15"/>
        <v>1</v>
      </c>
      <c r="I124">
        <v>123</v>
      </c>
      <c r="J124">
        <f t="shared" si="10"/>
        <v>0.85507450858969325</v>
      </c>
      <c r="K124">
        <f t="shared" si="11"/>
        <v>-0.51850514439115702</v>
      </c>
      <c r="L124">
        <f>VLOOKUP(D124,[1]SOI!$A$1:$C$142,3)</f>
        <v>16.8</v>
      </c>
      <c r="M124" s="2">
        <f t="shared" si="12"/>
        <v>105.17416455653228</v>
      </c>
      <c r="N124">
        <f t="shared" si="13"/>
        <v>-63.776132760112311</v>
      </c>
      <c r="O124" t="s">
        <v>8</v>
      </c>
    </row>
    <row r="125" spans="1:15" x14ac:dyDescent="0.35">
      <c r="A125">
        <v>2000</v>
      </c>
      <c r="B125">
        <v>5</v>
      </c>
      <c r="C125">
        <v>3</v>
      </c>
      <c r="D125" s="1">
        <f t="shared" si="8"/>
        <v>36649</v>
      </c>
      <c r="E125">
        <v>0</v>
      </c>
      <c r="F125">
        <f t="shared" si="14"/>
        <v>0</v>
      </c>
      <c r="G125">
        <f t="shared" si="9"/>
        <v>0</v>
      </c>
      <c r="H125">
        <f t="shared" si="15"/>
        <v>0</v>
      </c>
      <c r="I125">
        <v>124</v>
      </c>
      <c r="J125">
        <f t="shared" si="10"/>
        <v>0.84602888809173393</v>
      </c>
      <c r="K125">
        <f t="shared" si="11"/>
        <v>-0.53313705603180905</v>
      </c>
      <c r="L125">
        <f>VLOOKUP(D125,[1]SOI!$A$1:$C$142,3)</f>
        <v>16.8</v>
      </c>
      <c r="M125" s="2">
        <f t="shared" si="12"/>
        <v>104.90758212337501</v>
      </c>
      <c r="N125">
        <f t="shared" si="13"/>
        <v>-66.108994947944325</v>
      </c>
      <c r="O125" t="s">
        <v>8</v>
      </c>
    </row>
    <row r="126" spans="1:15" x14ac:dyDescent="0.35">
      <c r="A126">
        <v>2000</v>
      </c>
      <c r="B126">
        <v>5</v>
      </c>
      <c r="C126">
        <v>4</v>
      </c>
      <c r="D126" s="1">
        <f t="shared" si="8"/>
        <v>36650</v>
      </c>
      <c r="E126">
        <v>13.2</v>
      </c>
      <c r="F126">
        <f t="shared" si="14"/>
        <v>0</v>
      </c>
      <c r="G126">
        <f t="shared" si="9"/>
        <v>1</v>
      </c>
      <c r="H126">
        <f t="shared" si="15"/>
        <v>0</v>
      </c>
      <c r="I126">
        <v>125</v>
      </c>
      <c r="J126">
        <f t="shared" si="10"/>
        <v>0.83673291403449213</v>
      </c>
      <c r="K126">
        <f t="shared" si="11"/>
        <v>-0.54761120384023121</v>
      </c>
      <c r="L126">
        <f>VLOOKUP(D126,[1]SOI!$A$1:$C$142,3)</f>
        <v>16.8</v>
      </c>
      <c r="M126" s="2">
        <f t="shared" si="12"/>
        <v>104.59161425431151</v>
      </c>
      <c r="N126">
        <f t="shared" si="13"/>
        <v>-68.451400480028894</v>
      </c>
      <c r="O126" t="s">
        <v>8</v>
      </c>
    </row>
    <row r="127" spans="1:15" x14ac:dyDescent="0.35">
      <c r="A127">
        <v>2000</v>
      </c>
      <c r="B127">
        <v>5</v>
      </c>
      <c r="C127">
        <v>5</v>
      </c>
      <c r="D127" s="1">
        <f t="shared" si="8"/>
        <v>36651</v>
      </c>
      <c r="E127">
        <v>2</v>
      </c>
      <c r="F127">
        <f t="shared" si="14"/>
        <v>13.2</v>
      </c>
      <c r="G127">
        <f t="shared" si="9"/>
        <v>1</v>
      </c>
      <c r="H127">
        <f t="shared" si="15"/>
        <v>1</v>
      </c>
      <c r="I127">
        <v>126</v>
      </c>
      <c r="J127">
        <f t="shared" si="10"/>
        <v>0.82718933724624966</v>
      </c>
      <c r="K127">
        <f t="shared" si="11"/>
        <v>-0.56192330468321949</v>
      </c>
      <c r="L127">
        <f>VLOOKUP(D127,[1]SOI!$A$1:$C$142,3)</f>
        <v>16.8</v>
      </c>
      <c r="M127" s="2">
        <f t="shared" si="12"/>
        <v>104.22585649302745</v>
      </c>
      <c r="N127">
        <f t="shared" si="13"/>
        <v>-70.802336390085657</v>
      </c>
      <c r="O127" t="s">
        <v>8</v>
      </c>
    </row>
    <row r="128" spans="1:15" x14ac:dyDescent="0.35">
      <c r="A128">
        <v>2000</v>
      </c>
      <c r="B128">
        <v>5</v>
      </c>
      <c r="C128">
        <v>6</v>
      </c>
      <c r="D128" s="1">
        <f t="shared" si="8"/>
        <v>36652</v>
      </c>
      <c r="E128">
        <v>12.8</v>
      </c>
      <c r="F128">
        <f t="shared" si="14"/>
        <v>2</v>
      </c>
      <c r="G128">
        <f t="shared" si="9"/>
        <v>1</v>
      </c>
      <c r="H128">
        <f t="shared" si="15"/>
        <v>1</v>
      </c>
      <c r="I128">
        <v>127</v>
      </c>
      <c r="J128">
        <f t="shared" si="10"/>
        <v>0.81740098182491894</v>
      </c>
      <c r="K128">
        <f t="shared" si="11"/>
        <v>-0.57606912337987581</v>
      </c>
      <c r="L128">
        <f>VLOOKUP(D128,[1]SOI!$A$1:$C$142,3)</f>
        <v>16.8</v>
      </c>
      <c r="M128" s="2">
        <f t="shared" si="12"/>
        <v>103.80992469176471</v>
      </c>
      <c r="N128">
        <f t="shared" si="13"/>
        <v>-73.160778669244223</v>
      </c>
      <c r="O128" t="s">
        <v>8</v>
      </c>
    </row>
    <row r="129" spans="1:15" x14ac:dyDescent="0.35">
      <c r="A129">
        <v>2000</v>
      </c>
      <c r="B129">
        <v>5</v>
      </c>
      <c r="C129">
        <v>7</v>
      </c>
      <c r="D129" s="1">
        <f t="shared" si="8"/>
        <v>36653</v>
      </c>
      <c r="E129">
        <v>0</v>
      </c>
      <c r="F129">
        <f t="shared" si="14"/>
        <v>12.8</v>
      </c>
      <c r="G129">
        <f t="shared" si="9"/>
        <v>0</v>
      </c>
      <c r="H129">
        <f t="shared" si="15"/>
        <v>1</v>
      </c>
      <c r="I129">
        <v>128</v>
      </c>
      <c r="J129">
        <f t="shared" si="10"/>
        <v>0.80737074430234923</v>
      </c>
      <c r="K129">
        <f t="shared" si="11"/>
        <v>-0.5900444739548627</v>
      </c>
      <c r="L129">
        <f>VLOOKUP(D129,[1]SOI!$A$1:$C$142,3)</f>
        <v>16.8</v>
      </c>
      <c r="M129" s="2">
        <f t="shared" si="12"/>
        <v>103.3434552707007</v>
      </c>
      <c r="N129">
        <f t="shared" si="13"/>
        <v>-75.525692666222426</v>
      </c>
      <c r="O129" t="s">
        <v>8</v>
      </c>
    </row>
    <row r="130" spans="1:15" x14ac:dyDescent="0.35">
      <c r="A130">
        <v>2000</v>
      </c>
      <c r="B130">
        <v>5</v>
      </c>
      <c r="C130">
        <v>8</v>
      </c>
      <c r="D130" s="1">
        <f t="shared" si="8"/>
        <v>36654</v>
      </c>
      <c r="E130">
        <v>0</v>
      </c>
      <c r="F130">
        <f t="shared" si="14"/>
        <v>0</v>
      </c>
      <c r="G130">
        <f t="shared" si="9"/>
        <v>0</v>
      </c>
      <c r="H130">
        <f t="shared" si="15"/>
        <v>0</v>
      </c>
      <c r="I130">
        <v>129</v>
      </c>
      <c r="J130">
        <f t="shared" si="10"/>
        <v>0.79710159278719428</v>
      </c>
      <c r="K130">
        <f t="shared" si="11"/>
        <v>-0.60384522087710346</v>
      </c>
      <c r="L130">
        <f>VLOOKUP(D130,[1]SOI!$A$1:$C$142,3)</f>
        <v>16.8</v>
      </c>
      <c r="M130" s="2">
        <f t="shared" si="12"/>
        <v>102.82610546954807</v>
      </c>
      <c r="N130">
        <f t="shared" si="13"/>
        <v>-77.896033493146348</v>
      </c>
      <c r="O130" t="s">
        <v>8</v>
      </c>
    </row>
    <row r="131" spans="1:15" x14ac:dyDescent="0.35">
      <c r="A131">
        <v>2000</v>
      </c>
      <c r="B131">
        <v>5</v>
      </c>
      <c r="C131">
        <v>9</v>
      </c>
      <c r="D131" s="1">
        <f t="shared" ref="D131:D194" si="16">DATE(A131,B131,C131)</f>
        <v>36655</v>
      </c>
      <c r="E131">
        <v>0</v>
      </c>
      <c r="F131">
        <f t="shared" si="14"/>
        <v>0</v>
      </c>
      <c r="G131">
        <f t="shared" ref="G131:G194" si="17">IF(E131=0,0,1)</f>
        <v>0</v>
      </c>
      <c r="H131">
        <f t="shared" si="15"/>
        <v>0</v>
      </c>
      <c r="I131">
        <v>130</v>
      </c>
      <c r="J131">
        <f t="shared" ref="J131:J194" si="18">SIN(2*PI()*I131/365.25)</f>
        <v>0.78659656608660211</v>
      </c>
      <c r="K131">
        <f t="shared" ref="K131:K194" si="19">COS(2*PI()*I131/365.25)</f>
        <v>-0.61746728028355136</v>
      </c>
      <c r="L131">
        <f>VLOOKUP(D131,[1]SOI!$A$1:$C$142,3)</f>
        <v>16.8</v>
      </c>
      <c r="M131" s="2">
        <f t="shared" ref="M131:M194" si="20">I131*J131</f>
        <v>102.25755359125827</v>
      </c>
      <c r="N131">
        <f t="shared" ref="N131:N194" si="21">I131*K131</f>
        <v>-80.270746436861671</v>
      </c>
      <c r="O131" t="s">
        <v>8</v>
      </c>
    </row>
    <row r="132" spans="1:15" x14ac:dyDescent="0.35">
      <c r="A132">
        <v>2000</v>
      </c>
      <c r="B132">
        <v>5</v>
      </c>
      <c r="C132">
        <v>10</v>
      </c>
      <c r="D132" s="1">
        <f t="shared" si="16"/>
        <v>36656</v>
      </c>
      <c r="E132">
        <v>0</v>
      </c>
      <c r="F132">
        <f t="shared" ref="F132:F195" si="22">E131</f>
        <v>0</v>
      </c>
      <c r="G132">
        <f t="shared" si="17"/>
        <v>0</v>
      </c>
      <c r="H132">
        <f t="shared" ref="H132:H195" si="23">G131</f>
        <v>0</v>
      </c>
      <c r="I132">
        <v>131</v>
      </c>
      <c r="J132">
        <f t="shared" si="18"/>
        <v>0.77585877280698279</v>
      </c>
      <c r="K132">
        <f t="shared" si="19"/>
        <v>-0.63090662118767038</v>
      </c>
      <c r="L132">
        <f>VLOOKUP(D132,[1]SOI!$A$1:$C$142,3)</f>
        <v>16.8</v>
      </c>
      <c r="M132" s="2">
        <f t="shared" si="20"/>
        <v>101.63749923771475</v>
      </c>
      <c r="N132">
        <f t="shared" si="21"/>
        <v>-82.648767375584825</v>
      </c>
      <c r="O132" t="s">
        <v>8</v>
      </c>
    </row>
    <row r="133" spans="1:15" x14ac:dyDescent="0.35">
      <c r="A133">
        <v>2000</v>
      </c>
      <c r="B133">
        <v>5</v>
      </c>
      <c r="C133">
        <v>11</v>
      </c>
      <c r="D133" s="1">
        <f t="shared" si="16"/>
        <v>36657</v>
      </c>
      <c r="E133">
        <v>0</v>
      </c>
      <c r="F133">
        <f t="shared" si="22"/>
        <v>0</v>
      </c>
      <c r="G133">
        <f t="shared" si="17"/>
        <v>0</v>
      </c>
      <c r="H133">
        <f t="shared" si="23"/>
        <v>0</v>
      </c>
      <c r="I133">
        <v>132</v>
      </c>
      <c r="J133">
        <f t="shared" si="18"/>
        <v>0.76489139043412258</v>
      </c>
      <c r="K133">
        <f t="shared" si="19"/>
        <v>-0.64415926667226853</v>
      </c>
      <c r="L133">
        <f>VLOOKUP(D133,[1]SOI!$A$1:$C$142,3)</f>
        <v>16.8</v>
      </c>
      <c r="M133" s="2">
        <f t="shared" si="20"/>
        <v>100.96566353730418</v>
      </c>
      <c r="N133">
        <f t="shared" si="21"/>
        <v>-85.029023200739445</v>
      </c>
      <c r="O133" t="s">
        <v>8</v>
      </c>
    </row>
    <row r="134" spans="1:15" x14ac:dyDescent="0.35">
      <c r="A134">
        <v>2000</v>
      </c>
      <c r="B134">
        <v>5</v>
      </c>
      <c r="C134">
        <v>12</v>
      </c>
      <c r="D134" s="1">
        <f t="shared" si="16"/>
        <v>36658</v>
      </c>
      <c r="E134">
        <v>0</v>
      </c>
      <c r="F134">
        <f t="shared" si="22"/>
        <v>0</v>
      </c>
      <c r="G134">
        <f t="shared" si="17"/>
        <v>0</v>
      </c>
      <c r="H134">
        <f t="shared" si="23"/>
        <v>0</v>
      </c>
      <c r="I134">
        <v>133</v>
      </c>
      <c r="J134">
        <f t="shared" si="18"/>
        <v>0.75369766439291397</v>
      </c>
      <c r="K134">
        <f t="shared" si="19"/>
        <v>-0.65722129506633187</v>
      </c>
      <c r="L134">
        <f>VLOOKUP(D134,[1]SOI!$A$1:$C$142,3)</f>
        <v>16.8</v>
      </c>
      <c r="M134" s="2">
        <f t="shared" si="20"/>
        <v>100.24178936425756</v>
      </c>
      <c r="N134">
        <f t="shared" si="21"/>
        <v>-87.410432243822143</v>
      </c>
      <c r="O134" t="s">
        <v>8</v>
      </c>
    </row>
    <row r="135" spans="1:15" x14ac:dyDescent="0.35">
      <c r="A135">
        <v>2000</v>
      </c>
      <c r="B135">
        <v>5</v>
      </c>
      <c r="C135">
        <v>13</v>
      </c>
      <c r="D135" s="1">
        <f t="shared" si="16"/>
        <v>36659</v>
      </c>
      <c r="E135">
        <v>0.6</v>
      </c>
      <c r="F135">
        <f t="shared" si="22"/>
        <v>0</v>
      </c>
      <c r="G135">
        <f t="shared" si="17"/>
        <v>1</v>
      </c>
      <c r="H135">
        <f t="shared" si="23"/>
        <v>0</v>
      </c>
      <c r="I135">
        <v>134</v>
      </c>
      <c r="J135">
        <f t="shared" si="18"/>
        <v>0.74228090708698202</v>
      </c>
      <c r="K135">
        <f t="shared" si="19"/>
        <v>-0.67008884110551126</v>
      </c>
      <c r="L135">
        <f>VLOOKUP(D135,[1]SOI!$A$1:$C$142,3)</f>
        <v>16.8</v>
      </c>
      <c r="M135" s="2">
        <f t="shared" si="20"/>
        <v>99.465641549655587</v>
      </c>
      <c r="N135">
        <f t="shared" si="21"/>
        <v>-89.791904708138503</v>
      </c>
      <c r="O135" t="s">
        <v>8</v>
      </c>
    </row>
    <row r="136" spans="1:15" x14ac:dyDescent="0.35">
      <c r="A136">
        <v>2000</v>
      </c>
      <c r="B136">
        <v>5</v>
      </c>
      <c r="C136">
        <v>14</v>
      </c>
      <c r="D136" s="1">
        <f t="shared" si="16"/>
        <v>36660</v>
      </c>
      <c r="E136">
        <v>0</v>
      </c>
      <c r="F136">
        <f t="shared" si="22"/>
        <v>0.6</v>
      </c>
      <c r="G136">
        <f t="shared" si="17"/>
        <v>0</v>
      </c>
      <c r="H136">
        <f t="shared" si="23"/>
        <v>1</v>
      </c>
      <c r="I136">
        <v>135</v>
      </c>
      <c r="J136">
        <f t="shared" si="18"/>
        <v>0.73064449691849165</v>
      </c>
      <c r="K136">
        <f t="shared" si="19"/>
        <v>-0.68275809707591473</v>
      </c>
      <c r="L136">
        <f>VLOOKUP(D136,[1]SOI!$A$1:$C$142,3)</f>
        <v>16.8</v>
      </c>
      <c r="M136" s="2">
        <f t="shared" si="20"/>
        <v>98.637007083996366</v>
      </c>
      <c r="N136">
        <f t="shared" si="21"/>
        <v>-92.172343105248487</v>
      </c>
      <c r="O136" t="s">
        <v>8</v>
      </c>
    </row>
    <row r="137" spans="1:15" x14ac:dyDescent="0.35">
      <c r="A137">
        <v>2000</v>
      </c>
      <c r="B137">
        <v>5</v>
      </c>
      <c r="C137">
        <v>15</v>
      </c>
      <c r="D137" s="1">
        <f t="shared" si="16"/>
        <v>36661</v>
      </c>
      <c r="E137">
        <v>0</v>
      </c>
      <c r="F137">
        <f t="shared" si="22"/>
        <v>0</v>
      </c>
      <c r="G137">
        <f t="shared" si="17"/>
        <v>0</v>
      </c>
      <c r="H137">
        <f t="shared" si="23"/>
        <v>0</v>
      </c>
      <c r="I137">
        <v>136</v>
      </c>
      <c r="J137">
        <f t="shared" si="18"/>
        <v>0.7187918772884232</v>
      </c>
      <c r="K137">
        <f t="shared" si="19"/>
        <v>-0.69522531394087217</v>
      </c>
      <c r="L137">
        <f>VLOOKUP(D137,[1]SOI!$A$1:$C$142,3)</f>
        <v>16.8</v>
      </c>
      <c r="M137" s="2">
        <f t="shared" si="20"/>
        <v>97.755695311225551</v>
      </c>
      <c r="N137">
        <f t="shared" si="21"/>
        <v>-94.550642695958615</v>
      </c>
      <c r="O137" t="s">
        <v>8</v>
      </c>
    </row>
    <row r="138" spans="1:15" x14ac:dyDescent="0.35">
      <c r="A138">
        <v>2000</v>
      </c>
      <c r="B138">
        <v>5</v>
      </c>
      <c r="C138">
        <v>16</v>
      </c>
      <c r="D138" s="1">
        <f t="shared" si="16"/>
        <v>36662</v>
      </c>
      <c r="E138">
        <v>0.4</v>
      </c>
      <c r="F138">
        <f t="shared" si="22"/>
        <v>0</v>
      </c>
      <c r="G138">
        <f t="shared" si="17"/>
        <v>1</v>
      </c>
      <c r="H138">
        <f t="shared" si="23"/>
        <v>0</v>
      </c>
      <c r="I138">
        <v>137</v>
      </c>
      <c r="J138">
        <f t="shared" si="18"/>
        <v>0.70672655557761577</v>
      </c>
      <c r="K138">
        <f t="shared" si="19"/>
        <v>-0.7074868024503348</v>
      </c>
      <c r="L138">
        <f>VLOOKUP(D138,[1]SOI!$A$1:$C$142,3)</f>
        <v>16.8</v>
      </c>
      <c r="M138" s="2">
        <f t="shared" si="20"/>
        <v>96.821538114133361</v>
      </c>
      <c r="N138">
        <f t="shared" si="21"/>
        <v>-96.925691935695866</v>
      </c>
      <c r="O138" t="s">
        <v>8</v>
      </c>
    </row>
    <row r="139" spans="1:15" x14ac:dyDescent="0.35">
      <c r="A139">
        <v>2000</v>
      </c>
      <c r="B139">
        <v>5</v>
      </c>
      <c r="C139">
        <v>17</v>
      </c>
      <c r="D139" s="1">
        <f t="shared" si="16"/>
        <v>36663</v>
      </c>
      <c r="E139">
        <v>0.6</v>
      </c>
      <c r="F139">
        <f t="shared" si="22"/>
        <v>0.4</v>
      </c>
      <c r="G139">
        <f t="shared" si="17"/>
        <v>1</v>
      </c>
      <c r="H139">
        <f t="shared" si="23"/>
        <v>1</v>
      </c>
      <c r="I139">
        <v>138</v>
      </c>
      <c r="J139">
        <f t="shared" si="18"/>
        <v>0.69445210210887631</v>
      </c>
      <c r="K139">
        <f t="shared" si="19"/>
        <v>-0.71953893423258397</v>
      </c>
      <c r="L139">
        <f>VLOOKUP(D139,[1]SOI!$A$1:$C$142,3)</f>
        <v>16.8</v>
      </c>
      <c r="M139" s="2">
        <f t="shared" si="20"/>
        <v>95.834390091024929</v>
      </c>
      <c r="N139">
        <f t="shared" si="21"/>
        <v>-99.296372924096588</v>
      </c>
      <c r="O139" t="s">
        <v>8</v>
      </c>
    </row>
    <row r="140" spans="1:15" x14ac:dyDescent="0.35">
      <c r="A140">
        <v>2000</v>
      </c>
      <c r="B140">
        <v>5</v>
      </c>
      <c r="C140">
        <v>18</v>
      </c>
      <c r="D140" s="1">
        <f t="shared" si="16"/>
        <v>36664</v>
      </c>
      <c r="E140">
        <v>0</v>
      </c>
      <c r="F140">
        <f t="shared" si="22"/>
        <v>0.6</v>
      </c>
      <c r="G140">
        <f t="shared" si="17"/>
        <v>0</v>
      </c>
      <c r="H140">
        <f t="shared" si="23"/>
        <v>1</v>
      </c>
      <c r="I140">
        <v>139</v>
      </c>
      <c r="J140">
        <f t="shared" si="18"/>
        <v>0.68197214909046289</v>
      </c>
      <c r="K140">
        <f t="shared" si="19"/>
        <v>-0.73137814286792535</v>
      </c>
      <c r="L140">
        <f>VLOOKUP(D140,[1]SOI!$A$1:$C$142,3)</f>
        <v>16.8</v>
      </c>
      <c r="M140" s="2">
        <f t="shared" si="20"/>
        <v>94.794128723574346</v>
      </c>
      <c r="N140">
        <f t="shared" si="21"/>
        <v>-101.66156185864162</v>
      </c>
      <c r="O140" t="s">
        <v>8</v>
      </c>
    </row>
    <row r="141" spans="1:15" x14ac:dyDescent="0.35">
      <c r="A141">
        <v>2000</v>
      </c>
      <c r="B141">
        <v>5</v>
      </c>
      <c r="C141">
        <v>19</v>
      </c>
      <c r="D141" s="1">
        <f t="shared" si="16"/>
        <v>36665</v>
      </c>
      <c r="E141">
        <v>0</v>
      </c>
      <c r="F141">
        <f t="shared" si="22"/>
        <v>0</v>
      </c>
      <c r="G141">
        <f t="shared" si="17"/>
        <v>0</v>
      </c>
      <c r="H141">
        <f t="shared" si="23"/>
        <v>0</v>
      </c>
      <c r="I141">
        <v>140</v>
      </c>
      <c r="J141">
        <f t="shared" si="18"/>
        <v>0.66929038954125675</v>
      </c>
      <c r="K141">
        <f t="shared" si="19"/>
        <v>-0.74300092494404935</v>
      </c>
      <c r="L141">
        <f>VLOOKUP(D141,[1]SOI!$A$1:$C$142,3)</f>
        <v>16.8</v>
      </c>
      <c r="M141" s="2">
        <f t="shared" si="20"/>
        <v>93.700654535775939</v>
      </c>
      <c r="N141">
        <f t="shared" si="21"/>
        <v>-104.0201294921669</v>
      </c>
      <c r="O141" t="s">
        <v>8</v>
      </c>
    </row>
    <row r="142" spans="1:15" x14ac:dyDescent="0.35">
      <c r="A142">
        <v>2000</v>
      </c>
      <c r="B142">
        <v>5</v>
      </c>
      <c r="C142">
        <v>20</v>
      </c>
      <c r="D142" s="1">
        <f t="shared" si="16"/>
        <v>36666</v>
      </c>
      <c r="E142">
        <v>0</v>
      </c>
      <c r="F142">
        <f t="shared" si="22"/>
        <v>0</v>
      </c>
      <c r="G142">
        <f t="shared" si="17"/>
        <v>0</v>
      </c>
      <c r="H142">
        <f t="shared" si="23"/>
        <v>0</v>
      </c>
      <c r="I142">
        <v>141</v>
      </c>
      <c r="J142">
        <f t="shared" si="18"/>
        <v>0.65641057619793808</v>
      </c>
      <c r="K142">
        <f t="shared" si="19"/>
        <v>-0.75440384109274716</v>
      </c>
      <c r="L142">
        <f>VLOOKUP(D142,[1]SOI!$A$1:$C$142,3)</f>
        <v>16.8</v>
      </c>
      <c r="M142" s="2">
        <f t="shared" si="20"/>
        <v>92.553891243909263</v>
      </c>
      <c r="N142">
        <f t="shared" si="21"/>
        <v>-106.37094159407735</v>
      </c>
      <c r="O142" t="s">
        <v>8</v>
      </c>
    </row>
    <row r="143" spans="1:15" x14ac:dyDescent="0.35">
      <c r="A143">
        <v>2000</v>
      </c>
      <c r="B143">
        <v>5</v>
      </c>
      <c r="C143">
        <v>21</v>
      </c>
      <c r="D143" s="1">
        <f t="shared" si="16"/>
        <v>36667</v>
      </c>
      <c r="E143">
        <v>0</v>
      </c>
      <c r="F143">
        <f t="shared" si="22"/>
        <v>0</v>
      </c>
      <c r="G143">
        <f t="shared" si="17"/>
        <v>0</v>
      </c>
      <c r="H143">
        <f t="shared" si="23"/>
        <v>0</v>
      </c>
      <c r="I143">
        <v>142</v>
      </c>
      <c r="J143">
        <f t="shared" si="18"/>
        <v>0.64333652040449174</v>
      </c>
      <c r="K143">
        <f t="shared" si="19"/>
        <v>-0.76558351700767502</v>
      </c>
      <c r="L143">
        <f>VLOOKUP(D143,[1]SOI!$A$1:$C$142,3)</f>
        <v>16.8</v>
      </c>
      <c r="M143" s="2">
        <f t="shared" si="20"/>
        <v>91.353785897437831</v>
      </c>
      <c r="N143">
        <f t="shared" si="21"/>
        <v>-108.71285941508985</v>
      </c>
      <c r="O143" t="s">
        <v>8</v>
      </c>
    </row>
    <row r="144" spans="1:15" x14ac:dyDescent="0.35">
      <c r="A144">
        <v>2000</v>
      </c>
      <c r="B144">
        <v>5</v>
      </c>
      <c r="C144">
        <v>22</v>
      </c>
      <c r="D144" s="1">
        <f t="shared" si="16"/>
        <v>36668</v>
      </c>
      <c r="E144">
        <v>0</v>
      </c>
      <c r="F144">
        <f t="shared" si="22"/>
        <v>0</v>
      </c>
      <c r="G144">
        <f t="shared" si="17"/>
        <v>0</v>
      </c>
      <c r="H144">
        <f t="shared" si="23"/>
        <v>0</v>
      </c>
      <c r="I144">
        <v>143</v>
      </c>
      <c r="J144">
        <f t="shared" si="18"/>
        <v>0.63007209098436867</v>
      </c>
      <c r="K144">
        <f t="shared" si="19"/>
        <v>-0.77653664444286552</v>
      </c>
      <c r="L144">
        <f>VLOOKUP(D144,[1]SOI!$A$1:$C$142,3)</f>
        <v>16.8</v>
      </c>
      <c r="M144" s="2">
        <f t="shared" si="20"/>
        <v>90.100309010764718</v>
      </c>
      <c r="N144">
        <f t="shared" si="21"/>
        <v>-111.04474015532976</v>
      </c>
      <c r="O144" t="s">
        <v>8</v>
      </c>
    </row>
    <row r="145" spans="1:15" x14ac:dyDescent="0.35">
      <c r="A145">
        <v>2000</v>
      </c>
      <c r="B145">
        <v>5</v>
      </c>
      <c r="C145">
        <v>23</v>
      </c>
      <c r="D145" s="1">
        <f t="shared" si="16"/>
        <v>36669</v>
      </c>
      <c r="E145">
        <v>0</v>
      </c>
      <c r="F145">
        <f t="shared" si="22"/>
        <v>0</v>
      </c>
      <c r="G145">
        <f t="shared" si="17"/>
        <v>0</v>
      </c>
      <c r="H145">
        <f t="shared" si="23"/>
        <v>0</v>
      </c>
      <c r="I145">
        <v>144</v>
      </c>
      <c r="J145">
        <f t="shared" si="18"/>
        <v>0.61662121309563822</v>
      </c>
      <c r="K145">
        <f t="shared" si="19"/>
        <v>-0.78725998219169224</v>
      </c>
      <c r="L145">
        <f>VLOOKUP(D145,[1]SOI!$A$1:$C$142,3)</f>
        <v>16.8</v>
      </c>
      <c r="M145" s="2">
        <f t="shared" si="20"/>
        <v>88.793454685771906</v>
      </c>
      <c r="N145">
        <f t="shared" si="21"/>
        <v>-113.36543743560368</v>
      </c>
      <c r="O145" t="s">
        <v>8</v>
      </c>
    </row>
    <row r="146" spans="1:15" x14ac:dyDescent="0.35">
      <c r="A146">
        <v>2000</v>
      </c>
      <c r="B146">
        <v>5</v>
      </c>
      <c r="C146">
        <v>24</v>
      </c>
      <c r="D146" s="1">
        <f t="shared" si="16"/>
        <v>36670</v>
      </c>
      <c r="E146">
        <v>0</v>
      </c>
      <c r="F146">
        <f t="shared" si="22"/>
        <v>0</v>
      </c>
      <c r="G146">
        <f t="shared" si="17"/>
        <v>0</v>
      </c>
      <c r="H146">
        <f t="shared" si="23"/>
        <v>0</v>
      </c>
      <c r="I146">
        <v>145</v>
      </c>
      <c r="J146">
        <f t="shared" si="18"/>
        <v>0.60298786706947138</v>
      </c>
      <c r="K146">
        <f t="shared" si="19"/>
        <v>-0.79775035704599317</v>
      </c>
      <c r="L146">
        <f>VLOOKUP(D146,[1]SOI!$A$1:$C$142,3)</f>
        <v>16.8</v>
      </c>
      <c r="M146" s="2">
        <f t="shared" si="20"/>
        <v>87.433240725073347</v>
      </c>
      <c r="N146">
        <f t="shared" si="21"/>
        <v>-115.67380177166901</v>
      </c>
      <c r="O146" t="s">
        <v>8</v>
      </c>
    </row>
    <row r="147" spans="1:15" x14ac:dyDescent="0.35">
      <c r="A147">
        <v>2000</v>
      </c>
      <c r="B147">
        <v>5</v>
      </c>
      <c r="C147">
        <v>25</v>
      </c>
      <c r="D147" s="1">
        <f t="shared" si="16"/>
        <v>36671</v>
      </c>
      <c r="E147">
        <v>0</v>
      </c>
      <c r="F147">
        <f t="shared" si="22"/>
        <v>0</v>
      </c>
      <c r="G147">
        <f t="shared" si="17"/>
        <v>0</v>
      </c>
      <c r="H147">
        <f t="shared" si="23"/>
        <v>0</v>
      </c>
      <c r="I147">
        <v>146</v>
      </c>
      <c r="J147">
        <f t="shared" si="18"/>
        <v>0.58917608723229631</v>
      </c>
      <c r="K147">
        <f t="shared" si="19"/>
        <v>-0.80800466473507537</v>
      </c>
      <c r="L147">
        <f>VLOOKUP(D147,[1]SOI!$A$1:$C$142,3)</f>
        <v>16.8</v>
      </c>
      <c r="M147" s="2">
        <f t="shared" si="20"/>
        <v>86.019708735915259</v>
      </c>
      <c r="N147">
        <f t="shared" si="21"/>
        <v>-117.968681051321</v>
      </c>
      <c r="O147" t="s">
        <v>8</v>
      </c>
    </row>
    <row r="148" spans="1:15" x14ac:dyDescent="0.35">
      <c r="A148">
        <v>2000</v>
      </c>
      <c r="B148">
        <v>5</v>
      </c>
      <c r="C148">
        <v>26</v>
      </c>
      <c r="D148" s="1">
        <f t="shared" si="16"/>
        <v>36672</v>
      </c>
      <c r="E148">
        <v>0</v>
      </c>
      <c r="F148">
        <f t="shared" si="22"/>
        <v>0</v>
      </c>
      <c r="G148">
        <f t="shared" si="17"/>
        <v>0</v>
      </c>
      <c r="H148">
        <f t="shared" si="23"/>
        <v>0</v>
      </c>
      <c r="I148">
        <v>147</v>
      </c>
      <c r="J148">
        <f t="shared" si="18"/>
        <v>0.57518996071197748</v>
      </c>
      <c r="K148">
        <f t="shared" si="19"/>
        <v>-0.81801987084431749</v>
      </c>
      <c r="L148">
        <f>VLOOKUP(D148,[1]SOI!$A$1:$C$142,3)</f>
        <v>16.8</v>
      </c>
      <c r="M148" s="2">
        <f t="shared" si="20"/>
        <v>84.552924224660686</v>
      </c>
      <c r="N148">
        <f t="shared" si="21"/>
        <v>-120.24892101411467</v>
      </c>
      <c r="O148" t="s">
        <v>8</v>
      </c>
    </row>
    <row r="149" spans="1:15" x14ac:dyDescent="0.35">
      <c r="A149">
        <v>2000</v>
      </c>
      <c r="B149">
        <v>5</v>
      </c>
      <c r="C149">
        <v>27</v>
      </c>
      <c r="D149" s="1">
        <f t="shared" si="16"/>
        <v>36673</v>
      </c>
      <c r="E149">
        <v>6.2</v>
      </c>
      <c r="F149">
        <f t="shared" si="22"/>
        <v>0</v>
      </c>
      <c r="G149">
        <f t="shared" si="17"/>
        <v>1</v>
      </c>
      <c r="H149">
        <f t="shared" si="23"/>
        <v>0</v>
      </c>
      <c r="I149">
        <v>148</v>
      </c>
      <c r="J149">
        <f t="shared" si="18"/>
        <v>0.56103362622836772</v>
      </c>
      <c r="K149">
        <f t="shared" si="19"/>
        <v>-0.82779301171310216</v>
      </c>
      <c r="L149">
        <f>VLOOKUP(D149,[1]SOI!$A$1:$C$142,3)</f>
        <v>16.8</v>
      </c>
      <c r="M149" s="2">
        <f t="shared" si="20"/>
        <v>83.032976681798417</v>
      </c>
      <c r="N149">
        <f t="shared" si="21"/>
        <v>-122.51336573353912</v>
      </c>
      <c r="O149" t="s">
        <v>8</v>
      </c>
    </row>
    <row r="150" spans="1:15" x14ac:dyDescent="0.35">
      <c r="A150">
        <v>2000</v>
      </c>
      <c r="B150">
        <v>5</v>
      </c>
      <c r="C150">
        <v>28</v>
      </c>
      <c r="D150" s="1">
        <f t="shared" si="16"/>
        <v>36674</v>
      </c>
      <c r="E150">
        <v>5</v>
      </c>
      <c r="F150">
        <f t="shared" si="22"/>
        <v>6.2</v>
      </c>
      <c r="G150">
        <f t="shared" si="17"/>
        <v>1</v>
      </c>
      <c r="H150">
        <f t="shared" si="23"/>
        <v>1</v>
      </c>
      <c r="I150">
        <v>149</v>
      </c>
      <c r="J150">
        <f t="shared" si="18"/>
        <v>0.54671127286859389</v>
      </c>
      <c r="K150">
        <f t="shared" si="19"/>
        <v>-0.83732119531181215</v>
      </c>
      <c r="L150">
        <f>VLOOKUP(D150,[1]SOI!$A$1:$C$142,3)</f>
        <v>16.8</v>
      </c>
      <c r="M150" s="2">
        <f t="shared" si="20"/>
        <v>81.45997965742049</v>
      </c>
      <c r="N150">
        <f t="shared" si="21"/>
        <v>-124.76085810146002</v>
      </c>
      <c r="O150" t="s">
        <v>8</v>
      </c>
    </row>
    <row r="151" spans="1:15" x14ac:dyDescent="0.35">
      <c r="A151">
        <v>2000</v>
      </c>
      <c r="B151">
        <v>5</v>
      </c>
      <c r="C151">
        <v>29</v>
      </c>
      <c r="D151" s="1">
        <f t="shared" si="16"/>
        <v>36675</v>
      </c>
      <c r="E151">
        <v>2</v>
      </c>
      <c r="F151">
        <f t="shared" si="22"/>
        <v>5</v>
      </c>
      <c r="G151">
        <f t="shared" si="17"/>
        <v>1</v>
      </c>
      <c r="H151">
        <f t="shared" si="23"/>
        <v>1</v>
      </c>
      <c r="I151">
        <v>150</v>
      </c>
      <c r="J151">
        <f t="shared" si="18"/>
        <v>0.53222713884743966</v>
      </c>
      <c r="K151">
        <f t="shared" si="19"/>
        <v>-0.84660160209762669</v>
      </c>
      <c r="L151">
        <f>VLOOKUP(D151,[1]SOI!$A$1:$C$142,3)</f>
        <v>16.8</v>
      </c>
      <c r="M151" s="2">
        <f t="shared" si="20"/>
        <v>79.834070827115951</v>
      </c>
      <c r="N151">
        <f t="shared" si="21"/>
        <v>-126.990240314644</v>
      </c>
      <c r="O151" t="s">
        <v>8</v>
      </c>
    </row>
    <row r="152" spans="1:15" x14ac:dyDescent="0.35">
      <c r="A152">
        <v>2000</v>
      </c>
      <c r="B152">
        <v>5</v>
      </c>
      <c r="C152">
        <v>30</v>
      </c>
      <c r="D152" s="1">
        <f t="shared" si="16"/>
        <v>36676</v>
      </c>
      <c r="E152">
        <v>26.4</v>
      </c>
      <c r="F152">
        <f t="shared" si="22"/>
        <v>2</v>
      </c>
      <c r="G152">
        <f t="shared" si="17"/>
        <v>1</v>
      </c>
      <c r="H152">
        <f t="shared" si="23"/>
        <v>1</v>
      </c>
      <c r="I152">
        <v>151</v>
      </c>
      <c r="J152">
        <f t="shared" si="18"/>
        <v>0.51758551025318889</v>
      </c>
      <c r="K152">
        <f t="shared" si="19"/>
        <v>-0.85563148584887061</v>
      </c>
      <c r="L152">
        <f>VLOOKUP(D152,[1]SOI!$A$1:$C$142,3)</f>
        <v>16.8</v>
      </c>
      <c r="M152" s="2">
        <f t="shared" si="20"/>
        <v>78.155412048231526</v>
      </c>
      <c r="N152">
        <f t="shared" si="21"/>
        <v>-129.20035436317946</v>
      </c>
      <c r="O152" t="s">
        <v>8</v>
      </c>
    </row>
    <row r="153" spans="1:15" x14ac:dyDescent="0.35">
      <c r="A153">
        <v>2000</v>
      </c>
      <c r="B153">
        <v>5</v>
      </c>
      <c r="C153">
        <v>31</v>
      </c>
      <c r="D153" s="1">
        <f t="shared" si="16"/>
        <v>36677</v>
      </c>
      <c r="E153">
        <v>18</v>
      </c>
      <c r="F153">
        <f t="shared" si="22"/>
        <v>26.4</v>
      </c>
      <c r="G153">
        <f t="shared" si="17"/>
        <v>1</v>
      </c>
      <c r="H153">
        <f t="shared" si="23"/>
        <v>1</v>
      </c>
      <c r="I153">
        <v>152</v>
      </c>
      <c r="J153">
        <f t="shared" si="18"/>
        <v>0.50279071977930434</v>
      </c>
      <c r="K153">
        <f t="shared" si="19"/>
        <v>-0.86440817447766483</v>
      </c>
      <c r="L153">
        <f>VLOOKUP(D153,[1]SOI!$A$1:$C$142,3)</f>
        <v>16.8</v>
      </c>
      <c r="M153" s="2">
        <f t="shared" si="20"/>
        <v>76.424189406454261</v>
      </c>
      <c r="N153">
        <f t="shared" si="21"/>
        <v>-131.39004252060505</v>
      </c>
      <c r="O153" t="s">
        <v>8</v>
      </c>
    </row>
    <row r="154" spans="1:15" x14ac:dyDescent="0.35">
      <c r="A154">
        <v>2000</v>
      </c>
      <c r="B154">
        <v>6</v>
      </c>
      <c r="C154">
        <v>1</v>
      </c>
      <c r="D154" s="1">
        <f t="shared" si="16"/>
        <v>36678</v>
      </c>
      <c r="E154">
        <v>4.5999999999999996</v>
      </c>
      <c r="F154">
        <f t="shared" si="22"/>
        <v>18</v>
      </c>
      <c r="G154">
        <f t="shared" si="17"/>
        <v>1</v>
      </c>
      <c r="H154">
        <f t="shared" si="23"/>
        <v>1</v>
      </c>
      <c r="I154">
        <v>153</v>
      </c>
      <c r="J154">
        <f t="shared" si="18"/>
        <v>0.48784714544231189</v>
      </c>
      <c r="K154">
        <f t="shared" si="19"/>
        <v>-0.87292907082064108</v>
      </c>
      <c r="L154">
        <f>VLOOKUP(D154,[1]SOI!$A$1:$C$142,3)</f>
        <v>3.6</v>
      </c>
      <c r="M154" s="2">
        <f t="shared" si="20"/>
        <v>74.640613252673717</v>
      </c>
      <c r="N154">
        <f t="shared" si="21"/>
        <v>-133.55814783555809</v>
      </c>
      <c r="O154" t="s">
        <v>8</v>
      </c>
    </row>
    <row r="155" spans="1:15" x14ac:dyDescent="0.35">
      <c r="A155">
        <v>2000</v>
      </c>
      <c r="B155">
        <v>6</v>
      </c>
      <c r="C155">
        <v>2</v>
      </c>
      <c r="D155" s="1">
        <f t="shared" si="16"/>
        <v>36679</v>
      </c>
      <c r="E155">
        <v>3.8</v>
      </c>
      <c r="F155">
        <f t="shared" si="22"/>
        <v>4.5999999999999996</v>
      </c>
      <c r="G155">
        <f t="shared" si="17"/>
        <v>1</v>
      </c>
      <c r="H155">
        <f t="shared" si="23"/>
        <v>1</v>
      </c>
      <c r="I155">
        <v>154</v>
      </c>
      <c r="J155">
        <f t="shared" si="18"/>
        <v>0.47275920928627757</v>
      </c>
      <c r="K155">
        <f t="shared" si="19"/>
        <v>-0.88119165340748296</v>
      </c>
      <c r="L155">
        <f>VLOOKUP(D155,[1]SOI!$A$1:$C$142,3)</f>
        <v>3.6</v>
      </c>
      <c r="M155" s="2">
        <f t="shared" si="20"/>
        <v>72.804918230086741</v>
      </c>
      <c r="N155">
        <f t="shared" si="21"/>
        <v>-135.70351462475239</v>
      </c>
      <c r="O155" t="s">
        <v>8</v>
      </c>
    </row>
    <row r="156" spans="1:15" x14ac:dyDescent="0.35">
      <c r="A156">
        <v>2000</v>
      </c>
      <c r="B156">
        <v>6</v>
      </c>
      <c r="C156">
        <v>3</v>
      </c>
      <c r="D156" s="1">
        <f t="shared" si="16"/>
        <v>36680</v>
      </c>
      <c r="E156">
        <v>0</v>
      </c>
      <c r="F156">
        <f t="shared" si="22"/>
        <v>3.8</v>
      </c>
      <c r="G156">
        <f t="shared" si="17"/>
        <v>0</v>
      </c>
      <c r="H156">
        <f t="shared" si="23"/>
        <v>1</v>
      </c>
      <c r="I156">
        <v>155</v>
      </c>
      <c r="J156">
        <f t="shared" si="18"/>
        <v>0.45753137607425121</v>
      </c>
      <c r="K156">
        <f t="shared" si="19"/>
        <v>-0.88919347720707109</v>
      </c>
      <c r="L156">
        <f>VLOOKUP(D156,[1]SOI!$A$1:$C$142,3)</f>
        <v>3.6</v>
      </c>
      <c r="M156" s="2">
        <f t="shared" si="20"/>
        <v>70.917363291508934</v>
      </c>
      <c r="N156">
        <f t="shared" si="21"/>
        <v>-137.82498896709603</v>
      </c>
      <c r="O156" t="s">
        <v>8</v>
      </c>
    </row>
    <row r="157" spans="1:15" x14ac:dyDescent="0.35">
      <c r="A157">
        <v>2000</v>
      </c>
      <c r="B157">
        <v>6</v>
      </c>
      <c r="C157">
        <v>4</v>
      </c>
      <c r="D157" s="1">
        <f t="shared" si="16"/>
        <v>36681</v>
      </c>
      <c r="E157">
        <v>0.4</v>
      </c>
      <c r="F157">
        <f t="shared" si="22"/>
        <v>0</v>
      </c>
      <c r="G157">
        <f t="shared" si="17"/>
        <v>1</v>
      </c>
      <c r="H157">
        <f t="shared" si="23"/>
        <v>0</v>
      </c>
      <c r="I157">
        <v>156</v>
      </c>
      <c r="J157">
        <f t="shared" si="18"/>
        <v>0.44216815196707204</v>
      </c>
      <c r="K157">
        <f t="shared" si="19"/>
        <v>-0.89693217435100647</v>
      </c>
      <c r="L157">
        <f>VLOOKUP(D157,[1]SOI!$A$1:$C$142,3)</f>
        <v>3.6</v>
      </c>
      <c r="M157" s="2">
        <f t="shared" si="20"/>
        <v>68.978231706863241</v>
      </c>
      <c r="N157">
        <f t="shared" si="21"/>
        <v>-139.92141919875701</v>
      </c>
      <c r="O157" t="s">
        <v>8</v>
      </c>
    </row>
    <row r="158" spans="1:15" x14ac:dyDescent="0.35">
      <c r="A158">
        <v>2000</v>
      </c>
      <c r="B158">
        <v>6</v>
      </c>
      <c r="C158">
        <v>5</v>
      </c>
      <c r="D158" s="1">
        <f t="shared" si="16"/>
        <v>36682</v>
      </c>
      <c r="E158">
        <v>5.6</v>
      </c>
      <c r="F158">
        <f t="shared" si="22"/>
        <v>0.4</v>
      </c>
      <c r="G158">
        <f t="shared" si="17"/>
        <v>1</v>
      </c>
      <c r="H158">
        <f t="shared" si="23"/>
        <v>1</v>
      </c>
      <c r="I158">
        <v>157</v>
      </c>
      <c r="J158">
        <f t="shared" si="18"/>
        <v>0.42667408318992467</v>
      </c>
      <c r="K158">
        <f t="shared" si="19"/>
        <v>-0.90440545483430013</v>
      </c>
      <c r="L158">
        <f>VLOOKUP(D158,[1]SOI!$A$1:$C$142,3)</f>
        <v>3.6</v>
      </c>
      <c r="M158" s="2">
        <f t="shared" si="20"/>
        <v>66.987831060818166</v>
      </c>
      <c r="N158">
        <f t="shared" si="21"/>
        <v>-141.99165640898511</v>
      </c>
      <c r="O158" t="s">
        <v>8</v>
      </c>
    </row>
    <row r="159" spans="1:15" x14ac:dyDescent="0.35">
      <c r="A159">
        <v>2000</v>
      </c>
      <c r="B159">
        <v>6</v>
      </c>
      <c r="C159">
        <v>6</v>
      </c>
      <c r="D159" s="1">
        <f t="shared" si="16"/>
        <v>36683</v>
      </c>
      <c r="E159">
        <v>16.600000000000001</v>
      </c>
      <c r="F159">
        <f t="shared" si="22"/>
        <v>5.6</v>
      </c>
      <c r="G159">
        <f t="shared" si="17"/>
        <v>1</v>
      </c>
      <c r="H159">
        <f t="shared" si="23"/>
        <v>1</v>
      </c>
      <c r="I159">
        <v>158</v>
      </c>
      <c r="J159">
        <f t="shared" si="18"/>
        <v>0.41105375468703509</v>
      </c>
      <c r="K159">
        <f t="shared" si="19"/>
        <v>-0.91161110719302385</v>
      </c>
      <c r="L159">
        <f>VLOOKUP(D159,[1]SOI!$A$1:$C$142,3)</f>
        <v>3.6</v>
      </c>
      <c r="M159" s="2">
        <f t="shared" si="20"/>
        <v>64.946493240551547</v>
      </c>
      <c r="N159">
        <f t="shared" si="21"/>
        <v>-144.03455493649776</v>
      </c>
      <c r="O159" t="s">
        <v>8</v>
      </c>
    </row>
    <row r="160" spans="1:15" x14ac:dyDescent="0.35">
      <c r="A160">
        <v>2000</v>
      </c>
      <c r="B160">
        <v>6</v>
      </c>
      <c r="C160">
        <v>7</v>
      </c>
      <c r="D160" s="1">
        <f t="shared" si="16"/>
        <v>36684</v>
      </c>
      <c r="E160">
        <v>3.2</v>
      </c>
      <c r="F160">
        <f t="shared" si="22"/>
        <v>16.600000000000001</v>
      </c>
      <c r="G160">
        <f t="shared" si="17"/>
        <v>1</v>
      </c>
      <c r="H160">
        <f t="shared" si="23"/>
        <v>1</v>
      </c>
      <c r="I160">
        <v>159</v>
      </c>
      <c r="J160">
        <f t="shared" si="18"/>
        <v>0.39531178876491507</v>
      </c>
      <c r="K160">
        <f t="shared" si="19"/>
        <v>-0.91854699915871652</v>
      </c>
      <c r="L160">
        <f>VLOOKUP(D160,[1]SOI!$A$1:$C$142,3)</f>
        <v>3.6</v>
      </c>
      <c r="M160" s="2">
        <f t="shared" si="20"/>
        <v>62.854574413621499</v>
      </c>
      <c r="N160">
        <f t="shared" si="21"/>
        <v>-146.04897286623591</v>
      </c>
      <c r="O160" t="s">
        <v>8</v>
      </c>
    </row>
    <row r="161" spans="1:15" x14ac:dyDescent="0.35">
      <c r="A161">
        <v>2000</v>
      </c>
      <c r="B161">
        <v>6</v>
      </c>
      <c r="C161">
        <v>8</v>
      </c>
      <c r="D161" s="1">
        <f t="shared" si="16"/>
        <v>36685</v>
      </c>
      <c r="E161">
        <v>0</v>
      </c>
      <c r="F161">
        <f t="shared" si="22"/>
        <v>3.2</v>
      </c>
      <c r="G161">
        <f t="shared" si="17"/>
        <v>0</v>
      </c>
      <c r="H161">
        <f t="shared" si="23"/>
        <v>1</v>
      </c>
      <c r="I161">
        <v>160</v>
      </c>
      <c r="J161">
        <f t="shared" si="18"/>
        <v>0.37945284372454435</v>
      </c>
      <c r="K161">
        <f t="shared" si="19"/>
        <v>-0.925211078289358</v>
      </c>
      <c r="L161">
        <f>VLOOKUP(D161,[1]SOI!$A$1:$C$142,3)</f>
        <v>3.6</v>
      </c>
      <c r="M161" s="2">
        <f t="shared" si="20"/>
        <v>60.712454995927096</v>
      </c>
      <c r="N161">
        <f t="shared" si="21"/>
        <v>-148.03377252629727</v>
      </c>
      <c r="O161" t="s">
        <v>8</v>
      </c>
    </row>
    <row r="162" spans="1:15" x14ac:dyDescent="0.35">
      <c r="A162">
        <v>2000</v>
      </c>
      <c r="B162">
        <v>6</v>
      </c>
      <c r="C162">
        <v>9</v>
      </c>
      <c r="D162" s="1">
        <f t="shared" si="16"/>
        <v>36686</v>
      </c>
      <c r="E162">
        <v>0</v>
      </c>
      <c r="F162">
        <f t="shared" si="22"/>
        <v>0</v>
      </c>
      <c r="G162">
        <f t="shared" si="17"/>
        <v>0</v>
      </c>
      <c r="H162">
        <f t="shared" si="23"/>
        <v>0</v>
      </c>
      <c r="I162">
        <v>161</v>
      </c>
      <c r="J162">
        <f t="shared" si="18"/>
        <v>0.36348161248290634</v>
      </c>
      <c r="K162">
        <f t="shared" si="19"/>
        <v>-0.93160137257671871</v>
      </c>
      <c r="L162">
        <f>VLOOKUP(D162,[1]SOI!$A$1:$C$142,3)</f>
        <v>3.6</v>
      </c>
      <c r="M162" s="2">
        <f t="shared" si="20"/>
        <v>58.520539609747921</v>
      </c>
      <c r="N162">
        <f t="shared" si="21"/>
        <v>-149.98782098485171</v>
      </c>
      <c r="O162" t="s">
        <v>8</v>
      </c>
    </row>
    <row r="163" spans="1:15" x14ac:dyDescent="0.35">
      <c r="A163">
        <v>2000</v>
      </c>
      <c r="B163">
        <v>6</v>
      </c>
      <c r="C163">
        <v>10</v>
      </c>
      <c r="D163" s="1">
        <f t="shared" si="16"/>
        <v>36687</v>
      </c>
      <c r="E163">
        <v>0.6</v>
      </c>
      <c r="F163">
        <f t="shared" si="22"/>
        <v>0</v>
      </c>
      <c r="G163">
        <f t="shared" si="17"/>
        <v>1</v>
      </c>
      <c r="H163">
        <f t="shared" si="23"/>
        <v>0</v>
      </c>
      <c r="I163">
        <v>162</v>
      </c>
      <c r="J163">
        <f t="shared" si="18"/>
        <v>0.3474028211842774</v>
      </c>
      <c r="K163">
        <f t="shared" si="19"/>
        <v>-0.93771599102990932</v>
      </c>
      <c r="L163">
        <f>VLOOKUP(D163,[1]SOI!$A$1:$C$142,3)</f>
        <v>3.6</v>
      </c>
      <c r="M163" s="2">
        <f t="shared" si="20"/>
        <v>56.279257031852936</v>
      </c>
      <c r="N163">
        <f t="shared" si="21"/>
        <v>-151.90999054684531</v>
      </c>
      <c r="O163" t="s">
        <v>8</v>
      </c>
    </row>
    <row r="164" spans="1:15" x14ac:dyDescent="0.35">
      <c r="A164">
        <v>2000</v>
      </c>
      <c r="B164">
        <v>6</v>
      </c>
      <c r="C164">
        <v>11</v>
      </c>
      <c r="D164" s="1">
        <f t="shared" si="16"/>
        <v>36688</v>
      </c>
      <c r="E164">
        <v>0.2</v>
      </c>
      <c r="F164">
        <f t="shared" si="22"/>
        <v>0.6</v>
      </c>
      <c r="G164">
        <f t="shared" si="17"/>
        <v>1</v>
      </c>
      <c r="H164">
        <f t="shared" si="23"/>
        <v>1</v>
      </c>
      <c r="I164">
        <v>163</v>
      </c>
      <c r="J164">
        <f t="shared" si="18"/>
        <v>0.3312212278016865</v>
      </c>
      <c r="K164">
        <f t="shared" si="19"/>
        <v>-0.94355312423495441</v>
      </c>
      <c r="L164">
        <f>VLOOKUP(D164,[1]SOI!$A$1:$C$142,3)</f>
        <v>3.6</v>
      </c>
      <c r="M164" s="2">
        <f t="shared" si="20"/>
        <v>53.989060131674897</v>
      </c>
      <c r="N164">
        <f t="shared" si="21"/>
        <v>-153.79915925029758</v>
      </c>
      <c r="O164" t="s">
        <v>8</v>
      </c>
    </row>
    <row r="165" spans="1:15" x14ac:dyDescent="0.35">
      <c r="A165">
        <v>2000</v>
      </c>
      <c r="B165">
        <v>6</v>
      </c>
      <c r="C165">
        <v>12</v>
      </c>
      <c r="D165" s="1">
        <f t="shared" si="16"/>
        <v>36689</v>
      </c>
      <c r="E165">
        <v>0</v>
      </c>
      <c r="F165">
        <f t="shared" si="22"/>
        <v>0.2</v>
      </c>
      <c r="G165">
        <f t="shared" si="17"/>
        <v>0</v>
      </c>
      <c r="H165">
        <f t="shared" si="23"/>
        <v>1</v>
      </c>
      <c r="I165">
        <v>164</v>
      </c>
      <c r="J165">
        <f t="shared" si="18"/>
        <v>0.31494162072895193</v>
      </c>
      <c r="K165">
        <f t="shared" si="19"/>
        <v>-0.94911104489022835</v>
      </c>
      <c r="L165">
        <f>VLOOKUP(D165,[1]SOI!$A$1:$C$142,3)</f>
        <v>3.6</v>
      </c>
      <c r="M165" s="2">
        <f t="shared" si="20"/>
        <v>51.650425799548117</v>
      </c>
      <c r="N165">
        <f t="shared" si="21"/>
        <v>-155.65421136199745</v>
      </c>
      <c r="O165" t="s">
        <v>8</v>
      </c>
    </row>
    <row r="166" spans="1:15" x14ac:dyDescent="0.35">
      <c r="A166">
        <v>2000</v>
      </c>
      <c r="B166">
        <v>6</v>
      </c>
      <c r="C166">
        <v>13</v>
      </c>
      <c r="D166" s="1">
        <f t="shared" si="16"/>
        <v>36690</v>
      </c>
      <c r="E166">
        <v>0</v>
      </c>
      <c r="F166">
        <f t="shared" si="22"/>
        <v>0</v>
      </c>
      <c r="G166">
        <f t="shared" si="17"/>
        <v>0</v>
      </c>
      <c r="H166">
        <f t="shared" si="23"/>
        <v>0</v>
      </c>
      <c r="I166">
        <v>165</v>
      </c>
      <c r="J166">
        <f t="shared" si="18"/>
        <v>0.29856881736372021</v>
      </c>
      <c r="K166">
        <f t="shared" si="19"/>
        <v>-0.9543881083175908</v>
      </c>
      <c r="L166">
        <f>VLOOKUP(D166,[1]SOI!$A$1:$C$142,3)</f>
        <v>3.6</v>
      </c>
      <c r="M166" s="2">
        <f t="shared" si="20"/>
        <v>49.263854865013833</v>
      </c>
      <c r="N166">
        <f t="shared" si="21"/>
        <v>-157.47403787240248</v>
      </c>
      <c r="O166" t="s">
        <v>8</v>
      </c>
    </row>
    <row r="167" spans="1:15" x14ac:dyDescent="0.35">
      <c r="A167">
        <v>2000</v>
      </c>
      <c r="B167">
        <v>6</v>
      </c>
      <c r="C167">
        <v>14</v>
      </c>
      <c r="D167" s="1">
        <f t="shared" si="16"/>
        <v>36691</v>
      </c>
      <c r="E167">
        <v>0</v>
      </c>
      <c r="F167">
        <f t="shared" si="22"/>
        <v>0</v>
      </c>
      <c r="G167">
        <f t="shared" si="17"/>
        <v>0</v>
      </c>
      <c r="H167">
        <f t="shared" si="23"/>
        <v>0</v>
      </c>
      <c r="I167">
        <v>166</v>
      </c>
      <c r="J167">
        <f t="shared" si="18"/>
        <v>0.28210766268191939</v>
      </c>
      <c r="K167">
        <f t="shared" si="19"/>
        <v>-0.95938275294907427</v>
      </c>
      <c r="L167">
        <f>VLOOKUP(D167,[1]SOI!$A$1:$C$142,3)</f>
        <v>3.6</v>
      </c>
      <c r="M167" s="2">
        <f t="shared" si="20"/>
        <v>46.829872005198617</v>
      </c>
      <c r="N167">
        <f t="shared" si="21"/>
        <v>-159.25753698954634</v>
      </c>
      <c r="O167" t="s">
        <v>8</v>
      </c>
    </row>
    <row r="168" spans="1:15" x14ac:dyDescent="0.35">
      <c r="A168">
        <v>2000</v>
      </c>
      <c r="B168">
        <v>6</v>
      </c>
      <c r="C168">
        <v>15</v>
      </c>
      <c r="D168" s="1">
        <f t="shared" si="16"/>
        <v>36692</v>
      </c>
      <c r="E168">
        <v>0</v>
      </c>
      <c r="F168">
        <f t="shared" si="22"/>
        <v>0</v>
      </c>
      <c r="G168">
        <f t="shared" si="17"/>
        <v>0</v>
      </c>
      <c r="H168">
        <f t="shared" si="23"/>
        <v>0</v>
      </c>
      <c r="I168">
        <v>167</v>
      </c>
      <c r="J168">
        <f t="shared" si="18"/>
        <v>0.26556302780405594</v>
      </c>
      <c r="K168">
        <f t="shared" si="19"/>
        <v>-0.96409350078897549</v>
      </c>
      <c r="L168">
        <f>VLOOKUP(D168,[1]SOI!$A$1:$C$142,3)</f>
        <v>3.6</v>
      </c>
      <c r="M168" s="2">
        <f t="shared" si="20"/>
        <v>44.349025643277344</v>
      </c>
      <c r="N168">
        <f t="shared" si="21"/>
        <v>-161.00361463175889</v>
      </c>
      <c r="O168" t="s">
        <v>8</v>
      </c>
    </row>
    <row r="169" spans="1:15" x14ac:dyDescent="0.35">
      <c r="A169">
        <v>2000</v>
      </c>
      <c r="B169">
        <v>6</v>
      </c>
      <c r="C169">
        <v>16</v>
      </c>
      <c r="D169" s="1">
        <f t="shared" si="16"/>
        <v>36693</v>
      </c>
      <c r="E169">
        <v>0</v>
      </c>
      <c r="F169">
        <f t="shared" si="22"/>
        <v>0</v>
      </c>
      <c r="G169">
        <f t="shared" si="17"/>
        <v>0</v>
      </c>
      <c r="H169">
        <f t="shared" si="23"/>
        <v>0</v>
      </c>
      <c r="I169">
        <v>168</v>
      </c>
      <c r="J169">
        <f t="shared" si="18"/>
        <v>0.24893980855376657</v>
      </c>
      <c r="K169">
        <f t="shared" si="19"/>
        <v>-0.96851895785122044</v>
      </c>
      <c r="L169">
        <f>VLOOKUP(D169,[1]SOI!$A$1:$C$142,3)</f>
        <v>3.6</v>
      </c>
      <c r="M169" s="2">
        <f t="shared" si="20"/>
        <v>41.821887837032783</v>
      </c>
      <c r="N169">
        <f t="shared" si="21"/>
        <v>-162.71118491900503</v>
      </c>
      <c r="O169" t="s">
        <v>8</v>
      </c>
    </row>
    <row r="170" spans="1:15" x14ac:dyDescent="0.35">
      <c r="A170">
        <v>2000</v>
      </c>
      <c r="B170">
        <v>6</v>
      </c>
      <c r="C170">
        <v>17</v>
      </c>
      <c r="D170" s="1">
        <f t="shared" si="16"/>
        <v>36694</v>
      </c>
      <c r="E170">
        <v>0</v>
      </c>
      <c r="F170">
        <f t="shared" si="22"/>
        <v>0</v>
      </c>
      <c r="G170">
        <f t="shared" si="17"/>
        <v>0</v>
      </c>
      <c r="H170">
        <f t="shared" si="23"/>
        <v>0</v>
      </c>
      <c r="I170">
        <v>169</v>
      </c>
      <c r="J170">
        <f t="shared" si="18"/>
        <v>0.23224292400907015</v>
      </c>
      <c r="K170">
        <f t="shared" si="19"/>
        <v>-0.9726578145718654</v>
      </c>
      <c r="L170">
        <f>VLOOKUP(D170,[1]SOI!$A$1:$C$142,3)</f>
        <v>3.6</v>
      </c>
      <c r="M170" s="2">
        <f t="shared" si="20"/>
        <v>39.249054157532854</v>
      </c>
      <c r="N170">
        <f t="shared" si="21"/>
        <v>-164.37917066264527</v>
      </c>
      <c r="O170" t="s">
        <v>8</v>
      </c>
    </row>
    <row r="171" spans="1:15" x14ac:dyDescent="0.35">
      <c r="A171">
        <v>2000</v>
      </c>
      <c r="B171">
        <v>6</v>
      </c>
      <c r="C171">
        <v>18</v>
      </c>
      <c r="D171" s="1">
        <f t="shared" si="16"/>
        <v>36695</v>
      </c>
      <c r="E171">
        <v>0</v>
      </c>
      <c r="F171">
        <f t="shared" si="22"/>
        <v>0</v>
      </c>
      <c r="G171">
        <f t="shared" si="17"/>
        <v>0</v>
      </c>
      <c r="H171">
        <f t="shared" si="23"/>
        <v>0</v>
      </c>
      <c r="I171">
        <v>170</v>
      </c>
      <c r="J171">
        <f t="shared" si="18"/>
        <v>0.21547731504673012</v>
      </c>
      <c r="K171">
        <f t="shared" si="19"/>
        <v>-0.97650884619661904</v>
      </c>
      <c r="L171">
        <f>VLOOKUP(D171,[1]SOI!$A$1:$C$142,3)</f>
        <v>3.6</v>
      </c>
      <c r="M171" s="2">
        <f t="shared" si="20"/>
        <v>36.631143557944121</v>
      </c>
      <c r="N171">
        <f t="shared" si="21"/>
        <v>-166.00650385342524</v>
      </c>
      <c r="O171" t="s">
        <v>8</v>
      </c>
    </row>
    <row r="172" spans="1:15" x14ac:dyDescent="0.35">
      <c r="A172">
        <v>2000</v>
      </c>
      <c r="B172">
        <v>6</v>
      </c>
      <c r="C172">
        <v>19</v>
      </c>
      <c r="D172" s="1">
        <f t="shared" si="16"/>
        <v>36696</v>
      </c>
      <c r="E172">
        <v>0</v>
      </c>
      <c r="F172">
        <f t="shared" si="22"/>
        <v>0</v>
      </c>
      <c r="G172">
        <f t="shared" si="17"/>
        <v>0</v>
      </c>
      <c r="H172">
        <f t="shared" si="23"/>
        <v>0</v>
      </c>
      <c r="I172">
        <v>171</v>
      </c>
      <c r="J172">
        <f t="shared" si="18"/>
        <v>0.19864794288017112</v>
      </c>
      <c r="K172">
        <f t="shared" si="19"/>
        <v>-0.98007091314326655</v>
      </c>
      <c r="L172">
        <f>VLOOKUP(D172,[1]SOI!$A$1:$C$142,3)</f>
        <v>3.6</v>
      </c>
      <c r="M172" s="2">
        <f t="shared" si="20"/>
        <v>33.968798232509265</v>
      </c>
      <c r="N172">
        <f t="shared" si="21"/>
        <v>-167.59212614749859</v>
      </c>
      <c r="O172" t="s">
        <v>8</v>
      </c>
    </row>
    <row r="173" spans="1:15" x14ac:dyDescent="0.35">
      <c r="A173">
        <v>2000</v>
      </c>
      <c r="B173">
        <v>6</v>
      </c>
      <c r="C173">
        <v>20</v>
      </c>
      <c r="D173" s="1">
        <f t="shared" si="16"/>
        <v>36697</v>
      </c>
      <c r="E173">
        <v>0</v>
      </c>
      <c r="F173">
        <f t="shared" si="22"/>
        <v>0</v>
      </c>
      <c r="G173">
        <f t="shared" si="17"/>
        <v>0</v>
      </c>
      <c r="H173">
        <f t="shared" si="23"/>
        <v>0</v>
      </c>
      <c r="I173">
        <v>172</v>
      </c>
      <c r="J173">
        <f t="shared" si="18"/>
        <v>0.18175978759137534</v>
      </c>
      <c r="K173">
        <f t="shared" si="19"/>
        <v>-0.98334296133889021</v>
      </c>
      <c r="L173">
        <f>VLOOKUP(D173,[1]SOI!$A$1:$C$142,3)</f>
        <v>3.6</v>
      </c>
      <c r="M173" s="2">
        <f t="shared" si="20"/>
        <v>31.26268346571656</v>
      </c>
      <c r="N173">
        <f t="shared" si="21"/>
        <v>-169.13498935028912</v>
      </c>
      <c r="O173" t="s">
        <v>8</v>
      </c>
    </row>
    <row r="174" spans="1:15" x14ac:dyDescent="0.35">
      <c r="A174">
        <v>2000</v>
      </c>
      <c r="B174">
        <v>6</v>
      </c>
      <c r="C174">
        <v>21</v>
      </c>
      <c r="D174" s="1">
        <f t="shared" si="16"/>
        <v>36698</v>
      </c>
      <c r="E174">
        <v>0.4</v>
      </c>
      <c r="F174">
        <f t="shared" si="22"/>
        <v>0</v>
      </c>
      <c r="G174">
        <f t="shared" si="17"/>
        <v>1</v>
      </c>
      <c r="H174">
        <f t="shared" si="23"/>
        <v>0</v>
      </c>
      <c r="I174">
        <v>173</v>
      </c>
      <c r="J174">
        <f t="shared" si="18"/>
        <v>0.16481784665719793</v>
      </c>
      <c r="K174">
        <f t="shared" si="19"/>
        <v>-0.98632402253178664</v>
      </c>
      <c r="L174">
        <f>VLOOKUP(D174,[1]SOI!$A$1:$C$142,3)</f>
        <v>3.6</v>
      </c>
      <c r="M174" s="2">
        <f t="shared" si="20"/>
        <v>28.513487471695242</v>
      </c>
      <c r="N174">
        <f t="shared" si="21"/>
        <v>-170.63405589799908</v>
      </c>
      <c r="O174" t="s">
        <v>8</v>
      </c>
    </row>
    <row r="175" spans="1:15" x14ac:dyDescent="0.35">
      <c r="A175">
        <v>2000</v>
      </c>
      <c r="B175">
        <v>6</v>
      </c>
      <c r="C175">
        <v>22</v>
      </c>
      <c r="D175" s="1">
        <f t="shared" si="16"/>
        <v>36699</v>
      </c>
      <c r="E175">
        <v>0.6</v>
      </c>
      <c r="F175">
        <f t="shared" si="22"/>
        <v>0.4</v>
      </c>
      <c r="G175">
        <f t="shared" si="17"/>
        <v>1</v>
      </c>
      <c r="H175">
        <f t="shared" si="23"/>
        <v>1</v>
      </c>
      <c r="I175">
        <v>174</v>
      </c>
      <c r="J175">
        <f t="shared" si="18"/>
        <v>0.14782713347053048</v>
      </c>
      <c r="K175">
        <f t="shared" si="19"/>
        <v>-0.9890132145779883</v>
      </c>
      <c r="L175">
        <f>VLOOKUP(D175,[1]SOI!$A$1:$C$142,3)</f>
        <v>3.6</v>
      </c>
      <c r="M175" s="2">
        <f t="shared" si="20"/>
        <v>25.721921223872304</v>
      </c>
      <c r="N175">
        <f t="shared" si="21"/>
        <v>-172.08829933656997</v>
      </c>
      <c r="O175" t="s">
        <v>8</v>
      </c>
    </row>
    <row r="176" spans="1:15" x14ac:dyDescent="0.35">
      <c r="A176">
        <v>2000</v>
      </c>
      <c r="B176">
        <v>6</v>
      </c>
      <c r="C176">
        <v>23</v>
      </c>
      <c r="D176" s="1">
        <f t="shared" si="16"/>
        <v>36700</v>
      </c>
      <c r="E176">
        <v>5.4</v>
      </c>
      <c r="F176">
        <f t="shared" si="22"/>
        <v>0.6</v>
      </c>
      <c r="G176">
        <f t="shared" si="17"/>
        <v>1</v>
      </c>
      <c r="H176">
        <f t="shared" si="23"/>
        <v>1</v>
      </c>
      <c r="I176">
        <v>175</v>
      </c>
      <c r="J176">
        <f t="shared" si="18"/>
        <v>0.13079267585675922</v>
      </c>
      <c r="K176">
        <f t="shared" si="19"/>
        <v>-0.99140974170230378</v>
      </c>
      <c r="L176">
        <f>VLOOKUP(D176,[1]SOI!$A$1:$C$142,3)</f>
        <v>3.6</v>
      </c>
      <c r="M176" s="2">
        <f t="shared" si="20"/>
        <v>22.888718274932863</v>
      </c>
      <c r="N176">
        <f t="shared" si="21"/>
        <v>-173.49670479790316</v>
      </c>
      <c r="O176" t="s">
        <v>8</v>
      </c>
    </row>
    <row r="177" spans="1:15" x14ac:dyDescent="0.35">
      <c r="A177">
        <v>2000</v>
      </c>
      <c r="B177">
        <v>6</v>
      </c>
      <c r="C177">
        <v>24</v>
      </c>
      <c r="D177" s="1">
        <f t="shared" si="16"/>
        <v>36701</v>
      </c>
      <c r="E177">
        <v>0</v>
      </c>
      <c r="F177">
        <f t="shared" si="22"/>
        <v>5.4</v>
      </c>
      <c r="G177">
        <f t="shared" si="17"/>
        <v>0</v>
      </c>
      <c r="H177">
        <f t="shared" si="23"/>
        <v>1</v>
      </c>
      <c r="I177">
        <v>176</v>
      </c>
      <c r="J177">
        <f t="shared" si="18"/>
        <v>0.11371951458594969</v>
      </c>
      <c r="K177">
        <f t="shared" si="19"/>
        <v>-0.99351289473380067</v>
      </c>
      <c r="L177">
        <f>VLOOKUP(D177,[1]SOI!$A$1:$C$142,3)</f>
        <v>3.6</v>
      </c>
      <c r="M177" s="2">
        <f t="shared" si="20"/>
        <v>20.014634567127146</v>
      </c>
      <c r="N177">
        <f t="shared" si="21"/>
        <v>-174.85826947314891</v>
      </c>
      <c r="O177" t="s">
        <v>8</v>
      </c>
    </row>
    <row r="178" spans="1:15" x14ac:dyDescent="0.35">
      <c r="A178">
        <v>2000</v>
      </c>
      <c r="B178">
        <v>6</v>
      </c>
      <c r="C178">
        <v>25</v>
      </c>
      <c r="D178" s="1">
        <f t="shared" si="16"/>
        <v>36702</v>
      </c>
      <c r="E178">
        <v>0</v>
      </c>
      <c r="F178">
        <f t="shared" si="22"/>
        <v>0</v>
      </c>
      <c r="G178">
        <f t="shared" si="17"/>
        <v>0</v>
      </c>
      <c r="H178">
        <f t="shared" si="23"/>
        <v>0</v>
      </c>
      <c r="I178">
        <v>177</v>
      </c>
      <c r="J178">
        <f t="shared" si="18"/>
        <v>9.6612701881203106E-2</v>
      </c>
      <c r="K178">
        <f t="shared" si="19"/>
        <v>-0.99532205131566021</v>
      </c>
      <c r="L178">
        <f>VLOOKUP(D178,[1]SOI!$A$1:$C$142,3)</f>
        <v>3.6</v>
      </c>
      <c r="M178" s="2">
        <f t="shared" si="20"/>
        <v>17.100448232972951</v>
      </c>
      <c r="N178">
        <f t="shared" si="21"/>
        <v>-176.17200308287187</v>
      </c>
      <c r="O178" t="s">
        <v>8</v>
      </c>
    </row>
    <row r="179" spans="1:15" x14ac:dyDescent="0.35">
      <c r="A179">
        <v>2000</v>
      </c>
      <c r="B179">
        <v>6</v>
      </c>
      <c r="C179">
        <v>26</v>
      </c>
      <c r="D179" s="1">
        <f t="shared" si="16"/>
        <v>36703</v>
      </c>
      <c r="E179">
        <v>0</v>
      </c>
      <c r="F179">
        <f t="shared" si="22"/>
        <v>0</v>
      </c>
      <c r="G179">
        <f t="shared" si="17"/>
        <v>0</v>
      </c>
      <c r="H179">
        <f t="shared" si="23"/>
        <v>0</v>
      </c>
      <c r="I179">
        <v>178</v>
      </c>
      <c r="J179">
        <f t="shared" si="18"/>
        <v>7.9477299923620973E-2</v>
      </c>
      <c r="K179">
        <f t="shared" si="19"/>
        <v>-0.99683667608934357</v>
      </c>
      <c r="L179">
        <f>VLOOKUP(D179,[1]SOI!$A$1:$C$142,3)</f>
        <v>3.6</v>
      </c>
      <c r="M179" s="2">
        <f t="shared" si="20"/>
        <v>14.146959386404534</v>
      </c>
      <c r="N179">
        <f t="shared" si="21"/>
        <v>-177.43692834390316</v>
      </c>
      <c r="O179" t="s">
        <v>8</v>
      </c>
    </row>
    <row r="180" spans="1:15" x14ac:dyDescent="0.35">
      <c r="A180">
        <v>2000</v>
      </c>
      <c r="B180">
        <v>6</v>
      </c>
      <c r="C180">
        <v>27</v>
      </c>
      <c r="D180" s="1">
        <f t="shared" si="16"/>
        <v>36704</v>
      </c>
      <c r="E180">
        <v>0</v>
      </c>
      <c r="F180">
        <f t="shared" si="22"/>
        <v>0</v>
      </c>
      <c r="G180">
        <f t="shared" si="17"/>
        <v>0</v>
      </c>
      <c r="H180">
        <f t="shared" si="23"/>
        <v>0</v>
      </c>
      <c r="I180">
        <v>179</v>
      </c>
      <c r="J180">
        <f t="shared" si="18"/>
        <v>6.2318379354325076E-2</v>
      </c>
      <c r="K180">
        <f t="shared" si="19"/>
        <v>-0.99805632085301199</v>
      </c>
      <c r="L180">
        <f>VLOOKUP(D180,[1]SOI!$A$1:$C$142,3)</f>
        <v>3.6</v>
      </c>
      <c r="M180" s="2">
        <f t="shared" si="20"/>
        <v>11.154989904424189</v>
      </c>
      <c r="N180">
        <f t="shared" si="21"/>
        <v>-178.65208143268916</v>
      </c>
      <c r="O180" t="s">
        <v>8</v>
      </c>
    </row>
    <row r="181" spans="1:15" x14ac:dyDescent="0.35">
      <c r="A181">
        <v>2000</v>
      </c>
      <c r="B181">
        <v>6</v>
      </c>
      <c r="C181">
        <v>28</v>
      </c>
      <c r="D181" s="1">
        <f t="shared" si="16"/>
        <v>36705</v>
      </c>
      <c r="E181">
        <v>0</v>
      </c>
      <c r="F181">
        <f t="shared" si="22"/>
        <v>0</v>
      </c>
      <c r="G181">
        <f t="shared" si="17"/>
        <v>0</v>
      </c>
      <c r="H181">
        <f t="shared" si="23"/>
        <v>0</v>
      </c>
      <c r="I181">
        <v>180</v>
      </c>
      <c r="J181">
        <f t="shared" si="18"/>
        <v>4.5141017773971927E-2</v>
      </c>
      <c r="K181">
        <f t="shared" si="19"/>
        <v>-0.99898062469415794</v>
      </c>
      <c r="L181">
        <f>VLOOKUP(D181,[1]SOI!$A$1:$C$142,3)</f>
        <v>3.6</v>
      </c>
      <c r="M181" s="2">
        <f t="shared" si="20"/>
        <v>8.1253831993149461</v>
      </c>
      <c r="N181">
        <f t="shared" si="21"/>
        <v>-179.81651244494842</v>
      </c>
      <c r="O181" t="s">
        <v>8</v>
      </c>
    </row>
    <row r="182" spans="1:15" x14ac:dyDescent="0.35">
      <c r="A182">
        <v>2000</v>
      </c>
      <c r="B182">
        <v>6</v>
      </c>
      <c r="C182">
        <v>29</v>
      </c>
      <c r="D182" s="1">
        <f t="shared" si="16"/>
        <v>36706</v>
      </c>
      <c r="E182">
        <v>0.4</v>
      </c>
      <c r="F182">
        <f t="shared" si="22"/>
        <v>0</v>
      </c>
      <c r="G182">
        <f t="shared" si="17"/>
        <v>1</v>
      </c>
      <c r="H182">
        <f t="shared" si="23"/>
        <v>0</v>
      </c>
      <c r="I182">
        <v>181</v>
      </c>
      <c r="J182">
        <f t="shared" si="18"/>
        <v>2.7950298240210319E-2</v>
      </c>
      <c r="K182">
        <f t="shared" si="19"/>
        <v>-0.99960931409640397</v>
      </c>
      <c r="L182">
        <f>VLOOKUP(D182,[1]SOI!$A$1:$C$142,3)</f>
        <v>3.6</v>
      </c>
      <c r="M182" s="2">
        <f t="shared" si="20"/>
        <v>5.0590039814780674</v>
      </c>
      <c r="N182">
        <f t="shared" si="21"/>
        <v>-180.92928585144912</v>
      </c>
      <c r="O182" t="s">
        <v>8</v>
      </c>
    </row>
    <row r="183" spans="1:15" x14ac:dyDescent="0.35">
      <c r="A183">
        <v>2000</v>
      </c>
      <c r="B183">
        <v>6</v>
      </c>
      <c r="C183">
        <v>30</v>
      </c>
      <c r="D183" s="1">
        <f t="shared" si="16"/>
        <v>36707</v>
      </c>
      <c r="E183">
        <v>0.2</v>
      </c>
      <c r="F183">
        <f t="shared" si="22"/>
        <v>0.4</v>
      </c>
      <c r="G183">
        <f t="shared" si="17"/>
        <v>1</v>
      </c>
      <c r="H183">
        <f t="shared" si="23"/>
        <v>1</v>
      </c>
      <c r="I183">
        <v>182</v>
      </c>
      <c r="J183">
        <f t="shared" si="18"/>
        <v>1.075130776352193E-2</v>
      </c>
      <c r="K183">
        <f t="shared" si="19"/>
        <v>-0.99994220302044157</v>
      </c>
      <c r="L183">
        <f>VLOOKUP(D183,[1]SOI!$A$1:$C$142,3)</f>
        <v>3.6</v>
      </c>
      <c r="M183" s="2">
        <f t="shared" si="20"/>
        <v>1.9567380129609913</v>
      </c>
      <c r="N183">
        <f t="shared" si="21"/>
        <v>-181.98948094972036</v>
      </c>
      <c r="O183" t="s">
        <v>8</v>
      </c>
    </row>
    <row r="184" spans="1:15" x14ac:dyDescent="0.35">
      <c r="A184">
        <v>2000</v>
      </c>
      <c r="B184">
        <v>7</v>
      </c>
      <c r="C184">
        <v>1</v>
      </c>
      <c r="D184" s="1">
        <f t="shared" si="16"/>
        <v>36708</v>
      </c>
      <c r="E184">
        <v>1</v>
      </c>
      <c r="F184">
        <f t="shared" si="22"/>
        <v>0.2</v>
      </c>
      <c r="G184">
        <f t="shared" si="17"/>
        <v>1</v>
      </c>
      <c r="H184">
        <f t="shared" si="23"/>
        <v>1</v>
      </c>
      <c r="I184">
        <v>183</v>
      </c>
      <c r="J184">
        <f t="shared" si="18"/>
        <v>-6.4508641981051501E-3</v>
      </c>
      <c r="K184">
        <f t="shared" si="19"/>
        <v>-0.99997919295908233</v>
      </c>
      <c r="L184">
        <f>VLOOKUP(D184,[1]SOI!$A$1:$C$142,3)</f>
        <v>-5.5</v>
      </c>
      <c r="M184" s="2">
        <f t="shared" si="20"/>
        <v>-1.1805081482532425</v>
      </c>
      <c r="N184">
        <f t="shared" si="21"/>
        <v>-182.99619231151206</v>
      </c>
      <c r="O184" t="s">
        <v>8</v>
      </c>
    </row>
    <row r="185" spans="1:15" x14ac:dyDescent="0.35">
      <c r="A185">
        <v>2000</v>
      </c>
      <c r="B185">
        <v>7</v>
      </c>
      <c r="C185">
        <v>2</v>
      </c>
      <c r="D185" s="1">
        <f t="shared" si="16"/>
        <v>36709</v>
      </c>
      <c r="E185">
        <v>0</v>
      </c>
      <c r="F185">
        <f t="shared" si="22"/>
        <v>1</v>
      </c>
      <c r="G185">
        <f t="shared" si="17"/>
        <v>0</v>
      </c>
      <c r="H185">
        <f t="shared" si="23"/>
        <v>1</v>
      </c>
      <c r="I185">
        <v>184</v>
      </c>
      <c r="J185">
        <f t="shared" si="18"/>
        <v>-2.3651127245231586E-2</v>
      </c>
      <c r="K185">
        <f t="shared" si="19"/>
        <v>-0.99972027296640831</v>
      </c>
      <c r="L185">
        <f>VLOOKUP(D185,[1]SOI!$A$1:$C$142,3)</f>
        <v>-5.5</v>
      </c>
      <c r="M185" s="2">
        <f t="shared" si="20"/>
        <v>-4.3518074131226117</v>
      </c>
      <c r="N185">
        <f t="shared" si="21"/>
        <v>-183.94853022581913</v>
      </c>
      <c r="O185" t="s">
        <v>8</v>
      </c>
    </row>
    <row r="186" spans="1:15" x14ac:dyDescent="0.35">
      <c r="A186">
        <v>2000</v>
      </c>
      <c r="B186">
        <v>7</v>
      </c>
      <c r="C186">
        <v>3</v>
      </c>
      <c r="D186" s="1">
        <f t="shared" si="16"/>
        <v>36710</v>
      </c>
      <c r="E186">
        <v>0</v>
      </c>
      <c r="F186">
        <f t="shared" si="22"/>
        <v>0</v>
      </c>
      <c r="G186">
        <f t="shared" si="17"/>
        <v>0</v>
      </c>
      <c r="H186">
        <f t="shared" si="23"/>
        <v>0</v>
      </c>
      <c r="I186">
        <v>185</v>
      </c>
      <c r="J186">
        <f t="shared" si="18"/>
        <v>-4.084439154329611E-2</v>
      </c>
      <c r="K186">
        <f t="shared" si="19"/>
        <v>-0.99916551966101086</v>
      </c>
      <c r="L186">
        <f>VLOOKUP(D186,[1]SOI!$A$1:$C$142,3)</f>
        <v>-5.5</v>
      </c>
      <c r="M186" s="2">
        <f t="shared" si="20"/>
        <v>-7.5562124355097806</v>
      </c>
      <c r="N186">
        <f t="shared" si="21"/>
        <v>-184.845621137287</v>
      </c>
      <c r="O186" t="s">
        <v>8</v>
      </c>
    </row>
    <row r="187" spans="1:15" x14ac:dyDescent="0.35">
      <c r="A187">
        <v>2000</v>
      </c>
      <c r="B187">
        <v>7</v>
      </c>
      <c r="C187">
        <v>4</v>
      </c>
      <c r="D187" s="1">
        <f t="shared" si="16"/>
        <v>36711</v>
      </c>
      <c r="E187">
        <v>0</v>
      </c>
      <c r="F187">
        <f t="shared" si="22"/>
        <v>0</v>
      </c>
      <c r="G187">
        <f t="shared" si="17"/>
        <v>0</v>
      </c>
      <c r="H187">
        <f t="shared" si="23"/>
        <v>0</v>
      </c>
      <c r="I187">
        <v>186</v>
      </c>
      <c r="J187">
        <f t="shared" si="18"/>
        <v>-5.8025569328780349E-2</v>
      </c>
      <c r="K187">
        <f t="shared" si="19"/>
        <v>-0.99831509720331835</v>
      </c>
      <c r="L187">
        <f>VLOOKUP(D187,[1]SOI!$A$1:$C$142,3)</f>
        <v>-5.5</v>
      </c>
      <c r="M187" s="2">
        <f t="shared" si="20"/>
        <v>-10.792755895153144</v>
      </c>
      <c r="N187">
        <f t="shared" si="21"/>
        <v>-185.6866080798172</v>
      </c>
      <c r="O187" t="s">
        <v>8</v>
      </c>
    </row>
    <row r="188" spans="1:15" x14ac:dyDescent="0.35">
      <c r="A188">
        <v>2000</v>
      </c>
      <c r="B188">
        <v>7</v>
      </c>
      <c r="C188">
        <v>5</v>
      </c>
      <c r="D188" s="1">
        <f t="shared" si="16"/>
        <v>36712</v>
      </c>
      <c r="E188">
        <v>0</v>
      </c>
      <c r="F188">
        <f t="shared" si="22"/>
        <v>0</v>
      </c>
      <c r="G188">
        <f t="shared" si="17"/>
        <v>0</v>
      </c>
      <c r="H188">
        <f t="shared" si="23"/>
        <v>0</v>
      </c>
      <c r="I188">
        <v>187</v>
      </c>
      <c r="J188">
        <f t="shared" si="18"/>
        <v>-7.5189576414758555E-2</v>
      </c>
      <c r="K188">
        <f t="shared" si="19"/>
        <v>-0.99716925724701777</v>
      </c>
      <c r="L188">
        <f>VLOOKUP(D188,[1]SOI!$A$1:$C$142,3)</f>
        <v>-5.5</v>
      </c>
      <c r="M188" s="2">
        <f t="shared" si="20"/>
        <v>-14.06045078955985</v>
      </c>
      <c r="N188">
        <f t="shared" si="21"/>
        <v>-186.47065110519233</v>
      </c>
      <c r="O188" t="s">
        <v>8</v>
      </c>
    </row>
    <row r="189" spans="1:15" x14ac:dyDescent="0.35">
      <c r="A189">
        <v>2000</v>
      </c>
      <c r="B189">
        <v>7</v>
      </c>
      <c r="C189">
        <v>6</v>
      </c>
      <c r="D189" s="1">
        <f t="shared" si="16"/>
        <v>36713</v>
      </c>
      <c r="E189">
        <v>3.4</v>
      </c>
      <c r="F189">
        <f t="shared" si="22"/>
        <v>0</v>
      </c>
      <c r="G189">
        <f t="shared" si="17"/>
        <v>1</v>
      </c>
      <c r="H189">
        <f t="shared" si="23"/>
        <v>0</v>
      </c>
      <c r="I189">
        <v>188</v>
      </c>
      <c r="J189">
        <f t="shared" si="18"/>
        <v>-9.2331333695391218E-2</v>
      </c>
      <c r="K189">
        <f t="shared" si="19"/>
        <v>-0.99572833886458723</v>
      </c>
      <c r="L189">
        <f>VLOOKUP(D189,[1]SOI!$A$1:$C$142,3)</f>
        <v>-5.5</v>
      </c>
      <c r="M189" s="2">
        <f t="shared" si="20"/>
        <v>-17.358290734733551</v>
      </c>
      <c r="N189">
        <f t="shared" si="21"/>
        <v>-187.1969277065424</v>
      </c>
      <c r="O189" t="s">
        <v>8</v>
      </c>
    </row>
    <row r="190" spans="1:15" x14ac:dyDescent="0.35">
      <c r="A190">
        <v>2000</v>
      </c>
      <c r="B190">
        <v>7</v>
      </c>
      <c r="C190">
        <v>7</v>
      </c>
      <c r="D190" s="1">
        <f t="shared" si="16"/>
        <v>36714</v>
      </c>
      <c r="E190">
        <v>0</v>
      </c>
      <c r="F190">
        <f t="shared" si="22"/>
        <v>3.4</v>
      </c>
      <c r="G190">
        <f t="shared" si="17"/>
        <v>0</v>
      </c>
      <c r="H190">
        <f t="shared" si="23"/>
        <v>1</v>
      </c>
      <c r="I190">
        <v>189</v>
      </c>
      <c r="J190">
        <f t="shared" si="18"/>
        <v>-0.10944576864891556</v>
      </c>
      <c r="K190">
        <f t="shared" si="19"/>
        <v>-0.99399276844695805</v>
      </c>
      <c r="L190">
        <f>VLOOKUP(D190,[1]SOI!$A$1:$C$142,3)</f>
        <v>-5.5</v>
      </c>
      <c r="M190" s="2">
        <f t="shared" si="20"/>
        <v>-20.685250274645039</v>
      </c>
      <c r="N190">
        <f t="shared" si="21"/>
        <v>-187.86463323647507</v>
      </c>
      <c r="O190" t="s">
        <v>8</v>
      </c>
    </row>
    <row r="191" spans="1:15" x14ac:dyDescent="0.35">
      <c r="A191">
        <v>2000</v>
      </c>
      <c r="B191">
        <v>7</v>
      </c>
      <c r="C191">
        <v>8</v>
      </c>
      <c r="D191" s="1">
        <f t="shared" si="16"/>
        <v>36715</v>
      </c>
      <c r="E191">
        <v>0</v>
      </c>
      <c r="F191">
        <f t="shared" si="22"/>
        <v>0</v>
      </c>
      <c r="G191">
        <f t="shared" si="17"/>
        <v>0</v>
      </c>
      <c r="H191">
        <f t="shared" si="23"/>
        <v>0</v>
      </c>
      <c r="I191">
        <v>190</v>
      </c>
      <c r="J191">
        <f t="shared" si="18"/>
        <v>-0.12652781683868314</v>
      </c>
      <c r="K191">
        <f t="shared" si="19"/>
        <v>-0.99196305957733966</v>
      </c>
      <c r="L191">
        <f>VLOOKUP(D191,[1]SOI!$A$1:$C$142,3)</f>
        <v>-5.5</v>
      </c>
      <c r="M191" s="2">
        <f t="shared" si="20"/>
        <v>-24.040285199349796</v>
      </c>
      <c r="N191">
        <f t="shared" si="21"/>
        <v>-188.47298131969453</v>
      </c>
      <c r="O191" t="s">
        <v>8</v>
      </c>
    </row>
    <row r="192" spans="1:15" x14ac:dyDescent="0.35">
      <c r="A192">
        <v>2000</v>
      </c>
      <c r="B192">
        <v>7</v>
      </c>
      <c r="C192">
        <v>9</v>
      </c>
      <c r="D192" s="1">
        <f t="shared" si="16"/>
        <v>36716</v>
      </c>
      <c r="E192">
        <v>0</v>
      </c>
      <c r="F192">
        <f t="shared" si="22"/>
        <v>0</v>
      </c>
      <c r="G192">
        <f t="shared" si="17"/>
        <v>0</v>
      </c>
      <c r="H192">
        <f t="shared" si="23"/>
        <v>0</v>
      </c>
      <c r="I192">
        <v>191</v>
      </c>
      <c r="J192">
        <f t="shared" si="18"/>
        <v>-0.14357242341181131</v>
      </c>
      <c r="K192">
        <f t="shared" si="19"/>
        <v>-0.98963981287924119</v>
      </c>
      <c r="L192">
        <f>VLOOKUP(D192,[1]SOI!$A$1:$C$142,3)</f>
        <v>-5.5</v>
      </c>
      <c r="M192" s="2">
        <f t="shared" si="20"/>
        <v>-27.422332871655961</v>
      </c>
      <c r="N192">
        <f t="shared" si="21"/>
        <v>-189.02120425993508</v>
      </c>
      <c r="O192" t="s">
        <v>8</v>
      </c>
    </row>
    <row r="193" spans="1:15" x14ac:dyDescent="0.35">
      <c r="A193">
        <v>2000</v>
      </c>
      <c r="B193">
        <v>7</v>
      </c>
      <c r="C193">
        <v>10</v>
      </c>
      <c r="D193" s="1">
        <f t="shared" si="16"/>
        <v>36717</v>
      </c>
      <c r="E193">
        <v>0.4</v>
      </c>
      <c r="F193">
        <f t="shared" si="22"/>
        <v>0</v>
      </c>
      <c r="G193">
        <f t="shared" si="17"/>
        <v>1</v>
      </c>
      <c r="H193">
        <f t="shared" si="23"/>
        <v>0</v>
      </c>
      <c r="I193">
        <v>192</v>
      </c>
      <c r="J193">
        <f t="shared" si="18"/>
        <v>-0.16057454459499376</v>
      </c>
      <c r="K193">
        <f t="shared" si="19"/>
        <v>-0.98702371583873827</v>
      </c>
      <c r="L193">
        <f>VLOOKUP(D193,[1]SOI!$A$1:$C$142,3)</f>
        <v>-5.5</v>
      </c>
      <c r="M193" s="2">
        <f t="shared" si="20"/>
        <v>-30.830312562238802</v>
      </c>
      <c r="N193">
        <f t="shared" si="21"/>
        <v>-189.50855344103775</v>
      </c>
      <c r="O193" t="s">
        <v>8</v>
      </c>
    </row>
    <row r="194" spans="1:15" x14ac:dyDescent="0.35">
      <c r="A194">
        <v>2000</v>
      </c>
      <c r="B194">
        <v>7</v>
      </c>
      <c r="C194">
        <v>11</v>
      </c>
      <c r="D194" s="1">
        <f t="shared" si="16"/>
        <v>36718</v>
      </c>
      <c r="E194">
        <v>0.2</v>
      </c>
      <c r="F194">
        <f t="shared" si="22"/>
        <v>0.4</v>
      </c>
      <c r="G194">
        <f t="shared" si="17"/>
        <v>1</v>
      </c>
      <c r="H194">
        <f t="shared" si="23"/>
        <v>1</v>
      </c>
      <c r="I194">
        <v>193</v>
      </c>
      <c r="J194">
        <f t="shared" si="18"/>
        <v>-0.17752914918703497</v>
      </c>
      <c r="K194">
        <f t="shared" si="19"/>
        <v>-0.98411554260103395</v>
      </c>
      <c r="L194">
        <f>VLOOKUP(D194,[1]SOI!$A$1:$C$142,3)</f>
        <v>-5.5</v>
      </c>
      <c r="M194" s="2">
        <f t="shared" si="20"/>
        <v>-34.26312579309775</v>
      </c>
      <c r="N194">
        <f t="shared" si="21"/>
        <v>-189.93429972199957</v>
      </c>
      <c r="O194" t="s">
        <v>8</v>
      </c>
    </row>
    <row r="195" spans="1:15" x14ac:dyDescent="0.35">
      <c r="A195">
        <v>2000</v>
      </c>
      <c r="B195">
        <v>7</v>
      </c>
      <c r="C195">
        <v>12</v>
      </c>
      <c r="D195" s="1">
        <f t="shared" ref="D195:D258" si="24">DATE(A195,B195,C195)</f>
        <v>36719</v>
      </c>
      <c r="E195">
        <v>0</v>
      </c>
      <c r="F195">
        <f t="shared" si="22"/>
        <v>0.2</v>
      </c>
      <c r="G195">
        <f t="shared" ref="G195:G258" si="25">IF(E195=0,0,1)</f>
        <v>0</v>
      </c>
      <c r="H195">
        <f t="shared" si="23"/>
        <v>1</v>
      </c>
      <c r="I195">
        <v>194</v>
      </c>
      <c r="J195">
        <f t="shared" ref="J195:J258" si="26">SIN(2*PI()*I195/365.25)</f>
        <v>-0.19443122004766195</v>
      </c>
      <c r="K195">
        <f t="shared" ref="K195:K258" si="27">COS(2*PI()*I195/365.25)</f>
        <v>-0.98091615374137742</v>
      </c>
      <c r="L195">
        <f>VLOOKUP(D195,[1]SOI!$A$1:$C$142,3)</f>
        <v>-5.5</v>
      </c>
      <c r="M195" s="2">
        <f t="shared" ref="M195:M258" si="28">I195*J195</f>
        <v>-37.71965668924642</v>
      </c>
      <c r="N195">
        <f t="shared" ref="N195:N258" si="29">I195*K195</f>
        <v>-190.29773382582721</v>
      </c>
      <c r="O195" t="s">
        <v>8</v>
      </c>
    </row>
    <row r="196" spans="1:15" x14ac:dyDescent="0.35">
      <c r="A196">
        <v>2000</v>
      </c>
      <c r="B196">
        <v>7</v>
      </c>
      <c r="C196">
        <v>13</v>
      </c>
      <c r="D196" s="1">
        <f t="shared" si="24"/>
        <v>36720</v>
      </c>
      <c r="E196">
        <v>1.4</v>
      </c>
      <c r="F196">
        <f t="shared" ref="F196:F259" si="30">E195</f>
        <v>0</v>
      </c>
      <c r="G196">
        <f t="shared" si="25"/>
        <v>1</v>
      </c>
      <c r="H196">
        <f t="shared" ref="H196:H259" si="31">G195</f>
        <v>0</v>
      </c>
      <c r="I196">
        <v>195</v>
      </c>
      <c r="J196">
        <f t="shared" si="26"/>
        <v>-0.21127575558217929</v>
      </c>
      <c r="K196">
        <f t="shared" si="27"/>
        <v>-0.97742649601040554</v>
      </c>
      <c r="L196">
        <f>VLOOKUP(D196,[1]SOI!$A$1:$C$142,3)</f>
        <v>-5.5</v>
      </c>
      <c r="M196" s="2">
        <f t="shared" si="28"/>
        <v>-41.198772338524961</v>
      </c>
      <c r="N196">
        <f t="shared" si="29"/>
        <v>-190.59816672202908</v>
      </c>
      <c r="O196" t="s">
        <v>8</v>
      </c>
    </row>
    <row r="197" spans="1:15" x14ac:dyDescent="0.35">
      <c r="A197">
        <v>2000</v>
      </c>
      <c r="B197">
        <v>7</v>
      </c>
      <c r="C197">
        <v>14</v>
      </c>
      <c r="D197" s="1">
        <f t="shared" si="24"/>
        <v>36721</v>
      </c>
      <c r="E197">
        <v>0.4</v>
      </c>
      <c r="F197">
        <f t="shared" si="30"/>
        <v>1.4</v>
      </c>
      <c r="G197">
        <f t="shared" si="25"/>
        <v>1</v>
      </c>
      <c r="H197">
        <f t="shared" si="31"/>
        <v>1</v>
      </c>
      <c r="I197">
        <v>196</v>
      </c>
      <c r="J197">
        <f t="shared" si="26"/>
        <v>-0.22805777122151979</v>
      </c>
      <c r="K197">
        <f t="shared" si="27"/>
        <v>-0.97364760205398382</v>
      </c>
      <c r="L197">
        <f>VLOOKUP(D197,[1]SOI!$A$1:$C$142,3)</f>
        <v>-5.5</v>
      </c>
      <c r="M197" s="2">
        <f t="shared" si="28"/>
        <v>-44.699323159417879</v>
      </c>
      <c r="N197">
        <f t="shared" si="29"/>
        <v>-190.83493000258082</v>
      </c>
      <c r="O197" t="s">
        <v>8</v>
      </c>
    </row>
    <row r="198" spans="1:15" x14ac:dyDescent="0.35">
      <c r="A198">
        <v>2000</v>
      </c>
      <c r="B198">
        <v>7</v>
      </c>
      <c r="C198">
        <v>15</v>
      </c>
      <c r="D198" s="1">
        <f t="shared" si="24"/>
        <v>36722</v>
      </c>
      <c r="E198">
        <v>0.4</v>
      </c>
      <c r="F198">
        <f t="shared" si="30"/>
        <v>0.4</v>
      </c>
      <c r="G198">
        <f t="shared" si="25"/>
        <v>1</v>
      </c>
      <c r="H198">
        <f t="shared" si="31"/>
        <v>1</v>
      </c>
      <c r="I198">
        <v>197</v>
      </c>
      <c r="J198">
        <f t="shared" si="26"/>
        <v>-0.24477230089725957</v>
      </c>
      <c r="K198">
        <f t="shared" si="27"/>
        <v>-0.96958059010763076</v>
      </c>
      <c r="L198">
        <f>VLOOKUP(D198,[1]SOI!$A$1:$C$142,3)</f>
        <v>-5.5</v>
      </c>
      <c r="M198" s="2">
        <f t="shared" si="28"/>
        <v>-48.220143276760133</v>
      </c>
      <c r="N198">
        <f t="shared" si="29"/>
        <v>-191.00737625120325</v>
      </c>
      <c r="O198" t="s">
        <v>8</v>
      </c>
    </row>
    <row r="199" spans="1:15" x14ac:dyDescent="0.35">
      <c r="A199">
        <v>2000</v>
      </c>
      <c r="B199">
        <v>7</v>
      </c>
      <c r="C199">
        <v>16</v>
      </c>
      <c r="D199" s="1">
        <f t="shared" si="24"/>
        <v>36723</v>
      </c>
      <c r="E199">
        <v>0</v>
      </c>
      <c r="F199">
        <f t="shared" si="30"/>
        <v>0.4</v>
      </c>
      <c r="G199">
        <f t="shared" si="25"/>
        <v>0</v>
      </c>
      <c r="H199">
        <f t="shared" si="31"/>
        <v>1</v>
      </c>
      <c r="I199">
        <v>198</v>
      </c>
      <c r="J199">
        <f t="shared" si="26"/>
        <v>-0.26141439851115622</v>
      </c>
      <c r="K199">
        <f t="shared" si="27"/>
        <v>-0.96522666366561305</v>
      </c>
      <c r="L199">
        <f>VLOOKUP(D199,[1]SOI!$A$1:$C$142,3)</f>
        <v>-5.5</v>
      </c>
      <c r="M199" s="2">
        <f t="shared" si="28"/>
        <v>-51.760050905208935</v>
      </c>
      <c r="N199">
        <f t="shared" si="29"/>
        <v>-191.11487940579138</v>
      </c>
      <c r="O199" t="s">
        <v>8</v>
      </c>
    </row>
    <row r="200" spans="1:15" x14ac:dyDescent="0.35">
      <c r="A200">
        <v>2000</v>
      </c>
      <c r="B200">
        <v>7</v>
      </c>
      <c r="C200">
        <v>17</v>
      </c>
      <c r="D200" s="1">
        <f t="shared" si="24"/>
        <v>36724</v>
      </c>
      <c r="E200">
        <v>0</v>
      </c>
      <c r="F200">
        <f t="shared" si="30"/>
        <v>0</v>
      </c>
      <c r="G200">
        <f t="shared" si="25"/>
        <v>0</v>
      </c>
      <c r="H200">
        <f t="shared" si="31"/>
        <v>0</v>
      </c>
      <c r="I200">
        <v>199</v>
      </c>
      <c r="J200">
        <f t="shared" si="26"/>
        <v>-0.27797913939878011</v>
      </c>
      <c r="K200">
        <f t="shared" si="27"/>
        <v>-0.96058711112481288</v>
      </c>
      <c r="L200">
        <f>VLOOKUP(D200,[1]SOI!$A$1:$C$142,3)</f>
        <v>-5.5</v>
      </c>
      <c r="M200" s="2">
        <f t="shared" si="28"/>
        <v>-55.317848740357242</v>
      </c>
      <c r="N200">
        <f t="shared" si="29"/>
        <v>-191.15683511383776</v>
      </c>
      <c r="O200" t="s">
        <v>8</v>
      </c>
    </row>
    <row r="201" spans="1:15" x14ac:dyDescent="0.35">
      <c r="A201">
        <v>2000</v>
      </c>
      <c r="B201">
        <v>7</v>
      </c>
      <c r="C201">
        <v>18</v>
      </c>
      <c r="D201" s="1">
        <f t="shared" si="24"/>
        <v>36725</v>
      </c>
      <c r="E201">
        <v>0</v>
      </c>
      <c r="F201">
        <f t="shared" si="30"/>
        <v>0</v>
      </c>
      <c r="G201">
        <f t="shared" si="25"/>
        <v>0</v>
      </c>
      <c r="H201">
        <f t="shared" si="31"/>
        <v>0</v>
      </c>
      <c r="I201">
        <v>200</v>
      </c>
      <c r="J201">
        <f t="shared" si="26"/>
        <v>-0.29446162178680119</v>
      </c>
      <c r="K201">
        <f t="shared" si="27"/>
        <v>-0.95566330540347044</v>
      </c>
      <c r="L201">
        <f>VLOOKUP(D201,[1]SOI!$A$1:$C$142,3)</f>
        <v>-5.5</v>
      </c>
      <c r="M201" s="2">
        <f t="shared" si="28"/>
        <v>-58.892324357360238</v>
      </c>
      <c r="N201">
        <f t="shared" si="29"/>
        <v>-191.13266108069408</v>
      </c>
      <c r="O201" t="s">
        <v>8</v>
      </c>
    </row>
    <row r="202" spans="1:15" x14ac:dyDescent="0.35">
      <c r="A202">
        <v>2000</v>
      </c>
      <c r="B202">
        <v>7</v>
      </c>
      <c r="C202">
        <v>19</v>
      </c>
      <c r="D202" s="1">
        <f t="shared" si="24"/>
        <v>36726</v>
      </c>
      <c r="E202">
        <v>9.6</v>
      </c>
      <c r="F202">
        <f t="shared" si="30"/>
        <v>0</v>
      </c>
      <c r="G202">
        <f t="shared" si="25"/>
        <v>1</v>
      </c>
      <c r="H202">
        <f t="shared" si="31"/>
        <v>0</v>
      </c>
      <c r="I202">
        <v>201</v>
      </c>
      <c r="J202">
        <f t="shared" si="26"/>
        <v>-0.31085696824350362</v>
      </c>
      <c r="K202">
        <f t="shared" si="27"/>
        <v>-0.95045670353491507</v>
      </c>
      <c r="L202">
        <f>VLOOKUP(D202,[1]SOI!$A$1:$C$142,3)</f>
        <v>-5.5</v>
      </c>
      <c r="M202" s="2">
        <f t="shared" si="28"/>
        <v>-62.482250616944228</v>
      </c>
      <c r="N202">
        <f t="shared" si="29"/>
        <v>-191.04179741051792</v>
      </c>
      <c r="O202" t="s">
        <v>8</v>
      </c>
    </row>
    <row r="203" spans="1:15" x14ac:dyDescent="0.35">
      <c r="A203">
        <v>2000</v>
      </c>
      <c r="B203">
        <v>7</v>
      </c>
      <c r="C203">
        <v>20</v>
      </c>
      <c r="D203" s="1">
        <f t="shared" si="24"/>
        <v>36727</v>
      </c>
      <c r="E203">
        <v>7</v>
      </c>
      <c r="F203">
        <f t="shared" si="30"/>
        <v>9.6</v>
      </c>
      <c r="G203">
        <f t="shared" si="25"/>
        <v>1</v>
      </c>
      <c r="H203">
        <f t="shared" si="31"/>
        <v>1</v>
      </c>
      <c r="I203">
        <v>202</v>
      </c>
      <c r="J203">
        <f t="shared" si="26"/>
        <v>-0.32716032712209508</v>
      </c>
      <c r="K203">
        <f t="shared" si="27"/>
        <v>-0.94496884623640565</v>
      </c>
      <c r="L203">
        <f>VLOOKUP(D203,[1]SOI!$A$1:$C$142,3)</f>
        <v>-5.5</v>
      </c>
      <c r="M203" s="2">
        <f t="shared" si="28"/>
        <v>-66.08638607866321</v>
      </c>
      <c r="N203">
        <f t="shared" si="29"/>
        <v>-190.88370693975395</v>
      </c>
      <c r="O203" t="s">
        <v>8</v>
      </c>
    </row>
    <row r="204" spans="1:15" x14ac:dyDescent="0.35">
      <c r="A204">
        <v>2000</v>
      </c>
      <c r="B204">
        <v>7</v>
      </c>
      <c r="C204">
        <v>21</v>
      </c>
      <c r="D204" s="1">
        <f t="shared" si="24"/>
        <v>36728</v>
      </c>
      <c r="E204">
        <v>0</v>
      </c>
      <c r="F204">
        <f t="shared" si="30"/>
        <v>7</v>
      </c>
      <c r="G204">
        <f t="shared" si="25"/>
        <v>0</v>
      </c>
      <c r="H204">
        <f t="shared" si="31"/>
        <v>1</v>
      </c>
      <c r="I204">
        <v>203</v>
      </c>
      <c r="J204">
        <f t="shared" si="26"/>
        <v>-0.34336687399638804</v>
      </c>
      <c r="K204">
        <f t="shared" si="27"/>
        <v>-0.93920135745320799</v>
      </c>
      <c r="L204">
        <f>VLOOKUP(D204,[1]SOI!$A$1:$C$142,3)</f>
        <v>-5.5</v>
      </c>
      <c r="M204" s="2">
        <f t="shared" si="28"/>
        <v>-69.703475421266774</v>
      </c>
      <c r="N204">
        <f t="shared" si="29"/>
        <v>-190.65787556300123</v>
      </c>
      <c r="O204" t="s">
        <v>8</v>
      </c>
    </row>
    <row r="205" spans="1:15" x14ac:dyDescent="0.35">
      <c r="A205">
        <v>2000</v>
      </c>
      <c r="B205">
        <v>7</v>
      </c>
      <c r="C205">
        <v>22</v>
      </c>
      <c r="D205" s="1">
        <f t="shared" si="24"/>
        <v>36729</v>
      </c>
      <c r="E205">
        <v>0</v>
      </c>
      <c r="F205">
        <f t="shared" si="30"/>
        <v>0</v>
      </c>
      <c r="G205">
        <f t="shared" si="25"/>
        <v>0</v>
      </c>
      <c r="H205">
        <f t="shared" si="31"/>
        <v>0</v>
      </c>
      <c r="I205">
        <v>204</v>
      </c>
      <c r="J205">
        <f t="shared" si="26"/>
        <v>-0.35947181308842319</v>
      </c>
      <c r="K205">
        <f t="shared" si="27"/>
        <v>-0.93315594387804324</v>
      </c>
      <c r="L205">
        <f>VLOOKUP(D205,[1]SOI!$A$1:$C$142,3)</f>
        <v>-5.5</v>
      </c>
      <c r="M205" s="2">
        <f t="shared" si="28"/>
        <v>-73.332249870038325</v>
      </c>
      <c r="N205">
        <f t="shared" si="29"/>
        <v>-190.36381255112082</v>
      </c>
      <c r="O205" t="s">
        <v>8</v>
      </c>
    </row>
    <row r="206" spans="1:15" x14ac:dyDescent="0.35">
      <c r="A206">
        <v>2000</v>
      </c>
      <c r="B206">
        <v>7</v>
      </c>
      <c r="C206">
        <v>23</v>
      </c>
      <c r="D206" s="1">
        <f t="shared" si="24"/>
        <v>36730</v>
      </c>
      <c r="E206">
        <v>0</v>
      </c>
      <c r="F206">
        <f t="shared" si="30"/>
        <v>0</v>
      </c>
      <c r="G206">
        <f t="shared" si="25"/>
        <v>0</v>
      </c>
      <c r="H206">
        <f t="shared" si="31"/>
        <v>0</v>
      </c>
      <c r="I206">
        <v>205</v>
      </c>
      <c r="J206">
        <f t="shared" si="26"/>
        <v>-0.37547037868762018</v>
      </c>
      <c r="K206">
        <f t="shared" si="27"/>
        <v>-0.92683439444604943</v>
      </c>
      <c r="L206">
        <f>VLOOKUP(D206,[1]SOI!$A$1:$C$142,3)</f>
        <v>-5.5</v>
      </c>
      <c r="M206" s="2">
        <f t="shared" si="28"/>
        <v>-76.97142763096214</v>
      </c>
      <c r="N206">
        <f t="shared" si="29"/>
        <v>-190.00105086144012</v>
      </c>
      <c r="O206" t="s">
        <v>8</v>
      </c>
    </row>
    <row r="207" spans="1:15" x14ac:dyDescent="0.35">
      <c r="A207">
        <v>2000</v>
      </c>
      <c r="B207">
        <v>7</v>
      </c>
      <c r="C207">
        <v>24</v>
      </c>
      <c r="D207" s="1">
        <f t="shared" si="24"/>
        <v>36731</v>
      </c>
      <c r="E207">
        <v>0</v>
      </c>
      <c r="F207">
        <f t="shared" si="30"/>
        <v>0</v>
      </c>
      <c r="G207">
        <f t="shared" si="25"/>
        <v>0</v>
      </c>
      <c r="H207">
        <f t="shared" si="31"/>
        <v>0</v>
      </c>
      <c r="I207">
        <v>206</v>
      </c>
      <c r="J207">
        <f t="shared" si="26"/>
        <v>-0.39135783656102591</v>
      </c>
      <c r="K207">
        <f t="shared" si="27"/>
        <v>-0.92023857980540746</v>
      </c>
      <c r="L207">
        <f>VLOOKUP(D207,[1]SOI!$A$1:$C$142,3)</f>
        <v>-5.5</v>
      </c>
      <c r="M207" s="2">
        <f t="shared" si="28"/>
        <v>-80.61971433157133</v>
      </c>
      <c r="N207">
        <f t="shared" si="29"/>
        <v>-189.56914743991393</v>
      </c>
      <c r="O207" t="s">
        <v>8</v>
      </c>
    </row>
    <row r="208" spans="1:15" x14ac:dyDescent="0.35">
      <c r="A208">
        <v>2000</v>
      </c>
      <c r="B208">
        <v>7</v>
      </c>
      <c r="C208">
        <v>25</v>
      </c>
      <c r="D208" s="1">
        <f t="shared" si="24"/>
        <v>36732</v>
      </c>
      <c r="E208">
        <v>0.8</v>
      </c>
      <c r="F208">
        <f t="shared" si="30"/>
        <v>0</v>
      </c>
      <c r="G208">
        <f t="shared" si="25"/>
        <v>1</v>
      </c>
      <c r="H208">
        <f t="shared" si="31"/>
        <v>0</v>
      </c>
      <c r="I208">
        <v>207</v>
      </c>
      <c r="J208">
        <f t="shared" si="26"/>
        <v>-0.40712948535425159</v>
      </c>
      <c r="K208">
        <f t="shared" si="27"/>
        <v>-0.91337045176378584</v>
      </c>
      <c r="L208">
        <f>VLOOKUP(D208,[1]SOI!$A$1:$C$142,3)</f>
        <v>-5.5</v>
      </c>
      <c r="M208" s="2">
        <f t="shared" si="28"/>
        <v>-84.275803468330082</v>
      </c>
      <c r="N208">
        <f t="shared" si="29"/>
        <v>-189.06768351510368</v>
      </c>
      <c r="O208" t="s">
        <v>8</v>
      </c>
    </row>
    <row r="209" spans="1:15" x14ac:dyDescent="0.35">
      <c r="A209">
        <v>2000</v>
      </c>
      <c r="B209">
        <v>7</v>
      </c>
      <c r="C209">
        <v>26</v>
      </c>
      <c r="D209" s="1">
        <f t="shared" si="24"/>
        <v>36733</v>
      </c>
      <c r="E209">
        <v>10.4</v>
      </c>
      <c r="F209">
        <f t="shared" si="30"/>
        <v>0.8</v>
      </c>
      <c r="G209">
        <f t="shared" si="25"/>
        <v>1</v>
      </c>
      <c r="H209">
        <f t="shared" si="31"/>
        <v>1</v>
      </c>
      <c r="I209">
        <v>208</v>
      </c>
      <c r="J209">
        <f t="shared" si="26"/>
        <v>-0.42278065798267728</v>
      </c>
      <c r="K209">
        <f t="shared" si="27"/>
        <v>-0.90623204271076974</v>
      </c>
      <c r="L209">
        <f>VLOOKUP(D209,[1]SOI!$A$1:$C$142,3)</f>
        <v>-5.5</v>
      </c>
      <c r="M209" s="2">
        <f t="shared" si="28"/>
        <v>-87.938376860396872</v>
      </c>
      <c r="N209">
        <f t="shared" si="29"/>
        <v>-188.4962648838401</v>
      </c>
      <c r="O209" t="s">
        <v>8</v>
      </c>
    </row>
    <row r="210" spans="1:15" x14ac:dyDescent="0.35">
      <c r="A210">
        <v>2000</v>
      </c>
      <c r="B210">
        <v>7</v>
      </c>
      <c r="C210">
        <v>27</v>
      </c>
      <c r="D210" s="1">
        <f t="shared" si="24"/>
        <v>36734</v>
      </c>
      <c r="E210">
        <v>9</v>
      </c>
      <c r="F210">
        <f t="shared" si="30"/>
        <v>10.4</v>
      </c>
      <c r="G210">
        <f t="shared" si="25"/>
        <v>1</v>
      </c>
      <c r="H210">
        <f t="shared" si="31"/>
        <v>1</v>
      </c>
      <c r="I210">
        <v>209</v>
      </c>
      <c r="J210">
        <f t="shared" si="26"/>
        <v>-0.43830672301251922</v>
      </c>
      <c r="K210">
        <f t="shared" si="27"/>
        <v>-0.898825465016444</v>
      </c>
      <c r="L210">
        <f>VLOOKUP(D210,[1]SOI!$A$1:$C$142,3)</f>
        <v>-5.5</v>
      </c>
      <c r="M210" s="2">
        <f t="shared" si="28"/>
        <v>-91.606105109616522</v>
      </c>
      <c r="N210">
        <f t="shared" si="29"/>
        <v>-187.85452218843679</v>
      </c>
      <c r="O210" t="s">
        <v>8</v>
      </c>
    </row>
    <row r="211" spans="1:15" x14ac:dyDescent="0.35">
      <c r="A211">
        <v>2000</v>
      </c>
      <c r="B211">
        <v>7</v>
      </c>
      <c r="C211">
        <v>28</v>
      </c>
      <c r="D211" s="1">
        <f t="shared" si="24"/>
        <v>36735</v>
      </c>
      <c r="E211">
        <v>2.8</v>
      </c>
      <c r="F211">
        <f t="shared" si="30"/>
        <v>9</v>
      </c>
      <c r="G211">
        <f t="shared" si="25"/>
        <v>1</v>
      </c>
      <c r="H211">
        <f t="shared" si="31"/>
        <v>1</v>
      </c>
      <c r="I211">
        <v>210</v>
      </c>
      <c r="J211">
        <f t="shared" si="26"/>
        <v>-0.45370308603134424</v>
      </c>
      <c r="K211">
        <f t="shared" si="27"/>
        <v>-0.89115291040630884</v>
      </c>
      <c r="L211">
        <f>VLOOKUP(D211,[1]SOI!$A$1:$C$142,3)</f>
        <v>-5.5</v>
      </c>
      <c r="M211" s="2">
        <f t="shared" si="28"/>
        <v>-95.277648066582287</v>
      </c>
      <c r="N211">
        <f t="shared" si="29"/>
        <v>-187.14211118532486</v>
      </c>
      <c r="O211" t="s">
        <v>8</v>
      </c>
    </row>
    <row r="212" spans="1:15" x14ac:dyDescent="0.35">
      <c r="A212">
        <v>2000</v>
      </c>
      <c r="B212">
        <v>7</v>
      </c>
      <c r="C212">
        <v>29</v>
      </c>
      <c r="D212" s="1">
        <f t="shared" si="24"/>
        <v>36736</v>
      </c>
      <c r="E212">
        <v>0</v>
      </c>
      <c r="F212">
        <f t="shared" si="30"/>
        <v>2.8</v>
      </c>
      <c r="G212">
        <f t="shared" si="25"/>
        <v>0</v>
      </c>
      <c r="H212">
        <f t="shared" si="31"/>
        <v>1</v>
      </c>
      <c r="I212">
        <v>211</v>
      </c>
      <c r="J212">
        <f t="shared" si="26"/>
        <v>-0.46896519100763184</v>
      </c>
      <c r="K212">
        <f t="shared" si="27"/>
        <v>-0.88321664931271271</v>
      </c>
      <c r="L212">
        <f>VLOOKUP(D212,[1]SOI!$A$1:$C$142,3)</f>
        <v>-5.5</v>
      </c>
      <c r="M212" s="2">
        <f t="shared" si="28"/>
        <v>-98.95165530261032</v>
      </c>
      <c r="N212">
        <f t="shared" si="29"/>
        <v>-186.35871300498238</v>
      </c>
      <c r="O212" t="s">
        <v>8</v>
      </c>
    </row>
    <row r="213" spans="1:15" x14ac:dyDescent="0.35">
      <c r="A213">
        <v>2000</v>
      </c>
      <c r="B213">
        <v>7</v>
      </c>
      <c r="C213">
        <v>30</v>
      </c>
      <c r="D213" s="1">
        <f t="shared" si="24"/>
        <v>36737</v>
      </c>
      <c r="E213">
        <v>0</v>
      </c>
      <c r="F213">
        <f t="shared" si="30"/>
        <v>0</v>
      </c>
      <c r="G213">
        <f t="shared" si="25"/>
        <v>0</v>
      </c>
      <c r="H213">
        <f t="shared" si="31"/>
        <v>0</v>
      </c>
      <c r="I213">
        <v>212</v>
      </c>
      <c r="J213">
        <f t="shared" si="26"/>
        <v>-0.48408852163897587</v>
      </c>
      <c r="K213">
        <f t="shared" si="27"/>
        <v>-0.87501903020299554</v>
      </c>
      <c r="L213">
        <f>VLOOKUP(D213,[1]SOI!$A$1:$C$142,3)</f>
        <v>-5.5</v>
      </c>
      <c r="M213" s="2">
        <f t="shared" si="28"/>
        <v>-102.62676658746288</v>
      </c>
      <c r="N213">
        <f t="shared" si="29"/>
        <v>-185.50403440303506</v>
      </c>
      <c r="O213" t="s">
        <v>8</v>
      </c>
    </row>
    <row r="214" spans="1:15" x14ac:dyDescent="0.35">
      <c r="A214">
        <v>2000</v>
      </c>
      <c r="B214">
        <v>7</v>
      </c>
      <c r="C214">
        <v>31</v>
      </c>
      <c r="D214" s="1">
        <f t="shared" si="24"/>
        <v>36738</v>
      </c>
      <c r="E214">
        <v>0</v>
      </c>
      <c r="F214">
        <f t="shared" si="30"/>
        <v>0</v>
      </c>
      <c r="G214">
        <f t="shared" si="25"/>
        <v>0</v>
      </c>
      <c r="H214">
        <f t="shared" si="31"/>
        <v>0</v>
      </c>
      <c r="I214">
        <v>213</v>
      </c>
      <c r="J214">
        <f t="shared" si="26"/>
        <v>-0.49906860268853193</v>
      </c>
      <c r="K214">
        <f t="shared" si="27"/>
        <v>-0.86656247888453852</v>
      </c>
      <c r="L214">
        <f>VLOOKUP(D214,[1]SOI!$A$1:$C$142,3)</f>
        <v>-5.5</v>
      </c>
      <c r="M214" s="2">
        <f t="shared" si="28"/>
        <v>-106.3016123726573</v>
      </c>
      <c r="N214">
        <f t="shared" si="29"/>
        <v>-184.5778080024067</v>
      </c>
      <c r="O214" t="s">
        <v>8</v>
      </c>
    </row>
    <row r="215" spans="1:15" x14ac:dyDescent="0.35">
      <c r="A215">
        <v>2000</v>
      </c>
      <c r="B215">
        <v>8</v>
      </c>
      <c r="C215">
        <v>1</v>
      </c>
      <c r="D215" s="1">
        <f t="shared" si="24"/>
        <v>36739</v>
      </c>
      <c r="E215">
        <v>0</v>
      </c>
      <c r="F215">
        <f t="shared" si="30"/>
        <v>0</v>
      </c>
      <c r="G215">
        <f t="shared" si="25"/>
        <v>0</v>
      </c>
      <c r="H215">
        <f t="shared" si="31"/>
        <v>0</v>
      </c>
      <c r="I215">
        <v>214</v>
      </c>
      <c r="J215">
        <f t="shared" si="26"/>
        <v>-0.51390100130931027</v>
      </c>
      <c r="K215">
        <f t="shared" si="27"/>
        <v>-0.85784949778693009</v>
      </c>
      <c r="L215">
        <f>VLOOKUP(D215,[1]SOI!$A$1:$C$142,3)</f>
        <v>-3.7</v>
      </c>
      <c r="M215" s="2">
        <f t="shared" si="28"/>
        <v>-109.97481428019239</v>
      </c>
      <c r="N215">
        <f t="shared" si="29"/>
        <v>-183.57979252640305</v>
      </c>
      <c r="O215" t="s">
        <v>8</v>
      </c>
    </row>
    <row r="216" spans="1:15" x14ac:dyDescent="0.35">
      <c r="A216">
        <v>2000</v>
      </c>
      <c r="B216">
        <v>8</v>
      </c>
      <c r="C216">
        <v>2</v>
      </c>
      <c r="D216" s="1">
        <f t="shared" si="24"/>
        <v>36740</v>
      </c>
      <c r="E216">
        <v>0</v>
      </c>
      <c r="F216">
        <f t="shared" si="30"/>
        <v>0</v>
      </c>
      <c r="G216">
        <f t="shared" si="25"/>
        <v>0</v>
      </c>
      <c r="H216">
        <f t="shared" si="31"/>
        <v>0</v>
      </c>
      <c r="I216">
        <v>215</v>
      </c>
      <c r="J216">
        <f t="shared" si="26"/>
        <v>-0.52858132835592919</v>
      </c>
      <c r="K216">
        <f t="shared" si="27"/>
        <v>-0.84888266522145528</v>
      </c>
      <c r="L216">
        <f>VLOOKUP(D216,[1]SOI!$A$1:$C$142,3)</f>
        <v>-3.7</v>
      </c>
      <c r="M216" s="2">
        <f t="shared" si="28"/>
        <v>-113.64498559652478</v>
      </c>
      <c r="N216">
        <f t="shared" si="29"/>
        <v>-182.50977302261288</v>
      </c>
      <c r="O216" t="s">
        <v>8</v>
      </c>
    </row>
    <row r="217" spans="1:15" x14ac:dyDescent="0.35">
      <c r="A217">
        <v>2000</v>
      </c>
      <c r="B217">
        <v>8</v>
      </c>
      <c r="C217">
        <v>3</v>
      </c>
      <c r="D217" s="1">
        <f t="shared" si="24"/>
        <v>36741</v>
      </c>
      <c r="E217">
        <v>0</v>
      </c>
      <c r="F217">
        <f t="shared" si="30"/>
        <v>0</v>
      </c>
      <c r="G217">
        <f t="shared" si="25"/>
        <v>0</v>
      </c>
      <c r="H217">
        <f t="shared" si="31"/>
        <v>0</v>
      </c>
      <c r="I217">
        <v>216</v>
      </c>
      <c r="J217">
        <f t="shared" si="26"/>
        <v>-0.54310523968343172</v>
      </c>
      <c r="K217">
        <f t="shared" si="27"/>
        <v>-0.83966463461813268</v>
      </c>
      <c r="L217">
        <f>VLOOKUP(D217,[1]SOI!$A$1:$C$142,3)</f>
        <v>-3.7</v>
      </c>
      <c r="M217" s="2">
        <f t="shared" si="28"/>
        <v>-117.31073177162125</v>
      </c>
      <c r="N217">
        <f t="shared" si="29"/>
        <v>-181.36756107751665</v>
      </c>
      <c r="O217" t="s">
        <v>8</v>
      </c>
    </row>
    <row r="218" spans="1:15" x14ac:dyDescent="0.35">
      <c r="A218">
        <v>2000</v>
      </c>
      <c r="B218">
        <v>8</v>
      </c>
      <c r="C218">
        <v>4</v>
      </c>
      <c r="D218" s="1">
        <f t="shared" si="24"/>
        <v>36742</v>
      </c>
      <c r="E218">
        <v>0</v>
      </c>
      <c r="F218">
        <f t="shared" si="30"/>
        <v>0</v>
      </c>
      <c r="G218">
        <f t="shared" si="25"/>
        <v>0</v>
      </c>
      <c r="H218">
        <f t="shared" si="31"/>
        <v>0</v>
      </c>
      <c r="I218">
        <v>217</v>
      </c>
      <c r="J218">
        <f t="shared" si="26"/>
        <v>-0.55746843743278918</v>
      </c>
      <c r="K218">
        <f t="shared" si="27"/>
        <v>-0.8301981337405212</v>
      </c>
      <c r="L218">
        <f>VLOOKUP(D218,[1]SOI!$A$1:$C$142,3)</f>
        <v>-3.7</v>
      </c>
      <c r="M218" s="2">
        <f t="shared" si="28"/>
        <v>-120.97065092291525</v>
      </c>
      <c r="N218">
        <f t="shared" si="29"/>
        <v>-180.1529950216931</v>
      </c>
      <c r="O218" t="s">
        <v>8</v>
      </c>
    </row>
    <row r="219" spans="1:15" x14ac:dyDescent="0.35">
      <c r="A219">
        <v>2000</v>
      </c>
      <c r="B219">
        <v>8</v>
      </c>
      <c r="C219">
        <v>5</v>
      </c>
      <c r="D219" s="1">
        <f t="shared" si="24"/>
        <v>36743</v>
      </c>
      <c r="E219">
        <v>0</v>
      </c>
      <c r="F219">
        <f t="shared" si="30"/>
        <v>0</v>
      </c>
      <c r="G219">
        <f t="shared" si="25"/>
        <v>0</v>
      </c>
      <c r="H219">
        <f t="shared" si="31"/>
        <v>0</v>
      </c>
      <c r="I219">
        <v>218</v>
      </c>
      <c r="J219">
        <f t="shared" si="26"/>
        <v>-0.57166667130270521</v>
      </c>
      <c r="K219">
        <f t="shared" si="27"/>
        <v>-0.82048596387853268</v>
      </c>
      <c r="L219">
        <f>VLOOKUP(D219,[1]SOI!$A$1:$C$142,3)</f>
        <v>-3.7</v>
      </c>
      <c r="M219" s="2">
        <f t="shared" si="28"/>
        <v>-124.62333434398974</v>
      </c>
      <c r="N219">
        <f t="shared" si="29"/>
        <v>-178.86594012552013</v>
      </c>
      <c r="O219" t="s">
        <v>8</v>
      </c>
    </row>
    <row r="220" spans="1:15" x14ac:dyDescent="0.35">
      <c r="A220">
        <v>2000</v>
      </c>
      <c r="B220">
        <v>8</v>
      </c>
      <c r="C220">
        <v>6</v>
      </c>
      <c r="D220" s="1">
        <f t="shared" si="24"/>
        <v>36744</v>
      </c>
      <c r="E220">
        <v>0</v>
      </c>
      <c r="F220">
        <f t="shared" si="30"/>
        <v>0</v>
      </c>
      <c r="G220">
        <f t="shared" si="25"/>
        <v>0</v>
      </c>
      <c r="H220">
        <f t="shared" si="31"/>
        <v>0</v>
      </c>
      <c r="I220">
        <v>219</v>
      </c>
      <c r="J220">
        <f t="shared" si="26"/>
        <v>-0.58569573980735079</v>
      </c>
      <c r="K220">
        <f t="shared" si="27"/>
        <v>-0.81053099901948233</v>
      </c>
      <c r="L220">
        <f>VLOOKUP(D220,[1]SOI!$A$1:$C$142,3)</f>
        <v>-3.7</v>
      </c>
      <c r="M220" s="2">
        <f t="shared" si="28"/>
        <v>-128.26736701780982</v>
      </c>
      <c r="N220">
        <f t="shared" si="29"/>
        <v>-177.50628878526663</v>
      </c>
      <c r="O220" t="s">
        <v>8</v>
      </c>
    </row>
    <row r="221" spans="1:15" x14ac:dyDescent="0.35">
      <c r="A221">
        <v>2000</v>
      </c>
      <c r="B221">
        <v>8</v>
      </c>
      <c r="C221">
        <v>7</v>
      </c>
      <c r="D221" s="1">
        <f t="shared" si="24"/>
        <v>36745</v>
      </c>
      <c r="E221">
        <v>0</v>
      </c>
      <c r="F221">
        <f t="shared" si="30"/>
        <v>0</v>
      </c>
      <c r="G221">
        <f t="shared" si="25"/>
        <v>0</v>
      </c>
      <c r="H221">
        <f t="shared" si="31"/>
        <v>0</v>
      </c>
      <c r="I221">
        <v>220</v>
      </c>
      <c r="J221">
        <f t="shared" si="26"/>
        <v>-0.59955149151964893</v>
      </c>
      <c r="K221">
        <f t="shared" si="27"/>
        <v>-0.80033618499763226</v>
      </c>
      <c r="L221">
        <f>VLOOKUP(D221,[1]SOI!$A$1:$C$142,3)</f>
        <v>-3.7</v>
      </c>
      <c r="M221" s="2">
        <f t="shared" si="28"/>
        <v>-131.90132813432277</v>
      </c>
      <c r="N221">
        <f t="shared" si="29"/>
        <v>-176.0739606994791</v>
      </c>
      <c r="O221" t="s">
        <v>8</v>
      </c>
    </row>
    <row r="222" spans="1:15" x14ac:dyDescent="0.35">
      <c r="A222">
        <v>2000</v>
      </c>
      <c r="B222">
        <v>8</v>
      </c>
      <c r="C222">
        <v>8</v>
      </c>
      <c r="D222" s="1">
        <f t="shared" si="24"/>
        <v>36746</v>
      </c>
      <c r="E222">
        <v>0</v>
      </c>
      <c r="F222">
        <f t="shared" si="30"/>
        <v>0</v>
      </c>
      <c r="G222">
        <f t="shared" si="25"/>
        <v>0</v>
      </c>
      <c r="H222">
        <f t="shared" si="31"/>
        <v>0</v>
      </c>
      <c r="I222">
        <v>221</v>
      </c>
      <c r="J222">
        <f t="shared" si="26"/>
        <v>-0.6132298262997502</v>
      </c>
      <c r="K222">
        <f t="shared" si="27"/>
        <v>-0.78990453862247068</v>
      </c>
      <c r="L222">
        <f>VLOOKUP(D222,[1]SOI!$A$1:$C$142,3)</f>
        <v>-3.7</v>
      </c>
      <c r="M222" s="2">
        <f t="shared" si="28"/>
        <v>-135.52379161224479</v>
      </c>
      <c r="N222">
        <f t="shared" si="29"/>
        <v>-174.56890303556602</v>
      </c>
      <c r="O222" t="s">
        <v>8</v>
      </c>
    </row>
    <row r="223" spans="1:15" x14ac:dyDescent="0.35">
      <c r="A223">
        <v>2000</v>
      </c>
      <c r="B223">
        <v>8</v>
      </c>
      <c r="C223">
        <v>9</v>
      </c>
      <c r="D223" s="1">
        <f t="shared" si="24"/>
        <v>36747</v>
      </c>
      <c r="E223">
        <v>16.8</v>
      </c>
      <c r="F223">
        <f t="shared" si="30"/>
        <v>0</v>
      </c>
      <c r="G223">
        <f t="shared" si="25"/>
        <v>1</v>
      </c>
      <c r="H223">
        <f t="shared" si="31"/>
        <v>0</v>
      </c>
      <c r="I223">
        <v>222</v>
      </c>
      <c r="J223">
        <f t="shared" si="26"/>
        <v>-0.62672669650833013</v>
      </c>
      <c r="K223">
        <f t="shared" si="27"/>
        <v>-0.7792391467859886</v>
      </c>
      <c r="L223">
        <f>VLOOKUP(D223,[1]SOI!$A$1:$C$142,3)</f>
        <v>-3.7</v>
      </c>
      <c r="M223" s="2">
        <f t="shared" si="28"/>
        <v>-139.13332662484927</v>
      </c>
      <c r="N223">
        <f t="shared" si="29"/>
        <v>-172.99109058648946</v>
      </c>
      <c r="O223" t="s">
        <v>8</v>
      </c>
    </row>
    <row r="224" spans="1:15" x14ac:dyDescent="0.35">
      <c r="A224">
        <v>2000</v>
      </c>
      <c r="B224">
        <v>8</v>
      </c>
      <c r="C224">
        <v>10</v>
      </c>
      <c r="D224" s="1">
        <f t="shared" si="24"/>
        <v>36748</v>
      </c>
      <c r="E224">
        <v>2</v>
      </c>
      <c r="F224">
        <f t="shared" si="30"/>
        <v>16.8</v>
      </c>
      <c r="G224">
        <f t="shared" si="25"/>
        <v>1</v>
      </c>
      <c r="H224">
        <f t="shared" si="31"/>
        <v>1</v>
      </c>
      <c r="I224">
        <v>223</v>
      </c>
      <c r="J224">
        <f t="shared" si="26"/>
        <v>-0.64003810820435025</v>
      </c>
      <c r="K224">
        <f t="shared" si="27"/>
        <v>-0.76834316554922022</v>
      </c>
      <c r="L224">
        <f>VLOOKUP(D224,[1]SOI!$A$1:$C$142,3)</f>
        <v>-3.7</v>
      </c>
      <c r="M224" s="2">
        <f t="shared" si="28"/>
        <v>-142.72849812957011</v>
      </c>
      <c r="N224">
        <f t="shared" si="29"/>
        <v>-171.3405259174761</v>
      </c>
      <c r="O224" t="s">
        <v>8</v>
      </c>
    </row>
    <row r="225" spans="1:15" x14ac:dyDescent="0.35">
      <c r="A225">
        <v>2000</v>
      </c>
      <c r="B225">
        <v>8</v>
      </c>
      <c r="C225">
        <v>11</v>
      </c>
      <c r="D225" s="1">
        <f t="shared" si="24"/>
        <v>36749</v>
      </c>
      <c r="E225">
        <v>0</v>
      </c>
      <c r="F225">
        <f t="shared" si="30"/>
        <v>2</v>
      </c>
      <c r="G225">
        <f t="shared" si="25"/>
        <v>0</v>
      </c>
      <c r="H225">
        <f t="shared" si="31"/>
        <v>1</v>
      </c>
      <c r="I225">
        <v>224</v>
      </c>
      <c r="J225">
        <f t="shared" si="26"/>
        <v>-0.65316012232692999</v>
      </c>
      <c r="K225">
        <f t="shared" si="27"/>
        <v>-0.75721981920831272</v>
      </c>
      <c r="L225">
        <f>VLOOKUP(D225,[1]SOI!$A$1:$C$142,3)</f>
        <v>-3.7</v>
      </c>
      <c r="M225" s="2">
        <f t="shared" si="28"/>
        <v>-146.30786740123233</v>
      </c>
      <c r="N225">
        <f t="shared" si="29"/>
        <v>-169.61723950266204</v>
      </c>
      <c r="O225" t="s">
        <v>8</v>
      </c>
    </row>
    <row r="226" spans="1:15" x14ac:dyDescent="0.35">
      <c r="A226">
        <v>2000</v>
      </c>
      <c r="B226">
        <v>8</v>
      </c>
      <c r="C226">
        <v>12</v>
      </c>
      <c r="D226" s="1">
        <f t="shared" si="24"/>
        <v>36750</v>
      </c>
      <c r="E226">
        <v>0.2</v>
      </c>
      <c r="F226">
        <f t="shared" si="30"/>
        <v>0</v>
      </c>
      <c r="G226">
        <f t="shared" si="25"/>
        <v>1</v>
      </c>
      <c r="H226">
        <f t="shared" si="31"/>
        <v>0</v>
      </c>
      <c r="I226">
        <v>225</v>
      </c>
      <c r="J226">
        <f t="shared" si="26"/>
        <v>-0.66608885586097699</v>
      </c>
      <c r="K226">
        <f t="shared" si="27"/>
        <v>-0.74587239934040628</v>
      </c>
      <c r="L226">
        <f>VLOOKUP(D226,[1]SOI!$A$1:$C$142,3)</f>
        <v>-3.7</v>
      </c>
      <c r="M226" s="2">
        <f t="shared" si="28"/>
        <v>-149.86999256871982</v>
      </c>
      <c r="N226">
        <f t="shared" si="29"/>
        <v>-167.82128985159142</v>
      </c>
      <c r="O226" t="s">
        <v>8</v>
      </c>
    </row>
    <row r="227" spans="1:15" x14ac:dyDescent="0.35">
      <c r="A227">
        <v>2000</v>
      </c>
      <c r="B227">
        <v>8</v>
      </c>
      <c r="C227">
        <v>13</v>
      </c>
      <c r="D227" s="1">
        <f t="shared" si="24"/>
        <v>36751</v>
      </c>
      <c r="E227">
        <v>0</v>
      </c>
      <c r="F227">
        <f t="shared" si="30"/>
        <v>0.2</v>
      </c>
      <c r="G227">
        <f t="shared" si="25"/>
        <v>0</v>
      </c>
      <c r="H227">
        <f t="shared" si="31"/>
        <v>1</v>
      </c>
      <c r="I227">
        <v>226</v>
      </c>
      <c r="J227">
        <f t="shared" si="26"/>
        <v>-0.67882048298623554</v>
      </c>
      <c r="K227">
        <f t="shared" si="27"/>
        <v>-0.73430426382960201</v>
      </c>
      <c r="L227">
        <f>VLOOKUP(D227,[1]SOI!$A$1:$C$142,3)</f>
        <v>-3.7</v>
      </c>
      <c r="M227" s="2">
        <f t="shared" si="28"/>
        <v>-153.41342915488923</v>
      </c>
      <c r="N227">
        <f t="shared" si="29"/>
        <v>-165.95276362549006</v>
      </c>
      <c r="O227" t="s">
        <v>8</v>
      </c>
    </row>
    <row r="228" spans="1:15" x14ac:dyDescent="0.35">
      <c r="A228">
        <v>2000</v>
      </c>
      <c r="B228">
        <v>8</v>
      </c>
      <c r="C228">
        <v>14</v>
      </c>
      <c r="D228" s="1">
        <f t="shared" si="24"/>
        <v>36752</v>
      </c>
      <c r="E228">
        <v>0</v>
      </c>
      <c r="F228">
        <f t="shared" si="30"/>
        <v>0</v>
      </c>
      <c r="G228">
        <f t="shared" si="25"/>
        <v>0</v>
      </c>
      <c r="H228">
        <f t="shared" si="31"/>
        <v>0</v>
      </c>
      <c r="I228">
        <v>227</v>
      </c>
      <c r="J228">
        <f t="shared" si="26"/>
        <v>-0.69135123620940708</v>
      </c>
      <c r="K228">
        <f t="shared" si="27"/>
        <v>-0.72251883587331101</v>
      </c>
      <c r="L228">
        <f>VLOOKUP(D228,[1]SOI!$A$1:$C$142,3)</f>
        <v>-3.7</v>
      </c>
      <c r="M228" s="2">
        <f t="shared" si="28"/>
        <v>-156.93673061953541</v>
      </c>
      <c r="N228">
        <f t="shared" si="29"/>
        <v>-164.0117757432416</v>
      </c>
      <c r="O228" t="s">
        <v>8</v>
      </c>
    </row>
    <row r="229" spans="1:15" x14ac:dyDescent="0.35">
      <c r="A229">
        <v>2000</v>
      </c>
      <c r="B229">
        <v>8</v>
      </c>
      <c r="C229">
        <v>15</v>
      </c>
      <c r="D229" s="1">
        <f t="shared" si="24"/>
        <v>36753</v>
      </c>
      <c r="E229">
        <v>1.6</v>
      </c>
      <c r="F229">
        <f t="shared" si="30"/>
        <v>0</v>
      </c>
      <c r="G229">
        <f t="shared" si="25"/>
        <v>1</v>
      </c>
      <c r="H229">
        <f t="shared" si="31"/>
        <v>0</v>
      </c>
      <c r="I229">
        <v>228</v>
      </c>
      <c r="J229">
        <f t="shared" si="26"/>
        <v>-0.70367740747901275</v>
      </c>
      <c r="K229">
        <f t="shared" si="27"/>
        <v>-0.71051960296927452</v>
      </c>
      <c r="L229">
        <f>VLOOKUP(D229,[1]SOI!$A$1:$C$142,3)</f>
        <v>-3.7</v>
      </c>
      <c r="M229" s="2">
        <f t="shared" si="28"/>
        <v>-160.4384489052149</v>
      </c>
      <c r="N229">
        <f t="shared" si="29"/>
        <v>-161.99846947699459</v>
      </c>
      <c r="O229" t="s">
        <v>8</v>
      </c>
    </row>
    <row r="230" spans="1:15" x14ac:dyDescent="0.35">
      <c r="A230">
        <v>2000</v>
      </c>
      <c r="B230">
        <v>8</v>
      </c>
      <c r="C230">
        <v>16</v>
      </c>
      <c r="D230" s="1">
        <f t="shared" si="24"/>
        <v>36754</v>
      </c>
      <c r="E230">
        <v>9.4</v>
      </c>
      <c r="F230">
        <f t="shared" si="30"/>
        <v>1.6</v>
      </c>
      <c r="G230">
        <f t="shared" si="25"/>
        <v>1</v>
      </c>
      <c r="H230">
        <f t="shared" si="31"/>
        <v>1</v>
      </c>
      <c r="I230">
        <v>229</v>
      </c>
      <c r="J230">
        <f t="shared" si="26"/>
        <v>-0.7157953492826642</v>
      </c>
      <c r="K230">
        <f t="shared" si="27"/>
        <v>-0.6983101158835584</v>
      </c>
      <c r="L230">
        <f>VLOOKUP(D230,[1]SOI!$A$1:$C$142,3)</f>
        <v>-3.7</v>
      </c>
      <c r="M230" s="2">
        <f t="shared" si="28"/>
        <v>-163.91713498573009</v>
      </c>
      <c r="N230">
        <f t="shared" si="29"/>
        <v>-159.91301653733487</v>
      </c>
      <c r="O230" t="s">
        <v>8</v>
      </c>
    </row>
    <row r="231" spans="1:15" x14ac:dyDescent="0.35">
      <c r="A231">
        <v>2000</v>
      </c>
      <c r="B231">
        <v>8</v>
      </c>
      <c r="C231">
        <v>17</v>
      </c>
      <c r="D231" s="1">
        <f t="shared" si="24"/>
        <v>36755</v>
      </c>
      <c r="E231">
        <v>0</v>
      </c>
      <c r="F231">
        <f t="shared" si="30"/>
        <v>9.4</v>
      </c>
      <c r="G231">
        <f t="shared" si="25"/>
        <v>0</v>
      </c>
      <c r="H231">
        <f t="shared" si="31"/>
        <v>1</v>
      </c>
      <c r="I231">
        <v>230</v>
      </c>
      <c r="J231">
        <f t="shared" si="26"/>
        <v>-0.72770147572642363</v>
      </c>
      <c r="K231">
        <f t="shared" si="27"/>
        <v>-0.68589398759982234</v>
      </c>
      <c r="L231">
        <f>VLOOKUP(D231,[1]SOI!$A$1:$C$142,3)</f>
        <v>-3.7</v>
      </c>
      <c r="M231" s="2">
        <f t="shared" si="28"/>
        <v>-167.37133941707742</v>
      </c>
      <c r="N231">
        <f t="shared" si="29"/>
        <v>-157.75561714795913</v>
      </c>
      <c r="O231" t="s">
        <v>8</v>
      </c>
    </row>
    <row r="232" spans="1:15" x14ac:dyDescent="0.35">
      <c r="A232">
        <v>2000</v>
      </c>
      <c r="B232">
        <v>8</v>
      </c>
      <c r="C232">
        <v>18</v>
      </c>
      <c r="D232" s="1">
        <f t="shared" si="24"/>
        <v>36756</v>
      </c>
      <c r="E232">
        <v>0</v>
      </c>
      <c r="F232">
        <f t="shared" si="30"/>
        <v>0</v>
      </c>
      <c r="G232">
        <f t="shared" si="25"/>
        <v>0</v>
      </c>
      <c r="H232">
        <f t="shared" si="31"/>
        <v>0</v>
      </c>
      <c r="I232">
        <v>231</v>
      </c>
      <c r="J232">
        <f t="shared" si="26"/>
        <v>-0.73939226359592414</v>
      </c>
      <c r="K232">
        <f t="shared" si="27"/>
        <v>-0.673274892250183</v>
      </c>
      <c r="L232">
        <f>VLOOKUP(D232,[1]SOI!$A$1:$C$142,3)</f>
        <v>-3.7</v>
      </c>
      <c r="M232" s="2">
        <f t="shared" si="28"/>
        <v>-170.79961289065847</v>
      </c>
      <c r="N232">
        <f t="shared" si="29"/>
        <v>-155.52650010979227</v>
      </c>
      <c r="O232" t="s">
        <v>8</v>
      </c>
    </row>
    <row r="233" spans="1:15" x14ac:dyDescent="0.35">
      <c r="A233">
        <v>2000</v>
      </c>
      <c r="B233">
        <v>8</v>
      </c>
      <c r="C233">
        <v>19</v>
      </c>
      <c r="D233" s="1">
        <f t="shared" si="24"/>
        <v>36757</v>
      </c>
      <c r="E233">
        <v>0</v>
      </c>
      <c r="F233">
        <f t="shared" si="30"/>
        <v>0</v>
      </c>
      <c r="G233">
        <f t="shared" si="25"/>
        <v>0</v>
      </c>
      <c r="H233">
        <f t="shared" si="31"/>
        <v>0</v>
      </c>
      <c r="I233">
        <v>232</v>
      </c>
      <c r="J233">
        <f t="shared" si="26"/>
        <v>-0.75086425339894891</v>
      </c>
      <c r="K233">
        <f t="shared" si="27"/>
        <v>-0.66045656402797537</v>
      </c>
      <c r="L233">
        <f>VLOOKUP(D233,[1]SOI!$A$1:$C$142,3)</f>
        <v>-3.7</v>
      </c>
      <c r="M233" s="2">
        <f t="shared" si="28"/>
        <v>-174.20050678855614</v>
      </c>
      <c r="N233">
        <f t="shared" si="29"/>
        <v>-153.22592285449028</v>
      </c>
      <c r="O233" t="s">
        <v>8</v>
      </c>
    </row>
    <row r="234" spans="1:15" x14ac:dyDescent="0.35">
      <c r="A234">
        <v>2000</v>
      </c>
      <c r="B234">
        <v>8</v>
      </c>
      <c r="C234">
        <v>20</v>
      </c>
      <c r="D234" s="1">
        <f t="shared" si="24"/>
        <v>36758</v>
      </c>
      <c r="E234">
        <v>0</v>
      </c>
      <c r="F234">
        <f t="shared" si="30"/>
        <v>0</v>
      </c>
      <c r="G234">
        <f t="shared" si="25"/>
        <v>0</v>
      </c>
      <c r="H234">
        <f t="shared" si="31"/>
        <v>0</v>
      </c>
      <c r="I234">
        <v>233</v>
      </c>
      <c r="J234">
        <f t="shared" si="26"/>
        <v>-0.7621140503891487</v>
      </c>
      <c r="K234">
        <f t="shared" si="27"/>
        <v>-0.64744279608274746</v>
      </c>
      <c r="L234">
        <f>VLOOKUP(D234,[1]SOI!$A$1:$C$142,3)</f>
        <v>-3.7</v>
      </c>
      <c r="M234" s="2">
        <f t="shared" si="28"/>
        <v>-177.57257374067166</v>
      </c>
      <c r="N234">
        <f t="shared" si="29"/>
        <v>-150.85417148728015</v>
      </c>
      <c r="O234" t="s">
        <v>8</v>
      </c>
    </row>
    <row r="235" spans="1:15" x14ac:dyDescent="0.35">
      <c r="A235">
        <v>2000</v>
      </c>
      <c r="B235">
        <v>8</v>
      </c>
      <c r="C235">
        <v>21</v>
      </c>
      <c r="D235" s="1">
        <f t="shared" si="24"/>
        <v>36759</v>
      </c>
      <c r="E235">
        <v>0</v>
      </c>
      <c r="F235">
        <f t="shared" si="30"/>
        <v>0</v>
      </c>
      <c r="G235">
        <f t="shared" si="25"/>
        <v>0</v>
      </c>
      <c r="H235">
        <f t="shared" si="31"/>
        <v>0</v>
      </c>
      <c r="I235">
        <v>234</v>
      </c>
      <c r="J235">
        <f t="shared" si="26"/>
        <v>-0.77313832557060258</v>
      </c>
      <c r="K235">
        <f t="shared" si="27"/>
        <v>-0.63423743939780541</v>
      </c>
      <c r="L235">
        <f>VLOOKUP(D235,[1]SOI!$A$1:$C$142,3)</f>
        <v>-3.7</v>
      </c>
      <c r="M235" s="2">
        <f t="shared" si="28"/>
        <v>-180.91436818352099</v>
      </c>
      <c r="N235">
        <f t="shared" si="29"/>
        <v>-148.41156081908647</v>
      </c>
      <c r="O235" t="s">
        <v>8</v>
      </c>
    </row>
    <row r="236" spans="1:15" x14ac:dyDescent="0.35">
      <c r="A236">
        <v>2000</v>
      </c>
      <c r="B236">
        <v>8</v>
      </c>
      <c r="C236">
        <v>22</v>
      </c>
      <c r="D236" s="1">
        <f t="shared" si="24"/>
        <v>36760</v>
      </c>
      <c r="E236">
        <v>0.8</v>
      </c>
      <c r="F236">
        <f t="shared" si="30"/>
        <v>0</v>
      </c>
      <c r="G236">
        <f t="shared" si="25"/>
        <v>1</v>
      </c>
      <c r="H236">
        <f t="shared" si="31"/>
        <v>0</v>
      </c>
      <c r="I236">
        <v>235</v>
      </c>
      <c r="J236">
        <f t="shared" si="26"/>
        <v>-0.78393381668292006</v>
      </c>
      <c r="K236">
        <f t="shared" si="27"/>
        <v>-0.62084440165064703</v>
      </c>
      <c r="L236">
        <f>VLOOKUP(D236,[1]SOI!$A$1:$C$142,3)</f>
        <v>-3.7</v>
      </c>
      <c r="M236" s="2">
        <f t="shared" si="28"/>
        <v>-184.2244469204862</v>
      </c>
      <c r="N236">
        <f t="shared" si="29"/>
        <v>-145.89843438790206</v>
      </c>
      <c r="O236" t="s">
        <v>8</v>
      </c>
    </row>
    <row r="237" spans="1:15" x14ac:dyDescent="0.35">
      <c r="A237">
        <v>2000</v>
      </c>
      <c r="B237">
        <v>8</v>
      </c>
      <c r="C237">
        <v>23</v>
      </c>
      <c r="D237" s="1">
        <f t="shared" si="24"/>
        <v>36761</v>
      </c>
      <c r="E237">
        <v>0</v>
      </c>
      <c r="F237">
        <f t="shared" si="30"/>
        <v>0.8</v>
      </c>
      <c r="G237">
        <f t="shared" si="25"/>
        <v>0</v>
      </c>
      <c r="H237">
        <f t="shared" si="31"/>
        <v>1</v>
      </c>
      <c r="I237">
        <v>236</v>
      </c>
      <c r="J237">
        <f t="shared" si="26"/>
        <v>-0.79449732916659921</v>
      </c>
      <c r="K237">
        <f t="shared" si="27"/>
        <v>-0.60726764605661354</v>
      </c>
      <c r="L237">
        <f>VLOOKUP(D237,[1]SOI!$A$1:$C$142,3)</f>
        <v>-3.7</v>
      </c>
      <c r="M237" s="2">
        <f t="shared" si="28"/>
        <v>-187.50136968331742</v>
      </c>
      <c r="N237">
        <f t="shared" si="29"/>
        <v>-143.31516446936081</v>
      </c>
      <c r="O237" t="s">
        <v>8</v>
      </c>
    </row>
    <row r="238" spans="1:15" x14ac:dyDescent="0.35">
      <c r="A238">
        <v>2000</v>
      </c>
      <c r="B238">
        <v>8</v>
      </c>
      <c r="C238">
        <v>24</v>
      </c>
      <c r="D238" s="1">
        <f t="shared" si="24"/>
        <v>36762</v>
      </c>
      <c r="E238">
        <v>0</v>
      </c>
      <c r="F238">
        <f t="shared" si="30"/>
        <v>0</v>
      </c>
      <c r="G238">
        <f t="shared" si="25"/>
        <v>0</v>
      </c>
      <c r="H238">
        <f t="shared" si="31"/>
        <v>0</v>
      </c>
      <c r="I238">
        <v>237</v>
      </c>
      <c r="J238">
        <f t="shared" si="26"/>
        <v>-0.80482573710834515</v>
      </c>
      <c r="K238">
        <f t="shared" si="27"/>
        <v>-0.59351119019611498</v>
      </c>
      <c r="L238">
        <f>VLOOKUP(D238,[1]SOI!$A$1:$C$142,3)</f>
        <v>-3.7</v>
      </c>
      <c r="M238" s="2">
        <f t="shared" si="28"/>
        <v>-190.74369969467779</v>
      </c>
      <c r="N238">
        <f t="shared" si="29"/>
        <v>-140.66215207647926</v>
      </c>
      <c r="O238" t="s">
        <v>8</v>
      </c>
    </row>
    <row r="239" spans="1:15" x14ac:dyDescent="0.35">
      <c r="A239">
        <v>2000</v>
      </c>
      <c r="B239">
        <v>8</v>
      </c>
      <c r="C239">
        <v>25</v>
      </c>
      <c r="D239" s="1">
        <f t="shared" si="24"/>
        <v>36763</v>
      </c>
      <c r="E239">
        <v>4</v>
      </c>
      <c r="F239">
        <f t="shared" si="30"/>
        <v>0</v>
      </c>
      <c r="G239">
        <f t="shared" si="25"/>
        <v>1</v>
      </c>
      <c r="H239">
        <f t="shared" si="31"/>
        <v>0</v>
      </c>
      <c r="I239">
        <v>238</v>
      </c>
      <c r="J239">
        <f t="shared" si="26"/>
        <v>-0.81491598416607913</v>
      </c>
      <c r="K239">
        <f t="shared" si="27"/>
        <v>-0.57957910482576125</v>
      </c>
      <c r="L239">
        <f>VLOOKUP(D239,[1]SOI!$A$1:$C$142,3)</f>
        <v>-3.7</v>
      </c>
      <c r="M239" s="2">
        <f t="shared" si="28"/>
        <v>-193.95000423152683</v>
      </c>
      <c r="N239">
        <f t="shared" si="29"/>
        <v>-137.93982694853116</v>
      </c>
      <c r="O239" t="s">
        <v>8</v>
      </c>
    </row>
    <row r="240" spans="1:15" x14ac:dyDescent="0.35">
      <c r="A240">
        <v>2000</v>
      </c>
      <c r="B240">
        <v>8</v>
      </c>
      <c r="C240">
        <v>26</v>
      </c>
      <c r="D240" s="1">
        <f t="shared" si="24"/>
        <v>36764</v>
      </c>
      <c r="E240">
        <v>1.2</v>
      </c>
      <c r="F240">
        <f t="shared" si="30"/>
        <v>4</v>
      </c>
      <c r="G240">
        <f t="shared" si="25"/>
        <v>1</v>
      </c>
      <c r="H240">
        <f t="shared" si="31"/>
        <v>1</v>
      </c>
      <c r="I240">
        <v>239</v>
      </c>
      <c r="J240">
        <f t="shared" si="26"/>
        <v>-0.82476508447336139</v>
      </c>
      <c r="K240">
        <f t="shared" si="27"/>
        <v>-0.56547551267375762</v>
      </c>
      <c r="L240">
        <f>VLOOKUP(D240,[1]SOI!$A$1:$C$142,3)</f>
        <v>-3.7</v>
      </c>
      <c r="M240" s="2">
        <f t="shared" si="28"/>
        <v>-197.11885518913337</v>
      </c>
      <c r="N240">
        <f t="shared" si="29"/>
        <v>-135.14864752902807</v>
      </c>
      <c r="O240" t="s">
        <v>8</v>
      </c>
    </row>
    <row r="241" spans="1:15" x14ac:dyDescent="0.35">
      <c r="A241">
        <v>2000</v>
      </c>
      <c r="B241">
        <v>8</v>
      </c>
      <c r="C241">
        <v>27</v>
      </c>
      <c r="D241" s="1">
        <f t="shared" si="24"/>
        <v>36765</v>
      </c>
      <c r="E241">
        <v>0</v>
      </c>
      <c r="F241">
        <f t="shared" si="30"/>
        <v>1.2</v>
      </c>
      <c r="G241">
        <f t="shared" si="25"/>
        <v>0</v>
      </c>
      <c r="H241">
        <f t="shared" si="31"/>
        <v>1</v>
      </c>
      <c r="I241">
        <v>240</v>
      </c>
      <c r="J241">
        <f t="shared" si="26"/>
        <v>-0.8343701235229537</v>
      </c>
      <c r="K241">
        <f t="shared" si="27"/>
        <v>-0.55120458721992771</v>
      </c>
      <c r="L241">
        <f>VLOOKUP(D241,[1]SOI!$A$1:$C$142,3)</f>
        <v>-3.7</v>
      </c>
      <c r="M241" s="2">
        <f t="shared" si="28"/>
        <v>-200.24882964550889</v>
      </c>
      <c r="N241">
        <f t="shared" si="29"/>
        <v>-132.28910093278265</v>
      </c>
      <c r="O241" t="s">
        <v>8</v>
      </c>
    </row>
    <row r="242" spans="1:15" x14ac:dyDescent="0.35">
      <c r="A242">
        <v>2000</v>
      </c>
      <c r="B242">
        <v>8</v>
      </c>
      <c r="C242">
        <v>28</v>
      </c>
      <c r="D242" s="1">
        <f t="shared" si="24"/>
        <v>36766</v>
      </c>
      <c r="E242">
        <v>2</v>
      </c>
      <c r="F242">
        <f t="shared" si="30"/>
        <v>0</v>
      </c>
      <c r="G242">
        <f t="shared" si="25"/>
        <v>1</v>
      </c>
      <c r="H242">
        <f t="shared" si="31"/>
        <v>0</v>
      </c>
      <c r="I242">
        <v>241</v>
      </c>
      <c r="J242">
        <f t="shared" si="26"/>
        <v>-0.84372825902927118</v>
      </c>
      <c r="K242">
        <f t="shared" si="27"/>
        <v>-0.53677055146071029</v>
      </c>
      <c r="L242">
        <f>VLOOKUP(D242,[1]SOI!$A$1:$C$142,3)</f>
        <v>-3.7</v>
      </c>
      <c r="M242" s="2">
        <f t="shared" si="28"/>
        <v>-203.33851042605434</v>
      </c>
      <c r="N242">
        <f t="shared" si="29"/>
        <v>-129.36170290203117</v>
      </c>
      <c r="O242" t="s">
        <v>8</v>
      </c>
    </row>
    <row r="243" spans="1:15" x14ac:dyDescent="0.35">
      <c r="A243">
        <v>2000</v>
      </c>
      <c r="B243">
        <v>8</v>
      </c>
      <c r="C243">
        <v>29</v>
      </c>
      <c r="D243" s="1">
        <f t="shared" si="24"/>
        <v>36767</v>
      </c>
      <c r="E243">
        <v>2</v>
      </c>
      <c r="F243">
        <f t="shared" si="30"/>
        <v>2</v>
      </c>
      <c r="G243">
        <f t="shared" si="25"/>
        <v>1</v>
      </c>
      <c r="H243">
        <f t="shared" si="31"/>
        <v>1</v>
      </c>
      <c r="I243">
        <v>242</v>
      </c>
      <c r="J243">
        <f t="shared" si="26"/>
        <v>-0.85283672176945946</v>
      </c>
      <c r="K243">
        <f t="shared" si="27"/>
        <v>-0.52217767665950798</v>
      </c>
      <c r="L243">
        <f>VLOOKUP(D243,[1]SOI!$A$1:$C$142,3)</f>
        <v>-3.7</v>
      </c>
      <c r="M243" s="2">
        <f t="shared" si="28"/>
        <v>-206.38648666820919</v>
      </c>
      <c r="N243">
        <f t="shared" si="29"/>
        <v>-126.36699775160093</v>
      </c>
      <c r="O243" t="s">
        <v>8</v>
      </c>
    </row>
    <row r="244" spans="1:15" x14ac:dyDescent="0.35">
      <c r="A244">
        <v>2000</v>
      </c>
      <c r="B244">
        <v>8</v>
      </c>
      <c r="C244">
        <v>30</v>
      </c>
      <c r="D244" s="1">
        <f t="shared" si="24"/>
        <v>36768</v>
      </c>
      <c r="E244">
        <v>4.2</v>
      </c>
      <c r="F244">
        <f t="shared" si="30"/>
        <v>2</v>
      </c>
      <c r="G244">
        <f t="shared" si="25"/>
        <v>1</v>
      </c>
      <c r="H244">
        <f t="shared" si="31"/>
        <v>1</v>
      </c>
      <c r="I244">
        <v>243</v>
      </c>
      <c r="J244">
        <f t="shared" si="26"/>
        <v>-0.86169281640285211</v>
      </c>
      <c r="K244">
        <f t="shared" si="27"/>
        <v>-0.50743028108275179</v>
      </c>
      <c r="L244">
        <f>VLOOKUP(D244,[1]SOI!$A$1:$C$142,3)</f>
        <v>-3.7</v>
      </c>
      <c r="M244" s="2">
        <f t="shared" si="28"/>
        <v>-209.39135438589307</v>
      </c>
      <c r="N244">
        <f t="shared" si="29"/>
        <v>-123.30555830310868</v>
      </c>
      <c r="O244" t="s">
        <v>8</v>
      </c>
    </row>
    <row r="245" spans="1:15" x14ac:dyDescent="0.35">
      <c r="A245">
        <v>2000</v>
      </c>
      <c r="B245">
        <v>8</v>
      </c>
      <c r="C245">
        <v>31</v>
      </c>
      <c r="D245" s="1">
        <f t="shared" si="24"/>
        <v>36769</v>
      </c>
      <c r="E245">
        <v>5</v>
      </c>
      <c r="F245">
        <f t="shared" si="30"/>
        <v>4.2</v>
      </c>
      <c r="G245">
        <f t="shared" si="25"/>
        <v>1</v>
      </c>
      <c r="H245">
        <f t="shared" si="31"/>
        <v>1</v>
      </c>
      <c r="I245">
        <v>244</v>
      </c>
      <c r="J245">
        <f t="shared" si="26"/>
        <v>-0.87029392226856739</v>
      </c>
      <c r="K245">
        <f t="shared" si="27"/>
        <v>-0.49253272872205434</v>
      </c>
      <c r="L245">
        <f>VLOOKUP(D245,[1]SOI!$A$1:$C$142,3)</f>
        <v>-3.7</v>
      </c>
      <c r="M245" s="2">
        <f t="shared" si="28"/>
        <v>-212.35171703353043</v>
      </c>
      <c r="N245">
        <f t="shared" si="29"/>
        <v>-120.17798580818126</v>
      </c>
      <c r="O245" t="s">
        <v>8</v>
      </c>
    </row>
    <row r="246" spans="1:15" x14ac:dyDescent="0.35">
      <c r="A246">
        <v>2000</v>
      </c>
      <c r="B246">
        <v>9</v>
      </c>
      <c r="C246">
        <v>1</v>
      </c>
      <c r="D246" s="1">
        <f t="shared" si="24"/>
        <v>36770</v>
      </c>
      <c r="E246">
        <v>0</v>
      </c>
      <c r="F246">
        <f t="shared" si="30"/>
        <v>5</v>
      </c>
      <c r="G246">
        <f t="shared" si="25"/>
        <v>0</v>
      </c>
      <c r="H246">
        <f t="shared" si="31"/>
        <v>1</v>
      </c>
      <c r="I246">
        <v>245</v>
      </c>
      <c r="J246">
        <f t="shared" si="26"/>
        <v>-0.87863749416100012</v>
      </c>
      <c r="K246">
        <f t="shared" si="27"/>
        <v>-0.47748942800283911</v>
      </c>
      <c r="L246">
        <f>VLOOKUP(D246,[1]SOI!$A$1:$C$142,3)</f>
        <v>5.3</v>
      </c>
      <c r="M246" s="2">
        <f t="shared" si="28"/>
        <v>-215.26618606944504</v>
      </c>
      <c r="N246">
        <f t="shared" si="29"/>
        <v>-116.98490986069558</v>
      </c>
      <c r="O246" t="s">
        <v>8</v>
      </c>
    </row>
    <row r="247" spans="1:15" x14ac:dyDescent="0.35">
      <c r="A247">
        <v>2000</v>
      </c>
      <c r="B247">
        <v>9</v>
      </c>
      <c r="C247">
        <v>2</v>
      </c>
      <c r="D247" s="1">
        <f t="shared" si="24"/>
        <v>36771</v>
      </c>
      <c r="E247">
        <v>3.8</v>
      </c>
      <c r="F247">
        <f t="shared" si="30"/>
        <v>0</v>
      </c>
      <c r="G247">
        <f t="shared" si="25"/>
        <v>1</v>
      </c>
      <c r="H247">
        <f t="shared" si="31"/>
        <v>0</v>
      </c>
      <c r="I247">
        <v>246</v>
      </c>
      <c r="J247">
        <f t="shared" si="26"/>
        <v>-0.88672106308299303</v>
      </c>
      <c r="K247">
        <f t="shared" si="27"/>
        <v>-0.46230483047981086</v>
      </c>
      <c r="L247">
        <f>VLOOKUP(D247,[1]SOI!$A$1:$C$142,3)</f>
        <v>5.3</v>
      </c>
      <c r="M247" s="2">
        <f t="shared" si="28"/>
        <v>-218.13338151841629</v>
      </c>
      <c r="N247">
        <f t="shared" si="29"/>
        <v>-113.72698829803348</v>
      </c>
      <c r="O247" t="s">
        <v>8</v>
      </c>
    </row>
    <row r="248" spans="1:15" x14ac:dyDescent="0.35">
      <c r="A248">
        <v>2000</v>
      </c>
      <c r="B248">
        <v>9</v>
      </c>
      <c r="C248">
        <v>3</v>
      </c>
      <c r="D248" s="1">
        <f t="shared" si="24"/>
        <v>36772</v>
      </c>
      <c r="E248">
        <v>6</v>
      </c>
      <c r="F248">
        <f t="shared" si="30"/>
        <v>3.8</v>
      </c>
      <c r="G248">
        <f t="shared" si="25"/>
        <v>1</v>
      </c>
      <c r="H248">
        <f t="shared" si="31"/>
        <v>1</v>
      </c>
      <c r="I248">
        <v>247</v>
      </c>
      <c r="J248">
        <f t="shared" si="26"/>
        <v>-0.89454223697644963</v>
      </c>
      <c r="K248">
        <f t="shared" si="27"/>
        <v>-0.44698342951967412</v>
      </c>
      <c r="L248">
        <f>VLOOKUP(D248,[1]SOI!$A$1:$C$142,3)</f>
        <v>5.3</v>
      </c>
      <c r="M248" s="2">
        <f t="shared" si="28"/>
        <v>-220.95193253318305</v>
      </c>
      <c r="N248">
        <f t="shared" si="29"/>
        <v>-110.4049070913595</v>
      </c>
      <c r="O248" t="s">
        <v>8</v>
      </c>
    </row>
    <row r="249" spans="1:15" x14ac:dyDescent="0.35">
      <c r="A249">
        <v>2000</v>
      </c>
      <c r="B249">
        <v>9</v>
      </c>
      <c r="C249">
        <v>4</v>
      </c>
      <c r="D249" s="1">
        <f t="shared" si="24"/>
        <v>36773</v>
      </c>
      <c r="E249">
        <v>0</v>
      </c>
      <c r="F249">
        <f t="shared" si="30"/>
        <v>6</v>
      </c>
      <c r="G249">
        <f t="shared" si="25"/>
        <v>0</v>
      </c>
      <c r="H249">
        <f t="shared" si="31"/>
        <v>1</v>
      </c>
      <c r="I249">
        <v>248</v>
      </c>
      <c r="J249">
        <f t="shared" si="26"/>
        <v>-0.90209870143018367</v>
      </c>
      <c r="K249">
        <f t="shared" si="27"/>
        <v>-0.43152975897147144</v>
      </c>
      <c r="L249">
        <f>VLOOKUP(D249,[1]SOI!$A$1:$C$142,3)</f>
        <v>5.3</v>
      </c>
      <c r="M249" s="2">
        <f t="shared" si="28"/>
        <v>-223.72047795468555</v>
      </c>
      <c r="N249">
        <f t="shared" si="29"/>
        <v>-107.01938022492492</v>
      </c>
      <c r="O249" t="s">
        <v>8</v>
      </c>
    </row>
    <row r="250" spans="1:15" x14ac:dyDescent="0.35">
      <c r="A250">
        <v>2000</v>
      </c>
      <c r="B250">
        <v>9</v>
      </c>
      <c r="C250">
        <v>5</v>
      </c>
      <c r="D250" s="1">
        <f t="shared" si="24"/>
        <v>36774</v>
      </c>
      <c r="E250">
        <v>1.6</v>
      </c>
      <c r="F250">
        <f t="shared" si="30"/>
        <v>0</v>
      </c>
      <c r="G250">
        <f t="shared" si="25"/>
        <v>1</v>
      </c>
      <c r="H250">
        <f t="shared" si="31"/>
        <v>0</v>
      </c>
      <c r="I250">
        <v>249</v>
      </c>
      <c r="J250">
        <f t="shared" si="26"/>
        <v>-0.9093882203647925</v>
      </c>
      <c r="K250">
        <f t="shared" si="27"/>
        <v>-0.41594839182494209</v>
      </c>
      <c r="L250">
        <f>VLOOKUP(D250,[1]SOI!$A$1:$C$142,3)</f>
        <v>5.3</v>
      </c>
      <c r="M250" s="2">
        <f t="shared" si="28"/>
        <v>-226.43766687083334</v>
      </c>
      <c r="N250">
        <f t="shared" si="29"/>
        <v>-103.57114956441058</v>
      </c>
      <c r="O250" t="s">
        <v>8</v>
      </c>
    </row>
    <row r="251" spans="1:15" x14ac:dyDescent="0.35">
      <c r="A251">
        <v>2000</v>
      </c>
      <c r="B251">
        <v>9</v>
      </c>
      <c r="C251">
        <v>6</v>
      </c>
      <c r="D251" s="1">
        <f t="shared" si="24"/>
        <v>36775</v>
      </c>
      <c r="E251">
        <v>0.2</v>
      </c>
      <c r="F251">
        <f t="shared" si="30"/>
        <v>1.6</v>
      </c>
      <c r="G251">
        <f t="shared" si="25"/>
        <v>1</v>
      </c>
      <c r="H251">
        <f t="shared" si="31"/>
        <v>1</v>
      </c>
      <c r="I251">
        <v>250</v>
      </c>
      <c r="J251">
        <f t="shared" si="26"/>
        <v>-0.9164086366943458</v>
      </c>
      <c r="K251">
        <f t="shared" si="27"/>
        <v>-0.40024393885730558</v>
      </c>
      <c r="L251">
        <f>VLOOKUP(D251,[1]SOI!$A$1:$C$142,3)</f>
        <v>5.3</v>
      </c>
      <c r="M251" s="2">
        <f t="shared" si="28"/>
        <v>-229.10215917358644</v>
      </c>
      <c r="N251">
        <f t="shared" si="29"/>
        <v>-100.06098471432639</v>
      </c>
      <c r="O251" t="s">
        <v>8</v>
      </c>
    </row>
    <row r="252" spans="1:15" x14ac:dyDescent="0.35">
      <c r="A252">
        <v>2000</v>
      </c>
      <c r="B252">
        <v>9</v>
      </c>
      <c r="C252">
        <v>7</v>
      </c>
      <c r="D252" s="1">
        <f t="shared" si="24"/>
        <v>36776</v>
      </c>
      <c r="E252">
        <v>0.4</v>
      </c>
      <c r="F252">
        <f t="shared" si="30"/>
        <v>0.2</v>
      </c>
      <c r="G252">
        <f t="shared" si="25"/>
        <v>1</v>
      </c>
      <c r="H252">
        <f t="shared" si="31"/>
        <v>1</v>
      </c>
      <c r="I252">
        <v>251</v>
      </c>
      <c r="J252">
        <f t="shared" si="26"/>
        <v>-0.92315787296470386</v>
      </c>
      <c r="K252">
        <f t="shared" si="27"/>
        <v>-0.38442104726885545</v>
      </c>
      <c r="L252">
        <f>VLOOKUP(D252,[1]SOI!$A$1:$C$142,3)</f>
        <v>5.3</v>
      </c>
      <c r="M252" s="2">
        <f t="shared" si="28"/>
        <v>-231.71262611414068</v>
      </c>
      <c r="N252">
        <f t="shared" si="29"/>
        <v>-96.489682864482717</v>
      </c>
      <c r="O252" t="s">
        <v>8</v>
      </c>
    </row>
    <row r="253" spans="1:15" x14ac:dyDescent="0.35">
      <c r="A253">
        <v>2000</v>
      </c>
      <c r="B253">
        <v>9</v>
      </c>
      <c r="C253">
        <v>8</v>
      </c>
      <c r="D253" s="1">
        <f t="shared" si="24"/>
        <v>36777</v>
      </c>
      <c r="E253">
        <v>9.1999999999999993</v>
      </c>
      <c r="F253">
        <f t="shared" si="30"/>
        <v>0.4</v>
      </c>
      <c r="G253">
        <f t="shared" si="25"/>
        <v>1</v>
      </c>
      <c r="H253">
        <f t="shared" si="31"/>
        <v>1</v>
      </c>
      <c r="I253">
        <v>252</v>
      </c>
      <c r="J253">
        <f t="shared" si="26"/>
        <v>-0.92963393196826949</v>
      </c>
      <c r="K253">
        <f t="shared" si="27"/>
        <v>-0.36848439930777932</v>
      </c>
      <c r="L253">
        <f>VLOOKUP(D253,[1]SOI!$A$1:$C$142,3)</f>
        <v>5.3</v>
      </c>
      <c r="M253" s="2">
        <f t="shared" si="28"/>
        <v>-234.26775085600391</v>
      </c>
      <c r="N253">
        <f t="shared" si="29"/>
        <v>-92.858068625560392</v>
      </c>
      <c r="O253" t="s">
        <v>8</v>
      </c>
    </row>
    <row r="254" spans="1:15" x14ac:dyDescent="0.35">
      <c r="A254">
        <v>2000</v>
      </c>
      <c r="B254">
        <v>9</v>
      </c>
      <c r="C254">
        <v>9</v>
      </c>
      <c r="D254" s="1">
        <f t="shared" si="24"/>
        <v>36778</v>
      </c>
      <c r="E254">
        <v>6.6</v>
      </c>
      <c r="F254">
        <f t="shared" si="30"/>
        <v>9.1999999999999993</v>
      </c>
      <c r="G254">
        <f t="shared" si="25"/>
        <v>1</v>
      </c>
      <c r="H254">
        <f t="shared" si="31"/>
        <v>1</v>
      </c>
      <c r="I254">
        <v>253</v>
      </c>
      <c r="J254">
        <f t="shared" si="26"/>
        <v>-0.93583489733499414</v>
      </c>
      <c r="K254">
        <f t="shared" si="27"/>
        <v>-0.35243871088460327</v>
      </c>
      <c r="L254">
        <f>VLOOKUP(D254,[1]SOI!$A$1:$C$142,3)</f>
        <v>5.3</v>
      </c>
      <c r="M254" s="2">
        <f t="shared" si="28"/>
        <v>-236.76622902575352</v>
      </c>
      <c r="N254">
        <f t="shared" si="29"/>
        <v>-89.166993853804627</v>
      </c>
      <c r="O254" t="s">
        <v>8</v>
      </c>
    </row>
    <row r="255" spans="1:15" x14ac:dyDescent="0.35">
      <c r="A255">
        <v>2000</v>
      </c>
      <c r="B255">
        <v>9</v>
      </c>
      <c r="C255">
        <v>10</v>
      </c>
      <c r="D255" s="1">
        <f t="shared" si="24"/>
        <v>36779</v>
      </c>
      <c r="E255">
        <v>2.2000000000000002</v>
      </c>
      <c r="F255">
        <f t="shared" si="30"/>
        <v>6.6</v>
      </c>
      <c r="G255">
        <f t="shared" si="25"/>
        <v>1</v>
      </c>
      <c r="H255">
        <f t="shared" si="31"/>
        <v>1</v>
      </c>
      <c r="I255">
        <v>254</v>
      </c>
      <c r="J255">
        <f t="shared" si="26"/>
        <v>-0.94175893409946165</v>
      </c>
      <c r="K255">
        <f t="shared" si="27"/>
        <v>-0.33628873017668287</v>
      </c>
      <c r="L255">
        <f>VLOOKUP(D255,[1]SOI!$A$1:$C$142,3)</f>
        <v>5.3</v>
      </c>
      <c r="M255" s="2">
        <f t="shared" si="28"/>
        <v>-239.20676926126325</v>
      </c>
      <c r="N255">
        <f t="shared" si="29"/>
        <v>-85.417337464877448</v>
      </c>
      <c r="O255" t="s">
        <v>8</v>
      </c>
    </row>
    <row r="256" spans="1:15" x14ac:dyDescent="0.35">
      <c r="A256">
        <v>2000</v>
      </c>
      <c r="B256">
        <v>9</v>
      </c>
      <c r="C256">
        <v>11</v>
      </c>
      <c r="D256" s="1">
        <f t="shared" si="24"/>
        <v>36780</v>
      </c>
      <c r="E256">
        <v>6</v>
      </c>
      <c r="F256">
        <f t="shared" si="30"/>
        <v>2.2000000000000002</v>
      </c>
      <c r="G256">
        <f t="shared" si="25"/>
        <v>1</v>
      </c>
      <c r="H256">
        <f t="shared" si="31"/>
        <v>1</v>
      </c>
      <c r="I256">
        <v>255</v>
      </c>
      <c r="J256">
        <f t="shared" si="26"/>
        <v>-0.94740428924388453</v>
      </c>
      <c r="K256">
        <f t="shared" si="27"/>
        <v>-0.32003923622313857</v>
      </c>
      <c r="L256">
        <f>VLOOKUP(D256,[1]SOI!$A$1:$C$142,3)</f>
        <v>5.3</v>
      </c>
      <c r="M256" s="2">
        <f t="shared" si="28"/>
        <v>-241.58809375719056</v>
      </c>
      <c r="N256">
        <f t="shared" si="29"/>
        <v>-81.610005236900335</v>
      </c>
      <c r="O256" t="s">
        <v>8</v>
      </c>
    </row>
    <row r="257" spans="1:15" x14ac:dyDescent="0.35">
      <c r="A257">
        <v>2000</v>
      </c>
      <c r="B257">
        <v>9</v>
      </c>
      <c r="C257">
        <v>12</v>
      </c>
      <c r="D257" s="1">
        <f t="shared" si="24"/>
        <v>36781</v>
      </c>
      <c r="E257">
        <v>0.6</v>
      </c>
      <c r="F257">
        <f t="shared" si="30"/>
        <v>6</v>
      </c>
      <c r="G257">
        <f t="shared" si="25"/>
        <v>1</v>
      </c>
      <c r="H257">
        <f t="shared" si="31"/>
        <v>1</v>
      </c>
      <c r="I257">
        <v>256</v>
      </c>
      <c r="J257">
        <f t="shared" si="26"/>
        <v>-0.95276929221685114</v>
      </c>
      <c r="K257">
        <f t="shared" si="27"/>
        <v>-0.30369503751065885</v>
      </c>
      <c r="L257">
        <f>VLOOKUP(D257,[1]SOI!$A$1:$C$142,3)</f>
        <v>5.3</v>
      </c>
      <c r="M257" s="2">
        <f t="shared" si="28"/>
        <v>-243.90893880751389</v>
      </c>
      <c r="N257">
        <f t="shared" si="29"/>
        <v>-77.745929602728665</v>
      </c>
      <c r="O257" t="s">
        <v>8</v>
      </c>
    </row>
    <row r="258" spans="1:15" x14ac:dyDescent="0.35">
      <c r="A258">
        <v>2000</v>
      </c>
      <c r="B258">
        <v>9</v>
      </c>
      <c r="C258">
        <v>13</v>
      </c>
      <c r="D258" s="1">
        <f t="shared" si="24"/>
        <v>36782</v>
      </c>
      <c r="E258">
        <v>0</v>
      </c>
      <c r="F258">
        <f t="shared" si="30"/>
        <v>0.6</v>
      </c>
      <c r="G258">
        <f t="shared" si="25"/>
        <v>0</v>
      </c>
      <c r="H258">
        <f t="shared" si="31"/>
        <v>1</v>
      </c>
      <c r="I258">
        <v>257</v>
      </c>
      <c r="J258">
        <f t="shared" si="26"/>
        <v>-0.95785235542766689</v>
      </c>
      <c r="K258">
        <f t="shared" si="27"/>
        <v>-0.28726097055059635</v>
      </c>
      <c r="L258">
        <f>VLOOKUP(D258,[1]SOI!$A$1:$C$142,3)</f>
        <v>5.3</v>
      </c>
      <c r="M258" s="2">
        <f t="shared" si="28"/>
        <v>-246.16805534491039</v>
      </c>
      <c r="N258">
        <f t="shared" si="29"/>
        <v>-73.826069431503257</v>
      </c>
      <c r="O258" t="s">
        <v>8</v>
      </c>
    </row>
    <row r="259" spans="1:15" x14ac:dyDescent="0.35">
      <c r="A259">
        <v>2000</v>
      </c>
      <c r="B259">
        <v>9</v>
      </c>
      <c r="C259">
        <v>14</v>
      </c>
      <c r="D259" s="1">
        <f t="shared" ref="D259:D322" si="32">DATE(A259,B259,C259)</f>
        <v>36783</v>
      </c>
      <c r="E259">
        <v>0</v>
      </c>
      <c r="F259">
        <f t="shared" si="30"/>
        <v>0</v>
      </c>
      <c r="G259">
        <f t="shared" ref="G259:G322" si="33">IF(E259=0,0,1)</f>
        <v>0</v>
      </c>
      <c r="H259">
        <f t="shared" si="31"/>
        <v>0</v>
      </c>
      <c r="I259">
        <v>258</v>
      </c>
      <c r="J259">
        <f t="shared" ref="J259:J322" si="34">SIN(2*PI()*I259/365.25)</f>
        <v>-0.96265197471614872</v>
      </c>
      <c r="K259">
        <f t="shared" ref="K259:K322" si="35">COS(2*PI()*I259/365.25)</f>
        <v>-0.2707418984477642</v>
      </c>
      <c r="L259">
        <f>VLOOKUP(D259,[1]SOI!$A$1:$C$142,3)</f>
        <v>5.3</v>
      </c>
      <c r="M259" s="2">
        <f t="shared" ref="M259:M322" si="36">I259*J259</f>
        <v>-248.36420947676638</v>
      </c>
      <c r="N259">
        <f t="shared" ref="N259:N322" si="37">I259*K259</f>
        <v>-69.851409799523168</v>
      </c>
      <c r="O259" t="s">
        <v>8</v>
      </c>
    </row>
    <row r="260" spans="1:15" x14ac:dyDescent="0.35">
      <c r="A260">
        <v>2000</v>
      </c>
      <c r="B260">
        <v>9</v>
      </c>
      <c r="C260">
        <v>15</v>
      </c>
      <c r="D260" s="1">
        <f t="shared" si="32"/>
        <v>36784</v>
      </c>
      <c r="E260">
        <v>3.2</v>
      </c>
      <c r="F260">
        <f t="shared" ref="F260:F323" si="38">E259</f>
        <v>0</v>
      </c>
      <c r="G260">
        <f t="shared" si="33"/>
        <v>1</v>
      </c>
      <c r="H260">
        <f t="shared" ref="H260:H323" si="39">G259</f>
        <v>0</v>
      </c>
      <c r="I260">
        <v>259</v>
      </c>
      <c r="J260">
        <f t="shared" si="34"/>
        <v>-0.96716672979773122</v>
      </c>
      <c r="K260">
        <f t="shared" si="35"/>
        <v>-0.25414270946136219</v>
      </c>
      <c r="L260">
        <f>VLOOKUP(D260,[1]SOI!$A$1:$C$142,3)</f>
        <v>5.3</v>
      </c>
      <c r="M260" s="2">
        <f t="shared" si="36"/>
        <v>-250.4961830176124</v>
      </c>
      <c r="N260">
        <f t="shared" si="37"/>
        <v>-65.822961750492809</v>
      </c>
      <c r="O260" t="s">
        <v>8</v>
      </c>
    </row>
    <row r="261" spans="1:15" x14ac:dyDescent="0.35">
      <c r="A261">
        <v>2000</v>
      </c>
      <c r="B261">
        <v>9</v>
      </c>
      <c r="C261">
        <v>16</v>
      </c>
      <c r="D261" s="1">
        <f t="shared" si="32"/>
        <v>36785</v>
      </c>
      <c r="E261">
        <v>0</v>
      </c>
      <c r="F261">
        <f t="shared" si="38"/>
        <v>3.2</v>
      </c>
      <c r="G261">
        <f t="shared" si="33"/>
        <v>0</v>
      </c>
      <c r="H261">
        <f t="shared" si="39"/>
        <v>1</v>
      </c>
      <c r="I261">
        <v>260</v>
      </c>
      <c r="J261">
        <f t="shared" si="34"/>
        <v>-0.97139528468375003</v>
      </c>
      <c r="K261">
        <f t="shared" si="35"/>
        <v>-0.23746831555846842</v>
      </c>
      <c r="L261">
        <f>VLOOKUP(D261,[1]SOI!$A$1:$C$142,3)</f>
        <v>5.3</v>
      </c>
      <c r="M261" s="2">
        <f t="shared" si="36"/>
        <v>-252.56277401777501</v>
      </c>
      <c r="N261">
        <f t="shared" si="37"/>
        <v>-61.741762045201789</v>
      </c>
      <c r="O261" t="s">
        <v>8</v>
      </c>
    </row>
    <row r="262" spans="1:15" x14ac:dyDescent="0.35">
      <c r="A262">
        <v>2000</v>
      </c>
      <c r="B262">
        <v>9</v>
      </c>
      <c r="C262">
        <v>17</v>
      </c>
      <c r="D262" s="1">
        <f t="shared" si="32"/>
        <v>36786</v>
      </c>
      <c r="E262">
        <v>0</v>
      </c>
      <c r="F262">
        <f t="shared" si="38"/>
        <v>0</v>
      </c>
      <c r="G262">
        <f t="shared" si="33"/>
        <v>0</v>
      </c>
      <c r="H262">
        <f t="shared" si="39"/>
        <v>0</v>
      </c>
      <c r="I262">
        <v>261</v>
      </c>
      <c r="J262">
        <f t="shared" si="34"/>
        <v>-0.97533638807678369</v>
      </c>
      <c r="K262">
        <f t="shared" si="35"/>
        <v>-0.2207236509605022</v>
      </c>
      <c r="L262">
        <f>VLOOKUP(D262,[1]SOI!$A$1:$C$142,3)</f>
        <v>5.3</v>
      </c>
      <c r="M262" s="2">
        <f t="shared" si="36"/>
        <v>-254.56279728804054</v>
      </c>
      <c r="N262">
        <f t="shared" si="37"/>
        <v>-57.608872900691075</v>
      </c>
      <c r="O262" t="s">
        <v>8</v>
      </c>
    </row>
    <row r="263" spans="1:15" x14ac:dyDescent="0.35">
      <c r="A263">
        <v>2000</v>
      </c>
      <c r="B263">
        <v>9</v>
      </c>
      <c r="C263">
        <v>18</v>
      </c>
      <c r="D263" s="1">
        <f t="shared" si="32"/>
        <v>36787</v>
      </c>
      <c r="E263">
        <v>0</v>
      </c>
      <c r="F263">
        <f t="shared" si="38"/>
        <v>0</v>
      </c>
      <c r="G263">
        <f t="shared" si="33"/>
        <v>0</v>
      </c>
      <c r="H263">
        <f t="shared" si="39"/>
        <v>0</v>
      </c>
      <c r="I263">
        <v>262</v>
      </c>
      <c r="J263">
        <f t="shared" si="34"/>
        <v>-0.97898887374093191</v>
      </c>
      <c r="K263">
        <f t="shared" si="35"/>
        <v>-0.20391367068311472</v>
      </c>
      <c r="L263">
        <f>VLOOKUP(D263,[1]SOI!$A$1:$C$142,3)</f>
        <v>5.3</v>
      </c>
      <c r="M263" s="2">
        <f t="shared" si="36"/>
        <v>-256.49508492012416</v>
      </c>
      <c r="N263">
        <f t="shared" si="37"/>
        <v>-53.425381718976055</v>
      </c>
      <c r="O263" t="s">
        <v>8</v>
      </c>
    </row>
    <row r="264" spans="1:15" x14ac:dyDescent="0.35">
      <c r="A264">
        <v>2000</v>
      </c>
      <c r="B264">
        <v>9</v>
      </c>
      <c r="C264">
        <v>19</v>
      </c>
      <c r="D264" s="1">
        <f t="shared" si="32"/>
        <v>36788</v>
      </c>
      <c r="E264">
        <v>0</v>
      </c>
      <c r="F264">
        <f t="shared" si="38"/>
        <v>0</v>
      </c>
      <c r="G264">
        <f t="shared" si="33"/>
        <v>0</v>
      </c>
      <c r="H264">
        <f t="shared" si="39"/>
        <v>0</v>
      </c>
      <c r="I264">
        <v>263</v>
      </c>
      <c r="J264">
        <f t="shared" si="34"/>
        <v>-0.98235166084692371</v>
      </c>
      <c r="K264">
        <f t="shared" si="35"/>
        <v>-0.18704334906991657</v>
      </c>
      <c r="L264">
        <f>VLOOKUP(D264,[1]SOI!$A$1:$C$142,3)</f>
        <v>5.3</v>
      </c>
      <c r="M264" s="2">
        <f t="shared" si="36"/>
        <v>-258.35848680274091</v>
      </c>
      <c r="N264">
        <f t="shared" si="37"/>
        <v>-49.192400805388061</v>
      </c>
      <c r="O264" t="s">
        <v>8</v>
      </c>
    </row>
    <row r="265" spans="1:15" x14ac:dyDescent="0.35">
      <c r="A265">
        <v>2000</v>
      </c>
      <c r="B265">
        <v>9</v>
      </c>
      <c r="C265">
        <v>20</v>
      </c>
      <c r="D265" s="1">
        <f t="shared" si="32"/>
        <v>36789</v>
      </c>
      <c r="E265">
        <v>4.2</v>
      </c>
      <c r="F265">
        <f t="shared" si="38"/>
        <v>0</v>
      </c>
      <c r="G265">
        <f t="shared" si="33"/>
        <v>1</v>
      </c>
      <c r="H265">
        <f t="shared" si="39"/>
        <v>0</v>
      </c>
      <c r="I265">
        <v>264</v>
      </c>
      <c r="J265">
        <f t="shared" si="34"/>
        <v>-0.98542375429195239</v>
      </c>
      <c r="K265">
        <f t="shared" si="35"/>
        <v>-0.17011767832049052</v>
      </c>
      <c r="L265">
        <f>VLOOKUP(D265,[1]SOI!$A$1:$C$142,3)</f>
        <v>5.3</v>
      </c>
      <c r="M265" s="2">
        <f t="shared" si="36"/>
        <v>-260.15187113307542</v>
      </c>
      <c r="N265">
        <f t="shared" si="37"/>
        <v>-44.911067076609498</v>
      </c>
      <c r="O265" t="s">
        <v>8</v>
      </c>
    </row>
    <row r="266" spans="1:15" x14ac:dyDescent="0.35">
      <c r="A266">
        <v>2000</v>
      </c>
      <c r="B266">
        <v>9</v>
      </c>
      <c r="C266">
        <v>21</v>
      </c>
      <c r="D266" s="1">
        <f t="shared" si="32"/>
        <v>36790</v>
      </c>
      <c r="E266">
        <v>0</v>
      </c>
      <c r="F266">
        <f t="shared" si="38"/>
        <v>4.2</v>
      </c>
      <c r="G266">
        <f t="shared" si="33"/>
        <v>0</v>
      </c>
      <c r="H266">
        <f t="shared" si="39"/>
        <v>1</v>
      </c>
      <c r="I266">
        <v>265</v>
      </c>
      <c r="J266">
        <f t="shared" si="34"/>
        <v>-0.98820424499414217</v>
      </c>
      <c r="K266">
        <f t="shared" si="35"/>
        <v>-0.15314166701312007</v>
      </c>
      <c r="L266">
        <f>VLOOKUP(D266,[1]SOI!$A$1:$C$142,3)</f>
        <v>5.3</v>
      </c>
      <c r="M266" s="2">
        <f t="shared" si="36"/>
        <v>-261.87412492344765</v>
      </c>
      <c r="N266">
        <f t="shared" si="37"/>
        <v>-40.582541758476822</v>
      </c>
      <c r="O266" t="s">
        <v>8</v>
      </c>
    </row>
    <row r="267" spans="1:15" x14ac:dyDescent="0.35">
      <c r="A267">
        <v>2000</v>
      </c>
      <c r="B267">
        <v>9</v>
      </c>
      <c r="C267">
        <v>22</v>
      </c>
      <c r="D267" s="1">
        <f t="shared" si="32"/>
        <v>36791</v>
      </c>
      <c r="E267">
        <v>0</v>
      </c>
      <c r="F267">
        <f t="shared" si="38"/>
        <v>0</v>
      </c>
      <c r="G267">
        <f t="shared" si="33"/>
        <v>0</v>
      </c>
      <c r="H267">
        <f t="shared" si="39"/>
        <v>0</v>
      </c>
      <c r="I267">
        <v>266</v>
      </c>
      <c r="J267">
        <f t="shared" si="34"/>
        <v>-0.9906923101615609</v>
      </c>
      <c r="K267">
        <f t="shared" si="35"/>
        <v>-0.13612033862266704</v>
      </c>
      <c r="L267">
        <f>VLOOKUP(D267,[1]SOI!$A$1:$C$142,3)</f>
        <v>5.3</v>
      </c>
      <c r="M267" s="2">
        <f t="shared" si="36"/>
        <v>-263.52415450297519</v>
      </c>
      <c r="N267">
        <f t="shared" si="37"/>
        <v>-36.208010073629431</v>
      </c>
      <c r="O267" t="s">
        <v>8</v>
      </c>
    </row>
    <row r="268" spans="1:15" x14ac:dyDescent="0.35">
      <c r="A268">
        <v>2000</v>
      </c>
      <c r="B268">
        <v>9</v>
      </c>
      <c r="C268">
        <v>23</v>
      </c>
      <c r="D268" s="1">
        <f t="shared" si="32"/>
        <v>36792</v>
      </c>
      <c r="E268">
        <v>0</v>
      </c>
      <c r="F268">
        <f t="shared" si="38"/>
        <v>0</v>
      </c>
      <c r="G268">
        <f t="shared" si="33"/>
        <v>0</v>
      </c>
      <c r="H268">
        <f t="shared" si="39"/>
        <v>0</v>
      </c>
      <c r="I268">
        <v>267</v>
      </c>
      <c r="J268">
        <f t="shared" si="34"/>
        <v>-0.9928872135356962</v>
      </c>
      <c r="K268">
        <f t="shared" si="35"/>
        <v>-0.11905873003404988</v>
      </c>
      <c r="L268">
        <f>VLOOKUP(D268,[1]SOI!$A$1:$C$142,3)</f>
        <v>5.3</v>
      </c>
      <c r="M268" s="2">
        <f t="shared" si="36"/>
        <v>-265.10088601403089</v>
      </c>
      <c r="N268">
        <f t="shared" si="37"/>
        <v>-31.788680919091316</v>
      </c>
      <c r="O268" t="s">
        <v>8</v>
      </c>
    </row>
    <row r="269" spans="1:15" x14ac:dyDescent="0.35">
      <c r="A269">
        <v>2000</v>
      </c>
      <c r="B269">
        <v>9</v>
      </c>
      <c r="C269">
        <v>24</v>
      </c>
      <c r="D269" s="1">
        <f t="shared" si="32"/>
        <v>36793</v>
      </c>
      <c r="E269">
        <v>0</v>
      </c>
      <c r="F269">
        <f t="shared" si="38"/>
        <v>0</v>
      </c>
      <c r="G269">
        <f t="shared" si="33"/>
        <v>0</v>
      </c>
      <c r="H269">
        <f t="shared" si="39"/>
        <v>0</v>
      </c>
      <c r="I269">
        <v>268</v>
      </c>
      <c r="J269">
        <f t="shared" si="34"/>
        <v>-0.99478830560932696</v>
      </c>
      <c r="K269">
        <f t="shared" si="35"/>
        <v>-0.10196189005174576</v>
      </c>
      <c r="L269">
        <f>VLOOKUP(D269,[1]SOI!$A$1:$C$142,3)</f>
        <v>5.3</v>
      </c>
      <c r="M269" s="2">
        <f t="shared" si="36"/>
        <v>-266.60326590329964</v>
      </c>
      <c r="N269">
        <f t="shared" si="37"/>
        <v>-27.325786533867863</v>
      </c>
      <c r="O269" t="s">
        <v>8</v>
      </c>
    </row>
    <row r="270" spans="1:15" x14ac:dyDescent="0.35">
      <c r="A270">
        <v>2000</v>
      </c>
      <c r="B270">
        <v>9</v>
      </c>
      <c r="C270">
        <v>25</v>
      </c>
      <c r="D270" s="1">
        <f t="shared" si="32"/>
        <v>36794</v>
      </c>
      <c r="E270">
        <v>5.6</v>
      </c>
      <c r="F270">
        <f t="shared" si="38"/>
        <v>0</v>
      </c>
      <c r="G270">
        <f t="shared" si="33"/>
        <v>1</v>
      </c>
      <c r="H270">
        <f t="shared" si="39"/>
        <v>0</v>
      </c>
      <c r="I270">
        <v>269</v>
      </c>
      <c r="J270">
        <f t="shared" si="34"/>
        <v>-0.99639502381872314</v>
      </c>
      <c r="K270">
        <f t="shared" si="35"/>
        <v>-8.4834877905765382E-2</v>
      </c>
      <c r="L270">
        <f>VLOOKUP(D270,[1]SOI!$A$1:$C$142,3)</f>
        <v>5.3</v>
      </c>
      <c r="M270" s="2">
        <f t="shared" si="36"/>
        <v>-268.03026140723654</v>
      </c>
      <c r="N270">
        <f t="shared" si="37"/>
        <v>-22.82058215665089</v>
      </c>
      <c r="O270" t="s">
        <v>8</v>
      </c>
    </row>
    <row r="271" spans="1:15" x14ac:dyDescent="0.35">
      <c r="A271">
        <v>2000</v>
      </c>
      <c r="B271">
        <v>9</v>
      </c>
      <c r="C271">
        <v>26</v>
      </c>
      <c r="D271" s="1">
        <f t="shared" si="32"/>
        <v>36795</v>
      </c>
      <c r="E271">
        <v>24.2</v>
      </c>
      <c r="F271">
        <f t="shared" si="38"/>
        <v>5.6</v>
      </c>
      <c r="G271">
        <f t="shared" si="33"/>
        <v>1</v>
      </c>
      <c r="H271">
        <f t="shared" si="39"/>
        <v>1</v>
      </c>
      <c r="I271">
        <v>270</v>
      </c>
      <c r="J271">
        <f t="shared" si="34"/>
        <v>-0.99770689271011681</v>
      </c>
      <c r="K271">
        <f t="shared" si="35"/>
        <v>-6.7682761754551624E-2</v>
      </c>
      <c r="L271">
        <f>VLOOKUP(D271,[1]SOI!$A$1:$C$142,3)</f>
        <v>5.3</v>
      </c>
      <c r="M271" s="2">
        <f t="shared" si="36"/>
        <v>-269.38086103173151</v>
      </c>
      <c r="N271">
        <f t="shared" si="37"/>
        <v>-18.274345673728938</v>
      </c>
      <c r="O271" t="s">
        <v>8</v>
      </c>
    </row>
    <row r="272" spans="1:15" x14ac:dyDescent="0.35">
      <c r="A272">
        <v>2000</v>
      </c>
      <c r="B272">
        <v>9</v>
      </c>
      <c r="C272">
        <v>27</v>
      </c>
      <c r="D272" s="1">
        <f t="shared" si="32"/>
        <v>36796</v>
      </c>
      <c r="E272">
        <v>7.4</v>
      </c>
      <c r="F272">
        <f t="shared" si="38"/>
        <v>24.2</v>
      </c>
      <c r="G272">
        <f t="shared" si="33"/>
        <v>1</v>
      </c>
      <c r="H272">
        <f t="shared" si="39"/>
        <v>1</v>
      </c>
      <c r="I272">
        <v>271</v>
      </c>
      <c r="J272">
        <f t="shared" si="34"/>
        <v>-0.99872352408039722</v>
      </c>
      <c r="K272">
        <f t="shared" si="35"/>
        <v>-5.0510617185222886E-2</v>
      </c>
      <c r="L272">
        <f>VLOOKUP(D272,[1]SOI!$A$1:$C$142,3)</f>
        <v>5.3</v>
      </c>
      <c r="M272" s="2">
        <f t="shared" si="36"/>
        <v>-270.65407502578762</v>
      </c>
      <c r="N272">
        <f t="shared" si="37"/>
        <v>-13.688377257195402</v>
      </c>
      <c r="O272" t="s">
        <v>8</v>
      </c>
    </row>
    <row r="273" spans="1:15" x14ac:dyDescent="0.35">
      <c r="A273">
        <v>2000</v>
      </c>
      <c r="B273">
        <v>9</v>
      </c>
      <c r="C273">
        <v>28</v>
      </c>
      <c r="D273" s="1">
        <f t="shared" si="32"/>
        <v>36797</v>
      </c>
      <c r="E273">
        <v>0</v>
      </c>
      <c r="F273">
        <f t="shared" si="38"/>
        <v>7.4</v>
      </c>
      <c r="G273">
        <f t="shared" si="33"/>
        <v>0</v>
      </c>
      <c r="H273">
        <f t="shared" si="39"/>
        <v>1</v>
      </c>
      <c r="I273">
        <v>272</v>
      </c>
      <c r="J273">
        <f t="shared" si="34"/>
        <v>-0.99944461709198584</v>
      </c>
      <c r="K273">
        <f t="shared" si="35"/>
        <v>-3.3323525711631344E-2</v>
      </c>
      <c r="L273">
        <f>VLOOKUP(D273,[1]SOI!$A$1:$C$142,3)</f>
        <v>5.3</v>
      </c>
      <c r="M273" s="2">
        <f t="shared" si="36"/>
        <v>-271.84893584902017</v>
      </c>
      <c r="N273">
        <f t="shared" si="37"/>
        <v>-9.0639989935637253</v>
      </c>
      <c r="O273" t="s">
        <v>8</v>
      </c>
    </row>
    <row r="274" spans="1:15" x14ac:dyDescent="0.35">
      <c r="A274">
        <v>2000</v>
      </c>
      <c r="B274">
        <v>9</v>
      </c>
      <c r="C274">
        <v>29</v>
      </c>
      <c r="D274" s="1">
        <f t="shared" si="32"/>
        <v>36798</v>
      </c>
      <c r="E274">
        <v>0.4</v>
      </c>
      <c r="F274">
        <f t="shared" si="38"/>
        <v>0</v>
      </c>
      <c r="G274">
        <f t="shared" si="33"/>
        <v>1</v>
      </c>
      <c r="H274">
        <f t="shared" si="39"/>
        <v>0</v>
      </c>
      <c r="I274">
        <v>273</v>
      </c>
      <c r="J274">
        <f t="shared" si="34"/>
        <v>-0.99986995836185921</v>
      </c>
      <c r="K274">
        <f t="shared" si="35"/>
        <v>-1.6126573270657762E-2</v>
      </c>
      <c r="L274">
        <f>VLOOKUP(D274,[1]SOI!$A$1:$C$142,3)</f>
        <v>5.3</v>
      </c>
      <c r="M274" s="2">
        <f t="shared" si="36"/>
        <v>-272.96449863278758</v>
      </c>
      <c r="N274">
        <f t="shared" si="37"/>
        <v>-4.4025545028895694</v>
      </c>
      <c r="O274" t="s">
        <v>8</v>
      </c>
    </row>
    <row r="275" spans="1:15" x14ac:dyDescent="0.35">
      <c r="A275">
        <v>2000</v>
      </c>
      <c r="B275">
        <v>9</v>
      </c>
      <c r="C275">
        <v>30</v>
      </c>
      <c r="D275" s="1">
        <f t="shared" si="32"/>
        <v>36799</v>
      </c>
      <c r="E275">
        <v>0</v>
      </c>
      <c r="F275">
        <f t="shared" si="38"/>
        <v>0.4</v>
      </c>
      <c r="G275">
        <f t="shared" si="33"/>
        <v>0</v>
      </c>
      <c r="H275">
        <f t="shared" si="39"/>
        <v>1</v>
      </c>
      <c r="I275">
        <v>274</v>
      </c>
      <c r="J275">
        <f t="shared" si="34"/>
        <v>-0.9999994220246925</v>
      </c>
      <c r="K275">
        <f t="shared" si="35"/>
        <v>1.0751512827982259E-3</v>
      </c>
      <c r="L275">
        <f>VLOOKUP(D275,[1]SOI!$A$1:$C$142,3)</f>
        <v>5.3</v>
      </c>
      <c r="M275" s="2">
        <f t="shared" si="36"/>
        <v>-273.99984163476574</v>
      </c>
      <c r="N275">
        <f t="shared" si="37"/>
        <v>0.2945914514867139</v>
      </c>
      <c r="O275" t="s">
        <v>8</v>
      </c>
    </row>
    <row r="276" spans="1:15" x14ac:dyDescent="0.35">
      <c r="A276">
        <v>2000</v>
      </c>
      <c r="B276">
        <v>10</v>
      </c>
      <c r="C276">
        <v>1</v>
      </c>
      <c r="D276" s="1">
        <f t="shared" si="32"/>
        <v>36800</v>
      </c>
      <c r="E276">
        <v>3.4</v>
      </c>
      <c r="F276">
        <f t="shared" si="38"/>
        <v>0</v>
      </c>
      <c r="G276">
        <f t="shared" si="33"/>
        <v>1</v>
      </c>
      <c r="H276">
        <f t="shared" si="39"/>
        <v>0</v>
      </c>
      <c r="I276">
        <v>275</v>
      </c>
      <c r="J276">
        <f t="shared" si="34"/>
        <v>-0.99983296977010505</v>
      </c>
      <c r="K276">
        <f t="shared" si="35"/>
        <v>1.8276557681691223E-2</v>
      </c>
      <c r="L276">
        <f>VLOOKUP(D276,[1]SOI!$A$1:$C$142,3)</f>
        <v>9.9</v>
      </c>
      <c r="M276" s="2">
        <f t="shared" si="36"/>
        <v>-274.9540666867789</v>
      </c>
      <c r="N276">
        <f t="shared" si="37"/>
        <v>5.0260533624650865</v>
      </c>
      <c r="O276" t="s">
        <v>8</v>
      </c>
    </row>
    <row r="277" spans="1:15" x14ac:dyDescent="0.35">
      <c r="A277">
        <v>2000</v>
      </c>
      <c r="B277">
        <v>10</v>
      </c>
      <c r="C277">
        <v>2</v>
      </c>
      <c r="D277" s="1">
        <f t="shared" si="32"/>
        <v>36801</v>
      </c>
      <c r="E277">
        <v>1.2</v>
      </c>
      <c r="F277">
        <f t="shared" si="38"/>
        <v>3.4</v>
      </c>
      <c r="G277">
        <f t="shared" si="33"/>
        <v>1</v>
      </c>
      <c r="H277">
        <f t="shared" si="39"/>
        <v>1</v>
      </c>
      <c r="I277">
        <v>276</v>
      </c>
      <c r="J277">
        <f t="shared" si="34"/>
        <v>-0.9993706508539969</v>
      </c>
      <c r="K277">
        <f t="shared" si="35"/>
        <v>3.5472555753125558E-2</v>
      </c>
      <c r="L277">
        <f>VLOOKUP(D277,[1]SOI!$A$1:$C$142,3)</f>
        <v>9.9</v>
      </c>
      <c r="M277" s="2">
        <f t="shared" si="36"/>
        <v>-275.82629963570315</v>
      </c>
      <c r="N277">
        <f t="shared" si="37"/>
        <v>9.7904253878626548</v>
      </c>
      <c r="O277" t="s">
        <v>8</v>
      </c>
    </row>
    <row r="278" spans="1:15" x14ac:dyDescent="0.35">
      <c r="A278">
        <v>2000</v>
      </c>
      <c r="B278">
        <v>10</v>
      </c>
      <c r="C278">
        <v>3</v>
      </c>
      <c r="D278" s="1">
        <f t="shared" si="32"/>
        <v>36802</v>
      </c>
      <c r="E278">
        <v>0</v>
      </c>
      <c r="F278">
        <f t="shared" si="38"/>
        <v>1.2</v>
      </c>
      <c r="G278">
        <f t="shared" si="33"/>
        <v>0</v>
      </c>
      <c r="H278">
        <f t="shared" si="39"/>
        <v>1</v>
      </c>
      <c r="I278">
        <v>277</v>
      </c>
      <c r="J278">
        <f t="shared" si="34"/>
        <v>-0.9986126020839734</v>
      </c>
      <c r="K278">
        <f t="shared" si="35"/>
        <v>5.2658056924614005E-2</v>
      </c>
      <c r="L278">
        <f>VLOOKUP(D278,[1]SOI!$A$1:$C$142,3)</f>
        <v>9.9</v>
      </c>
      <c r="M278" s="2">
        <f t="shared" si="36"/>
        <v>-276.61569077726062</v>
      </c>
      <c r="N278">
        <f t="shared" si="37"/>
        <v>14.586281768118079</v>
      </c>
      <c r="O278" t="s">
        <v>8</v>
      </c>
    </row>
    <row r="279" spans="1:15" x14ac:dyDescent="0.35">
      <c r="A279">
        <v>2000</v>
      </c>
      <c r="B279">
        <v>10</v>
      </c>
      <c r="C279">
        <v>4</v>
      </c>
      <c r="D279" s="1">
        <f t="shared" si="32"/>
        <v>36803</v>
      </c>
      <c r="E279">
        <v>0</v>
      </c>
      <c r="F279">
        <f t="shared" si="38"/>
        <v>0</v>
      </c>
      <c r="G279">
        <f t="shared" si="33"/>
        <v>0</v>
      </c>
      <c r="H279">
        <f t="shared" si="39"/>
        <v>0</v>
      </c>
      <c r="I279">
        <v>278</v>
      </c>
      <c r="J279">
        <f t="shared" si="34"/>
        <v>-0.99755904777886129</v>
      </c>
      <c r="K279">
        <f t="shared" si="35"/>
        <v>6.9827975729870886E-2</v>
      </c>
      <c r="L279">
        <f>VLOOKUP(D279,[1]SOI!$A$1:$C$142,3)</f>
        <v>9.9</v>
      </c>
      <c r="M279" s="2">
        <f t="shared" si="36"/>
        <v>-277.32141528252345</v>
      </c>
      <c r="N279">
        <f t="shared" si="37"/>
        <v>19.412177252904108</v>
      </c>
      <c r="O279" t="s">
        <v>8</v>
      </c>
    </row>
    <row r="280" spans="1:15" x14ac:dyDescent="0.35">
      <c r="A280">
        <v>2000</v>
      </c>
      <c r="B280">
        <v>10</v>
      </c>
      <c r="C280">
        <v>5</v>
      </c>
      <c r="D280" s="1">
        <f t="shared" si="32"/>
        <v>36804</v>
      </c>
      <c r="E280">
        <v>0</v>
      </c>
      <c r="F280">
        <f t="shared" si="38"/>
        <v>0</v>
      </c>
      <c r="G280">
        <f t="shared" si="33"/>
        <v>0</v>
      </c>
      <c r="H280">
        <f t="shared" si="39"/>
        <v>0</v>
      </c>
      <c r="I280">
        <v>279</v>
      </c>
      <c r="J280">
        <f t="shared" si="34"/>
        <v>-0.99621029970232966</v>
      </c>
      <c r="K280">
        <f t="shared" si="35"/>
        <v>8.6977231313686093E-2</v>
      </c>
      <c r="L280">
        <f>VLOOKUP(D280,[1]SOI!$A$1:$C$142,3)</f>
        <v>9.9</v>
      </c>
      <c r="M280" s="2">
        <f t="shared" si="36"/>
        <v>-277.94267361695</v>
      </c>
      <c r="N280">
        <f t="shared" si="37"/>
        <v>24.26664753651842</v>
      </c>
      <c r="O280" t="s">
        <v>8</v>
      </c>
    </row>
    <row r="281" spans="1:15" x14ac:dyDescent="0.35">
      <c r="A281">
        <v>2000</v>
      </c>
      <c r="B281">
        <v>10</v>
      </c>
      <c r="C281">
        <v>6</v>
      </c>
      <c r="D281" s="1">
        <f t="shared" si="32"/>
        <v>36805</v>
      </c>
      <c r="E281">
        <v>0</v>
      </c>
      <c r="F281">
        <f t="shared" si="38"/>
        <v>0</v>
      </c>
      <c r="G281">
        <f t="shared" si="33"/>
        <v>0</v>
      </c>
      <c r="H281">
        <f t="shared" si="39"/>
        <v>0</v>
      </c>
      <c r="I281">
        <v>280</v>
      </c>
      <c r="J281">
        <f t="shared" si="34"/>
        <v>-0.99456675697063368</v>
      </c>
      <c r="K281">
        <f t="shared" si="35"/>
        <v>0.1041007489354256</v>
      </c>
      <c r="L281">
        <f>VLOOKUP(D281,[1]SOI!$A$1:$C$142,3)</f>
        <v>9.9</v>
      </c>
      <c r="M281" s="2">
        <f t="shared" si="36"/>
        <v>-278.47869195177742</v>
      </c>
      <c r="N281">
        <f t="shared" si="37"/>
        <v>29.148209701919168</v>
      </c>
      <c r="O281" t="s">
        <v>8</v>
      </c>
    </row>
    <row r="282" spans="1:15" x14ac:dyDescent="0.35">
      <c r="A282">
        <v>2000</v>
      </c>
      <c r="B282">
        <v>10</v>
      </c>
      <c r="C282">
        <v>7</v>
      </c>
      <c r="D282" s="1">
        <f t="shared" si="32"/>
        <v>36806</v>
      </c>
      <c r="E282">
        <v>0.2</v>
      </c>
      <c r="F282">
        <f t="shared" si="38"/>
        <v>0</v>
      </c>
      <c r="G282">
        <f t="shared" si="33"/>
        <v>1</v>
      </c>
      <c r="H282">
        <f t="shared" si="39"/>
        <v>0</v>
      </c>
      <c r="I282">
        <v>281</v>
      </c>
      <c r="J282">
        <f t="shared" si="34"/>
        <v>-0.99262890593450948</v>
      </c>
      <c r="K282">
        <f t="shared" si="35"/>
        <v>0.12119346147073599</v>
      </c>
      <c r="L282">
        <f>VLOOKUP(D282,[1]SOI!$A$1:$C$142,3)</f>
        <v>9.9</v>
      </c>
      <c r="M282" s="2">
        <f t="shared" si="36"/>
        <v>-278.92872256759716</v>
      </c>
      <c r="N282">
        <f t="shared" si="37"/>
        <v>34.055362673276811</v>
      </c>
      <c r="O282" t="s">
        <v>8</v>
      </c>
    </row>
    <row r="283" spans="1:15" x14ac:dyDescent="0.35">
      <c r="A283">
        <v>2000</v>
      </c>
      <c r="B283">
        <v>10</v>
      </c>
      <c r="C283">
        <v>8</v>
      </c>
      <c r="D283" s="1">
        <f t="shared" si="32"/>
        <v>36807</v>
      </c>
      <c r="E283">
        <v>1.6</v>
      </c>
      <c r="F283">
        <f t="shared" si="38"/>
        <v>0.2</v>
      </c>
      <c r="G283">
        <f t="shared" si="33"/>
        <v>1</v>
      </c>
      <c r="H283">
        <f t="shared" si="39"/>
        <v>1</v>
      </c>
      <c r="I283">
        <v>282</v>
      </c>
      <c r="J283">
        <f t="shared" si="34"/>
        <v>-0.99039732003525582</v>
      </c>
      <c r="K283">
        <f t="shared" si="35"/>
        <v>0.13825031091098189</v>
      </c>
      <c r="L283">
        <f>VLOOKUP(D283,[1]SOI!$A$1:$C$142,3)</f>
        <v>9.9</v>
      </c>
      <c r="M283" s="2">
        <f t="shared" si="36"/>
        <v>-279.29204424994214</v>
      </c>
      <c r="N283">
        <f t="shared" si="37"/>
        <v>38.986587676896896</v>
      </c>
      <c r="O283" t="s">
        <v>8</v>
      </c>
    </row>
    <row r="284" spans="1:15" x14ac:dyDescent="0.35">
      <c r="A284">
        <v>2000</v>
      </c>
      <c r="B284">
        <v>10</v>
      </c>
      <c r="C284">
        <v>9</v>
      </c>
      <c r="D284" s="1">
        <f t="shared" si="32"/>
        <v>36808</v>
      </c>
      <c r="E284">
        <v>0.2</v>
      </c>
      <c r="F284">
        <f t="shared" si="38"/>
        <v>1.6</v>
      </c>
      <c r="G284">
        <f t="shared" si="33"/>
        <v>1</v>
      </c>
      <c r="H284">
        <f t="shared" si="39"/>
        <v>1</v>
      </c>
      <c r="I284">
        <v>283</v>
      </c>
      <c r="J284">
        <f t="shared" si="34"/>
        <v>-0.98787265963504289</v>
      </c>
      <c r="K284">
        <f t="shared" si="35"/>
        <v>0.15526624985999563</v>
      </c>
      <c r="L284">
        <f>VLOOKUP(D284,[1]SOI!$A$1:$C$142,3)</f>
        <v>9.9</v>
      </c>
      <c r="M284" s="2">
        <f t="shared" si="36"/>
        <v>-279.56796267671712</v>
      </c>
      <c r="N284">
        <f t="shared" si="37"/>
        <v>43.940348710378764</v>
      </c>
      <c r="O284" t="s">
        <v>8</v>
      </c>
    </row>
    <row r="285" spans="1:15" x14ac:dyDescent="0.35">
      <c r="A285">
        <v>2000</v>
      </c>
      <c r="B285">
        <v>10</v>
      </c>
      <c r="C285">
        <v>10</v>
      </c>
      <c r="D285" s="1">
        <f t="shared" si="32"/>
        <v>36809</v>
      </c>
      <c r="E285">
        <v>0</v>
      </c>
      <c r="F285">
        <f t="shared" si="38"/>
        <v>0.2</v>
      </c>
      <c r="G285">
        <f t="shared" si="33"/>
        <v>0</v>
      </c>
      <c r="H285">
        <f t="shared" si="39"/>
        <v>1</v>
      </c>
      <c r="I285">
        <v>284</v>
      </c>
      <c r="J285">
        <f t="shared" si="34"/>
        <v>-0.98505567182150133</v>
      </c>
      <c r="K285">
        <f t="shared" si="35"/>
        <v>0.17223624302768201</v>
      </c>
      <c r="L285">
        <f>VLOOKUP(D285,[1]SOI!$A$1:$C$142,3)</f>
        <v>9.9</v>
      </c>
      <c r="M285" s="2">
        <f t="shared" si="36"/>
        <v>-279.75581079730637</v>
      </c>
      <c r="N285">
        <f t="shared" si="37"/>
        <v>48.915093019861693</v>
      </c>
      <c r="O285" t="s">
        <v>8</v>
      </c>
    </row>
    <row r="286" spans="1:15" x14ac:dyDescent="0.35">
      <c r="A286">
        <v>2000</v>
      </c>
      <c r="B286">
        <v>10</v>
      </c>
      <c r="C286">
        <v>11</v>
      </c>
      <c r="D286" s="1">
        <f t="shared" si="32"/>
        <v>36810</v>
      </c>
      <c r="E286">
        <v>3.2</v>
      </c>
      <c r="F286">
        <f t="shared" si="38"/>
        <v>0</v>
      </c>
      <c r="G286">
        <f t="shared" si="33"/>
        <v>1</v>
      </c>
      <c r="H286">
        <f t="shared" si="39"/>
        <v>0</v>
      </c>
      <c r="I286">
        <v>285</v>
      </c>
      <c r="J286">
        <f t="shared" si="34"/>
        <v>-0.981947190186646</v>
      </c>
      <c r="K286">
        <f t="shared" si="35"/>
        <v>0.18915526872004093</v>
      </c>
      <c r="L286">
        <f>VLOOKUP(D286,[1]SOI!$A$1:$C$142,3)</f>
        <v>9.9</v>
      </c>
      <c r="M286" s="2">
        <f t="shared" si="36"/>
        <v>-279.85494920319411</v>
      </c>
      <c r="N286">
        <f t="shared" si="37"/>
        <v>53.909251585211663</v>
      </c>
      <c r="O286" t="s">
        <v>8</v>
      </c>
    </row>
    <row r="287" spans="1:15" x14ac:dyDescent="0.35">
      <c r="A287">
        <v>2000</v>
      </c>
      <c r="B287">
        <v>10</v>
      </c>
      <c r="C287">
        <v>12</v>
      </c>
      <c r="D287" s="1">
        <f t="shared" si="32"/>
        <v>36811</v>
      </c>
      <c r="E287">
        <v>0</v>
      </c>
      <c r="F287">
        <f t="shared" si="38"/>
        <v>3.2</v>
      </c>
      <c r="G287">
        <f t="shared" si="33"/>
        <v>0</v>
      </c>
      <c r="H287">
        <f t="shared" si="39"/>
        <v>1</v>
      </c>
      <c r="I287">
        <v>286</v>
      </c>
      <c r="J287">
        <f t="shared" si="34"/>
        <v>-0.97854813458020307</v>
      </c>
      <c r="K287">
        <f t="shared" si="35"/>
        <v>0.20601832032517084</v>
      </c>
      <c r="L287">
        <f>VLOOKUP(D287,[1]SOI!$A$1:$C$142,3)</f>
        <v>9.9</v>
      </c>
      <c r="M287" s="2">
        <f t="shared" si="36"/>
        <v>-279.86476648993806</v>
      </c>
      <c r="N287">
        <f t="shared" si="37"/>
        <v>58.92123961299886</v>
      </c>
      <c r="O287" t="s">
        <v>8</v>
      </c>
    </row>
    <row r="288" spans="1:15" x14ac:dyDescent="0.35">
      <c r="A288">
        <v>2000</v>
      </c>
      <c r="B288">
        <v>10</v>
      </c>
      <c r="C288">
        <v>13</v>
      </c>
      <c r="D288" s="1">
        <f t="shared" si="32"/>
        <v>36812</v>
      </c>
      <c r="E288">
        <v>0</v>
      </c>
      <c r="F288">
        <f t="shared" si="38"/>
        <v>0</v>
      </c>
      <c r="G288">
        <f t="shared" si="33"/>
        <v>0</v>
      </c>
      <c r="H288">
        <f t="shared" si="39"/>
        <v>0</v>
      </c>
      <c r="I288">
        <v>287</v>
      </c>
      <c r="J288">
        <f t="shared" si="34"/>
        <v>-0.97485951083741251</v>
      </c>
      <c r="K288">
        <f t="shared" si="35"/>
        <v>0.22282040779479959</v>
      </c>
      <c r="L288">
        <f>VLOOKUP(D288,[1]SOI!$A$1:$C$142,3)</f>
        <v>9.9</v>
      </c>
      <c r="M288" s="2">
        <f t="shared" si="36"/>
        <v>-279.78467961033738</v>
      </c>
      <c r="N288">
        <f t="shared" si="37"/>
        <v>63.949457037107479</v>
      </c>
      <c r="O288" t="s">
        <v>8</v>
      </c>
    </row>
    <row r="289" spans="1:15" x14ac:dyDescent="0.35">
      <c r="A289">
        <v>2000</v>
      </c>
      <c r="B289">
        <v>10</v>
      </c>
      <c r="C289">
        <v>14</v>
      </c>
      <c r="D289" s="1">
        <f t="shared" si="32"/>
        <v>36813</v>
      </c>
      <c r="E289">
        <v>0</v>
      </c>
      <c r="F289">
        <f t="shared" si="38"/>
        <v>0</v>
      </c>
      <c r="G289">
        <f t="shared" si="33"/>
        <v>0</v>
      </c>
      <c r="H289">
        <f t="shared" si="39"/>
        <v>0</v>
      </c>
      <c r="I289">
        <v>288</v>
      </c>
      <c r="J289">
        <f t="shared" si="34"/>
        <v>-0.97088241048138357</v>
      </c>
      <c r="K289">
        <f t="shared" si="35"/>
        <v>0.23955655912092708</v>
      </c>
      <c r="L289">
        <f>VLOOKUP(D289,[1]SOI!$A$1:$C$142,3)</f>
        <v>9.9</v>
      </c>
      <c r="M289" s="2">
        <f t="shared" si="36"/>
        <v>-279.61413421863847</v>
      </c>
      <c r="N289">
        <f t="shared" si="37"/>
        <v>68.992289026826995</v>
      </c>
      <c r="O289" t="s">
        <v>8</v>
      </c>
    </row>
    <row r="290" spans="1:15" x14ac:dyDescent="0.35">
      <c r="A290">
        <v>2000</v>
      </c>
      <c r="B290">
        <v>10</v>
      </c>
      <c r="C290">
        <v>15</v>
      </c>
      <c r="D290" s="1">
        <f t="shared" si="32"/>
        <v>36814</v>
      </c>
      <c r="E290">
        <v>6.6</v>
      </c>
      <c r="F290">
        <f t="shared" si="38"/>
        <v>0</v>
      </c>
      <c r="G290">
        <f t="shared" si="33"/>
        <v>1</v>
      </c>
      <c r="H290">
        <f t="shared" si="39"/>
        <v>0</v>
      </c>
      <c r="I290">
        <v>289</v>
      </c>
      <c r="J290">
        <f t="shared" si="34"/>
        <v>-0.96661801040009721</v>
      </c>
      <c r="K290">
        <f t="shared" si="35"/>
        <v>0.25622182180711628</v>
      </c>
      <c r="L290">
        <f>VLOOKUP(D290,[1]SOI!$A$1:$C$142,3)</f>
        <v>9.9</v>
      </c>
      <c r="M290" s="2">
        <f t="shared" si="36"/>
        <v>-279.35260500562811</v>
      </c>
      <c r="N290">
        <f t="shared" si="37"/>
        <v>74.048106502256601</v>
      </c>
      <c r="O290" t="s">
        <v>8</v>
      </c>
    </row>
    <row r="291" spans="1:15" x14ac:dyDescent="0.35">
      <c r="A291">
        <v>2000</v>
      </c>
      <c r="B291">
        <v>10</v>
      </c>
      <c r="C291">
        <v>16</v>
      </c>
      <c r="D291" s="1">
        <f t="shared" si="32"/>
        <v>36815</v>
      </c>
      <c r="E291">
        <v>0.8</v>
      </c>
      <c r="F291">
        <f t="shared" si="38"/>
        <v>6.6</v>
      </c>
      <c r="G291">
        <f t="shared" si="33"/>
        <v>1</v>
      </c>
      <c r="H291">
        <f t="shared" si="39"/>
        <v>1</v>
      </c>
      <c r="I291">
        <v>290</v>
      </c>
      <c r="J291">
        <f t="shared" si="34"/>
        <v>-0.96206757249814523</v>
      </c>
      <c r="K291">
        <f t="shared" si="35"/>
        <v>0.27281126433401914</v>
      </c>
      <c r="L291">
        <f>VLOOKUP(D291,[1]SOI!$A$1:$C$142,3)</f>
        <v>9.9</v>
      </c>
      <c r="M291" s="2">
        <f t="shared" si="36"/>
        <v>-278.99959602446211</v>
      </c>
      <c r="N291">
        <f t="shared" si="37"/>
        <v>79.115266656865558</v>
      </c>
      <c r="O291" t="s">
        <v>8</v>
      </c>
    </row>
    <row r="292" spans="1:15" x14ac:dyDescent="0.35">
      <c r="A292">
        <v>2000</v>
      </c>
      <c r="B292">
        <v>10</v>
      </c>
      <c r="C292">
        <v>17</v>
      </c>
      <c r="D292" s="1">
        <f t="shared" si="32"/>
        <v>36816</v>
      </c>
      <c r="E292">
        <v>0.4</v>
      </c>
      <c r="F292">
        <f t="shared" si="38"/>
        <v>0.8</v>
      </c>
      <c r="G292">
        <f t="shared" si="33"/>
        <v>1</v>
      </c>
      <c r="H292">
        <f t="shared" si="39"/>
        <v>1</v>
      </c>
      <c r="I292">
        <v>291</v>
      </c>
      <c r="J292">
        <f t="shared" si="34"/>
        <v>-0.95723244332331203</v>
      </c>
      <c r="K292">
        <f t="shared" si="35"/>
        <v>0.28931997761869527</v>
      </c>
      <c r="L292">
        <f>VLOOKUP(D292,[1]SOI!$A$1:$C$142,3)</f>
        <v>9.9</v>
      </c>
      <c r="M292" s="2">
        <f t="shared" si="36"/>
        <v>-278.55464100708377</v>
      </c>
      <c r="N292">
        <f t="shared" si="37"/>
        <v>84.192113487040316</v>
      </c>
      <c r="O292" t="s">
        <v>8</v>
      </c>
    </row>
    <row r="293" spans="1:15" x14ac:dyDescent="0.35">
      <c r="A293">
        <v>2000</v>
      </c>
      <c r="B293">
        <v>10</v>
      </c>
      <c r="C293">
        <v>18</v>
      </c>
      <c r="D293" s="1">
        <f t="shared" si="32"/>
        <v>36817</v>
      </c>
      <c r="E293">
        <v>0</v>
      </c>
      <c r="F293">
        <f t="shared" si="38"/>
        <v>0.4</v>
      </c>
      <c r="G293">
        <f t="shared" si="33"/>
        <v>0</v>
      </c>
      <c r="H293">
        <f t="shared" si="39"/>
        <v>1</v>
      </c>
      <c r="I293">
        <v>292</v>
      </c>
      <c r="J293">
        <f t="shared" si="34"/>
        <v>-0.95211405366811019</v>
      </c>
      <c r="K293">
        <f t="shared" si="35"/>
        <v>0.3057430764672831</v>
      </c>
      <c r="L293">
        <f>VLOOKUP(D293,[1]SOI!$A$1:$C$142,3)</f>
        <v>9.9</v>
      </c>
      <c r="M293" s="2">
        <f t="shared" si="36"/>
        <v>-278.0173036710882</v>
      </c>
      <c r="N293">
        <f t="shared" si="37"/>
        <v>89.27697832844666</v>
      </c>
      <c r="O293" t="s">
        <v>8</v>
      </c>
    </row>
    <row r="294" spans="1:15" x14ac:dyDescent="0.35">
      <c r="A294">
        <v>2000</v>
      </c>
      <c r="B294">
        <v>10</v>
      </c>
      <c r="C294">
        <v>19</v>
      </c>
      <c r="D294" s="1">
        <f t="shared" si="32"/>
        <v>36818</v>
      </c>
      <c r="E294">
        <v>3.4</v>
      </c>
      <c r="F294">
        <f t="shared" si="38"/>
        <v>0</v>
      </c>
      <c r="G294">
        <f t="shared" si="33"/>
        <v>1</v>
      </c>
      <c r="H294">
        <f t="shared" si="39"/>
        <v>0</v>
      </c>
      <c r="I294">
        <v>293</v>
      </c>
      <c r="J294">
        <f t="shared" si="34"/>
        <v>-0.94671391814638617</v>
      </c>
      <c r="K294">
        <f t="shared" si="35"/>
        <v>0.32207570102061039</v>
      </c>
      <c r="L294">
        <f>VLOOKUP(D294,[1]SOI!$A$1:$C$142,3)</f>
        <v>9.9</v>
      </c>
      <c r="M294" s="2">
        <f t="shared" si="36"/>
        <v>-277.38717801689114</v>
      </c>
      <c r="N294">
        <f t="shared" si="37"/>
        <v>94.368180399038849</v>
      </c>
      <c r="O294" t="s">
        <v>8</v>
      </c>
    </row>
    <row r="295" spans="1:15" x14ac:dyDescent="0.35">
      <c r="A295">
        <v>2000</v>
      </c>
      <c r="B295">
        <v>10</v>
      </c>
      <c r="C295">
        <v>20</v>
      </c>
      <c r="D295" s="1">
        <f t="shared" si="32"/>
        <v>36819</v>
      </c>
      <c r="E295">
        <v>7.8</v>
      </c>
      <c r="F295">
        <f t="shared" si="38"/>
        <v>3.4</v>
      </c>
      <c r="G295">
        <f t="shared" si="33"/>
        <v>1</v>
      </c>
      <c r="H295">
        <f t="shared" si="39"/>
        <v>1</v>
      </c>
      <c r="I295">
        <v>294</v>
      </c>
      <c r="J295">
        <f t="shared" si="34"/>
        <v>-0.9410336347451197</v>
      </c>
      <c r="K295">
        <f t="shared" si="35"/>
        <v>0.33831301819230758</v>
      </c>
      <c r="L295">
        <f>VLOOKUP(D295,[1]SOI!$A$1:$C$142,3)</f>
        <v>9.9</v>
      </c>
      <c r="M295" s="2">
        <f t="shared" si="36"/>
        <v>-276.66388861506522</v>
      </c>
      <c r="N295">
        <f t="shared" si="37"/>
        <v>99.464027348538423</v>
      </c>
      <c r="O295" t="s">
        <v>8</v>
      </c>
    </row>
    <row r="296" spans="1:15" x14ac:dyDescent="0.35">
      <c r="A296">
        <v>2000</v>
      </c>
      <c r="B296">
        <v>10</v>
      </c>
      <c r="C296">
        <v>21</v>
      </c>
      <c r="D296" s="1">
        <f t="shared" si="32"/>
        <v>36820</v>
      </c>
      <c r="E296">
        <v>0.2</v>
      </c>
      <c r="F296">
        <f t="shared" si="38"/>
        <v>7.8</v>
      </c>
      <c r="G296">
        <f t="shared" si="33"/>
        <v>1</v>
      </c>
      <c r="H296">
        <f t="shared" si="39"/>
        <v>1</v>
      </c>
      <c r="I296">
        <v>295</v>
      </c>
      <c r="J296">
        <f t="shared" si="34"/>
        <v>-0.93507488435155739</v>
      </c>
      <c r="K296">
        <f t="shared" si="35"/>
        <v>0.35445022309898688</v>
      </c>
      <c r="L296">
        <f>VLOOKUP(D296,[1]SOI!$A$1:$C$142,3)</f>
        <v>9.9</v>
      </c>
      <c r="M296" s="2">
        <f t="shared" si="36"/>
        <v>-275.84709088370943</v>
      </c>
      <c r="N296">
        <f t="shared" si="37"/>
        <v>104.56281581420113</v>
      </c>
      <c r="O296" t="s">
        <v>8</v>
      </c>
    </row>
    <row r="297" spans="1:15" x14ac:dyDescent="0.35">
      <c r="A297">
        <v>2000</v>
      </c>
      <c r="B297">
        <v>10</v>
      </c>
      <c r="C297">
        <v>22</v>
      </c>
      <c r="D297" s="1">
        <f t="shared" si="32"/>
        <v>36821</v>
      </c>
      <c r="E297">
        <v>0</v>
      </c>
      <c r="F297">
        <f t="shared" si="38"/>
        <v>0.2</v>
      </c>
      <c r="G297">
        <f t="shared" si="33"/>
        <v>0</v>
      </c>
      <c r="H297">
        <f t="shared" si="39"/>
        <v>1</v>
      </c>
      <c r="I297">
        <v>296</v>
      </c>
      <c r="J297">
        <f t="shared" si="34"/>
        <v>-0.92883943025580684</v>
      </c>
      <c r="K297">
        <f t="shared" si="35"/>
        <v>0.37048254048209628</v>
      </c>
      <c r="L297">
        <f>VLOOKUP(D297,[1]SOI!$A$1:$C$142,3)</f>
        <v>9.9</v>
      </c>
      <c r="M297" s="2">
        <f t="shared" si="36"/>
        <v>-274.93647135571882</v>
      </c>
      <c r="N297">
        <f t="shared" si="37"/>
        <v>109.6628319827005</v>
      </c>
      <c r="O297" t="s">
        <v>8</v>
      </c>
    </row>
    <row r="298" spans="1:15" x14ac:dyDescent="0.35">
      <c r="A298">
        <v>2000</v>
      </c>
      <c r="B298">
        <v>10</v>
      </c>
      <c r="C298">
        <v>23</v>
      </c>
      <c r="D298" s="1">
        <f t="shared" si="32"/>
        <v>36822</v>
      </c>
      <c r="E298">
        <v>0</v>
      </c>
      <c r="F298">
        <f t="shared" si="38"/>
        <v>0</v>
      </c>
      <c r="G298">
        <f t="shared" si="33"/>
        <v>0</v>
      </c>
      <c r="H298">
        <f t="shared" si="39"/>
        <v>0</v>
      </c>
      <c r="I298">
        <v>297</v>
      </c>
      <c r="J298">
        <f t="shared" si="34"/>
        <v>-0.92232911762905445</v>
      </c>
      <c r="K298">
        <f t="shared" si="35"/>
        <v>0.38640522612098532</v>
      </c>
      <c r="L298">
        <f>VLOOKUP(D298,[1]SOI!$A$1:$C$142,3)</f>
        <v>9.9</v>
      </c>
      <c r="M298" s="2">
        <f t="shared" si="36"/>
        <v>-273.93174793582915</v>
      </c>
      <c r="N298">
        <f t="shared" si="37"/>
        <v>114.76235215793264</v>
      </c>
      <c r="O298" t="s">
        <v>8</v>
      </c>
    </row>
    <row r="299" spans="1:15" x14ac:dyDescent="0.35">
      <c r="A299">
        <v>2000</v>
      </c>
      <c r="B299">
        <v>10</v>
      </c>
      <c r="C299">
        <v>24</v>
      </c>
      <c r="D299" s="1">
        <f t="shared" si="32"/>
        <v>36823</v>
      </c>
      <c r="E299">
        <v>32.200000000000003</v>
      </c>
      <c r="F299">
        <f t="shared" si="38"/>
        <v>0</v>
      </c>
      <c r="G299">
        <f t="shared" si="33"/>
        <v>1</v>
      </c>
      <c r="H299">
        <f t="shared" si="39"/>
        <v>0</v>
      </c>
      <c r="I299">
        <v>298</v>
      </c>
      <c r="J299">
        <f t="shared" si="34"/>
        <v>-0.91554587297754675</v>
      </c>
      <c r="K299">
        <f t="shared" si="35"/>
        <v>0.40221356823680365</v>
      </c>
      <c r="L299">
        <f>VLOOKUP(D299,[1]SOI!$A$1:$C$142,3)</f>
        <v>9.9</v>
      </c>
      <c r="M299" s="2">
        <f t="shared" si="36"/>
        <v>-272.83267014730893</v>
      </c>
      <c r="N299">
        <f t="shared" si="37"/>
        <v>119.85964333456749</v>
      </c>
      <c r="O299" t="s">
        <v>8</v>
      </c>
    </row>
    <row r="300" spans="1:15" x14ac:dyDescent="0.35">
      <c r="A300">
        <v>2000</v>
      </c>
      <c r="B300">
        <v>10</v>
      </c>
      <c r="C300">
        <v>25</v>
      </c>
      <c r="D300" s="1">
        <f t="shared" si="32"/>
        <v>36824</v>
      </c>
      <c r="E300">
        <v>38.4</v>
      </c>
      <c r="F300">
        <f t="shared" si="38"/>
        <v>32.200000000000003</v>
      </c>
      <c r="G300">
        <f t="shared" si="33"/>
        <v>1</v>
      </c>
      <c r="H300">
        <f t="shared" si="39"/>
        <v>1</v>
      </c>
      <c r="I300">
        <v>299</v>
      </c>
      <c r="J300">
        <f t="shared" si="34"/>
        <v>-0.90849170357250819</v>
      </c>
      <c r="K300">
        <f t="shared" si="35"/>
        <v>0.41790288888678667</v>
      </c>
      <c r="L300">
        <f>VLOOKUP(D300,[1]SOI!$A$1:$C$142,3)</f>
        <v>9.9</v>
      </c>
      <c r="M300" s="2">
        <f t="shared" si="36"/>
        <v>-271.63901936817996</v>
      </c>
      <c r="N300">
        <f t="shared" si="37"/>
        <v>124.95296377714922</v>
      </c>
      <c r="O300" t="s">
        <v>8</v>
      </c>
    </row>
    <row r="301" spans="1:15" x14ac:dyDescent="0.35">
      <c r="A301">
        <v>2000</v>
      </c>
      <c r="B301">
        <v>10</v>
      </c>
      <c r="C301">
        <v>26</v>
      </c>
      <c r="D301" s="1">
        <f t="shared" si="32"/>
        <v>36825</v>
      </c>
      <c r="E301">
        <v>2.6</v>
      </c>
      <c r="F301">
        <f t="shared" si="38"/>
        <v>38.4</v>
      </c>
      <c r="G301">
        <f t="shared" si="33"/>
        <v>1</v>
      </c>
      <c r="H301">
        <f t="shared" si="39"/>
        <v>1</v>
      </c>
      <c r="I301">
        <v>300</v>
      </c>
      <c r="J301">
        <f t="shared" si="34"/>
        <v>-0.90116869685615686</v>
      </c>
      <c r="K301">
        <f t="shared" si="35"/>
        <v>0.43346854534853629</v>
      </c>
      <c r="L301">
        <f>VLOOKUP(D301,[1]SOI!$A$1:$C$142,3)</f>
        <v>9.9</v>
      </c>
      <c r="M301" s="2">
        <f t="shared" si="36"/>
        <v>-270.35060905684708</v>
      </c>
      <c r="N301">
        <f t="shared" si="37"/>
        <v>130.0405636045609</v>
      </c>
      <c r="O301" t="s">
        <v>8</v>
      </c>
    </row>
    <row r="302" spans="1:15" x14ac:dyDescent="0.35">
      <c r="A302">
        <v>2000</v>
      </c>
      <c r="B302">
        <v>10</v>
      </c>
      <c r="C302">
        <v>27</v>
      </c>
      <c r="D302" s="1">
        <f t="shared" si="32"/>
        <v>36826</v>
      </c>
      <c r="E302">
        <v>0.2</v>
      </c>
      <c r="F302">
        <f t="shared" si="38"/>
        <v>2.6</v>
      </c>
      <c r="G302">
        <f t="shared" si="33"/>
        <v>1</v>
      </c>
      <c r="H302">
        <f t="shared" si="39"/>
        <v>1</v>
      </c>
      <c r="I302">
        <v>301</v>
      </c>
      <c r="J302">
        <f t="shared" si="34"/>
        <v>-0.89357901982399524</v>
      </c>
      <c r="K302">
        <f t="shared" si="35"/>
        <v>0.44890593149387981</v>
      </c>
      <c r="L302">
        <f>VLOOKUP(D302,[1]SOI!$A$1:$C$142,3)</f>
        <v>9.9</v>
      </c>
      <c r="M302" s="2">
        <f t="shared" si="36"/>
        <v>-268.96728496702258</v>
      </c>
      <c r="N302">
        <f t="shared" si="37"/>
        <v>135.12068537965783</v>
      </c>
      <c r="O302" t="s">
        <v>8</v>
      </c>
    </row>
    <row r="303" spans="1:15" x14ac:dyDescent="0.35">
      <c r="A303">
        <v>2000</v>
      </c>
      <c r="B303">
        <v>10</v>
      </c>
      <c r="C303">
        <v>28</v>
      </c>
      <c r="D303" s="1">
        <f t="shared" si="32"/>
        <v>36827</v>
      </c>
      <c r="E303">
        <v>2.6</v>
      </c>
      <c r="F303">
        <f t="shared" si="38"/>
        <v>0.2</v>
      </c>
      <c r="G303">
        <f t="shared" si="33"/>
        <v>1</v>
      </c>
      <c r="H303">
        <f t="shared" si="39"/>
        <v>1</v>
      </c>
      <c r="I303">
        <v>302</v>
      </c>
      <c r="J303">
        <f t="shared" si="34"/>
        <v>-0.88572491838356371</v>
      </c>
      <c r="K303">
        <f t="shared" si="35"/>
        <v>0.46421047915189229</v>
      </c>
      <c r="L303">
        <f>VLOOKUP(D303,[1]SOI!$A$1:$C$142,3)</f>
        <v>9.9</v>
      </c>
      <c r="M303" s="2">
        <f t="shared" si="36"/>
        <v>-267.48892535183626</v>
      </c>
      <c r="N303">
        <f t="shared" si="37"/>
        <v>140.19156470387148</v>
      </c>
      <c r="O303" t="s">
        <v>8</v>
      </c>
    </row>
    <row r="304" spans="1:15" x14ac:dyDescent="0.35">
      <c r="A304">
        <v>2000</v>
      </c>
      <c r="B304">
        <v>10</v>
      </c>
      <c r="C304">
        <v>29</v>
      </c>
      <c r="D304" s="1">
        <f t="shared" si="32"/>
        <v>36828</v>
      </c>
      <c r="E304">
        <v>0.8</v>
      </c>
      <c r="F304">
        <f t="shared" si="38"/>
        <v>2.6</v>
      </c>
      <c r="G304">
        <f t="shared" si="33"/>
        <v>1</v>
      </c>
      <c r="H304">
        <f t="shared" si="39"/>
        <v>1</v>
      </c>
      <c r="I304">
        <v>303</v>
      </c>
      <c r="J304">
        <f t="shared" si="34"/>
        <v>-0.8776087166898392</v>
      </c>
      <c r="K304">
        <f t="shared" si="35"/>
        <v>0.47937765946069449</v>
      </c>
      <c r="L304">
        <f>VLOOKUP(D304,[1]SOI!$A$1:$C$142,3)</f>
        <v>9.9</v>
      </c>
      <c r="M304" s="2">
        <f t="shared" si="36"/>
        <v>-265.91544115702129</v>
      </c>
      <c r="N304">
        <f t="shared" si="37"/>
        <v>145.25143081659044</v>
      </c>
      <c r="O304" t="s">
        <v>8</v>
      </c>
    </row>
    <row r="305" spans="1:15" x14ac:dyDescent="0.35">
      <c r="A305">
        <v>2000</v>
      </c>
      <c r="B305">
        <v>10</v>
      </c>
      <c r="C305">
        <v>30</v>
      </c>
      <c r="D305" s="1">
        <f t="shared" si="32"/>
        <v>36829</v>
      </c>
      <c r="E305">
        <v>0</v>
      </c>
      <c r="F305">
        <f t="shared" si="38"/>
        <v>0.8</v>
      </c>
      <c r="G305">
        <f t="shared" si="33"/>
        <v>0</v>
      </c>
      <c r="H305">
        <f t="shared" si="39"/>
        <v>1</v>
      </c>
      <c r="I305">
        <v>304</v>
      </c>
      <c r="J305">
        <f t="shared" si="34"/>
        <v>-0.86923281645747918</v>
      </c>
      <c r="K305">
        <f t="shared" si="35"/>
        <v>0.49440298420761813</v>
      </c>
      <c r="L305">
        <f>VLOOKUP(D305,[1]SOI!$A$1:$C$142,3)</f>
        <v>9.9</v>
      </c>
      <c r="M305" s="2">
        <f t="shared" si="36"/>
        <v>-264.24677620307369</v>
      </c>
      <c r="N305">
        <f t="shared" si="37"/>
        <v>150.2985071991159</v>
      </c>
      <c r="O305" t="s">
        <v>8</v>
      </c>
    </row>
    <row r="306" spans="1:15" x14ac:dyDescent="0.35">
      <c r="A306">
        <v>2000</v>
      </c>
      <c r="B306">
        <v>10</v>
      </c>
      <c r="C306">
        <v>31</v>
      </c>
      <c r="D306" s="1">
        <f t="shared" si="32"/>
        <v>36830</v>
      </c>
      <c r="E306">
        <v>0</v>
      </c>
      <c r="F306">
        <f t="shared" si="38"/>
        <v>0</v>
      </c>
      <c r="G306">
        <f t="shared" si="33"/>
        <v>0</v>
      </c>
      <c r="H306">
        <f t="shared" si="39"/>
        <v>0</v>
      </c>
      <c r="I306">
        <v>305</v>
      </c>
      <c r="J306">
        <f t="shared" si="34"/>
        <v>-0.86059969625011812</v>
      </c>
      <c r="K306">
        <f t="shared" si="35"/>
        <v>0.50928200715733563</v>
      </c>
      <c r="L306">
        <f>VLOOKUP(D306,[1]SOI!$A$1:$C$142,3)</f>
        <v>9.9</v>
      </c>
      <c r="M306" s="2">
        <f t="shared" si="36"/>
        <v>-262.48290735628603</v>
      </c>
      <c r="N306">
        <f t="shared" si="37"/>
        <v>155.33101218298737</v>
      </c>
      <c r="O306" t="s">
        <v>8</v>
      </c>
    </row>
    <row r="307" spans="1:15" x14ac:dyDescent="0.35">
      <c r="A307">
        <v>2000</v>
      </c>
      <c r="B307">
        <v>11</v>
      </c>
      <c r="C307">
        <v>1</v>
      </c>
      <c r="D307" s="1">
        <f t="shared" si="32"/>
        <v>36831</v>
      </c>
      <c r="E307">
        <v>0</v>
      </c>
      <c r="F307">
        <f t="shared" si="38"/>
        <v>0</v>
      </c>
      <c r="G307">
        <f t="shared" si="33"/>
        <v>0</v>
      </c>
      <c r="H307">
        <f t="shared" si="39"/>
        <v>0</v>
      </c>
      <c r="I307">
        <v>306</v>
      </c>
      <c r="J307">
        <f t="shared" si="34"/>
        <v>-0.85171191074691888</v>
      </c>
      <c r="K307">
        <f t="shared" si="35"/>
        <v>0.52401032536757564</v>
      </c>
      <c r="L307">
        <f>VLOOKUP(D307,[1]SOI!$A$1:$C$142,3)</f>
        <v>9.6999999999999993</v>
      </c>
      <c r="M307" s="2">
        <f t="shared" si="36"/>
        <v>-260.6238446885572</v>
      </c>
      <c r="N307">
        <f t="shared" si="37"/>
        <v>160.34715956247814</v>
      </c>
      <c r="O307" t="s">
        <v>8</v>
      </c>
    </row>
    <row r="308" spans="1:15" x14ac:dyDescent="0.35">
      <c r="A308">
        <v>2000</v>
      </c>
      <c r="B308">
        <v>11</v>
      </c>
      <c r="C308">
        <v>2</v>
      </c>
      <c r="D308" s="1">
        <f t="shared" si="32"/>
        <v>36832</v>
      </c>
      <c r="E308">
        <v>14.8</v>
      </c>
      <c r="F308">
        <f t="shared" si="38"/>
        <v>0</v>
      </c>
      <c r="G308">
        <f t="shared" si="33"/>
        <v>1</v>
      </c>
      <c r="H308">
        <f t="shared" si="39"/>
        <v>0</v>
      </c>
      <c r="I308">
        <v>307</v>
      </c>
      <c r="J308">
        <f t="shared" si="34"/>
        <v>-0.84257208998660316</v>
      </c>
      <c r="K308">
        <f t="shared" si="35"/>
        <v>0.53858358049202315</v>
      </c>
      <c r="L308">
        <f>VLOOKUP(D308,[1]SOI!$A$1:$C$142,3)</f>
        <v>9.6999999999999993</v>
      </c>
      <c r="M308" s="2">
        <f t="shared" si="36"/>
        <v>-258.66963162588718</v>
      </c>
      <c r="N308">
        <f t="shared" si="37"/>
        <v>165.34515921105111</v>
      </c>
      <c r="O308" t="s">
        <v>8</v>
      </c>
    </row>
    <row r="309" spans="1:15" x14ac:dyDescent="0.35">
      <c r="A309">
        <v>2000</v>
      </c>
      <c r="B309">
        <v>11</v>
      </c>
      <c r="C309">
        <v>3</v>
      </c>
      <c r="D309" s="1">
        <f t="shared" si="32"/>
        <v>36833</v>
      </c>
      <c r="E309">
        <v>2</v>
      </c>
      <c r="F309">
        <f t="shared" si="38"/>
        <v>14.8</v>
      </c>
      <c r="G309">
        <f t="shared" si="33"/>
        <v>1</v>
      </c>
      <c r="H309">
        <f t="shared" si="39"/>
        <v>1</v>
      </c>
      <c r="I309">
        <v>308</v>
      </c>
      <c r="J309">
        <f t="shared" si="34"/>
        <v>-0.83318293858917847</v>
      </c>
      <c r="K309">
        <f t="shared" si="35"/>
        <v>0.55299746007002715</v>
      </c>
      <c r="L309">
        <f>VLOOKUP(D309,[1]SOI!$A$1:$C$142,3)</f>
        <v>9.6999999999999993</v>
      </c>
      <c r="M309" s="2">
        <f t="shared" si="36"/>
        <v>-256.62034508546697</v>
      </c>
      <c r="N309">
        <f t="shared" si="37"/>
        <v>170.32321770156835</v>
      </c>
      <c r="O309" t="s">
        <v>8</v>
      </c>
    </row>
    <row r="310" spans="1:15" x14ac:dyDescent="0.35">
      <c r="A310">
        <v>2000</v>
      </c>
      <c r="B310">
        <v>11</v>
      </c>
      <c r="C310">
        <v>4</v>
      </c>
      <c r="D310" s="1">
        <f t="shared" si="32"/>
        <v>36834</v>
      </c>
      <c r="E310">
        <v>0</v>
      </c>
      <c r="F310">
        <f t="shared" si="38"/>
        <v>2</v>
      </c>
      <c r="G310">
        <f t="shared" si="33"/>
        <v>0</v>
      </c>
      <c r="H310">
        <f t="shared" si="39"/>
        <v>1</v>
      </c>
      <c r="I310">
        <v>309</v>
      </c>
      <c r="J310">
        <f t="shared" si="34"/>
        <v>-0.82354723495560067</v>
      </c>
      <c r="K310">
        <f t="shared" si="35"/>
        <v>0.56724769880272286</v>
      </c>
      <c r="L310">
        <f>VLOOKUP(D310,[1]SOI!$A$1:$C$142,3)</f>
        <v>9.6999999999999993</v>
      </c>
      <c r="M310" s="2">
        <f t="shared" si="36"/>
        <v>-254.4760956012806</v>
      </c>
      <c r="N310">
        <f t="shared" si="37"/>
        <v>175.27953893004135</v>
      </c>
      <c r="O310" t="s">
        <v>8</v>
      </c>
    </row>
    <row r="311" spans="1:15" x14ac:dyDescent="0.35">
      <c r="A311">
        <v>2000</v>
      </c>
      <c r="B311">
        <v>11</v>
      </c>
      <c r="C311">
        <v>5</v>
      </c>
      <c r="D311" s="1">
        <f t="shared" si="32"/>
        <v>36835</v>
      </c>
      <c r="E311">
        <v>0</v>
      </c>
      <c r="F311">
        <f t="shared" si="38"/>
        <v>0</v>
      </c>
      <c r="G311">
        <f t="shared" si="33"/>
        <v>0</v>
      </c>
      <c r="H311">
        <f t="shared" si="39"/>
        <v>0</v>
      </c>
      <c r="I311">
        <v>310</v>
      </c>
      <c r="J311">
        <f t="shared" si="34"/>
        <v>-0.81366783044559909</v>
      </c>
      <c r="K311">
        <f t="shared" si="35"/>
        <v>0.58133007981520424</v>
      </c>
      <c r="L311">
        <f>VLOOKUP(D311,[1]SOI!$A$1:$C$142,3)</f>
        <v>9.6999999999999993</v>
      </c>
      <c r="M311" s="2">
        <f t="shared" si="36"/>
        <v>-252.23702743813573</v>
      </c>
      <c r="N311">
        <f t="shared" si="37"/>
        <v>180.21232474271332</v>
      </c>
      <c r="O311" t="s">
        <v>8</v>
      </c>
    </row>
    <row r="312" spans="1:15" x14ac:dyDescent="0.35">
      <c r="A312">
        <v>2000</v>
      </c>
      <c r="B312">
        <v>11</v>
      </c>
      <c r="C312">
        <v>6</v>
      </c>
      <c r="D312" s="1">
        <f t="shared" si="32"/>
        <v>36836</v>
      </c>
      <c r="E312">
        <v>0.2</v>
      </c>
      <c r="F312">
        <f t="shared" si="38"/>
        <v>0</v>
      </c>
      <c r="G312">
        <f t="shared" si="33"/>
        <v>1</v>
      </c>
      <c r="H312">
        <f t="shared" si="39"/>
        <v>0</v>
      </c>
      <c r="I312">
        <v>311</v>
      </c>
      <c r="J312">
        <f t="shared" si="34"/>
        <v>-0.80354764853391158</v>
      </c>
      <c r="K312">
        <f t="shared" si="35"/>
        <v>0.59524043590436737</v>
      </c>
      <c r="L312">
        <f>VLOOKUP(D312,[1]SOI!$A$1:$C$142,3)</f>
        <v>9.6999999999999993</v>
      </c>
      <c r="M312" s="2">
        <f t="shared" si="36"/>
        <v>-249.9033186940465</v>
      </c>
      <c r="N312">
        <f t="shared" si="37"/>
        <v>185.11977556625826</v>
      </c>
      <c r="O312" t="s">
        <v>8</v>
      </c>
    </row>
    <row r="313" spans="1:15" x14ac:dyDescent="0.35">
      <c r="A313">
        <v>2000</v>
      </c>
      <c r="B313">
        <v>11</v>
      </c>
      <c r="C313">
        <v>7</v>
      </c>
      <c r="D313" s="1">
        <f t="shared" si="32"/>
        <v>36837</v>
      </c>
      <c r="E313">
        <v>0</v>
      </c>
      <c r="F313">
        <f t="shared" si="38"/>
        <v>0.2</v>
      </c>
      <c r="G313">
        <f t="shared" si="33"/>
        <v>0</v>
      </c>
      <c r="H313">
        <f t="shared" si="39"/>
        <v>1</v>
      </c>
      <c r="I313">
        <v>312</v>
      </c>
      <c r="J313">
        <f t="shared" si="34"/>
        <v>-0.7931896839451843</v>
      </c>
      <c r="K313">
        <f t="shared" si="35"/>
        <v>0.6089746507720486</v>
      </c>
      <c r="L313">
        <f>VLOOKUP(D313,[1]SOI!$A$1:$C$142,3)</f>
        <v>9.6999999999999993</v>
      </c>
      <c r="M313" s="2">
        <f t="shared" si="36"/>
        <v>-247.47518139089749</v>
      </c>
      <c r="N313">
        <f t="shared" si="37"/>
        <v>190.00009104087917</v>
      </c>
      <c r="O313" t="s">
        <v>8</v>
      </c>
    </row>
    <row r="314" spans="1:15" x14ac:dyDescent="0.35">
      <c r="A314">
        <v>2000</v>
      </c>
      <c r="B314">
        <v>11</v>
      </c>
      <c r="C314">
        <v>8</v>
      </c>
      <c r="D314" s="1">
        <f t="shared" si="32"/>
        <v>36838</v>
      </c>
      <c r="E314">
        <v>0</v>
      </c>
      <c r="F314">
        <f t="shared" si="38"/>
        <v>0</v>
      </c>
      <c r="G314">
        <f t="shared" si="33"/>
        <v>0</v>
      </c>
      <c r="H314">
        <f t="shared" si="39"/>
        <v>0</v>
      </c>
      <c r="I314">
        <v>313</v>
      </c>
      <c r="J314">
        <f t="shared" si="34"/>
        <v>-0.78259700176778335</v>
      </c>
      <c r="K314">
        <f t="shared" si="35"/>
        <v>0.62252866024310571</v>
      </c>
      <c r="L314">
        <f>VLOOKUP(D314,[1]SOI!$A$1:$C$142,3)</f>
        <v>9.6999999999999993</v>
      </c>
      <c r="M314" s="2">
        <f t="shared" si="36"/>
        <v>-244.95286155331618</v>
      </c>
      <c r="N314">
        <f t="shared" si="37"/>
        <v>194.85147065609209</v>
      </c>
      <c r="O314" t="s">
        <v>8</v>
      </c>
    </row>
    <row r="315" spans="1:15" x14ac:dyDescent="0.35">
      <c r="A315">
        <v>2000</v>
      </c>
      <c r="B315">
        <v>11</v>
      </c>
      <c r="C315">
        <v>9</v>
      </c>
      <c r="D315" s="1">
        <f t="shared" si="32"/>
        <v>36839</v>
      </c>
      <c r="E315">
        <v>0</v>
      </c>
      <c r="F315">
        <f t="shared" si="38"/>
        <v>0</v>
      </c>
      <c r="G315">
        <f t="shared" si="33"/>
        <v>0</v>
      </c>
      <c r="H315">
        <f t="shared" si="39"/>
        <v>0</v>
      </c>
      <c r="I315">
        <v>314</v>
      </c>
      <c r="J315">
        <f t="shared" si="34"/>
        <v>-0.77177273654678369</v>
      </c>
      <c r="K315">
        <f t="shared" si="35"/>
        <v>0.6358984534680745</v>
      </c>
      <c r="L315">
        <f>VLOOKUP(D315,[1]SOI!$A$1:$C$142,3)</f>
        <v>9.6999999999999993</v>
      </c>
      <c r="M315" s="2">
        <f t="shared" si="36"/>
        <v>-242.33663927569009</v>
      </c>
      <c r="N315">
        <f t="shared" si="37"/>
        <v>199.67211438897539</v>
      </c>
      <c r="O315" t="s">
        <v>8</v>
      </c>
    </row>
    <row r="316" spans="1:15" x14ac:dyDescent="0.35">
      <c r="A316">
        <v>2000</v>
      </c>
      <c r="B316">
        <v>11</v>
      </c>
      <c r="C316">
        <v>10</v>
      </c>
      <c r="D316" s="1">
        <f t="shared" si="32"/>
        <v>36840</v>
      </c>
      <c r="E316">
        <v>0.8</v>
      </c>
      <c r="F316">
        <f t="shared" si="38"/>
        <v>0</v>
      </c>
      <c r="G316">
        <f t="shared" si="33"/>
        <v>1</v>
      </c>
      <c r="H316">
        <f t="shared" si="39"/>
        <v>0</v>
      </c>
      <c r="I316">
        <v>315</v>
      </c>
      <c r="J316">
        <f t="shared" si="34"/>
        <v>-0.76072009135641039</v>
      </c>
      <c r="K316">
        <f t="shared" si="35"/>
        <v>0.64908007411003976</v>
      </c>
      <c r="L316">
        <f>VLOOKUP(D316,[1]SOI!$A$1:$C$142,3)</f>
        <v>9.6999999999999993</v>
      </c>
      <c r="M316" s="2">
        <f t="shared" si="36"/>
        <v>-239.62682877726928</v>
      </c>
      <c r="N316">
        <f t="shared" si="37"/>
        <v>204.46022334466252</v>
      </c>
      <c r="O316" t="s">
        <v>8</v>
      </c>
    </row>
    <row r="317" spans="1:15" x14ac:dyDescent="0.35">
      <c r="A317">
        <v>2000</v>
      </c>
      <c r="B317">
        <v>11</v>
      </c>
      <c r="C317">
        <v>11</v>
      </c>
      <c r="D317" s="1">
        <f t="shared" si="32"/>
        <v>36841</v>
      </c>
      <c r="E317">
        <v>8.4</v>
      </c>
      <c r="F317">
        <f t="shared" si="38"/>
        <v>0.8</v>
      </c>
      <c r="G317">
        <f t="shared" si="33"/>
        <v>1</v>
      </c>
      <c r="H317">
        <f t="shared" si="39"/>
        <v>1</v>
      </c>
      <c r="I317">
        <v>316</v>
      </c>
      <c r="J317">
        <f t="shared" si="34"/>
        <v>-0.7494423368521953</v>
      </c>
      <c r="K317">
        <f t="shared" si="35"/>
        <v>0.66206962151538151</v>
      </c>
      <c r="L317">
        <f>VLOOKUP(D317,[1]SOI!$A$1:$C$142,3)</f>
        <v>9.6999999999999993</v>
      </c>
      <c r="M317" s="2">
        <f t="shared" si="36"/>
        <v>-236.82377844529373</v>
      </c>
      <c r="N317">
        <f t="shared" si="37"/>
        <v>209.21400039886055</v>
      </c>
      <c r="O317" t="s">
        <v>8</v>
      </c>
    </row>
    <row r="318" spans="1:15" x14ac:dyDescent="0.35">
      <c r="A318">
        <v>2000</v>
      </c>
      <c r="B318">
        <v>11</v>
      </c>
      <c r="C318">
        <v>12</v>
      </c>
      <c r="D318" s="1">
        <f t="shared" si="32"/>
        <v>36842</v>
      </c>
      <c r="E318">
        <v>4.2</v>
      </c>
      <c r="F318">
        <f t="shared" si="38"/>
        <v>8.4</v>
      </c>
      <c r="G318">
        <f t="shared" si="33"/>
        <v>1</v>
      </c>
      <c r="H318">
        <f t="shared" si="39"/>
        <v>1</v>
      </c>
      <c r="I318">
        <v>317</v>
      </c>
      <c r="J318">
        <f t="shared" si="34"/>
        <v>-0.73794281030313857</v>
      </c>
      <c r="K318">
        <f t="shared" si="35"/>
        <v>0.6748632518680403</v>
      </c>
      <c r="L318">
        <f>VLOOKUP(D318,[1]SOI!$A$1:$C$142,3)</f>
        <v>9.6999999999999993</v>
      </c>
      <c r="M318" s="2">
        <f t="shared" si="36"/>
        <v>-233.92787086609493</v>
      </c>
      <c r="N318">
        <f t="shared" si="37"/>
        <v>213.93165084216878</v>
      </c>
      <c r="O318" t="s">
        <v>8</v>
      </c>
    </row>
    <row r="319" spans="1:15" x14ac:dyDescent="0.35">
      <c r="A319">
        <v>2000</v>
      </c>
      <c r="B319">
        <v>11</v>
      </c>
      <c r="C319">
        <v>13</v>
      </c>
      <c r="D319" s="1">
        <f t="shared" si="32"/>
        <v>36843</v>
      </c>
      <c r="E319">
        <v>0</v>
      </c>
      <c r="F319">
        <f t="shared" si="38"/>
        <v>4.2</v>
      </c>
      <c r="G319">
        <f t="shared" si="33"/>
        <v>0</v>
      </c>
      <c r="H319">
        <f t="shared" si="39"/>
        <v>1</v>
      </c>
      <c r="I319">
        <v>318</v>
      </c>
      <c r="J319">
        <f t="shared" si="34"/>
        <v>-0.72622491460415428</v>
      </c>
      <c r="K319">
        <f t="shared" si="35"/>
        <v>0.68745717932696637</v>
      </c>
      <c r="L319">
        <f>VLOOKUP(D319,[1]SOI!$A$1:$C$142,3)</f>
        <v>9.6999999999999993</v>
      </c>
      <c r="M319" s="2">
        <f t="shared" si="36"/>
        <v>-230.93952284412106</v>
      </c>
      <c r="N319">
        <f t="shared" si="37"/>
        <v>218.6113830259753</v>
      </c>
      <c r="O319" t="s">
        <v>8</v>
      </c>
    </row>
    <row r="320" spans="1:15" x14ac:dyDescent="0.35">
      <c r="A320">
        <v>2000</v>
      </c>
      <c r="B320">
        <v>11</v>
      </c>
      <c r="C320">
        <v>14</v>
      </c>
      <c r="D320" s="1">
        <f t="shared" si="32"/>
        <v>36844</v>
      </c>
      <c r="E320">
        <v>0</v>
      </c>
      <c r="F320">
        <f t="shared" si="38"/>
        <v>0</v>
      </c>
      <c r="G320">
        <f t="shared" si="33"/>
        <v>0</v>
      </c>
      <c r="H320">
        <f t="shared" si="39"/>
        <v>0</v>
      </c>
      <c r="I320">
        <v>319</v>
      </c>
      <c r="J320">
        <f t="shared" si="34"/>
        <v>-0.71429211726910324</v>
      </c>
      <c r="K320">
        <f t="shared" si="35"/>
        <v>0.69984767714640705</v>
      </c>
      <c r="L320">
        <f>VLOOKUP(D320,[1]SOI!$A$1:$C$142,3)</f>
        <v>9.6999999999999993</v>
      </c>
      <c r="M320" s="2">
        <f t="shared" si="36"/>
        <v>-227.85918540884393</v>
      </c>
      <c r="N320">
        <f t="shared" si="37"/>
        <v>223.25140900970385</v>
      </c>
      <c r="O320" t="s">
        <v>8</v>
      </c>
    </row>
    <row r="321" spans="1:15" x14ac:dyDescent="0.35">
      <c r="A321">
        <v>2000</v>
      </c>
      <c r="B321">
        <v>11</v>
      </c>
      <c r="C321">
        <v>15</v>
      </c>
      <c r="D321" s="1">
        <f t="shared" si="32"/>
        <v>36845</v>
      </c>
      <c r="E321">
        <v>0</v>
      </c>
      <c r="F321">
        <f t="shared" si="38"/>
        <v>0</v>
      </c>
      <c r="G321">
        <f t="shared" si="33"/>
        <v>0</v>
      </c>
      <c r="H321">
        <f t="shared" si="39"/>
        <v>0</v>
      </c>
      <c r="I321">
        <v>320</v>
      </c>
      <c r="J321">
        <f t="shared" si="34"/>
        <v>-0.70214794940469782</v>
      </c>
      <c r="K321">
        <f t="shared" si="35"/>
        <v>0.71203107877871308</v>
      </c>
      <c r="L321">
        <f>VLOOKUP(D321,[1]SOI!$A$1:$C$142,3)</f>
        <v>9.6999999999999993</v>
      </c>
      <c r="M321" s="2">
        <f t="shared" si="36"/>
        <v>-224.68734380950332</v>
      </c>
      <c r="N321">
        <f t="shared" si="37"/>
        <v>227.84994520918818</v>
      </c>
      <c r="O321" t="s">
        <v>8</v>
      </c>
    </row>
    <row r="322" spans="1:15" x14ac:dyDescent="0.35">
      <c r="A322">
        <v>2000</v>
      </c>
      <c r="B322">
        <v>11</v>
      </c>
      <c r="C322">
        <v>16</v>
      </c>
      <c r="D322" s="1">
        <f t="shared" si="32"/>
        <v>36846</v>
      </c>
      <c r="E322">
        <v>0.8</v>
      </c>
      <c r="F322">
        <f t="shared" si="38"/>
        <v>0</v>
      </c>
      <c r="G322">
        <f t="shared" si="33"/>
        <v>1</v>
      </c>
      <c r="H322">
        <f t="shared" si="39"/>
        <v>0</v>
      </c>
      <c r="I322">
        <v>321</v>
      </c>
      <c r="J322">
        <f t="shared" si="34"/>
        <v>-0.68979600466558866</v>
      </c>
      <c r="K322">
        <f t="shared" si="35"/>
        <v>0.72400377895933055</v>
      </c>
      <c r="L322">
        <f>VLOOKUP(D322,[1]SOI!$A$1:$C$142,3)</f>
        <v>9.6999999999999993</v>
      </c>
      <c r="M322" s="2">
        <f t="shared" si="36"/>
        <v>-221.42451749765397</v>
      </c>
      <c r="N322">
        <f t="shared" si="37"/>
        <v>232.40521304594512</v>
      </c>
      <c r="O322" t="s">
        <v>8</v>
      </c>
    </row>
    <row r="323" spans="1:15" x14ac:dyDescent="0.35">
      <c r="A323">
        <v>2000</v>
      </c>
      <c r="B323">
        <v>11</v>
      </c>
      <c r="C323">
        <v>17</v>
      </c>
      <c r="D323" s="1">
        <f t="shared" ref="D323:D386" si="40">DATE(A323,B323,C323)</f>
        <v>36847</v>
      </c>
      <c r="E323">
        <v>1.4</v>
      </c>
      <c r="F323">
        <f t="shared" si="38"/>
        <v>0.8</v>
      </c>
      <c r="G323">
        <f t="shared" ref="G323:G386" si="41">IF(E323=0,0,1)</f>
        <v>1</v>
      </c>
      <c r="H323">
        <f t="shared" si="39"/>
        <v>1</v>
      </c>
      <c r="I323">
        <v>322</v>
      </c>
      <c r="J323">
        <f t="shared" ref="J323:J386" si="42">SIN(2*PI()*I323/365.25)</f>
        <v>-0.67723993819094908</v>
      </c>
      <c r="K323">
        <f t="shared" ref="K323:K386" si="43">COS(2*PI()*I323/365.25)</f>
        <v>0.73576223477365266</v>
      </c>
      <c r="L323">
        <f>VLOOKUP(D323,[1]SOI!$A$1:$C$142,3)</f>
        <v>9.6999999999999993</v>
      </c>
      <c r="M323" s="2">
        <f t="shared" ref="M323:M386" si="44">I323*J323</f>
        <v>-218.07126009748561</v>
      </c>
      <c r="N323">
        <f t="shared" ref="N323:N386" si="45">I323*K323</f>
        <v>236.91543959711615</v>
      </c>
      <c r="O323" t="s">
        <v>8</v>
      </c>
    </row>
    <row r="324" spans="1:15" x14ac:dyDescent="0.35">
      <c r="A324">
        <v>2000</v>
      </c>
      <c r="B324">
        <v>11</v>
      </c>
      <c r="C324">
        <v>18</v>
      </c>
      <c r="D324" s="1">
        <f t="shared" si="40"/>
        <v>36848</v>
      </c>
      <c r="E324">
        <v>0</v>
      </c>
      <c r="F324">
        <f t="shared" ref="F324:F387" si="46">E323</f>
        <v>1.4</v>
      </c>
      <c r="G324">
        <f t="shared" si="41"/>
        <v>0</v>
      </c>
      <c r="H324">
        <f t="shared" ref="H324:H387" si="47">G323</f>
        <v>1</v>
      </c>
      <c r="I324">
        <v>323</v>
      </c>
      <c r="J324">
        <f t="shared" si="42"/>
        <v>-0.6644834655228552</v>
      </c>
      <c r="K324">
        <f t="shared" si="43"/>
        <v>0.74730296670542973</v>
      </c>
      <c r="L324">
        <f>VLOOKUP(D324,[1]SOI!$A$1:$C$142,3)</f>
        <v>9.6999999999999993</v>
      </c>
      <c r="M324" s="2">
        <f t="shared" si="44"/>
        <v>-214.62815936388222</v>
      </c>
      <c r="N324">
        <f t="shared" si="45"/>
        <v>241.37885824585379</v>
      </c>
      <c r="O324" t="s">
        <v>8</v>
      </c>
    </row>
    <row r="325" spans="1:15" x14ac:dyDescent="0.35">
      <c r="A325">
        <v>2000</v>
      </c>
      <c r="B325">
        <v>11</v>
      </c>
      <c r="C325">
        <v>19</v>
      </c>
      <c r="D325" s="1">
        <f t="shared" si="40"/>
        <v>36849</v>
      </c>
      <c r="E325">
        <v>0</v>
      </c>
      <c r="F325">
        <f t="shared" si="46"/>
        <v>0</v>
      </c>
      <c r="G325">
        <f t="shared" si="41"/>
        <v>0</v>
      </c>
      <c r="H325">
        <f t="shared" si="47"/>
        <v>0</v>
      </c>
      <c r="I325">
        <v>324</v>
      </c>
      <c r="J325">
        <f t="shared" si="42"/>
        <v>-0.6515303615068021</v>
      </c>
      <c r="K325">
        <f t="shared" si="43"/>
        <v>0.75862255966641001</v>
      </c>
      <c r="L325">
        <f>VLOOKUP(D325,[1]SOI!$A$1:$C$142,3)</f>
        <v>9.6999999999999993</v>
      </c>
      <c r="M325" s="2">
        <f t="shared" si="44"/>
        <v>-211.09583712820387</v>
      </c>
      <c r="N325">
        <f t="shared" si="45"/>
        <v>245.79370933191683</v>
      </c>
      <c r="O325" t="s">
        <v>8</v>
      </c>
    </row>
    <row r="326" spans="1:15" x14ac:dyDescent="0.35">
      <c r="A326">
        <v>2000</v>
      </c>
      <c r="B326">
        <v>11</v>
      </c>
      <c r="C326">
        <v>20</v>
      </c>
      <c r="D326" s="1">
        <f t="shared" si="40"/>
        <v>36850</v>
      </c>
      <c r="E326">
        <v>0</v>
      </c>
      <c r="F326">
        <f t="shared" si="46"/>
        <v>0</v>
      </c>
      <c r="G326">
        <f t="shared" si="41"/>
        <v>0</v>
      </c>
      <c r="H326">
        <f t="shared" si="47"/>
        <v>0</v>
      </c>
      <c r="I326">
        <v>325</v>
      </c>
      <c r="J326">
        <f t="shared" si="42"/>
        <v>-0.63838445917466424</v>
      </c>
      <c r="K326">
        <f t="shared" si="43"/>
        <v>0.76971766400692099</v>
      </c>
      <c r="L326">
        <f>VLOOKUP(D326,[1]SOI!$A$1:$C$142,3)</f>
        <v>9.6999999999999993</v>
      </c>
      <c r="M326" s="2">
        <f t="shared" si="44"/>
        <v>-207.47494923176589</v>
      </c>
      <c r="N326">
        <f t="shared" si="45"/>
        <v>250.15824080224931</v>
      </c>
      <c r="O326" t="s">
        <v>8</v>
      </c>
    </row>
    <row r="327" spans="1:15" x14ac:dyDescent="0.35">
      <c r="A327">
        <v>2000</v>
      </c>
      <c r="B327">
        <v>11</v>
      </c>
      <c r="C327">
        <v>21</v>
      </c>
      <c r="D327" s="1">
        <f t="shared" si="40"/>
        <v>36851</v>
      </c>
      <c r="E327">
        <v>1</v>
      </c>
      <c r="F327">
        <f t="shared" si="46"/>
        <v>0</v>
      </c>
      <c r="G327">
        <f t="shared" si="41"/>
        <v>1</v>
      </c>
      <c r="H327">
        <f t="shared" si="47"/>
        <v>0</v>
      </c>
      <c r="I327">
        <v>326</v>
      </c>
      <c r="J327">
        <f t="shared" si="42"/>
        <v>-0.62504964861043766</v>
      </c>
      <c r="K327">
        <f t="shared" si="43"/>
        <v>0.78058499650708657</v>
      </c>
      <c r="L327">
        <f>VLOOKUP(D327,[1]SOI!$A$1:$C$142,3)</f>
        <v>9.6999999999999993</v>
      </c>
      <c r="M327" s="2">
        <f t="shared" si="44"/>
        <v>-203.76618544700267</v>
      </c>
      <c r="N327">
        <f t="shared" si="45"/>
        <v>254.47070886131021</v>
      </c>
      <c r="O327" t="s">
        <v>8</v>
      </c>
    </row>
    <row r="328" spans="1:15" x14ac:dyDescent="0.35">
      <c r="A328">
        <v>2000</v>
      </c>
      <c r="B328">
        <v>11</v>
      </c>
      <c r="C328">
        <v>22</v>
      </c>
      <c r="D328" s="1">
        <f t="shared" si="40"/>
        <v>36852</v>
      </c>
      <c r="E328">
        <v>0</v>
      </c>
      <c r="F328">
        <f t="shared" si="46"/>
        <v>1</v>
      </c>
      <c r="G328">
        <f t="shared" si="41"/>
        <v>0</v>
      </c>
      <c r="H328">
        <f t="shared" si="47"/>
        <v>1</v>
      </c>
      <c r="I328">
        <v>327</v>
      </c>
      <c r="J328">
        <f t="shared" si="42"/>
        <v>-0.61152987579910534</v>
      </c>
      <c r="K328">
        <f t="shared" si="43"/>
        <v>0.79122134134838074</v>
      </c>
      <c r="L328">
        <f>VLOOKUP(D328,[1]SOI!$A$1:$C$142,3)</f>
        <v>9.6999999999999993</v>
      </c>
      <c r="M328" s="2">
        <f t="shared" si="44"/>
        <v>-199.97026938630745</v>
      </c>
      <c r="N328">
        <f t="shared" si="45"/>
        <v>258.7293786209205</v>
      </c>
      <c r="O328" t="s">
        <v>8</v>
      </c>
    </row>
    <row r="329" spans="1:15" x14ac:dyDescent="0.35">
      <c r="A329">
        <v>2000</v>
      </c>
      <c r="B329">
        <v>11</v>
      </c>
      <c r="C329">
        <v>23</v>
      </c>
      <c r="D329" s="1">
        <f t="shared" si="40"/>
        <v>36853</v>
      </c>
      <c r="E329">
        <v>0</v>
      </c>
      <c r="F329">
        <f t="shared" si="46"/>
        <v>0</v>
      </c>
      <c r="G329">
        <f t="shared" si="41"/>
        <v>0</v>
      </c>
      <c r="H329">
        <f t="shared" si="47"/>
        <v>0</v>
      </c>
      <c r="I329">
        <v>328</v>
      </c>
      <c r="J329">
        <f t="shared" si="42"/>
        <v>-0.59782914145895516</v>
      </c>
      <c r="K329">
        <f t="shared" si="43"/>
        <v>0.80162355106524197</v>
      </c>
      <c r="L329">
        <f>VLOOKUP(D329,[1]SOI!$A$1:$C$142,3)</f>
        <v>9.6999999999999993</v>
      </c>
      <c r="M329" s="2">
        <f t="shared" si="44"/>
        <v>-196.0879583985373</v>
      </c>
      <c r="N329">
        <f t="shared" si="45"/>
        <v>262.93252474939936</v>
      </c>
      <c r="O329" t="s">
        <v>8</v>
      </c>
    </row>
    <row r="330" spans="1:15" x14ac:dyDescent="0.35">
      <c r="A330">
        <v>2000</v>
      </c>
      <c r="B330">
        <v>11</v>
      </c>
      <c r="C330">
        <v>24</v>
      </c>
      <c r="D330" s="1">
        <f t="shared" si="40"/>
        <v>36854</v>
      </c>
      <c r="E330">
        <v>0</v>
      </c>
      <c r="F330">
        <f t="shared" si="46"/>
        <v>0</v>
      </c>
      <c r="G330">
        <f t="shared" si="41"/>
        <v>0</v>
      </c>
      <c r="H330">
        <f t="shared" si="47"/>
        <v>0</v>
      </c>
      <c r="I330">
        <v>329</v>
      </c>
      <c r="J330">
        <f t="shared" si="42"/>
        <v>-0.58395149985769979</v>
      </c>
      <c r="K330">
        <f t="shared" si="43"/>
        <v>0.81178854747646134</v>
      </c>
      <c r="L330">
        <f>VLOOKUP(D330,[1]SOI!$A$1:$C$142,3)</f>
        <v>9.6999999999999993</v>
      </c>
      <c r="M330" s="2">
        <f t="shared" si="44"/>
        <v>-192.12004345318323</v>
      </c>
      <c r="N330">
        <f t="shared" si="45"/>
        <v>267.0784321197558</v>
      </c>
      <c r="O330" t="s">
        <v>8</v>
      </c>
    </row>
    <row r="331" spans="1:15" x14ac:dyDescent="0.35">
      <c r="A331">
        <v>2000</v>
      </c>
      <c r="B331">
        <v>11</v>
      </c>
      <c r="C331">
        <v>25</v>
      </c>
      <c r="D331" s="1">
        <f t="shared" si="40"/>
        <v>36855</v>
      </c>
      <c r="E331">
        <v>0</v>
      </c>
      <c r="F331">
        <f t="shared" si="46"/>
        <v>0</v>
      </c>
      <c r="G331">
        <f t="shared" si="41"/>
        <v>0</v>
      </c>
      <c r="H331">
        <f t="shared" si="47"/>
        <v>0</v>
      </c>
      <c r="I331">
        <v>330</v>
      </c>
      <c r="J331">
        <f t="shared" si="42"/>
        <v>-0.56990105761276244</v>
      </c>
      <c r="K331">
        <f t="shared" si="43"/>
        <v>0.821713322596059</v>
      </c>
      <c r="L331">
        <f>VLOOKUP(D331,[1]SOI!$A$1:$C$142,3)</f>
        <v>9.6999999999999993</v>
      </c>
      <c r="M331" s="2">
        <f t="shared" si="44"/>
        <v>-188.06734901221159</v>
      </c>
      <c r="N331">
        <f t="shared" si="45"/>
        <v>271.16539645669945</v>
      </c>
      <c r="O331" t="s">
        <v>8</v>
      </c>
    </row>
    <row r="332" spans="1:15" x14ac:dyDescent="0.35">
      <c r="A332">
        <v>2000</v>
      </c>
      <c r="B332">
        <v>11</v>
      </c>
      <c r="C332">
        <v>26</v>
      </c>
      <c r="D332" s="1">
        <f t="shared" si="40"/>
        <v>36856</v>
      </c>
      <c r="E332">
        <v>0</v>
      </c>
      <c r="F332">
        <f t="shared" si="46"/>
        <v>0</v>
      </c>
      <c r="G332">
        <f t="shared" si="41"/>
        <v>0</v>
      </c>
      <c r="H332">
        <f t="shared" si="47"/>
        <v>0</v>
      </c>
      <c r="I332">
        <v>331</v>
      </c>
      <c r="J332">
        <f t="shared" si="42"/>
        <v>-0.55568197247604889</v>
      </c>
      <c r="K332">
        <f t="shared" si="43"/>
        <v>0.83139493952340582</v>
      </c>
      <c r="L332">
        <f>VLOOKUP(D332,[1]SOI!$A$1:$C$142,3)</f>
        <v>9.6999999999999993</v>
      </c>
      <c r="M332" s="2">
        <f t="shared" si="44"/>
        <v>-183.93073288957217</v>
      </c>
      <c r="N332">
        <f t="shared" si="45"/>
        <v>275.19172498224731</v>
      </c>
      <c r="O332" t="s">
        <v>8</v>
      </c>
    </row>
    <row r="333" spans="1:15" x14ac:dyDescent="0.35">
      <c r="A333">
        <v>2000</v>
      </c>
      <c r="B333">
        <v>11</v>
      </c>
      <c r="C333">
        <v>27</v>
      </c>
      <c r="D333" s="1">
        <f t="shared" si="40"/>
        <v>36857</v>
      </c>
      <c r="E333">
        <v>0</v>
      </c>
      <c r="F333">
        <f t="shared" si="46"/>
        <v>0</v>
      </c>
      <c r="G333">
        <f t="shared" si="41"/>
        <v>0</v>
      </c>
      <c r="H333">
        <f t="shared" si="47"/>
        <v>0</v>
      </c>
      <c r="I333">
        <v>332</v>
      </c>
      <c r="J333">
        <f t="shared" si="42"/>
        <v>-0.54129845210361727</v>
      </c>
      <c r="K333">
        <f t="shared" si="43"/>
        <v>0.84083053331228874</v>
      </c>
      <c r="L333">
        <f>VLOOKUP(D333,[1]SOI!$A$1:$C$142,3)</f>
        <v>9.6999999999999993</v>
      </c>
      <c r="M333" s="2">
        <f t="shared" si="44"/>
        <v>-179.71108609840093</v>
      </c>
      <c r="N333">
        <f t="shared" si="45"/>
        <v>279.15573705967984</v>
      </c>
      <c r="O333" t="s">
        <v>8</v>
      </c>
    </row>
    <row r="334" spans="1:15" x14ac:dyDescent="0.35">
      <c r="A334">
        <v>2000</v>
      </c>
      <c r="B334">
        <v>11</v>
      </c>
      <c r="C334">
        <v>28</v>
      </c>
      <c r="D334" s="1">
        <f t="shared" si="40"/>
        <v>36858</v>
      </c>
      <c r="E334">
        <v>0</v>
      </c>
      <c r="F334">
        <f t="shared" si="46"/>
        <v>0</v>
      </c>
      <c r="G334">
        <f t="shared" si="41"/>
        <v>0</v>
      </c>
      <c r="H334">
        <f t="shared" si="47"/>
        <v>0</v>
      </c>
      <c r="I334">
        <v>333</v>
      </c>
      <c r="J334">
        <f t="shared" si="42"/>
        <v>-0.52675475281055417</v>
      </c>
      <c r="K334">
        <f t="shared" si="43"/>
        <v>0.85001731181870177</v>
      </c>
      <c r="L334">
        <f>VLOOKUP(D334,[1]SOI!$A$1:$C$142,3)</f>
        <v>9.6999999999999993</v>
      </c>
      <c r="M334" s="2">
        <f t="shared" si="44"/>
        <v>-175.40933268591453</v>
      </c>
      <c r="N334">
        <f t="shared" si="45"/>
        <v>283.05576483562771</v>
      </c>
      <c r="O334" t="s">
        <v>8</v>
      </c>
    </row>
    <row r="335" spans="1:15" x14ac:dyDescent="0.35">
      <c r="A335">
        <v>2000</v>
      </c>
      <c r="B335">
        <v>11</v>
      </c>
      <c r="C335">
        <v>29</v>
      </c>
      <c r="D335" s="1">
        <f t="shared" si="40"/>
        <v>36859</v>
      </c>
      <c r="E335">
        <v>1.2</v>
      </c>
      <c r="F335">
        <f t="shared" si="46"/>
        <v>0</v>
      </c>
      <c r="G335">
        <f t="shared" si="41"/>
        <v>1</v>
      </c>
      <c r="H335">
        <f t="shared" si="47"/>
        <v>0</v>
      </c>
      <c r="I335">
        <v>334</v>
      </c>
      <c r="J335">
        <f t="shared" si="42"/>
        <v>-0.51205517831146463</v>
      </c>
      <c r="K335">
        <f t="shared" si="43"/>
        <v>0.85895255652708447</v>
      </c>
      <c r="L335">
        <f>VLOOKUP(D335,[1]SOI!$A$1:$C$142,3)</f>
        <v>9.6999999999999993</v>
      </c>
      <c r="M335" s="2">
        <f t="shared" si="44"/>
        <v>-171.0264295560292</v>
      </c>
      <c r="N335">
        <f t="shared" si="45"/>
        <v>286.89015388004623</v>
      </c>
      <c r="O335" t="s">
        <v>8</v>
      </c>
    </row>
    <row r="336" spans="1:15" x14ac:dyDescent="0.35">
      <c r="A336">
        <v>2000</v>
      </c>
      <c r="B336">
        <v>11</v>
      </c>
      <c r="C336">
        <v>30</v>
      </c>
      <c r="D336" s="1">
        <f t="shared" si="40"/>
        <v>36860</v>
      </c>
      <c r="E336">
        <v>0</v>
      </c>
      <c r="F336">
        <f t="shared" si="46"/>
        <v>1.2</v>
      </c>
      <c r="G336">
        <f t="shared" si="41"/>
        <v>0</v>
      </c>
      <c r="H336">
        <f t="shared" si="47"/>
        <v>1</v>
      </c>
      <c r="I336">
        <v>335</v>
      </c>
      <c r="J336">
        <f t="shared" si="42"/>
        <v>-0.49720407844693781</v>
      </c>
      <c r="K336">
        <f t="shared" si="43"/>
        <v>0.86763362335477257</v>
      </c>
      <c r="L336">
        <f>VLOOKUP(D336,[1]SOI!$A$1:$C$142,3)</f>
        <v>9.6999999999999993</v>
      </c>
      <c r="M336" s="2">
        <f t="shared" si="44"/>
        <v>-166.56336627972416</v>
      </c>
      <c r="N336">
        <f t="shared" si="45"/>
        <v>290.65726382384884</v>
      </c>
      <c r="O336" t="s">
        <v>8</v>
      </c>
    </row>
    <row r="337" spans="1:15" x14ac:dyDescent="0.35">
      <c r="A337">
        <v>2000</v>
      </c>
      <c r="B337">
        <v>12</v>
      </c>
      <c r="C337">
        <v>1</v>
      </c>
      <c r="D337" s="1">
        <f t="shared" si="40"/>
        <v>36861</v>
      </c>
      <c r="E337">
        <v>3</v>
      </c>
      <c r="F337">
        <f t="shared" si="46"/>
        <v>0</v>
      </c>
      <c r="G337">
        <f t="shared" si="41"/>
        <v>1</v>
      </c>
      <c r="H337">
        <f t="shared" si="47"/>
        <v>0</v>
      </c>
      <c r="I337">
        <v>336</v>
      </c>
      <c r="J337">
        <f t="shared" si="42"/>
        <v>-0.48220584789635262</v>
      </c>
      <c r="K337">
        <f t="shared" si="43"/>
        <v>0.87605794343442811</v>
      </c>
      <c r="L337">
        <f>VLOOKUP(D337,[1]SOI!$A$1:$C$142,3)</f>
        <v>22.4</v>
      </c>
      <c r="M337" s="2">
        <f t="shared" si="44"/>
        <v>-162.02116489317447</v>
      </c>
      <c r="N337">
        <f t="shared" si="45"/>
        <v>294.35546899396786</v>
      </c>
      <c r="O337" t="s">
        <v>8</v>
      </c>
    </row>
    <row r="338" spans="1:15" x14ac:dyDescent="0.35">
      <c r="A338">
        <v>2000</v>
      </c>
      <c r="B338">
        <v>12</v>
      </c>
      <c r="C338">
        <v>2</v>
      </c>
      <c r="D338" s="1">
        <f t="shared" si="40"/>
        <v>36862</v>
      </c>
      <c r="E338">
        <v>0</v>
      </c>
      <c r="F338">
        <f t="shared" si="46"/>
        <v>3</v>
      </c>
      <c r="G338">
        <f t="shared" si="41"/>
        <v>0</v>
      </c>
      <c r="H338">
        <f t="shared" si="47"/>
        <v>1</v>
      </c>
      <c r="I338">
        <v>337</v>
      </c>
      <c r="J338">
        <f t="shared" si="42"/>
        <v>-0.46706492487743034</v>
      </c>
      <c r="K338">
        <f t="shared" si="43"/>
        <v>0.8842230238742036</v>
      </c>
      <c r="L338">
        <f>VLOOKUP(D338,[1]SOI!$A$1:$C$142,3)</f>
        <v>22.4</v>
      </c>
      <c r="M338" s="2">
        <f t="shared" si="44"/>
        <v>-157.40087968369403</v>
      </c>
      <c r="N338">
        <f t="shared" si="45"/>
        <v>297.98315904560661</v>
      </c>
      <c r="O338" t="s">
        <v>8</v>
      </c>
    </row>
    <row r="339" spans="1:15" x14ac:dyDescent="0.35">
      <c r="A339">
        <v>2000</v>
      </c>
      <c r="B339">
        <v>12</v>
      </c>
      <c r="C339">
        <v>3</v>
      </c>
      <c r="D339" s="1">
        <f t="shared" si="40"/>
        <v>36863</v>
      </c>
      <c r="E339">
        <v>0</v>
      </c>
      <c r="F339">
        <f t="shared" si="46"/>
        <v>0</v>
      </c>
      <c r="G339">
        <f t="shared" si="41"/>
        <v>0</v>
      </c>
      <c r="H339">
        <f t="shared" si="47"/>
        <v>0</v>
      </c>
      <c r="I339">
        <v>338</v>
      </c>
      <c r="J339">
        <f t="shared" si="42"/>
        <v>-0.45178578983288398</v>
      </c>
      <c r="K339">
        <f t="shared" si="43"/>
        <v>0.89212644849543454</v>
      </c>
      <c r="L339">
        <f>VLOOKUP(D339,[1]SOI!$A$1:$C$142,3)</f>
        <v>22.4</v>
      </c>
      <c r="M339" s="2">
        <f t="shared" si="44"/>
        <v>-152.7035969635148</v>
      </c>
      <c r="N339">
        <f t="shared" si="45"/>
        <v>301.53873959145687</v>
      </c>
      <c r="O339" t="s">
        <v>8</v>
      </c>
    </row>
    <row r="340" spans="1:15" x14ac:dyDescent="0.35">
      <c r="A340">
        <v>2000</v>
      </c>
      <c r="B340">
        <v>12</v>
      </c>
      <c r="C340">
        <v>4</v>
      </c>
      <c r="D340" s="1">
        <f t="shared" si="40"/>
        <v>36864</v>
      </c>
      <c r="E340">
        <v>0.2</v>
      </c>
      <c r="F340">
        <f t="shared" si="46"/>
        <v>0</v>
      </c>
      <c r="G340">
        <f t="shared" si="41"/>
        <v>1</v>
      </c>
      <c r="H340">
        <f t="shared" si="47"/>
        <v>0</v>
      </c>
      <c r="I340">
        <v>339</v>
      </c>
      <c r="J340">
        <f t="shared" si="42"/>
        <v>-0.43637296410459242</v>
      </c>
      <c r="K340">
        <f t="shared" si="43"/>
        <v>0.89976587854762091</v>
      </c>
      <c r="L340">
        <f>VLOOKUP(D340,[1]SOI!$A$1:$C$142,3)</f>
        <v>22.4</v>
      </c>
      <c r="M340" s="2">
        <f t="shared" si="44"/>
        <v>-147.93043483145684</v>
      </c>
      <c r="N340">
        <f t="shared" si="45"/>
        <v>305.02063282764351</v>
      </c>
      <c r="O340" t="s">
        <v>8</v>
      </c>
    </row>
    <row r="341" spans="1:15" x14ac:dyDescent="0.35">
      <c r="A341">
        <v>2000</v>
      </c>
      <c r="B341">
        <v>12</v>
      </c>
      <c r="C341">
        <v>5</v>
      </c>
      <c r="D341" s="1">
        <f t="shared" si="40"/>
        <v>36865</v>
      </c>
      <c r="E341">
        <v>0</v>
      </c>
      <c r="F341">
        <f t="shared" si="46"/>
        <v>0.2</v>
      </c>
      <c r="G341">
        <f t="shared" si="41"/>
        <v>0</v>
      </c>
      <c r="H341">
        <f t="shared" si="47"/>
        <v>1</v>
      </c>
      <c r="I341">
        <v>340</v>
      </c>
      <c r="J341">
        <f t="shared" si="42"/>
        <v>-0.42083100859565564</v>
      </c>
      <c r="K341">
        <f t="shared" si="43"/>
        <v>0.90713905340050438</v>
      </c>
      <c r="L341">
        <f>VLOOKUP(D341,[1]SOI!$A$1:$C$142,3)</f>
        <v>22.4</v>
      </c>
      <c r="M341" s="2">
        <f t="shared" si="44"/>
        <v>-143.08254292252292</v>
      </c>
      <c r="N341">
        <f t="shared" si="45"/>
        <v>308.4272781561715</v>
      </c>
      <c r="O341" t="s">
        <v>8</v>
      </c>
    </row>
    <row r="342" spans="1:15" x14ac:dyDescent="0.35">
      <c r="A342">
        <v>2000</v>
      </c>
      <c r="B342">
        <v>12</v>
      </c>
      <c r="C342">
        <v>6</v>
      </c>
      <c r="D342" s="1">
        <f t="shared" si="40"/>
        <v>36866</v>
      </c>
      <c r="E342">
        <v>0</v>
      </c>
      <c r="F342">
        <f t="shared" si="46"/>
        <v>0</v>
      </c>
      <c r="G342">
        <f t="shared" si="41"/>
        <v>0</v>
      </c>
      <c r="H342">
        <f t="shared" si="47"/>
        <v>0</v>
      </c>
      <c r="I342">
        <v>341</v>
      </c>
      <c r="J342">
        <f t="shared" si="42"/>
        <v>-0.40516452242075629</v>
      </c>
      <c r="K342">
        <f t="shared" si="43"/>
        <v>0.91424379121302235</v>
      </c>
      <c r="L342">
        <f>VLOOKUP(D342,[1]SOI!$A$1:$C$142,3)</f>
        <v>22.4</v>
      </c>
      <c r="M342" s="2">
        <f t="shared" si="44"/>
        <v>-138.16110214547788</v>
      </c>
      <c r="N342">
        <f t="shared" si="45"/>
        <v>311.75713280364062</v>
      </c>
      <c r="O342" t="s">
        <v>8</v>
      </c>
    </row>
    <row r="343" spans="1:15" x14ac:dyDescent="0.35">
      <c r="A343">
        <v>2000</v>
      </c>
      <c r="B343">
        <v>12</v>
      </c>
      <c r="C343">
        <v>7</v>
      </c>
      <c r="D343" s="1">
        <f t="shared" si="40"/>
        <v>36867</v>
      </c>
      <c r="E343">
        <v>0</v>
      </c>
      <c r="F343">
        <f t="shared" si="46"/>
        <v>0</v>
      </c>
      <c r="G343">
        <f t="shared" si="41"/>
        <v>0</v>
      </c>
      <c r="H343">
        <f t="shared" si="47"/>
        <v>0</v>
      </c>
      <c r="I343">
        <v>342</v>
      </c>
      <c r="J343">
        <f t="shared" si="42"/>
        <v>-0.38937814154520151</v>
      </c>
      <c r="K343">
        <f t="shared" si="43"/>
        <v>0.92107798957895259</v>
      </c>
      <c r="L343">
        <f>VLOOKUP(D343,[1]SOI!$A$1:$C$142,3)</f>
        <v>22.4</v>
      </c>
      <c r="M343" s="2">
        <f t="shared" si="44"/>
        <v>-133.16732440845891</v>
      </c>
      <c r="N343">
        <f t="shared" si="45"/>
        <v>315.0086724360018</v>
      </c>
      <c r="O343" t="s">
        <v>8</v>
      </c>
    </row>
    <row r="344" spans="1:15" x14ac:dyDescent="0.35">
      <c r="A344">
        <v>2000</v>
      </c>
      <c r="B344">
        <v>12</v>
      </c>
      <c r="C344">
        <v>8</v>
      </c>
      <c r="D344" s="1">
        <f t="shared" si="40"/>
        <v>36868</v>
      </c>
      <c r="E344">
        <v>0</v>
      </c>
      <c r="F344">
        <f t="shared" si="46"/>
        <v>0</v>
      </c>
      <c r="G344">
        <f t="shared" si="41"/>
        <v>0</v>
      </c>
      <c r="H344">
        <f t="shared" si="47"/>
        <v>0</v>
      </c>
      <c r="I344">
        <v>343</v>
      </c>
      <c r="J344">
        <f t="shared" si="42"/>
        <v>-0.37347653741307074</v>
      </c>
      <c r="K344">
        <f t="shared" si="43"/>
        <v>0.92763962614904671</v>
      </c>
      <c r="L344">
        <f>VLOOKUP(D344,[1]SOI!$A$1:$C$142,3)</f>
        <v>22.4</v>
      </c>
      <c r="M344" s="2">
        <f t="shared" si="44"/>
        <v>-128.10245233268327</v>
      </c>
      <c r="N344">
        <f t="shared" si="45"/>
        <v>318.18039176912305</v>
      </c>
      <c r="O344" t="s">
        <v>8</v>
      </c>
    </row>
    <row r="345" spans="1:15" x14ac:dyDescent="0.35">
      <c r="A345">
        <v>2000</v>
      </c>
      <c r="B345">
        <v>12</v>
      </c>
      <c r="C345">
        <v>9</v>
      </c>
      <c r="D345" s="1">
        <f t="shared" si="40"/>
        <v>36869</v>
      </c>
      <c r="E345">
        <v>0</v>
      </c>
      <c r="F345">
        <f t="shared" si="46"/>
        <v>0</v>
      </c>
      <c r="G345">
        <f t="shared" si="41"/>
        <v>0</v>
      </c>
      <c r="H345">
        <f t="shared" si="47"/>
        <v>0</v>
      </c>
      <c r="I345">
        <v>344</v>
      </c>
      <c r="J345">
        <f t="shared" si="42"/>
        <v>-0.35746441556486142</v>
      </c>
      <c r="K345">
        <f t="shared" si="43"/>
        <v>0.93392675922947621</v>
      </c>
      <c r="L345">
        <f>VLOOKUP(D345,[1]SOI!$A$1:$C$142,3)</f>
        <v>22.4</v>
      </c>
      <c r="M345" s="2">
        <f t="shared" si="44"/>
        <v>-122.96775895431233</v>
      </c>
      <c r="N345">
        <f t="shared" si="45"/>
        <v>321.27080517493982</v>
      </c>
      <c r="O345" t="s">
        <v>8</v>
      </c>
    </row>
    <row r="346" spans="1:15" x14ac:dyDescent="0.35">
      <c r="A346">
        <v>2000</v>
      </c>
      <c r="B346">
        <v>12</v>
      </c>
      <c r="C346">
        <v>10</v>
      </c>
      <c r="D346" s="1">
        <f t="shared" si="40"/>
        <v>36870</v>
      </c>
      <c r="E346">
        <v>0</v>
      </c>
      <c r="F346">
        <f t="shared" si="46"/>
        <v>0</v>
      </c>
      <c r="G346">
        <f t="shared" si="41"/>
        <v>0</v>
      </c>
      <c r="H346">
        <f t="shared" si="47"/>
        <v>0</v>
      </c>
      <c r="I346">
        <v>345</v>
      </c>
      <c r="J346">
        <f t="shared" si="42"/>
        <v>-0.34134651424503615</v>
      </c>
      <c r="K346">
        <f t="shared" si="43"/>
        <v>0.93993752835641331</v>
      </c>
      <c r="L346">
        <f>VLOOKUP(D346,[1]SOI!$A$1:$C$142,3)</f>
        <v>22.4</v>
      </c>
      <c r="M346" s="2">
        <f t="shared" si="44"/>
        <v>-117.76454741453747</v>
      </c>
      <c r="N346">
        <f t="shared" si="45"/>
        <v>324.27844728296259</v>
      </c>
      <c r="O346" t="s">
        <v>8</v>
      </c>
    </row>
    <row r="347" spans="1:15" x14ac:dyDescent="0.35">
      <c r="A347">
        <v>2000</v>
      </c>
      <c r="B347">
        <v>12</v>
      </c>
      <c r="C347">
        <v>11</v>
      </c>
      <c r="D347" s="1">
        <f t="shared" si="40"/>
        <v>36871</v>
      </c>
      <c r="E347">
        <v>0.6</v>
      </c>
      <c r="F347">
        <f t="shared" si="46"/>
        <v>0</v>
      </c>
      <c r="G347">
        <f t="shared" si="41"/>
        <v>1</v>
      </c>
      <c r="H347">
        <f t="shared" si="47"/>
        <v>0</v>
      </c>
      <c r="I347">
        <v>346</v>
      </c>
      <c r="J347">
        <f t="shared" si="42"/>
        <v>-0.32512760299990928</v>
      </c>
      <c r="K347">
        <f t="shared" si="43"/>
        <v>0.9456701548465688</v>
      </c>
      <c r="L347">
        <f>VLOOKUP(D347,[1]SOI!$A$1:$C$142,3)</f>
        <v>22.4</v>
      </c>
      <c r="M347" s="2">
        <f t="shared" si="44"/>
        <v>-112.49415063796862</v>
      </c>
      <c r="N347">
        <f t="shared" si="45"/>
        <v>327.20187357691282</v>
      </c>
      <c r="O347" t="s">
        <v>8</v>
      </c>
    </row>
    <row r="348" spans="1:15" x14ac:dyDescent="0.35">
      <c r="A348">
        <v>2000</v>
      </c>
      <c r="B348">
        <v>12</v>
      </c>
      <c r="C348">
        <v>12</v>
      </c>
      <c r="D348" s="1">
        <f t="shared" si="40"/>
        <v>36872</v>
      </c>
      <c r="E348">
        <v>0</v>
      </c>
      <c r="F348">
        <f t="shared" si="46"/>
        <v>0.6</v>
      </c>
      <c r="G348">
        <f t="shared" si="41"/>
        <v>0</v>
      </c>
      <c r="H348">
        <f t="shared" si="47"/>
        <v>1</v>
      </c>
      <c r="I348">
        <v>347</v>
      </c>
      <c r="J348">
        <f t="shared" si="42"/>
        <v>-0.30881248126625377</v>
      </c>
      <c r="K348">
        <f t="shared" si="43"/>
        <v>0.95112294232353567</v>
      </c>
      <c r="L348">
        <f>VLOOKUP(D348,[1]SOI!$A$1:$C$142,3)</f>
        <v>22.4</v>
      </c>
      <c r="M348" s="2">
        <f t="shared" si="44"/>
        <v>-107.15793099939006</v>
      </c>
      <c r="N348">
        <f t="shared" si="45"/>
        <v>330.03966098626688</v>
      </c>
      <c r="O348" t="s">
        <v>8</v>
      </c>
    </row>
    <row r="349" spans="1:15" x14ac:dyDescent="0.35">
      <c r="A349">
        <v>2000</v>
      </c>
      <c r="B349">
        <v>12</v>
      </c>
      <c r="C349">
        <v>13</v>
      </c>
      <c r="D349" s="1">
        <f t="shared" si="40"/>
        <v>36873</v>
      </c>
      <c r="E349">
        <v>0</v>
      </c>
      <c r="F349">
        <f t="shared" si="46"/>
        <v>0</v>
      </c>
      <c r="G349">
        <f t="shared" si="41"/>
        <v>0</v>
      </c>
      <c r="H349">
        <f t="shared" si="47"/>
        <v>0</v>
      </c>
      <c r="I349">
        <v>348</v>
      </c>
      <c r="J349">
        <f t="shared" si="42"/>
        <v>-0.29240597695107734</v>
      </c>
      <c r="K349">
        <f t="shared" si="43"/>
        <v>0.95629427721977189</v>
      </c>
      <c r="L349">
        <f>VLOOKUP(D349,[1]SOI!$A$1:$C$142,3)</f>
        <v>22.4</v>
      </c>
      <c r="M349" s="2">
        <f t="shared" si="44"/>
        <v>-101.75727997897492</v>
      </c>
      <c r="N349">
        <f t="shared" si="45"/>
        <v>332.79040847248064</v>
      </c>
      <c r="O349" t="s">
        <v>8</v>
      </c>
    </row>
    <row r="350" spans="1:15" x14ac:dyDescent="0.35">
      <c r="A350">
        <v>2000</v>
      </c>
      <c r="B350">
        <v>12</v>
      </c>
      <c r="C350">
        <v>14</v>
      </c>
      <c r="D350" s="1">
        <f t="shared" si="40"/>
        <v>36874</v>
      </c>
      <c r="E350">
        <v>0</v>
      </c>
      <c r="F350">
        <f t="shared" si="46"/>
        <v>0</v>
      </c>
      <c r="G350">
        <f t="shared" si="41"/>
        <v>0</v>
      </c>
      <c r="H350">
        <f t="shared" si="47"/>
        <v>0</v>
      </c>
      <c r="I350">
        <v>349</v>
      </c>
      <c r="J350">
        <f t="shared" si="42"/>
        <v>-0.27591294500296043</v>
      </c>
      <c r="K350">
        <f t="shared" si="43"/>
        <v>0.96118262925408371</v>
      </c>
      <c r="L350">
        <f>VLOOKUP(D350,[1]SOI!$A$1:$C$142,3)</f>
        <v>22.4</v>
      </c>
      <c r="M350" s="2">
        <f t="shared" si="44"/>
        <v>-96.293617806033197</v>
      </c>
      <c r="N350">
        <f t="shared" si="45"/>
        <v>335.45273760967524</v>
      </c>
      <c r="O350" t="s">
        <v>8</v>
      </c>
    </row>
    <row r="351" spans="1:15" x14ac:dyDescent="0.35">
      <c r="A351">
        <v>2000</v>
      </c>
      <c r="B351">
        <v>12</v>
      </c>
      <c r="C351">
        <v>15</v>
      </c>
      <c r="D351" s="1">
        <f t="shared" si="40"/>
        <v>36875</v>
      </c>
      <c r="E351">
        <v>0</v>
      </c>
      <c r="F351">
        <f t="shared" si="46"/>
        <v>0</v>
      </c>
      <c r="G351">
        <f t="shared" si="41"/>
        <v>0</v>
      </c>
      <c r="H351">
        <f t="shared" si="47"/>
        <v>0</v>
      </c>
      <c r="I351">
        <v>350</v>
      </c>
      <c r="J351">
        <f t="shared" si="42"/>
        <v>-0.2593382659754056</v>
      </c>
      <c r="K351">
        <f t="shared" si="43"/>
        <v>0.96578655188445739</v>
      </c>
      <c r="L351">
        <f>VLOOKUP(D351,[1]SOI!$A$1:$C$142,3)</f>
        <v>22.4</v>
      </c>
      <c r="M351" s="2">
        <f t="shared" si="44"/>
        <v>-90.768393091391957</v>
      </c>
      <c r="N351">
        <f t="shared" si="45"/>
        <v>338.02529315956008</v>
      </c>
      <c r="O351" t="s">
        <v>8</v>
      </c>
    </row>
    <row r="352" spans="1:15" x14ac:dyDescent="0.35">
      <c r="A352">
        <v>2000</v>
      </c>
      <c r="B352">
        <v>12</v>
      </c>
      <c r="C352">
        <v>16</v>
      </c>
      <c r="D352" s="1">
        <f t="shared" si="40"/>
        <v>36876</v>
      </c>
      <c r="E352">
        <v>0</v>
      </c>
      <c r="F352">
        <f t="shared" si="46"/>
        <v>0</v>
      </c>
      <c r="G352">
        <f t="shared" si="41"/>
        <v>0</v>
      </c>
      <c r="H352">
        <f t="shared" si="47"/>
        <v>0</v>
      </c>
      <c r="I352">
        <v>351</v>
      </c>
      <c r="J352">
        <f t="shared" si="42"/>
        <v>-0.2426868445825954</v>
      </c>
      <c r="K352">
        <f t="shared" si="43"/>
        <v>0.9701046827361175</v>
      </c>
      <c r="L352">
        <f>VLOOKUP(D352,[1]SOI!$A$1:$C$142,3)</f>
        <v>22.4</v>
      </c>
      <c r="M352" s="2">
        <f t="shared" si="44"/>
        <v>-85.183082448490993</v>
      </c>
      <c r="N352">
        <f t="shared" si="45"/>
        <v>340.50674364037724</v>
      </c>
      <c r="O352" t="s">
        <v>8</v>
      </c>
    </row>
    <row r="353" spans="1:15" x14ac:dyDescent="0.35">
      <c r="A353">
        <v>2000</v>
      </c>
      <c r="B353">
        <v>12</v>
      </c>
      <c r="C353">
        <v>17</v>
      </c>
      <c r="D353" s="1">
        <f t="shared" si="40"/>
        <v>36877</v>
      </c>
      <c r="E353">
        <v>0</v>
      </c>
      <c r="F353">
        <f t="shared" si="46"/>
        <v>0</v>
      </c>
      <c r="G353">
        <f t="shared" si="41"/>
        <v>0</v>
      </c>
      <c r="H353">
        <f t="shared" si="47"/>
        <v>0</v>
      </c>
      <c r="I353">
        <v>352</v>
      </c>
      <c r="J353">
        <f t="shared" si="42"/>
        <v>-0.22596360824801906</v>
      </c>
      <c r="K353">
        <f t="shared" si="43"/>
        <v>0.97413574400467196</v>
      </c>
      <c r="L353">
        <f>VLOOKUP(D353,[1]SOI!$A$1:$C$142,3)</f>
        <v>22.4</v>
      </c>
      <c r="M353" s="2">
        <f t="shared" si="44"/>
        <v>-79.539190103302715</v>
      </c>
      <c r="N353">
        <f t="shared" si="45"/>
        <v>342.89578188964452</v>
      </c>
      <c r="O353" t="s">
        <v>8</v>
      </c>
    </row>
    <row r="354" spans="1:15" x14ac:dyDescent="0.35">
      <c r="A354">
        <v>2000</v>
      </c>
      <c r="B354">
        <v>12</v>
      </c>
      <c r="C354">
        <v>18</v>
      </c>
      <c r="D354" s="1">
        <f t="shared" si="40"/>
        <v>36878</v>
      </c>
      <c r="E354">
        <v>0</v>
      </c>
      <c r="F354">
        <f t="shared" si="46"/>
        <v>0</v>
      </c>
      <c r="G354">
        <f t="shared" si="41"/>
        <v>0</v>
      </c>
      <c r="H354">
        <f t="shared" si="47"/>
        <v>0</v>
      </c>
      <c r="I354">
        <v>353</v>
      </c>
      <c r="J354">
        <f t="shared" si="42"/>
        <v>-0.20917350564635637</v>
      </c>
      <c r="K354">
        <f t="shared" si="43"/>
        <v>0.97787854283423858</v>
      </c>
      <c r="L354">
        <f>VLOOKUP(D354,[1]SOI!$A$1:$C$142,3)</f>
        <v>22.4</v>
      </c>
      <c r="M354" s="2">
        <f t="shared" si="44"/>
        <v>-73.838247493163792</v>
      </c>
      <c r="N354">
        <f t="shared" si="45"/>
        <v>345.19112562048622</v>
      </c>
      <c r="O354" t="s">
        <v>8</v>
      </c>
    </row>
    <row r="355" spans="1:15" x14ac:dyDescent="0.35">
      <c r="A355">
        <v>2000</v>
      </c>
      <c r="B355">
        <v>12</v>
      </c>
      <c r="C355">
        <v>19</v>
      </c>
      <c r="D355" s="1">
        <f t="shared" si="40"/>
        <v>36879</v>
      </c>
      <c r="E355">
        <v>0</v>
      </c>
      <c r="F355">
        <f t="shared" si="46"/>
        <v>0</v>
      </c>
      <c r="G355">
        <f t="shared" si="41"/>
        <v>0</v>
      </c>
      <c r="H355">
        <f t="shared" si="47"/>
        <v>0</v>
      </c>
      <c r="I355">
        <v>354</v>
      </c>
      <c r="J355">
        <f t="shared" si="42"/>
        <v>-0.19232150523909483</v>
      </c>
      <c r="K355">
        <f t="shared" si="43"/>
        <v>0.98133197167042752</v>
      </c>
      <c r="L355">
        <f>VLOOKUP(D355,[1]SOI!$A$1:$C$142,3)</f>
        <v>22.4</v>
      </c>
      <c r="M355" s="2">
        <f t="shared" si="44"/>
        <v>-68.081812854639566</v>
      </c>
      <c r="N355">
        <f t="shared" si="45"/>
        <v>347.39151797133133</v>
      </c>
      <c r="O355" t="s">
        <v>8</v>
      </c>
    </row>
    <row r="356" spans="1:15" x14ac:dyDescent="0.35">
      <c r="A356">
        <v>2000</v>
      </c>
      <c r="B356">
        <v>12</v>
      </c>
      <c r="C356">
        <v>20</v>
      </c>
      <c r="D356" s="1">
        <f t="shared" si="40"/>
        <v>36880</v>
      </c>
      <c r="E356">
        <v>0</v>
      </c>
      <c r="F356">
        <f t="shared" si="46"/>
        <v>0</v>
      </c>
      <c r="G356">
        <f t="shared" si="41"/>
        <v>0</v>
      </c>
      <c r="H356">
        <f t="shared" si="47"/>
        <v>0</v>
      </c>
      <c r="I356">
        <v>355</v>
      </c>
      <c r="J356">
        <f t="shared" si="42"/>
        <v>-0.17541259380427843</v>
      </c>
      <c r="K356">
        <f t="shared" si="43"/>
        <v>0.98449500858808581</v>
      </c>
      <c r="L356">
        <f>VLOOKUP(D356,[1]SOI!$A$1:$C$142,3)</f>
        <v>22.4</v>
      </c>
      <c r="M356" s="2">
        <f t="shared" si="44"/>
        <v>-62.271470800518841</v>
      </c>
      <c r="N356">
        <f t="shared" si="45"/>
        <v>349.49572804877045</v>
      </c>
      <c r="O356" t="s">
        <v>8</v>
      </c>
    </row>
    <row r="357" spans="1:15" x14ac:dyDescent="0.35">
      <c r="A357">
        <v>2000</v>
      </c>
      <c r="B357">
        <v>12</v>
      </c>
      <c r="C357">
        <v>21</v>
      </c>
      <c r="D357" s="1">
        <f t="shared" si="40"/>
        <v>36881</v>
      </c>
      <c r="E357">
        <v>0</v>
      </c>
      <c r="F357">
        <f t="shared" si="46"/>
        <v>0</v>
      </c>
      <c r="G357">
        <f t="shared" si="41"/>
        <v>0</v>
      </c>
      <c r="H357">
        <f t="shared" si="47"/>
        <v>0</v>
      </c>
      <c r="I357">
        <v>356</v>
      </c>
      <c r="J357">
        <f t="shared" si="42"/>
        <v>-0.15845177496083632</v>
      </c>
      <c r="K357">
        <f t="shared" si="43"/>
        <v>0.98736671759370165</v>
      </c>
      <c r="L357">
        <f>VLOOKUP(D357,[1]SOI!$A$1:$C$142,3)</f>
        <v>22.4</v>
      </c>
      <c r="M357" s="2">
        <f t="shared" si="44"/>
        <v>-56.408831886057726</v>
      </c>
      <c r="N357">
        <f t="shared" si="45"/>
        <v>351.5025514633578</v>
      </c>
      <c r="O357" t="s">
        <v>8</v>
      </c>
    </row>
    <row r="358" spans="1:15" x14ac:dyDescent="0.35">
      <c r="A358">
        <v>2000</v>
      </c>
      <c r="B358">
        <v>12</v>
      </c>
      <c r="C358">
        <v>22</v>
      </c>
      <c r="D358" s="1">
        <f t="shared" si="40"/>
        <v>36882</v>
      </c>
      <c r="E358">
        <v>6</v>
      </c>
      <c r="F358">
        <f t="shared" si="46"/>
        <v>0</v>
      </c>
      <c r="G358">
        <f t="shared" si="41"/>
        <v>1</v>
      </c>
      <c r="H358">
        <f t="shared" si="47"/>
        <v>0</v>
      </c>
      <c r="I358">
        <v>357</v>
      </c>
      <c r="J358">
        <f t="shared" si="42"/>
        <v>-0.14144406768794202</v>
      </c>
      <c r="K358">
        <f t="shared" si="43"/>
        <v>0.98994624890237792</v>
      </c>
      <c r="L358">
        <f>VLOOKUP(D358,[1]SOI!$A$1:$C$142,3)</f>
        <v>22.4</v>
      </c>
      <c r="M358" s="2">
        <f t="shared" si="44"/>
        <v>-50.495532164595296</v>
      </c>
      <c r="N358">
        <f t="shared" si="45"/>
        <v>353.41081085814892</v>
      </c>
      <c r="O358" t="s">
        <v>8</v>
      </c>
    </row>
    <row r="359" spans="1:15" x14ac:dyDescent="0.35">
      <c r="A359">
        <v>2000</v>
      </c>
      <c r="B359">
        <v>12</v>
      </c>
      <c r="C359">
        <v>23</v>
      </c>
      <c r="D359" s="1">
        <f t="shared" si="40"/>
        <v>36883</v>
      </c>
      <c r="E359">
        <v>23.2</v>
      </c>
      <c r="F359">
        <f t="shared" si="46"/>
        <v>6</v>
      </c>
      <c r="G359">
        <f t="shared" si="41"/>
        <v>1</v>
      </c>
      <c r="H359">
        <f t="shared" si="47"/>
        <v>1</v>
      </c>
      <c r="I359">
        <v>358</v>
      </c>
      <c r="J359">
        <f t="shared" si="42"/>
        <v>-0.12439450483979998</v>
      </c>
      <c r="K359">
        <f t="shared" si="43"/>
        <v>0.99223283918930083</v>
      </c>
      <c r="L359">
        <f>VLOOKUP(D359,[1]SOI!$A$1:$C$142,3)</f>
        <v>22.4</v>
      </c>
      <c r="M359" s="2">
        <f t="shared" si="44"/>
        <v>-44.533232732648393</v>
      </c>
      <c r="N359">
        <f t="shared" si="45"/>
        <v>355.21935642976968</v>
      </c>
      <c r="O359" t="s">
        <v>8</v>
      </c>
    </row>
    <row r="360" spans="1:15" x14ac:dyDescent="0.35">
      <c r="A360">
        <v>2000</v>
      </c>
      <c r="B360">
        <v>12</v>
      </c>
      <c r="C360">
        <v>24</v>
      </c>
      <c r="D360" s="1">
        <f t="shared" si="40"/>
        <v>36884</v>
      </c>
      <c r="E360">
        <v>0</v>
      </c>
      <c r="F360">
        <f t="shared" si="46"/>
        <v>23.2</v>
      </c>
      <c r="G360">
        <f t="shared" si="41"/>
        <v>0</v>
      </c>
      <c r="H360">
        <f t="shared" si="47"/>
        <v>1</v>
      </c>
      <c r="I360">
        <v>359</v>
      </c>
      <c r="J360">
        <f t="shared" si="42"/>
        <v>-0.10730813165636247</v>
      </c>
      <c r="K360">
        <f t="shared" si="43"/>
        <v>0.99422581181561609</v>
      </c>
      <c r="L360">
        <f>VLOOKUP(D360,[1]SOI!$A$1:$C$142,3)</f>
        <v>22.4</v>
      </c>
      <c r="M360" s="2">
        <f t="shared" si="44"/>
        <v>-38.523619264634128</v>
      </c>
      <c r="N360">
        <f t="shared" si="45"/>
        <v>356.92706644180618</v>
      </c>
      <c r="O360" t="s">
        <v>8</v>
      </c>
    </row>
    <row r="361" spans="1:15" x14ac:dyDescent="0.35">
      <c r="A361">
        <v>2000</v>
      </c>
      <c r="B361">
        <v>12</v>
      </c>
      <c r="C361">
        <v>25</v>
      </c>
      <c r="D361" s="1">
        <f t="shared" si="40"/>
        <v>36885</v>
      </c>
      <c r="E361">
        <v>0</v>
      </c>
      <c r="F361">
        <f t="shared" si="46"/>
        <v>0</v>
      </c>
      <c r="G361">
        <f t="shared" si="41"/>
        <v>0</v>
      </c>
      <c r="H361">
        <f t="shared" si="47"/>
        <v>0</v>
      </c>
      <c r="I361">
        <v>360</v>
      </c>
      <c r="J361">
        <f t="shared" si="42"/>
        <v>-9.0190004270345125E-2</v>
      </c>
      <c r="K361">
        <f t="shared" si="43"/>
        <v>0.99592457702865989</v>
      </c>
      <c r="L361">
        <f>VLOOKUP(D361,[1]SOI!$A$1:$C$142,3)</f>
        <v>22.4</v>
      </c>
      <c r="M361" s="2">
        <f t="shared" si="44"/>
        <v>-32.468401537324247</v>
      </c>
      <c r="N361">
        <f t="shared" si="45"/>
        <v>358.53284773031754</v>
      </c>
      <c r="O361" t="s">
        <v>8</v>
      </c>
    </row>
    <row r="362" spans="1:15" x14ac:dyDescent="0.35">
      <c r="A362">
        <v>2000</v>
      </c>
      <c r="B362">
        <v>12</v>
      </c>
      <c r="C362">
        <v>26</v>
      </c>
      <c r="D362" s="1">
        <f t="shared" si="40"/>
        <v>36886</v>
      </c>
      <c r="E362">
        <v>0</v>
      </c>
      <c r="F362">
        <f t="shared" si="46"/>
        <v>0</v>
      </c>
      <c r="G362">
        <f t="shared" si="41"/>
        <v>0</v>
      </c>
      <c r="H362">
        <f t="shared" si="47"/>
        <v>0</v>
      </c>
      <c r="I362">
        <v>361</v>
      </c>
      <c r="J362">
        <f t="shared" si="42"/>
        <v>-7.3045188211047427E-2</v>
      </c>
      <c r="K362">
        <f t="shared" si="43"/>
        <v>0.99732863213647516</v>
      </c>
      <c r="L362">
        <f>VLOOKUP(D362,[1]SOI!$A$1:$C$142,3)</f>
        <v>22.4</v>
      </c>
      <c r="M362" s="2">
        <f t="shared" si="44"/>
        <v>-26.36931294418812</v>
      </c>
      <c r="N362">
        <f t="shared" si="45"/>
        <v>360.03563620126755</v>
      </c>
      <c r="O362" t="s">
        <v>8</v>
      </c>
    </row>
    <row r="363" spans="1:15" x14ac:dyDescent="0.35">
      <c r="A363">
        <v>2000</v>
      </c>
      <c r="B363">
        <v>12</v>
      </c>
      <c r="C363">
        <v>27</v>
      </c>
      <c r="D363" s="1">
        <f t="shared" si="40"/>
        <v>36887</v>
      </c>
      <c r="E363">
        <v>0</v>
      </c>
      <c r="F363">
        <f t="shared" si="46"/>
        <v>0</v>
      </c>
      <c r="G363">
        <f t="shared" si="41"/>
        <v>0</v>
      </c>
      <c r="H363">
        <f t="shared" si="47"/>
        <v>0</v>
      </c>
      <c r="I363">
        <v>362</v>
      </c>
      <c r="J363">
        <f t="shared" si="42"/>
        <v>-5.5878756905373132E-2</v>
      </c>
      <c r="K363">
        <f t="shared" si="43"/>
        <v>0.99843756165656661</v>
      </c>
      <c r="L363">
        <f>VLOOKUP(D363,[1]SOI!$A$1:$C$142,3)</f>
        <v>22.4</v>
      </c>
      <c r="M363" s="2">
        <f t="shared" si="44"/>
        <v>-20.228109999745072</v>
      </c>
      <c r="N363">
        <f t="shared" si="45"/>
        <v>361.43439731967709</v>
      </c>
      <c r="O363" t="s">
        <v>8</v>
      </c>
    </row>
    <row r="364" spans="1:15" x14ac:dyDescent="0.35">
      <c r="A364">
        <v>2000</v>
      </c>
      <c r="B364">
        <v>12</v>
      </c>
      <c r="C364">
        <v>28</v>
      </c>
      <c r="D364" s="1">
        <f t="shared" si="40"/>
        <v>36888</v>
      </c>
      <c r="E364">
        <v>1.2</v>
      </c>
      <c r="F364">
        <f t="shared" si="46"/>
        <v>0</v>
      </c>
      <c r="G364">
        <f t="shared" si="41"/>
        <v>1</v>
      </c>
      <c r="H364">
        <f t="shared" si="47"/>
        <v>0</v>
      </c>
      <c r="I364">
        <v>363</v>
      </c>
      <c r="J364">
        <f t="shared" si="42"/>
        <v>-3.8695790176526891E-2</v>
      </c>
      <c r="K364">
        <f t="shared" si="43"/>
        <v>0.99925103743884813</v>
      </c>
      <c r="L364">
        <f>VLOOKUP(D364,[1]SOI!$A$1:$C$142,3)</f>
        <v>22.4</v>
      </c>
      <c r="M364" s="2">
        <f t="shared" si="44"/>
        <v>-14.046571834079261</v>
      </c>
      <c r="N364">
        <f t="shared" si="45"/>
        <v>362.72812659030188</v>
      </c>
      <c r="O364" t="s">
        <v>8</v>
      </c>
    </row>
    <row r="365" spans="1:15" x14ac:dyDescent="0.35">
      <c r="A365">
        <v>2000</v>
      </c>
      <c r="B365">
        <v>12</v>
      </c>
      <c r="C365">
        <v>29</v>
      </c>
      <c r="D365" s="1">
        <f t="shared" si="40"/>
        <v>36889</v>
      </c>
      <c r="E365">
        <v>0.4</v>
      </c>
      <c r="F365">
        <f t="shared" si="46"/>
        <v>1.2</v>
      </c>
      <c r="G365">
        <f t="shared" si="41"/>
        <v>1</v>
      </c>
      <c r="H365">
        <f t="shared" si="47"/>
        <v>1</v>
      </c>
      <c r="I365">
        <v>364</v>
      </c>
      <c r="J365">
        <f t="shared" si="42"/>
        <v>-2.1501372740813793E-2</v>
      </c>
      <c r="K365">
        <f t="shared" si="43"/>
        <v>0.99976881876274803</v>
      </c>
      <c r="L365">
        <f>VLOOKUP(D365,[1]SOI!$A$1:$C$142,3)</f>
        <v>22.4</v>
      </c>
      <c r="M365" s="2">
        <f t="shared" si="44"/>
        <v>-7.826499677656221</v>
      </c>
      <c r="N365">
        <f t="shared" si="45"/>
        <v>363.9158500296403</v>
      </c>
      <c r="O365" t="s">
        <v>8</v>
      </c>
    </row>
    <row r="366" spans="1:15" x14ac:dyDescent="0.35">
      <c r="A366">
        <v>2000</v>
      </c>
      <c r="B366">
        <v>12</v>
      </c>
      <c r="C366">
        <v>30</v>
      </c>
      <c r="D366" s="1">
        <f t="shared" si="40"/>
        <v>36890</v>
      </c>
      <c r="E366">
        <v>0</v>
      </c>
      <c r="F366">
        <f t="shared" si="46"/>
        <v>0.4</v>
      </c>
      <c r="G366">
        <f t="shared" si="41"/>
        <v>0</v>
      </c>
      <c r="H366">
        <f t="shared" si="47"/>
        <v>1</v>
      </c>
      <c r="I366">
        <v>365</v>
      </c>
      <c r="J366">
        <f t="shared" si="42"/>
        <v>-4.3005927029819736E-3</v>
      </c>
      <c r="K366">
        <f t="shared" si="43"/>
        <v>0.9999907524084426</v>
      </c>
      <c r="L366">
        <f>VLOOKUP(D366,[1]SOI!$A$1:$C$142,3)</f>
        <v>22.4</v>
      </c>
      <c r="M366" s="2">
        <f t="shared" si="44"/>
        <v>-1.5697163365884204</v>
      </c>
      <c r="N366">
        <f t="shared" si="45"/>
        <v>364.99662462908157</v>
      </c>
      <c r="O366" t="s">
        <v>8</v>
      </c>
    </row>
    <row r="367" spans="1:15" x14ac:dyDescent="0.35">
      <c r="A367">
        <v>2000</v>
      </c>
      <c r="B367">
        <v>12</v>
      </c>
      <c r="C367">
        <v>31</v>
      </c>
      <c r="D367" s="1">
        <f t="shared" si="40"/>
        <v>36891</v>
      </c>
      <c r="E367">
        <v>0</v>
      </c>
      <c r="F367">
        <f t="shared" si="46"/>
        <v>0</v>
      </c>
      <c r="G367">
        <f t="shared" si="41"/>
        <v>0</v>
      </c>
      <c r="H367">
        <f t="shared" si="47"/>
        <v>0</v>
      </c>
      <c r="I367">
        <v>366</v>
      </c>
      <c r="J367">
        <f t="shared" si="42"/>
        <v>1.2901459949419653E-2</v>
      </c>
      <c r="K367">
        <f t="shared" si="43"/>
        <v>0.99991677270219526</v>
      </c>
      <c r="L367">
        <f>VLOOKUP(D367,[1]SOI!$A$1:$C$142,3)</f>
        <v>22.4</v>
      </c>
      <c r="M367" s="2">
        <f t="shared" si="44"/>
        <v>4.7219343414875929</v>
      </c>
      <c r="N367">
        <f t="shared" si="45"/>
        <v>365.96953880900344</v>
      </c>
      <c r="O367" t="s">
        <v>8</v>
      </c>
    </row>
    <row r="368" spans="1:15" x14ac:dyDescent="0.35">
      <c r="A368">
        <v>2001</v>
      </c>
      <c r="B368">
        <v>1</v>
      </c>
      <c r="C368">
        <v>1</v>
      </c>
      <c r="D368" s="1">
        <f t="shared" si="40"/>
        <v>36892</v>
      </c>
      <c r="E368">
        <v>0</v>
      </c>
      <c r="F368">
        <f t="shared" si="46"/>
        <v>0</v>
      </c>
      <c r="G368">
        <f t="shared" si="41"/>
        <v>0</v>
      </c>
      <c r="H368">
        <f t="shared" si="47"/>
        <v>0</v>
      </c>
      <c r="I368">
        <v>367</v>
      </c>
      <c r="J368">
        <f t="shared" si="42"/>
        <v>3.00996948522586E-2</v>
      </c>
      <c r="K368">
        <f t="shared" si="43"/>
        <v>0.99954690153579129</v>
      </c>
      <c r="L368">
        <f>VLOOKUP(D368,[1]SOI!$A$1:$C$142,3)</f>
        <v>7.7</v>
      </c>
      <c r="M368" s="2">
        <f t="shared" si="44"/>
        <v>11.046588010778907</v>
      </c>
      <c r="N368">
        <f t="shared" si="45"/>
        <v>366.83371286363541</v>
      </c>
      <c r="O368" t="s">
        <v>8</v>
      </c>
    </row>
    <row r="369" spans="1:15" x14ac:dyDescent="0.35">
      <c r="A369">
        <v>2001</v>
      </c>
      <c r="B369">
        <v>1</v>
      </c>
      <c r="C369">
        <v>2</v>
      </c>
      <c r="D369" s="1">
        <f t="shared" si="40"/>
        <v>36893</v>
      </c>
      <c r="E369">
        <v>0</v>
      </c>
      <c r="F369">
        <f t="shared" si="46"/>
        <v>0</v>
      </c>
      <c r="G369">
        <f t="shared" si="41"/>
        <v>0</v>
      </c>
      <c r="H369">
        <f t="shared" si="47"/>
        <v>0</v>
      </c>
      <c r="I369">
        <v>368</v>
      </c>
      <c r="J369">
        <f t="shared" si="42"/>
        <v>4.7289022771132352E-2</v>
      </c>
      <c r="K369">
        <f t="shared" si="43"/>
        <v>0.99888124836005976</v>
      </c>
      <c r="L369">
        <f>VLOOKUP(D369,[1]SOI!$A$1:$C$142,3)</f>
        <v>7.7</v>
      </c>
      <c r="M369" s="2">
        <f t="shared" si="44"/>
        <v>17.402360379776706</v>
      </c>
      <c r="N369">
        <f t="shared" si="45"/>
        <v>367.58829939650201</v>
      </c>
      <c r="O369" t="s">
        <v>8</v>
      </c>
    </row>
    <row r="370" spans="1:15" x14ac:dyDescent="0.35">
      <c r="A370">
        <v>2001</v>
      </c>
      <c r="B370">
        <v>1</v>
      </c>
      <c r="C370">
        <v>3</v>
      </c>
      <c r="D370" s="1">
        <f t="shared" si="40"/>
        <v>36894</v>
      </c>
      <c r="E370">
        <v>0.2</v>
      </c>
      <c r="F370">
        <f t="shared" si="46"/>
        <v>0</v>
      </c>
      <c r="G370">
        <f t="shared" si="41"/>
        <v>1</v>
      </c>
      <c r="H370">
        <f t="shared" si="47"/>
        <v>0</v>
      </c>
      <c r="I370">
        <v>369</v>
      </c>
      <c r="J370">
        <f t="shared" si="42"/>
        <v>6.44643571073618E-2</v>
      </c>
      <c r="K370">
        <f t="shared" si="43"/>
        <v>0.99792001015248433</v>
      </c>
      <c r="L370">
        <f>VLOOKUP(D370,[1]SOI!$A$1:$C$142,3)</f>
        <v>7.7</v>
      </c>
      <c r="M370" s="2">
        <f t="shared" si="44"/>
        <v>23.787347772616503</v>
      </c>
      <c r="N370">
        <f t="shared" si="45"/>
        <v>368.23248374626672</v>
      </c>
      <c r="O370" t="s">
        <v>8</v>
      </c>
    </row>
    <row r="371" spans="1:15" x14ac:dyDescent="0.35">
      <c r="A371">
        <v>2001</v>
      </c>
      <c r="B371">
        <v>1</v>
      </c>
      <c r="C371">
        <v>4</v>
      </c>
      <c r="D371" s="1">
        <f t="shared" si="40"/>
        <v>36895</v>
      </c>
      <c r="E371">
        <v>0</v>
      </c>
      <c r="F371">
        <f t="shared" si="46"/>
        <v>0.2</v>
      </c>
      <c r="G371">
        <f t="shared" si="41"/>
        <v>0</v>
      </c>
      <c r="H371">
        <f t="shared" si="47"/>
        <v>1</v>
      </c>
      <c r="I371">
        <v>370</v>
      </c>
      <c r="J371">
        <f t="shared" si="42"/>
        <v>8.1620615403190516E-2</v>
      </c>
      <c r="K371">
        <f t="shared" si="43"/>
        <v>0.99666347135891586</v>
      </c>
      <c r="L371">
        <f>VLOOKUP(D371,[1]SOI!$A$1:$C$142,3)</f>
        <v>7.7</v>
      </c>
      <c r="M371" s="2">
        <f t="shared" si="44"/>
        <v>30.199627699180493</v>
      </c>
      <c r="N371">
        <f t="shared" si="45"/>
        <v>368.76548440279885</v>
      </c>
      <c r="O371" t="s">
        <v>8</v>
      </c>
    </row>
    <row r="372" spans="1:15" x14ac:dyDescent="0.35">
      <c r="A372">
        <v>2001</v>
      </c>
      <c r="B372">
        <v>1</v>
      </c>
      <c r="C372">
        <v>5</v>
      </c>
      <c r="D372" s="1">
        <f t="shared" si="40"/>
        <v>36896</v>
      </c>
      <c r="E372">
        <v>0.8</v>
      </c>
      <c r="F372">
        <f t="shared" si="46"/>
        <v>0</v>
      </c>
      <c r="G372">
        <f t="shared" si="41"/>
        <v>1</v>
      </c>
      <c r="H372">
        <f t="shared" si="47"/>
        <v>0</v>
      </c>
      <c r="I372">
        <v>371</v>
      </c>
      <c r="J372">
        <f t="shared" si="42"/>
        <v>9.8752720845773759E-2</v>
      </c>
      <c r="K372">
        <f t="shared" si="43"/>
        <v>0.99511200380939868</v>
      </c>
      <c r="L372">
        <f>VLOOKUP(D372,[1]SOI!$A$1:$C$142,3)</f>
        <v>7.7</v>
      </c>
      <c r="M372" s="2">
        <f t="shared" si="44"/>
        <v>36.637259433782063</v>
      </c>
      <c r="N372">
        <f t="shared" si="45"/>
        <v>369.1865534132869</v>
      </c>
      <c r="O372" t="s">
        <v>8</v>
      </c>
    </row>
    <row r="373" spans="1:15" x14ac:dyDescent="0.35">
      <c r="A373">
        <v>2001</v>
      </c>
      <c r="B373">
        <v>1</v>
      </c>
      <c r="C373">
        <v>6</v>
      </c>
      <c r="D373" s="1">
        <f t="shared" si="40"/>
        <v>36897</v>
      </c>
      <c r="E373">
        <v>0</v>
      </c>
      <c r="F373">
        <f t="shared" si="46"/>
        <v>0.8</v>
      </c>
      <c r="G373">
        <f t="shared" si="41"/>
        <v>0</v>
      </c>
      <c r="H373">
        <f t="shared" si="47"/>
        <v>1</v>
      </c>
      <c r="I373">
        <v>372</v>
      </c>
      <c r="J373">
        <f t="shared" si="42"/>
        <v>0.11585560376947847</v>
      </c>
      <c r="K373">
        <f t="shared" si="43"/>
        <v>0.99326606660814176</v>
      </c>
      <c r="L373">
        <f>VLOOKUP(D373,[1]SOI!$A$1:$C$142,3)</f>
        <v>7.7</v>
      </c>
      <c r="M373" s="2">
        <f t="shared" si="44"/>
        <v>43.09828460224599</v>
      </c>
      <c r="N373">
        <f t="shared" si="45"/>
        <v>369.49497677822876</v>
      </c>
      <c r="O373" t="s">
        <v>8</v>
      </c>
    </row>
    <row r="374" spans="1:15" x14ac:dyDescent="0.35">
      <c r="A374">
        <v>2001</v>
      </c>
      <c r="B374">
        <v>1</v>
      </c>
      <c r="C374">
        <v>7</v>
      </c>
      <c r="D374" s="1">
        <f t="shared" si="40"/>
        <v>36898</v>
      </c>
      <c r="E374">
        <v>0</v>
      </c>
      <c r="F374">
        <f t="shared" si="46"/>
        <v>0</v>
      </c>
      <c r="G374">
        <f t="shared" si="41"/>
        <v>0</v>
      </c>
      <c r="H374">
        <f t="shared" si="47"/>
        <v>0</v>
      </c>
      <c r="I374">
        <v>373</v>
      </c>
      <c r="J374">
        <f t="shared" si="42"/>
        <v>0.13292420315609124</v>
      </c>
      <c r="K374">
        <f t="shared" si="43"/>
        <v>0.9911262059976611</v>
      </c>
      <c r="L374">
        <f>VLOOKUP(D374,[1]SOI!$A$1:$C$142,3)</f>
        <v>7.7</v>
      </c>
      <c r="M374" s="2">
        <f t="shared" si="44"/>
        <v>49.58072777722203</v>
      </c>
      <c r="N374">
        <f t="shared" si="45"/>
        <v>369.69007483712761</v>
      </c>
      <c r="O374" t="s">
        <v>8</v>
      </c>
    </row>
    <row r="375" spans="1:15" x14ac:dyDescent="0.35">
      <c r="A375">
        <v>2001</v>
      </c>
      <c r="B375">
        <v>1</v>
      </c>
      <c r="C375">
        <v>8</v>
      </c>
      <c r="D375" s="1">
        <f t="shared" si="40"/>
        <v>36899</v>
      </c>
      <c r="E375">
        <v>0</v>
      </c>
      <c r="F375">
        <f t="shared" si="46"/>
        <v>0</v>
      </c>
      <c r="G375">
        <f t="shared" si="41"/>
        <v>0</v>
      </c>
      <c r="H375">
        <f t="shared" si="47"/>
        <v>0</v>
      </c>
      <c r="I375">
        <v>374</v>
      </c>
      <c r="J375">
        <f t="shared" si="42"/>
        <v>0.14995346813244534</v>
      </c>
      <c r="K375">
        <f t="shared" si="43"/>
        <v>0.98869305519713835</v>
      </c>
      <c r="L375">
        <f>VLOOKUP(D375,[1]SOI!$A$1:$C$142,3)</f>
        <v>7.7</v>
      </c>
      <c r="M375" s="2">
        <f t="shared" si="44"/>
        <v>56.082597081534558</v>
      </c>
      <c r="N375">
        <f t="shared" si="45"/>
        <v>369.77120264372974</v>
      </c>
      <c r="O375" t="s">
        <v>8</v>
      </c>
    </row>
    <row r="376" spans="1:15" x14ac:dyDescent="0.35">
      <c r="A376">
        <v>2001</v>
      </c>
      <c r="B376">
        <v>1</v>
      </c>
      <c r="C376">
        <v>9</v>
      </c>
      <c r="D376" s="1">
        <f t="shared" si="40"/>
        <v>36900</v>
      </c>
      <c r="E376">
        <v>0</v>
      </c>
      <c r="F376">
        <f t="shared" si="46"/>
        <v>0</v>
      </c>
      <c r="G376">
        <f t="shared" si="41"/>
        <v>0</v>
      </c>
      <c r="H376">
        <f t="shared" si="47"/>
        <v>0</v>
      </c>
      <c r="I376">
        <v>375</v>
      </c>
      <c r="J376">
        <f t="shared" si="42"/>
        <v>0.16693835946505886</v>
      </c>
      <c r="K376">
        <f t="shared" si="43"/>
        <v>0.98596733421504124</v>
      </c>
      <c r="L376">
        <f>VLOOKUP(D376,[1]SOI!$A$1:$C$142,3)</f>
        <v>7.7</v>
      </c>
      <c r="M376" s="2">
        <f t="shared" si="44"/>
        <v>62.60188479939707</v>
      </c>
      <c r="N376">
        <f t="shared" si="45"/>
        <v>369.73775033064044</v>
      </c>
      <c r="O376" t="s">
        <v>8</v>
      </c>
    </row>
    <row r="377" spans="1:15" x14ac:dyDescent="0.35">
      <c r="A377">
        <v>2001</v>
      </c>
      <c r="B377">
        <v>1</v>
      </c>
      <c r="C377">
        <v>10</v>
      </c>
      <c r="D377" s="1">
        <f t="shared" si="40"/>
        <v>36901</v>
      </c>
      <c r="E377">
        <v>0</v>
      </c>
      <c r="F377">
        <f t="shared" si="46"/>
        <v>0</v>
      </c>
      <c r="G377">
        <f t="shared" si="41"/>
        <v>0</v>
      </c>
      <c r="H377">
        <f t="shared" si="47"/>
        <v>0</v>
      </c>
      <c r="I377">
        <v>376</v>
      </c>
      <c r="J377">
        <f t="shared" si="42"/>
        <v>0.18387385105132759</v>
      </c>
      <c r="K377">
        <f t="shared" si="43"/>
        <v>0.98294984963606058</v>
      </c>
      <c r="L377">
        <f>VLOOKUP(D377,[1]SOI!$A$1:$C$142,3)</f>
        <v>7.7</v>
      </c>
      <c r="M377" s="2">
        <f t="shared" si="44"/>
        <v>69.136567995299174</v>
      </c>
      <c r="N377">
        <f t="shared" si="45"/>
        <v>369.58914346315879</v>
      </c>
      <c r="O377" t="s">
        <v>8</v>
      </c>
    </row>
    <row r="378" spans="1:15" x14ac:dyDescent="0.35">
      <c r="A378">
        <v>2001</v>
      </c>
      <c r="B378">
        <v>1</v>
      </c>
      <c r="C378">
        <v>11</v>
      </c>
      <c r="D378" s="1">
        <f t="shared" si="40"/>
        <v>36902</v>
      </c>
      <c r="E378">
        <v>0</v>
      </c>
      <c r="F378">
        <f t="shared" si="46"/>
        <v>0</v>
      </c>
      <c r="G378">
        <f t="shared" si="41"/>
        <v>0</v>
      </c>
      <c r="H378">
        <f t="shared" si="47"/>
        <v>0</v>
      </c>
      <c r="I378">
        <v>377</v>
      </c>
      <c r="J378">
        <f t="shared" si="42"/>
        <v>0.20075493140682357</v>
      </c>
      <c r="K378">
        <f t="shared" si="43"/>
        <v>0.97964149438243042</v>
      </c>
      <c r="L378">
        <f>VLOOKUP(D378,[1]SOI!$A$1:$C$142,3)</f>
        <v>7.7</v>
      </c>
      <c r="M378" s="2">
        <f t="shared" si="44"/>
        <v>75.684609140372487</v>
      </c>
      <c r="N378">
        <f t="shared" si="45"/>
        <v>369.32484338217625</v>
      </c>
      <c r="O378" t="s">
        <v>8</v>
      </c>
    </row>
    <row r="379" spans="1:15" x14ac:dyDescent="0.35">
      <c r="A379">
        <v>2001</v>
      </c>
      <c r="B379">
        <v>1</v>
      </c>
      <c r="C379">
        <v>12</v>
      </c>
      <c r="D379" s="1">
        <f t="shared" si="40"/>
        <v>36903</v>
      </c>
      <c r="E379">
        <v>0</v>
      </c>
      <c r="F379">
        <f t="shared" si="46"/>
        <v>0</v>
      </c>
      <c r="G379">
        <f t="shared" si="41"/>
        <v>0</v>
      </c>
      <c r="H379">
        <f t="shared" si="47"/>
        <v>0</v>
      </c>
      <c r="I379">
        <v>378</v>
      </c>
      <c r="J379">
        <f t="shared" si="42"/>
        <v>0.21757660514828173</v>
      </c>
      <c r="K379">
        <f t="shared" si="43"/>
        <v>0.97604324744969606</v>
      </c>
      <c r="L379">
        <f>VLOOKUP(D379,[1]SOI!$A$1:$C$142,3)</f>
        <v>7.7</v>
      </c>
      <c r="M379" s="2">
        <f t="shared" si="44"/>
        <v>82.243956746050486</v>
      </c>
      <c r="N379">
        <f t="shared" si="45"/>
        <v>368.94434753598512</v>
      </c>
      <c r="O379" t="s">
        <v>8</v>
      </c>
    </row>
    <row r="380" spans="1:15" x14ac:dyDescent="0.35">
      <c r="A380">
        <v>2001</v>
      </c>
      <c r="B380">
        <v>1</v>
      </c>
      <c r="C380">
        <v>13</v>
      </c>
      <c r="D380" s="1">
        <f t="shared" si="40"/>
        <v>36904</v>
      </c>
      <c r="E380">
        <v>0</v>
      </c>
      <c r="F380">
        <f t="shared" si="46"/>
        <v>0</v>
      </c>
      <c r="G380">
        <f t="shared" si="41"/>
        <v>0</v>
      </c>
      <c r="H380">
        <f t="shared" si="47"/>
        <v>0</v>
      </c>
      <c r="I380">
        <v>379</v>
      </c>
      <c r="J380">
        <f t="shared" si="42"/>
        <v>0.23433389447180381</v>
      </c>
      <c r="K380">
        <f t="shared" si="43"/>
        <v>0.9721561736170159</v>
      </c>
      <c r="L380">
        <f>VLOOKUP(D380,[1]SOI!$A$1:$C$142,3)</f>
        <v>7.7</v>
      </c>
      <c r="M380" s="2">
        <f t="shared" si="44"/>
        <v>88.81254600481364</v>
      </c>
      <c r="N380">
        <f t="shared" si="45"/>
        <v>368.447189800849</v>
      </c>
      <c r="O380" t="s">
        <v>8</v>
      </c>
    </row>
    <row r="381" spans="1:15" x14ac:dyDescent="0.35">
      <c r="A381">
        <v>2001</v>
      </c>
      <c r="B381">
        <v>1</v>
      </c>
      <c r="C381">
        <v>14</v>
      </c>
      <c r="D381" s="1">
        <f t="shared" si="40"/>
        <v>36905</v>
      </c>
      <c r="E381">
        <v>0</v>
      </c>
      <c r="F381">
        <f t="shared" si="46"/>
        <v>0</v>
      </c>
      <c r="G381">
        <f t="shared" si="41"/>
        <v>0</v>
      </c>
      <c r="H381">
        <f t="shared" si="47"/>
        <v>0</v>
      </c>
      <c r="I381">
        <v>380</v>
      </c>
      <c r="J381">
        <f t="shared" si="42"/>
        <v>0.25102184062588268</v>
      </c>
      <c r="K381">
        <f t="shared" si="43"/>
        <v>0.96798142313207336</v>
      </c>
      <c r="L381">
        <f>VLOOKUP(D381,[1]SOI!$A$1:$C$142,3)</f>
        <v>7.7</v>
      </c>
      <c r="M381" s="2">
        <f t="shared" si="44"/>
        <v>95.388299437835414</v>
      </c>
      <c r="N381">
        <f t="shared" si="45"/>
        <v>367.83294079018788</v>
      </c>
      <c r="O381" t="s">
        <v>8</v>
      </c>
    </row>
    <row r="382" spans="1:15" x14ac:dyDescent="0.35">
      <c r="A382">
        <v>2001</v>
      </c>
      <c r="B382">
        <v>1</v>
      </c>
      <c r="C382">
        <v>15</v>
      </c>
      <c r="D382" s="1">
        <f t="shared" si="40"/>
        <v>36906</v>
      </c>
      <c r="E382">
        <v>0</v>
      </c>
      <c r="F382">
        <f t="shared" si="46"/>
        <v>0</v>
      </c>
      <c r="G382">
        <f t="shared" si="41"/>
        <v>0</v>
      </c>
      <c r="H382">
        <f t="shared" si="47"/>
        <v>0</v>
      </c>
      <c r="I382">
        <v>381</v>
      </c>
      <c r="J382">
        <f t="shared" si="42"/>
        <v>0.26763550537876646</v>
      </c>
      <c r="K382">
        <f t="shared" si="43"/>
        <v>0.96352023137070264</v>
      </c>
      <c r="L382">
        <f>VLOOKUP(D382,[1]SOI!$A$1:$C$142,3)</f>
        <v>7.7</v>
      </c>
      <c r="M382" s="2">
        <f t="shared" si="44"/>
        <v>101.96912754931002</v>
      </c>
      <c r="N382">
        <f t="shared" si="45"/>
        <v>367.10120815223769</v>
      </c>
      <c r="O382" t="s">
        <v>8</v>
      </c>
    </row>
    <row r="383" spans="1:15" x14ac:dyDescent="0.35">
      <c r="A383">
        <v>2001</v>
      </c>
      <c r="B383">
        <v>1</v>
      </c>
      <c r="C383">
        <v>16</v>
      </c>
      <c r="D383" s="1">
        <f t="shared" si="40"/>
        <v>36907</v>
      </c>
      <c r="E383">
        <v>0</v>
      </c>
      <c r="F383">
        <f t="shared" si="46"/>
        <v>0</v>
      </c>
      <c r="G383">
        <f t="shared" si="41"/>
        <v>0</v>
      </c>
      <c r="H383">
        <f t="shared" si="47"/>
        <v>0</v>
      </c>
      <c r="I383">
        <v>382</v>
      </c>
      <c r="J383">
        <f t="shared" si="42"/>
        <v>0.28416997247976827</v>
      </c>
      <c r="K383">
        <f t="shared" si="43"/>
        <v>0.9587739184713191</v>
      </c>
      <c r="L383">
        <f>VLOOKUP(D383,[1]SOI!$A$1:$C$142,3)</f>
        <v>7.7</v>
      </c>
      <c r="M383" s="2">
        <f t="shared" si="44"/>
        <v>108.55292948727148</v>
      </c>
      <c r="N383">
        <f t="shared" si="45"/>
        <v>366.25163685604389</v>
      </c>
      <c r="O383" t="s">
        <v>8</v>
      </c>
    </row>
    <row r="384" spans="1:15" x14ac:dyDescent="0.35">
      <c r="A384">
        <v>2001</v>
      </c>
      <c r="B384">
        <v>1</v>
      </c>
      <c r="C384">
        <v>17</v>
      </c>
      <c r="D384" s="1">
        <f t="shared" si="40"/>
        <v>36908</v>
      </c>
      <c r="E384">
        <v>0</v>
      </c>
      <c r="F384">
        <f t="shared" si="46"/>
        <v>0</v>
      </c>
      <c r="G384">
        <f t="shared" si="41"/>
        <v>0</v>
      </c>
      <c r="H384">
        <f t="shared" si="47"/>
        <v>0</v>
      </c>
      <c r="I384">
        <v>383</v>
      </c>
      <c r="J384">
        <f t="shared" si="42"/>
        <v>0.30062034911405722</v>
      </c>
      <c r="K384">
        <f t="shared" si="43"/>
        <v>0.9537438889442712</v>
      </c>
      <c r="L384">
        <f>VLOOKUP(D384,[1]SOI!$A$1:$C$142,3)</f>
        <v>7.7</v>
      </c>
      <c r="M384" s="2">
        <f t="shared" si="44"/>
        <v>115.13759371068392</v>
      </c>
      <c r="N384">
        <f t="shared" si="45"/>
        <v>365.28390946565588</v>
      </c>
      <c r="O384" t="s">
        <v>8</v>
      </c>
    </row>
    <row r="385" spans="1:15" x14ac:dyDescent="0.35">
      <c r="A385">
        <v>2001</v>
      </c>
      <c r="B385">
        <v>1</v>
      </c>
      <c r="C385">
        <v>18</v>
      </c>
      <c r="D385" s="1">
        <f t="shared" si="40"/>
        <v>36909</v>
      </c>
      <c r="E385">
        <v>1.8</v>
      </c>
      <c r="F385">
        <f t="shared" si="46"/>
        <v>0</v>
      </c>
      <c r="G385">
        <f t="shared" si="41"/>
        <v>1</v>
      </c>
      <c r="H385">
        <f t="shared" si="47"/>
        <v>0</v>
      </c>
      <c r="I385">
        <v>384</v>
      </c>
      <c r="J385">
        <f t="shared" si="42"/>
        <v>0.31698176735052785</v>
      </c>
      <c r="K385">
        <f t="shared" si="43"/>
        <v>0.94843163125622076</v>
      </c>
      <c r="L385">
        <f>VLOOKUP(D385,[1]SOI!$A$1:$C$142,3)</f>
        <v>7.7</v>
      </c>
      <c r="M385" s="2">
        <f t="shared" si="44"/>
        <v>121.7209986626027</v>
      </c>
      <c r="N385">
        <f t="shared" si="45"/>
        <v>364.19774640238876</v>
      </c>
      <c r="O385" t="s">
        <v>8</v>
      </c>
    </row>
    <row r="386" spans="1:15" x14ac:dyDescent="0.35">
      <c r="A386">
        <v>2001</v>
      </c>
      <c r="B386">
        <v>1</v>
      </c>
      <c r="C386">
        <v>19</v>
      </c>
      <c r="D386" s="1">
        <f t="shared" si="40"/>
        <v>36910</v>
      </c>
      <c r="E386">
        <v>0</v>
      </c>
      <c r="F386">
        <f t="shared" si="46"/>
        <v>1.8</v>
      </c>
      <c r="G386">
        <f t="shared" si="41"/>
        <v>0</v>
      </c>
      <c r="H386">
        <f t="shared" si="47"/>
        <v>1</v>
      </c>
      <c r="I386">
        <v>385</v>
      </c>
      <c r="J386">
        <f t="shared" si="42"/>
        <v>0.333249385582294</v>
      </c>
      <c r="K386">
        <f t="shared" si="43"/>
        <v>0.9428387173896835</v>
      </c>
      <c r="L386">
        <f>VLOOKUP(D386,[1]SOI!$A$1:$C$142,3)</f>
        <v>7.7</v>
      </c>
      <c r="M386" s="2">
        <f t="shared" si="44"/>
        <v>128.30101344918319</v>
      </c>
      <c r="N386">
        <f t="shared" si="45"/>
        <v>362.99290619502813</v>
      </c>
      <c r="O386" t="s">
        <v>8</v>
      </c>
    </row>
    <row r="387" spans="1:15" x14ac:dyDescent="0.35">
      <c r="A387">
        <v>2001</v>
      </c>
      <c r="B387">
        <v>1</v>
      </c>
      <c r="C387">
        <v>20</v>
      </c>
      <c r="D387" s="1">
        <f t="shared" ref="D387:D450" si="48">DATE(A387,B387,C387)</f>
        <v>36911</v>
      </c>
      <c r="E387">
        <v>0</v>
      </c>
      <c r="F387">
        <f t="shared" si="46"/>
        <v>0</v>
      </c>
      <c r="G387">
        <f t="shared" ref="G387:G450" si="49">IF(E387=0,0,1)</f>
        <v>0</v>
      </c>
      <c r="H387">
        <f t="shared" si="47"/>
        <v>0</v>
      </c>
      <c r="I387">
        <v>386</v>
      </c>
      <c r="J387">
        <f t="shared" ref="J387:J450" si="50">SIN(2*PI()*I387/365.25)</f>
        <v>0.34941838995939767</v>
      </c>
      <c r="K387">
        <f t="shared" ref="K387:K450" si="51">COS(2*PI()*I387/365.25)</f>
        <v>0.93696680237785501</v>
      </c>
      <c r="L387">
        <f>VLOOKUP(D387,[1]SOI!$A$1:$C$142,3)</f>
        <v>7.7</v>
      </c>
      <c r="M387" s="2">
        <f t="shared" ref="M387:M450" si="52">I387*J387</f>
        <v>134.8754985243275</v>
      </c>
      <c r="N387">
        <f t="shared" ref="N387:N450" si="53">I387*K387</f>
        <v>361.66918571785203</v>
      </c>
      <c r="O387" t="s">
        <v>8</v>
      </c>
    </row>
    <row r="388" spans="1:15" x14ac:dyDescent="0.35">
      <c r="A388">
        <v>2001</v>
      </c>
      <c r="B388">
        <v>1</v>
      </c>
      <c r="C388">
        <v>21</v>
      </c>
      <c r="D388" s="1">
        <f t="shared" si="48"/>
        <v>36912</v>
      </c>
      <c r="E388">
        <v>0</v>
      </c>
      <c r="F388">
        <f t="shared" ref="F388:F451" si="54">E387</f>
        <v>0</v>
      </c>
      <c r="G388">
        <f t="shared" si="49"/>
        <v>0</v>
      </c>
      <c r="H388">
        <f t="shared" ref="H388:H451" si="55">G387</f>
        <v>0</v>
      </c>
      <c r="I388">
        <v>387</v>
      </c>
      <c r="J388">
        <f t="shared" si="50"/>
        <v>0.36548399581331181</v>
      </c>
      <c r="K388">
        <f t="shared" si="51"/>
        <v>0.93081762381485611</v>
      </c>
      <c r="L388">
        <f>VLOOKUP(D388,[1]SOI!$A$1:$C$142,3)</f>
        <v>7.7</v>
      </c>
      <c r="M388" s="2">
        <f t="shared" si="52"/>
        <v>141.44230637975167</v>
      </c>
      <c r="N388">
        <f t="shared" si="53"/>
        <v>360.2264204163493</v>
      </c>
      <c r="O388" t="s">
        <v>8</v>
      </c>
    </row>
    <row r="389" spans="1:15" x14ac:dyDescent="0.35">
      <c r="A389">
        <v>2001</v>
      </c>
      <c r="B389">
        <v>1</v>
      </c>
      <c r="C389">
        <v>22</v>
      </c>
      <c r="D389" s="1">
        <f t="shared" si="48"/>
        <v>36913</v>
      </c>
      <c r="E389">
        <v>0</v>
      </c>
      <c r="F389">
        <f t="shared" si="54"/>
        <v>0</v>
      </c>
      <c r="G389">
        <f t="shared" si="49"/>
        <v>0</v>
      </c>
      <c r="H389">
        <f t="shared" si="55"/>
        <v>0</v>
      </c>
      <c r="I389">
        <v>388</v>
      </c>
      <c r="J389">
        <f t="shared" si="50"/>
        <v>0.38144144907279193</v>
      </c>
      <c r="K389">
        <f t="shared" si="51"/>
        <v>0.92439300134155533</v>
      </c>
      <c r="L389">
        <f>VLOOKUP(D389,[1]SOI!$A$1:$C$142,3)</f>
        <v>7.7</v>
      </c>
      <c r="M389" s="2">
        <f t="shared" si="52"/>
        <v>147.99928224024328</v>
      </c>
      <c r="N389">
        <f t="shared" si="53"/>
        <v>358.66448452052344</v>
      </c>
      <c r="O389" t="s">
        <v>8</v>
      </c>
    </row>
    <row r="390" spans="1:15" x14ac:dyDescent="0.35">
      <c r="A390">
        <v>2001</v>
      </c>
      <c r="B390">
        <v>1</v>
      </c>
      <c r="C390">
        <v>23</v>
      </c>
      <c r="D390" s="1">
        <f t="shared" si="48"/>
        <v>36914</v>
      </c>
      <c r="E390">
        <v>0.2</v>
      </c>
      <c r="F390">
        <f t="shared" si="54"/>
        <v>0</v>
      </c>
      <c r="G390">
        <f t="shared" si="49"/>
        <v>1</v>
      </c>
      <c r="H390">
        <f t="shared" si="55"/>
        <v>0</v>
      </c>
      <c r="I390">
        <v>389</v>
      </c>
      <c r="J390">
        <f t="shared" si="50"/>
        <v>0.39728602767068938</v>
      </c>
      <c r="K390">
        <f t="shared" si="51"/>
        <v>0.9176948361071039</v>
      </c>
      <c r="L390">
        <f>VLOOKUP(D390,[1]SOI!$A$1:$C$142,3)</f>
        <v>7.7</v>
      </c>
      <c r="M390" s="2">
        <f t="shared" si="52"/>
        <v>154.54426476389816</v>
      </c>
      <c r="N390">
        <f t="shared" si="53"/>
        <v>356.98329124566339</v>
      </c>
      <c r="O390" t="s">
        <v>8</v>
      </c>
    </row>
    <row r="391" spans="1:15" x14ac:dyDescent="0.35">
      <c r="A391">
        <v>2001</v>
      </c>
      <c r="B391">
        <v>1</v>
      </c>
      <c r="C391">
        <v>24</v>
      </c>
      <c r="D391" s="1">
        <f t="shared" si="48"/>
        <v>36915</v>
      </c>
      <c r="E391">
        <v>0.2</v>
      </c>
      <c r="F391">
        <f t="shared" si="54"/>
        <v>0.2</v>
      </c>
      <c r="G391">
        <f t="shared" si="49"/>
        <v>1</v>
      </c>
      <c r="H391">
        <f t="shared" si="55"/>
        <v>1</v>
      </c>
      <c r="I391">
        <v>390</v>
      </c>
      <c r="J391">
        <f t="shared" si="50"/>
        <v>0.41301304294128072</v>
      </c>
      <c r="K391">
        <f t="shared" si="51"/>
        <v>0.91072511020635849</v>
      </c>
      <c r="L391">
        <f>VLOOKUP(D391,[1]SOI!$A$1:$C$142,3)</f>
        <v>7.7</v>
      </c>
      <c r="M391" s="2">
        <f t="shared" si="52"/>
        <v>161.07508674709948</v>
      </c>
      <c r="N391">
        <f t="shared" si="53"/>
        <v>355.1827929804798</v>
      </c>
      <c r="O391" t="s">
        <v>8</v>
      </c>
    </row>
    <row r="392" spans="1:15" x14ac:dyDescent="0.35">
      <c r="A392">
        <v>2001</v>
      </c>
      <c r="B392">
        <v>1</v>
      </c>
      <c r="C392">
        <v>25</v>
      </c>
      <c r="D392" s="1">
        <f t="shared" si="48"/>
        <v>36916</v>
      </c>
      <c r="E392">
        <v>7.8</v>
      </c>
      <c r="F392">
        <f t="shared" si="54"/>
        <v>0.2</v>
      </c>
      <c r="G392">
        <f t="shared" si="49"/>
        <v>1</v>
      </c>
      <c r="H392">
        <f t="shared" si="55"/>
        <v>1</v>
      </c>
      <c r="I392">
        <v>391</v>
      </c>
      <c r="J392">
        <f t="shared" si="50"/>
        <v>0.42861784100772643</v>
      </c>
      <c r="K392">
        <f t="shared" si="51"/>
        <v>0.90348588609334424</v>
      </c>
      <c r="L392">
        <f>VLOOKUP(D392,[1]SOI!$A$1:$C$142,3)</f>
        <v>7.7</v>
      </c>
      <c r="M392" s="2">
        <f t="shared" si="52"/>
        <v>167.58957583402105</v>
      </c>
      <c r="N392">
        <f t="shared" si="53"/>
        <v>353.26298146249758</v>
      </c>
      <c r="O392" t="s">
        <v>8</v>
      </c>
    </row>
    <row r="393" spans="1:15" x14ac:dyDescent="0.35">
      <c r="A393">
        <v>2001</v>
      </c>
      <c r="B393">
        <v>1</v>
      </c>
      <c r="C393">
        <v>26</v>
      </c>
      <c r="D393" s="1">
        <f t="shared" si="48"/>
        <v>36917</v>
      </c>
      <c r="E393">
        <v>0</v>
      </c>
      <c r="F393">
        <f t="shared" si="54"/>
        <v>7.8</v>
      </c>
      <c r="G393">
        <f t="shared" si="49"/>
        <v>0</v>
      </c>
      <c r="H393">
        <f t="shared" si="55"/>
        <v>1</v>
      </c>
      <c r="I393">
        <v>392</v>
      </c>
      <c r="J393">
        <f t="shared" si="50"/>
        <v>0.44409580415921762</v>
      </c>
      <c r="K393">
        <f t="shared" si="51"/>
        <v>0.89597930597094588</v>
      </c>
      <c r="L393">
        <f>VLOOKUP(D393,[1]SOI!$A$1:$C$142,3)</f>
        <v>7.7</v>
      </c>
      <c r="M393" s="2">
        <f t="shared" si="52"/>
        <v>174.08555523041332</v>
      </c>
      <c r="N393">
        <f t="shared" si="53"/>
        <v>351.22388794061078</v>
      </c>
      <c r="O393" t="s">
        <v>8</v>
      </c>
    </row>
    <row r="394" spans="1:15" x14ac:dyDescent="0.35">
      <c r="A394">
        <v>2001</v>
      </c>
      <c r="B394">
        <v>1</v>
      </c>
      <c r="C394">
        <v>27</v>
      </c>
      <c r="D394" s="1">
        <f t="shared" si="48"/>
        <v>36918</v>
      </c>
      <c r="E394">
        <v>0.8</v>
      </c>
      <c r="F394">
        <f t="shared" si="54"/>
        <v>0</v>
      </c>
      <c r="G394">
        <f t="shared" si="49"/>
        <v>1</v>
      </c>
      <c r="H394">
        <f t="shared" si="55"/>
        <v>0</v>
      </c>
      <c r="I394">
        <v>393</v>
      </c>
      <c r="J394">
        <f t="shared" si="50"/>
        <v>0.459442352217446</v>
      </c>
      <c r="K394">
        <f t="shared" si="51"/>
        <v>0.88820759115698866</v>
      </c>
      <c r="L394">
        <f>VLOOKUP(D394,[1]SOI!$A$1:$C$142,3)</f>
        <v>7.7</v>
      </c>
      <c r="M394" s="2">
        <f t="shared" si="52"/>
        <v>180.56084442145627</v>
      </c>
      <c r="N394">
        <f t="shared" si="53"/>
        <v>349.06558332469655</v>
      </c>
      <c r="O394" t="s">
        <v>8</v>
      </c>
    </row>
    <row r="395" spans="1:15" x14ac:dyDescent="0.35">
      <c r="A395">
        <v>2001</v>
      </c>
      <c r="B395">
        <v>1</v>
      </c>
      <c r="C395">
        <v>28</v>
      </c>
      <c r="D395" s="1">
        <f t="shared" si="48"/>
        <v>36919</v>
      </c>
      <c r="E395">
        <v>0</v>
      </c>
      <c r="F395">
        <f t="shared" si="54"/>
        <v>0.8</v>
      </c>
      <c r="G395">
        <f t="shared" si="49"/>
        <v>0</v>
      </c>
      <c r="H395">
        <f t="shared" si="55"/>
        <v>1</v>
      </c>
      <c r="I395">
        <v>394</v>
      </c>
      <c r="J395">
        <f t="shared" si="50"/>
        <v>0.47465294389193496</v>
      </c>
      <c r="K395">
        <f t="shared" si="51"/>
        <v>0.88017304142692288</v>
      </c>
      <c r="L395">
        <f>VLOOKUP(D395,[1]SOI!$A$1:$C$142,3)</f>
        <v>7.7</v>
      </c>
      <c r="M395" s="2">
        <f t="shared" si="52"/>
        <v>187.01325989342237</v>
      </c>
      <c r="N395">
        <f t="shared" si="53"/>
        <v>346.78817832220761</v>
      </c>
      <c r="O395" t="s">
        <v>8</v>
      </c>
    </row>
    <row r="396" spans="1:15" x14ac:dyDescent="0.35">
      <c r="A396">
        <v>2001</v>
      </c>
      <c r="B396">
        <v>1</v>
      </c>
      <c r="C396">
        <v>29</v>
      </c>
      <c r="D396" s="1">
        <f t="shared" si="48"/>
        <v>36920</v>
      </c>
      <c r="E396">
        <v>0</v>
      </c>
      <c r="F396">
        <f t="shared" si="54"/>
        <v>0</v>
      </c>
      <c r="G396">
        <f t="shared" si="49"/>
        <v>0</v>
      </c>
      <c r="H396">
        <f t="shared" si="55"/>
        <v>0</v>
      </c>
      <c r="I396">
        <v>395</v>
      </c>
      <c r="J396">
        <f t="shared" si="50"/>
        <v>0.48972307812389554</v>
      </c>
      <c r="K396">
        <f t="shared" si="51"/>
        <v>0.87187803433327582</v>
      </c>
      <c r="L396">
        <f>VLOOKUP(D396,[1]SOI!$A$1:$C$142,3)</f>
        <v>7.7</v>
      </c>
      <c r="M396" s="2">
        <f t="shared" si="52"/>
        <v>193.44061585893874</v>
      </c>
      <c r="N396">
        <f t="shared" si="53"/>
        <v>344.39182356164395</v>
      </c>
      <c r="O396" t="s">
        <v>8</v>
      </c>
    </row>
    <row r="397" spans="1:15" x14ac:dyDescent="0.35">
      <c r="A397">
        <v>2001</v>
      </c>
      <c r="B397">
        <v>1</v>
      </c>
      <c r="C397">
        <v>30</v>
      </c>
      <c r="D397" s="1">
        <f t="shared" si="48"/>
        <v>36921</v>
      </c>
      <c r="E397">
        <v>0</v>
      </c>
      <c r="F397">
        <f t="shared" si="54"/>
        <v>0</v>
      </c>
      <c r="G397">
        <f t="shared" si="49"/>
        <v>0</v>
      </c>
      <c r="H397">
        <f t="shared" si="55"/>
        <v>0</v>
      </c>
      <c r="I397">
        <v>396</v>
      </c>
      <c r="J397">
        <f t="shared" si="50"/>
        <v>0.50464829541815259</v>
      </c>
      <c r="K397">
        <f t="shared" si="51"/>
        <v>0.8633250245021008</v>
      </c>
      <c r="L397">
        <f>VLOOKUP(D397,[1]SOI!$A$1:$C$142,3)</f>
        <v>7.7</v>
      </c>
      <c r="M397" s="2">
        <f t="shared" si="52"/>
        <v>199.84072498558842</v>
      </c>
      <c r="N397">
        <f t="shared" si="53"/>
        <v>341.87670970283193</v>
      </c>
      <c r="O397" t="s">
        <v>8</v>
      </c>
    </row>
    <row r="398" spans="1:15" x14ac:dyDescent="0.35">
      <c r="A398">
        <v>2001</v>
      </c>
      <c r="B398">
        <v>1</v>
      </c>
      <c r="C398">
        <v>31</v>
      </c>
      <c r="D398" s="1">
        <f t="shared" si="48"/>
        <v>36922</v>
      </c>
      <c r="E398">
        <v>0</v>
      </c>
      <c r="F398">
        <f t="shared" si="54"/>
        <v>0</v>
      </c>
      <c r="G398">
        <f t="shared" si="49"/>
        <v>0</v>
      </c>
      <c r="H398">
        <f t="shared" si="55"/>
        <v>0</v>
      </c>
      <c r="I398">
        <v>397</v>
      </c>
      <c r="J398">
        <f t="shared" si="50"/>
        <v>0.51942417916278427</v>
      </c>
      <c r="K398">
        <f t="shared" si="51"/>
        <v>0.85451654290661205</v>
      </c>
      <c r="L398">
        <f>VLOOKUP(D398,[1]SOI!$A$1:$C$142,3)</f>
        <v>7.7</v>
      </c>
      <c r="M398" s="2">
        <f t="shared" si="52"/>
        <v>206.21139912762536</v>
      </c>
      <c r="N398">
        <f t="shared" si="53"/>
        <v>339.243067533925</v>
      </c>
      <c r="O398" t="s">
        <v>8</v>
      </c>
    </row>
    <row r="399" spans="1:15" x14ac:dyDescent="0.35">
      <c r="A399">
        <v>2001</v>
      </c>
      <c r="B399">
        <v>2</v>
      </c>
      <c r="C399">
        <v>1</v>
      </c>
      <c r="D399" s="1">
        <f t="shared" si="48"/>
        <v>36923</v>
      </c>
      <c r="E399">
        <v>0</v>
      </c>
      <c r="F399">
        <f t="shared" si="54"/>
        <v>0</v>
      </c>
      <c r="G399">
        <f t="shared" si="49"/>
        <v>0</v>
      </c>
      <c r="H399">
        <f t="shared" si="55"/>
        <v>0</v>
      </c>
      <c r="I399">
        <v>398</v>
      </c>
      <c r="J399">
        <f t="shared" si="50"/>
        <v>0.53404635693607172</v>
      </c>
      <c r="K399">
        <f t="shared" si="51"/>
        <v>0.84545519611822717</v>
      </c>
      <c r="L399">
        <f>VLOOKUP(D399,[1]SOI!$A$1:$C$142,3)</f>
        <v>8.9</v>
      </c>
      <c r="M399" s="2">
        <f t="shared" si="52"/>
        <v>212.55045006055656</v>
      </c>
      <c r="N399">
        <f t="shared" si="53"/>
        <v>336.4911680550544</v>
      </c>
      <c r="O399" t="s">
        <v>8</v>
      </c>
    </row>
    <row r="400" spans="1:15" x14ac:dyDescent="0.35">
      <c r="A400">
        <v>2001</v>
      </c>
      <c r="B400">
        <v>2</v>
      </c>
      <c r="C400">
        <v>2</v>
      </c>
      <c r="D400" s="1">
        <f t="shared" si="48"/>
        <v>36924</v>
      </c>
      <c r="E400">
        <v>0</v>
      </c>
      <c r="F400">
        <f t="shared" si="54"/>
        <v>0</v>
      </c>
      <c r="G400">
        <f t="shared" si="49"/>
        <v>0</v>
      </c>
      <c r="H400">
        <f t="shared" si="55"/>
        <v>0</v>
      </c>
      <c r="I400">
        <v>399</v>
      </c>
      <c r="J400">
        <f t="shared" si="50"/>
        <v>0.54851050180036054</v>
      </c>
      <c r="K400">
        <f t="shared" si="51"/>
        <v>0.83614366553524555</v>
      </c>
      <c r="L400">
        <f>VLOOKUP(D400,[1]SOI!$A$1:$C$142,3)</f>
        <v>8.9</v>
      </c>
      <c r="M400" s="2">
        <f t="shared" si="52"/>
        <v>218.85569021834385</v>
      </c>
      <c r="N400">
        <f t="shared" si="53"/>
        <v>333.621322548563</v>
      </c>
      <c r="O400" t="s">
        <v>8</v>
      </c>
    </row>
    <row r="401" spans="1:15" x14ac:dyDescent="0.35">
      <c r="A401">
        <v>2001</v>
      </c>
      <c r="B401">
        <v>2</v>
      </c>
      <c r="C401">
        <v>3</v>
      </c>
      <c r="D401" s="1">
        <f t="shared" si="48"/>
        <v>36925</v>
      </c>
      <c r="E401">
        <v>0</v>
      </c>
      <c r="F401">
        <f t="shared" si="54"/>
        <v>0</v>
      </c>
      <c r="G401">
        <f t="shared" si="49"/>
        <v>0</v>
      </c>
      <c r="H401">
        <f t="shared" si="55"/>
        <v>0</v>
      </c>
      <c r="I401">
        <v>400</v>
      </c>
      <c r="J401">
        <f t="shared" si="50"/>
        <v>0.56281233358248206</v>
      </c>
      <c r="K401">
        <f t="shared" si="51"/>
        <v>0.82658470658937366</v>
      </c>
      <c r="L401">
        <f>VLOOKUP(D401,[1]SOI!$A$1:$C$142,3)</f>
        <v>8.9</v>
      </c>
      <c r="M401" s="2">
        <f t="shared" si="52"/>
        <v>225.12493343299283</v>
      </c>
      <c r="N401">
        <f t="shared" si="53"/>
        <v>330.63388263574944</v>
      </c>
      <c r="O401" t="s">
        <v>8</v>
      </c>
    </row>
    <row r="402" spans="1:15" x14ac:dyDescent="0.35">
      <c r="A402">
        <v>2001</v>
      </c>
      <c r="B402">
        <v>2</v>
      </c>
      <c r="C402">
        <v>4</v>
      </c>
      <c r="D402" s="1">
        <f t="shared" si="48"/>
        <v>36926</v>
      </c>
      <c r="E402">
        <v>0</v>
      </c>
      <c r="F402">
        <f t="shared" si="54"/>
        <v>0</v>
      </c>
      <c r="G402">
        <f t="shared" si="49"/>
        <v>0</v>
      </c>
      <c r="H402">
        <f t="shared" si="55"/>
        <v>0</v>
      </c>
      <c r="I402">
        <v>401</v>
      </c>
      <c r="J402">
        <f t="shared" si="50"/>
        <v>0.57694762014031598</v>
      </c>
      <c r="K402">
        <f t="shared" si="51"/>
        <v>0.81678114793035328</v>
      </c>
      <c r="L402">
        <f>VLOOKUP(D402,[1]SOI!$A$1:$C$142,3)</f>
        <v>8.9</v>
      </c>
      <c r="M402" s="2">
        <f t="shared" si="52"/>
        <v>231.3559956762667</v>
      </c>
      <c r="N402">
        <f t="shared" si="53"/>
        <v>327.52924032007166</v>
      </c>
      <c r="O402" t="s">
        <v>8</v>
      </c>
    </row>
    <row r="403" spans="1:15" x14ac:dyDescent="0.35">
      <c r="A403">
        <v>2001</v>
      </c>
      <c r="B403">
        <v>2</v>
      </c>
      <c r="C403">
        <v>5</v>
      </c>
      <c r="D403" s="1">
        <f t="shared" si="48"/>
        <v>36927</v>
      </c>
      <c r="E403">
        <v>1.8</v>
      </c>
      <c r="F403">
        <f t="shared" si="54"/>
        <v>0</v>
      </c>
      <c r="G403">
        <f t="shared" si="49"/>
        <v>1</v>
      </c>
      <c r="H403">
        <f t="shared" si="55"/>
        <v>0</v>
      </c>
      <c r="I403">
        <v>402</v>
      </c>
      <c r="J403">
        <f t="shared" si="50"/>
        <v>0.59091217861515644</v>
      </c>
      <c r="K403">
        <f t="shared" si="51"/>
        <v>0.80673589058891471</v>
      </c>
      <c r="L403">
        <f>VLOOKUP(D403,[1]SOI!$A$1:$C$142,3)</f>
        <v>8.9</v>
      </c>
      <c r="M403" s="2">
        <f t="shared" si="52"/>
        <v>237.54669580329289</v>
      </c>
      <c r="N403">
        <f t="shared" si="53"/>
        <v>324.30782801674371</v>
      </c>
      <c r="O403" t="s">
        <v>8</v>
      </c>
    </row>
    <row r="404" spans="1:15" x14ac:dyDescent="0.35">
      <c r="A404">
        <v>2001</v>
      </c>
      <c r="B404">
        <v>2</v>
      </c>
      <c r="C404">
        <v>6</v>
      </c>
      <c r="D404" s="1">
        <f t="shared" si="48"/>
        <v>36928</v>
      </c>
      <c r="E404">
        <v>0</v>
      </c>
      <c r="F404">
        <f t="shared" si="54"/>
        <v>1.8</v>
      </c>
      <c r="G404">
        <f t="shared" si="49"/>
        <v>0</v>
      </c>
      <c r="H404">
        <f t="shared" si="55"/>
        <v>1</v>
      </c>
      <c r="I404">
        <v>403</v>
      </c>
      <c r="J404">
        <f t="shared" si="50"/>
        <v>0.60470187666948128</v>
      </c>
      <c r="K404">
        <f t="shared" si="51"/>
        <v>0.79645190711831904</v>
      </c>
      <c r="L404">
        <f>VLOOKUP(D404,[1]SOI!$A$1:$C$142,3)</f>
        <v>8.9</v>
      </c>
      <c r="M404" s="2">
        <f t="shared" si="52"/>
        <v>243.69485629780095</v>
      </c>
      <c r="N404">
        <f t="shared" si="53"/>
        <v>320.97011856868255</v>
      </c>
      <c r="O404" t="s">
        <v>8</v>
      </c>
    </row>
    <row r="405" spans="1:15" x14ac:dyDescent="0.35">
      <c r="A405">
        <v>2001</v>
      </c>
      <c r="B405">
        <v>2</v>
      </c>
      <c r="C405">
        <v>7</v>
      </c>
      <c r="D405" s="1">
        <f t="shared" si="48"/>
        <v>36929</v>
      </c>
      <c r="E405">
        <v>0</v>
      </c>
      <c r="F405">
        <f t="shared" si="54"/>
        <v>0</v>
      </c>
      <c r="G405">
        <f t="shared" si="49"/>
        <v>0</v>
      </c>
      <c r="H405">
        <f t="shared" si="55"/>
        <v>0</v>
      </c>
      <c r="I405">
        <v>404</v>
      </c>
      <c r="J405">
        <f t="shared" si="50"/>
        <v>0.61831263370978251</v>
      </c>
      <c r="K405">
        <f t="shared" si="51"/>
        <v>0.78593224071472745</v>
      </c>
      <c r="L405">
        <f>VLOOKUP(D405,[1]SOI!$A$1:$C$142,3)</f>
        <v>8.9</v>
      </c>
      <c r="M405" s="2">
        <f t="shared" si="52"/>
        <v>249.79830401875213</v>
      </c>
      <c r="N405">
        <f t="shared" si="53"/>
        <v>317.5166252487499</v>
      </c>
      <c r="O405" t="s">
        <v>8</v>
      </c>
    </row>
    <row r="406" spans="1:15" x14ac:dyDescent="0.35">
      <c r="A406">
        <v>2001</v>
      </c>
      <c r="B406">
        <v>2</v>
      </c>
      <c r="C406">
        <v>8</v>
      </c>
      <c r="D406" s="1">
        <f t="shared" si="48"/>
        <v>36930</v>
      </c>
      <c r="E406">
        <v>0</v>
      </c>
      <c r="F406">
        <f t="shared" si="54"/>
        <v>0</v>
      </c>
      <c r="G406">
        <f t="shared" si="49"/>
        <v>0</v>
      </c>
      <c r="H406">
        <f t="shared" si="55"/>
        <v>0</v>
      </c>
      <c r="I406">
        <v>405</v>
      </c>
      <c r="J406">
        <f t="shared" si="50"/>
        <v>0.63174042209407466</v>
      </c>
      <c r="K406">
        <f t="shared" si="51"/>
        <v>0.775180004316675</v>
      </c>
      <c r="L406">
        <f>VLOOKUP(D406,[1]SOI!$A$1:$C$142,3)</f>
        <v>8.9</v>
      </c>
      <c r="M406" s="2">
        <f t="shared" si="52"/>
        <v>255.85487094810023</v>
      </c>
      <c r="N406">
        <f t="shared" si="53"/>
        <v>313.9479017482534</v>
      </c>
      <c r="O406" t="s">
        <v>8</v>
      </c>
    </row>
    <row r="407" spans="1:15" x14ac:dyDescent="0.35">
      <c r="A407">
        <v>2001</v>
      </c>
      <c r="B407">
        <v>2</v>
      </c>
      <c r="C407">
        <v>9</v>
      </c>
      <c r="D407" s="1">
        <f t="shared" si="48"/>
        <v>36931</v>
      </c>
      <c r="E407">
        <v>0</v>
      </c>
      <c r="F407">
        <f t="shared" si="54"/>
        <v>0</v>
      </c>
      <c r="G407">
        <f t="shared" si="49"/>
        <v>0</v>
      </c>
      <c r="H407">
        <f t="shared" si="55"/>
        <v>0</v>
      </c>
      <c r="I407">
        <v>406</v>
      </c>
      <c r="J407">
        <f t="shared" si="50"/>
        <v>0.64498126832374447</v>
      </c>
      <c r="K407">
        <f t="shared" si="51"/>
        <v>0.76419837968389714</v>
      </c>
      <c r="L407">
        <f>VLOOKUP(D407,[1]SOI!$A$1:$C$142,3)</f>
        <v>8.9</v>
      </c>
      <c r="M407" s="2">
        <f t="shared" si="52"/>
        <v>261.86239493944026</v>
      </c>
      <c r="N407">
        <f t="shared" si="53"/>
        <v>310.26454215166223</v>
      </c>
      <c r="O407" t="s">
        <v>8</v>
      </c>
    </row>
    <row r="408" spans="1:15" x14ac:dyDescent="0.35">
      <c r="A408">
        <v>2001</v>
      </c>
      <c r="B408">
        <v>2</v>
      </c>
      <c r="C408">
        <v>10</v>
      </c>
      <c r="D408" s="1">
        <f t="shared" si="48"/>
        <v>36932</v>
      </c>
      <c r="E408">
        <v>0.6</v>
      </c>
      <c r="F408">
        <f t="shared" si="54"/>
        <v>0</v>
      </c>
      <c r="G408">
        <f t="shared" si="49"/>
        <v>1</v>
      </c>
      <c r="H408">
        <f t="shared" si="55"/>
        <v>0</v>
      </c>
      <c r="I408">
        <v>407</v>
      </c>
      <c r="J408">
        <f t="shared" si="50"/>
        <v>0.65803125421936581</v>
      </c>
      <c r="K408">
        <f t="shared" si="51"/>
        <v>0.75299061645580168</v>
      </c>
      <c r="L408">
        <f>VLOOKUP(D408,[1]SOI!$A$1:$C$142,3)</f>
        <v>8.9</v>
      </c>
      <c r="M408" s="2">
        <f t="shared" si="52"/>
        <v>267.81872046728188</v>
      </c>
      <c r="N408">
        <f t="shared" si="53"/>
        <v>306.4671808975113</v>
      </c>
      <c r="O408" t="s">
        <v>8</v>
      </c>
    </row>
    <row r="409" spans="1:15" x14ac:dyDescent="0.35">
      <c r="A409">
        <v>2001</v>
      </c>
      <c r="B409">
        <v>2</v>
      </c>
      <c r="C409">
        <v>11</v>
      </c>
      <c r="D409" s="1">
        <f t="shared" si="48"/>
        <v>36933</v>
      </c>
      <c r="E409">
        <v>0</v>
      </c>
      <c r="F409">
        <f t="shared" si="54"/>
        <v>0.6</v>
      </c>
      <c r="G409">
        <f t="shared" si="49"/>
        <v>0</v>
      </c>
      <c r="H409">
        <f t="shared" si="55"/>
        <v>1</v>
      </c>
      <c r="I409">
        <v>408</v>
      </c>
      <c r="J409">
        <f t="shared" si="50"/>
        <v>0.6708865180801582</v>
      </c>
      <c r="K409">
        <f t="shared" si="51"/>
        <v>0.74156003118984348</v>
      </c>
      <c r="L409">
        <f>VLOOKUP(D409,[1]SOI!$A$1:$C$142,3)</f>
        <v>8.9</v>
      </c>
      <c r="M409" s="2">
        <f t="shared" si="52"/>
        <v>273.72169937670452</v>
      </c>
      <c r="N409">
        <f t="shared" si="53"/>
        <v>302.55649272545617</v>
      </c>
      <c r="O409" t="s">
        <v>8</v>
      </c>
    </row>
    <row r="410" spans="1:15" x14ac:dyDescent="0.35">
      <c r="A410">
        <v>2001</v>
      </c>
      <c r="B410">
        <v>2</v>
      </c>
      <c r="C410">
        <v>12</v>
      </c>
      <c r="D410" s="1">
        <f t="shared" si="48"/>
        <v>36934</v>
      </c>
      <c r="E410">
        <v>0</v>
      </c>
      <c r="F410">
        <f t="shared" si="54"/>
        <v>0</v>
      </c>
      <c r="G410">
        <f t="shared" si="49"/>
        <v>0</v>
      </c>
      <c r="H410">
        <f t="shared" si="55"/>
        <v>0</v>
      </c>
      <c r="I410">
        <v>409</v>
      </c>
      <c r="J410">
        <f t="shared" si="50"/>
        <v>0.68354325582672504</v>
      </c>
      <c r="K410">
        <f t="shared" si="51"/>
        <v>0.72991000638010184</v>
      </c>
      <c r="L410">
        <f>VLOOKUP(D410,[1]SOI!$A$1:$C$142,3)</f>
        <v>8.9</v>
      </c>
      <c r="M410" s="2">
        <f t="shared" si="52"/>
        <v>279.56919163313052</v>
      </c>
      <c r="N410">
        <f t="shared" si="53"/>
        <v>298.53319260946165</v>
      </c>
      <c r="O410" t="s">
        <v>8</v>
      </c>
    </row>
    <row r="411" spans="1:15" x14ac:dyDescent="0.35">
      <c r="A411">
        <v>2001</v>
      </c>
      <c r="B411">
        <v>2</v>
      </c>
      <c r="C411">
        <v>13</v>
      </c>
      <c r="D411" s="1">
        <f t="shared" si="48"/>
        <v>36935</v>
      </c>
      <c r="E411">
        <v>5.4</v>
      </c>
      <c r="F411">
        <f t="shared" si="54"/>
        <v>0</v>
      </c>
      <c r="G411">
        <f t="shared" si="49"/>
        <v>1</v>
      </c>
      <c r="H411">
        <f t="shared" si="55"/>
        <v>0</v>
      </c>
      <c r="I411">
        <v>410</v>
      </c>
      <c r="J411">
        <f t="shared" si="50"/>
        <v>0.6959977221267386</v>
      </c>
      <c r="K411">
        <f t="shared" si="51"/>
        <v>0.71804398945635017</v>
      </c>
      <c r="L411">
        <f>VLOOKUP(D411,[1]SOI!$A$1:$C$142,3)</f>
        <v>8.9</v>
      </c>
      <c r="M411" s="2">
        <f t="shared" si="52"/>
        <v>285.35906607196284</v>
      </c>
      <c r="N411">
        <f t="shared" si="53"/>
        <v>294.39803567710356</v>
      </c>
      <c r="O411" t="s">
        <v>8</v>
      </c>
    </row>
    <row r="412" spans="1:15" x14ac:dyDescent="0.35">
      <c r="A412">
        <v>2001</v>
      </c>
      <c r="B412">
        <v>2</v>
      </c>
      <c r="C412">
        <v>14</v>
      </c>
      <c r="D412" s="1">
        <f t="shared" si="48"/>
        <v>36936</v>
      </c>
      <c r="E412">
        <v>0</v>
      </c>
      <c r="F412">
        <f t="shared" si="54"/>
        <v>5.4</v>
      </c>
      <c r="G412">
        <f t="shared" si="49"/>
        <v>0</v>
      </c>
      <c r="H412">
        <f t="shared" si="55"/>
        <v>1</v>
      </c>
      <c r="I412">
        <v>411</v>
      </c>
      <c r="J412">
        <f t="shared" si="50"/>
        <v>0.70824623150324884</v>
      </c>
      <c r="K412">
        <f t="shared" si="51"/>
        <v>0.70596549176390089</v>
      </c>
      <c r="L412">
        <f>VLOOKUP(D412,[1]SOI!$A$1:$C$142,3)</f>
        <v>8.9</v>
      </c>
      <c r="M412" s="2">
        <f t="shared" si="52"/>
        <v>291.0892011478353</v>
      </c>
      <c r="N412">
        <f t="shared" si="53"/>
        <v>290.15181711496325</v>
      </c>
      <c r="O412" t="s">
        <v>8</v>
      </c>
    </row>
    <row r="413" spans="1:15" x14ac:dyDescent="0.35">
      <c r="A413">
        <v>2001</v>
      </c>
      <c r="B413">
        <v>2</v>
      </c>
      <c r="C413">
        <v>15</v>
      </c>
      <c r="D413" s="1">
        <f t="shared" si="48"/>
        <v>36937</v>
      </c>
      <c r="E413">
        <v>3</v>
      </c>
      <c r="F413">
        <f t="shared" si="54"/>
        <v>0</v>
      </c>
      <c r="G413">
        <f t="shared" si="49"/>
        <v>1</v>
      </c>
      <c r="H413">
        <f t="shared" si="55"/>
        <v>0</v>
      </c>
      <c r="I413">
        <v>412</v>
      </c>
      <c r="J413">
        <f t="shared" si="50"/>
        <v>0.7202851594252706</v>
      </c>
      <c r="K413">
        <f t="shared" si="51"/>
        <v>0.69367808752454663</v>
      </c>
      <c r="L413">
        <f>VLOOKUP(D413,[1]SOI!$A$1:$C$142,3)</f>
        <v>8.9</v>
      </c>
      <c r="M413" s="2">
        <f t="shared" si="52"/>
        <v>296.75748568321148</v>
      </c>
      <c r="N413">
        <f t="shared" si="53"/>
        <v>285.79537206011321</v>
      </c>
      <c r="O413" t="s">
        <v>8</v>
      </c>
    </row>
    <row r="414" spans="1:15" x14ac:dyDescent="0.35">
      <c r="A414">
        <v>2001</v>
      </c>
      <c r="B414">
        <v>2</v>
      </c>
      <c r="C414">
        <v>16</v>
      </c>
      <c r="D414" s="1">
        <f t="shared" si="48"/>
        <v>36938</v>
      </c>
      <c r="E414">
        <v>0.8</v>
      </c>
      <c r="F414">
        <f t="shared" si="54"/>
        <v>3</v>
      </c>
      <c r="G414">
        <f t="shared" si="49"/>
        <v>1</v>
      </c>
      <c r="H414">
        <f t="shared" si="55"/>
        <v>1</v>
      </c>
      <c r="I414">
        <v>413</v>
      </c>
      <c r="J414">
        <f t="shared" si="50"/>
        <v>0.73211094338034566</v>
      </c>
      <c r="K414">
        <f t="shared" si="51"/>
        <v>0.68118541277888534</v>
      </c>
      <c r="L414">
        <f>VLOOKUP(D414,[1]SOI!$A$1:$C$142,3)</f>
        <v>8.9</v>
      </c>
      <c r="M414" s="2">
        <f t="shared" si="52"/>
        <v>302.36181961608276</v>
      </c>
      <c r="N414">
        <f t="shared" si="53"/>
        <v>281.32957547767967</v>
      </c>
      <c r="O414" t="s">
        <v>8</v>
      </c>
    </row>
    <row r="415" spans="1:15" x14ac:dyDescent="0.35">
      <c r="A415">
        <v>2001</v>
      </c>
      <c r="B415">
        <v>2</v>
      </c>
      <c r="C415">
        <v>17</v>
      </c>
      <c r="D415" s="1">
        <f t="shared" si="48"/>
        <v>36939</v>
      </c>
      <c r="E415">
        <v>0</v>
      </c>
      <c r="F415">
        <f t="shared" si="54"/>
        <v>0.8</v>
      </c>
      <c r="G415">
        <f t="shared" si="49"/>
        <v>0</v>
      </c>
      <c r="H415">
        <f t="shared" si="55"/>
        <v>1</v>
      </c>
      <c r="I415">
        <v>414</v>
      </c>
      <c r="J415">
        <f t="shared" si="50"/>
        <v>0.74372008392874078</v>
      </c>
      <c r="K415">
        <f t="shared" si="51"/>
        <v>0.66849116431036448</v>
      </c>
      <c r="L415">
        <f>VLOOKUP(D415,[1]SOI!$A$1:$C$142,3)</f>
        <v>8.9</v>
      </c>
      <c r="M415" s="2">
        <f t="shared" si="52"/>
        <v>307.90011474649867</v>
      </c>
      <c r="N415">
        <f t="shared" si="53"/>
        <v>276.75534202449091</v>
      </c>
      <c r="O415" t="s">
        <v>8</v>
      </c>
    </row>
    <row r="416" spans="1:15" x14ac:dyDescent="0.35">
      <c r="A416">
        <v>2001</v>
      </c>
      <c r="B416">
        <v>2</v>
      </c>
      <c r="C416">
        <v>18</v>
      </c>
      <c r="D416" s="1">
        <f t="shared" si="48"/>
        <v>36940</v>
      </c>
      <c r="E416">
        <v>0</v>
      </c>
      <c r="F416">
        <f t="shared" si="54"/>
        <v>0</v>
      </c>
      <c r="G416">
        <f t="shared" si="49"/>
        <v>0</v>
      </c>
      <c r="H416">
        <f t="shared" si="55"/>
        <v>0</v>
      </c>
      <c r="I416">
        <v>415</v>
      </c>
      <c r="J416">
        <f t="shared" si="50"/>
        <v>0.75510914573899646</v>
      </c>
      <c r="K416">
        <f t="shared" si="51"/>
        <v>0.65559909855133502</v>
      </c>
      <c r="L416">
        <f>VLOOKUP(D416,[1]SOI!$A$1:$C$142,3)</f>
        <v>8.9</v>
      </c>
      <c r="M416" s="2">
        <f t="shared" si="52"/>
        <v>313.37029548168351</v>
      </c>
      <c r="N416">
        <f t="shared" si="53"/>
        <v>272.07362589880404</v>
      </c>
      <c r="O416" t="s">
        <v>8</v>
      </c>
    </row>
    <row r="417" spans="1:15" x14ac:dyDescent="0.35">
      <c r="A417">
        <v>2001</v>
      </c>
      <c r="B417">
        <v>2</v>
      </c>
      <c r="C417">
        <v>19</v>
      </c>
      <c r="D417" s="1">
        <f t="shared" si="48"/>
        <v>36941</v>
      </c>
      <c r="E417">
        <v>0</v>
      </c>
      <c r="F417">
        <f t="shared" si="54"/>
        <v>0</v>
      </c>
      <c r="G417">
        <f t="shared" si="49"/>
        <v>0</v>
      </c>
      <c r="H417">
        <f t="shared" si="55"/>
        <v>0</v>
      </c>
      <c r="I417">
        <v>416</v>
      </c>
      <c r="J417">
        <f t="shared" si="50"/>
        <v>0.7662747586044899</v>
      </c>
      <c r="K417">
        <f t="shared" si="51"/>
        <v>0.6425130304714689</v>
      </c>
      <c r="L417">
        <f>VLOOKUP(D417,[1]SOI!$A$1:$C$142,3)</f>
        <v>8.9</v>
      </c>
      <c r="M417" s="2">
        <f t="shared" si="52"/>
        <v>318.7702995794678</v>
      </c>
      <c r="N417">
        <f t="shared" si="53"/>
        <v>267.28542067613108</v>
      </c>
      <c r="O417" t="s">
        <v>8</v>
      </c>
    </row>
    <row r="418" spans="1:15" x14ac:dyDescent="0.35">
      <c r="A418">
        <v>2001</v>
      </c>
      <c r="B418">
        <v>2</v>
      </c>
      <c r="C418">
        <v>20</v>
      </c>
      <c r="D418" s="1">
        <f t="shared" si="48"/>
        <v>36942</v>
      </c>
      <c r="E418">
        <v>0</v>
      </c>
      <c r="F418">
        <f t="shared" si="54"/>
        <v>0</v>
      </c>
      <c r="G418">
        <f t="shared" si="49"/>
        <v>0</v>
      </c>
      <c r="H418">
        <f t="shared" si="55"/>
        <v>0</v>
      </c>
      <c r="I418">
        <v>417</v>
      </c>
      <c r="J418">
        <f t="shared" si="50"/>
        <v>0.77721361844073633</v>
      </c>
      <c r="K418">
        <f t="shared" si="51"/>
        <v>0.62923683244884632</v>
      </c>
      <c r="L418">
        <f>VLOOKUP(D418,[1]SOI!$A$1:$C$142,3)</f>
        <v>8.9</v>
      </c>
      <c r="M418" s="2">
        <f t="shared" si="52"/>
        <v>324.09807888978708</v>
      </c>
      <c r="N418">
        <f t="shared" si="53"/>
        <v>262.3917591311689</v>
      </c>
      <c r="O418" t="s">
        <v>8</v>
      </c>
    </row>
    <row r="419" spans="1:15" x14ac:dyDescent="0.35">
      <c r="A419">
        <v>2001</v>
      </c>
      <c r="B419">
        <v>2</v>
      </c>
      <c r="C419">
        <v>21</v>
      </c>
      <c r="D419" s="1">
        <f t="shared" si="48"/>
        <v>36943</v>
      </c>
      <c r="E419">
        <v>0</v>
      </c>
      <c r="F419">
        <f t="shared" si="54"/>
        <v>0</v>
      </c>
      <c r="G419">
        <f t="shared" si="49"/>
        <v>0</v>
      </c>
      <c r="H419">
        <f t="shared" si="55"/>
        <v>0</v>
      </c>
      <c r="I419">
        <v>418</v>
      </c>
      <c r="J419">
        <f t="shared" si="50"/>
        <v>0.78792248826312261</v>
      </c>
      <c r="K419">
        <f t="shared" si="51"/>
        <v>0.61577443312405356</v>
      </c>
      <c r="L419">
        <f>VLOOKUP(D419,[1]SOI!$A$1:$C$142,3)</f>
        <v>8.9</v>
      </c>
      <c r="M419" s="2">
        <f t="shared" si="52"/>
        <v>329.35160009398527</v>
      </c>
      <c r="N419">
        <f t="shared" si="53"/>
        <v>257.39371304585438</v>
      </c>
      <c r="O419" t="s">
        <v>8</v>
      </c>
    </row>
    <row r="420" spans="1:15" x14ac:dyDescent="0.35">
      <c r="A420">
        <v>2001</v>
      </c>
      <c r="B420">
        <v>2</v>
      </c>
      <c r="C420">
        <v>22</v>
      </c>
      <c r="D420" s="1">
        <f t="shared" si="48"/>
        <v>36944</v>
      </c>
      <c r="E420">
        <v>0</v>
      </c>
      <c r="F420">
        <f t="shared" si="54"/>
        <v>0</v>
      </c>
      <c r="G420">
        <f t="shared" si="49"/>
        <v>0</v>
      </c>
      <c r="H420">
        <f t="shared" si="55"/>
        <v>0</v>
      </c>
      <c r="I420">
        <v>419</v>
      </c>
      <c r="J420">
        <f t="shared" si="50"/>
        <v>0.79839819914477628</v>
      </c>
      <c r="K420">
        <f t="shared" si="51"/>
        <v>0.60212981623764339</v>
      </c>
      <c r="L420">
        <f>VLOOKUP(D420,[1]SOI!$A$1:$C$142,3)</f>
        <v>8.9</v>
      </c>
      <c r="M420" s="2">
        <f t="shared" si="52"/>
        <v>334.52884544166125</v>
      </c>
      <c r="N420">
        <f t="shared" si="53"/>
        <v>252.29239300357258</v>
      </c>
      <c r="O420" t="s">
        <v>8</v>
      </c>
    </row>
    <row r="421" spans="1:15" x14ac:dyDescent="0.35">
      <c r="A421">
        <v>2001</v>
      </c>
      <c r="B421">
        <v>2</v>
      </c>
      <c r="C421">
        <v>23</v>
      </c>
      <c r="D421" s="1">
        <f t="shared" si="48"/>
        <v>36945</v>
      </c>
      <c r="E421">
        <v>0</v>
      </c>
      <c r="F421">
        <f t="shared" si="54"/>
        <v>0</v>
      </c>
      <c r="G421">
        <f t="shared" si="49"/>
        <v>0</v>
      </c>
      <c r="H421">
        <f t="shared" si="55"/>
        <v>0</v>
      </c>
      <c r="I421">
        <v>420</v>
      </c>
      <c r="J421">
        <f t="shared" si="50"/>
        <v>0.80863765115431263</v>
      </c>
      <c r="K421">
        <f t="shared" si="51"/>
        <v>0.58830701945126929</v>
      </c>
      <c r="L421">
        <f>VLOOKUP(D421,[1]SOI!$A$1:$C$142,3)</f>
        <v>8.9</v>
      </c>
      <c r="M421" s="2">
        <f t="shared" si="52"/>
        <v>339.62781348481133</v>
      </c>
      <c r="N421">
        <f t="shared" si="53"/>
        <v>247.0889481695331</v>
      </c>
      <c r="O421" t="s">
        <v>8</v>
      </c>
    </row>
    <row r="422" spans="1:15" x14ac:dyDescent="0.35">
      <c r="A422">
        <v>2001</v>
      </c>
      <c r="B422">
        <v>2</v>
      </c>
      <c r="C422">
        <v>24</v>
      </c>
      <c r="D422" s="1">
        <f t="shared" si="48"/>
        <v>36946</v>
      </c>
      <c r="E422">
        <v>0</v>
      </c>
      <c r="F422">
        <f t="shared" si="54"/>
        <v>0</v>
      </c>
      <c r="G422">
        <f t="shared" si="49"/>
        <v>0</v>
      </c>
      <c r="H422">
        <f t="shared" si="55"/>
        <v>0</v>
      </c>
      <c r="I422">
        <v>421</v>
      </c>
      <c r="J422">
        <f t="shared" si="50"/>
        <v>0.81863781427314264</v>
      </c>
      <c r="K422">
        <f t="shared" si="51"/>
        <v>0.57431013315289114</v>
      </c>
      <c r="L422">
        <f>VLOOKUP(D422,[1]SOI!$A$1:$C$142,3)</f>
        <v>8.9</v>
      </c>
      <c r="M422" s="2">
        <f t="shared" si="52"/>
        <v>344.64651980899305</v>
      </c>
      <c r="N422">
        <f t="shared" si="53"/>
        <v>241.78456605736716</v>
      </c>
      <c r="O422" t="s">
        <v>8</v>
      </c>
    </row>
    <row r="423" spans="1:15" x14ac:dyDescent="0.35">
      <c r="A423">
        <v>2001</v>
      </c>
      <c r="B423">
        <v>2</v>
      </c>
      <c r="C423">
        <v>25</v>
      </c>
      <c r="D423" s="1">
        <f t="shared" si="48"/>
        <v>36947</v>
      </c>
      <c r="E423">
        <v>0</v>
      </c>
      <c r="F423">
        <f t="shared" si="54"/>
        <v>0</v>
      </c>
      <c r="G423">
        <f t="shared" si="49"/>
        <v>0</v>
      </c>
      <c r="H423">
        <f t="shared" si="55"/>
        <v>0</v>
      </c>
      <c r="I423">
        <v>422</v>
      </c>
      <c r="J423">
        <f t="shared" si="50"/>
        <v>0.8283957292921138</v>
      </c>
      <c r="K423">
        <f t="shared" si="51"/>
        <v>0.56014329924635076</v>
      </c>
      <c r="L423">
        <f>VLOOKUP(D423,[1]SOI!$A$1:$C$142,3)</f>
        <v>8.9</v>
      </c>
      <c r="M423" s="2">
        <f t="shared" si="52"/>
        <v>349.582997761272</v>
      </c>
      <c r="N423">
        <f t="shared" si="53"/>
        <v>236.38047228196001</v>
      </c>
      <c r="O423" t="s">
        <v>8</v>
      </c>
    </row>
    <row r="424" spans="1:15" x14ac:dyDescent="0.35">
      <c r="A424">
        <v>2001</v>
      </c>
      <c r="B424">
        <v>2</v>
      </c>
      <c r="C424">
        <v>26</v>
      </c>
      <c r="D424" s="1">
        <f t="shared" si="48"/>
        <v>36948</v>
      </c>
      <c r="E424">
        <v>0</v>
      </c>
      <c r="F424">
        <f t="shared" si="54"/>
        <v>0</v>
      </c>
      <c r="G424">
        <f t="shared" si="49"/>
        <v>0</v>
      </c>
      <c r="H424">
        <f t="shared" si="55"/>
        <v>0</v>
      </c>
      <c r="I424">
        <v>423</v>
      </c>
      <c r="J424">
        <f t="shared" si="50"/>
        <v>0.83790850868718125</v>
      </c>
      <c r="K424">
        <f t="shared" si="51"/>
        <v>0.545810709925725</v>
      </c>
      <c r="L424">
        <f>VLOOKUP(D424,[1]SOI!$A$1:$C$142,3)</f>
        <v>8.9</v>
      </c>
      <c r="M424" s="2">
        <f t="shared" si="52"/>
        <v>354.43529917467765</v>
      </c>
      <c r="N424">
        <f t="shared" si="53"/>
        <v>230.87793029858167</v>
      </c>
      <c r="O424" t="s">
        <v>8</v>
      </c>
    </row>
    <row r="425" spans="1:15" x14ac:dyDescent="0.35">
      <c r="A425">
        <v>2001</v>
      </c>
      <c r="B425">
        <v>2</v>
      </c>
      <c r="C425">
        <v>27</v>
      </c>
      <c r="D425" s="1">
        <f t="shared" si="48"/>
        <v>36949</v>
      </c>
      <c r="E425">
        <v>0</v>
      </c>
      <c r="F425">
        <f t="shared" si="54"/>
        <v>0</v>
      </c>
      <c r="G425">
        <f t="shared" si="49"/>
        <v>0</v>
      </c>
      <c r="H425">
        <f t="shared" si="55"/>
        <v>0</v>
      </c>
      <c r="I425">
        <v>424</v>
      </c>
      <c r="J425">
        <f t="shared" si="50"/>
        <v>0.84717333747387702</v>
      </c>
      <c r="K425">
        <f t="shared" si="51"/>
        <v>0.53131660643478151</v>
      </c>
      <c r="L425">
        <f>VLOOKUP(D425,[1]SOI!$A$1:$C$142,3)</f>
        <v>8.9</v>
      </c>
      <c r="M425" s="2">
        <f t="shared" si="52"/>
        <v>359.20149508892388</v>
      </c>
      <c r="N425">
        <f t="shared" si="53"/>
        <v>225.27824112834736</v>
      </c>
      <c r="O425" t="s">
        <v>8</v>
      </c>
    </row>
    <row r="426" spans="1:15" x14ac:dyDescent="0.35">
      <c r="A426">
        <v>2001</v>
      </c>
      <c r="B426">
        <v>2</v>
      </c>
      <c r="C426">
        <v>28</v>
      </c>
      <c r="D426" s="1">
        <f t="shared" si="48"/>
        <v>36950</v>
      </c>
      <c r="E426">
        <v>0</v>
      </c>
      <c r="F426">
        <f t="shared" si="54"/>
        <v>0</v>
      </c>
      <c r="G426">
        <f t="shared" si="49"/>
        <v>0</v>
      </c>
      <c r="H426">
        <f t="shared" si="55"/>
        <v>0</v>
      </c>
      <c r="I426">
        <v>425</v>
      </c>
      <c r="J426">
        <f t="shared" si="50"/>
        <v>0.85618747404030537</v>
      </c>
      <c r="K426">
        <f t="shared" si="51"/>
        <v>0.51666527781193261</v>
      </c>
      <c r="L426">
        <f>VLOOKUP(D426,[1]SOI!$A$1:$C$142,3)</f>
        <v>8.9</v>
      </c>
      <c r="M426" s="2">
        <f t="shared" si="52"/>
        <v>363.8796764671298</v>
      </c>
      <c r="N426">
        <f t="shared" si="53"/>
        <v>219.58274307007136</v>
      </c>
      <c r="O426" t="s">
        <v>8</v>
      </c>
    </row>
    <row r="427" spans="1:15" x14ac:dyDescent="0.35">
      <c r="A427">
        <v>2001</v>
      </c>
      <c r="B427">
        <v>3</v>
      </c>
      <c r="C427">
        <v>1</v>
      </c>
      <c r="D427" s="1">
        <f t="shared" si="48"/>
        <v>36951</v>
      </c>
      <c r="E427">
        <v>0</v>
      </c>
      <c r="F427">
        <f t="shared" si="54"/>
        <v>0</v>
      </c>
      <c r="G427">
        <f t="shared" si="49"/>
        <v>0</v>
      </c>
      <c r="H427">
        <f t="shared" si="55"/>
        <v>0</v>
      </c>
      <c r="I427">
        <v>426</v>
      </c>
      <c r="J427">
        <f t="shared" si="50"/>
        <v>0.86494825095843419</v>
      </c>
      <c r="K427">
        <f t="shared" si="51"/>
        <v>0.50186105962103256</v>
      </c>
      <c r="L427">
        <f>VLOOKUP(D427,[1]SOI!$A$1:$C$142,3)</f>
        <v>11.9</v>
      </c>
      <c r="M427" s="2">
        <f t="shared" si="52"/>
        <v>368.467954908293</v>
      </c>
      <c r="N427">
        <f t="shared" si="53"/>
        <v>213.79281139855988</v>
      </c>
      <c r="O427" t="s">
        <v>8</v>
      </c>
    </row>
    <row r="428" spans="1:15" x14ac:dyDescent="0.35">
      <c r="A428">
        <v>2001</v>
      </c>
      <c r="B428">
        <v>3</v>
      </c>
      <c r="C428">
        <v>2</v>
      </c>
      <c r="D428" s="1">
        <f t="shared" si="48"/>
        <v>36952</v>
      </c>
      <c r="E428">
        <v>0</v>
      </c>
      <c r="F428">
        <f t="shared" si="54"/>
        <v>0</v>
      </c>
      <c r="G428">
        <f t="shared" si="49"/>
        <v>0</v>
      </c>
      <c r="H428">
        <f t="shared" si="55"/>
        <v>0</v>
      </c>
      <c r="I428">
        <v>427</v>
      </c>
      <c r="J428">
        <f t="shared" si="50"/>
        <v>0.87345307577342468</v>
      </c>
      <c r="K428">
        <f t="shared" si="51"/>
        <v>0.48690833266842332</v>
      </c>
      <c r="L428">
        <f>VLOOKUP(D428,[1]SOI!$A$1:$C$142,3)</f>
        <v>11.9</v>
      </c>
      <c r="M428" s="2">
        <f t="shared" si="52"/>
        <v>372.96446335525235</v>
      </c>
      <c r="N428">
        <f t="shared" si="53"/>
        <v>207.90985804941675</v>
      </c>
      <c r="O428" t="s">
        <v>8</v>
      </c>
    </row>
    <row r="429" spans="1:15" x14ac:dyDescent="0.35">
      <c r="A429">
        <v>2001</v>
      </c>
      <c r="B429">
        <v>3</v>
      </c>
      <c r="C429">
        <v>3</v>
      </c>
      <c r="D429" s="1">
        <f t="shared" si="48"/>
        <v>36953</v>
      </c>
      <c r="E429">
        <v>0</v>
      </c>
      <c r="F429">
        <f t="shared" si="54"/>
        <v>0</v>
      </c>
      <c r="G429">
        <f t="shared" si="49"/>
        <v>0</v>
      </c>
      <c r="H429">
        <f t="shared" si="55"/>
        <v>0</v>
      </c>
      <c r="I429">
        <v>428</v>
      </c>
      <c r="J429">
        <f t="shared" si="50"/>
        <v>0.8816994317707848</v>
      </c>
      <c r="K429">
        <f t="shared" si="51"/>
        <v>0.47181152170657648</v>
      </c>
      <c r="L429">
        <f>VLOOKUP(D429,[1]SOI!$A$1:$C$142,3)</f>
        <v>11.9</v>
      </c>
      <c r="M429" s="2">
        <f t="shared" si="52"/>
        <v>377.36735679789592</v>
      </c>
      <c r="N429">
        <f t="shared" si="53"/>
        <v>201.93533129041472</v>
      </c>
      <c r="O429" t="s">
        <v>8</v>
      </c>
    </row>
    <row r="430" spans="1:15" x14ac:dyDescent="0.35">
      <c r="A430">
        <v>2001</v>
      </c>
      <c r="B430">
        <v>3</v>
      </c>
      <c r="C430">
        <v>4</v>
      </c>
      <c r="D430" s="1">
        <f t="shared" si="48"/>
        <v>36954</v>
      </c>
      <c r="E430">
        <v>0</v>
      </c>
      <c r="F430">
        <f t="shared" si="54"/>
        <v>0</v>
      </c>
      <c r="G430">
        <f t="shared" si="49"/>
        <v>0</v>
      </c>
      <c r="H430">
        <f t="shared" si="55"/>
        <v>0</v>
      </c>
      <c r="I430">
        <v>429</v>
      </c>
      <c r="J430">
        <f t="shared" si="50"/>
        <v>0.88968487872110436</v>
      </c>
      <c r="K430">
        <f t="shared" si="51"/>
        <v>0.45657509412473846</v>
      </c>
      <c r="L430">
        <f>VLOOKUP(D430,[1]SOI!$A$1:$C$142,3)</f>
        <v>11.9</v>
      </c>
      <c r="M430" s="2">
        <f t="shared" si="52"/>
        <v>381.67481297135379</v>
      </c>
      <c r="N430">
        <f t="shared" si="53"/>
        <v>195.8707153795128</v>
      </c>
      <c r="O430" t="s">
        <v>8</v>
      </c>
    </row>
    <row r="431" spans="1:15" x14ac:dyDescent="0.35">
      <c r="A431">
        <v>2001</v>
      </c>
      <c r="B431">
        <v>3</v>
      </c>
      <c r="C431">
        <v>5</v>
      </c>
      <c r="D431" s="1">
        <f t="shared" si="48"/>
        <v>36955</v>
      </c>
      <c r="E431">
        <v>0</v>
      </c>
      <c r="F431">
        <f t="shared" si="54"/>
        <v>0</v>
      </c>
      <c r="G431">
        <f t="shared" si="49"/>
        <v>0</v>
      </c>
      <c r="H431">
        <f t="shared" si="55"/>
        <v>0</v>
      </c>
      <c r="I431">
        <v>430</v>
      </c>
      <c r="J431">
        <f t="shared" si="50"/>
        <v>0.89740705360215678</v>
      </c>
      <c r="K431">
        <f t="shared" si="51"/>
        <v>0.44120355862696276</v>
      </c>
      <c r="L431">
        <f>VLOOKUP(D431,[1]SOI!$A$1:$C$142,3)</f>
        <v>11.9</v>
      </c>
      <c r="M431" s="2">
        <f t="shared" si="52"/>
        <v>385.88503304892743</v>
      </c>
      <c r="N431">
        <f t="shared" si="53"/>
        <v>189.71753020959397</v>
      </c>
      <c r="O431" t="s">
        <v>8</v>
      </c>
    </row>
    <row r="432" spans="1:15" x14ac:dyDescent="0.35">
      <c r="A432">
        <v>2001</v>
      </c>
      <c r="B432">
        <v>3</v>
      </c>
      <c r="C432">
        <v>6</v>
      </c>
      <c r="D432" s="1">
        <f t="shared" si="48"/>
        <v>36956</v>
      </c>
      <c r="E432">
        <v>0</v>
      </c>
      <c r="F432">
        <f t="shared" si="54"/>
        <v>0</v>
      </c>
      <c r="G432">
        <f t="shared" si="49"/>
        <v>0</v>
      </c>
      <c r="H432">
        <f t="shared" si="55"/>
        <v>0</v>
      </c>
      <c r="I432">
        <v>431</v>
      </c>
      <c r="J432">
        <f t="shared" si="50"/>
        <v>0.90486367129815748</v>
      </c>
      <c r="K432">
        <f t="shared" si="51"/>
        <v>0.42570146389790581</v>
      </c>
      <c r="L432">
        <f>VLOOKUP(D432,[1]SOI!$A$1:$C$142,3)</f>
        <v>11.9</v>
      </c>
      <c r="M432" s="2">
        <f t="shared" si="52"/>
        <v>389.99624232950589</v>
      </c>
      <c r="N432">
        <f t="shared" si="53"/>
        <v>183.47733093999742</v>
      </c>
      <c r="O432" t="s">
        <v>8</v>
      </c>
    </row>
    <row r="433" spans="1:15" x14ac:dyDescent="0.35">
      <c r="A433">
        <v>2001</v>
      </c>
      <c r="B433">
        <v>3</v>
      </c>
      <c r="C433">
        <v>7</v>
      </c>
      <c r="D433" s="1">
        <f t="shared" si="48"/>
        <v>36957</v>
      </c>
      <c r="E433">
        <v>0</v>
      </c>
      <c r="F433">
        <f t="shared" si="54"/>
        <v>0</v>
      </c>
      <c r="G433">
        <f t="shared" si="49"/>
        <v>0</v>
      </c>
      <c r="H433">
        <f t="shared" si="55"/>
        <v>0</v>
      </c>
      <c r="I433">
        <v>432</v>
      </c>
      <c r="J433">
        <f t="shared" si="50"/>
        <v>0.91205252527596403</v>
      </c>
      <c r="K433">
        <f t="shared" si="51"/>
        <v>0.41007339725680436</v>
      </c>
      <c r="L433">
        <f>VLOOKUP(D433,[1]SOI!$A$1:$C$142,3)</f>
        <v>11.9</v>
      </c>
      <c r="M433" s="2">
        <f t="shared" si="52"/>
        <v>394.00669091921645</v>
      </c>
      <c r="N433">
        <f t="shared" si="53"/>
        <v>177.15170761493948</v>
      </c>
      <c r="O433" t="s">
        <v>8</v>
      </c>
    </row>
    <row r="434" spans="1:15" x14ac:dyDescent="0.35">
      <c r="A434">
        <v>2001</v>
      </c>
      <c r="B434">
        <v>3</v>
      </c>
      <c r="C434">
        <v>8</v>
      </c>
      <c r="D434" s="1">
        <f t="shared" si="48"/>
        <v>36958</v>
      </c>
      <c r="E434">
        <v>0</v>
      </c>
      <c r="F434">
        <f t="shared" si="54"/>
        <v>0</v>
      </c>
      <c r="G434">
        <f t="shared" si="49"/>
        <v>0</v>
      </c>
      <c r="H434">
        <f t="shared" si="55"/>
        <v>0</v>
      </c>
      <c r="I434">
        <v>433</v>
      </c>
      <c r="J434">
        <f t="shared" si="50"/>
        <v>0.9189714882380281</v>
      </c>
      <c r="K434">
        <f t="shared" si="51"/>
        <v>0.39432398330000645</v>
      </c>
      <c r="L434">
        <f>VLOOKUP(D434,[1]SOI!$A$1:$C$142,3)</f>
        <v>11.9</v>
      </c>
      <c r="M434" s="2">
        <f t="shared" si="52"/>
        <v>397.91465440706617</v>
      </c>
      <c r="N434">
        <f t="shared" si="53"/>
        <v>170.74228476890281</v>
      </c>
      <c r="O434" t="s">
        <v>8</v>
      </c>
    </row>
    <row r="435" spans="1:15" x14ac:dyDescent="0.35">
      <c r="A435">
        <v>2001</v>
      </c>
      <c r="B435">
        <v>3</v>
      </c>
      <c r="C435">
        <v>9</v>
      </c>
      <c r="D435" s="1">
        <f t="shared" si="48"/>
        <v>36959</v>
      </c>
      <c r="E435">
        <v>0</v>
      </c>
      <c r="F435">
        <f t="shared" si="54"/>
        <v>0</v>
      </c>
      <c r="G435">
        <f t="shared" si="49"/>
        <v>0</v>
      </c>
      <c r="H435">
        <f t="shared" si="55"/>
        <v>0</v>
      </c>
      <c r="I435">
        <v>434</v>
      </c>
      <c r="J435">
        <f t="shared" si="50"/>
        <v>0.92561851275189222</v>
      </c>
      <c r="K435">
        <f t="shared" si="51"/>
        <v>0.3784578825324888</v>
      </c>
      <c r="L435">
        <f>VLOOKUP(D435,[1]SOI!$A$1:$C$142,3)</f>
        <v>11.9</v>
      </c>
      <c r="M435" s="2">
        <f t="shared" si="52"/>
        <v>401.7184345343212</v>
      </c>
      <c r="N435">
        <f t="shared" si="53"/>
        <v>164.25072101910013</v>
      </c>
      <c r="O435" t="s">
        <v>8</v>
      </c>
    </row>
    <row r="436" spans="1:15" x14ac:dyDescent="0.35">
      <c r="A436">
        <v>2001</v>
      </c>
      <c r="B436">
        <v>3</v>
      </c>
      <c r="C436">
        <v>10</v>
      </c>
      <c r="D436" s="1">
        <f t="shared" si="48"/>
        <v>36960</v>
      </c>
      <c r="E436">
        <v>0</v>
      </c>
      <c r="F436">
        <f t="shared" si="54"/>
        <v>0</v>
      </c>
      <c r="G436">
        <f t="shared" si="49"/>
        <v>0</v>
      </c>
      <c r="H436">
        <f t="shared" si="55"/>
        <v>0</v>
      </c>
      <c r="I436">
        <v>435</v>
      </c>
      <c r="J436">
        <f t="shared" si="50"/>
        <v>0.93199163185606348</v>
      </c>
      <c r="K436">
        <f t="shared" si="51"/>
        <v>0.36247978998872715</v>
      </c>
      <c r="L436">
        <f>VLOOKUP(D436,[1]SOI!$A$1:$C$142,3)</f>
        <v>11.9</v>
      </c>
      <c r="M436" s="2">
        <f t="shared" si="52"/>
        <v>405.41635985738759</v>
      </c>
      <c r="N436">
        <f t="shared" si="53"/>
        <v>157.67870864509632</v>
      </c>
      <c r="O436" t="s">
        <v>8</v>
      </c>
    </row>
    <row r="437" spans="1:15" x14ac:dyDescent="0.35">
      <c r="A437">
        <v>2001</v>
      </c>
      <c r="B437">
        <v>3</v>
      </c>
      <c r="C437">
        <v>11</v>
      </c>
      <c r="D437" s="1">
        <f t="shared" si="48"/>
        <v>36961</v>
      </c>
      <c r="E437">
        <v>0.6</v>
      </c>
      <c r="F437">
        <f t="shared" si="54"/>
        <v>0</v>
      </c>
      <c r="G437">
        <f t="shared" si="49"/>
        <v>1</v>
      </c>
      <c r="H437">
        <f t="shared" si="55"/>
        <v>0</v>
      </c>
      <c r="I437">
        <v>436</v>
      </c>
      <c r="J437">
        <f t="shared" si="50"/>
        <v>0.93808895964206473</v>
      </c>
      <c r="K437">
        <f t="shared" si="51"/>
        <v>0.3463944338433696</v>
      </c>
      <c r="L437">
        <f>VLOOKUP(D437,[1]SOI!$A$1:$C$142,3)</f>
        <v>11.9</v>
      </c>
      <c r="M437" s="2">
        <f t="shared" si="52"/>
        <v>409.00678640394023</v>
      </c>
      <c r="N437">
        <f t="shared" si="53"/>
        <v>151.02797315570913</v>
      </c>
      <c r="O437" t="s">
        <v>8</v>
      </c>
    </row>
    <row r="438" spans="1:15" x14ac:dyDescent="0.35">
      <c r="A438">
        <v>2001</v>
      </c>
      <c r="B438">
        <v>3</v>
      </c>
      <c r="C438">
        <v>12</v>
      </c>
      <c r="D438" s="1">
        <f t="shared" si="48"/>
        <v>36962</v>
      </c>
      <c r="E438">
        <v>0</v>
      </c>
      <c r="F438">
        <f t="shared" si="54"/>
        <v>0.6</v>
      </c>
      <c r="G438">
        <f t="shared" si="49"/>
        <v>0</v>
      </c>
      <c r="H438">
        <f t="shared" si="55"/>
        <v>1</v>
      </c>
      <c r="I438">
        <v>437</v>
      </c>
      <c r="J438">
        <f t="shared" si="50"/>
        <v>0.94390869181250814</v>
      </c>
      <c r="K438">
        <f t="shared" si="51"/>
        <v>0.33020657401208642</v>
      </c>
      <c r="L438">
        <f>VLOOKUP(D438,[1]SOI!$A$1:$C$142,3)</f>
        <v>11.9</v>
      </c>
      <c r="M438" s="2">
        <f t="shared" si="52"/>
        <v>412.48809832206604</v>
      </c>
      <c r="N438">
        <f t="shared" si="53"/>
        <v>144.30027284328176</v>
      </c>
      <c r="O438" t="s">
        <v>8</v>
      </c>
    </row>
    <row r="439" spans="1:15" x14ac:dyDescent="0.35">
      <c r="A439">
        <v>2001</v>
      </c>
      <c r="B439">
        <v>3</v>
      </c>
      <c r="C439">
        <v>13</v>
      </c>
      <c r="D439" s="1">
        <f t="shared" si="48"/>
        <v>36963</v>
      </c>
      <c r="E439">
        <v>0</v>
      </c>
      <c r="F439">
        <f t="shared" si="54"/>
        <v>0</v>
      </c>
      <c r="G439">
        <f t="shared" si="49"/>
        <v>0</v>
      </c>
      <c r="H439">
        <f t="shared" si="55"/>
        <v>0</v>
      </c>
      <c r="I439">
        <v>438</v>
      </c>
      <c r="J439">
        <f t="shared" si="50"/>
        <v>0.94944910621501355</v>
      </c>
      <c r="K439">
        <f t="shared" si="51"/>
        <v>0.31392100074304014</v>
      </c>
      <c r="L439">
        <f>VLOOKUP(D439,[1]SOI!$A$1:$C$142,3)</f>
        <v>11.9</v>
      </c>
      <c r="M439" s="2">
        <f t="shared" si="52"/>
        <v>415.85870852217596</v>
      </c>
      <c r="N439">
        <f t="shared" si="53"/>
        <v>137.49739832545157</v>
      </c>
      <c r="O439" t="s">
        <v>8</v>
      </c>
    </row>
    <row r="440" spans="1:15" x14ac:dyDescent="0.35">
      <c r="A440">
        <v>2001</v>
      </c>
      <c r="B440">
        <v>3</v>
      </c>
      <c r="C440">
        <v>14</v>
      </c>
      <c r="D440" s="1">
        <f t="shared" si="48"/>
        <v>36964</v>
      </c>
      <c r="E440">
        <v>0</v>
      </c>
      <c r="F440">
        <f t="shared" si="54"/>
        <v>0</v>
      </c>
      <c r="G440">
        <f t="shared" si="49"/>
        <v>0</v>
      </c>
      <c r="H440">
        <f t="shared" si="55"/>
        <v>0</v>
      </c>
      <c r="I440">
        <v>439</v>
      </c>
      <c r="J440">
        <f t="shared" si="50"/>
        <v>0.95470856335182253</v>
      </c>
      <c r="K440">
        <f t="shared" si="51"/>
        <v>0.29754253319937157</v>
      </c>
      <c r="L440">
        <f>VLOOKUP(D440,[1]SOI!$A$1:$C$142,3)</f>
        <v>11.9</v>
      </c>
      <c r="M440" s="2">
        <f t="shared" si="52"/>
        <v>419.11705931145008</v>
      </c>
      <c r="N440">
        <f t="shared" si="53"/>
        <v>130.62117207452411</v>
      </c>
      <c r="O440" t="s">
        <v>8</v>
      </c>
    </row>
    <row r="441" spans="1:15" x14ac:dyDescent="0.35">
      <c r="A441">
        <v>2001</v>
      </c>
      <c r="B441">
        <v>3</v>
      </c>
      <c r="C441">
        <v>15</v>
      </c>
      <c r="D441" s="1">
        <f t="shared" si="48"/>
        <v>36965</v>
      </c>
      <c r="E441">
        <v>0</v>
      </c>
      <c r="F441">
        <f t="shared" si="54"/>
        <v>0</v>
      </c>
      <c r="G441">
        <f t="shared" si="49"/>
        <v>0</v>
      </c>
      <c r="H441">
        <f t="shared" si="55"/>
        <v>0</v>
      </c>
      <c r="I441">
        <v>440</v>
      </c>
      <c r="J441">
        <f t="shared" si="50"/>
        <v>0.95968550686495224</v>
      </c>
      <c r="K441">
        <f t="shared" si="51"/>
        <v>0.28107601803312859</v>
      </c>
      <c r="L441">
        <f>VLOOKUP(D441,[1]SOI!$A$1:$C$142,3)</f>
        <v>11.9</v>
      </c>
      <c r="M441" s="2">
        <f t="shared" si="52"/>
        <v>422.26162302057901</v>
      </c>
      <c r="N441">
        <f t="shared" si="53"/>
        <v>123.67344793457659</v>
      </c>
      <c r="O441" t="s">
        <v>8</v>
      </c>
    </row>
    <row r="442" spans="1:15" x14ac:dyDescent="0.35">
      <c r="A442">
        <v>2001</v>
      </c>
      <c r="B442">
        <v>3</v>
      </c>
      <c r="C442">
        <v>16</v>
      </c>
      <c r="D442" s="1">
        <f t="shared" si="48"/>
        <v>36966</v>
      </c>
      <c r="E442">
        <v>0</v>
      </c>
      <c r="F442">
        <f t="shared" si="54"/>
        <v>0</v>
      </c>
      <c r="G442">
        <f t="shared" si="49"/>
        <v>0</v>
      </c>
      <c r="H442">
        <f t="shared" si="55"/>
        <v>0</v>
      </c>
      <c r="I442">
        <v>441</v>
      </c>
      <c r="J442">
        <f t="shared" si="50"/>
        <v>0.96437846399674509</v>
      </c>
      <c r="K442">
        <f t="shared" si="51"/>
        <v>0.264526327951073</v>
      </c>
      <c r="L442">
        <f>VLOOKUP(D442,[1]SOI!$A$1:$C$142,3)</f>
        <v>11.9</v>
      </c>
      <c r="M442" s="2">
        <f t="shared" si="52"/>
        <v>425.2909026225646</v>
      </c>
      <c r="N442">
        <f t="shared" si="53"/>
        <v>116.6561106264232</v>
      </c>
      <c r="O442" t="s">
        <v>8</v>
      </c>
    </row>
    <row r="443" spans="1:15" x14ac:dyDescent="0.35">
      <c r="A443">
        <v>2001</v>
      </c>
      <c r="B443">
        <v>3</v>
      </c>
      <c r="C443">
        <v>17</v>
      </c>
      <c r="D443" s="1">
        <f t="shared" si="48"/>
        <v>36967</v>
      </c>
      <c r="E443">
        <v>12.4</v>
      </c>
      <c r="F443">
        <f t="shared" si="54"/>
        <v>0</v>
      </c>
      <c r="G443">
        <f t="shared" si="49"/>
        <v>1</v>
      </c>
      <c r="H443">
        <f t="shared" si="55"/>
        <v>0</v>
      </c>
      <c r="I443">
        <v>442</v>
      </c>
      <c r="J443">
        <f t="shared" si="50"/>
        <v>0.96878604602568397</v>
      </c>
      <c r="K443">
        <f t="shared" si="51"/>
        <v>0.24789836027275647</v>
      </c>
      <c r="L443">
        <f>VLOOKUP(D443,[1]SOI!$A$1:$C$142,3)</f>
        <v>11.9</v>
      </c>
      <c r="M443" s="2">
        <f t="shared" si="52"/>
        <v>428.20343234335229</v>
      </c>
      <c r="N443">
        <f t="shared" si="53"/>
        <v>109.57107524055836</v>
      </c>
      <c r="O443" t="s">
        <v>8</v>
      </c>
    </row>
    <row r="444" spans="1:15" x14ac:dyDescent="0.35">
      <c r="A444">
        <v>2001</v>
      </c>
      <c r="B444">
        <v>3</v>
      </c>
      <c r="C444">
        <v>18</v>
      </c>
      <c r="D444" s="1">
        <f t="shared" si="48"/>
        <v>36968</v>
      </c>
      <c r="E444">
        <v>4.4000000000000004</v>
      </c>
      <c r="F444">
        <f t="shared" si="54"/>
        <v>12.4</v>
      </c>
      <c r="G444">
        <f t="shared" si="49"/>
        <v>1</v>
      </c>
      <c r="H444">
        <f t="shared" si="55"/>
        <v>1</v>
      </c>
      <c r="I444">
        <v>443</v>
      </c>
      <c r="J444">
        <f t="shared" si="50"/>
        <v>0.97290694867733485</v>
      </c>
      <c r="K444">
        <f t="shared" si="51"/>
        <v>0.23119703548133497</v>
      </c>
      <c r="L444">
        <f>VLOOKUP(D444,[1]SOI!$A$1:$C$142,3)</f>
        <v>11.9</v>
      </c>
      <c r="M444" s="2">
        <f t="shared" si="52"/>
        <v>430.99777826405932</v>
      </c>
      <c r="N444">
        <f t="shared" si="53"/>
        <v>102.4202867182314</v>
      </c>
      <c r="O444" t="s">
        <v>8</v>
      </c>
    </row>
    <row r="445" spans="1:15" x14ac:dyDescent="0.35">
      <c r="A445">
        <v>2001</v>
      </c>
      <c r="B445">
        <v>3</v>
      </c>
      <c r="C445">
        <v>19</v>
      </c>
      <c r="D445" s="1">
        <f t="shared" si="48"/>
        <v>36969</v>
      </c>
      <c r="E445">
        <v>2.8</v>
      </c>
      <c r="F445">
        <f t="shared" si="54"/>
        <v>4.4000000000000004</v>
      </c>
      <c r="G445">
        <f t="shared" si="49"/>
        <v>1</v>
      </c>
      <c r="H445">
        <f t="shared" si="55"/>
        <v>1</v>
      </c>
      <c r="I445">
        <v>444</v>
      </c>
      <c r="J445">
        <f t="shared" si="50"/>
        <v>0.97673995251030477</v>
      </c>
      <c r="K445">
        <f t="shared" si="51"/>
        <v>0.21442729576751102</v>
      </c>
      <c r="L445">
        <f>VLOOKUP(D445,[1]SOI!$A$1:$C$142,3)</f>
        <v>11.9</v>
      </c>
      <c r="M445" s="2">
        <f t="shared" si="52"/>
        <v>433.67253891457534</v>
      </c>
      <c r="N445">
        <f t="shared" si="53"/>
        <v>95.20571932077489</v>
      </c>
      <c r="O445" t="s">
        <v>8</v>
      </c>
    </row>
    <row r="446" spans="1:15" x14ac:dyDescent="0.35">
      <c r="A446">
        <v>2001</v>
      </c>
      <c r="B446">
        <v>3</v>
      </c>
      <c r="C446">
        <v>20</v>
      </c>
      <c r="D446" s="1">
        <f t="shared" si="48"/>
        <v>36970</v>
      </c>
      <c r="E446">
        <v>0</v>
      </c>
      <c r="F446">
        <f t="shared" si="54"/>
        <v>2.8</v>
      </c>
      <c r="G446">
        <f t="shared" si="49"/>
        <v>0</v>
      </c>
      <c r="H446">
        <f t="shared" si="55"/>
        <v>1</v>
      </c>
      <c r="I446">
        <v>445</v>
      </c>
      <c r="J446">
        <f t="shared" si="50"/>
        <v>0.9802839232770918</v>
      </c>
      <c r="K446">
        <f t="shared" si="51"/>
        <v>0.19759410356706691</v>
      </c>
      <c r="L446">
        <f>VLOOKUP(D446,[1]SOI!$A$1:$C$142,3)</f>
        <v>11.9</v>
      </c>
      <c r="M446" s="2">
        <f t="shared" si="52"/>
        <v>436.22634585830588</v>
      </c>
      <c r="N446">
        <f t="shared" si="53"/>
        <v>87.929376087344778</v>
      </c>
      <c r="O446" t="s">
        <v>8</v>
      </c>
    </row>
    <row r="447" spans="1:15" x14ac:dyDescent="0.35">
      <c r="A447">
        <v>2001</v>
      </c>
      <c r="B447">
        <v>3</v>
      </c>
      <c r="C447">
        <v>21</v>
      </c>
      <c r="D447" s="1">
        <f t="shared" si="48"/>
        <v>36971</v>
      </c>
      <c r="E447">
        <v>11.2</v>
      </c>
      <c r="F447">
        <f t="shared" si="54"/>
        <v>0</v>
      </c>
      <c r="G447">
        <f t="shared" si="49"/>
        <v>1</v>
      </c>
      <c r="H447">
        <f t="shared" si="55"/>
        <v>0</v>
      </c>
      <c r="I447">
        <v>446</v>
      </c>
      <c r="J447">
        <f t="shared" si="50"/>
        <v>0.98353781225972958</v>
      </c>
      <c r="K447">
        <f t="shared" si="51"/>
        <v>0.18070244009239297</v>
      </c>
      <c r="L447">
        <f>VLOOKUP(D447,[1]SOI!$A$1:$C$142,3)</f>
        <v>11.9</v>
      </c>
      <c r="M447" s="2">
        <f t="shared" si="52"/>
        <v>438.65786426783939</v>
      </c>
      <c r="N447">
        <f t="shared" si="53"/>
        <v>80.593288281207265</v>
      </c>
      <c r="O447" t="s">
        <v>8</v>
      </c>
    </row>
    <row r="448" spans="1:15" x14ac:dyDescent="0.35">
      <c r="A448">
        <v>2001</v>
      </c>
      <c r="B448">
        <v>3</v>
      </c>
      <c r="C448">
        <v>22</v>
      </c>
      <c r="D448" s="1">
        <f t="shared" si="48"/>
        <v>36972</v>
      </c>
      <c r="E448">
        <v>5</v>
      </c>
      <c r="F448">
        <f t="shared" si="54"/>
        <v>11.2</v>
      </c>
      <c r="G448">
        <f t="shared" si="49"/>
        <v>1</v>
      </c>
      <c r="H448">
        <f t="shared" si="55"/>
        <v>1</v>
      </c>
      <c r="I448">
        <v>447</v>
      </c>
      <c r="J448">
        <f t="shared" si="50"/>
        <v>0.98650065658011776</v>
      </c>
      <c r="K448">
        <f t="shared" si="51"/>
        <v>0.1637573038584739</v>
      </c>
      <c r="L448">
        <f>VLOOKUP(D448,[1]SOI!$A$1:$C$142,3)</f>
        <v>11.9</v>
      </c>
      <c r="M448" s="2">
        <f t="shared" si="52"/>
        <v>440.96579349131264</v>
      </c>
      <c r="N448">
        <f t="shared" si="53"/>
        <v>73.199514824737832</v>
      </c>
      <c r="O448" t="s">
        <v>8</v>
      </c>
    </row>
    <row r="449" spans="1:15" x14ac:dyDescent="0.35">
      <c r="A449">
        <v>2001</v>
      </c>
      <c r="B449">
        <v>3</v>
      </c>
      <c r="C449">
        <v>23</v>
      </c>
      <c r="D449" s="1">
        <f t="shared" si="48"/>
        <v>36973</v>
      </c>
      <c r="E449">
        <v>46</v>
      </c>
      <c r="F449">
        <f t="shared" si="54"/>
        <v>5</v>
      </c>
      <c r="G449">
        <f t="shared" si="49"/>
        <v>1</v>
      </c>
      <c r="H449">
        <f t="shared" si="55"/>
        <v>1</v>
      </c>
      <c r="I449">
        <v>448</v>
      </c>
      <c r="J449">
        <f t="shared" si="50"/>
        <v>0.98917157948495471</v>
      </c>
      <c r="K449">
        <f t="shared" si="51"/>
        <v>0.14676370920373963</v>
      </c>
      <c r="L449">
        <f>VLOOKUP(D449,[1]SOI!$A$1:$C$142,3)</f>
        <v>11.9</v>
      </c>
      <c r="M449" s="2">
        <f t="shared" si="52"/>
        <v>443.1488676092597</v>
      </c>
      <c r="N449">
        <f t="shared" si="53"/>
        <v>65.750141723275348</v>
      </c>
      <c r="O449" t="s">
        <v>8</v>
      </c>
    </row>
    <row r="450" spans="1:15" x14ac:dyDescent="0.35">
      <c r="A450">
        <v>2001</v>
      </c>
      <c r="B450">
        <v>3</v>
      </c>
      <c r="C450">
        <v>24</v>
      </c>
      <c r="D450" s="1">
        <f t="shared" si="48"/>
        <v>36974</v>
      </c>
      <c r="E450">
        <v>0</v>
      </c>
      <c r="F450">
        <f t="shared" si="54"/>
        <v>46</v>
      </c>
      <c r="G450">
        <f t="shared" si="49"/>
        <v>0</v>
      </c>
      <c r="H450">
        <f t="shared" si="55"/>
        <v>1</v>
      </c>
      <c r="I450">
        <v>449</v>
      </c>
      <c r="J450">
        <f t="shared" si="50"/>
        <v>0.99154979060518156</v>
      </c>
      <c r="K450">
        <f t="shared" si="51"/>
        <v>0.12972668480625182</v>
      </c>
      <c r="L450">
        <f>VLOOKUP(D450,[1]SOI!$A$1:$C$142,3)</f>
        <v>11.9</v>
      </c>
      <c r="M450" s="2">
        <f t="shared" si="52"/>
        <v>445.20585598172653</v>
      </c>
      <c r="N450">
        <f t="shared" si="53"/>
        <v>58.247281478007068</v>
      </c>
      <c r="O450" t="s">
        <v>8</v>
      </c>
    </row>
    <row r="451" spans="1:15" x14ac:dyDescent="0.35">
      <c r="A451">
        <v>2001</v>
      </c>
      <c r="B451">
        <v>3</v>
      </c>
      <c r="C451">
        <v>25</v>
      </c>
      <c r="D451" s="1">
        <f t="shared" ref="D451:D514" si="56">DATE(A451,B451,C451)</f>
        <v>36975</v>
      </c>
      <c r="E451">
        <v>2.8</v>
      </c>
      <c r="F451">
        <f t="shared" si="54"/>
        <v>0</v>
      </c>
      <c r="G451">
        <f t="shared" ref="G451:G514" si="57">IF(E451=0,0,1)</f>
        <v>1</v>
      </c>
      <c r="H451">
        <f t="shared" si="55"/>
        <v>0</v>
      </c>
      <c r="I451">
        <v>450</v>
      </c>
      <c r="J451">
        <f t="shared" ref="J451:J514" si="58">SIN(2*PI()*I451/365.25)</f>
        <v>0.993634586189866</v>
      </c>
      <c r="K451">
        <f t="shared" ref="K451:K514" si="59">COS(2*PI()*I451/365.25)</f>
        <v>0.11265127219562909</v>
      </c>
      <c r="L451">
        <f>VLOOKUP(D451,[1]SOI!$A$1:$C$142,3)</f>
        <v>11.9</v>
      </c>
      <c r="M451" s="2">
        <f t="shared" ref="M451:M514" si="60">I451*J451</f>
        <v>447.13556378543967</v>
      </c>
      <c r="N451">
        <f t="shared" ref="N451:N514" si="61">I451*K451</f>
        <v>50.693072488033089</v>
      </c>
      <c r="O451" t="s">
        <v>8</v>
      </c>
    </row>
    <row r="452" spans="1:15" x14ac:dyDescent="0.35">
      <c r="A452">
        <v>2001</v>
      </c>
      <c r="B452">
        <v>3</v>
      </c>
      <c r="C452">
        <v>26</v>
      </c>
      <c r="D452" s="1">
        <f t="shared" si="56"/>
        <v>36976</v>
      </c>
      <c r="E452">
        <v>0</v>
      </c>
      <c r="F452">
        <f t="shared" ref="F452:F515" si="62">E451</f>
        <v>2.8</v>
      </c>
      <c r="G452">
        <f t="shared" si="57"/>
        <v>0</v>
      </c>
      <c r="H452">
        <f t="shared" ref="H452:H515" si="63">G451</f>
        <v>1</v>
      </c>
      <c r="I452">
        <v>451</v>
      </c>
      <c r="J452">
        <f t="shared" si="58"/>
        <v>0.9954253493144537</v>
      </c>
      <c r="K452">
        <f t="shared" si="59"/>
        <v>9.5542524261178083E-2</v>
      </c>
      <c r="L452">
        <f>VLOOKUP(D452,[1]SOI!$A$1:$C$142,3)</f>
        <v>11.9</v>
      </c>
      <c r="M452" s="2">
        <f t="shared" si="60"/>
        <v>448.93683254081861</v>
      </c>
      <c r="N452">
        <f t="shared" si="61"/>
        <v>43.089678441791314</v>
      </c>
      <c r="O452" t="s">
        <v>8</v>
      </c>
    </row>
    <row r="453" spans="1:15" x14ac:dyDescent="0.35">
      <c r="A453">
        <v>2001</v>
      </c>
      <c r="B453">
        <v>3</v>
      </c>
      <c r="C453">
        <v>27</v>
      </c>
      <c r="D453" s="1">
        <f t="shared" si="56"/>
        <v>36977</v>
      </c>
      <c r="E453">
        <v>0.2</v>
      </c>
      <c r="F453">
        <f t="shared" si="62"/>
        <v>0</v>
      </c>
      <c r="G453">
        <f t="shared" si="57"/>
        <v>1</v>
      </c>
      <c r="H453">
        <f t="shared" si="63"/>
        <v>0</v>
      </c>
      <c r="I453">
        <v>452</v>
      </c>
      <c r="J453">
        <f t="shared" si="58"/>
        <v>0.99692155006332528</v>
      </c>
      <c r="K453">
        <f t="shared" si="59"/>
        <v>7.840550375666766E-2</v>
      </c>
      <c r="L453">
        <f>VLOOKUP(D453,[1]SOI!$A$1:$C$142,3)</f>
        <v>11.9</v>
      </c>
      <c r="M453" s="2">
        <f t="shared" si="60"/>
        <v>450.60854062862302</v>
      </c>
      <c r="N453">
        <f t="shared" si="61"/>
        <v>35.439287698013786</v>
      </c>
      <c r="O453" t="s">
        <v>8</v>
      </c>
    </row>
    <row r="454" spans="1:15" x14ac:dyDescent="0.35">
      <c r="A454">
        <v>2001</v>
      </c>
      <c r="B454">
        <v>3</v>
      </c>
      <c r="C454">
        <v>28</v>
      </c>
      <c r="D454" s="1">
        <f t="shared" si="56"/>
        <v>36978</v>
      </c>
      <c r="E454">
        <v>1.2</v>
      </c>
      <c r="F454">
        <f t="shared" si="62"/>
        <v>0.2</v>
      </c>
      <c r="G454">
        <f t="shared" si="57"/>
        <v>1</v>
      </c>
      <c r="H454">
        <f t="shared" si="63"/>
        <v>1</v>
      </c>
      <c r="I454">
        <v>453</v>
      </c>
      <c r="J454">
        <f t="shared" si="58"/>
        <v>0.99812274568660775</v>
      </c>
      <c r="K454">
        <f t="shared" si="59"/>
        <v>6.124528180217062E-2</v>
      </c>
      <c r="L454">
        <f>VLOOKUP(D454,[1]SOI!$A$1:$C$142,3)</f>
        <v>11.9</v>
      </c>
      <c r="M454" s="2">
        <f t="shared" si="60"/>
        <v>452.14960379603332</v>
      </c>
      <c r="N454">
        <f t="shared" si="61"/>
        <v>27.74411265638329</v>
      </c>
      <c r="O454" t="s">
        <v>8</v>
      </c>
    </row>
    <row r="455" spans="1:15" x14ac:dyDescent="0.35">
      <c r="A455">
        <v>2001</v>
      </c>
      <c r="B455">
        <v>3</v>
      </c>
      <c r="C455">
        <v>29</v>
      </c>
      <c r="D455" s="1">
        <f t="shared" si="56"/>
        <v>36979</v>
      </c>
      <c r="E455">
        <v>0</v>
      </c>
      <c r="F455">
        <f t="shared" si="62"/>
        <v>1.2</v>
      </c>
      <c r="G455">
        <f t="shared" si="57"/>
        <v>0</v>
      </c>
      <c r="H455">
        <f t="shared" si="63"/>
        <v>1</v>
      </c>
      <c r="I455">
        <v>454</v>
      </c>
      <c r="J455">
        <f t="shared" si="58"/>
        <v>0.99902858073119061</v>
      </c>
      <c r="K455">
        <f t="shared" si="59"/>
        <v>4.4066936383449135E-2</v>
      </c>
      <c r="L455">
        <f>VLOOKUP(D455,[1]SOI!$A$1:$C$142,3)</f>
        <v>11.9</v>
      </c>
      <c r="M455" s="2">
        <f t="shared" si="60"/>
        <v>453.55897565196051</v>
      </c>
      <c r="N455">
        <f t="shared" si="61"/>
        <v>20.006389118085906</v>
      </c>
      <c r="O455" t="s">
        <v>8</v>
      </c>
    </row>
    <row r="456" spans="1:15" x14ac:dyDescent="0.35">
      <c r="A456">
        <v>2001</v>
      </c>
      <c r="B456">
        <v>3</v>
      </c>
      <c r="C456">
        <v>30</v>
      </c>
      <c r="D456" s="1">
        <f t="shared" si="56"/>
        <v>36980</v>
      </c>
      <c r="E456">
        <v>0</v>
      </c>
      <c r="F456">
        <f t="shared" si="62"/>
        <v>0</v>
      </c>
      <c r="G456">
        <f t="shared" si="57"/>
        <v>0</v>
      </c>
      <c r="H456">
        <f t="shared" si="63"/>
        <v>0</v>
      </c>
      <c r="I456">
        <v>455</v>
      </c>
      <c r="J456">
        <f t="shared" si="58"/>
        <v>0.99963878714591092</v>
      </c>
      <c r="K456">
        <f t="shared" si="59"/>
        <v>2.6875550849280297E-2</v>
      </c>
      <c r="L456">
        <f>VLOOKUP(D456,[1]SOI!$A$1:$C$142,3)</f>
        <v>11.9</v>
      </c>
      <c r="M456" s="2">
        <f t="shared" si="60"/>
        <v>454.83564815138948</v>
      </c>
      <c r="N456">
        <f t="shared" si="61"/>
        <v>12.228375636422536</v>
      </c>
      <c r="O456" t="s">
        <v>8</v>
      </c>
    </row>
    <row r="457" spans="1:15" x14ac:dyDescent="0.35">
      <c r="A457">
        <v>2001</v>
      </c>
      <c r="B457">
        <v>3</v>
      </c>
      <c r="C457">
        <v>31</v>
      </c>
      <c r="D457" s="1">
        <f t="shared" si="56"/>
        <v>36981</v>
      </c>
      <c r="E457">
        <v>0</v>
      </c>
      <c r="F457">
        <f t="shared" si="62"/>
        <v>0</v>
      </c>
      <c r="G457">
        <f t="shared" si="57"/>
        <v>0</v>
      </c>
      <c r="H457">
        <f t="shared" si="63"/>
        <v>0</v>
      </c>
      <c r="I457">
        <v>456</v>
      </c>
      <c r="J457">
        <f t="shared" si="58"/>
        <v>0.99995318436087299</v>
      </c>
      <c r="K457">
        <f t="shared" si="59"/>
        <v>9.6762124072308966E-3</v>
      </c>
      <c r="L457">
        <f>VLOOKUP(D457,[1]SOI!$A$1:$C$142,3)</f>
        <v>11.9</v>
      </c>
      <c r="M457" s="2">
        <f t="shared" si="60"/>
        <v>455.97865206855806</v>
      </c>
      <c r="N457">
        <f t="shared" si="61"/>
        <v>4.4123528576972886</v>
      </c>
      <c r="O457" t="s">
        <v>8</v>
      </c>
    </row>
    <row r="458" spans="1:15" x14ac:dyDescent="0.35">
      <c r="A458">
        <v>2001</v>
      </c>
      <c r="B458">
        <v>4</v>
      </c>
      <c r="C458">
        <v>1</v>
      </c>
      <c r="D458" s="1">
        <f t="shared" si="56"/>
        <v>36982</v>
      </c>
      <c r="E458">
        <v>0</v>
      </c>
      <c r="F458">
        <f t="shared" si="62"/>
        <v>0</v>
      </c>
      <c r="G458">
        <f t="shared" si="57"/>
        <v>0</v>
      </c>
      <c r="H458">
        <f t="shared" si="63"/>
        <v>0</v>
      </c>
      <c r="I458">
        <v>457</v>
      </c>
      <c r="J458">
        <f t="shared" si="58"/>
        <v>0.99997167934088305</v>
      </c>
      <c r="K458">
        <f t="shared" si="59"/>
        <v>-7.5259893817459797E-3</v>
      </c>
      <c r="L458">
        <f>VLOOKUP(D458,[1]SOI!$A$1:$C$142,3)</f>
        <v>6.7</v>
      </c>
      <c r="M458" s="2">
        <f t="shared" si="60"/>
        <v>456.98705745878357</v>
      </c>
      <c r="N458">
        <f t="shared" si="61"/>
        <v>-3.4393771474579129</v>
      </c>
      <c r="O458" t="s">
        <v>8</v>
      </c>
    </row>
    <row r="459" spans="1:15" x14ac:dyDescent="0.35">
      <c r="A459">
        <v>2001</v>
      </c>
      <c r="B459">
        <v>4</v>
      </c>
      <c r="C459">
        <v>2</v>
      </c>
      <c r="D459" s="1">
        <f t="shared" si="56"/>
        <v>36983</v>
      </c>
      <c r="E459">
        <v>0.2</v>
      </c>
      <c r="F459">
        <f t="shared" si="62"/>
        <v>0</v>
      </c>
      <c r="G459">
        <f t="shared" si="57"/>
        <v>1</v>
      </c>
      <c r="H459">
        <f t="shared" si="63"/>
        <v>0</v>
      </c>
      <c r="I459">
        <v>458</v>
      </c>
      <c r="J459">
        <f t="shared" si="58"/>
        <v>0.99969426661297878</v>
      </c>
      <c r="K459">
        <f t="shared" si="59"/>
        <v>-2.4725964109382385E-2</v>
      </c>
      <c r="L459">
        <f>VLOOKUP(D459,[1]SOI!$A$1:$C$142,3)</f>
        <v>6.7</v>
      </c>
      <c r="M459" s="2">
        <f t="shared" si="60"/>
        <v>457.85997410874427</v>
      </c>
      <c r="N459">
        <f t="shared" si="61"/>
        <v>-11.324491562097132</v>
      </c>
      <c r="O459" t="s">
        <v>8</v>
      </c>
    </row>
    <row r="460" spans="1:15" x14ac:dyDescent="0.35">
      <c r="A460">
        <v>2001</v>
      </c>
      <c r="B460">
        <v>4</v>
      </c>
      <c r="C460">
        <v>3</v>
      </c>
      <c r="D460" s="1">
        <f t="shared" si="56"/>
        <v>36984</v>
      </c>
      <c r="E460">
        <v>0</v>
      </c>
      <c r="F460">
        <f t="shared" si="62"/>
        <v>0.2</v>
      </c>
      <c r="G460">
        <f t="shared" si="57"/>
        <v>0</v>
      </c>
      <c r="H460">
        <f t="shared" si="63"/>
        <v>1</v>
      </c>
      <c r="I460">
        <v>459</v>
      </c>
      <c r="J460">
        <f t="shared" si="58"/>
        <v>0.9991210282680496</v>
      </c>
      <c r="K460">
        <f t="shared" si="59"/>
        <v>-4.1918622026437195E-2</v>
      </c>
      <c r="L460">
        <f>VLOOKUP(D460,[1]SOI!$A$1:$C$142,3)</f>
        <v>6.7</v>
      </c>
      <c r="M460" s="2">
        <f t="shared" si="60"/>
        <v>458.59655197503474</v>
      </c>
      <c r="N460">
        <f t="shared" si="61"/>
        <v>-19.240647510134671</v>
      </c>
      <c r="O460" t="s">
        <v>8</v>
      </c>
    </row>
    <row r="461" spans="1:15" x14ac:dyDescent="0.35">
      <c r="A461">
        <v>2001</v>
      </c>
      <c r="B461">
        <v>4</v>
      </c>
      <c r="C461">
        <v>4</v>
      </c>
      <c r="D461" s="1">
        <f t="shared" si="56"/>
        <v>36985</v>
      </c>
      <c r="E461">
        <v>0</v>
      </c>
      <c r="F461">
        <f t="shared" si="62"/>
        <v>0</v>
      </c>
      <c r="G461">
        <f t="shared" si="57"/>
        <v>0</v>
      </c>
      <c r="H461">
        <f t="shared" si="63"/>
        <v>0</v>
      </c>
      <c r="I461">
        <v>460</v>
      </c>
      <c r="J461">
        <f t="shared" si="58"/>
        <v>0.99825213393654411</v>
      </c>
      <c r="K461">
        <f t="shared" si="59"/>
        <v>-5.9098875548829498E-2</v>
      </c>
      <c r="L461">
        <f>VLOOKUP(D461,[1]SOI!$A$1:$C$142,3)</f>
        <v>6.7</v>
      </c>
      <c r="M461" s="2">
        <f t="shared" si="60"/>
        <v>459.19598161081029</v>
      </c>
      <c r="N461">
        <f t="shared" si="61"/>
        <v>-27.185482752461571</v>
      </c>
      <c r="O461" t="s">
        <v>8</v>
      </c>
    </row>
    <row r="462" spans="1:15" x14ac:dyDescent="0.35">
      <c r="A462">
        <v>2001</v>
      </c>
      <c r="B462">
        <v>4</v>
      </c>
      <c r="C462">
        <v>5</v>
      </c>
      <c r="D462" s="1">
        <f t="shared" si="56"/>
        <v>36986</v>
      </c>
      <c r="E462">
        <v>0</v>
      </c>
      <c r="F462">
        <f t="shared" si="62"/>
        <v>0</v>
      </c>
      <c r="G462">
        <f t="shared" si="57"/>
        <v>0</v>
      </c>
      <c r="H462">
        <f t="shared" si="63"/>
        <v>0</v>
      </c>
      <c r="I462">
        <v>461</v>
      </c>
      <c r="J462">
        <f t="shared" si="58"/>
        <v>0.99708784073827439</v>
      </c>
      <c r="K462">
        <f t="shared" si="59"/>
        <v>-7.6261640763135644E-2</v>
      </c>
      <c r="L462">
        <f>VLOOKUP(D462,[1]SOI!$A$1:$C$142,3)</f>
        <v>6.7</v>
      </c>
      <c r="M462" s="2">
        <f t="shared" si="60"/>
        <v>459.65749458034452</v>
      </c>
      <c r="N462">
        <f t="shared" si="61"/>
        <v>-35.156616391805535</v>
      </c>
      <c r="O462" t="s">
        <v>8</v>
      </c>
    </row>
    <row r="463" spans="1:15" x14ac:dyDescent="0.35">
      <c r="A463">
        <v>2001</v>
      </c>
      <c r="B463">
        <v>4</v>
      </c>
      <c r="C463">
        <v>6</v>
      </c>
      <c r="D463" s="1">
        <f t="shared" si="56"/>
        <v>36987</v>
      </c>
      <c r="E463">
        <v>0</v>
      </c>
      <c r="F463">
        <f t="shared" si="62"/>
        <v>0</v>
      </c>
      <c r="G463">
        <f t="shared" si="57"/>
        <v>0</v>
      </c>
      <c r="H463">
        <f t="shared" si="63"/>
        <v>0</v>
      </c>
      <c r="I463">
        <v>462</v>
      </c>
      <c r="J463">
        <f t="shared" si="58"/>
        <v>0.9956284932063294</v>
      </c>
      <c r="K463">
        <f t="shared" si="59"/>
        <v>-9.3401838931009049E-2</v>
      </c>
      <c r="L463">
        <f>VLOOKUP(D463,[1]SOI!$A$1:$C$142,3)</f>
        <v>6.7</v>
      </c>
      <c r="M463" s="2">
        <f t="shared" si="60"/>
        <v>459.98036386132418</v>
      </c>
      <c r="N463">
        <f t="shared" si="61"/>
        <v>-43.151649586126183</v>
      </c>
      <c r="O463" t="s">
        <v>8</v>
      </c>
    </row>
    <row r="464" spans="1:15" x14ac:dyDescent="0.35">
      <c r="A464">
        <v>2001</v>
      </c>
      <c r="B464">
        <v>4</v>
      </c>
      <c r="C464">
        <v>7</v>
      </c>
      <c r="D464" s="1">
        <f t="shared" si="56"/>
        <v>36988</v>
      </c>
      <c r="E464">
        <v>0</v>
      </c>
      <c r="F464">
        <f t="shared" si="62"/>
        <v>0</v>
      </c>
      <c r="G464">
        <f t="shared" si="57"/>
        <v>0</v>
      </c>
      <c r="H464">
        <f t="shared" si="63"/>
        <v>0</v>
      </c>
      <c r="I464">
        <v>463</v>
      </c>
      <c r="J464">
        <f t="shared" si="58"/>
        <v>0.99387452318512248</v>
      </c>
      <c r="K464">
        <f t="shared" si="59"/>
        <v>-0.11051439799205079</v>
      </c>
      <c r="L464">
        <f>VLOOKUP(D464,[1]SOI!$A$1:$C$142,3)</f>
        <v>6.7</v>
      </c>
      <c r="M464" s="2">
        <f t="shared" si="60"/>
        <v>460.16390423471171</v>
      </c>
      <c r="N464">
        <f t="shared" si="61"/>
        <v>-51.168166270319517</v>
      </c>
      <c r="O464" t="s">
        <v>8</v>
      </c>
    </row>
    <row r="465" spans="1:15" x14ac:dyDescent="0.35">
      <c r="A465">
        <v>2001</v>
      </c>
      <c r="B465">
        <v>4</v>
      </c>
      <c r="C465">
        <v>8</v>
      </c>
      <c r="D465" s="1">
        <f t="shared" si="56"/>
        <v>36989</v>
      </c>
      <c r="E465">
        <v>0</v>
      </c>
      <c r="F465">
        <f t="shared" si="62"/>
        <v>0</v>
      </c>
      <c r="G465">
        <f t="shared" si="57"/>
        <v>0</v>
      </c>
      <c r="H465">
        <f t="shared" si="63"/>
        <v>0</v>
      </c>
      <c r="I465">
        <v>464</v>
      </c>
      <c r="J465">
        <f t="shared" si="58"/>
        <v>0.99182644970260159</v>
      </c>
      <c r="K465">
        <f t="shared" si="59"/>
        <v>-0.12759425406472188</v>
      </c>
      <c r="L465">
        <f>VLOOKUP(D465,[1]SOI!$A$1:$C$142,3)</f>
        <v>6.7</v>
      </c>
      <c r="M465" s="2">
        <f t="shared" si="60"/>
        <v>460.20747266200715</v>
      </c>
      <c r="N465">
        <f t="shared" si="61"/>
        <v>-59.203733886030953</v>
      </c>
      <c r="O465" t="s">
        <v>8</v>
      </c>
    </row>
    <row r="466" spans="1:15" x14ac:dyDescent="0.35">
      <c r="A466">
        <v>2001</v>
      </c>
      <c r="B466">
        <v>4</v>
      </c>
      <c r="C466">
        <v>9</v>
      </c>
      <c r="D466" s="1">
        <f t="shared" si="56"/>
        <v>36990</v>
      </c>
      <c r="E466">
        <v>4</v>
      </c>
      <c r="F466">
        <f t="shared" si="62"/>
        <v>0</v>
      </c>
      <c r="G466">
        <f t="shared" si="57"/>
        <v>1</v>
      </c>
      <c r="H466">
        <f t="shared" si="63"/>
        <v>0</v>
      </c>
      <c r="I466">
        <v>465</v>
      </c>
      <c r="J466">
        <f t="shared" si="58"/>
        <v>0.98948487881666058</v>
      </c>
      <c r="K466">
        <f t="shared" si="59"/>
        <v>-0.14463635294482019</v>
      </c>
      <c r="L466">
        <f>VLOOKUP(D466,[1]SOI!$A$1:$C$142,3)</f>
        <v>6.7</v>
      </c>
      <c r="M466" s="2">
        <f t="shared" si="60"/>
        <v>460.11046864974719</v>
      </c>
      <c r="N466">
        <f t="shared" si="61"/>
        <v>-67.255904119341395</v>
      </c>
      <c r="O466" t="s">
        <v>8</v>
      </c>
    </row>
    <row r="467" spans="1:15" x14ac:dyDescent="0.35">
      <c r="A467">
        <v>2001</v>
      </c>
      <c r="B467">
        <v>4</v>
      </c>
      <c r="C467">
        <v>10</v>
      </c>
      <c r="D467" s="1">
        <f t="shared" si="56"/>
        <v>36991</v>
      </c>
      <c r="E467">
        <v>2.8</v>
      </c>
      <c r="F467">
        <f t="shared" si="62"/>
        <v>4</v>
      </c>
      <c r="G467">
        <f t="shared" si="57"/>
        <v>1</v>
      </c>
      <c r="H467">
        <f t="shared" si="63"/>
        <v>1</v>
      </c>
      <c r="I467">
        <v>466</v>
      </c>
      <c r="J467">
        <f t="shared" si="58"/>
        <v>0.98685050343579661</v>
      </c>
      <c r="K467">
        <f t="shared" si="59"/>
        <v>-0.16163565160110782</v>
      </c>
      <c r="L467">
        <f>VLOOKUP(D467,[1]SOI!$A$1:$C$142,3)</f>
        <v>6.7</v>
      </c>
      <c r="M467" s="2">
        <f t="shared" si="60"/>
        <v>459.87233460108121</v>
      </c>
      <c r="N467">
        <f t="shared" si="61"/>
        <v>-75.322213646116239</v>
      </c>
      <c r="O467" t="s">
        <v>8</v>
      </c>
    </row>
    <row r="468" spans="1:15" x14ac:dyDescent="0.35">
      <c r="A468">
        <v>2001</v>
      </c>
      <c r="B468">
        <v>4</v>
      </c>
      <c r="C468">
        <v>11</v>
      </c>
      <c r="D468" s="1">
        <f t="shared" si="56"/>
        <v>36992</v>
      </c>
      <c r="E468">
        <v>0.2</v>
      </c>
      <c r="F468">
        <f t="shared" si="62"/>
        <v>2.8</v>
      </c>
      <c r="G468">
        <f t="shared" si="57"/>
        <v>1</v>
      </c>
      <c r="H468">
        <f t="shared" si="63"/>
        <v>1</v>
      </c>
      <c r="I468">
        <v>467</v>
      </c>
      <c r="J468">
        <f t="shared" si="58"/>
        <v>0.9839241031140683</v>
      </c>
      <c r="K468">
        <f t="shared" si="59"/>
        <v>-0.17858711966761825</v>
      </c>
      <c r="L468">
        <f>VLOOKUP(D468,[1]SOI!$A$1:$C$142,3)</f>
        <v>6.7</v>
      </c>
      <c r="M468" s="2">
        <f t="shared" si="60"/>
        <v>459.49255615426989</v>
      </c>
      <c r="N468">
        <f t="shared" si="61"/>
        <v>-83.40018488477773</v>
      </c>
      <c r="O468" t="s">
        <v>8</v>
      </c>
    </row>
    <row r="469" spans="1:15" x14ac:dyDescent="0.35">
      <c r="A469">
        <v>2001</v>
      </c>
      <c r="B469">
        <v>4</v>
      </c>
      <c r="C469">
        <v>12</v>
      </c>
      <c r="D469" s="1">
        <f t="shared" si="56"/>
        <v>36993</v>
      </c>
      <c r="E469">
        <v>2.2000000000000002</v>
      </c>
      <c r="F469">
        <f t="shared" si="62"/>
        <v>0.2</v>
      </c>
      <c r="G469">
        <f t="shared" si="57"/>
        <v>1</v>
      </c>
      <c r="H469">
        <f t="shared" si="63"/>
        <v>1</v>
      </c>
      <c r="I469">
        <v>468</v>
      </c>
      <c r="J469">
        <f t="shared" si="58"/>
        <v>0.98070654382041167</v>
      </c>
      <c r="K469">
        <f t="shared" si="59"/>
        <v>-0.19548574093223031</v>
      </c>
      <c r="L469">
        <f>VLOOKUP(D469,[1]SOI!$A$1:$C$142,3)</f>
        <v>6.7</v>
      </c>
      <c r="M469" s="2">
        <f t="shared" si="60"/>
        <v>458.97066250795268</v>
      </c>
      <c r="N469">
        <f t="shared" si="61"/>
        <v>-91.487326756283792</v>
      </c>
      <c r="O469" t="s">
        <v>8</v>
      </c>
    </row>
    <row r="470" spans="1:15" x14ac:dyDescent="0.35">
      <c r="A470">
        <v>2001</v>
      </c>
      <c r="B470">
        <v>4</v>
      </c>
      <c r="C470">
        <v>13</v>
      </c>
      <c r="D470" s="1">
        <f t="shared" si="56"/>
        <v>36994</v>
      </c>
      <c r="E470">
        <v>0</v>
      </c>
      <c r="F470">
        <f t="shared" si="62"/>
        <v>2.2000000000000002</v>
      </c>
      <c r="G470">
        <f t="shared" si="57"/>
        <v>0</v>
      </c>
      <c r="H470">
        <f t="shared" si="63"/>
        <v>1</v>
      </c>
      <c r="I470">
        <v>469</v>
      </c>
      <c r="J470">
        <f t="shared" si="58"/>
        <v>0.97719877768238772</v>
      </c>
      <c r="K470">
        <f t="shared" si="59"/>
        <v>-0.21232651482103562</v>
      </c>
      <c r="L470">
        <f>VLOOKUP(D470,[1]SOI!$A$1:$C$142,3)</f>
        <v>6.7</v>
      </c>
      <c r="M470" s="2">
        <f t="shared" si="60"/>
        <v>458.30622673303986</v>
      </c>
      <c r="N470">
        <f t="shared" si="61"/>
        <v>-99.581135451065705</v>
      </c>
      <c r="O470" t="s">
        <v>8</v>
      </c>
    </row>
    <row r="471" spans="1:15" x14ac:dyDescent="0.35">
      <c r="A471">
        <v>2001</v>
      </c>
      <c r="B471">
        <v>4</v>
      </c>
      <c r="C471">
        <v>14</v>
      </c>
      <c r="D471" s="1">
        <f t="shared" si="56"/>
        <v>36995</v>
      </c>
      <c r="E471">
        <v>0</v>
      </c>
      <c r="F471">
        <f t="shared" si="62"/>
        <v>0</v>
      </c>
      <c r="G471">
        <f t="shared" si="57"/>
        <v>0</v>
      </c>
      <c r="H471">
        <f t="shared" si="63"/>
        <v>0</v>
      </c>
      <c r="I471">
        <v>470</v>
      </c>
      <c r="J471">
        <f t="shared" si="58"/>
        <v>0.97340184270443098</v>
      </c>
      <c r="K471">
        <f t="shared" si="59"/>
        <v>-0.22910445787810024</v>
      </c>
      <c r="L471">
        <f>VLOOKUP(D471,[1]SOI!$A$1:$C$142,3)</f>
        <v>6.7</v>
      </c>
      <c r="M471" s="2">
        <f t="shared" si="60"/>
        <v>457.49886607108255</v>
      </c>
      <c r="N471">
        <f t="shared" si="61"/>
        <v>-107.67909520270712</v>
      </c>
      <c r="O471" t="s">
        <v>8</v>
      </c>
    </row>
    <row r="472" spans="1:15" x14ac:dyDescent="0.35">
      <c r="A472">
        <v>2001</v>
      </c>
      <c r="B472">
        <v>4</v>
      </c>
      <c r="C472">
        <v>15</v>
      </c>
      <c r="D472" s="1">
        <f t="shared" si="56"/>
        <v>36996</v>
      </c>
      <c r="E472">
        <v>0</v>
      </c>
      <c r="F472">
        <f t="shared" si="62"/>
        <v>0</v>
      </c>
      <c r="G472">
        <f t="shared" si="57"/>
        <v>0</v>
      </c>
      <c r="H472">
        <f t="shared" si="63"/>
        <v>0</v>
      </c>
      <c r="I472">
        <v>471</v>
      </c>
      <c r="J472">
        <f t="shared" si="58"/>
        <v>0.96931686246068782</v>
      </c>
      <c r="K472">
        <f t="shared" si="59"/>
        <v>-0.24581460524014417</v>
      </c>
      <c r="L472">
        <f>VLOOKUP(D472,[1]SOI!$A$1:$C$142,3)</f>
        <v>6.7</v>
      </c>
      <c r="M472" s="2">
        <f t="shared" si="60"/>
        <v>456.54824221898394</v>
      </c>
      <c r="N472">
        <f t="shared" si="61"/>
        <v>-115.77867906810791</v>
      </c>
      <c r="O472" t="s">
        <v>8</v>
      </c>
    </row>
    <row r="473" spans="1:15" x14ac:dyDescent="0.35">
      <c r="A473">
        <v>2001</v>
      </c>
      <c r="B473">
        <v>4</v>
      </c>
      <c r="C473">
        <v>16</v>
      </c>
      <c r="D473" s="1">
        <f t="shared" si="56"/>
        <v>36997</v>
      </c>
      <c r="E473">
        <v>0</v>
      </c>
      <c r="F473">
        <f t="shared" si="62"/>
        <v>0</v>
      </c>
      <c r="G473">
        <f t="shared" si="57"/>
        <v>0</v>
      </c>
      <c r="H473">
        <f t="shared" si="63"/>
        <v>0</v>
      </c>
      <c r="I473">
        <v>472</v>
      </c>
      <c r="J473">
        <f t="shared" si="58"/>
        <v>0.96494504576253437</v>
      </c>
      <c r="K473">
        <f t="shared" si="59"/>
        <v>-0.26245201210571911</v>
      </c>
      <c r="L473">
        <f>VLOOKUP(D473,[1]SOI!$A$1:$C$142,3)</f>
        <v>6.7</v>
      </c>
      <c r="M473" s="2">
        <f t="shared" si="60"/>
        <v>455.4540615999162</v>
      </c>
      <c r="N473">
        <f t="shared" si="61"/>
        <v>-123.87734971389942</v>
      </c>
      <c r="O473" t="s">
        <v>8</v>
      </c>
    </row>
    <row r="474" spans="1:15" x14ac:dyDescent="0.35">
      <c r="A474">
        <v>2001</v>
      </c>
      <c r="B474">
        <v>4</v>
      </c>
      <c r="C474">
        <v>17</v>
      </c>
      <c r="D474" s="1">
        <f t="shared" si="56"/>
        <v>36998</v>
      </c>
      <c r="E474">
        <v>0</v>
      </c>
      <c r="F474">
        <f t="shared" si="62"/>
        <v>0</v>
      </c>
      <c r="G474">
        <f t="shared" si="57"/>
        <v>0</v>
      </c>
      <c r="H474">
        <f t="shared" si="63"/>
        <v>0</v>
      </c>
      <c r="I474">
        <v>473</v>
      </c>
      <c r="J474">
        <f t="shared" si="58"/>
        <v>0.96028768630086625</v>
      </c>
      <c r="K474">
        <f t="shared" si="59"/>
        <v>-0.27901175519846683</v>
      </c>
      <c r="L474">
        <f>VLOOKUP(D474,[1]SOI!$A$1:$C$142,3)</f>
        <v>6.7</v>
      </c>
      <c r="M474" s="2">
        <f t="shared" si="60"/>
        <v>454.21607562030971</v>
      </c>
      <c r="N474">
        <f t="shared" si="61"/>
        <v>-131.9725602088748</v>
      </c>
      <c r="O474" t="s">
        <v>8</v>
      </c>
    </row>
    <row r="475" spans="1:15" x14ac:dyDescent="0.35">
      <c r="A475">
        <v>2001</v>
      </c>
      <c r="B475">
        <v>4</v>
      </c>
      <c r="C475">
        <v>18</v>
      </c>
      <c r="D475" s="1">
        <f t="shared" si="56"/>
        <v>36999</v>
      </c>
      <c r="E475">
        <v>0</v>
      </c>
      <c r="F475">
        <f t="shared" si="62"/>
        <v>0</v>
      </c>
      <c r="G475">
        <f t="shared" si="57"/>
        <v>0</v>
      </c>
      <c r="H475">
        <f t="shared" si="63"/>
        <v>0</v>
      </c>
      <c r="I475">
        <v>474</v>
      </c>
      <c r="J475">
        <f t="shared" si="58"/>
        <v>0.95534616226327884</v>
      </c>
      <c r="K475">
        <f t="shared" si="59"/>
        <v>-0.29548893422398215</v>
      </c>
      <c r="L475">
        <f>VLOOKUP(D475,[1]SOI!$A$1:$C$142,3)</f>
        <v>6.7</v>
      </c>
      <c r="M475" s="2">
        <f t="shared" si="60"/>
        <v>452.83408091279415</v>
      </c>
      <c r="N475">
        <f t="shared" si="61"/>
        <v>-140.06175482216753</v>
      </c>
      <c r="O475" t="s">
        <v>8</v>
      </c>
    </row>
    <row r="476" spans="1:15" x14ac:dyDescent="0.35">
      <c r="A476">
        <v>2001</v>
      </c>
      <c r="B476">
        <v>4</v>
      </c>
      <c r="C476">
        <v>19</v>
      </c>
      <c r="D476" s="1">
        <f t="shared" si="56"/>
        <v>37000</v>
      </c>
      <c r="E476">
        <v>1</v>
      </c>
      <c r="F476">
        <f t="shared" si="62"/>
        <v>0</v>
      </c>
      <c r="G476">
        <f t="shared" si="57"/>
        <v>1</v>
      </c>
      <c r="H476">
        <f t="shared" si="63"/>
        <v>0</v>
      </c>
      <c r="I476">
        <v>475</v>
      </c>
      <c r="J476">
        <f t="shared" si="58"/>
        <v>0.95012193592623606</v>
      </c>
      <c r="K476">
        <f t="shared" si="59"/>
        <v>-0.31187867331990071</v>
      </c>
      <c r="L476">
        <f>VLOOKUP(D476,[1]SOI!$A$1:$C$142,3)</f>
        <v>6.7</v>
      </c>
      <c r="M476" s="2">
        <f t="shared" si="60"/>
        <v>451.30791956496211</v>
      </c>
      <c r="N476">
        <f t="shared" si="61"/>
        <v>-148.14236982695283</v>
      </c>
      <c r="O476" t="s">
        <v>8</v>
      </c>
    </row>
    <row r="477" spans="1:15" x14ac:dyDescent="0.35">
      <c r="A477">
        <v>2001</v>
      </c>
      <c r="B477">
        <v>4</v>
      </c>
      <c r="C477">
        <v>20</v>
      </c>
      <c r="D477" s="1">
        <f t="shared" si="56"/>
        <v>37001</v>
      </c>
      <c r="E477">
        <v>0</v>
      </c>
      <c r="F477">
        <f t="shared" si="62"/>
        <v>1</v>
      </c>
      <c r="G477">
        <f t="shared" si="57"/>
        <v>0</v>
      </c>
      <c r="H477">
        <f t="shared" si="63"/>
        <v>1</v>
      </c>
      <c r="I477">
        <v>476</v>
      </c>
      <c r="J477">
        <f t="shared" si="58"/>
        <v>0.9446165532223606</v>
      </c>
      <c r="K477">
        <f t="shared" si="59"/>
        <v>-0.32817612249873862</v>
      </c>
      <c r="L477">
        <f>VLOOKUP(D477,[1]SOI!$A$1:$C$142,3)</f>
        <v>6.7</v>
      </c>
      <c r="M477" s="2">
        <f t="shared" si="60"/>
        <v>449.63747933384366</v>
      </c>
      <c r="N477">
        <f t="shared" si="61"/>
        <v>-156.21183430939959</v>
      </c>
      <c r="O477" t="s">
        <v>8</v>
      </c>
    </row>
    <row r="478" spans="1:15" x14ac:dyDescent="0.35">
      <c r="A478">
        <v>2001</v>
      </c>
      <c r="B478">
        <v>4</v>
      </c>
      <c r="C478">
        <v>21</v>
      </c>
      <c r="D478" s="1">
        <f t="shared" si="56"/>
        <v>37002</v>
      </c>
      <c r="E478">
        <v>0</v>
      </c>
      <c r="F478">
        <f t="shared" si="62"/>
        <v>0</v>
      </c>
      <c r="G478">
        <f t="shared" si="57"/>
        <v>0</v>
      </c>
      <c r="H478">
        <f t="shared" si="63"/>
        <v>0</v>
      </c>
      <c r="I478">
        <v>477</v>
      </c>
      <c r="J478">
        <f t="shared" si="58"/>
        <v>0.9388316432829672</v>
      </c>
      <c r="K478">
        <f t="shared" si="59"/>
        <v>-0.34437645908308467</v>
      </c>
      <c r="L478">
        <f>VLOOKUP(D478,[1]SOI!$A$1:$C$142,3)</f>
        <v>6.7</v>
      </c>
      <c r="M478" s="2">
        <f t="shared" si="60"/>
        <v>447.82269384597538</v>
      </c>
      <c r="N478">
        <f t="shared" si="61"/>
        <v>-164.26757098263138</v>
      </c>
      <c r="O478" t="s">
        <v>8</v>
      </c>
    </row>
    <row r="479" spans="1:15" x14ac:dyDescent="0.35">
      <c r="A479">
        <v>2001</v>
      </c>
      <c r="B479">
        <v>4</v>
      </c>
      <c r="C479">
        <v>22</v>
      </c>
      <c r="D479" s="1">
        <f t="shared" si="56"/>
        <v>37003</v>
      </c>
      <c r="E479">
        <v>29.2</v>
      </c>
      <c r="F479">
        <f t="shared" si="62"/>
        <v>0</v>
      </c>
      <c r="G479">
        <f t="shared" si="57"/>
        <v>1</v>
      </c>
      <c r="H479">
        <f t="shared" si="63"/>
        <v>0</v>
      </c>
      <c r="I479">
        <v>478</v>
      </c>
      <c r="J479">
        <f t="shared" si="58"/>
        <v>0.93276891795597816</v>
      </c>
      <c r="K479">
        <f t="shared" si="59"/>
        <v>-0.36047488913270193</v>
      </c>
      <c r="L479">
        <f>VLOOKUP(D479,[1]SOI!$A$1:$C$142,3)</f>
        <v>6.7</v>
      </c>
      <c r="M479" s="2">
        <f t="shared" si="60"/>
        <v>445.86354278295755</v>
      </c>
      <c r="N479">
        <f t="shared" si="61"/>
        <v>-172.30699700543153</v>
      </c>
      <c r="O479" t="s">
        <v>8</v>
      </c>
    </row>
    <row r="480" spans="1:15" x14ac:dyDescent="0.35">
      <c r="A480">
        <v>2001</v>
      </c>
      <c r="B480">
        <v>4</v>
      </c>
      <c r="C480">
        <v>23</v>
      </c>
      <c r="D480" s="1">
        <f t="shared" si="56"/>
        <v>37004</v>
      </c>
      <c r="E480">
        <v>30</v>
      </c>
      <c r="F480">
        <f t="shared" si="62"/>
        <v>29.2</v>
      </c>
      <c r="G480">
        <f t="shared" si="57"/>
        <v>1</v>
      </c>
      <c r="H480">
        <f t="shared" si="63"/>
        <v>1</v>
      </c>
      <c r="I480">
        <v>479</v>
      </c>
      <c r="J480">
        <f t="shared" si="58"/>
        <v>0.92643017129935645</v>
      </c>
      <c r="K480">
        <f t="shared" si="59"/>
        <v>-0.37646664886314318</v>
      </c>
      <c r="L480">
        <f>VLOOKUP(D480,[1]SOI!$A$1:$C$142,3)</f>
        <v>6.7</v>
      </c>
      <c r="M480" s="2">
        <f t="shared" si="60"/>
        <v>443.76005205239176</v>
      </c>
      <c r="N480">
        <f t="shared" si="61"/>
        <v>-180.32752480544559</v>
      </c>
      <c r="O480" t="s">
        <v>8</v>
      </c>
    </row>
    <row r="481" spans="1:15" x14ac:dyDescent="0.35">
      <c r="A481">
        <v>2001</v>
      </c>
      <c r="B481">
        <v>4</v>
      </c>
      <c r="C481">
        <v>24</v>
      </c>
      <c r="D481" s="1">
        <f t="shared" si="56"/>
        <v>37005</v>
      </c>
      <c r="E481">
        <v>39.200000000000003</v>
      </c>
      <c r="F481">
        <f t="shared" si="62"/>
        <v>30</v>
      </c>
      <c r="G481">
        <f t="shared" si="57"/>
        <v>1</v>
      </c>
      <c r="H481">
        <f t="shared" si="63"/>
        <v>1</v>
      </c>
      <c r="I481">
        <v>480</v>
      </c>
      <c r="J481">
        <f t="shared" si="58"/>
        <v>0.91981727905021959</v>
      </c>
      <c r="K481">
        <f t="shared" si="59"/>
        <v>-0.39234700605541822</v>
      </c>
      <c r="L481">
        <f>VLOOKUP(D481,[1]SOI!$A$1:$C$142,3)</f>
        <v>6.7</v>
      </c>
      <c r="M481" s="2">
        <f t="shared" si="60"/>
        <v>441.51229394410541</v>
      </c>
      <c r="N481">
        <f t="shared" si="61"/>
        <v>-188.32656290660074</v>
      </c>
      <c r="O481" t="s">
        <v>8</v>
      </c>
    </row>
    <row r="482" spans="1:15" x14ac:dyDescent="0.35">
      <c r="A482">
        <v>2001</v>
      </c>
      <c r="B482">
        <v>4</v>
      </c>
      <c r="C482">
        <v>25</v>
      </c>
      <c r="D482" s="1">
        <f t="shared" si="56"/>
        <v>37006</v>
      </c>
      <c r="E482">
        <v>10.8</v>
      </c>
      <c r="F482">
        <f t="shared" si="62"/>
        <v>39.200000000000003</v>
      </c>
      <c r="G482">
        <f t="shared" si="57"/>
        <v>1</v>
      </c>
      <c r="H482">
        <f t="shared" si="63"/>
        <v>1</v>
      </c>
      <c r="I482">
        <v>481</v>
      </c>
      <c r="J482">
        <f t="shared" si="58"/>
        <v>0.91293219806977488</v>
      </c>
      <c r="K482">
        <f t="shared" si="59"/>
        <v>-0.40811126145634508</v>
      </c>
      <c r="L482">
        <f>VLOOKUP(D482,[1]SOI!$A$1:$C$142,3)</f>
        <v>6.7</v>
      </c>
      <c r="M482" s="2">
        <f t="shared" si="60"/>
        <v>439.1203872715617</v>
      </c>
      <c r="N482">
        <f t="shared" si="61"/>
        <v>-196.30151676050198</v>
      </c>
      <c r="O482" t="s">
        <v>8</v>
      </c>
    </row>
    <row r="483" spans="1:15" x14ac:dyDescent="0.35">
      <c r="A483">
        <v>2001</v>
      </c>
      <c r="B483">
        <v>4</v>
      </c>
      <c r="C483">
        <v>26</v>
      </c>
      <c r="D483" s="1">
        <f t="shared" si="56"/>
        <v>37007</v>
      </c>
      <c r="E483">
        <v>0</v>
      </c>
      <c r="F483">
        <f t="shared" si="62"/>
        <v>10.8</v>
      </c>
      <c r="G483">
        <f t="shared" si="57"/>
        <v>0</v>
      </c>
      <c r="H483">
        <f t="shared" si="63"/>
        <v>1</v>
      </c>
      <c r="I483">
        <v>482</v>
      </c>
      <c r="J483">
        <f t="shared" si="58"/>
        <v>0.90577696576425393</v>
      </c>
      <c r="K483">
        <f t="shared" si="59"/>
        <v>-0.42375475016912983</v>
      </c>
      <c r="L483">
        <f>VLOOKUP(D483,[1]SOI!$A$1:$C$142,3)</f>
        <v>6.7</v>
      </c>
      <c r="M483" s="2">
        <f t="shared" si="60"/>
        <v>436.58449749837041</v>
      </c>
      <c r="N483">
        <f t="shared" si="61"/>
        <v>-204.24978958152059</v>
      </c>
      <c r="O483" t="s">
        <v>8</v>
      </c>
    </row>
    <row r="484" spans="1:15" x14ac:dyDescent="0.35">
      <c r="A484">
        <v>2001</v>
      </c>
      <c r="B484">
        <v>4</v>
      </c>
      <c r="C484">
        <v>27</v>
      </c>
      <c r="D484" s="1">
        <f t="shared" si="56"/>
        <v>37008</v>
      </c>
      <c r="E484">
        <v>0</v>
      </c>
      <c r="F484">
        <f t="shared" si="62"/>
        <v>0</v>
      </c>
      <c r="G484">
        <f t="shared" si="57"/>
        <v>0</v>
      </c>
      <c r="H484">
        <f t="shared" si="63"/>
        <v>0</v>
      </c>
      <c r="I484">
        <v>483</v>
      </c>
      <c r="J484">
        <f t="shared" si="58"/>
        <v>0.89835369948201382</v>
      </c>
      <c r="K484">
        <f t="shared" si="59"/>
        <v>-0.43927284303377956</v>
      </c>
      <c r="L484">
        <f>VLOOKUP(D484,[1]SOI!$A$1:$C$142,3)</f>
        <v>6.7</v>
      </c>
      <c r="M484" s="2">
        <f t="shared" si="60"/>
        <v>433.90483684981268</v>
      </c>
      <c r="N484">
        <f t="shared" si="61"/>
        <v>-212.16878318531553</v>
      </c>
      <c r="O484" t="s">
        <v>8</v>
      </c>
    </row>
    <row r="485" spans="1:15" x14ac:dyDescent="0.35">
      <c r="A485">
        <v>2001</v>
      </c>
      <c r="B485">
        <v>4</v>
      </c>
      <c r="C485">
        <v>28</v>
      </c>
      <c r="D485" s="1">
        <f t="shared" si="56"/>
        <v>37009</v>
      </c>
      <c r="E485">
        <v>5.8</v>
      </c>
      <c r="F485">
        <f t="shared" si="62"/>
        <v>0</v>
      </c>
      <c r="G485">
        <f t="shared" si="57"/>
        <v>1</v>
      </c>
      <c r="H485">
        <f t="shared" si="63"/>
        <v>0</v>
      </c>
      <c r="I485">
        <v>484</v>
      </c>
      <c r="J485">
        <f t="shared" si="58"/>
        <v>0.89066459588697511</v>
      </c>
      <c r="K485">
        <f t="shared" si="59"/>
        <v>-0.45466094799695672</v>
      </c>
      <c r="L485">
        <f>VLOOKUP(D485,[1]SOI!$A$1:$C$142,3)</f>
        <v>6.7</v>
      </c>
      <c r="M485" s="2">
        <f t="shared" si="60"/>
        <v>431.08166440929597</v>
      </c>
      <c r="N485">
        <f t="shared" si="61"/>
        <v>-220.05589883052704</v>
      </c>
      <c r="O485" t="s">
        <v>8</v>
      </c>
    </row>
    <row r="486" spans="1:15" x14ac:dyDescent="0.35">
      <c r="A486">
        <v>2001</v>
      </c>
      <c r="B486">
        <v>4</v>
      </c>
      <c r="C486">
        <v>29</v>
      </c>
      <c r="D486" s="1">
        <f t="shared" si="56"/>
        <v>37010</v>
      </c>
      <c r="E486">
        <v>0.2</v>
      </c>
      <c r="F486">
        <f t="shared" si="62"/>
        <v>5.8</v>
      </c>
      <c r="G486">
        <f t="shared" si="57"/>
        <v>1</v>
      </c>
      <c r="H486">
        <f t="shared" si="63"/>
        <v>1</v>
      </c>
      <c r="I486">
        <v>485</v>
      </c>
      <c r="J486">
        <f t="shared" si="58"/>
        <v>0.88271193030859951</v>
      </c>
      <c r="K486">
        <f t="shared" si="59"/>
        <v>-0.46991451147082713</v>
      </c>
      <c r="L486">
        <f>VLOOKUP(D486,[1]SOI!$A$1:$C$142,3)</f>
        <v>6.7</v>
      </c>
      <c r="M486" s="2">
        <f t="shared" si="60"/>
        <v>428.11528619967078</v>
      </c>
      <c r="N486">
        <f t="shared" si="61"/>
        <v>-227.90853806335116</v>
      </c>
      <c r="O486" t="s">
        <v>8</v>
      </c>
    </row>
    <row r="487" spans="1:15" x14ac:dyDescent="0.35">
      <c r="A487">
        <v>2001</v>
      </c>
      <c r="B487">
        <v>4</v>
      </c>
      <c r="C487">
        <v>30</v>
      </c>
      <c r="D487" s="1">
        <f t="shared" si="56"/>
        <v>37011</v>
      </c>
      <c r="E487">
        <v>0</v>
      </c>
      <c r="F487">
        <f t="shared" si="62"/>
        <v>0.2</v>
      </c>
      <c r="G487">
        <f t="shared" si="57"/>
        <v>0</v>
      </c>
      <c r="H487">
        <f t="shared" si="63"/>
        <v>1</v>
      </c>
      <c r="I487">
        <v>486</v>
      </c>
      <c r="J487">
        <f t="shared" si="58"/>
        <v>0.87449805606857467</v>
      </c>
      <c r="K487">
        <f t="shared" si="59"/>
        <v>-0.48502901968055895</v>
      </c>
      <c r="L487">
        <f>VLOOKUP(D487,[1]SOI!$A$1:$C$142,3)</f>
        <v>6.7</v>
      </c>
      <c r="M487" s="2">
        <f t="shared" si="60"/>
        <v>425.00605524932729</v>
      </c>
      <c r="N487">
        <f t="shared" si="61"/>
        <v>-235.72410356475166</v>
      </c>
      <c r="O487" t="s">
        <v>8</v>
      </c>
    </row>
    <row r="488" spans="1:15" x14ac:dyDescent="0.35">
      <c r="A488">
        <v>2001</v>
      </c>
      <c r="B488">
        <v>5</v>
      </c>
      <c r="C488">
        <v>1</v>
      </c>
      <c r="D488" s="1">
        <f t="shared" si="56"/>
        <v>37012</v>
      </c>
      <c r="E488">
        <v>0</v>
      </c>
      <c r="F488">
        <f t="shared" si="62"/>
        <v>0</v>
      </c>
      <c r="G488">
        <f t="shared" si="57"/>
        <v>0</v>
      </c>
      <c r="H488">
        <f t="shared" si="63"/>
        <v>0</v>
      </c>
      <c r="I488">
        <v>487</v>
      </c>
      <c r="J488">
        <f t="shared" si="58"/>
        <v>0.86602540378443915</v>
      </c>
      <c r="K488">
        <f t="shared" si="59"/>
        <v>-0.49999999999999922</v>
      </c>
      <c r="L488">
        <f>VLOOKUP(D488,[1]SOI!$A$1:$C$142,3)</f>
        <v>0.3</v>
      </c>
      <c r="M488" s="2">
        <f t="shared" si="60"/>
        <v>421.75437164302184</v>
      </c>
      <c r="N488">
        <f t="shared" si="61"/>
        <v>-243.49999999999963</v>
      </c>
      <c r="O488" t="s">
        <v>8</v>
      </c>
    </row>
    <row r="489" spans="1:15" x14ac:dyDescent="0.35">
      <c r="A489">
        <v>2001</v>
      </c>
      <c r="B489">
        <v>5</v>
      </c>
      <c r="C489">
        <v>2</v>
      </c>
      <c r="D489" s="1">
        <f t="shared" si="56"/>
        <v>37013</v>
      </c>
      <c r="E489">
        <v>0</v>
      </c>
      <c r="F489">
        <f t="shared" si="62"/>
        <v>0</v>
      </c>
      <c r="G489">
        <f t="shared" si="57"/>
        <v>0</v>
      </c>
      <c r="H489">
        <f t="shared" si="63"/>
        <v>0</v>
      </c>
      <c r="I489">
        <v>488</v>
      </c>
      <c r="J489">
        <f t="shared" si="58"/>
        <v>0.85729648065031383</v>
      </c>
      <c r="K489">
        <f t="shared" si="59"/>
        <v>-0.51482302227521448</v>
      </c>
      <c r="L489">
        <f>VLOOKUP(D489,[1]SOI!$A$1:$C$142,3)</f>
        <v>0.3</v>
      </c>
      <c r="M489" s="2">
        <f t="shared" si="60"/>
        <v>418.36068255735313</v>
      </c>
      <c r="N489">
        <f t="shared" si="61"/>
        <v>-251.23363487030466</v>
      </c>
      <c r="O489" t="s">
        <v>8</v>
      </c>
    </row>
    <row r="490" spans="1:15" x14ac:dyDescent="0.35">
      <c r="A490">
        <v>2001</v>
      </c>
      <c r="B490">
        <v>5</v>
      </c>
      <c r="C490">
        <v>3</v>
      </c>
      <c r="D490" s="1">
        <f t="shared" si="56"/>
        <v>37014</v>
      </c>
      <c r="E490">
        <v>0</v>
      </c>
      <c r="F490">
        <f t="shared" si="62"/>
        <v>0</v>
      </c>
      <c r="G490">
        <f t="shared" si="57"/>
        <v>0</v>
      </c>
      <c r="H490">
        <f t="shared" si="63"/>
        <v>0</v>
      </c>
      <c r="I490">
        <v>489</v>
      </c>
      <c r="J490">
        <f t="shared" si="58"/>
        <v>0.84831386969499101</v>
      </c>
      <c r="K490">
        <f t="shared" si="59"/>
        <v>-0.52949370013543107</v>
      </c>
      <c r="L490">
        <f>VLOOKUP(D490,[1]SOI!$A$1:$C$142,3)</f>
        <v>0.3</v>
      </c>
      <c r="M490" s="2">
        <f t="shared" si="60"/>
        <v>414.82548228085062</v>
      </c>
      <c r="N490">
        <f t="shared" si="61"/>
        <v>-258.92241936622577</v>
      </c>
      <c r="O490" t="s">
        <v>8</v>
      </c>
    </row>
    <row r="491" spans="1:15" x14ac:dyDescent="0.35">
      <c r="A491">
        <v>2001</v>
      </c>
      <c r="B491">
        <v>5</v>
      </c>
      <c r="C491">
        <v>4</v>
      </c>
      <c r="D491" s="1">
        <f t="shared" si="56"/>
        <v>37015</v>
      </c>
      <c r="E491">
        <v>0</v>
      </c>
      <c r="F491">
        <f t="shared" si="62"/>
        <v>0</v>
      </c>
      <c r="G491">
        <f t="shared" si="57"/>
        <v>0</v>
      </c>
      <c r="H491">
        <f t="shared" si="63"/>
        <v>0</v>
      </c>
      <c r="I491">
        <v>490</v>
      </c>
      <c r="J491">
        <f t="shared" si="58"/>
        <v>0.83908022901756762</v>
      </c>
      <c r="K491">
        <f t="shared" si="59"/>
        <v>-0.54400769229104307</v>
      </c>
      <c r="L491">
        <f>VLOOKUP(D491,[1]SOI!$A$1:$C$142,3)</f>
        <v>0.3</v>
      </c>
      <c r="M491" s="2">
        <f t="shared" si="60"/>
        <v>411.14931221860815</v>
      </c>
      <c r="N491">
        <f t="shared" si="61"/>
        <v>-266.56376922261109</v>
      </c>
      <c r="O491" t="s">
        <v>8</v>
      </c>
    </row>
    <row r="492" spans="1:15" x14ac:dyDescent="0.35">
      <c r="A492">
        <v>2001</v>
      </c>
      <c r="B492">
        <v>5</v>
      </c>
      <c r="C492">
        <v>5</v>
      </c>
      <c r="D492" s="1">
        <f t="shared" si="56"/>
        <v>37016</v>
      </c>
      <c r="E492">
        <v>0</v>
      </c>
      <c r="F492">
        <f t="shared" si="62"/>
        <v>0</v>
      </c>
      <c r="G492">
        <f t="shared" si="57"/>
        <v>0</v>
      </c>
      <c r="H492">
        <f t="shared" si="63"/>
        <v>0</v>
      </c>
      <c r="I492">
        <v>491</v>
      </c>
      <c r="J492">
        <f t="shared" si="58"/>
        <v>0.82959829100087423</v>
      </c>
      <c r="K492">
        <f t="shared" si="59"/>
        <v>-0.55836070381826552</v>
      </c>
      <c r="L492">
        <f>VLOOKUP(D492,[1]SOI!$A$1:$C$142,3)</f>
        <v>0.3</v>
      </c>
      <c r="M492" s="2">
        <f t="shared" si="60"/>
        <v>407.33276088142924</v>
      </c>
      <c r="N492">
        <f t="shared" si="61"/>
        <v>-274.15510557476836</v>
      </c>
      <c r="O492" t="s">
        <v>8</v>
      </c>
    </row>
    <row r="493" spans="1:15" x14ac:dyDescent="0.35">
      <c r="A493">
        <v>2001</v>
      </c>
      <c r="B493">
        <v>5</v>
      </c>
      <c r="C493">
        <v>6</v>
      </c>
      <c r="D493" s="1">
        <f t="shared" si="56"/>
        <v>37017</v>
      </c>
      <c r="E493">
        <v>0</v>
      </c>
      <c r="F493">
        <f t="shared" si="62"/>
        <v>0</v>
      </c>
      <c r="G493">
        <f t="shared" si="57"/>
        <v>0</v>
      </c>
      <c r="H493">
        <f t="shared" si="63"/>
        <v>0</v>
      </c>
      <c r="I493">
        <v>492</v>
      </c>
      <c r="J493">
        <f t="shared" si="58"/>
        <v>0.81987086150292154</v>
      </c>
      <c r="K493">
        <f t="shared" si="59"/>
        <v>-0.5725484874300667</v>
      </c>
      <c r="L493">
        <f>VLOOKUP(D493,[1]SOI!$A$1:$C$142,3)</f>
        <v>0.3</v>
      </c>
      <c r="M493" s="2">
        <f t="shared" si="60"/>
        <v>403.37646385943742</v>
      </c>
      <c r="N493">
        <f t="shared" si="61"/>
        <v>-281.69385581559283</v>
      </c>
      <c r="O493" t="s">
        <v>8</v>
      </c>
    </row>
    <row r="494" spans="1:15" x14ac:dyDescent="0.35">
      <c r="A494">
        <v>2001</v>
      </c>
      <c r="B494">
        <v>5</v>
      </c>
      <c r="C494">
        <v>7</v>
      </c>
      <c r="D494" s="1">
        <f t="shared" si="56"/>
        <v>37018</v>
      </c>
      <c r="E494">
        <v>0</v>
      </c>
      <c r="F494">
        <f t="shared" si="62"/>
        <v>0</v>
      </c>
      <c r="G494">
        <f t="shared" si="57"/>
        <v>0</v>
      </c>
      <c r="H494">
        <f t="shared" si="63"/>
        <v>0</v>
      </c>
      <c r="I494">
        <v>493</v>
      </c>
      <c r="J494">
        <f t="shared" si="58"/>
        <v>0.80990081902659539</v>
      </c>
      <c r="K494">
        <f t="shared" si="59"/>
        <v>-0.58656684473301934</v>
      </c>
      <c r="L494">
        <f>VLOOKUP(D494,[1]SOI!$A$1:$C$142,3)</f>
        <v>0.3</v>
      </c>
      <c r="M494" s="2">
        <f t="shared" si="60"/>
        <v>399.28110378011155</v>
      </c>
      <c r="N494">
        <f t="shared" si="61"/>
        <v>-289.17745445337852</v>
      </c>
      <c r="O494" t="s">
        <v>8</v>
      </c>
    </row>
    <row r="495" spans="1:15" x14ac:dyDescent="0.35">
      <c r="A495">
        <v>2001</v>
      </c>
      <c r="B495">
        <v>5</v>
      </c>
      <c r="C495">
        <v>8</v>
      </c>
      <c r="D495" s="1">
        <f t="shared" si="56"/>
        <v>37019</v>
      </c>
      <c r="E495">
        <v>0</v>
      </c>
      <c r="F495">
        <f t="shared" si="62"/>
        <v>0</v>
      </c>
      <c r="G495">
        <f t="shared" si="57"/>
        <v>0</v>
      </c>
      <c r="H495">
        <f t="shared" si="63"/>
        <v>0</v>
      </c>
      <c r="I495">
        <v>494</v>
      </c>
      <c r="J495">
        <f t="shared" si="58"/>
        <v>0.79969111386786906</v>
      </c>
      <c r="K495">
        <f t="shared" si="59"/>
        <v>-0.60041162746966104</v>
      </c>
      <c r="L495">
        <f>VLOOKUP(D495,[1]SOI!$A$1:$C$142,3)</f>
        <v>0.3</v>
      </c>
      <c r="M495" s="2">
        <f t="shared" si="60"/>
        <v>395.0474102507273</v>
      </c>
      <c r="N495">
        <f t="shared" si="61"/>
        <v>-296.60334397001253</v>
      </c>
      <c r="O495" t="s">
        <v>8</v>
      </c>
    </row>
    <row r="496" spans="1:15" x14ac:dyDescent="0.35">
      <c r="A496">
        <v>2001</v>
      </c>
      <c r="B496">
        <v>5</v>
      </c>
      <c r="C496">
        <v>9</v>
      </c>
      <c r="D496" s="1">
        <f t="shared" si="56"/>
        <v>37020</v>
      </c>
      <c r="E496">
        <v>0</v>
      </c>
      <c r="F496">
        <f t="shared" si="62"/>
        <v>0</v>
      </c>
      <c r="G496">
        <f t="shared" si="57"/>
        <v>0</v>
      </c>
      <c r="H496">
        <f t="shared" si="63"/>
        <v>0</v>
      </c>
      <c r="I496">
        <v>495</v>
      </c>
      <c r="J496">
        <f t="shared" si="58"/>
        <v>0.78924476724275627</v>
      </c>
      <c r="K496">
        <f t="shared" si="59"/>
        <v>-0.61407873874604013</v>
      </c>
      <c r="L496">
        <f>VLOOKUP(D496,[1]SOI!$A$1:$C$142,3)</f>
        <v>0.3</v>
      </c>
      <c r="M496" s="2">
        <f t="shared" si="60"/>
        <v>390.67615978516437</v>
      </c>
      <c r="N496">
        <f t="shared" si="61"/>
        <v>-303.96897567928988</v>
      </c>
      <c r="O496" t="s">
        <v>8</v>
      </c>
    </row>
    <row r="497" spans="1:15" x14ac:dyDescent="0.35">
      <c r="A497">
        <v>2001</v>
      </c>
      <c r="B497">
        <v>5</v>
      </c>
      <c r="C497">
        <v>10</v>
      </c>
      <c r="D497" s="1">
        <f t="shared" si="56"/>
        <v>37021</v>
      </c>
      <c r="E497">
        <v>0.2</v>
      </c>
      <c r="F497">
        <f t="shared" si="62"/>
        <v>0</v>
      </c>
      <c r="G497">
        <f t="shared" si="57"/>
        <v>1</v>
      </c>
      <c r="H497">
        <f t="shared" si="63"/>
        <v>0</v>
      </c>
      <c r="I497">
        <v>496</v>
      </c>
      <c r="J497">
        <f t="shared" si="58"/>
        <v>0.77856487039328914</v>
      </c>
      <c r="K497">
        <f t="shared" si="59"/>
        <v>-0.62756413424404744</v>
      </c>
      <c r="L497">
        <f>VLOOKUP(D497,[1]SOI!$A$1:$C$142,3)</f>
        <v>0.3</v>
      </c>
      <c r="M497" s="2">
        <f t="shared" si="60"/>
        <v>386.16817571507141</v>
      </c>
      <c r="N497">
        <f t="shared" si="61"/>
        <v>-311.27181058504755</v>
      </c>
      <c r="O497" t="s">
        <v>8</v>
      </c>
    </row>
    <row r="498" spans="1:15" x14ac:dyDescent="0.35">
      <c r="A498">
        <v>2001</v>
      </c>
      <c r="B498">
        <v>5</v>
      </c>
      <c r="C498">
        <v>11</v>
      </c>
      <c r="D498" s="1">
        <f t="shared" si="56"/>
        <v>37022</v>
      </c>
      <c r="E498">
        <v>0</v>
      </c>
      <c r="F498">
        <f t="shared" si="62"/>
        <v>0.2</v>
      </c>
      <c r="G498">
        <f t="shared" si="57"/>
        <v>0</v>
      </c>
      <c r="H498">
        <f t="shared" si="63"/>
        <v>1</v>
      </c>
      <c r="I498">
        <v>497</v>
      </c>
      <c r="J498">
        <f t="shared" si="58"/>
        <v>0.76765458367276729</v>
      </c>
      <c r="K498">
        <f t="shared" si="59"/>
        <v>-0.64086382341819736</v>
      </c>
      <c r="L498">
        <f>VLOOKUP(D498,[1]SOI!$A$1:$C$142,3)</f>
        <v>0.3</v>
      </c>
      <c r="M498" s="2">
        <f t="shared" si="60"/>
        <v>381.52432808536537</v>
      </c>
      <c r="N498">
        <f t="shared" si="61"/>
        <v>-318.50932023884411</v>
      </c>
      <c r="O498" t="s">
        <v>8</v>
      </c>
    </row>
    <row r="499" spans="1:15" x14ac:dyDescent="0.35">
      <c r="A499">
        <v>2001</v>
      </c>
      <c r="B499">
        <v>5</v>
      </c>
      <c r="C499">
        <v>12</v>
      </c>
      <c r="D499" s="1">
        <f t="shared" si="56"/>
        <v>37023</v>
      </c>
      <c r="E499">
        <v>0</v>
      </c>
      <c r="F499">
        <f t="shared" si="62"/>
        <v>0</v>
      </c>
      <c r="G499">
        <f t="shared" si="57"/>
        <v>0</v>
      </c>
      <c r="H499">
        <f t="shared" si="63"/>
        <v>0</v>
      </c>
      <c r="I499">
        <v>498</v>
      </c>
      <c r="J499">
        <f t="shared" si="58"/>
        <v>0.756517135610563</v>
      </c>
      <c r="K499">
        <f t="shared" si="59"/>
        <v>-0.65397387067648882</v>
      </c>
      <c r="L499">
        <f>VLOOKUP(D499,[1]SOI!$A$1:$C$142,3)</f>
        <v>0.3</v>
      </c>
      <c r="M499" s="2">
        <f t="shared" si="60"/>
        <v>376.74553353406037</v>
      </c>
      <c r="N499">
        <f t="shared" si="61"/>
        <v>-325.67898759689143</v>
      </c>
      <c r="O499" t="s">
        <v>8</v>
      </c>
    </row>
    <row r="500" spans="1:15" x14ac:dyDescent="0.35">
      <c r="A500">
        <v>2001</v>
      </c>
      <c r="B500">
        <v>5</v>
      </c>
      <c r="C500">
        <v>13</v>
      </c>
      <c r="D500" s="1">
        <f t="shared" si="56"/>
        <v>37024</v>
      </c>
      <c r="E500">
        <v>0</v>
      </c>
      <c r="F500">
        <f t="shared" si="62"/>
        <v>0</v>
      </c>
      <c r="G500">
        <f t="shared" si="57"/>
        <v>0</v>
      </c>
      <c r="H500">
        <f t="shared" si="63"/>
        <v>0</v>
      </c>
      <c r="I500">
        <v>499</v>
      </c>
      <c r="J500">
        <f t="shared" si="58"/>
        <v>0.74515582195674013</v>
      </c>
      <c r="K500">
        <f t="shared" si="59"/>
        <v>-0.66689039654502069</v>
      </c>
      <c r="L500">
        <f>VLOOKUP(D500,[1]SOI!$A$1:$C$142,3)</f>
        <v>0.3</v>
      </c>
      <c r="M500" s="2">
        <f t="shared" si="60"/>
        <v>371.83275515641333</v>
      </c>
      <c r="N500">
        <f t="shared" si="61"/>
        <v>-332.77830787596531</v>
      </c>
      <c r="O500" t="s">
        <v>8</v>
      </c>
    </row>
    <row r="501" spans="1:15" x14ac:dyDescent="0.35">
      <c r="A501">
        <v>2001</v>
      </c>
      <c r="B501">
        <v>5</v>
      </c>
      <c r="C501">
        <v>14</v>
      </c>
      <c r="D501" s="1">
        <f t="shared" si="56"/>
        <v>37025</v>
      </c>
      <c r="E501">
        <v>0</v>
      </c>
      <c r="F501">
        <f t="shared" si="62"/>
        <v>0</v>
      </c>
      <c r="G501">
        <f t="shared" si="57"/>
        <v>0</v>
      </c>
      <c r="H501">
        <f t="shared" si="63"/>
        <v>0</v>
      </c>
      <c r="I501">
        <v>500</v>
      </c>
      <c r="J501">
        <f t="shared" si="58"/>
        <v>0.73357400470679701</v>
      </c>
      <c r="K501">
        <f t="shared" si="59"/>
        <v>-0.67960957881597883</v>
      </c>
      <c r="L501">
        <f>VLOOKUP(D501,[1]SOI!$A$1:$C$142,3)</f>
        <v>0.3</v>
      </c>
      <c r="M501" s="2">
        <f t="shared" si="60"/>
        <v>366.78700235339852</v>
      </c>
      <c r="N501">
        <f t="shared" si="61"/>
        <v>-339.8047894079894</v>
      </c>
      <c r="O501" t="s">
        <v>8</v>
      </c>
    </row>
    <row r="502" spans="1:15" x14ac:dyDescent="0.35">
      <c r="A502">
        <v>2001</v>
      </c>
      <c r="B502">
        <v>5</v>
      </c>
      <c r="C502">
        <v>15</v>
      </c>
      <c r="D502" s="1">
        <f t="shared" si="56"/>
        <v>37026</v>
      </c>
      <c r="E502">
        <v>0</v>
      </c>
      <c r="F502">
        <f t="shared" si="62"/>
        <v>0</v>
      </c>
      <c r="G502">
        <f t="shared" si="57"/>
        <v>0</v>
      </c>
      <c r="H502">
        <f t="shared" si="63"/>
        <v>0</v>
      </c>
      <c r="I502">
        <v>501</v>
      </c>
      <c r="J502">
        <f t="shared" si="58"/>
        <v>0.72177511110679038</v>
      </c>
      <c r="K502">
        <f t="shared" si="59"/>
        <v>-0.69212765367869855</v>
      </c>
      <c r="L502">
        <f>VLOOKUP(D502,[1]SOI!$A$1:$C$142,3)</f>
        <v>0.3</v>
      </c>
      <c r="M502" s="2">
        <f t="shared" si="60"/>
        <v>361.60933066450195</v>
      </c>
      <c r="N502">
        <f t="shared" si="61"/>
        <v>-346.75595449302796</v>
      </c>
      <c r="O502" t="s">
        <v>8</v>
      </c>
    </row>
    <row r="503" spans="1:15" x14ac:dyDescent="0.35">
      <c r="A503">
        <v>2001</v>
      </c>
      <c r="B503">
        <v>5</v>
      </c>
      <c r="C503">
        <v>16</v>
      </c>
      <c r="D503" s="1">
        <f t="shared" si="56"/>
        <v>37027</v>
      </c>
      <c r="E503">
        <v>0</v>
      </c>
      <c r="F503">
        <f t="shared" si="62"/>
        <v>0</v>
      </c>
      <c r="G503">
        <f t="shared" si="57"/>
        <v>0</v>
      </c>
      <c r="H503">
        <f t="shared" si="63"/>
        <v>0</v>
      </c>
      <c r="I503">
        <v>502</v>
      </c>
      <c r="J503">
        <f t="shared" si="58"/>
        <v>0.70976263263916095</v>
      </c>
      <c r="K503">
        <f t="shared" si="59"/>
        <v>-0.7044409168334328</v>
      </c>
      <c r="L503">
        <f>VLOOKUP(D503,[1]SOI!$A$1:$C$142,3)</f>
        <v>0.3</v>
      </c>
      <c r="M503" s="2">
        <f t="shared" si="60"/>
        <v>356.3008415848588</v>
      </c>
      <c r="N503">
        <f t="shared" si="61"/>
        <v>-353.62934025038328</v>
      </c>
      <c r="O503" t="s">
        <v>8</v>
      </c>
    </row>
    <row r="504" spans="1:15" x14ac:dyDescent="0.35">
      <c r="A504">
        <v>2001</v>
      </c>
      <c r="B504">
        <v>5</v>
      </c>
      <c r="C504">
        <v>17</v>
      </c>
      <c r="D504" s="1">
        <f t="shared" si="56"/>
        <v>37028</v>
      </c>
      <c r="E504">
        <v>0.6</v>
      </c>
      <c r="F504">
        <f t="shared" si="62"/>
        <v>0</v>
      </c>
      <c r="G504">
        <f t="shared" si="57"/>
        <v>1</v>
      </c>
      <c r="H504">
        <f t="shared" si="63"/>
        <v>0</v>
      </c>
      <c r="I504">
        <v>503</v>
      </c>
      <c r="J504">
        <f t="shared" si="58"/>
        <v>0.69754012398955223</v>
      </c>
      <c r="K504">
        <f t="shared" si="59"/>
        <v>-0.71654572458751031</v>
      </c>
      <c r="L504">
        <f>VLOOKUP(D504,[1]SOI!$A$1:$C$142,3)</f>
        <v>0.3</v>
      </c>
      <c r="M504" s="2">
        <f t="shared" si="60"/>
        <v>350.86268236674476</v>
      </c>
      <c r="N504">
        <f t="shared" si="61"/>
        <v>-360.4224994675177</v>
      </c>
      <c r="O504" t="s">
        <v>8</v>
      </c>
    </row>
    <row r="505" spans="1:15" x14ac:dyDescent="0.35">
      <c r="A505">
        <v>2001</v>
      </c>
      <c r="B505">
        <v>5</v>
      </c>
      <c r="C505">
        <v>18</v>
      </c>
      <c r="D505" s="1">
        <f t="shared" si="56"/>
        <v>37029</v>
      </c>
      <c r="E505">
        <v>1.4</v>
      </c>
      <c r="F505">
        <f t="shared" si="62"/>
        <v>0.6</v>
      </c>
      <c r="G505">
        <f t="shared" si="57"/>
        <v>1</v>
      </c>
      <c r="H505">
        <f t="shared" si="63"/>
        <v>1</v>
      </c>
      <c r="I505">
        <v>504</v>
      </c>
      <c r="J505">
        <f t="shared" si="58"/>
        <v>0.68511120199491349</v>
      </c>
      <c r="K505">
        <f t="shared" si="59"/>
        <v>-0.72843849493357005</v>
      </c>
      <c r="L505">
        <f>VLOOKUP(D505,[1]SOI!$A$1:$C$142,3)</f>
        <v>0.3</v>
      </c>
      <c r="M505" s="2">
        <f t="shared" si="60"/>
        <v>345.29604580543639</v>
      </c>
      <c r="N505">
        <f t="shared" si="61"/>
        <v>-367.1330014465193</v>
      </c>
      <c r="O505" t="s">
        <v>8</v>
      </c>
    </row>
    <row r="506" spans="1:15" x14ac:dyDescent="0.35">
      <c r="A506">
        <v>2001</v>
      </c>
      <c r="B506">
        <v>5</v>
      </c>
      <c r="C506">
        <v>19</v>
      </c>
      <c r="D506" s="1">
        <f t="shared" si="56"/>
        <v>37030</v>
      </c>
      <c r="E506">
        <v>0</v>
      </c>
      <c r="F506">
        <f t="shared" si="62"/>
        <v>1.4</v>
      </c>
      <c r="G506">
        <f t="shared" si="57"/>
        <v>0</v>
      </c>
      <c r="H506">
        <f t="shared" si="63"/>
        <v>1</v>
      </c>
      <c r="I506">
        <v>505</v>
      </c>
      <c r="J506">
        <f t="shared" si="58"/>
        <v>0.67247954457322512</v>
      </c>
      <c r="K506">
        <f t="shared" si="59"/>
        <v>-0.74011570860953069</v>
      </c>
      <c r="L506">
        <f>VLOOKUP(D506,[1]SOI!$A$1:$C$142,3)</f>
        <v>0.3</v>
      </c>
      <c r="M506" s="2">
        <f t="shared" si="60"/>
        <v>339.6021700094787</v>
      </c>
      <c r="N506">
        <f t="shared" si="61"/>
        <v>-373.75843284781297</v>
      </c>
      <c r="O506" t="s">
        <v>8</v>
      </c>
    </row>
    <row r="507" spans="1:15" x14ac:dyDescent="0.35">
      <c r="A507">
        <v>2001</v>
      </c>
      <c r="B507">
        <v>5</v>
      </c>
      <c r="C507">
        <v>20</v>
      </c>
      <c r="D507" s="1">
        <f t="shared" si="56"/>
        <v>37031</v>
      </c>
      <c r="E507">
        <v>0</v>
      </c>
      <c r="F507">
        <f t="shared" si="62"/>
        <v>0</v>
      </c>
      <c r="G507">
        <f t="shared" si="57"/>
        <v>0</v>
      </c>
      <c r="H507">
        <f t="shared" si="63"/>
        <v>0</v>
      </c>
      <c r="I507">
        <v>506</v>
      </c>
      <c r="J507">
        <f t="shared" si="58"/>
        <v>0.65964888963514079</v>
      </c>
      <c r="K507">
        <f t="shared" si="59"/>
        <v>-0.75157391013999808</v>
      </c>
      <c r="L507">
        <f>VLOOKUP(D507,[1]SOI!$A$1:$C$142,3)</f>
        <v>0.3</v>
      </c>
      <c r="M507" s="2">
        <f t="shared" si="60"/>
        <v>333.78233815538124</v>
      </c>
      <c r="N507">
        <f t="shared" si="61"/>
        <v>-380.29639853083904</v>
      </c>
      <c r="O507" t="s">
        <v>8</v>
      </c>
    </row>
    <row r="508" spans="1:15" x14ac:dyDescent="0.35">
      <c r="A508">
        <v>2001</v>
      </c>
      <c r="B508">
        <v>5</v>
      </c>
      <c r="C508">
        <v>21</v>
      </c>
      <c r="D508" s="1">
        <f t="shared" si="56"/>
        <v>37032</v>
      </c>
      <c r="E508">
        <v>0.8</v>
      </c>
      <c r="F508">
        <f t="shared" si="62"/>
        <v>0</v>
      </c>
      <c r="G508">
        <f t="shared" si="57"/>
        <v>1</v>
      </c>
      <c r="H508">
        <f t="shared" si="63"/>
        <v>0</v>
      </c>
      <c r="I508">
        <v>507</v>
      </c>
      <c r="J508">
        <f t="shared" si="58"/>
        <v>0.64662303397788456</v>
      </c>
      <c r="K508">
        <f t="shared" si="59"/>
        <v>-0.7628097088587924</v>
      </c>
      <c r="L508">
        <f>VLOOKUP(D508,[1]SOI!$A$1:$C$142,3)</f>
        <v>0.3</v>
      </c>
      <c r="M508" s="2">
        <f t="shared" si="60"/>
        <v>327.8378782267875</v>
      </c>
      <c r="N508">
        <f t="shared" si="61"/>
        <v>-386.74452239140777</v>
      </c>
      <c r="O508" t="s">
        <v>8</v>
      </c>
    </row>
    <row r="509" spans="1:15" x14ac:dyDescent="0.35">
      <c r="A509">
        <v>2001</v>
      </c>
      <c r="B509">
        <v>5</v>
      </c>
      <c r="C509">
        <v>22</v>
      </c>
      <c r="D509" s="1">
        <f t="shared" si="56"/>
        <v>37033</v>
      </c>
      <c r="E509">
        <v>2.8</v>
      </c>
      <c r="F509">
        <f t="shared" si="62"/>
        <v>0.8</v>
      </c>
      <c r="G509">
        <f t="shared" si="57"/>
        <v>1</v>
      </c>
      <c r="H509">
        <f t="shared" si="63"/>
        <v>1</v>
      </c>
      <c r="I509">
        <v>508</v>
      </c>
      <c r="J509">
        <f t="shared" si="58"/>
        <v>0.63340583216170865</v>
      </c>
      <c r="K509">
        <f t="shared" si="59"/>
        <v>-0.77381977991230844</v>
      </c>
      <c r="L509">
        <f>VLOOKUP(D509,[1]SOI!$A$1:$C$142,3)</f>
        <v>0.3</v>
      </c>
      <c r="M509" s="2">
        <f t="shared" si="60"/>
        <v>321.77016273814797</v>
      </c>
      <c r="N509">
        <f t="shared" si="61"/>
        <v>-393.10044819545271</v>
      </c>
      <c r="O509" t="s">
        <v>8</v>
      </c>
    </row>
    <row r="510" spans="1:15" x14ac:dyDescent="0.35">
      <c r="A510">
        <v>2001</v>
      </c>
      <c r="B510">
        <v>5</v>
      </c>
      <c r="C510">
        <v>23</v>
      </c>
      <c r="D510" s="1">
        <f t="shared" si="56"/>
        <v>37034</v>
      </c>
      <c r="E510">
        <v>0</v>
      </c>
      <c r="F510">
        <f t="shared" si="62"/>
        <v>2.8</v>
      </c>
      <c r="G510">
        <f t="shared" si="57"/>
        <v>0</v>
      </c>
      <c r="H510">
        <f t="shared" si="63"/>
        <v>1</v>
      </c>
      <c r="I510">
        <v>509</v>
      </c>
      <c r="J510">
        <f t="shared" si="58"/>
        <v>0.62000119536927745</v>
      </c>
      <c r="K510">
        <f t="shared" si="59"/>
        <v>-0.78460086524338413</v>
      </c>
      <c r="L510">
        <f>VLOOKUP(D510,[1]SOI!$A$1:$C$142,3)</f>
        <v>0.3</v>
      </c>
      <c r="M510" s="2">
        <f t="shared" si="60"/>
        <v>315.58060844296222</v>
      </c>
      <c r="N510">
        <f t="shared" si="61"/>
        <v>-399.36184040888253</v>
      </c>
      <c r="O510" t="s">
        <v>8</v>
      </c>
    </row>
    <row r="511" spans="1:15" x14ac:dyDescent="0.35">
      <c r="A511">
        <v>2001</v>
      </c>
      <c r="B511">
        <v>5</v>
      </c>
      <c r="C511">
        <v>24</v>
      </c>
      <c r="D511" s="1">
        <f t="shared" si="56"/>
        <v>37035</v>
      </c>
      <c r="E511">
        <v>0.6</v>
      </c>
      <c r="F511">
        <f t="shared" si="62"/>
        <v>0</v>
      </c>
      <c r="G511">
        <f t="shared" si="57"/>
        <v>1</v>
      </c>
      <c r="H511">
        <f t="shared" si="63"/>
        <v>0</v>
      </c>
      <c r="I511">
        <v>510</v>
      </c>
      <c r="J511">
        <f t="shared" si="58"/>
        <v>0.6064130902482765</v>
      </c>
      <c r="K511">
        <f t="shared" si="59"/>
        <v>-0.79514977455542024</v>
      </c>
      <c r="L511">
        <f>VLOOKUP(D511,[1]SOI!$A$1:$C$142,3)</f>
        <v>0.3</v>
      </c>
      <c r="M511" s="2">
        <f t="shared" si="60"/>
        <v>309.270676026621</v>
      </c>
      <c r="N511">
        <f t="shared" si="61"/>
        <v>-405.52638502326431</v>
      </c>
      <c r="O511" t="s">
        <v>8</v>
      </c>
    </row>
    <row r="512" spans="1:15" x14ac:dyDescent="0.35">
      <c r="A512">
        <v>2001</v>
      </c>
      <c r="B512">
        <v>5</v>
      </c>
      <c r="C512">
        <v>25</v>
      </c>
      <c r="D512" s="1">
        <f t="shared" si="56"/>
        <v>37036</v>
      </c>
      <c r="E512">
        <v>0</v>
      </c>
      <c r="F512">
        <f t="shared" si="62"/>
        <v>0.6</v>
      </c>
      <c r="G512">
        <f t="shared" si="57"/>
        <v>0</v>
      </c>
      <c r="H512">
        <f t="shared" si="63"/>
        <v>1</v>
      </c>
      <c r="I512">
        <v>511</v>
      </c>
      <c r="J512">
        <f t="shared" si="58"/>
        <v>0.59264553773762263</v>
      </c>
      <c r="K512">
        <f t="shared" si="59"/>
        <v>-0.80546338625643565</v>
      </c>
      <c r="L512">
        <f>VLOOKUP(D512,[1]SOI!$A$1:$C$142,3)</f>
        <v>0.3</v>
      </c>
      <c r="M512" s="2">
        <f t="shared" si="60"/>
        <v>302.84186978392518</v>
      </c>
      <c r="N512">
        <f t="shared" si="61"/>
        <v>-411.59179037703859</v>
      </c>
      <c r="O512" t="s">
        <v>8</v>
      </c>
    </row>
    <row r="513" spans="1:15" x14ac:dyDescent="0.35">
      <c r="A513">
        <v>2001</v>
      </c>
      <c r="B513">
        <v>5</v>
      </c>
      <c r="C513">
        <v>26</v>
      </c>
      <c r="D513" s="1">
        <f t="shared" si="56"/>
        <v>37037</v>
      </c>
      <c r="E513">
        <v>1.2</v>
      </c>
      <c r="F513">
        <f t="shared" si="62"/>
        <v>0</v>
      </c>
      <c r="G513">
        <f t="shared" si="57"/>
        <v>1</v>
      </c>
      <c r="H513">
        <f t="shared" si="63"/>
        <v>0</v>
      </c>
      <c r="I513">
        <v>512</v>
      </c>
      <c r="J513">
        <f t="shared" si="58"/>
        <v>0.57870261187760097</v>
      </c>
      <c r="K513">
        <f t="shared" si="59"/>
        <v>-0.8155386483827991</v>
      </c>
      <c r="L513">
        <f>VLOOKUP(D513,[1]SOI!$A$1:$C$142,3)</f>
        <v>0.3</v>
      </c>
      <c r="M513" s="2">
        <f t="shared" si="60"/>
        <v>296.2957372813317</v>
      </c>
      <c r="N513">
        <f t="shared" si="61"/>
        <v>-417.55578797199314</v>
      </c>
      <c r="O513" t="s">
        <v>8</v>
      </c>
    </row>
    <row r="514" spans="1:15" x14ac:dyDescent="0.35">
      <c r="A514">
        <v>2001</v>
      </c>
      <c r="B514">
        <v>5</v>
      </c>
      <c r="C514">
        <v>27</v>
      </c>
      <c r="D514" s="1">
        <f t="shared" si="56"/>
        <v>37038</v>
      </c>
      <c r="E514">
        <v>0</v>
      </c>
      <c r="F514">
        <f t="shared" si="62"/>
        <v>1.2</v>
      </c>
      <c r="G514">
        <f t="shared" si="57"/>
        <v>0</v>
      </c>
      <c r="H514">
        <f t="shared" si="63"/>
        <v>1</v>
      </c>
      <c r="I514">
        <v>513</v>
      </c>
      <c r="J514">
        <f t="shared" si="58"/>
        <v>0.56458843860429486</v>
      </c>
      <c r="K514">
        <f t="shared" si="59"/>
        <v>-0.82537257950235077</v>
      </c>
      <c r="L514">
        <f>VLOOKUP(D514,[1]SOI!$A$1:$C$142,3)</f>
        <v>0.3</v>
      </c>
      <c r="M514" s="2">
        <f t="shared" si="60"/>
        <v>289.63386900400326</v>
      </c>
      <c r="N514">
        <f t="shared" si="61"/>
        <v>-423.41613328470595</v>
      </c>
      <c r="O514" t="s">
        <v>8</v>
      </c>
    </row>
    <row r="515" spans="1:15" x14ac:dyDescent="0.35">
      <c r="A515">
        <v>2001</v>
      </c>
      <c r="B515">
        <v>5</v>
      </c>
      <c r="C515">
        <v>28</v>
      </c>
      <c r="D515" s="1">
        <f t="shared" ref="D515:D578" si="64">DATE(A515,B515,C515)</f>
        <v>37039</v>
      </c>
      <c r="E515">
        <v>1.6</v>
      </c>
      <c r="F515">
        <f t="shared" si="62"/>
        <v>0</v>
      </c>
      <c r="G515">
        <f t="shared" ref="G515:G578" si="65">IF(E515=0,0,1)</f>
        <v>1</v>
      </c>
      <c r="H515">
        <f t="shared" si="63"/>
        <v>0</v>
      </c>
      <c r="I515">
        <v>514</v>
      </c>
      <c r="J515">
        <f t="shared" ref="J515:J578" si="66">SIN(2*PI()*I515/365.25)</f>
        <v>0.55030719452865273</v>
      </c>
      <c r="K515">
        <f t="shared" ref="K515:K578" si="67">COS(2*PI()*I515/365.25)</f>
        <v>-0.83496226959665887</v>
      </c>
      <c r="L515">
        <f>VLOOKUP(D515,[1]SOI!$A$1:$C$142,3)</f>
        <v>0.3</v>
      </c>
      <c r="M515" s="2">
        <f t="shared" ref="M515:M578" si="68">I515*J515</f>
        <v>282.85789798772748</v>
      </c>
      <c r="N515">
        <f t="shared" ref="N515:N578" si="69">I515*K515</f>
        <v>-429.17060657268269</v>
      </c>
      <c r="O515" t="s">
        <v>8</v>
      </c>
    </row>
    <row r="516" spans="1:15" x14ac:dyDescent="0.35">
      <c r="A516">
        <v>2001</v>
      </c>
      <c r="B516">
        <v>5</v>
      </c>
      <c r="C516">
        <v>29</v>
      </c>
      <c r="D516" s="1">
        <f t="shared" si="64"/>
        <v>37040</v>
      </c>
      <c r="E516">
        <v>1.2</v>
      </c>
      <c r="F516">
        <f t="shared" ref="F516:F579" si="70">E515</f>
        <v>1.6</v>
      </c>
      <c r="G516">
        <f t="shared" si="65"/>
        <v>1</v>
      </c>
      <c r="H516">
        <f t="shared" ref="H516:H579" si="71">G515</f>
        <v>1</v>
      </c>
      <c r="I516">
        <v>515</v>
      </c>
      <c r="J516">
        <f t="shared" si="66"/>
        <v>0.53586310570055817</v>
      </c>
      <c r="K516">
        <f t="shared" si="67"/>
        <v>-0.84430488092214206</v>
      </c>
      <c r="L516">
        <f>VLOOKUP(D516,[1]SOI!$A$1:$C$142,3)</f>
        <v>0.3</v>
      </c>
      <c r="M516" s="2">
        <f t="shared" si="68"/>
        <v>275.96949943578744</v>
      </c>
      <c r="N516">
        <f t="shared" si="69"/>
        <v>-434.81701367490314</v>
      </c>
      <c r="O516" t="s">
        <v>8</v>
      </c>
    </row>
    <row r="517" spans="1:15" x14ac:dyDescent="0.35">
      <c r="A517">
        <v>2001</v>
      </c>
      <c r="B517">
        <v>5</v>
      </c>
      <c r="C517">
        <v>30</v>
      </c>
      <c r="D517" s="1">
        <f t="shared" si="64"/>
        <v>37041</v>
      </c>
      <c r="E517">
        <v>3.6</v>
      </c>
      <c r="F517">
        <f t="shared" si="70"/>
        <v>1.2</v>
      </c>
      <c r="G517">
        <f t="shared" si="65"/>
        <v>1</v>
      </c>
      <c r="H517">
        <f t="shared" si="71"/>
        <v>1</v>
      </c>
      <c r="I517">
        <v>516</v>
      </c>
      <c r="J517">
        <f t="shared" si="66"/>
        <v>0.5212604463582784</v>
      </c>
      <c r="K517">
        <f t="shared" si="67"/>
        <v>-0.85339764884980107</v>
      </c>
      <c r="L517">
        <f>VLOOKUP(D517,[1]SOI!$A$1:$C$142,3)</f>
        <v>0.3</v>
      </c>
      <c r="M517" s="2">
        <f t="shared" si="68"/>
        <v>268.97039032087167</v>
      </c>
      <c r="N517">
        <f t="shared" si="69"/>
        <v>-440.35318680649738</v>
      </c>
      <c r="O517" t="s">
        <v>8</v>
      </c>
    </row>
    <row r="518" spans="1:15" x14ac:dyDescent="0.35">
      <c r="A518">
        <v>2001</v>
      </c>
      <c r="B518">
        <v>5</v>
      </c>
      <c r="C518">
        <v>31</v>
      </c>
      <c r="D518" s="1">
        <f t="shared" si="64"/>
        <v>37042</v>
      </c>
      <c r="E518">
        <v>0.6</v>
      </c>
      <c r="F518">
        <f t="shared" si="70"/>
        <v>3.6</v>
      </c>
      <c r="G518">
        <f t="shared" si="65"/>
        <v>1</v>
      </c>
      <c r="H518">
        <f t="shared" si="71"/>
        <v>1</v>
      </c>
      <c r="I518">
        <v>517</v>
      </c>
      <c r="J518">
        <f t="shared" si="66"/>
        <v>0.50650353766364553</v>
      </c>
      <c r="K518">
        <f t="shared" si="67"/>
        <v>-0.86223788268331847</v>
      </c>
      <c r="L518">
        <f>VLOOKUP(D518,[1]SOI!$A$1:$C$142,3)</f>
        <v>0.3</v>
      </c>
      <c r="M518" s="2">
        <f t="shared" si="68"/>
        <v>261.86232897210476</v>
      </c>
      <c r="N518">
        <f t="shared" si="69"/>
        <v>-445.77698534727563</v>
      </c>
      <c r="O518" t="s">
        <v>8</v>
      </c>
    </row>
    <row r="519" spans="1:15" x14ac:dyDescent="0.35">
      <c r="A519">
        <v>2001</v>
      </c>
      <c r="B519">
        <v>6</v>
      </c>
      <c r="C519">
        <v>1</v>
      </c>
      <c r="D519" s="1">
        <f t="shared" si="64"/>
        <v>37043</v>
      </c>
      <c r="E519">
        <v>0</v>
      </c>
      <c r="F519">
        <f t="shared" si="70"/>
        <v>0.6</v>
      </c>
      <c r="G519">
        <f t="shared" si="65"/>
        <v>0</v>
      </c>
      <c r="H519">
        <f t="shared" si="71"/>
        <v>1</v>
      </c>
      <c r="I519">
        <v>518</v>
      </c>
      <c r="J519">
        <f t="shared" si="66"/>
        <v>0.49159674642336121</v>
      </c>
      <c r="K519">
        <f t="shared" si="67"/>
        <v>-0.87082296645527524</v>
      </c>
      <c r="L519">
        <f>VLOOKUP(D519,[1]SOI!$A$1:$C$142,3)</f>
        <v>-9</v>
      </c>
      <c r="M519" s="2">
        <f t="shared" si="68"/>
        <v>254.64711464730109</v>
      </c>
      <c r="N519">
        <f t="shared" si="69"/>
        <v>-451.0862966238326</v>
      </c>
      <c r="O519" t="s">
        <v>8</v>
      </c>
    </row>
    <row r="520" spans="1:15" x14ac:dyDescent="0.35">
      <c r="A520">
        <v>2001</v>
      </c>
      <c r="B520">
        <v>6</v>
      </c>
      <c r="C520">
        <v>2</v>
      </c>
      <c r="D520" s="1">
        <f t="shared" si="64"/>
        <v>37044</v>
      </c>
      <c r="E520">
        <v>0</v>
      </c>
      <c r="F520">
        <f t="shared" si="70"/>
        <v>0</v>
      </c>
      <c r="G520">
        <f t="shared" si="65"/>
        <v>0</v>
      </c>
      <c r="H520">
        <f t="shared" si="71"/>
        <v>0</v>
      </c>
      <c r="I520">
        <v>519</v>
      </c>
      <c r="J520">
        <f t="shared" si="66"/>
        <v>0.47654448379677755</v>
      </c>
      <c r="K520">
        <f t="shared" si="67"/>
        <v>-0.87915035970126454</v>
      </c>
      <c r="L520">
        <f>VLOOKUP(D520,[1]SOI!$A$1:$C$142,3)</f>
        <v>-9</v>
      </c>
      <c r="M520" s="2">
        <f t="shared" si="68"/>
        <v>247.32658709052754</v>
      </c>
      <c r="N520">
        <f t="shared" si="69"/>
        <v>-456.27903668495628</v>
      </c>
      <c r="O520" t="s">
        <v>8</v>
      </c>
    </row>
    <row r="521" spans="1:15" x14ac:dyDescent="0.35">
      <c r="A521">
        <v>2001</v>
      </c>
      <c r="B521">
        <v>6</v>
      </c>
      <c r="C521">
        <v>3</v>
      </c>
      <c r="D521" s="1">
        <f t="shared" si="64"/>
        <v>37045</v>
      </c>
      <c r="E521">
        <v>0</v>
      </c>
      <c r="F521">
        <f t="shared" si="70"/>
        <v>0</v>
      </c>
      <c r="G521">
        <f t="shared" si="65"/>
        <v>0</v>
      </c>
      <c r="H521">
        <f t="shared" si="71"/>
        <v>0</v>
      </c>
      <c r="I521">
        <v>520</v>
      </c>
      <c r="J521">
        <f t="shared" si="66"/>
        <v>0.461351203990578</v>
      </c>
      <c r="K521">
        <f t="shared" si="67"/>
        <v>-0.88721759821164736</v>
      </c>
      <c r="L521">
        <f>VLOOKUP(D521,[1]SOI!$A$1:$C$142,3)</f>
        <v>-9</v>
      </c>
      <c r="M521" s="2">
        <f t="shared" si="68"/>
        <v>239.90262607510056</v>
      </c>
      <c r="N521">
        <f t="shared" si="69"/>
        <v>-461.35315107005664</v>
      </c>
      <c r="O521" t="s">
        <v>8</v>
      </c>
    </row>
    <row r="522" spans="1:15" x14ac:dyDescent="0.35">
      <c r="A522">
        <v>2001</v>
      </c>
      <c r="B522">
        <v>6</v>
      </c>
      <c r="C522">
        <v>4</v>
      </c>
      <c r="D522" s="1">
        <f t="shared" si="64"/>
        <v>37046</v>
      </c>
      <c r="E522">
        <v>0.2</v>
      </c>
      <c r="F522">
        <f t="shared" si="70"/>
        <v>0</v>
      </c>
      <c r="G522">
        <f t="shared" si="65"/>
        <v>1</v>
      </c>
      <c r="H522">
        <f t="shared" si="71"/>
        <v>0</v>
      </c>
      <c r="I522">
        <v>521</v>
      </c>
      <c r="J522">
        <f t="shared" si="66"/>
        <v>0.44602140294068743</v>
      </c>
      <c r="K522">
        <f t="shared" si="67"/>
        <v>-0.89502229476076234</v>
      </c>
      <c r="L522">
        <f>VLOOKUP(D522,[1]SOI!$A$1:$C$142,3)</f>
        <v>-9</v>
      </c>
      <c r="M522" s="2">
        <f t="shared" si="68"/>
        <v>232.37715093209815</v>
      </c>
      <c r="N522">
        <f t="shared" si="69"/>
        <v>-466.30661557035717</v>
      </c>
      <c r="O522" t="s">
        <v>8</v>
      </c>
    </row>
    <row r="523" spans="1:15" x14ac:dyDescent="0.35">
      <c r="A523">
        <v>2001</v>
      </c>
      <c r="B523">
        <v>6</v>
      </c>
      <c r="C523">
        <v>5</v>
      </c>
      <c r="D523" s="1">
        <f t="shared" si="64"/>
        <v>37047</v>
      </c>
      <c r="E523">
        <v>0</v>
      </c>
      <c r="F523">
        <f t="shared" si="70"/>
        <v>0.2</v>
      </c>
      <c r="G523">
        <f t="shared" si="65"/>
        <v>0</v>
      </c>
      <c r="H523">
        <f t="shared" si="71"/>
        <v>1</v>
      </c>
      <c r="I523">
        <v>522</v>
      </c>
      <c r="J523">
        <f t="shared" si="66"/>
        <v>0.43055961698187389</v>
      </c>
      <c r="K523">
        <f t="shared" si="67"/>
        <v>-0.90256213981333278</v>
      </c>
      <c r="L523">
        <f>VLOOKUP(D523,[1]SOI!$A$1:$C$142,3)</f>
        <v>-9</v>
      </c>
      <c r="M523" s="2">
        <f t="shared" si="68"/>
        <v>224.75212006453816</v>
      </c>
      <c r="N523">
        <f t="shared" si="69"/>
        <v>-471.13743698255973</v>
      </c>
      <c r="O523" t="s">
        <v>8</v>
      </c>
    </row>
    <row r="524" spans="1:15" x14ac:dyDescent="0.35">
      <c r="A524">
        <v>2001</v>
      </c>
      <c r="B524">
        <v>6</v>
      </c>
      <c r="C524">
        <v>6</v>
      </c>
      <c r="D524" s="1">
        <f t="shared" si="64"/>
        <v>37048</v>
      </c>
      <c r="E524">
        <v>2.6</v>
      </c>
      <c r="F524">
        <f t="shared" si="70"/>
        <v>0</v>
      </c>
      <c r="G524">
        <f t="shared" si="65"/>
        <v>1</v>
      </c>
      <c r="H524">
        <f t="shared" si="71"/>
        <v>0</v>
      </c>
      <c r="I524">
        <v>523</v>
      </c>
      <c r="J524">
        <f t="shared" si="66"/>
        <v>0.41497042150535562</v>
      </c>
      <c r="K524">
        <f t="shared" si="67"/>
        <v>-0.90983490220790464</v>
      </c>
      <c r="L524">
        <f>VLOOKUP(D524,[1]SOI!$A$1:$C$142,3)</f>
        <v>-9</v>
      </c>
      <c r="M524" s="2">
        <f t="shared" si="68"/>
        <v>217.029530447301</v>
      </c>
      <c r="N524">
        <f t="shared" si="69"/>
        <v>-475.8436538547341</v>
      </c>
      <c r="O524" t="s">
        <v>8</v>
      </c>
    </row>
    <row r="525" spans="1:15" x14ac:dyDescent="0.35">
      <c r="A525">
        <v>2001</v>
      </c>
      <c r="B525">
        <v>6</v>
      </c>
      <c r="C525">
        <v>7</v>
      </c>
      <c r="D525" s="1">
        <f t="shared" si="64"/>
        <v>37049</v>
      </c>
      <c r="E525">
        <v>0.2</v>
      </c>
      <c r="F525">
        <f t="shared" si="70"/>
        <v>2.6</v>
      </c>
      <c r="G525">
        <f t="shared" si="65"/>
        <v>1</v>
      </c>
      <c r="H525">
        <f t="shared" si="71"/>
        <v>1</v>
      </c>
      <c r="I525">
        <v>524</v>
      </c>
      <c r="J525">
        <f t="shared" si="66"/>
        <v>0.3992584296048835</v>
      </c>
      <c r="K525">
        <f t="shared" si="67"/>
        <v>-0.91683842981707653</v>
      </c>
      <c r="L525">
        <f>VLOOKUP(D525,[1]SOI!$A$1:$C$142,3)</f>
        <v>-9</v>
      </c>
      <c r="M525" s="2">
        <f t="shared" si="68"/>
        <v>209.21141711295897</v>
      </c>
      <c r="N525">
        <f t="shared" si="69"/>
        <v>-480.4233372241481</v>
      </c>
      <c r="O525" t="s">
        <v>8</v>
      </c>
    </row>
    <row r="526" spans="1:15" x14ac:dyDescent="0.35">
      <c r="A526">
        <v>2001</v>
      </c>
      <c r="B526">
        <v>6</v>
      </c>
      <c r="C526">
        <v>8</v>
      </c>
      <c r="D526" s="1">
        <f t="shared" si="64"/>
        <v>37050</v>
      </c>
      <c r="E526">
        <v>0</v>
      </c>
      <c r="F526">
        <f t="shared" si="70"/>
        <v>0.2</v>
      </c>
      <c r="G526">
        <f t="shared" si="65"/>
        <v>0</v>
      </c>
      <c r="H526">
        <f t="shared" si="71"/>
        <v>1</v>
      </c>
      <c r="I526">
        <v>525</v>
      </c>
      <c r="J526">
        <f t="shared" si="66"/>
        <v>0.38342829071164081</v>
      </c>
      <c r="K526">
        <f t="shared" si="67"/>
        <v>-0.92357065018435347</v>
      </c>
      <c r="L526">
        <f>VLOOKUP(D526,[1]SOI!$A$1:$C$142,3)</f>
        <v>-9</v>
      </c>
      <c r="M526" s="2">
        <f t="shared" si="68"/>
        <v>201.29985262361143</v>
      </c>
      <c r="N526">
        <f t="shared" si="69"/>
        <v>-484.87459134678556</v>
      </c>
      <c r="O526" t="s">
        <v>8</v>
      </c>
    </row>
    <row r="527" spans="1:15" x14ac:dyDescent="0.35">
      <c r="A527">
        <v>2001</v>
      </c>
      <c r="B527">
        <v>6</v>
      </c>
      <c r="C527">
        <v>9</v>
      </c>
      <c r="D527" s="1">
        <f t="shared" si="64"/>
        <v>37051</v>
      </c>
      <c r="E527">
        <v>7.6</v>
      </c>
      <c r="F527">
        <f t="shared" si="70"/>
        <v>0</v>
      </c>
      <c r="G527">
        <f t="shared" si="65"/>
        <v>1</v>
      </c>
      <c r="H527">
        <f t="shared" si="71"/>
        <v>0</v>
      </c>
      <c r="I527">
        <v>526</v>
      </c>
      <c r="J527">
        <f t="shared" si="66"/>
        <v>0.36748468921840688</v>
      </c>
      <c r="K527">
        <f t="shared" si="67"/>
        <v>-0.93002957113741869</v>
      </c>
      <c r="L527">
        <f>VLOOKUP(D527,[1]SOI!$A$1:$C$142,3)</f>
        <v>-9</v>
      </c>
      <c r="M527" s="2">
        <f t="shared" si="68"/>
        <v>193.29694652888202</v>
      </c>
      <c r="N527">
        <f t="shared" si="69"/>
        <v>-489.19555441828226</v>
      </c>
      <c r="O527" t="s">
        <v>8</v>
      </c>
    </row>
    <row r="528" spans="1:15" x14ac:dyDescent="0.35">
      <c r="A528">
        <v>2001</v>
      </c>
      <c r="B528">
        <v>6</v>
      </c>
      <c r="C528">
        <v>10</v>
      </c>
      <c r="D528" s="1">
        <f t="shared" si="64"/>
        <v>37052</v>
      </c>
      <c r="E528">
        <v>1.4</v>
      </c>
      <c r="F528">
        <f t="shared" si="70"/>
        <v>7.6</v>
      </c>
      <c r="G528">
        <f t="shared" si="65"/>
        <v>1</v>
      </c>
      <c r="H528">
        <f t="shared" si="71"/>
        <v>1</v>
      </c>
      <c r="I528">
        <v>527</v>
      </c>
      <c r="J528">
        <f t="shared" si="66"/>
        <v>0.35143234309337473</v>
      </c>
      <c r="K528">
        <f t="shared" si="67"/>
        <v>-0.93621328137764659</v>
      </c>
      <c r="L528">
        <f>VLOOKUP(D528,[1]SOI!$A$1:$C$142,3)</f>
        <v>-9</v>
      </c>
      <c r="M528" s="2">
        <f t="shared" si="68"/>
        <v>185.20484481020847</v>
      </c>
      <c r="N528">
        <f t="shared" si="69"/>
        <v>-493.38439928601974</v>
      </c>
      <c r="O528" t="s">
        <v>8</v>
      </c>
    </row>
    <row r="529" spans="1:15" x14ac:dyDescent="0.35">
      <c r="A529">
        <v>2001</v>
      </c>
      <c r="B529">
        <v>6</v>
      </c>
      <c r="C529">
        <v>11</v>
      </c>
      <c r="D529" s="1">
        <f t="shared" si="64"/>
        <v>37053</v>
      </c>
      <c r="E529">
        <v>0</v>
      </c>
      <c r="F529">
        <f t="shared" si="70"/>
        <v>1.4</v>
      </c>
      <c r="G529">
        <f t="shared" si="65"/>
        <v>0</v>
      </c>
      <c r="H529">
        <f t="shared" si="71"/>
        <v>1</v>
      </c>
      <c r="I529">
        <v>528</v>
      </c>
      <c r="J529">
        <f t="shared" si="66"/>
        <v>0.3352760024840169</v>
      </c>
      <c r="K529">
        <f t="shared" si="67"/>
        <v>-0.94211995104569224</v>
      </c>
      <c r="L529">
        <f>VLOOKUP(D529,[1]SOI!$A$1:$C$142,3)</f>
        <v>-9</v>
      </c>
      <c r="M529" s="2">
        <f t="shared" si="68"/>
        <v>177.02572931156092</v>
      </c>
      <c r="N529">
        <f t="shared" si="69"/>
        <v>-497.43933415212553</v>
      </c>
      <c r="O529" t="s">
        <v>8</v>
      </c>
    </row>
    <row r="530" spans="1:15" x14ac:dyDescent="0.35">
      <c r="A530">
        <v>2001</v>
      </c>
      <c r="B530">
        <v>6</v>
      </c>
      <c r="C530">
        <v>12</v>
      </c>
      <c r="D530" s="1">
        <f t="shared" si="64"/>
        <v>37054</v>
      </c>
      <c r="E530">
        <v>0</v>
      </c>
      <c r="F530">
        <f t="shared" si="70"/>
        <v>0</v>
      </c>
      <c r="G530">
        <f t="shared" si="65"/>
        <v>0</v>
      </c>
      <c r="H530">
        <f t="shared" si="71"/>
        <v>0</v>
      </c>
      <c r="I530">
        <v>529</v>
      </c>
      <c r="J530">
        <f t="shared" si="66"/>
        <v>0.31902044831145349</v>
      </c>
      <c r="K530">
        <f t="shared" si="67"/>
        <v>-0.94774783226297021</v>
      </c>
      <c r="L530">
        <f>VLOOKUP(D530,[1]SOI!$A$1:$C$142,3)</f>
        <v>-9</v>
      </c>
      <c r="M530" s="2">
        <f t="shared" si="68"/>
        <v>168.76181715675889</v>
      </c>
      <c r="N530">
        <f t="shared" si="69"/>
        <v>-501.35860326711122</v>
      </c>
      <c r="O530" t="s">
        <v>8</v>
      </c>
    </row>
    <row r="531" spans="1:15" x14ac:dyDescent="0.35">
      <c r="A531">
        <v>2001</v>
      </c>
      <c r="B531">
        <v>6</v>
      </c>
      <c r="C531">
        <v>13</v>
      </c>
      <c r="D531" s="1">
        <f t="shared" si="64"/>
        <v>37055</v>
      </c>
      <c r="E531">
        <v>3</v>
      </c>
      <c r="F531">
        <f t="shared" si="70"/>
        <v>0</v>
      </c>
      <c r="G531">
        <f t="shared" si="65"/>
        <v>1</v>
      </c>
      <c r="H531">
        <f t="shared" si="71"/>
        <v>0</v>
      </c>
      <c r="I531">
        <v>530</v>
      </c>
      <c r="J531">
        <f t="shared" si="66"/>
        <v>0.30267049085568926</v>
      </c>
      <c r="K531">
        <f t="shared" si="67"/>
        <v>-0.95309525964888531</v>
      </c>
      <c r="L531">
        <f>VLOOKUP(D531,[1]SOI!$A$1:$C$142,3)</f>
        <v>-9</v>
      </c>
      <c r="M531" s="2">
        <f t="shared" si="68"/>
        <v>160.41536015351531</v>
      </c>
      <c r="N531">
        <f t="shared" si="69"/>
        <v>-505.14048761390922</v>
      </c>
      <c r="O531" t="s">
        <v>8</v>
      </c>
    </row>
    <row r="532" spans="1:15" x14ac:dyDescent="0.35">
      <c r="A532">
        <v>2001</v>
      </c>
      <c r="B532">
        <v>6</v>
      </c>
      <c r="C532">
        <v>14</v>
      </c>
      <c r="D532" s="1">
        <f t="shared" si="64"/>
        <v>37056</v>
      </c>
      <c r="E532">
        <v>2.8</v>
      </c>
      <c r="F532">
        <f t="shared" si="70"/>
        <v>3</v>
      </c>
      <c r="G532">
        <f t="shared" si="65"/>
        <v>1</v>
      </c>
      <c r="H532">
        <f t="shared" si="71"/>
        <v>1</v>
      </c>
      <c r="I532">
        <v>531</v>
      </c>
      <c r="J532">
        <f t="shared" si="66"/>
        <v>0.28623096833218092</v>
      </c>
      <c r="K532">
        <f t="shared" si="67"/>
        <v>-0.95816065081364199</v>
      </c>
      <c r="L532">
        <f>VLOOKUP(D532,[1]SOI!$A$1:$C$142,3)</f>
        <v>-9</v>
      </c>
      <c r="M532" s="2">
        <f t="shared" si="68"/>
        <v>151.98864418438808</v>
      </c>
      <c r="N532">
        <f t="shared" si="69"/>
        <v>-508.78330558204391</v>
      </c>
      <c r="O532" t="s">
        <v>8</v>
      </c>
    </row>
    <row r="533" spans="1:15" x14ac:dyDescent="0.35">
      <c r="A533">
        <v>2001</v>
      </c>
      <c r="B533">
        <v>6</v>
      </c>
      <c r="C533">
        <v>15</v>
      </c>
      <c r="D533" s="1">
        <f t="shared" si="64"/>
        <v>37057</v>
      </c>
      <c r="E533">
        <v>11.6</v>
      </c>
      <c r="F533">
        <f t="shared" si="70"/>
        <v>2.8</v>
      </c>
      <c r="G533">
        <f t="shared" si="65"/>
        <v>1</v>
      </c>
      <c r="H533">
        <f t="shared" si="71"/>
        <v>1</v>
      </c>
      <c r="I533">
        <v>532</v>
      </c>
      <c r="J533">
        <f t="shared" si="66"/>
        <v>0.26970674546012791</v>
      </c>
      <c r="K533">
        <f t="shared" si="67"/>
        <v>-0.96294250682650095</v>
      </c>
      <c r="L533">
        <f>VLOOKUP(D533,[1]SOI!$A$1:$C$142,3)</f>
        <v>-9</v>
      </c>
      <c r="M533" s="2">
        <f t="shared" si="68"/>
        <v>143.48398858478805</v>
      </c>
      <c r="N533">
        <f t="shared" si="69"/>
        <v>-512.28541363169848</v>
      </c>
      <c r="O533" t="s">
        <v>8</v>
      </c>
    </row>
    <row r="534" spans="1:15" x14ac:dyDescent="0.35">
      <c r="A534">
        <v>2001</v>
      </c>
      <c r="B534">
        <v>6</v>
      </c>
      <c r="C534">
        <v>16</v>
      </c>
      <c r="D534" s="1">
        <f t="shared" si="64"/>
        <v>37058</v>
      </c>
      <c r="E534">
        <v>6.8</v>
      </c>
      <c r="F534">
        <f t="shared" si="70"/>
        <v>11.6</v>
      </c>
      <c r="G534">
        <f t="shared" si="65"/>
        <v>1</v>
      </c>
      <c r="H534">
        <f t="shared" si="71"/>
        <v>1</v>
      </c>
      <c r="I534">
        <v>533</v>
      </c>
      <c r="J534">
        <f t="shared" si="66"/>
        <v>0.25310271202293061</v>
      </c>
      <c r="K534">
        <f t="shared" si="67"/>
        <v>-0.9674394126593342</v>
      </c>
      <c r="L534">
        <f>VLOOKUP(D534,[1]SOI!$A$1:$C$142,3)</f>
        <v>-9</v>
      </c>
      <c r="M534" s="2">
        <f t="shared" si="68"/>
        <v>134.90374550822202</v>
      </c>
      <c r="N534">
        <f t="shared" si="69"/>
        <v>-515.64520694742509</v>
      </c>
      <c r="O534" t="s">
        <v>8</v>
      </c>
    </row>
    <row r="535" spans="1:15" x14ac:dyDescent="0.35">
      <c r="A535">
        <v>2001</v>
      </c>
      <c r="B535">
        <v>6</v>
      </c>
      <c r="C535">
        <v>17</v>
      </c>
      <c r="D535" s="1">
        <f t="shared" si="64"/>
        <v>37059</v>
      </c>
      <c r="E535">
        <v>0.8</v>
      </c>
      <c r="F535">
        <f t="shared" si="70"/>
        <v>6.8</v>
      </c>
      <c r="G535">
        <f t="shared" si="65"/>
        <v>1</v>
      </c>
      <c r="H535">
        <f t="shared" si="71"/>
        <v>1</v>
      </c>
      <c r="I535">
        <v>534</v>
      </c>
      <c r="J535">
        <f t="shared" si="66"/>
        <v>0.23642378142121298</v>
      </c>
      <c r="K535">
        <f t="shared" si="67"/>
        <v>-0.97165003760535851</v>
      </c>
      <c r="L535">
        <f>VLOOKUP(D535,[1]SOI!$A$1:$C$142,3)</f>
        <v>-9</v>
      </c>
      <c r="M535" s="2">
        <f t="shared" si="68"/>
        <v>126.25029927892773</v>
      </c>
      <c r="N535">
        <f t="shared" si="69"/>
        <v>-518.86112008126145</v>
      </c>
      <c r="O535" t="s">
        <v>8</v>
      </c>
    </row>
    <row r="536" spans="1:15" x14ac:dyDescent="0.35">
      <c r="A536">
        <v>2001</v>
      </c>
      <c r="B536">
        <v>6</v>
      </c>
      <c r="C536">
        <v>18</v>
      </c>
      <c r="D536" s="1">
        <f t="shared" si="64"/>
        <v>37060</v>
      </c>
      <c r="E536">
        <v>0.6</v>
      </c>
      <c r="F536">
        <f t="shared" si="70"/>
        <v>0.8</v>
      </c>
      <c r="G536">
        <f t="shared" si="65"/>
        <v>1</v>
      </c>
      <c r="H536">
        <f t="shared" si="71"/>
        <v>1</v>
      </c>
      <c r="I536">
        <v>535</v>
      </c>
      <c r="J536">
        <f t="shared" si="66"/>
        <v>0.21967488921888165</v>
      </c>
      <c r="K536">
        <f t="shared" si="67"/>
        <v>-0.97557313567290893</v>
      </c>
      <c r="L536">
        <f>VLOOKUP(D536,[1]SOI!$A$1:$C$142,3)</f>
        <v>-9</v>
      </c>
      <c r="M536" s="2">
        <f t="shared" si="68"/>
        <v>117.52606573210169</v>
      </c>
      <c r="N536">
        <f t="shared" si="69"/>
        <v>-521.93162758500625</v>
      </c>
      <c r="O536" t="s">
        <v>8</v>
      </c>
    </row>
    <row r="537" spans="1:15" x14ac:dyDescent="0.35">
      <c r="A537">
        <v>2001</v>
      </c>
      <c r="B537">
        <v>6</v>
      </c>
      <c r="C537">
        <v>19</v>
      </c>
      <c r="D537" s="1">
        <f t="shared" si="64"/>
        <v>37061</v>
      </c>
      <c r="E537">
        <v>0</v>
      </c>
      <c r="F537">
        <f t="shared" si="70"/>
        <v>0.6</v>
      </c>
      <c r="G537">
        <f t="shared" si="65"/>
        <v>0</v>
      </c>
      <c r="H537">
        <f t="shared" si="71"/>
        <v>1</v>
      </c>
      <c r="I537">
        <v>536</v>
      </c>
      <c r="J537">
        <f t="shared" si="66"/>
        <v>0.20286099168260133</v>
      </c>
      <c r="K537">
        <f t="shared" si="67"/>
        <v>-0.97920754595415138</v>
      </c>
      <c r="L537">
        <f>VLOOKUP(D537,[1]SOI!$A$1:$C$142,3)</f>
        <v>-9</v>
      </c>
      <c r="M537" s="2">
        <f t="shared" si="68"/>
        <v>108.73349154187432</v>
      </c>
      <c r="N537">
        <f t="shared" si="69"/>
        <v>-524.85524463142519</v>
      </c>
      <c r="O537" t="s">
        <v>8</v>
      </c>
    </row>
    <row r="538" spans="1:15" x14ac:dyDescent="0.35">
      <c r="A538">
        <v>2001</v>
      </c>
      <c r="B538">
        <v>6</v>
      </c>
      <c r="C538">
        <v>20</v>
      </c>
      <c r="D538" s="1">
        <f t="shared" si="64"/>
        <v>37062</v>
      </c>
      <c r="E538">
        <v>0</v>
      </c>
      <c r="F538">
        <f t="shared" si="70"/>
        <v>0</v>
      </c>
      <c r="G538">
        <f t="shared" si="65"/>
        <v>0</v>
      </c>
      <c r="H538">
        <f t="shared" si="71"/>
        <v>0</v>
      </c>
      <c r="I538">
        <v>537</v>
      </c>
      <c r="J538">
        <f t="shared" si="66"/>
        <v>0.18598706431516085</v>
      </c>
      <c r="K538">
        <f t="shared" si="67"/>
        <v>-0.98255219296861185</v>
      </c>
      <c r="L538">
        <f>VLOOKUP(D538,[1]SOI!$A$1:$C$142,3)</f>
        <v>-9</v>
      </c>
      <c r="M538" s="2">
        <f t="shared" si="68"/>
        <v>99.875053537241371</v>
      </c>
      <c r="N538">
        <f t="shared" si="69"/>
        <v>-527.63052762414452</v>
      </c>
      <c r="O538" t="s">
        <v>8</v>
      </c>
    </row>
    <row r="539" spans="1:15" x14ac:dyDescent="0.35">
      <c r="A539">
        <v>2001</v>
      </c>
      <c r="B539">
        <v>6</v>
      </c>
      <c r="C539">
        <v>21</v>
      </c>
      <c r="D539" s="1">
        <f t="shared" si="64"/>
        <v>37063</v>
      </c>
      <c r="E539">
        <v>17.2</v>
      </c>
      <c r="F539">
        <f t="shared" si="70"/>
        <v>0</v>
      </c>
      <c r="G539">
        <f t="shared" si="65"/>
        <v>1</v>
      </c>
      <c r="H539">
        <f t="shared" si="71"/>
        <v>0</v>
      </c>
      <c r="I539">
        <v>538</v>
      </c>
      <c r="J539">
        <f t="shared" si="66"/>
        <v>0.16905810038314714</v>
      </c>
      <c r="K539">
        <f t="shared" si="67"/>
        <v>-0.98560608698142771</v>
      </c>
      <c r="L539">
        <f>VLOOKUP(D539,[1]SOI!$A$1:$C$142,3)</f>
        <v>-9</v>
      </c>
      <c r="M539" s="2">
        <f t="shared" si="68"/>
        <v>90.953258006133169</v>
      </c>
      <c r="N539">
        <f t="shared" si="69"/>
        <v>-530.25607479600808</v>
      </c>
      <c r="O539" t="s">
        <v>8</v>
      </c>
    </row>
    <row r="540" spans="1:15" x14ac:dyDescent="0.35">
      <c r="A540">
        <v>2001</v>
      </c>
      <c r="B540">
        <v>6</v>
      </c>
      <c r="C540">
        <v>22</v>
      </c>
      <c r="D540" s="1">
        <f t="shared" si="64"/>
        <v>37064</v>
      </c>
      <c r="E540">
        <v>1.6</v>
      </c>
      <c r="F540">
        <f t="shared" si="70"/>
        <v>17.2</v>
      </c>
      <c r="G540">
        <f t="shared" si="65"/>
        <v>1</v>
      </c>
      <c r="H540">
        <f t="shared" si="71"/>
        <v>1</v>
      </c>
      <c r="I540">
        <v>539</v>
      </c>
      <c r="J540">
        <f t="shared" si="66"/>
        <v>0.15207910943934674</v>
      </c>
      <c r="K540">
        <f t="shared" si="67"/>
        <v>-0.98836832429622878</v>
      </c>
      <c r="L540">
        <f>VLOOKUP(D540,[1]SOI!$A$1:$C$142,3)</f>
        <v>-9</v>
      </c>
      <c r="M540" s="2">
        <f t="shared" si="68"/>
        <v>81.9706399878079</v>
      </c>
      <c r="N540">
        <f t="shared" si="69"/>
        <v>-532.73052679566729</v>
      </c>
      <c r="O540" t="s">
        <v>8</v>
      </c>
    </row>
    <row r="541" spans="1:15" x14ac:dyDescent="0.35">
      <c r="A541">
        <v>2001</v>
      </c>
      <c r="B541">
        <v>6</v>
      </c>
      <c r="C541">
        <v>23</v>
      </c>
      <c r="D541" s="1">
        <f t="shared" si="64"/>
        <v>37065</v>
      </c>
      <c r="E541">
        <v>0</v>
      </c>
      <c r="F541">
        <f t="shared" si="70"/>
        <v>1.6</v>
      </c>
      <c r="G541">
        <f t="shared" si="65"/>
        <v>0</v>
      </c>
      <c r="H541">
        <f t="shared" si="71"/>
        <v>1</v>
      </c>
      <c r="I541">
        <v>540</v>
      </c>
      <c r="J541">
        <f t="shared" si="66"/>
        <v>0.13505511584034569</v>
      </c>
      <c r="K541">
        <f t="shared" si="67"/>
        <v>-0.9908380875225532</v>
      </c>
      <c r="L541">
        <f>VLOOKUP(D541,[1]SOI!$A$1:$C$142,3)</f>
        <v>-9</v>
      </c>
      <c r="M541" s="2">
        <f t="shared" si="68"/>
        <v>72.929762553786674</v>
      </c>
      <c r="N541">
        <f t="shared" si="69"/>
        <v>-535.05256726217874</v>
      </c>
      <c r="O541" t="s">
        <v>8</v>
      </c>
    </row>
    <row r="542" spans="1:15" x14ac:dyDescent="0.35">
      <c r="A542">
        <v>2001</v>
      </c>
      <c r="B542">
        <v>6</v>
      </c>
      <c r="C542">
        <v>24</v>
      </c>
      <c r="D542" s="1">
        <f t="shared" si="64"/>
        <v>37066</v>
      </c>
      <c r="E542">
        <v>0</v>
      </c>
      <c r="F542">
        <f t="shared" si="70"/>
        <v>0</v>
      </c>
      <c r="G542">
        <f t="shared" si="65"/>
        <v>0</v>
      </c>
      <c r="H542">
        <f t="shared" si="71"/>
        <v>0</v>
      </c>
      <c r="I542">
        <v>541</v>
      </c>
      <c r="J542">
        <f t="shared" si="66"/>
        <v>0.1179911572597378</v>
      </c>
      <c r="K542">
        <f t="shared" si="67"/>
        <v>-0.99301464581772803</v>
      </c>
      <c r="L542">
        <f>VLOOKUP(D542,[1]SOI!$A$1:$C$142,3)</f>
        <v>-9</v>
      </c>
      <c r="M542" s="2">
        <f t="shared" si="68"/>
        <v>63.833216077518152</v>
      </c>
      <c r="N542">
        <f t="shared" si="69"/>
        <v>-537.22092338739083</v>
      </c>
      <c r="O542" t="s">
        <v>8</v>
      </c>
    </row>
    <row r="543" spans="1:15" x14ac:dyDescent="0.35">
      <c r="A543">
        <v>2001</v>
      </c>
      <c r="B543">
        <v>6</v>
      </c>
      <c r="C543">
        <v>25</v>
      </c>
      <c r="D543" s="1">
        <f t="shared" si="64"/>
        <v>37067</v>
      </c>
      <c r="E543">
        <v>0</v>
      </c>
      <c r="F543">
        <f t="shared" si="70"/>
        <v>0</v>
      </c>
      <c r="G543">
        <f t="shared" si="65"/>
        <v>0</v>
      </c>
      <c r="H543">
        <f t="shared" si="71"/>
        <v>0</v>
      </c>
      <c r="I543">
        <v>542</v>
      </c>
      <c r="J543">
        <f t="shared" si="66"/>
        <v>0.10089228319740334</v>
      </c>
      <c r="K543">
        <f t="shared" si="67"/>
        <v>-0.99489735510313571</v>
      </c>
      <c r="L543">
        <f>VLOOKUP(D543,[1]SOI!$A$1:$C$142,3)</f>
        <v>-9</v>
      </c>
      <c r="M543" s="2">
        <f t="shared" si="68"/>
        <v>54.68361749299261</v>
      </c>
      <c r="N543">
        <f t="shared" si="69"/>
        <v>-539.2343664658996</v>
      </c>
      <c r="O543" t="s">
        <v>8</v>
      </c>
    </row>
    <row r="544" spans="1:15" x14ac:dyDescent="0.35">
      <c r="A544">
        <v>2001</v>
      </c>
      <c r="B544">
        <v>6</v>
      </c>
      <c r="C544">
        <v>26</v>
      </c>
      <c r="D544" s="1">
        <f t="shared" si="64"/>
        <v>37068</v>
      </c>
      <c r="E544">
        <v>3.4</v>
      </c>
      <c r="F544">
        <f t="shared" si="70"/>
        <v>0</v>
      </c>
      <c r="G544">
        <f t="shared" si="65"/>
        <v>1</v>
      </c>
      <c r="H544">
        <f t="shared" si="71"/>
        <v>0</v>
      </c>
      <c r="I544">
        <v>543</v>
      </c>
      <c r="J544">
        <f t="shared" si="66"/>
        <v>8.3763553485268261E-2</v>
      </c>
      <c r="K544">
        <f t="shared" si="67"/>
        <v>-0.99648565825480928</v>
      </c>
      <c r="L544">
        <f>VLOOKUP(D544,[1]SOI!$A$1:$C$142,3)</f>
        <v>-9</v>
      </c>
      <c r="M544" s="2">
        <f t="shared" si="68"/>
        <v>45.483609542500666</v>
      </c>
      <c r="N544">
        <f t="shared" si="69"/>
        <v>-541.09171243236142</v>
      </c>
      <c r="O544" t="s">
        <v>8</v>
      </c>
    </row>
    <row r="545" spans="1:15" x14ac:dyDescent="0.35">
      <c r="A545">
        <v>2001</v>
      </c>
      <c r="B545">
        <v>6</v>
      </c>
      <c r="C545">
        <v>27</v>
      </c>
      <c r="D545" s="1">
        <f t="shared" si="64"/>
        <v>37069</v>
      </c>
      <c r="E545">
        <v>0</v>
      </c>
      <c r="F545">
        <f t="shared" si="70"/>
        <v>3.4</v>
      </c>
      <c r="G545">
        <f t="shared" si="65"/>
        <v>0</v>
      </c>
      <c r="H545">
        <f t="shared" si="71"/>
        <v>1</v>
      </c>
      <c r="I545">
        <v>544</v>
      </c>
      <c r="J545">
        <f t="shared" si="66"/>
        <v>6.6610036790032676E-2</v>
      </c>
      <c r="K545">
        <f t="shared" si="67"/>
        <v>-0.99777908526829251</v>
      </c>
      <c r="L545">
        <f>VLOOKUP(D545,[1]SOI!$A$1:$C$142,3)</f>
        <v>-9</v>
      </c>
      <c r="M545" s="2">
        <f t="shared" si="68"/>
        <v>36.235860013777774</v>
      </c>
      <c r="N545">
        <f t="shared" si="69"/>
        <v>-542.79182238595115</v>
      </c>
      <c r="O545" t="s">
        <v>8</v>
      </c>
    </row>
    <row r="546" spans="1:15" x14ac:dyDescent="0.35">
      <c r="A546">
        <v>2001</v>
      </c>
      <c r="B546">
        <v>6</v>
      </c>
      <c r="C546">
        <v>28</v>
      </c>
      <c r="D546" s="1">
        <f t="shared" si="64"/>
        <v>37070</v>
      </c>
      <c r="E546">
        <v>0</v>
      </c>
      <c r="F546">
        <f t="shared" si="70"/>
        <v>0</v>
      </c>
      <c r="G546">
        <f t="shared" si="65"/>
        <v>0</v>
      </c>
      <c r="H546">
        <f t="shared" si="71"/>
        <v>0</v>
      </c>
      <c r="I546">
        <v>545</v>
      </c>
      <c r="J546">
        <f t="shared" si="66"/>
        <v>4.943680911325847E-2</v>
      </c>
      <c r="K546">
        <f t="shared" si="67"/>
        <v>-0.99877725339772294</v>
      </c>
      <c r="L546">
        <f>VLOOKUP(D546,[1]SOI!$A$1:$C$142,3)</f>
        <v>-9</v>
      </c>
      <c r="M546" s="2">
        <f t="shared" si="68"/>
        <v>26.943060966725866</v>
      </c>
      <c r="N546">
        <f t="shared" si="69"/>
        <v>-544.33360310175897</v>
      </c>
      <c r="O546" t="s">
        <v>8</v>
      </c>
    </row>
    <row r="547" spans="1:15" x14ac:dyDescent="0.35">
      <c r="A547">
        <v>2001</v>
      </c>
      <c r="B547">
        <v>6</v>
      </c>
      <c r="C547">
        <v>29</v>
      </c>
      <c r="D547" s="1">
        <f t="shared" si="64"/>
        <v>37071</v>
      </c>
      <c r="E547">
        <v>0</v>
      </c>
      <c r="F547">
        <f t="shared" si="70"/>
        <v>0</v>
      </c>
      <c r="G547">
        <f t="shared" si="65"/>
        <v>0</v>
      </c>
      <c r="H547">
        <f t="shared" si="71"/>
        <v>0</v>
      </c>
      <c r="I547">
        <v>546</v>
      </c>
      <c r="J547">
        <f t="shared" si="66"/>
        <v>3.2248952289304099E-2</v>
      </c>
      <c r="K547">
        <f t="shared" si="67"/>
        <v>-0.99947986726909221</v>
      </c>
      <c r="L547">
        <f>VLOOKUP(D547,[1]SOI!$A$1:$C$142,3)</f>
        <v>-9</v>
      </c>
      <c r="M547" s="2">
        <f t="shared" si="68"/>
        <v>17.60792794996004</v>
      </c>
      <c r="N547">
        <f t="shared" si="69"/>
        <v>-545.71600752892437</v>
      </c>
      <c r="O547" t="s">
        <v>8</v>
      </c>
    </row>
    <row r="548" spans="1:15" x14ac:dyDescent="0.35">
      <c r="A548">
        <v>2001</v>
      </c>
      <c r="B548">
        <v>6</v>
      </c>
      <c r="C548">
        <v>30</v>
      </c>
      <c r="D548" s="1">
        <f t="shared" si="64"/>
        <v>37072</v>
      </c>
      <c r="E548">
        <v>0</v>
      </c>
      <c r="F548">
        <f t="shared" si="70"/>
        <v>0</v>
      </c>
      <c r="G548">
        <f t="shared" si="65"/>
        <v>0</v>
      </c>
      <c r="H548">
        <f t="shared" si="71"/>
        <v>0</v>
      </c>
      <c r="I548">
        <v>547</v>
      </c>
      <c r="J548">
        <f t="shared" si="66"/>
        <v>1.5051552481533344E-2</v>
      </c>
      <c r="K548">
        <f t="shared" si="67"/>
        <v>-0.99988671896765169</v>
      </c>
      <c r="L548">
        <f>VLOOKUP(D548,[1]SOI!$A$1:$C$142,3)</f>
        <v>-9</v>
      </c>
      <c r="M548" s="2">
        <f t="shared" si="68"/>
        <v>8.233199207398739</v>
      </c>
      <c r="N548">
        <f t="shared" si="69"/>
        <v>-546.93803527530542</v>
      </c>
      <c r="O548" t="s">
        <v>8</v>
      </c>
    </row>
    <row r="549" spans="1:15" x14ac:dyDescent="0.35">
      <c r="A549">
        <v>2001</v>
      </c>
      <c r="B549">
        <v>7</v>
      </c>
      <c r="C549">
        <v>1</v>
      </c>
      <c r="D549" s="1">
        <f t="shared" si="64"/>
        <v>37073</v>
      </c>
      <c r="E549">
        <v>0</v>
      </c>
      <c r="F549">
        <f t="shared" si="70"/>
        <v>0</v>
      </c>
      <c r="G549">
        <f t="shared" si="65"/>
        <v>0</v>
      </c>
      <c r="H549">
        <f t="shared" si="71"/>
        <v>0</v>
      </c>
      <c r="I549">
        <v>548</v>
      </c>
      <c r="J549">
        <f t="shared" si="66"/>
        <v>-2.1503013227746654E-3</v>
      </c>
      <c r="K549">
        <f t="shared" si="67"/>
        <v>-0.99999768809943823</v>
      </c>
      <c r="L549">
        <f>VLOOKUP(D549,[1]SOI!$A$1:$C$142,3)</f>
        <v>1.8</v>
      </c>
      <c r="M549" s="2">
        <f t="shared" si="68"/>
        <v>-1.1783651248805167</v>
      </c>
      <c r="N549">
        <f t="shared" si="69"/>
        <v>-547.99873307849214</v>
      </c>
      <c r="O549" t="s">
        <v>8</v>
      </c>
    </row>
    <row r="550" spans="1:15" x14ac:dyDescent="0.35">
      <c r="A550">
        <v>2001</v>
      </c>
      <c r="B550">
        <v>7</v>
      </c>
      <c r="C550">
        <v>2</v>
      </c>
      <c r="D550" s="1">
        <f t="shared" si="64"/>
        <v>37074</v>
      </c>
      <c r="E550">
        <v>0</v>
      </c>
      <c r="F550">
        <f t="shared" si="70"/>
        <v>0</v>
      </c>
      <c r="G550">
        <f t="shared" si="65"/>
        <v>0</v>
      </c>
      <c r="H550">
        <f t="shared" si="71"/>
        <v>0</v>
      </c>
      <c r="I550">
        <v>549</v>
      </c>
      <c r="J550">
        <f t="shared" si="66"/>
        <v>-1.9351518818324469E-2</v>
      </c>
      <c r="K550">
        <f t="shared" si="67"/>
        <v>-0.99981274182690028</v>
      </c>
      <c r="L550">
        <f>VLOOKUP(D550,[1]SOI!$A$1:$C$142,3)</f>
        <v>1.8</v>
      </c>
      <c r="M550" s="2">
        <f t="shared" si="68"/>
        <v>-10.623983831260134</v>
      </c>
      <c r="N550">
        <f t="shared" si="69"/>
        <v>-548.89719526296824</v>
      </c>
      <c r="O550" t="s">
        <v>8</v>
      </c>
    </row>
    <row r="551" spans="1:15" x14ac:dyDescent="0.35">
      <c r="A551">
        <v>2001</v>
      </c>
      <c r="B551">
        <v>7</v>
      </c>
      <c r="C551">
        <v>3</v>
      </c>
      <c r="D551" s="1">
        <f t="shared" si="64"/>
        <v>37075</v>
      </c>
      <c r="E551">
        <v>0</v>
      </c>
      <c r="F551">
        <f t="shared" si="70"/>
        <v>0</v>
      </c>
      <c r="G551">
        <f t="shared" si="65"/>
        <v>0</v>
      </c>
      <c r="H551">
        <f t="shared" si="71"/>
        <v>0</v>
      </c>
      <c r="I551">
        <v>550</v>
      </c>
      <c r="J551">
        <f t="shared" si="66"/>
        <v>-3.654700988811993E-2</v>
      </c>
      <c r="K551">
        <f t="shared" si="67"/>
        <v>-0.9993319348786156</v>
      </c>
      <c r="L551">
        <f>VLOOKUP(D551,[1]SOI!$A$1:$C$142,3)</f>
        <v>1.8</v>
      </c>
      <c r="M551" s="2">
        <f t="shared" si="68"/>
        <v>-20.100855438465963</v>
      </c>
      <c r="N551">
        <f t="shared" si="69"/>
        <v>-549.63256418323863</v>
      </c>
      <c r="O551" t="s">
        <v>8</v>
      </c>
    </row>
    <row r="552" spans="1:15" x14ac:dyDescent="0.35">
      <c r="A552">
        <v>2001</v>
      </c>
      <c r="B552">
        <v>7</v>
      </c>
      <c r="C552">
        <v>4</v>
      </c>
      <c r="D552" s="1">
        <f t="shared" si="64"/>
        <v>37076</v>
      </c>
      <c r="E552">
        <v>0</v>
      </c>
      <c r="F552">
        <f t="shared" si="70"/>
        <v>0</v>
      </c>
      <c r="G552">
        <f t="shared" si="65"/>
        <v>0</v>
      </c>
      <c r="H552">
        <f t="shared" si="71"/>
        <v>0</v>
      </c>
      <c r="I552">
        <v>551</v>
      </c>
      <c r="J552">
        <f t="shared" si="66"/>
        <v>-5.3731686109704642E-2</v>
      </c>
      <c r="K552">
        <f t="shared" si="67"/>
        <v>-0.99855540953309552</v>
      </c>
      <c r="L552">
        <f>VLOOKUP(D552,[1]SOI!$A$1:$C$142,3)</f>
        <v>1.8</v>
      </c>
      <c r="M552" s="2">
        <f t="shared" si="68"/>
        <v>-29.606159046447257</v>
      </c>
      <c r="N552">
        <f t="shared" si="69"/>
        <v>-550.20403065273558</v>
      </c>
      <c r="O552" t="s">
        <v>8</v>
      </c>
    </row>
    <row r="553" spans="1:15" x14ac:dyDescent="0.35">
      <c r="A553">
        <v>2001</v>
      </c>
      <c r="B553">
        <v>7</v>
      </c>
      <c r="C553">
        <v>5</v>
      </c>
      <c r="D553" s="1">
        <f t="shared" si="64"/>
        <v>37077</v>
      </c>
      <c r="E553">
        <v>0</v>
      </c>
      <c r="F553">
        <f t="shared" si="70"/>
        <v>0</v>
      </c>
      <c r="G553">
        <f t="shared" si="65"/>
        <v>0</v>
      </c>
      <c r="H553">
        <f t="shared" si="71"/>
        <v>0</v>
      </c>
      <c r="I553">
        <v>552</v>
      </c>
      <c r="J553">
        <f t="shared" si="66"/>
        <v>-7.0900462260911568E-2</v>
      </c>
      <c r="K553">
        <f t="shared" si="67"/>
        <v>-0.99748339557668275</v>
      </c>
      <c r="L553">
        <f>VLOOKUP(D553,[1]SOI!$A$1:$C$142,3)</f>
        <v>1.8</v>
      </c>
      <c r="M553" s="2">
        <f t="shared" si="68"/>
        <v>-39.137055168023188</v>
      </c>
      <c r="N553">
        <f t="shared" si="69"/>
        <v>-550.61083435832893</v>
      </c>
      <c r="O553" t="s">
        <v>8</v>
      </c>
    </row>
    <row r="554" spans="1:15" x14ac:dyDescent="0.35">
      <c r="A554">
        <v>2001</v>
      </c>
      <c r="B554">
        <v>7</v>
      </c>
      <c r="C554">
        <v>6</v>
      </c>
      <c r="D554" s="1">
        <f t="shared" si="64"/>
        <v>37078</v>
      </c>
      <c r="E554">
        <v>0.8</v>
      </c>
      <c r="F554">
        <f t="shared" si="70"/>
        <v>0</v>
      </c>
      <c r="G554">
        <f t="shared" si="65"/>
        <v>1</v>
      </c>
      <c r="H554">
        <f t="shared" si="71"/>
        <v>0</v>
      </c>
      <c r="I554">
        <v>553</v>
      </c>
      <c r="J554">
        <f t="shared" si="66"/>
        <v>-8.804825782465496E-2</v>
      </c>
      <c r="K554">
        <f t="shared" si="67"/>
        <v>-0.9961162102355543</v>
      </c>
      <c r="L554">
        <f>VLOOKUP(D554,[1]SOI!$A$1:$C$142,3)</f>
        <v>1.8</v>
      </c>
      <c r="M554" s="2">
        <f t="shared" si="68"/>
        <v>-48.690686577034192</v>
      </c>
      <c r="N554">
        <f t="shared" si="69"/>
        <v>-550.85226426026156</v>
      </c>
      <c r="O554" t="s">
        <v>8</v>
      </c>
    </row>
    <row r="555" spans="1:15" x14ac:dyDescent="0.35">
      <c r="A555">
        <v>2001</v>
      </c>
      <c r="B555">
        <v>7</v>
      </c>
      <c r="C555">
        <v>7</v>
      </c>
      <c r="D555" s="1">
        <f t="shared" si="64"/>
        <v>37079</v>
      </c>
      <c r="E555">
        <v>0.2</v>
      </c>
      <c r="F555">
        <f t="shared" si="70"/>
        <v>0.8</v>
      </c>
      <c r="G555">
        <f t="shared" si="65"/>
        <v>1</v>
      </c>
      <c r="H555">
        <f t="shared" si="71"/>
        <v>1</v>
      </c>
      <c r="I555">
        <v>554</v>
      </c>
      <c r="J555">
        <f t="shared" si="66"/>
        <v>-0.10516999849234956</v>
      </c>
      <c r="K555">
        <f t="shared" si="67"/>
        <v>-0.99445425808184817</v>
      </c>
      <c r="L555">
        <f>VLOOKUP(D555,[1]SOI!$A$1:$C$142,3)</f>
        <v>1.8</v>
      </c>
      <c r="M555" s="2">
        <f t="shared" si="68"/>
        <v>-58.264179164761657</v>
      </c>
      <c r="N555">
        <f t="shared" si="69"/>
        <v>-550.92765897734387</v>
      </c>
      <c r="O555" t="s">
        <v>8</v>
      </c>
    </row>
    <row r="556" spans="1:15" x14ac:dyDescent="0.35">
      <c r="A556">
        <v>2001</v>
      </c>
      <c r="B556">
        <v>7</v>
      </c>
      <c r="C556">
        <v>8</v>
      </c>
      <c r="D556" s="1">
        <f t="shared" si="64"/>
        <v>37080</v>
      </c>
      <c r="E556">
        <v>1.8</v>
      </c>
      <c r="F556">
        <f t="shared" si="70"/>
        <v>0.2</v>
      </c>
      <c r="G556">
        <f t="shared" si="65"/>
        <v>1</v>
      </c>
      <c r="H556">
        <f t="shared" si="71"/>
        <v>1</v>
      </c>
      <c r="I556">
        <v>555</v>
      </c>
      <c r="J556">
        <f t="shared" si="66"/>
        <v>-0.12226061766546593</v>
      </c>
      <c r="K556">
        <f t="shared" si="67"/>
        <v>-0.99249803091394528</v>
      </c>
      <c r="L556">
        <f>VLOOKUP(D556,[1]SOI!$A$1:$C$142,3)</f>
        <v>1.8</v>
      </c>
      <c r="M556" s="2">
        <f t="shared" si="68"/>
        <v>-67.854642804333594</v>
      </c>
      <c r="N556">
        <f t="shared" si="69"/>
        <v>-550.83640715723959</v>
      </c>
      <c r="O556" t="s">
        <v>8</v>
      </c>
    </row>
    <row r="557" spans="1:15" x14ac:dyDescent="0.35">
      <c r="A557">
        <v>2001</v>
      </c>
      <c r="B557">
        <v>7</v>
      </c>
      <c r="C557">
        <v>9</v>
      </c>
      <c r="D557" s="1">
        <f t="shared" si="64"/>
        <v>37081</v>
      </c>
      <c r="E557">
        <v>0.2</v>
      </c>
      <c r="F557">
        <f t="shared" si="70"/>
        <v>1.8</v>
      </c>
      <c r="G557">
        <f t="shared" si="65"/>
        <v>1</v>
      </c>
      <c r="H557">
        <f t="shared" si="71"/>
        <v>1</v>
      </c>
      <c r="I557">
        <v>556</v>
      </c>
      <c r="J557">
        <f t="shared" si="66"/>
        <v>-0.1393150579548309</v>
      </c>
      <c r="K557">
        <f t="shared" si="67"/>
        <v>-0.99024810761093718</v>
      </c>
      <c r="L557">
        <f>VLOOKUP(D557,[1]SOI!$A$1:$C$142,3)</f>
        <v>1.8</v>
      </c>
      <c r="M557" s="2">
        <f t="shared" si="68"/>
        <v>-77.459172222885982</v>
      </c>
      <c r="N557">
        <f t="shared" si="69"/>
        <v>-550.57794783168106</v>
      </c>
      <c r="O557" t="s">
        <v>8</v>
      </c>
    </row>
    <row r="558" spans="1:15" x14ac:dyDescent="0.35">
      <c r="A558">
        <v>2001</v>
      </c>
      <c r="B558">
        <v>7</v>
      </c>
      <c r="C558">
        <v>10</v>
      </c>
      <c r="D558" s="1">
        <f t="shared" si="64"/>
        <v>37082</v>
      </c>
      <c r="E558">
        <v>0</v>
      </c>
      <c r="F558">
        <f t="shared" si="70"/>
        <v>0.2</v>
      </c>
      <c r="G558">
        <f t="shared" si="65"/>
        <v>0</v>
      </c>
      <c r="H558">
        <f t="shared" si="71"/>
        <v>1</v>
      </c>
      <c r="I558">
        <v>557</v>
      </c>
      <c r="J558">
        <f t="shared" si="66"/>
        <v>-0.15632827267718502</v>
      </c>
      <c r="K558">
        <f t="shared" si="67"/>
        <v>-0.98770515396132652</v>
      </c>
      <c r="L558">
        <f>VLOOKUP(D558,[1]SOI!$A$1:$C$142,3)</f>
        <v>1.8</v>
      </c>
      <c r="M558" s="2">
        <f t="shared" si="68"/>
        <v>-87.074847881192056</v>
      </c>
      <c r="N558">
        <f t="shared" si="69"/>
        <v>-550.15177075645886</v>
      </c>
      <c r="O558" t="s">
        <v>8</v>
      </c>
    </row>
    <row r="559" spans="1:15" x14ac:dyDescent="0.35">
      <c r="A559">
        <v>2001</v>
      </c>
      <c r="B559">
        <v>7</v>
      </c>
      <c r="C559">
        <v>11</v>
      </c>
      <c r="D559" s="1">
        <f t="shared" si="64"/>
        <v>37083</v>
      </c>
      <c r="E559">
        <v>0</v>
      </c>
      <c r="F559">
        <f t="shared" si="70"/>
        <v>0</v>
      </c>
      <c r="G559">
        <f t="shared" si="65"/>
        <v>0</v>
      </c>
      <c r="H559">
        <f t="shared" si="71"/>
        <v>0</v>
      </c>
      <c r="I559">
        <v>558</v>
      </c>
      <c r="J559">
        <f t="shared" si="66"/>
        <v>-0.17329522734857217</v>
      </c>
      <c r="K559">
        <f t="shared" si="67"/>
        <v>-0.98486992246601113</v>
      </c>
      <c r="L559">
        <f>VLOOKUP(D559,[1]SOI!$A$1:$C$142,3)</f>
        <v>1.8</v>
      </c>
      <c r="M559" s="2">
        <f t="shared" si="68"/>
        <v>-96.698736860503274</v>
      </c>
      <c r="N559">
        <f t="shared" si="69"/>
        <v>-549.55741673603416</v>
      </c>
      <c r="O559" t="s">
        <v>8</v>
      </c>
    </row>
    <row r="560" spans="1:15" x14ac:dyDescent="0.35">
      <c r="A560">
        <v>2001</v>
      </c>
      <c r="B560">
        <v>7</v>
      </c>
      <c r="C560">
        <v>12</v>
      </c>
      <c r="D560" s="1">
        <f t="shared" si="64"/>
        <v>37084</v>
      </c>
      <c r="E560">
        <v>3.8</v>
      </c>
      <c r="F560">
        <f t="shared" si="70"/>
        <v>0</v>
      </c>
      <c r="G560">
        <f t="shared" si="65"/>
        <v>1</v>
      </c>
      <c r="H560">
        <f t="shared" si="71"/>
        <v>0</v>
      </c>
      <c r="I560">
        <v>559</v>
      </c>
      <c r="J560">
        <f t="shared" si="66"/>
        <v>-0.19021090117413475</v>
      </c>
      <c r="K560">
        <f t="shared" si="67"/>
        <v>-0.98174325211560454</v>
      </c>
      <c r="L560">
        <f>VLOOKUP(D560,[1]SOI!$A$1:$C$142,3)</f>
        <v>1.8</v>
      </c>
      <c r="M560" s="2">
        <f t="shared" si="68"/>
        <v>-106.32789375634133</v>
      </c>
      <c r="N560">
        <f t="shared" si="69"/>
        <v>-548.79447793262295</v>
      </c>
      <c r="O560" t="s">
        <v>8</v>
      </c>
    </row>
    <row r="561" spans="1:15" x14ac:dyDescent="0.35">
      <c r="A561">
        <v>2001</v>
      </c>
      <c r="B561">
        <v>7</v>
      </c>
      <c r="C561">
        <v>13</v>
      </c>
      <c r="D561" s="1">
        <f t="shared" si="64"/>
        <v>37085</v>
      </c>
      <c r="E561">
        <v>0.8</v>
      </c>
      <c r="F561">
        <f t="shared" si="70"/>
        <v>3.8</v>
      </c>
      <c r="G561">
        <f t="shared" si="65"/>
        <v>1</v>
      </c>
      <c r="H561">
        <f t="shared" si="71"/>
        <v>1</v>
      </c>
      <c r="I561">
        <v>560</v>
      </c>
      <c r="J561">
        <f t="shared" si="66"/>
        <v>-0.20707028853384077</v>
      </c>
      <c r="K561">
        <f t="shared" si="67"/>
        <v>-0.97832606814216694</v>
      </c>
      <c r="L561">
        <f>VLOOKUP(D561,[1]SOI!$A$1:$C$142,3)</f>
        <v>1.8</v>
      </c>
      <c r="M561" s="2">
        <f t="shared" si="68"/>
        <v>-115.95936157895083</v>
      </c>
      <c r="N561">
        <f t="shared" si="69"/>
        <v>-547.86259815961353</v>
      </c>
      <c r="O561" t="s">
        <v>8</v>
      </c>
    </row>
    <row r="562" spans="1:15" x14ac:dyDescent="0.35">
      <c r="A562">
        <v>2001</v>
      </c>
      <c r="B562">
        <v>7</v>
      </c>
      <c r="C562">
        <v>14</v>
      </c>
      <c r="D562" s="1">
        <f t="shared" si="64"/>
        <v>37086</v>
      </c>
      <c r="E562">
        <v>0.4</v>
      </c>
      <c r="F562">
        <f t="shared" si="70"/>
        <v>0.8</v>
      </c>
      <c r="G562">
        <f t="shared" si="65"/>
        <v>1</v>
      </c>
      <c r="H562">
        <f t="shared" si="71"/>
        <v>1</v>
      </c>
      <c r="I562">
        <v>561</v>
      </c>
      <c r="J562">
        <f t="shared" si="66"/>
        <v>-0.22386840046373077</v>
      </c>
      <c r="K562">
        <f t="shared" si="67"/>
        <v>-0.97461938174541274</v>
      </c>
      <c r="L562">
        <f>VLOOKUP(D562,[1]SOI!$A$1:$C$142,3)</f>
        <v>1.8</v>
      </c>
      <c r="M562" s="2">
        <f t="shared" si="68"/>
        <v>-125.59017266015296</v>
      </c>
      <c r="N562">
        <f t="shared" si="69"/>
        <v>-546.7614731591766</v>
      </c>
      <c r="O562" t="s">
        <v>8</v>
      </c>
    </row>
    <row r="563" spans="1:15" x14ac:dyDescent="0.35">
      <c r="A563">
        <v>2001</v>
      </c>
      <c r="B563">
        <v>7</v>
      </c>
      <c r="C563">
        <v>15</v>
      </c>
      <c r="D563" s="1">
        <f t="shared" si="64"/>
        <v>37087</v>
      </c>
      <c r="E563">
        <v>0.2</v>
      </c>
      <c r="F563">
        <f t="shared" si="70"/>
        <v>0.4</v>
      </c>
      <c r="G563">
        <f t="shared" si="65"/>
        <v>1</v>
      </c>
      <c r="H563">
        <f t="shared" si="71"/>
        <v>1</v>
      </c>
      <c r="I563">
        <v>562</v>
      </c>
      <c r="J563">
        <f t="shared" si="66"/>
        <v>-0.2406002661322256</v>
      </c>
      <c r="K563">
        <f t="shared" si="67"/>
        <v>-0.97062428979348248</v>
      </c>
      <c r="L563">
        <f>VLOOKUP(D563,[1]SOI!$A$1:$C$142,3)</f>
        <v>1.8</v>
      </c>
      <c r="M563" s="2">
        <f t="shared" si="68"/>
        <v>-135.21734956631079</v>
      </c>
      <c r="N563">
        <f t="shared" si="69"/>
        <v>-545.49085086393711</v>
      </c>
      <c r="O563" t="s">
        <v>8</v>
      </c>
    </row>
    <row r="564" spans="1:15" x14ac:dyDescent="0.35">
      <c r="A564">
        <v>2001</v>
      </c>
      <c r="B564">
        <v>7</v>
      </c>
      <c r="C564">
        <v>16</v>
      </c>
      <c r="D564" s="1">
        <f t="shared" si="64"/>
        <v>37088</v>
      </c>
      <c r="E564">
        <v>0.4</v>
      </c>
      <c r="F564">
        <f t="shared" si="70"/>
        <v>0.2</v>
      </c>
      <c r="G564">
        <f t="shared" si="65"/>
        <v>1</v>
      </c>
      <c r="H564">
        <f t="shared" si="71"/>
        <v>1</v>
      </c>
      <c r="I564">
        <v>563</v>
      </c>
      <c r="J564">
        <f t="shared" si="66"/>
        <v>-0.25726093431108754</v>
      </c>
      <c r="K564">
        <f t="shared" si="67"/>
        <v>-0.96634197449835857</v>
      </c>
      <c r="L564">
        <f>VLOOKUP(D564,[1]SOI!$A$1:$C$142,3)</f>
        <v>1.8</v>
      </c>
      <c r="M564" s="2">
        <f t="shared" si="68"/>
        <v>-144.83790601714227</v>
      </c>
      <c r="N564">
        <f t="shared" si="69"/>
        <v>-544.05053164257583</v>
      </c>
      <c r="O564" t="s">
        <v>8</v>
      </c>
    </row>
    <row r="565" spans="1:15" x14ac:dyDescent="0.35">
      <c r="A565">
        <v>2001</v>
      </c>
      <c r="B565">
        <v>7</v>
      </c>
      <c r="C565">
        <v>17</v>
      </c>
      <c r="D565" s="1">
        <f t="shared" si="64"/>
        <v>37089</v>
      </c>
      <c r="E565">
        <v>0.2</v>
      </c>
      <c r="F565">
        <f t="shared" si="70"/>
        <v>0.4</v>
      </c>
      <c r="G565">
        <f t="shared" si="65"/>
        <v>1</v>
      </c>
      <c r="H565">
        <f t="shared" si="71"/>
        <v>1</v>
      </c>
      <c r="I565">
        <v>564</v>
      </c>
      <c r="J565">
        <f t="shared" si="66"/>
        <v>-0.27384547484055471</v>
      </c>
      <c r="K565">
        <f t="shared" si="67"/>
        <v>-0.96177370306603371</v>
      </c>
      <c r="L565">
        <f>VLOOKUP(D565,[1]SOI!$A$1:$C$142,3)</f>
        <v>1.8</v>
      </c>
      <c r="M565" s="2">
        <f t="shared" si="68"/>
        <v>-154.44884781007286</v>
      </c>
      <c r="N565">
        <f t="shared" si="69"/>
        <v>-542.44036852924296</v>
      </c>
      <c r="O565" t="s">
        <v>8</v>
      </c>
    </row>
    <row r="566" spans="1:15" x14ac:dyDescent="0.35">
      <c r="A566">
        <v>2001</v>
      </c>
      <c r="B566">
        <v>7</v>
      </c>
      <c r="C566">
        <v>18</v>
      </c>
      <c r="D566" s="1">
        <f t="shared" si="64"/>
        <v>37090</v>
      </c>
      <c r="E566">
        <v>0.2</v>
      </c>
      <c r="F566">
        <f t="shared" si="70"/>
        <v>0.2</v>
      </c>
      <c r="G566">
        <f t="shared" si="65"/>
        <v>1</v>
      </c>
      <c r="H566">
        <f t="shared" si="71"/>
        <v>1</v>
      </c>
      <c r="I566">
        <v>565</v>
      </c>
      <c r="J566">
        <f t="shared" si="66"/>
        <v>-0.29034898008826648</v>
      </c>
      <c r="K566">
        <f t="shared" si="67"/>
        <v>-0.95692082732152062</v>
      </c>
      <c r="L566">
        <f>VLOOKUP(D566,[1]SOI!$A$1:$C$142,3)</f>
        <v>1.8</v>
      </c>
      <c r="M566" s="2">
        <f t="shared" si="68"/>
        <v>-164.04717374987055</v>
      </c>
      <c r="N566">
        <f t="shared" si="69"/>
        <v>-540.66026743665918</v>
      </c>
      <c r="O566" t="s">
        <v>8</v>
      </c>
    </row>
    <row r="567" spans="1:15" x14ac:dyDescent="0.35">
      <c r="A567">
        <v>2001</v>
      </c>
      <c r="B567">
        <v>7</v>
      </c>
      <c r="C567">
        <v>19</v>
      </c>
      <c r="D567" s="1">
        <f t="shared" si="64"/>
        <v>37091</v>
      </c>
      <c r="E567">
        <v>1.6</v>
      </c>
      <c r="F567">
        <f t="shared" si="70"/>
        <v>0.2</v>
      </c>
      <c r="G567">
        <f t="shared" si="65"/>
        <v>1</v>
      </c>
      <c r="H567">
        <f t="shared" si="71"/>
        <v>1</v>
      </c>
      <c r="I567">
        <v>566</v>
      </c>
      <c r="J567">
        <f t="shared" si="66"/>
        <v>-0.30676656640150596</v>
      </c>
      <c r="K567">
        <f t="shared" si="67"/>
        <v>-0.95178478330882688</v>
      </c>
      <c r="L567">
        <f>VLOOKUP(D567,[1]SOI!$A$1:$C$142,3)</f>
        <v>1.8</v>
      </c>
      <c r="M567" s="2">
        <f t="shared" si="68"/>
        <v>-173.62987658325238</v>
      </c>
      <c r="N567">
        <f t="shared" si="69"/>
        <v>-538.71018735279597</v>
      </c>
      <c r="O567" t="s">
        <v>8</v>
      </c>
    </row>
    <row r="568" spans="1:15" x14ac:dyDescent="0.35">
      <c r="A568">
        <v>2001</v>
      </c>
      <c r="B568">
        <v>7</v>
      </c>
      <c r="C568">
        <v>20</v>
      </c>
      <c r="D568" s="1">
        <f t="shared" si="64"/>
        <v>37092</v>
      </c>
      <c r="E568">
        <v>0.6</v>
      </c>
      <c r="F568">
        <f t="shared" si="70"/>
        <v>1.6</v>
      </c>
      <c r="G568">
        <f t="shared" si="65"/>
        <v>1</v>
      </c>
      <c r="H568">
        <f t="shared" si="71"/>
        <v>1</v>
      </c>
      <c r="I568">
        <v>567</v>
      </c>
      <c r="J568">
        <f t="shared" si="66"/>
        <v>-0.32309337555234607</v>
      </c>
      <c r="K568">
        <f t="shared" si="67"/>
        <v>-0.94636709086600779</v>
      </c>
      <c r="L568">
        <f>VLOOKUP(D568,[1]SOI!$A$1:$C$142,3)</f>
        <v>1.8</v>
      </c>
      <c r="M568" s="2">
        <f t="shared" si="68"/>
        <v>-183.19394393818021</v>
      </c>
      <c r="N568">
        <f t="shared" si="69"/>
        <v>-536.59014052102646</v>
      </c>
      <c r="O568" t="s">
        <v>8</v>
      </c>
    </row>
    <row r="569" spans="1:15" x14ac:dyDescent="0.35">
      <c r="A569">
        <v>2001</v>
      </c>
      <c r="B569">
        <v>7</v>
      </c>
      <c r="C569">
        <v>21</v>
      </c>
      <c r="D569" s="1">
        <f t="shared" si="64"/>
        <v>37093</v>
      </c>
      <c r="E569">
        <v>0</v>
      </c>
      <c r="F569">
        <f t="shared" si="70"/>
        <v>0.6</v>
      </c>
      <c r="G569">
        <f t="shared" si="65"/>
        <v>0</v>
      </c>
      <c r="H569">
        <f t="shared" si="71"/>
        <v>1</v>
      </c>
      <c r="I569">
        <v>568</v>
      </c>
      <c r="J569">
        <f t="shared" si="66"/>
        <v>-0.33932457617528933</v>
      </c>
      <c r="K569">
        <f t="shared" si="67"/>
        <v>-0.94066935317541855</v>
      </c>
      <c r="L569">
        <f>VLOOKUP(D569,[1]SOI!$A$1:$C$142,3)</f>
        <v>1.8</v>
      </c>
      <c r="M569" s="2">
        <f t="shared" si="68"/>
        <v>-192.73635926756432</v>
      </c>
      <c r="N569">
        <f t="shared" si="69"/>
        <v>-534.3001926036377</v>
      </c>
      <c r="O569" t="s">
        <v>8</v>
      </c>
    </row>
    <row r="570" spans="1:15" x14ac:dyDescent="0.35">
      <c r="A570">
        <v>2001</v>
      </c>
      <c r="B570">
        <v>7</v>
      </c>
      <c r="C570">
        <v>22</v>
      </c>
      <c r="D570" s="1">
        <f t="shared" si="64"/>
        <v>37094</v>
      </c>
      <c r="E570">
        <v>0</v>
      </c>
      <c r="F570">
        <f t="shared" si="70"/>
        <v>0</v>
      </c>
      <c r="G570">
        <f t="shared" si="65"/>
        <v>0</v>
      </c>
      <c r="H570">
        <f t="shared" si="71"/>
        <v>0</v>
      </c>
      <c r="I570">
        <v>569</v>
      </c>
      <c r="J570">
        <f t="shared" si="66"/>
        <v>-0.35545536519693316</v>
      </c>
      <c r="K570">
        <f t="shared" si="67"/>
        <v>-0.93469325628931055</v>
      </c>
      <c r="L570">
        <f>VLOOKUP(D570,[1]SOI!$A$1:$C$142,3)</f>
        <v>1.8</v>
      </c>
      <c r="M570" s="2">
        <f t="shared" si="68"/>
        <v>-202.25410279705497</v>
      </c>
      <c r="N570">
        <f t="shared" si="69"/>
        <v>-531.84046282861766</v>
      </c>
      <c r="O570" t="s">
        <v>8</v>
      </c>
    </row>
    <row r="571" spans="1:15" x14ac:dyDescent="0.35">
      <c r="A571">
        <v>2001</v>
      </c>
      <c r="B571">
        <v>7</v>
      </c>
      <c r="C571">
        <v>23</v>
      </c>
      <c r="D571" s="1">
        <f t="shared" si="64"/>
        <v>37095</v>
      </c>
      <c r="E571">
        <v>0</v>
      </c>
      <c r="F571">
        <f t="shared" si="70"/>
        <v>0</v>
      </c>
      <c r="G571">
        <f t="shared" si="65"/>
        <v>0</v>
      </c>
      <c r="H571">
        <f t="shared" si="71"/>
        <v>0</v>
      </c>
      <c r="I571">
        <v>570</v>
      </c>
      <c r="J571">
        <f t="shared" si="66"/>
        <v>-0.37148096925728835</v>
      </c>
      <c r="K571">
        <f t="shared" si="67"/>
        <v>-0.92844056863089819</v>
      </c>
      <c r="L571">
        <f>VLOOKUP(D571,[1]SOI!$A$1:$C$142,3)</f>
        <v>1.8</v>
      </c>
      <c r="M571" s="2">
        <f t="shared" si="68"/>
        <v>-211.74415247665436</v>
      </c>
      <c r="N571">
        <f t="shared" si="69"/>
        <v>-529.21112411961201</v>
      </c>
      <c r="O571" t="s">
        <v>8</v>
      </c>
    </row>
    <row r="572" spans="1:15" x14ac:dyDescent="0.35">
      <c r="A572">
        <v>2001</v>
      </c>
      <c r="B572">
        <v>7</v>
      </c>
      <c r="C572">
        <v>24</v>
      </c>
      <c r="D572" s="1">
        <f t="shared" si="64"/>
        <v>37096</v>
      </c>
      <c r="E572">
        <v>0</v>
      </c>
      <c r="F572">
        <f t="shared" si="70"/>
        <v>0</v>
      </c>
      <c r="G572">
        <f t="shared" si="65"/>
        <v>0</v>
      </c>
      <c r="H572">
        <f t="shared" si="71"/>
        <v>0</v>
      </c>
      <c r="I572">
        <v>571</v>
      </c>
      <c r="J572">
        <f t="shared" si="66"/>
        <v>-0.38739664612228614</v>
      </c>
      <c r="K572">
        <f t="shared" si="67"/>
        <v>-0.92191314047105555</v>
      </c>
      <c r="L572">
        <f>VLOOKUP(D572,[1]SOI!$A$1:$C$142,3)</f>
        <v>1.8</v>
      </c>
      <c r="M572" s="2">
        <f t="shared" si="68"/>
        <v>-221.20348493582537</v>
      </c>
      <c r="N572">
        <f t="shared" si="69"/>
        <v>-526.41240320897271</v>
      </c>
      <c r="O572" t="s">
        <v>8</v>
      </c>
    </row>
    <row r="573" spans="1:15" x14ac:dyDescent="0.35">
      <c r="A573">
        <v>2001</v>
      </c>
      <c r="B573">
        <v>7</v>
      </c>
      <c r="C573">
        <v>25</v>
      </c>
      <c r="D573" s="1">
        <f t="shared" si="64"/>
        <v>37097</v>
      </c>
      <c r="E573">
        <v>0</v>
      </c>
      <c r="F573">
        <f t="shared" si="70"/>
        <v>0</v>
      </c>
      <c r="G573">
        <f t="shared" si="65"/>
        <v>0</v>
      </c>
      <c r="H573">
        <f t="shared" si="71"/>
        <v>0</v>
      </c>
      <c r="I573">
        <v>572</v>
      </c>
      <c r="J573">
        <f t="shared" si="66"/>
        <v>-0.40319768608708534</v>
      </c>
      <c r="K573">
        <f t="shared" si="67"/>
        <v>-0.91511290338079065</v>
      </c>
      <c r="L573">
        <f>VLOOKUP(D573,[1]SOI!$A$1:$C$142,3)</f>
        <v>1.8</v>
      </c>
      <c r="M573" s="2">
        <f t="shared" si="68"/>
        <v>-230.62907644181283</v>
      </c>
      <c r="N573">
        <f t="shared" si="69"/>
        <v>-523.44458073381224</v>
      </c>
      <c r="O573" t="s">
        <v>8</v>
      </c>
    </row>
    <row r="574" spans="1:15" x14ac:dyDescent="0.35">
      <c r="A574">
        <v>2001</v>
      </c>
      <c r="B574">
        <v>7</v>
      </c>
      <c r="C574">
        <v>26</v>
      </c>
      <c r="D574" s="1">
        <f t="shared" si="64"/>
        <v>37098</v>
      </c>
      <c r="E574">
        <v>0.2</v>
      </c>
      <c r="F574">
        <f t="shared" si="70"/>
        <v>0</v>
      </c>
      <c r="G574">
        <f t="shared" si="65"/>
        <v>1</v>
      </c>
      <c r="H574">
        <f t="shared" si="71"/>
        <v>0</v>
      </c>
      <c r="I574">
        <v>573</v>
      </c>
      <c r="J574">
        <f t="shared" si="66"/>
        <v>-0.41887941336974271</v>
      </c>
      <c r="K574">
        <f t="shared" si="67"/>
        <v>-0.90804186965966516</v>
      </c>
      <c r="L574">
        <f>VLOOKUP(D574,[1]SOI!$A$1:$C$142,3)</f>
        <v>1.8</v>
      </c>
      <c r="M574" s="2">
        <f t="shared" si="68"/>
        <v>-240.01790386086259</v>
      </c>
      <c r="N574">
        <f t="shared" si="69"/>
        <v>-520.30799131498816</v>
      </c>
      <c r="O574" t="s">
        <v>8</v>
      </c>
    </row>
    <row r="575" spans="1:15" x14ac:dyDescent="0.35">
      <c r="A575">
        <v>2001</v>
      </c>
      <c r="B575">
        <v>7</v>
      </c>
      <c r="C575">
        <v>27</v>
      </c>
      <c r="D575" s="1">
        <f t="shared" si="64"/>
        <v>37099</v>
      </c>
      <c r="E575">
        <v>0</v>
      </c>
      <c r="F575">
        <f t="shared" si="70"/>
        <v>0.2</v>
      </c>
      <c r="G575">
        <f t="shared" si="65"/>
        <v>0</v>
      </c>
      <c r="H575">
        <f t="shared" si="71"/>
        <v>1</v>
      </c>
      <c r="I575">
        <v>574</v>
      </c>
      <c r="J575">
        <f t="shared" si="66"/>
        <v>-0.43443718749486221</v>
      </c>
      <c r="K575">
        <f t="shared" si="67"/>
        <v>-0.90070213174031843</v>
      </c>
      <c r="L575">
        <f>VLOOKUP(D575,[1]SOI!$A$1:$C$142,3)</f>
        <v>1.8</v>
      </c>
      <c r="M575" s="2">
        <f t="shared" si="68"/>
        <v>-249.36694562205091</v>
      </c>
      <c r="N575">
        <f t="shared" si="69"/>
        <v>-517.00302361894273</v>
      </c>
      <c r="O575" t="s">
        <v>8</v>
      </c>
    </row>
    <row r="576" spans="1:15" x14ac:dyDescent="0.35">
      <c r="A576">
        <v>2001</v>
      </c>
      <c r="B576">
        <v>7</v>
      </c>
      <c r="C576">
        <v>28</v>
      </c>
      <c r="D576" s="1">
        <f t="shared" si="64"/>
        <v>37100</v>
      </c>
      <c r="E576">
        <v>0.8</v>
      </c>
      <c r="F576">
        <f t="shared" si="70"/>
        <v>0</v>
      </c>
      <c r="G576">
        <f t="shared" si="65"/>
        <v>1</v>
      </c>
      <c r="H576">
        <f t="shared" si="71"/>
        <v>0</v>
      </c>
      <c r="I576">
        <v>575</v>
      </c>
      <c r="J576">
        <f t="shared" si="66"/>
        <v>-0.4498664046667798</v>
      </c>
      <c r="K576">
        <f t="shared" si="67"/>
        <v>-0.89309586156928589</v>
      </c>
      <c r="L576">
        <f>VLOOKUP(D576,[1]SOI!$A$1:$C$142,3)</f>
        <v>1.8</v>
      </c>
      <c r="M576" s="2">
        <f t="shared" si="68"/>
        <v>-258.67318268339841</v>
      </c>
      <c r="N576">
        <f t="shared" si="69"/>
        <v>-513.53012040233943</v>
      </c>
      <c r="O576" t="s">
        <v>8</v>
      </c>
    </row>
    <row r="577" spans="1:15" x14ac:dyDescent="0.35">
      <c r="A577">
        <v>2001</v>
      </c>
      <c r="B577">
        <v>7</v>
      </c>
      <c r="C577">
        <v>29</v>
      </c>
      <c r="D577" s="1">
        <f t="shared" si="64"/>
        <v>37101</v>
      </c>
      <c r="E577">
        <v>0.2</v>
      </c>
      <c r="F577">
        <f t="shared" si="70"/>
        <v>0.8</v>
      </c>
      <c r="G577">
        <f t="shared" si="65"/>
        <v>1</v>
      </c>
      <c r="H577">
        <f t="shared" si="71"/>
        <v>1</v>
      </c>
      <c r="I577">
        <v>576</v>
      </c>
      <c r="J577">
        <f t="shared" si="66"/>
        <v>-0.46516249913190355</v>
      </c>
      <c r="K577">
        <f t="shared" si="67"/>
        <v>-0.8852253099642835</v>
      </c>
      <c r="L577">
        <f>VLOOKUP(D577,[1]SOI!$A$1:$C$142,3)</f>
        <v>1.8</v>
      </c>
      <c r="M577" s="2">
        <f t="shared" si="68"/>
        <v>-267.93359949997642</v>
      </c>
      <c r="N577">
        <f t="shared" si="69"/>
        <v>-509.88977853942731</v>
      </c>
      <c r="O577" t="s">
        <v>8</v>
      </c>
    </row>
    <row r="578" spans="1:15" x14ac:dyDescent="0.35">
      <c r="A578">
        <v>2001</v>
      </c>
      <c r="B578">
        <v>7</v>
      </c>
      <c r="C578">
        <v>30</v>
      </c>
      <c r="D578" s="1">
        <f t="shared" si="64"/>
        <v>37102</v>
      </c>
      <c r="E578">
        <v>0</v>
      </c>
      <c r="F578">
        <f t="shared" si="70"/>
        <v>0.2</v>
      </c>
      <c r="G578">
        <f t="shared" si="65"/>
        <v>0</v>
      </c>
      <c r="H578">
        <f t="shared" si="71"/>
        <v>1</v>
      </c>
      <c r="I578">
        <v>577</v>
      </c>
      <c r="J578">
        <f t="shared" si="66"/>
        <v>-0.48032094452978913</v>
      </c>
      <c r="K578">
        <f t="shared" si="67"/>
        <v>-0.87709280594815686</v>
      </c>
      <c r="L578">
        <f>VLOOKUP(D578,[1]SOI!$A$1:$C$142,3)</f>
        <v>1.8</v>
      </c>
      <c r="M578" s="2">
        <f t="shared" si="68"/>
        <v>-277.1451849936883</v>
      </c>
      <c r="N578">
        <f t="shared" si="69"/>
        <v>-506.08254903208649</v>
      </c>
      <c r="O578" t="s">
        <v>8</v>
      </c>
    </row>
    <row r="579" spans="1:15" x14ac:dyDescent="0.35">
      <c r="A579">
        <v>2001</v>
      </c>
      <c r="B579">
        <v>7</v>
      </c>
      <c r="C579">
        <v>31</v>
      </c>
      <c r="D579" s="1">
        <f t="shared" ref="D579:D642" si="72">DATE(A579,B579,C579)</f>
        <v>37103</v>
      </c>
      <c r="E579">
        <v>0</v>
      </c>
      <c r="F579">
        <f t="shared" si="70"/>
        <v>0</v>
      </c>
      <c r="G579">
        <f t="shared" ref="G579:G642" si="73">IF(E579=0,0,1)</f>
        <v>0</v>
      </c>
      <c r="H579">
        <f t="shared" si="71"/>
        <v>0</v>
      </c>
      <c r="I579">
        <v>578</v>
      </c>
      <c r="J579">
        <f t="shared" ref="J579:J642" si="74">SIN(2*PI()*I579/365.25)</f>
        <v>-0.49533725523256594</v>
      </c>
      <c r="K579">
        <f t="shared" ref="K579:K642" si="75">COS(2*PI()*I579/365.25)</f>
        <v>-0.86870075605968466</v>
      </c>
      <c r="L579">
        <f>VLOOKUP(D579,[1]SOI!$A$1:$C$142,3)</f>
        <v>1.8</v>
      </c>
      <c r="M579" s="2">
        <f t="shared" ref="M579:M642" si="76">I579*J579</f>
        <v>-286.30493352442312</v>
      </c>
      <c r="N579">
        <f t="shared" ref="N579:N642" si="77">I579*K579</f>
        <v>-502.10903700249776</v>
      </c>
      <c r="O579" t="s">
        <v>8</v>
      </c>
    </row>
    <row r="580" spans="1:15" x14ac:dyDescent="0.35">
      <c r="A580">
        <v>2001</v>
      </c>
      <c r="B580">
        <v>8</v>
      </c>
      <c r="C580">
        <v>1</v>
      </c>
      <c r="D580" s="1">
        <f t="shared" si="72"/>
        <v>37104</v>
      </c>
      <c r="E580">
        <v>6.6</v>
      </c>
      <c r="F580">
        <f t="shared" ref="F580:F643" si="78">E579</f>
        <v>0</v>
      </c>
      <c r="G580">
        <f t="shared" si="73"/>
        <v>1</v>
      </c>
      <c r="H580">
        <f t="shared" ref="H580:H643" si="79">G579</f>
        <v>0</v>
      </c>
      <c r="I580">
        <v>579</v>
      </c>
      <c r="J580">
        <f t="shared" si="74"/>
        <v>-0.51020698767230921</v>
      </c>
      <c r="K580">
        <f t="shared" si="75"/>
        <v>-0.86005164364144326</v>
      </c>
      <c r="L580">
        <f>VLOOKUP(D580,[1]SOI!$A$1:$C$142,3)</f>
        <v>-3</v>
      </c>
      <c r="M580" s="2">
        <f t="shared" si="76"/>
        <v>-295.40984586226705</v>
      </c>
      <c r="N580">
        <f t="shared" si="77"/>
        <v>-497.96990166839566</v>
      </c>
      <c r="O580" t="s">
        <v>8</v>
      </c>
    </row>
    <row r="581" spans="1:15" x14ac:dyDescent="0.35">
      <c r="A581">
        <v>2001</v>
      </c>
      <c r="B581">
        <v>8</v>
      </c>
      <c r="C581">
        <v>2</v>
      </c>
      <c r="D581" s="1">
        <f t="shared" si="72"/>
        <v>37105</v>
      </c>
      <c r="E581">
        <v>1.4</v>
      </c>
      <c r="F581">
        <f t="shared" si="78"/>
        <v>6.6</v>
      </c>
      <c r="G581">
        <f t="shared" si="73"/>
        <v>1</v>
      </c>
      <c r="H581">
        <f t="shared" si="79"/>
        <v>1</v>
      </c>
      <c r="I581">
        <v>580</v>
      </c>
      <c r="J581">
        <f t="shared" si="74"/>
        <v>-0.52492574165595929</v>
      </c>
      <c r="K581">
        <f t="shared" si="75"/>
        <v>-0.85114802810494783</v>
      </c>
      <c r="L581">
        <f>VLOOKUP(D581,[1]SOI!$A$1:$C$142,3)</f>
        <v>-3</v>
      </c>
      <c r="M581" s="2">
        <f t="shared" si="76"/>
        <v>-304.45693016045641</v>
      </c>
      <c r="N581">
        <f t="shared" si="77"/>
        <v>-493.66585630086973</v>
      </c>
      <c r="O581" t="s">
        <v>8</v>
      </c>
    </row>
    <row r="582" spans="1:15" x14ac:dyDescent="0.35">
      <c r="A582">
        <v>2001</v>
      </c>
      <c r="B582">
        <v>8</v>
      </c>
      <c r="C582">
        <v>3</v>
      </c>
      <c r="D582" s="1">
        <f t="shared" si="72"/>
        <v>37106</v>
      </c>
      <c r="E582">
        <v>0</v>
      </c>
      <c r="F582">
        <f t="shared" si="78"/>
        <v>1.4</v>
      </c>
      <c r="G582">
        <f t="shared" si="73"/>
        <v>0</v>
      </c>
      <c r="H582">
        <f t="shared" si="79"/>
        <v>1</v>
      </c>
      <c r="I582">
        <v>581</v>
      </c>
      <c r="J582">
        <f t="shared" si="74"/>
        <v>-0.53948916166741168</v>
      </c>
      <c r="K582">
        <f t="shared" si="75"/>
        <v>-0.84199254417328029</v>
      </c>
      <c r="L582">
        <f>VLOOKUP(D582,[1]SOI!$A$1:$C$142,3)</f>
        <v>-3</v>
      </c>
      <c r="M582" s="2">
        <f t="shared" si="76"/>
        <v>-313.4432029287662</v>
      </c>
      <c r="N582">
        <f t="shared" si="77"/>
        <v>-489.19766816467586</v>
      </c>
      <c r="O582" t="s">
        <v>8</v>
      </c>
    </row>
    <row r="583" spans="1:15" x14ac:dyDescent="0.35">
      <c r="A583">
        <v>2001</v>
      </c>
      <c r="B583">
        <v>8</v>
      </c>
      <c r="C583">
        <v>4</v>
      </c>
      <c r="D583" s="1">
        <f t="shared" si="72"/>
        <v>37107</v>
      </c>
      <c r="E583">
        <v>0</v>
      </c>
      <c r="F583">
        <f t="shared" si="78"/>
        <v>0</v>
      </c>
      <c r="G583">
        <f t="shared" si="73"/>
        <v>0</v>
      </c>
      <c r="H583">
        <f t="shared" si="79"/>
        <v>0</v>
      </c>
      <c r="I583">
        <v>582</v>
      </c>
      <c r="J583">
        <f t="shared" si="74"/>
        <v>-0.55389293815637919</v>
      </c>
      <c r="K583">
        <f t="shared" si="75"/>
        <v>-0.83258790110143532</v>
      </c>
      <c r="L583">
        <f>VLOOKUP(D583,[1]SOI!$A$1:$C$142,3)</f>
        <v>-3</v>
      </c>
      <c r="M583" s="2">
        <f t="shared" si="76"/>
        <v>-322.36569000701269</v>
      </c>
      <c r="N583">
        <f t="shared" si="77"/>
        <v>-484.56615844103538</v>
      </c>
      <c r="O583" t="s">
        <v>8</v>
      </c>
    </row>
    <row r="584" spans="1:15" x14ac:dyDescent="0.35">
      <c r="A584">
        <v>2001</v>
      </c>
      <c r="B584">
        <v>8</v>
      </c>
      <c r="C584">
        <v>5</v>
      </c>
      <c r="D584" s="1">
        <f t="shared" si="72"/>
        <v>37108</v>
      </c>
      <c r="E584">
        <v>1.6</v>
      </c>
      <c r="F584">
        <f t="shared" si="78"/>
        <v>0</v>
      </c>
      <c r="G584">
        <f t="shared" si="73"/>
        <v>1</v>
      </c>
      <c r="H584">
        <f t="shared" si="79"/>
        <v>0</v>
      </c>
      <c r="I584">
        <v>583</v>
      </c>
      <c r="J584">
        <f t="shared" si="74"/>
        <v>-0.56813280881366723</v>
      </c>
      <c r="K584">
        <f t="shared" si="75"/>
        <v>-0.82293688187460223</v>
      </c>
      <c r="L584">
        <f>VLOOKUP(D584,[1]SOI!$A$1:$C$142,3)</f>
        <v>-3</v>
      </c>
      <c r="M584" s="2">
        <f t="shared" si="76"/>
        <v>-331.221427538368</v>
      </c>
      <c r="N584">
        <f t="shared" si="77"/>
        <v>-479.77220213289309</v>
      </c>
      <c r="O584" t="s">
        <v>8</v>
      </c>
    </row>
    <row r="585" spans="1:15" x14ac:dyDescent="0.35">
      <c r="A585">
        <v>2001</v>
      </c>
      <c r="B585">
        <v>8</v>
      </c>
      <c r="C585">
        <v>6</v>
      </c>
      <c r="D585" s="1">
        <f t="shared" si="72"/>
        <v>37109</v>
      </c>
      <c r="E585">
        <v>0.6</v>
      </c>
      <c r="F585">
        <f t="shared" si="78"/>
        <v>1.6</v>
      </c>
      <c r="G585">
        <f t="shared" si="73"/>
        <v>1</v>
      </c>
      <c r="H585">
        <f t="shared" si="79"/>
        <v>1</v>
      </c>
      <c r="I585">
        <v>584</v>
      </c>
      <c r="J585">
        <f t="shared" si="74"/>
        <v>-0.5822045598324479</v>
      </c>
      <c r="K585">
        <f t="shared" si="75"/>
        <v>-0.81304234238464212</v>
      </c>
      <c r="L585">
        <f>VLOOKUP(D585,[1]SOI!$A$1:$C$142,3)</f>
        <v>-3</v>
      </c>
      <c r="M585" s="2">
        <f t="shared" si="76"/>
        <v>-340.00746294214957</v>
      </c>
      <c r="N585">
        <f t="shared" si="77"/>
        <v>-474.81672795263103</v>
      </c>
      <c r="O585" t="s">
        <v>8</v>
      </c>
    </row>
    <row r="586" spans="1:15" x14ac:dyDescent="0.35">
      <c r="A586">
        <v>2001</v>
      </c>
      <c r="B586">
        <v>8</v>
      </c>
      <c r="C586">
        <v>7</v>
      </c>
      <c r="D586" s="1">
        <f t="shared" si="72"/>
        <v>37110</v>
      </c>
      <c r="E586">
        <v>0.2</v>
      </c>
      <c r="F586">
        <f t="shared" si="78"/>
        <v>0.6</v>
      </c>
      <c r="G586">
        <f t="shared" si="73"/>
        <v>1</v>
      </c>
      <c r="H586">
        <f t="shared" si="79"/>
        <v>1</v>
      </c>
      <c r="I586">
        <v>585</v>
      </c>
      <c r="J586">
        <f t="shared" si="74"/>
        <v>-0.59610402715520339</v>
      </c>
      <c r="K586">
        <f t="shared" si="75"/>
        <v>-0.80290721058497694</v>
      </c>
      <c r="L586">
        <f>VLOOKUP(D586,[1]SOI!$A$1:$C$142,3)</f>
        <v>-3</v>
      </c>
      <c r="M586" s="2">
        <f t="shared" si="76"/>
        <v>-348.72085588579398</v>
      </c>
      <c r="N586">
        <f t="shared" si="77"/>
        <v>-469.70071819221153</v>
      </c>
      <c r="O586" t="s">
        <v>8</v>
      </c>
    </row>
    <row r="587" spans="1:15" x14ac:dyDescent="0.35">
      <c r="A587">
        <v>2001</v>
      </c>
      <c r="B587">
        <v>8</v>
      </c>
      <c r="C587">
        <v>8</v>
      </c>
      <c r="D587" s="1">
        <f t="shared" si="72"/>
        <v>37111</v>
      </c>
      <c r="E587">
        <v>0.6</v>
      </c>
      <c r="F587">
        <f t="shared" si="78"/>
        <v>0.2</v>
      </c>
      <c r="G587">
        <f t="shared" si="73"/>
        <v>1</v>
      </c>
      <c r="H587">
        <f t="shared" si="79"/>
        <v>1</v>
      </c>
      <c r="I587">
        <v>586</v>
      </c>
      <c r="J587">
        <f t="shared" si="74"/>
        <v>-0.60982709770593213</v>
      </c>
      <c r="K587">
        <f t="shared" si="75"/>
        <v>-0.79253448562416484</v>
      </c>
      <c r="L587">
        <f>VLOOKUP(D587,[1]SOI!$A$1:$C$142,3)</f>
        <v>-3</v>
      </c>
      <c r="M587" s="2">
        <f t="shared" si="76"/>
        <v>-357.35867925567624</v>
      </c>
      <c r="N587">
        <f t="shared" si="77"/>
        <v>-464.42520857576062</v>
      </c>
      <c r="O587" t="s">
        <v>8</v>
      </c>
    </row>
    <row r="588" spans="1:15" x14ac:dyDescent="0.35">
      <c r="A588">
        <v>2001</v>
      </c>
      <c r="B588">
        <v>8</v>
      </c>
      <c r="C588">
        <v>9</v>
      </c>
      <c r="D588" s="1">
        <f t="shared" si="72"/>
        <v>37112</v>
      </c>
      <c r="E588">
        <v>0.2</v>
      </c>
      <c r="F588">
        <f t="shared" si="78"/>
        <v>0.6</v>
      </c>
      <c r="G588">
        <f t="shared" si="73"/>
        <v>1</v>
      </c>
      <c r="H588">
        <f t="shared" si="79"/>
        <v>1</v>
      </c>
      <c r="I588">
        <v>587</v>
      </c>
      <c r="J588">
        <f t="shared" si="74"/>
        <v>-0.62336971060727653</v>
      </c>
      <c r="K588">
        <f t="shared" si="75"/>
        <v>-0.78192723695840161</v>
      </c>
      <c r="L588">
        <f>VLOOKUP(D588,[1]SOI!$A$1:$C$142,3)</f>
        <v>-3</v>
      </c>
      <c r="M588" s="2">
        <f t="shared" si="76"/>
        <v>-365.91802012647133</v>
      </c>
      <c r="N588">
        <f t="shared" si="77"/>
        <v>-458.99128809458176</v>
      </c>
      <c r="O588" t="s">
        <v>8</v>
      </c>
    </row>
    <row r="589" spans="1:15" x14ac:dyDescent="0.35">
      <c r="A589">
        <v>2001</v>
      </c>
      <c r="B589">
        <v>8</v>
      </c>
      <c r="C589">
        <v>10</v>
      </c>
      <c r="D589" s="1">
        <f t="shared" si="72"/>
        <v>37113</v>
      </c>
      <c r="E589">
        <v>0</v>
      </c>
      <c r="F589">
        <f t="shared" si="78"/>
        <v>0.2</v>
      </c>
      <c r="G589">
        <f t="shared" si="73"/>
        <v>0</v>
      </c>
      <c r="H589">
        <f t="shared" si="79"/>
        <v>1</v>
      </c>
      <c r="I589">
        <v>588</v>
      </c>
      <c r="J589">
        <f t="shared" si="74"/>
        <v>-0.63672785838219792</v>
      </c>
      <c r="K589">
        <f t="shared" si="75"/>
        <v>-0.77108860344322272</v>
      </c>
      <c r="L589">
        <f>VLOOKUP(D589,[1]SOI!$A$1:$C$142,3)</f>
        <v>-3</v>
      </c>
      <c r="M589" s="2">
        <f t="shared" si="76"/>
        <v>-374.39598072873235</v>
      </c>
      <c r="N589">
        <f t="shared" si="77"/>
        <v>-453.40009882461499</v>
      </c>
      <c r="O589" t="s">
        <v>8</v>
      </c>
    </row>
    <row r="590" spans="1:15" x14ac:dyDescent="0.35">
      <c r="A590">
        <v>2001</v>
      </c>
      <c r="B590">
        <v>8</v>
      </c>
      <c r="C590">
        <v>11</v>
      </c>
      <c r="D590" s="1">
        <f t="shared" si="72"/>
        <v>37114</v>
      </c>
      <c r="E590">
        <v>0</v>
      </c>
      <c r="F590">
        <f t="shared" si="78"/>
        <v>0</v>
      </c>
      <c r="G590">
        <f t="shared" si="73"/>
        <v>0</v>
      </c>
      <c r="H590">
        <f t="shared" si="79"/>
        <v>0</v>
      </c>
      <c r="I590">
        <v>589</v>
      </c>
      <c r="J590">
        <f t="shared" si="74"/>
        <v>-0.64989758813985654</v>
      </c>
      <c r="K590">
        <f t="shared" si="75"/>
        <v>-0.7600217924046635</v>
      </c>
      <c r="L590">
        <f>VLOOKUP(D590,[1]SOI!$A$1:$C$142,3)</f>
        <v>-3</v>
      </c>
      <c r="M590" s="2">
        <f t="shared" si="76"/>
        <v>-382.78967941437548</v>
      </c>
      <c r="N590">
        <f t="shared" si="77"/>
        <v>-447.65283572634678</v>
      </c>
      <c r="O590" t="s">
        <v>8</v>
      </c>
    </row>
    <row r="591" spans="1:15" x14ac:dyDescent="0.35">
      <c r="A591">
        <v>2001</v>
      </c>
      <c r="B591">
        <v>8</v>
      </c>
      <c r="C591">
        <v>12</v>
      </c>
      <c r="D591" s="1">
        <f t="shared" si="72"/>
        <v>37115</v>
      </c>
      <c r="E591">
        <v>0</v>
      </c>
      <c r="F591">
        <f t="shared" si="78"/>
        <v>0</v>
      </c>
      <c r="G591">
        <f t="shared" si="73"/>
        <v>0</v>
      </c>
      <c r="H591">
        <f t="shared" si="79"/>
        <v>0</v>
      </c>
      <c r="I591">
        <v>590</v>
      </c>
      <c r="J591">
        <f t="shared" si="74"/>
        <v>-0.66287500274533773</v>
      </c>
      <c r="K591">
        <f t="shared" si="75"/>
        <v>-0.74873007869015684</v>
      </c>
      <c r="L591">
        <f>VLOOKUP(D591,[1]SOI!$A$1:$C$142,3)</f>
        <v>-3</v>
      </c>
      <c r="M591" s="2">
        <f t="shared" si="76"/>
        <v>-391.09625161974924</v>
      </c>
      <c r="N591">
        <f t="shared" si="77"/>
        <v>-441.75074642719255</v>
      </c>
      <c r="O591" t="s">
        <v>8</v>
      </c>
    </row>
    <row r="592" spans="1:15" x14ac:dyDescent="0.35">
      <c r="A592">
        <v>2001</v>
      </c>
      <c r="B592">
        <v>8</v>
      </c>
      <c r="C592">
        <v>13</v>
      </c>
      <c r="D592" s="1">
        <f t="shared" si="72"/>
        <v>37116</v>
      </c>
      <c r="E592">
        <v>0</v>
      </c>
      <c r="F592">
        <f t="shared" si="78"/>
        <v>0</v>
      </c>
      <c r="G592">
        <f t="shared" si="73"/>
        <v>0</v>
      </c>
      <c r="H592">
        <f t="shared" si="79"/>
        <v>0</v>
      </c>
      <c r="I592">
        <v>591</v>
      </c>
      <c r="J592">
        <f t="shared" si="74"/>
        <v>-0.67565626197287332</v>
      </c>
      <c r="K592">
        <f t="shared" si="75"/>
        <v>-0.73721680369945719</v>
      </c>
      <c r="L592">
        <f>VLOOKUP(D592,[1]SOI!$A$1:$C$142,3)</f>
        <v>-3</v>
      </c>
      <c r="M592" s="2">
        <f t="shared" si="76"/>
        <v>-399.31285082596816</v>
      </c>
      <c r="N592">
        <f t="shared" si="77"/>
        <v>-435.69513098637918</v>
      </c>
      <c r="O592" t="s">
        <v>8</v>
      </c>
    </row>
    <row r="593" spans="1:15" x14ac:dyDescent="0.35">
      <c r="A593">
        <v>2001</v>
      </c>
      <c r="B593">
        <v>8</v>
      </c>
      <c r="C593">
        <v>14</v>
      </c>
      <c r="D593" s="1">
        <f t="shared" si="72"/>
        <v>37117</v>
      </c>
      <c r="E593">
        <v>0</v>
      </c>
      <c r="F593">
        <f t="shared" si="78"/>
        <v>0</v>
      </c>
      <c r="G593">
        <f t="shared" si="73"/>
        <v>0</v>
      </c>
      <c r="H593">
        <f t="shared" si="79"/>
        <v>0</v>
      </c>
      <c r="I593">
        <v>592</v>
      </c>
      <c r="J593">
        <f t="shared" si="74"/>
        <v>-0.68823758364222842</v>
      </c>
      <c r="K593">
        <f t="shared" si="75"/>
        <v>-0.7254853743958638</v>
      </c>
      <c r="L593">
        <f>VLOOKUP(D593,[1]SOI!$A$1:$C$142,3)</f>
        <v>-3</v>
      </c>
      <c r="M593" s="2">
        <f t="shared" si="76"/>
        <v>-407.43664951619922</v>
      </c>
      <c r="N593">
        <f t="shared" si="77"/>
        <v>-429.4873416423514</v>
      </c>
      <c r="O593" t="s">
        <v>8</v>
      </c>
    </row>
    <row r="594" spans="1:15" x14ac:dyDescent="0.35">
      <c r="A594">
        <v>2001</v>
      </c>
      <c r="B594">
        <v>8</v>
      </c>
      <c r="C594">
        <v>15</v>
      </c>
      <c r="D594" s="1">
        <f t="shared" si="72"/>
        <v>37118</v>
      </c>
      <c r="E594">
        <v>0</v>
      </c>
      <c r="F594">
        <f t="shared" si="78"/>
        <v>0</v>
      </c>
      <c r="G594">
        <f t="shared" si="73"/>
        <v>0</v>
      </c>
      <c r="H594">
        <f t="shared" si="79"/>
        <v>0</v>
      </c>
      <c r="I594">
        <v>593</v>
      </c>
      <c r="J594">
        <f t="shared" si="74"/>
        <v>-0.7006152447379046</v>
      </c>
      <c r="K594">
        <f t="shared" si="75"/>
        <v>-0.71353926229805054</v>
      </c>
      <c r="L594">
        <f>VLOOKUP(D594,[1]SOI!$A$1:$C$142,3)</f>
        <v>-3</v>
      </c>
      <c r="M594" s="2">
        <f t="shared" si="76"/>
        <v>-415.46484012957745</v>
      </c>
      <c r="N594">
        <f t="shared" si="77"/>
        <v>-423.12878254274398</v>
      </c>
      <c r="O594" t="s">
        <v>8</v>
      </c>
    </row>
    <row r="595" spans="1:15" x14ac:dyDescent="0.35">
      <c r="A595">
        <v>2001</v>
      </c>
      <c r="B595">
        <v>8</v>
      </c>
      <c r="C595">
        <v>16</v>
      </c>
      <c r="D595" s="1">
        <f t="shared" si="72"/>
        <v>37119</v>
      </c>
      <c r="E595">
        <v>0</v>
      </c>
      <c r="F595">
        <f t="shared" si="78"/>
        <v>0</v>
      </c>
      <c r="G595">
        <f t="shared" si="73"/>
        <v>0</v>
      </c>
      <c r="H595">
        <f t="shared" si="79"/>
        <v>0</v>
      </c>
      <c r="I595">
        <v>594</v>
      </c>
      <c r="J595">
        <f t="shared" si="74"/>
        <v>-0.71278558251084734</v>
      </c>
      <c r="K595">
        <f t="shared" si="75"/>
        <v>-0.70138200245278037</v>
      </c>
      <c r="L595">
        <f>VLOOKUP(D595,[1]SOI!$A$1:$C$142,3)</f>
        <v>-3</v>
      </c>
      <c r="M595" s="2">
        <f t="shared" si="76"/>
        <v>-423.39463601144331</v>
      </c>
      <c r="N595">
        <f t="shared" si="77"/>
        <v>-416.62090945695155</v>
      </c>
      <c r="O595" t="s">
        <v>8</v>
      </c>
    </row>
    <row r="596" spans="1:15" x14ac:dyDescent="0.35">
      <c r="A596">
        <v>2001</v>
      </c>
      <c r="B596">
        <v>8</v>
      </c>
      <c r="C596">
        <v>17</v>
      </c>
      <c r="D596" s="1">
        <f t="shared" si="72"/>
        <v>37120</v>
      </c>
      <c r="E596">
        <v>4.4000000000000004</v>
      </c>
      <c r="F596">
        <f t="shared" si="78"/>
        <v>0</v>
      </c>
      <c r="G596">
        <f t="shared" si="73"/>
        <v>1</v>
      </c>
      <c r="H596">
        <f t="shared" si="79"/>
        <v>0</v>
      </c>
      <c r="I596">
        <v>595</v>
      </c>
      <c r="J596">
        <f t="shared" si="74"/>
        <v>-0.72474499556230787</v>
      </c>
      <c r="K596">
        <f t="shared" si="75"/>
        <v>-0.68901719238883319</v>
      </c>
      <c r="L596">
        <f>VLOOKUP(D596,[1]SOI!$A$1:$C$142,3)</f>
        <v>-3</v>
      </c>
      <c r="M596" s="2">
        <f t="shared" si="76"/>
        <v>-431.22327235957317</v>
      </c>
      <c r="N596">
        <f t="shared" si="77"/>
        <v>-409.96522947135577</v>
      </c>
      <c r="O596" t="s">
        <v>8</v>
      </c>
    </row>
    <row r="597" spans="1:15" x14ac:dyDescent="0.35">
      <c r="A597">
        <v>2001</v>
      </c>
      <c r="B597">
        <v>8</v>
      </c>
      <c r="C597">
        <v>18</v>
      </c>
      <c r="D597" s="1">
        <f t="shared" si="72"/>
        <v>37121</v>
      </c>
      <c r="E597">
        <v>4.8</v>
      </c>
      <c r="F597">
        <f t="shared" si="78"/>
        <v>4.4000000000000004</v>
      </c>
      <c r="G597">
        <f t="shared" si="73"/>
        <v>1</v>
      </c>
      <c r="H597">
        <f t="shared" si="79"/>
        <v>1</v>
      </c>
      <c r="I597">
        <v>596</v>
      </c>
      <c r="J597">
        <f t="shared" si="74"/>
        <v>-0.73648994490955688</v>
      </c>
      <c r="K597">
        <f t="shared" si="75"/>
        <v>-0.67644849105243621</v>
      </c>
      <c r="L597">
        <f>VLOOKUP(D597,[1]SOI!$A$1:$C$142,3)</f>
        <v>-3</v>
      </c>
      <c r="M597" s="2">
        <f t="shared" si="76"/>
        <v>-438.94800716609592</v>
      </c>
      <c r="N597">
        <f t="shared" si="77"/>
        <v>-403.16330066725197</v>
      </c>
      <c r="O597" t="s">
        <v>8</v>
      </c>
    </row>
    <row r="598" spans="1:15" x14ac:dyDescent="0.35">
      <c r="A598">
        <v>2001</v>
      </c>
      <c r="B598">
        <v>8</v>
      </c>
      <c r="C598">
        <v>19</v>
      </c>
      <c r="D598" s="1">
        <f t="shared" si="72"/>
        <v>37122</v>
      </c>
      <c r="E598">
        <v>0</v>
      </c>
      <c r="F598">
        <f t="shared" si="78"/>
        <v>4.8</v>
      </c>
      <c r="G598">
        <f t="shared" si="73"/>
        <v>0</v>
      </c>
      <c r="H598">
        <f t="shared" si="79"/>
        <v>1</v>
      </c>
      <c r="I598">
        <v>597</v>
      </c>
      <c r="J598">
        <f t="shared" si="74"/>
        <v>-0.74801695503312227</v>
      </c>
      <c r="K598">
        <f t="shared" si="75"/>
        <v>-0.66367961772452833</v>
      </c>
      <c r="L598">
        <f>VLOOKUP(D598,[1]SOI!$A$1:$C$142,3)</f>
        <v>-3</v>
      </c>
      <c r="M598" s="2">
        <f t="shared" si="76"/>
        <v>-446.56612215477401</v>
      </c>
      <c r="N598">
        <f t="shared" si="77"/>
        <v>-396.21673178154339</v>
      </c>
      <c r="O598" t="s">
        <v>8</v>
      </c>
    </row>
    <row r="599" spans="1:15" x14ac:dyDescent="0.35">
      <c r="A599">
        <v>2001</v>
      </c>
      <c r="B599">
        <v>8</v>
      </c>
      <c r="C599">
        <v>20</v>
      </c>
      <c r="D599" s="1">
        <f t="shared" si="72"/>
        <v>37123</v>
      </c>
      <c r="E599">
        <v>7.4</v>
      </c>
      <c r="F599">
        <f t="shared" si="78"/>
        <v>0</v>
      </c>
      <c r="G599">
        <f t="shared" si="73"/>
        <v>1</v>
      </c>
      <c r="H599">
        <f t="shared" si="79"/>
        <v>0</v>
      </c>
      <c r="I599">
        <v>598</v>
      </c>
      <c r="J599">
        <f t="shared" si="74"/>
        <v>-0.75932261490525887</v>
      </c>
      <c r="K599">
        <f t="shared" si="75"/>
        <v>-0.65071435092015606</v>
      </c>
      <c r="L599">
        <f>VLOOKUP(D599,[1]SOI!$A$1:$C$142,3)</f>
        <v>-3</v>
      </c>
      <c r="M599" s="2">
        <f t="shared" si="76"/>
        <v>-454.07492371334479</v>
      </c>
      <c r="N599">
        <f t="shared" si="77"/>
        <v>-389.12718185025335</v>
      </c>
      <c r="O599" t="s">
        <v>8</v>
      </c>
    </row>
    <row r="600" spans="1:15" x14ac:dyDescent="0.35">
      <c r="A600">
        <v>2001</v>
      </c>
      <c r="B600">
        <v>8</v>
      </c>
      <c r="C600">
        <v>21</v>
      </c>
      <c r="D600" s="1">
        <f t="shared" si="72"/>
        <v>37124</v>
      </c>
      <c r="E600">
        <v>0.6</v>
      </c>
      <c r="F600">
        <f t="shared" si="78"/>
        <v>7.4</v>
      </c>
      <c r="G600">
        <f t="shared" si="73"/>
        <v>1</v>
      </c>
      <c r="H600">
        <f t="shared" si="79"/>
        <v>1</v>
      </c>
      <c r="I600">
        <v>599</v>
      </c>
      <c r="J600">
        <f t="shared" si="74"/>
        <v>-0.77040357899931766</v>
      </c>
      <c r="K600">
        <f t="shared" si="75"/>
        <v>-0.63755652727036072</v>
      </c>
      <c r="L600">
        <f>VLOOKUP(D600,[1]SOI!$A$1:$C$142,3)</f>
        <v>-3</v>
      </c>
      <c r="M600" s="2">
        <f t="shared" si="76"/>
        <v>-461.47174382059126</v>
      </c>
      <c r="N600">
        <f t="shared" si="77"/>
        <v>-381.89635983494605</v>
      </c>
      <c r="O600" t="s">
        <v>8</v>
      </c>
    </row>
    <row r="601" spans="1:15" x14ac:dyDescent="0.35">
      <c r="A601">
        <v>2001</v>
      </c>
      <c r="B601">
        <v>8</v>
      </c>
      <c r="C601">
        <v>22</v>
      </c>
      <c r="D601" s="1">
        <f t="shared" si="72"/>
        <v>37125</v>
      </c>
      <c r="E601">
        <v>10.8</v>
      </c>
      <c r="F601">
        <f t="shared" si="78"/>
        <v>0.6</v>
      </c>
      <c r="G601">
        <f t="shared" si="73"/>
        <v>1</v>
      </c>
      <c r="H601">
        <f t="shared" si="79"/>
        <v>1</v>
      </c>
      <c r="I601">
        <v>600</v>
      </c>
      <c r="J601">
        <f t="shared" si="74"/>
        <v>-0.78125656827974876</v>
      </c>
      <c r="K601">
        <f t="shared" si="75"/>
        <v>-0.62421004038684791</v>
      </c>
      <c r="L601">
        <f>VLOOKUP(D601,[1]SOI!$A$1:$C$142,3)</f>
        <v>-3</v>
      </c>
      <c r="M601" s="2">
        <f t="shared" si="76"/>
        <v>-468.75394096784925</v>
      </c>
      <c r="N601">
        <f t="shared" si="77"/>
        <v>-374.52602423210874</v>
      </c>
      <c r="O601" t="s">
        <v>8</v>
      </c>
    </row>
    <row r="602" spans="1:15" x14ac:dyDescent="0.35">
      <c r="A602">
        <v>2001</v>
      </c>
      <c r="B602">
        <v>8</v>
      </c>
      <c r="C602">
        <v>23</v>
      </c>
      <c r="D602" s="1">
        <f t="shared" si="72"/>
        <v>37126</v>
      </c>
      <c r="E602">
        <v>3.2</v>
      </c>
      <c r="F602">
        <f t="shared" si="78"/>
        <v>10.8</v>
      </c>
      <c r="G602">
        <f t="shared" si="73"/>
        <v>1</v>
      </c>
      <c r="H602">
        <f t="shared" si="79"/>
        <v>1</v>
      </c>
      <c r="I602">
        <v>601</v>
      </c>
      <c r="J602">
        <f t="shared" si="74"/>
        <v>-0.79187837117241755</v>
      </c>
      <c r="K602">
        <f t="shared" si="75"/>
        <v>-0.6106788397098093</v>
      </c>
      <c r="L602">
        <f>VLOOKUP(D602,[1]SOI!$A$1:$C$142,3)</f>
        <v>-3</v>
      </c>
      <c r="M602" s="2">
        <f t="shared" si="76"/>
        <v>-475.91890107462297</v>
      </c>
      <c r="N602">
        <f t="shared" si="77"/>
        <v>-367.01798266559541</v>
      </c>
      <c r="O602" t="s">
        <v>8</v>
      </c>
    </row>
    <row r="603" spans="1:15" x14ac:dyDescent="0.35">
      <c r="A603">
        <v>2001</v>
      </c>
      <c r="B603">
        <v>8</v>
      </c>
      <c r="C603">
        <v>24</v>
      </c>
      <c r="D603" s="1">
        <f t="shared" si="72"/>
        <v>37127</v>
      </c>
      <c r="E603">
        <v>0.2</v>
      </c>
      <c r="F603">
        <f t="shared" si="78"/>
        <v>3.2</v>
      </c>
      <c r="G603">
        <f t="shared" si="73"/>
        <v>1</v>
      </c>
      <c r="H603">
        <f t="shared" si="79"/>
        <v>1</v>
      </c>
      <c r="I603">
        <v>602</v>
      </c>
      <c r="J603">
        <f t="shared" si="74"/>
        <v>-0.8022658445149573</v>
      </c>
      <c r="K603">
        <f t="shared" si="75"/>
        <v>-0.59696692933922424</v>
      </c>
      <c r="L603">
        <f>VLOOKUP(D603,[1]SOI!$A$1:$C$142,3)</f>
        <v>-3</v>
      </c>
      <c r="M603" s="2">
        <f t="shared" si="76"/>
        <v>-482.96403839800428</v>
      </c>
      <c r="N603">
        <f t="shared" si="77"/>
        <v>-359.37409146221302</v>
      </c>
      <c r="O603" t="s">
        <v>8</v>
      </c>
    </row>
    <row r="604" spans="1:15" x14ac:dyDescent="0.35">
      <c r="A604">
        <v>2001</v>
      </c>
      <c r="B604">
        <v>8</v>
      </c>
      <c r="C604">
        <v>25</v>
      </c>
      <c r="D604" s="1">
        <f t="shared" si="72"/>
        <v>37128</v>
      </c>
      <c r="E604">
        <v>0</v>
      </c>
      <c r="F604">
        <f t="shared" si="78"/>
        <v>0.2</v>
      </c>
      <c r="G604">
        <f t="shared" si="73"/>
        <v>0</v>
      </c>
      <c r="H604">
        <f t="shared" si="79"/>
        <v>1</v>
      </c>
      <c r="I604">
        <v>603</v>
      </c>
      <c r="J604">
        <f t="shared" si="74"/>
        <v>-0.81241591448688999</v>
      </c>
      <c r="K604">
        <f t="shared" si="75"/>
        <v>-0.58307836684997183</v>
      </c>
      <c r="L604">
        <f>VLOOKUP(D604,[1]SOI!$A$1:$C$142,3)</f>
        <v>-3</v>
      </c>
      <c r="M604" s="2">
        <f t="shared" si="76"/>
        <v>-489.88679643559465</v>
      </c>
      <c r="N604">
        <f t="shared" si="77"/>
        <v>-351.596255210533</v>
      </c>
      <c r="O604" t="s">
        <v>8</v>
      </c>
    </row>
    <row r="605" spans="1:15" x14ac:dyDescent="0.35">
      <c r="A605">
        <v>2001</v>
      </c>
      <c r="B605">
        <v>8</v>
      </c>
      <c r="C605">
        <v>26</v>
      </c>
      <c r="D605" s="1">
        <f t="shared" si="72"/>
        <v>37129</v>
      </c>
      <c r="E605">
        <v>1.2</v>
      </c>
      <c r="F605">
        <f t="shared" si="78"/>
        <v>0</v>
      </c>
      <c r="G605">
        <f t="shared" si="73"/>
        <v>1</v>
      </c>
      <c r="H605">
        <f t="shared" si="79"/>
        <v>0</v>
      </c>
      <c r="I605">
        <v>604</v>
      </c>
      <c r="J605">
        <f t="shared" si="74"/>
        <v>-0.82232557751920965</v>
      </c>
      <c r="K605">
        <f t="shared" si="75"/>
        <v>-0.56901726209114112</v>
      </c>
      <c r="L605">
        <f>VLOOKUP(D605,[1]SOI!$A$1:$C$142,3)</f>
        <v>-3</v>
      </c>
      <c r="M605" s="2">
        <f t="shared" si="76"/>
        <v>-496.68464882160265</v>
      </c>
      <c r="N605">
        <f t="shared" si="77"/>
        <v>-343.68642630304925</v>
      </c>
      <c r="O605" t="s">
        <v>8</v>
      </c>
    </row>
    <row r="606" spans="1:15" x14ac:dyDescent="0.35">
      <c r="A606">
        <v>2001</v>
      </c>
      <c r="B606">
        <v>8</v>
      </c>
      <c r="C606">
        <v>27</v>
      </c>
      <c r="D606" s="1">
        <f t="shared" si="72"/>
        <v>37130</v>
      </c>
      <c r="E606">
        <v>1.8</v>
      </c>
      <c r="F606">
        <f t="shared" si="78"/>
        <v>1.2</v>
      </c>
      <c r="G606">
        <f t="shared" si="73"/>
        <v>1</v>
      </c>
      <c r="H606">
        <f t="shared" si="79"/>
        <v>1</v>
      </c>
      <c r="I606">
        <v>605</v>
      </c>
      <c r="J606">
        <f t="shared" si="74"/>
        <v>-0.83199190118319499</v>
      </c>
      <c r="K606">
        <f t="shared" si="75"/>
        <v>-0.55478777596985018</v>
      </c>
      <c r="L606">
        <f>VLOOKUP(D606,[1]SOI!$A$1:$C$142,3)</f>
        <v>-3</v>
      </c>
      <c r="M606" s="2">
        <f t="shared" si="76"/>
        <v>-503.35510021583298</v>
      </c>
      <c r="N606">
        <f t="shared" si="77"/>
        <v>-335.64660446175935</v>
      </c>
      <c r="O606" t="s">
        <v>8</v>
      </c>
    </row>
    <row r="607" spans="1:15" x14ac:dyDescent="0.35">
      <c r="A607">
        <v>2001</v>
      </c>
      <c r="B607">
        <v>8</v>
      </c>
      <c r="C607">
        <v>28</v>
      </c>
      <c r="D607" s="1">
        <f t="shared" si="72"/>
        <v>37131</v>
      </c>
      <c r="E607">
        <v>3.4</v>
      </c>
      <c r="F607">
        <f t="shared" si="78"/>
        <v>1.8</v>
      </c>
      <c r="G607">
        <f t="shared" si="73"/>
        <v>1</v>
      </c>
      <c r="H607">
        <f t="shared" si="79"/>
        <v>1</v>
      </c>
      <c r="I607">
        <v>606</v>
      </c>
      <c r="J607">
        <f t="shared" si="74"/>
        <v>-0.84141202505815771</v>
      </c>
      <c r="K607">
        <f t="shared" si="75"/>
        <v>-0.54039411921997282</v>
      </c>
      <c r="L607">
        <f>VLOOKUP(D607,[1]SOI!$A$1:$C$142,3)</f>
        <v>-3</v>
      </c>
      <c r="M607" s="2">
        <f t="shared" si="76"/>
        <v>-509.89568718524356</v>
      </c>
      <c r="N607">
        <f t="shared" si="77"/>
        <v>-327.47883624730355</v>
      </c>
      <c r="O607" t="s">
        <v>8</v>
      </c>
    </row>
    <row r="608" spans="1:15" x14ac:dyDescent="0.35">
      <c r="A608">
        <v>2001</v>
      </c>
      <c r="B608">
        <v>8</v>
      </c>
      <c r="C608">
        <v>29</v>
      </c>
      <c r="D608" s="1">
        <f t="shared" si="72"/>
        <v>37132</v>
      </c>
      <c r="E608">
        <v>0</v>
      </c>
      <c r="F608">
        <f t="shared" si="78"/>
        <v>3.4</v>
      </c>
      <c r="G608">
        <f t="shared" si="73"/>
        <v>0</v>
      </c>
      <c r="H608">
        <f t="shared" si="79"/>
        <v>1</v>
      </c>
      <c r="I608">
        <v>607</v>
      </c>
      <c r="J608">
        <f t="shared" si="74"/>
        <v>-0.85058316157788894</v>
      </c>
      <c r="K608">
        <f t="shared" si="75"/>
        <v>-0.52584055115611139</v>
      </c>
      <c r="L608">
        <f>VLOOKUP(D608,[1]SOI!$A$1:$C$142,3)</f>
        <v>-3</v>
      </c>
      <c r="M608" s="2">
        <f t="shared" si="76"/>
        <v>-516.30397907777854</v>
      </c>
      <c r="N608">
        <f t="shared" si="77"/>
        <v>-319.1852145517596</v>
      </c>
      <c r="O608" t="s">
        <v>8</v>
      </c>
    </row>
    <row r="609" spans="1:15" x14ac:dyDescent="0.35">
      <c r="A609">
        <v>2001</v>
      </c>
      <c r="B609">
        <v>8</v>
      </c>
      <c r="C609">
        <v>30</v>
      </c>
      <c r="D609" s="1">
        <f t="shared" si="72"/>
        <v>37133</v>
      </c>
      <c r="E609">
        <v>0</v>
      </c>
      <c r="F609">
        <f t="shared" si="78"/>
        <v>0</v>
      </c>
      <c r="G609">
        <f t="shared" si="73"/>
        <v>0</v>
      </c>
      <c r="H609">
        <f t="shared" si="79"/>
        <v>0</v>
      </c>
      <c r="I609">
        <v>608</v>
      </c>
      <c r="J609">
        <f t="shared" si="74"/>
        <v>-0.85950259685554109</v>
      </c>
      <c r="K609">
        <f t="shared" si="75"/>
        <v>-0.51113137841320333</v>
      </c>
      <c r="L609">
        <f>VLOOKUP(D609,[1]SOI!$A$1:$C$142,3)</f>
        <v>-3</v>
      </c>
      <c r="M609" s="2">
        <f t="shared" si="76"/>
        <v>-522.577578888169</v>
      </c>
      <c r="N609">
        <f t="shared" si="77"/>
        <v>-310.7678780752276</v>
      </c>
      <c r="O609" t="s">
        <v>8</v>
      </c>
    </row>
    <row r="610" spans="1:15" x14ac:dyDescent="0.35">
      <c r="A610">
        <v>2001</v>
      </c>
      <c r="B610">
        <v>8</v>
      </c>
      <c r="C610">
        <v>31</v>
      </c>
      <c r="D610" s="1">
        <f t="shared" si="72"/>
        <v>37134</v>
      </c>
      <c r="E610">
        <v>0</v>
      </c>
      <c r="F610">
        <f t="shared" si="78"/>
        <v>0</v>
      </c>
      <c r="G610">
        <f t="shared" si="73"/>
        <v>0</v>
      </c>
      <c r="H610">
        <f t="shared" si="79"/>
        <v>0</v>
      </c>
      <c r="I610">
        <v>609</v>
      </c>
      <c r="J610">
        <f t="shared" si="74"/>
        <v>-0.86816769148671658</v>
      </c>
      <c r="K610">
        <f t="shared" si="75"/>
        <v>-0.49627095367210972</v>
      </c>
      <c r="L610">
        <f>VLOOKUP(D610,[1]SOI!$A$1:$C$142,3)</f>
        <v>-3</v>
      </c>
      <c r="M610" s="2">
        <f t="shared" si="76"/>
        <v>-528.71412411541041</v>
      </c>
      <c r="N610">
        <f t="shared" si="77"/>
        <v>-302.2290107863148</v>
      </c>
      <c r="O610" t="s">
        <v>8</v>
      </c>
    </row>
    <row r="611" spans="1:15" x14ac:dyDescent="0.35">
      <c r="A611">
        <v>2001</v>
      </c>
      <c r="B611">
        <v>9</v>
      </c>
      <c r="C611">
        <v>1</v>
      </c>
      <c r="D611" s="1">
        <f t="shared" si="72"/>
        <v>37135</v>
      </c>
      <c r="E611">
        <v>0.2</v>
      </c>
      <c r="F611">
        <f t="shared" si="78"/>
        <v>0</v>
      </c>
      <c r="G611">
        <f t="shared" si="73"/>
        <v>1</v>
      </c>
      <c r="H611">
        <f t="shared" si="79"/>
        <v>0</v>
      </c>
      <c r="I611">
        <v>610</v>
      </c>
      <c r="J611">
        <f t="shared" si="74"/>
        <v>-0.87657588133050701</v>
      </c>
      <c r="K611">
        <f t="shared" si="75"/>
        <v>-0.48126367437159112</v>
      </c>
      <c r="L611">
        <f>VLOOKUP(D611,[1]SOI!$A$1:$C$142,3)</f>
        <v>-8.9</v>
      </c>
      <c r="M611" s="2">
        <f t="shared" si="76"/>
        <v>-534.71128761160924</v>
      </c>
      <c r="N611">
        <f t="shared" si="77"/>
        <v>-293.57084136667061</v>
      </c>
      <c r="O611" t="s">
        <v>8</v>
      </c>
    </row>
    <row r="612" spans="1:15" x14ac:dyDescent="0.35">
      <c r="A612">
        <v>2001</v>
      </c>
      <c r="B612">
        <v>9</v>
      </c>
      <c r="C612">
        <v>2</v>
      </c>
      <c r="D612" s="1">
        <f t="shared" si="72"/>
        <v>37136</v>
      </c>
      <c r="E612">
        <v>3.4</v>
      </c>
      <c r="F612">
        <f t="shared" si="78"/>
        <v>0.2</v>
      </c>
      <c r="G612">
        <f t="shared" si="73"/>
        <v>1</v>
      </c>
      <c r="H612">
        <f t="shared" si="79"/>
        <v>1</v>
      </c>
      <c r="I612">
        <v>611</v>
      </c>
      <c r="J612">
        <f t="shared" si="74"/>
        <v>-0.88472467826826107</v>
      </c>
      <c r="K612">
        <f t="shared" si="75"/>
        <v>-0.46611398140703947</v>
      </c>
      <c r="L612">
        <f>VLOOKUP(D612,[1]SOI!$A$1:$C$142,3)</f>
        <v>-8.9</v>
      </c>
      <c r="M612" s="2">
        <f t="shared" si="76"/>
        <v>-540.56677842190754</v>
      </c>
      <c r="N612">
        <f t="shared" si="77"/>
        <v>-284.7956426397011</v>
      </c>
      <c r="O612" t="s">
        <v>8</v>
      </c>
    </row>
    <row r="613" spans="1:15" x14ac:dyDescent="0.35">
      <c r="A613">
        <v>2001</v>
      </c>
      <c r="B613">
        <v>9</v>
      </c>
      <c r="C613">
        <v>3</v>
      </c>
      <c r="D613" s="1">
        <f t="shared" si="72"/>
        <v>37137</v>
      </c>
      <c r="E613">
        <v>0</v>
      </c>
      <c r="F613">
        <f t="shared" si="78"/>
        <v>3.4</v>
      </c>
      <c r="G613">
        <f t="shared" si="73"/>
        <v>0</v>
      </c>
      <c r="H613">
        <f t="shared" si="79"/>
        <v>1</v>
      </c>
      <c r="I613">
        <v>612</v>
      </c>
      <c r="J613">
        <f t="shared" si="74"/>
        <v>-0.89261167093986493</v>
      </c>
      <c r="K613">
        <f t="shared" si="75"/>
        <v>-0.45082635781633512</v>
      </c>
      <c r="L613">
        <f>VLOOKUP(D613,[1]SOI!$A$1:$C$142,3)</f>
        <v>-8.9</v>
      </c>
      <c r="M613" s="2">
        <f t="shared" si="76"/>
        <v>-546.27834261519729</v>
      </c>
      <c r="N613">
        <f t="shared" si="77"/>
        <v>-275.9057309835971</v>
      </c>
      <c r="O613" t="s">
        <v>8</v>
      </c>
    </row>
    <row r="614" spans="1:15" x14ac:dyDescent="0.35">
      <c r="A614">
        <v>2001</v>
      </c>
      <c r="B614">
        <v>9</v>
      </c>
      <c r="C614">
        <v>4</v>
      </c>
      <c r="D614" s="1">
        <f t="shared" si="72"/>
        <v>37138</v>
      </c>
      <c r="E614">
        <v>4.4000000000000004</v>
      </c>
      <c r="F614">
        <f t="shared" si="78"/>
        <v>0</v>
      </c>
      <c r="G614">
        <f t="shared" si="73"/>
        <v>1</v>
      </c>
      <c r="H614">
        <f t="shared" si="79"/>
        <v>0</v>
      </c>
      <c r="I614">
        <v>613</v>
      </c>
      <c r="J614">
        <f t="shared" si="74"/>
        <v>-0.9002345254572961</v>
      </c>
      <c r="K614">
        <f t="shared" si="75"/>
        <v>-0.43540532745325577</v>
      </c>
      <c r="L614">
        <f>VLOOKUP(D614,[1]SOI!$A$1:$C$142,3)</f>
        <v>-8.9</v>
      </c>
      <c r="M614" s="2">
        <f t="shared" si="76"/>
        <v>-551.84376410532252</v>
      </c>
      <c r="N614">
        <f t="shared" si="77"/>
        <v>-266.90346572884579</v>
      </c>
      <c r="O614" t="s">
        <v>8</v>
      </c>
    </row>
    <row r="615" spans="1:15" x14ac:dyDescent="0.35">
      <c r="A615">
        <v>2001</v>
      </c>
      <c r="B615">
        <v>9</v>
      </c>
      <c r="C615">
        <v>5</v>
      </c>
      <c r="D615" s="1">
        <f t="shared" si="72"/>
        <v>37139</v>
      </c>
      <c r="E615">
        <v>2.6</v>
      </c>
      <c r="F615">
        <f t="shared" si="78"/>
        <v>4.4000000000000004</v>
      </c>
      <c r="G615">
        <f t="shared" si="73"/>
        <v>1</v>
      </c>
      <c r="H615">
        <f t="shared" si="79"/>
        <v>1</v>
      </c>
      <c r="I615">
        <v>614</v>
      </c>
      <c r="J615">
        <f t="shared" si="74"/>
        <v>-0.90759098609526367</v>
      </c>
      <c r="K615">
        <f t="shared" si="75"/>
        <v>-0.4198554536487849</v>
      </c>
      <c r="L615">
        <f>VLOOKUP(D615,[1]SOI!$A$1:$C$142,3)</f>
        <v>-8.9</v>
      </c>
      <c r="M615" s="2">
        <f t="shared" si="76"/>
        <v>-557.26086546249189</v>
      </c>
      <c r="N615">
        <f t="shared" si="77"/>
        <v>-257.79124854035393</v>
      </c>
      <c r="O615" t="s">
        <v>8</v>
      </c>
    </row>
    <row r="616" spans="1:15" x14ac:dyDescent="0.35">
      <c r="A616">
        <v>2001</v>
      </c>
      <c r="B616">
        <v>9</v>
      </c>
      <c r="C616">
        <v>6</v>
      </c>
      <c r="D616" s="1">
        <f t="shared" si="72"/>
        <v>37140</v>
      </c>
      <c r="E616">
        <v>0</v>
      </c>
      <c r="F616">
        <f t="shared" si="78"/>
        <v>2.6</v>
      </c>
      <c r="G616">
        <f t="shared" si="73"/>
        <v>0</v>
      </c>
      <c r="H616">
        <f t="shared" si="79"/>
        <v>1</v>
      </c>
      <c r="I616">
        <v>615</v>
      </c>
      <c r="J616">
        <f t="shared" si="74"/>
        <v>-0.91467887595871067</v>
      </c>
      <c r="K616">
        <f t="shared" si="75"/>
        <v>-0.40418133786075472</v>
      </c>
      <c r="L616">
        <f>VLOOKUP(D616,[1]SOI!$A$1:$C$142,3)</f>
        <v>-8.9</v>
      </c>
      <c r="M616" s="2">
        <f t="shared" si="76"/>
        <v>-562.52750871460705</v>
      </c>
      <c r="N616">
        <f t="shared" si="77"/>
        <v>-248.57152278436416</v>
      </c>
      <c r="O616" t="s">
        <v>8</v>
      </c>
    </row>
    <row r="617" spans="1:15" x14ac:dyDescent="0.35">
      <c r="A617">
        <v>2001</v>
      </c>
      <c r="B617">
        <v>9</v>
      </c>
      <c r="C617">
        <v>7</v>
      </c>
      <c r="D617" s="1">
        <f t="shared" si="72"/>
        <v>37141</v>
      </c>
      <c r="E617">
        <v>0</v>
      </c>
      <c r="F617">
        <f t="shared" si="78"/>
        <v>0</v>
      </c>
      <c r="G617">
        <f t="shared" si="73"/>
        <v>0</v>
      </c>
      <c r="H617">
        <f t="shared" si="79"/>
        <v>0</v>
      </c>
      <c r="I617">
        <v>616</v>
      </c>
      <c r="J617">
        <f t="shared" si="74"/>
        <v>-0.92149609762699425</v>
      </c>
      <c r="K617">
        <f t="shared" si="75"/>
        <v>-0.38838761831219742</v>
      </c>
      <c r="L617">
        <f>VLOOKUP(D617,[1]SOI!$A$1:$C$142,3)</f>
        <v>-8.9</v>
      </c>
      <c r="M617" s="2">
        <f t="shared" si="76"/>
        <v>-567.64159613822846</v>
      </c>
      <c r="N617">
        <f t="shared" si="77"/>
        <v>-239.24677288031361</v>
      </c>
      <c r="O617" t="s">
        <v>8</v>
      </c>
    </row>
    <row r="618" spans="1:15" x14ac:dyDescent="0.35">
      <c r="A618">
        <v>2001</v>
      </c>
      <c r="B618">
        <v>9</v>
      </c>
      <c r="C618">
        <v>8</v>
      </c>
      <c r="D618" s="1">
        <f t="shared" si="72"/>
        <v>37142</v>
      </c>
      <c r="E618">
        <v>0.4</v>
      </c>
      <c r="F618">
        <f t="shared" si="78"/>
        <v>0</v>
      </c>
      <c r="G618">
        <f t="shared" si="73"/>
        <v>1</v>
      </c>
      <c r="H618">
        <f t="shared" si="79"/>
        <v>0</v>
      </c>
      <c r="I618">
        <v>617</v>
      </c>
      <c r="J618">
        <f t="shared" si="74"/>
        <v>-0.9280406337745426</v>
      </c>
      <c r="K618">
        <f t="shared" si="75"/>
        <v>-0.37247896861882723</v>
      </c>
      <c r="L618">
        <f>VLOOKUP(D618,[1]SOI!$A$1:$C$142,3)</f>
        <v>-8.9</v>
      </c>
      <c r="M618" s="2">
        <f t="shared" si="76"/>
        <v>-572.60107103889277</v>
      </c>
      <c r="N618">
        <f t="shared" si="77"/>
        <v>-229.81952363781642</v>
      </c>
      <c r="O618" t="s">
        <v>8</v>
      </c>
    </row>
    <row r="619" spans="1:15" x14ac:dyDescent="0.35">
      <c r="A619">
        <v>2001</v>
      </c>
      <c r="B619">
        <v>9</v>
      </c>
      <c r="C619">
        <v>9</v>
      </c>
      <c r="D619" s="1">
        <f t="shared" si="72"/>
        <v>37143</v>
      </c>
      <c r="E619">
        <v>5.8</v>
      </c>
      <c r="F619">
        <f t="shared" si="78"/>
        <v>0.4</v>
      </c>
      <c r="G619">
        <f t="shared" si="73"/>
        <v>1</v>
      </c>
      <c r="H619">
        <f t="shared" si="79"/>
        <v>1</v>
      </c>
      <c r="I619">
        <v>618</v>
      </c>
      <c r="J619">
        <f t="shared" si="74"/>
        <v>-0.93431054776781963</v>
      </c>
      <c r="K619">
        <f t="shared" si="75"/>
        <v>-0.35646009640603071</v>
      </c>
      <c r="L619">
        <f>VLOOKUP(D619,[1]SOI!$A$1:$C$142,3)</f>
        <v>-8.9</v>
      </c>
      <c r="M619" s="2">
        <f t="shared" si="76"/>
        <v>-577.40391852051255</v>
      </c>
      <c r="N619">
        <f t="shared" si="77"/>
        <v>-220.29233957892697</v>
      </c>
      <c r="O619" t="s">
        <v>8</v>
      </c>
    </row>
    <row r="620" spans="1:15" x14ac:dyDescent="0.35">
      <c r="A620">
        <v>2001</v>
      </c>
      <c r="B620">
        <v>9</v>
      </c>
      <c r="C620">
        <v>10</v>
      </c>
      <c r="D620" s="1">
        <f t="shared" si="72"/>
        <v>37144</v>
      </c>
      <c r="E620">
        <v>0</v>
      </c>
      <c r="F620">
        <f t="shared" si="78"/>
        <v>5.8</v>
      </c>
      <c r="G620">
        <f t="shared" si="73"/>
        <v>0</v>
      </c>
      <c r="H620">
        <f t="shared" si="79"/>
        <v>1</v>
      </c>
      <c r="I620">
        <v>619</v>
      </c>
      <c r="J620">
        <f t="shared" si="74"/>
        <v>-0.94030398423840034</v>
      </c>
      <c r="K620">
        <f t="shared" si="75"/>
        <v>-0.34033574191581784</v>
      </c>
      <c r="L620">
        <f>VLOOKUP(D620,[1]SOI!$A$1:$C$142,3)</f>
        <v>-8.9</v>
      </c>
      <c r="M620" s="2">
        <f t="shared" si="76"/>
        <v>-582.04816624356977</v>
      </c>
      <c r="N620">
        <f t="shared" si="77"/>
        <v>-210.66782424589124</v>
      </c>
      <c r="O620" t="s">
        <v>8</v>
      </c>
    </row>
    <row r="621" spans="1:15" x14ac:dyDescent="0.35">
      <c r="A621">
        <v>2001</v>
      </c>
      <c r="B621">
        <v>9</v>
      </c>
      <c r="C621">
        <v>11</v>
      </c>
      <c r="D621" s="1">
        <f t="shared" si="72"/>
        <v>37145</v>
      </c>
      <c r="E621">
        <v>0</v>
      </c>
      <c r="F621">
        <f t="shared" si="78"/>
        <v>0</v>
      </c>
      <c r="G621">
        <f t="shared" si="73"/>
        <v>0</v>
      </c>
      <c r="H621">
        <f t="shared" si="79"/>
        <v>0</v>
      </c>
      <c r="I621">
        <v>620</v>
      </c>
      <c r="J621">
        <f t="shared" si="74"/>
        <v>-0.94601916963200838</v>
      </c>
      <c r="K621">
        <f t="shared" si="75"/>
        <v>-0.32411067660409654</v>
      </c>
      <c r="L621">
        <f>VLOOKUP(D621,[1]SOI!$A$1:$C$142,3)</f>
        <v>-8.9</v>
      </c>
      <c r="M621" s="2">
        <f t="shared" si="76"/>
        <v>-586.53188517184515</v>
      </c>
      <c r="N621">
        <f t="shared" si="77"/>
        <v>-200.94861949453986</v>
      </c>
      <c r="O621" t="s">
        <v>8</v>
      </c>
    </row>
    <row r="622" spans="1:15" x14ac:dyDescent="0.35">
      <c r="A622">
        <v>2001</v>
      </c>
      <c r="B622">
        <v>9</v>
      </c>
      <c r="C622">
        <v>12</v>
      </c>
      <c r="D622" s="1">
        <f t="shared" si="72"/>
        <v>37146</v>
      </c>
      <c r="E622">
        <v>0</v>
      </c>
      <c r="F622">
        <f t="shared" si="78"/>
        <v>0</v>
      </c>
      <c r="G622">
        <f t="shared" si="73"/>
        <v>0</v>
      </c>
      <c r="H622">
        <f t="shared" si="79"/>
        <v>0</v>
      </c>
      <c r="I622">
        <v>621</v>
      </c>
      <c r="J622">
        <f t="shared" si="74"/>
        <v>-0.95145441273333808</v>
      </c>
      <c r="K622">
        <f t="shared" si="75"/>
        <v>-0.30778970172872699</v>
      </c>
      <c r="L622">
        <f>VLOOKUP(D622,[1]SOI!$A$1:$C$142,3)</f>
        <v>-8.9</v>
      </c>
      <c r="M622" s="2">
        <f t="shared" si="76"/>
        <v>-590.853190307403</v>
      </c>
      <c r="N622">
        <f t="shared" si="77"/>
        <v>-191.13740477353946</v>
      </c>
      <c r="O622" t="s">
        <v>8</v>
      </c>
    </row>
    <row r="623" spans="1:15" x14ac:dyDescent="0.35">
      <c r="A623">
        <v>2001</v>
      </c>
      <c r="B623">
        <v>9</v>
      </c>
      <c r="C623">
        <v>13</v>
      </c>
      <c r="D623" s="1">
        <f t="shared" si="72"/>
        <v>37147</v>
      </c>
      <c r="E623">
        <v>0</v>
      </c>
      <c r="F623">
        <f t="shared" si="78"/>
        <v>0</v>
      </c>
      <c r="G623">
        <f t="shared" si="73"/>
        <v>0</v>
      </c>
      <c r="H623">
        <f t="shared" si="79"/>
        <v>0</v>
      </c>
      <c r="I623">
        <v>622</v>
      </c>
      <c r="J623">
        <f t="shared" si="74"/>
        <v>-0.95660810516650985</v>
      </c>
      <c r="K623">
        <f t="shared" si="75"/>
        <v>-0.29137764692875745</v>
      </c>
      <c r="L623">
        <f>VLOOKUP(D623,[1]SOI!$A$1:$C$142,3)</f>
        <v>-8.9</v>
      </c>
      <c r="M623" s="2">
        <f t="shared" si="76"/>
        <v>-595.01024141356913</v>
      </c>
      <c r="N623">
        <f t="shared" si="77"/>
        <v>-181.23689638968713</v>
      </c>
      <c r="O623" t="s">
        <v>8</v>
      </c>
    </row>
    <row r="624" spans="1:15" x14ac:dyDescent="0.35">
      <c r="A624">
        <v>2001</v>
      </c>
      <c r="B624">
        <v>9</v>
      </c>
      <c r="C624">
        <v>14</v>
      </c>
      <c r="D624" s="1">
        <f t="shared" si="72"/>
        <v>37148</v>
      </c>
      <c r="E624">
        <v>0</v>
      </c>
      <c r="F624">
        <f t="shared" si="78"/>
        <v>0</v>
      </c>
      <c r="G624">
        <f t="shared" si="73"/>
        <v>0</v>
      </c>
      <c r="H624">
        <f t="shared" si="79"/>
        <v>0</v>
      </c>
      <c r="I624">
        <v>623</v>
      </c>
      <c r="J624">
        <f t="shared" si="74"/>
        <v>-0.96147872187101879</v>
      </c>
      <c r="K624">
        <f t="shared" si="75"/>
        <v>-0.27487936879524449</v>
      </c>
      <c r="L624">
        <f>VLOOKUP(D624,[1]SOI!$A$1:$C$142,3)</f>
        <v>-8.9</v>
      </c>
      <c r="M624" s="2">
        <f t="shared" si="76"/>
        <v>-599.00124372564471</v>
      </c>
      <c r="N624">
        <f t="shared" si="77"/>
        <v>-171.24984675943733</v>
      </c>
      <c r="O624" t="s">
        <v>8</v>
      </c>
    </row>
    <row r="625" spans="1:15" x14ac:dyDescent="0.35">
      <c r="A625">
        <v>2001</v>
      </c>
      <c r="B625">
        <v>9</v>
      </c>
      <c r="C625">
        <v>15</v>
      </c>
      <c r="D625" s="1">
        <f t="shared" si="72"/>
        <v>37149</v>
      </c>
      <c r="E625">
        <v>0</v>
      </c>
      <c r="F625">
        <f t="shared" si="78"/>
        <v>0</v>
      </c>
      <c r="G625">
        <f t="shared" si="73"/>
        <v>0</v>
      </c>
      <c r="H625">
        <f t="shared" si="79"/>
        <v>0</v>
      </c>
      <c r="I625">
        <v>624</v>
      </c>
      <c r="J625">
        <f t="shared" si="74"/>
        <v>-0.96606482155302054</v>
      </c>
      <c r="K625">
        <f t="shared" si="75"/>
        <v>-0.25829974943412287</v>
      </c>
      <c r="L625">
        <f>VLOOKUP(D625,[1]SOI!$A$1:$C$142,3)</f>
        <v>-8.9</v>
      </c>
      <c r="M625" s="2">
        <f t="shared" si="76"/>
        <v>-602.82444864908484</v>
      </c>
      <c r="N625">
        <f t="shared" si="77"/>
        <v>-161.17904364689267</v>
      </c>
      <c r="O625" t="s">
        <v>8</v>
      </c>
    </row>
    <row r="626" spans="1:15" x14ac:dyDescent="0.35">
      <c r="A626">
        <v>2001</v>
      </c>
      <c r="B626">
        <v>9</v>
      </c>
      <c r="C626">
        <v>16</v>
      </c>
      <c r="D626" s="1">
        <f t="shared" si="72"/>
        <v>37150</v>
      </c>
      <c r="E626">
        <v>0</v>
      </c>
      <c r="F626">
        <f t="shared" si="78"/>
        <v>0</v>
      </c>
      <c r="G626">
        <f t="shared" si="73"/>
        <v>0</v>
      </c>
      <c r="H626">
        <f t="shared" si="79"/>
        <v>0</v>
      </c>
      <c r="I626">
        <v>625</v>
      </c>
      <c r="J626">
        <f t="shared" si="74"/>
        <v>-0.97036504711183624</v>
      </c>
      <c r="K626">
        <f t="shared" si="75"/>
        <v>-0.24164369502150035</v>
      </c>
      <c r="L626">
        <f>VLOOKUP(D626,[1]SOI!$A$1:$C$142,3)</f>
        <v>-8.9</v>
      </c>
      <c r="M626" s="2">
        <f t="shared" si="76"/>
        <v>-606.47815444489765</v>
      </c>
      <c r="N626">
        <f t="shared" si="77"/>
        <v>-151.02730938843771</v>
      </c>
      <c r="O626" t="s">
        <v>8</v>
      </c>
    </row>
    <row r="627" spans="1:15" x14ac:dyDescent="0.35">
      <c r="A627">
        <v>2001</v>
      </c>
      <c r="B627">
        <v>9</v>
      </c>
      <c r="C627">
        <v>17</v>
      </c>
      <c r="D627" s="1">
        <f t="shared" si="72"/>
        <v>37151</v>
      </c>
      <c r="E627">
        <v>0</v>
      </c>
      <c r="F627">
        <f t="shared" si="78"/>
        <v>0</v>
      </c>
      <c r="G627">
        <f t="shared" si="73"/>
        <v>0</v>
      </c>
      <c r="H627">
        <f t="shared" si="79"/>
        <v>0</v>
      </c>
      <c r="I627">
        <v>626</v>
      </c>
      <c r="J627">
        <f t="shared" si="74"/>
        <v>-0.97437812604153917</v>
      </c>
      <c r="K627">
        <f t="shared" si="75"/>
        <v>-0.22491613435184774</v>
      </c>
      <c r="L627">
        <f>VLOOKUP(D627,[1]SOI!$A$1:$C$142,3)</f>
        <v>-8.9</v>
      </c>
      <c r="M627" s="2">
        <f t="shared" si="76"/>
        <v>-609.96070690200349</v>
      </c>
      <c r="N627">
        <f t="shared" si="77"/>
        <v>-140.79750010425667</v>
      </c>
      <c r="O627" t="s">
        <v>8</v>
      </c>
    </row>
    <row r="628" spans="1:15" x14ac:dyDescent="0.35">
      <c r="A628">
        <v>2001</v>
      </c>
      <c r="B628">
        <v>9</v>
      </c>
      <c r="C628">
        <v>18</v>
      </c>
      <c r="D628" s="1">
        <f t="shared" si="72"/>
        <v>37152</v>
      </c>
      <c r="E628">
        <v>0</v>
      </c>
      <c r="F628">
        <f t="shared" si="78"/>
        <v>0</v>
      </c>
      <c r="G628">
        <f t="shared" si="73"/>
        <v>0</v>
      </c>
      <c r="H628">
        <f t="shared" si="79"/>
        <v>0</v>
      </c>
      <c r="I628">
        <v>627</v>
      </c>
      <c r="J628">
        <f t="shared" si="74"/>
        <v>-0.97810287080751013</v>
      </c>
      <c r="K628">
        <f t="shared" si="75"/>
        <v>-0.20812201737948605</v>
      </c>
      <c r="L628">
        <f>VLOOKUP(D628,[1]SOI!$A$1:$C$142,3)</f>
        <v>-8.9</v>
      </c>
      <c r="M628" s="2">
        <f t="shared" si="76"/>
        <v>-613.2704999963089</v>
      </c>
      <c r="N628">
        <f t="shared" si="77"/>
        <v>-130.49250489693776</v>
      </c>
      <c r="O628" t="s">
        <v>8</v>
      </c>
    </row>
    <row r="629" spans="1:15" x14ac:dyDescent="0.35">
      <c r="A629">
        <v>2001</v>
      </c>
      <c r="B629">
        <v>9</v>
      </c>
      <c r="C629">
        <v>19</v>
      </c>
      <c r="D629" s="1">
        <f t="shared" si="72"/>
        <v>37153</v>
      </c>
      <c r="E629">
        <v>0</v>
      </c>
      <c r="F629">
        <f t="shared" si="78"/>
        <v>0</v>
      </c>
      <c r="G629">
        <f t="shared" si="73"/>
        <v>0</v>
      </c>
      <c r="H629">
        <f t="shared" si="79"/>
        <v>0</v>
      </c>
      <c r="I629">
        <v>628</v>
      </c>
      <c r="J629">
        <f t="shared" si="74"/>
        <v>-0.98153817919784681</v>
      </c>
      <c r="K629">
        <f t="shared" si="75"/>
        <v>-0.19126631375382222</v>
      </c>
      <c r="L629">
        <f>VLOOKUP(D629,[1]SOI!$A$1:$C$142,3)</f>
        <v>-8.9</v>
      </c>
      <c r="M629" s="2">
        <f t="shared" si="76"/>
        <v>-616.40597653624775</v>
      </c>
      <c r="N629">
        <f t="shared" si="77"/>
        <v>-120.11524503740036</v>
      </c>
      <c r="O629" t="s">
        <v>8</v>
      </c>
    </row>
    <row r="630" spans="1:15" x14ac:dyDescent="0.35">
      <c r="A630">
        <v>2001</v>
      </c>
      <c r="B630">
        <v>9</v>
      </c>
      <c r="C630">
        <v>20</v>
      </c>
      <c r="D630" s="1">
        <f t="shared" si="72"/>
        <v>37154</v>
      </c>
      <c r="E630">
        <v>0</v>
      </c>
      <c r="F630">
        <f t="shared" si="78"/>
        <v>0</v>
      </c>
      <c r="G630">
        <f t="shared" si="73"/>
        <v>0</v>
      </c>
      <c r="H630">
        <f t="shared" si="79"/>
        <v>0</v>
      </c>
      <c r="I630">
        <v>629</v>
      </c>
      <c r="J630">
        <f t="shared" si="74"/>
        <v>-0.984683034649528</v>
      </c>
      <c r="K630">
        <f t="shared" si="75"/>
        <v>-0.17435401134873954</v>
      </c>
      <c r="L630">
        <f>VLOOKUP(D630,[1]SOI!$A$1:$C$142,3)</f>
        <v>-8.9</v>
      </c>
      <c r="M630" s="2">
        <f t="shared" si="76"/>
        <v>-619.36562879455312</v>
      </c>
      <c r="N630">
        <f t="shared" si="77"/>
        <v>-109.66867313835716</v>
      </c>
      <c r="O630" t="s">
        <v>8</v>
      </c>
    </row>
    <row r="631" spans="1:15" x14ac:dyDescent="0.35">
      <c r="A631">
        <v>2001</v>
      </c>
      <c r="B631">
        <v>9</v>
      </c>
      <c r="C631">
        <v>21</v>
      </c>
      <c r="D631" s="1">
        <f t="shared" si="72"/>
        <v>37155</v>
      </c>
      <c r="E631">
        <v>0</v>
      </c>
      <c r="F631">
        <f t="shared" si="78"/>
        <v>0</v>
      </c>
      <c r="G631">
        <f t="shared" si="73"/>
        <v>0</v>
      </c>
      <c r="H631">
        <f t="shared" si="79"/>
        <v>0</v>
      </c>
      <c r="I631">
        <v>630</v>
      </c>
      <c r="J631">
        <f t="shared" si="74"/>
        <v>-0.98753650654923009</v>
      </c>
      <c r="K631">
        <f t="shared" si="75"/>
        <v>-0.15739011478661072</v>
      </c>
      <c r="L631">
        <f>VLOOKUP(D631,[1]SOI!$A$1:$C$142,3)</f>
        <v>-8.9</v>
      </c>
      <c r="M631" s="2">
        <f t="shared" si="76"/>
        <v>-622.14799912601495</v>
      </c>
      <c r="N631">
        <f t="shared" si="77"/>
        <v>-99.155772315564747</v>
      </c>
      <c r="O631" t="s">
        <v>8</v>
      </c>
    </row>
    <row r="632" spans="1:15" x14ac:dyDescent="0.35">
      <c r="A632">
        <v>2001</v>
      </c>
      <c r="B632">
        <v>9</v>
      </c>
      <c r="C632">
        <v>22</v>
      </c>
      <c r="D632" s="1">
        <f t="shared" si="72"/>
        <v>37156</v>
      </c>
      <c r="E632">
        <v>0</v>
      </c>
      <c r="F632">
        <f t="shared" si="78"/>
        <v>0</v>
      </c>
      <c r="G632">
        <f t="shared" si="73"/>
        <v>0</v>
      </c>
      <c r="H632">
        <f t="shared" si="79"/>
        <v>0</v>
      </c>
      <c r="I632">
        <v>631</v>
      </c>
      <c r="J632">
        <f t="shared" si="74"/>
        <v>-0.9900977505087093</v>
      </c>
      <c r="K632">
        <f t="shared" si="75"/>
        <v>-0.14037964395735483</v>
      </c>
      <c r="L632">
        <f>VLOOKUP(D632,[1]SOI!$A$1:$C$142,3)</f>
        <v>-8.9</v>
      </c>
      <c r="M632" s="2">
        <f t="shared" si="76"/>
        <v>-624.75168057099552</v>
      </c>
      <c r="N632">
        <f t="shared" si="77"/>
        <v>-88.579555337090895</v>
      </c>
      <c r="O632" t="s">
        <v>8</v>
      </c>
    </row>
    <row r="633" spans="1:15" x14ac:dyDescent="0.35">
      <c r="A633">
        <v>2001</v>
      </c>
      <c r="B633">
        <v>9</v>
      </c>
      <c r="C633">
        <v>23</v>
      </c>
      <c r="D633" s="1">
        <f t="shared" si="72"/>
        <v>37157</v>
      </c>
      <c r="E633">
        <v>2.2000000000000002</v>
      </c>
      <c r="F633">
        <f t="shared" si="78"/>
        <v>0</v>
      </c>
      <c r="G633">
        <f t="shared" si="73"/>
        <v>1</v>
      </c>
      <c r="H633">
        <f t="shared" si="79"/>
        <v>0</v>
      </c>
      <c r="I633">
        <v>632</v>
      </c>
      <c r="J633">
        <f t="shared" si="74"/>
        <v>-0.99236600861467206</v>
      </c>
      <c r="K633">
        <f t="shared" si="75"/>
        <v>-0.12332763253295889</v>
      </c>
      <c r="L633">
        <f>VLOOKUP(D633,[1]SOI!$A$1:$C$142,3)</f>
        <v>-8.9</v>
      </c>
      <c r="M633" s="2">
        <f t="shared" si="76"/>
        <v>-627.17531744447274</v>
      </c>
      <c r="N633">
        <f t="shared" si="77"/>
        <v>-77.943063760830015</v>
      </c>
      <c r="O633" t="s">
        <v>8</v>
      </c>
    </row>
    <row r="634" spans="1:15" x14ac:dyDescent="0.35">
      <c r="A634">
        <v>2001</v>
      </c>
      <c r="B634">
        <v>9</v>
      </c>
      <c r="C634">
        <v>24</v>
      </c>
      <c r="D634" s="1">
        <f t="shared" si="72"/>
        <v>37158</v>
      </c>
      <c r="E634">
        <v>0</v>
      </c>
      <c r="F634">
        <f t="shared" si="78"/>
        <v>2.2000000000000002</v>
      </c>
      <c r="G634">
        <f t="shared" si="73"/>
        <v>0</v>
      </c>
      <c r="H634">
        <f t="shared" si="79"/>
        <v>1</v>
      </c>
      <c r="I634">
        <v>633</v>
      </c>
      <c r="J634">
        <f t="shared" si="74"/>
        <v>-0.99434060965305182</v>
      </c>
      <c r="K634">
        <f t="shared" si="75"/>
        <v>-0.10623912647794741</v>
      </c>
      <c r="L634">
        <f>VLOOKUP(D634,[1]SOI!$A$1:$C$142,3)</f>
        <v>-8.9</v>
      </c>
      <c r="M634" s="2">
        <f t="shared" si="76"/>
        <v>-629.41760591038178</v>
      </c>
      <c r="N634">
        <f t="shared" si="77"/>
        <v>-67.249367060540706</v>
      </c>
      <c r="O634" t="s">
        <v>8</v>
      </c>
    </row>
    <row r="635" spans="1:15" x14ac:dyDescent="0.35">
      <c r="A635">
        <v>2001</v>
      </c>
      <c r="B635">
        <v>9</v>
      </c>
      <c r="C635">
        <v>25</v>
      </c>
      <c r="D635" s="1">
        <f t="shared" si="72"/>
        <v>37159</v>
      </c>
      <c r="E635">
        <v>15.8</v>
      </c>
      <c r="F635">
        <f t="shared" si="78"/>
        <v>0</v>
      </c>
      <c r="G635">
        <f t="shared" si="73"/>
        <v>1</v>
      </c>
      <c r="H635">
        <f t="shared" si="79"/>
        <v>0</v>
      </c>
      <c r="I635">
        <v>634</v>
      </c>
      <c r="J635">
        <f t="shared" si="74"/>
        <v>-0.99602096930763306</v>
      </c>
      <c r="K635">
        <f t="shared" si="75"/>
        <v>-8.911918255618792E-2</v>
      </c>
      <c r="L635">
        <f>VLOOKUP(D635,[1]SOI!$A$1:$C$142,3)</f>
        <v>-8.9</v>
      </c>
      <c r="M635" s="2">
        <f t="shared" si="76"/>
        <v>-631.47729454103933</v>
      </c>
      <c r="N635">
        <f t="shared" si="77"/>
        <v>-56.501561740623139</v>
      </c>
      <c r="O635" t="s">
        <v>8</v>
      </c>
    </row>
    <row r="636" spans="1:15" x14ac:dyDescent="0.35">
      <c r="A636">
        <v>2001</v>
      </c>
      <c r="B636">
        <v>9</v>
      </c>
      <c r="C636">
        <v>26</v>
      </c>
      <c r="D636" s="1">
        <f t="shared" si="72"/>
        <v>37160</v>
      </c>
      <c r="E636">
        <v>4.5999999999999996</v>
      </c>
      <c r="F636">
        <f t="shared" si="78"/>
        <v>15.8</v>
      </c>
      <c r="G636">
        <f t="shared" si="73"/>
        <v>1</v>
      </c>
      <c r="H636">
        <f t="shared" si="79"/>
        <v>1</v>
      </c>
      <c r="I636">
        <v>635</v>
      </c>
      <c r="J636">
        <f t="shared" si="74"/>
        <v>-0.99740659033295964</v>
      </c>
      <c r="K636">
        <f t="shared" si="75"/>
        <v>-7.1972866834520269E-2</v>
      </c>
      <c r="L636">
        <f>VLOOKUP(D636,[1]SOI!$A$1:$C$142,3)</f>
        <v>-8.9</v>
      </c>
      <c r="M636" s="2">
        <f t="shared" si="76"/>
        <v>-633.35318486142933</v>
      </c>
      <c r="N636">
        <f t="shared" si="77"/>
        <v>-45.702770439920371</v>
      </c>
      <c r="O636" t="s">
        <v>8</v>
      </c>
    </row>
    <row r="637" spans="1:15" x14ac:dyDescent="0.35">
      <c r="A637">
        <v>2001</v>
      </c>
      <c r="B637">
        <v>9</v>
      </c>
      <c r="C637">
        <v>27</v>
      </c>
      <c r="D637" s="1">
        <f t="shared" si="72"/>
        <v>37161</v>
      </c>
      <c r="E637">
        <v>0</v>
      </c>
      <c r="F637">
        <f t="shared" si="78"/>
        <v>4.5999999999999996</v>
      </c>
      <c r="G637">
        <f t="shared" si="73"/>
        <v>0</v>
      </c>
      <c r="H637">
        <f t="shared" si="79"/>
        <v>1</v>
      </c>
      <c r="I637">
        <v>636</v>
      </c>
      <c r="J637">
        <f t="shared" si="74"/>
        <v>-0.99849706270147787</v>
      </c>
      <c r="K637">
        <f t="shared" si="75"/>
        <v>-5.4805253183622435E-2</v>
      </c>
      <c r="L637">
        <f>VLOOKUP(D637,[1]SOI!$A$1:$C$142,3)</f>
        <v>-8.9</v>
      </c>
      <c r="M637" s="2">
        <f t="shared" si="76"/>
        <v>-635.04413187813998</v>
      </c>
      <c r="N637">
        <f t="shared" si="77"/>
        <v>-34.856141024783867</v>
      </c>
      <c r="O637" t="s">
        <v>8</v>
      </c>
    </row>
    <row r="638" spans="1:15" x14ac:dyDescent="0.35">
      <c r="A638">
        <v>2001</v>
      </c>
      <c r="B638">
        <v>9</v>
      </c>
      <c r="C638">
        <v>28</v>
      </c>
      <c r="D638" s="1">
        <f t="shared" si="72"/>
        <v>37162</v>
      </c>
      <c r="E638">
        <v>0</v>
      </c>
      <c r="F638">
        <f t="shared" si="78"/>
        <v>0</v>
      </c>
      <c r="G638">
        <f t="shared" si="73"/>
        <v>0</v>
      </c>
      <c r="H638">
        <f t="shared" si="79"/>
        <v>0</v>
      </c>
      <c r="I638">
        <v>637</v>
      </c>
      <c r="J638">
        <f t="shared" si="74"/>
        <v>-0.99929206372486956</v>
      </c>
      <c r="K638">
        <f t="shared" si="75"/>
        <v>-3.7621421776577603E-2</v>
      </c>
      <c r="L638">
        <f>VLOOKUP(D638,[1]SOI!$A$1:$C$142,3)</f>
        <v>-8.9</v>
      </c>
      <c r="M638" s="2">
        <f t="shared" si="76"/>
        <v>-636.54904459274189</v>
      </c>
      <c r="N638">
        <f t="shared" si="77"/>
        <v>-23.964845671679932</v>
      </c>
      <c r="O638" t="s">
        <v>8</v>
      </c>
    </row>
    <row r="639" spans="1:15" x14ac:dyDescent="0.35">
      <c r="A639">
        <v>2001</v>
      </c>
      <c r="B639">
        <v>9</v>
      </c>
      <c r="C639">
        <v>29</v>
      </c>
      <c r="D639" s="1">
        <f t="shared" si="72"/>
        <v>37163</v>
      </c>
      <c r="E639">
        <v>0</v>
      </c>
      <c r="F639">
        <f t="shared" si="78"/>
        <v>0</v>
      </c>
      <c r="G639">
        <f t="shared" si="73"/>
        <v>0</v>
      </c>
      <c r="H639">
        <f t="shared" si="79"/>
        <v>0</v>
      </c>
      <c r="I639">
        <v>638</v>
      </c>
      <c r="J639">
        <f t="shared" si="74"/>
        <v>-0.9997913581495419</v>
      </c>
      <c r="K639">
        <f t="shared" si="75"/>
        <v>-2.0426457585556834E-2</v>
      </c>
      <c r="L639">
        <f>VLOOKUP(D639,[1]SOI!$A$1:$C$142,3)</f>
        <v>-8.9</v>
      </c>
      <c r="M639" s="2">
        <f t="shared" si="76"/>
        <v>-637.86688649940777</v>
      </c>
      <c r="N639">
        <f t="shared" si="77"/>
        <v>-13.032079939585261</v>
      </c>
      <c r="O639" t="s">
        <v>8</v>
      </c>
    </row>
    <row r="640" spans="1:15" x14ac:dyDescent="0.35">
      <c r="A640">
        <v>2001</v>
      </c>
      <c r="B640">
        <v>9</v>
      </c>
      <c r="C640">
        <v>30</v>
      </c>
      <c r="D640" s="1">
        <f t="shared" si="72"/>
        <v>37164</v>
      </c>
      <c r="E640">
        <v>0</v>
      </c>
      <c r="F640">
        <f t="shared" si="78"/>
        <v>0</v>
      </c>
      <c r="G640">
        <f t="shared" si="73"/>
        <v>0</v>
      </c>
      <c r="H640">
        <f t="shared" si="79"/>
        <v>0</v>
      </c>
      <c r="I640">
        <v>639</v>
      </c>
      <c r="J640">
        <f t="shared" si="74"/>
        <v>-0.99999479822624138</v>
      </c>
      <c r="K640">
        <f t="shared" si="75"/>
        <v>-3.2254488771081718E-3</v>
      </c>
      <c r="L640">
        <f>VLOOKUP(D640,[1]SOI!$A$1:$C$142,3)</f>
        <v>-8.9</v>
      </c>
      <c r="M640" s="2">
        <f t="shared" si="76"/>
        <v>-638.99667606656828</v>
      </c>
      <c r="N640">
        <f t="shared" si="77"/>
        <v>-2.0610618324721219</v>
      </c>
      <c r="O640" t="s">
        <v>8</v>
      </c>
    </row>
    <row r="641" spans="1:15" x14ac:dyDescent="0.35">
      <c r="A641">
        <v>2001</v>
      </c>
      <c r="B641">
        <v>10</v>
      </c>
      <c r="C641">
        <v>1</v>
      </c>
      <c r="D641" s="1">
        <f t="shared" si="72"/>
        <v>37165</v>
      </c>
      <c r="E641">
        <v>9.8000000000000007</v>
      </c>
      <c r="F641">
        <f t="shared" si="78"/>
        <v>0</v>
      </c>
      <c r="G641">
        <f t="shared" si="73"/>
        <v>1</v>
      </c>
      <c r="H641">
        <f t="shared" si="79"/>
        <v>0</v>
      </c>
      <c r="I641">
        <v>640</v>
      </c>
      <c r="J641">
        <f t="shared" si="74"/>
        <v>-0.99990232375377652</v>
      </c>
      <c r="K641">
        <f t="shared" si="75"/>
        <v>1.397651429355571E-2</v>
      </c>
      <c r="L641">
        <f>VLOOKUP(D641,[1]SOI!$A$1:$C$142,3)</f>
        <v>1.4</v>
      </c>
      <c r="M641" s="2">
        <f t="shared" si="76"/>
        <v>-639.93748720241695</v>
      </c>
      <c r="N641">
        <f t="shared" si="77"/>
        <v>8.9449691478756534</v>
      </c>
      <c r="O641" t="s">
        <v>8</v>
      </c>
    </row>
    <row r="642" spans="1:15" x14ac:dyDescent="0.35">
      <c r="A642">
        <v>2001</v>
      </c>
      <c r="B642">
        <v>10</v>
      </c>
      <c r="C642">
        <v>2</v>
      </c>
      <c r="D642" s="1">
        <f t="shared" si="72"/>
        <v>37166</v>
      </c>
      <c r="E642">
        <v>0</v>
      </c>
      <c r="F642">
        <f t="shared" si="78"/>
        <v>9.8000000000000007</v>
      </c>
      <c r="G642">
        <f t="shared" si="73"/>
        <v>0</v>
      </c>
      <c r="H642">
        <f t="shared" si="79"/>
        <v>1</v>
      </c>
      <c r="I642">
        <v>641</v>
      </c>
      <c r="J642">
        <f t="shared" si="74"/>
        <v>-0.9995139620968313</v>
      </c>
      <c r="K642">
        <f t="shared" si="75"/>
        <v>3.1174341588781414E-2</v>
      </c>
      <c r="L642">
        <f>VLOOKUP(D642,[1]SOI!$A$1:$C$142,3)</f>
        <v>1.4</v>
      </c>
      <c r="M642" s="2">
        <f t="shared" si="76"/>
        <v>-640.68844970406883</v>
      </c>
      <c r="N642">
        <f t="shared" si="77"/>
        <v>19.982752958408888</v>
      </c>
      <c r="O642" t="s">
        <v>8</v>
      </c>
    </row>
    <row r="643" spans="1:15" x14ac:dyDescent="0.35">
      <c r="A643">
        <v>2001</v>
      </c>
      <c r="B643">
        <v>10</v>
      </c>
      <c r="C643">
        <v>3</v>
      </c>
      <c r="D643" s="1">
        <f t="shared" ref="D643:D706" si="80">DATE(A643,B643,C643)</f>
        <v>37167</v>
      </c>
      <c r="E643">
        <v>1.2</v>
      </c>
      <c r="F643">
        <f t="shared" si="78"/>
        <v>0</v>
      </c>
      <c r="G643">
        <f t="shared" ref="G643:G706" si="81">IF(E643=0,0,1)</f>
        <v>1</v>
      </c>
      <c r="H643">
        <f t="shared" si="79"/>
        <v>0</v>
      </c>
      <c r="I643">
        <v>642</v>
      </c>
      <c r="J643">
        <f t="shared" ref="J643:J706" si="82">SIN(2*PI()*I643/365.25)</f>
        <v>-0.99882982817786836</v>
      </c>
      <c r="K643">
        <f t="shared" ref="K643:K706" si="83">COS(2*PI()*I643/365.25)</f>
        <v>4.8362943894782288E-2</v>
      </c>
      <c r="L643">
        <f>VLOOKUP(D643,[1]SOI!$A$1:$C$142,3)</f>
        <v>1.4</v>
      </c>
      <c r="M643" s="2">
        <f t="shared" ref="M643:M706" si="84">I643*J643</f>
        <v>-641.24874969019152</v>
      </c>
      <c r="N643">
        <f t="shared" ref="N643:N706" si="85">I643*K643</f>
        <v>31.049009980450229</v>
      </c>
      <c r="O643" t="s">
        <v>8</v>
      </c>
    </row>
    <row r="644" spans="1:15" x14ac:dyDescent="0.35">
      <c r="A644">
        <v>2001</v>
      </c>
      <c r="B644">
        <v>10</v>
      </c>
      <c r="C644">
        <v>4</v>
      </c>
      <c r="D644" s="1">
        <f t="shared" si="80"/>
        <v>37168</v>
      </c>
      <c r="E644">
        <v>8.6</v>
      </c>
      <c r="F644">
        <f t="shared" ref="F644:F707" si="86">E643</f>
        <v>1.2</v>
      </c>
      <c r="G644">
        <f t="shared" si="81"/>
        <v>1</v>
      </c>
      <c r="H644">
        <f t="shared" ref="H644:H707" si="87">G643</f>
        <v>1</v>
      </c>
      <c r="I644">
        <v>643</v>
      </c>
      <c r="J644">
        <f t="shared" si="82"/>
        <v>-0.99785012444312082</v>
      </c>
      <c r="K644">
        <f t="shared" si="83"/>
        <v>6.5537234827601529E-2</v>
      </c>
      <c r="L644">
        <f>VLOOKUP(D644,[1]SOI!$A$1:$C$142,3)</f>
        <v>1.4</v>
      </c>
      <c r="M644" s="2">
        <f t="shared" si="84"/>
        <v>-641.61763001692668</v>
      </c>
      <c r="N644">
        <f t="shared" si="85"/>
        <v>42.140441994147785</v>
      </c>
      <c r="O644" t="s">
        <v>8</v>
      </c>
    </row>
    <row r="645" spans="1:15" x14ac:dyDescent="0.35">
      <c r="A645">
        <v>2001</v>
      </c>
      <c r="B645">
        <v>10</v>
      </c>
      <c r="C645">
        <v>5</v>
      </c>
      <c r="D645" s="1">
        <f t="shared" si="80"/>
        <v>37169</v>
      </c>
      <c r="E645">
        <v>0.2</v>
      </c>
      <c r="F645">
        <f t="shared" si="86"/>
        <v>8.6</v>
      </c>
      <c r="G645">
        <f t="shared" si="81"/>
        <v>1</v>
      </c>
      <c r="H645">
        <f t="shared" si="87"/>
        <v>1</v>
      </c>
      <c r="I645">
        <v>644</v>
      </c>
      <c r="J645">
        <f t="shared" si="82"/>
        <v>-0.99657514080268605</v>
      </c>
      <c r="K645">
        <f t="shared" si="83"/>
        <v>8.2692132238239013E-2</v>
      </c>
      <c r="L645">
        <f>VLOOKUP(D645,[1]SOI!$A$1:$C$142,3)</f>
        <v>1.4</v>
      </c>
      <c r="M645" s="2">
        <f t="shared" si="84"/>
        <v>-641.79439067692977</v>
      </c>
      <c r="N645">
        <f t="shared" si="85"/>
        <v>53.253733161425927</v>
      </c>
      <c r="O645" t="s">
        <v>8</v>
      </c>
    </row>
    <row r="646" spans="1:15" x14ac:dyDescent="0.35">
      <c r="A646">
        <v>2001</v>
      </c>
      <c r="B646">
        <v>10</v>
      </c>
      <c r="C646">
        <v>6</v>
      </c>
      <c r="D646" s="1">
        <f t="shared" si="80"/>
        <v>37170</v>
      </c>
      <c r="E646">
        <v>3.8</v>
      </c>
      <c r="F646">
        <f t="shared" si="86"/>
        <v>0.2</v>
      </c>
      <c r="G646">
        <f t="shared" si="81"/>
        <v>1</v>
      </c>
      <c r="H646">
        <f t="shared" si="87"/>
        <v>1</v>
      </c>
      <c r="I646">
        <v>645</v>
      </c>
      <c r="J646">
        <f t="shared" si="82"/>
        <v>-0.99500525454473521</v>
      </c>
      <c r="K646">
        <f t="shared" si="83"/>
        <v>9.9822559716562273E-2</v>
      </c>
      <c r="L646">
        <f>VLOOKUP(D646,[1]SOI!$A$1:$C$142,3)</f>
        <v>1.4</v>
      </c>
      <c r="M646" s="2">
        <f t="shared" si="84"/>
        <v>-641.77838918135421</v>
      </c>
      <c r="N646">
        <f t="shared" si="85"/>
        <v>64.385551017182664</v>
      </c>
      <c r="O646" t="s">
        <v>8</v>
      </c>
    </row>
    <row r="647" spans="1:15" x14ac:dyDescent="0.35">
      <c r="A647">
        <v>2001</v>
      </c>
      <c r="B647">
        <v>10</v>
      </c>
      <c r="C647">
        <v>7</v>
      </c>
      <c r="D647" s="1">
        <f t="shared" si="80"/>
        <v>37171</v>
      </c>
      <c r="E647">
        <v>3</v>
      </c>
      <c r="F647">
        <f t="shared" si="86"/>
        <v>3.8</v>
      </c>
      <c r="G647">
        <f t="shared" si="81"/>
        <v>1</v>
      </c>
      <c r="H647">
        <f t="shared" si="87"/>
        <v>1</v>
      </c>
      <c r="I647">
        <v>646</v>
      </c>
      <c r="J647">
        <f t="shared" si="82"/>
        <v>-0.99314093022386951</v>
      </c>
      <c r="K647">
        <f t="shared" si="83"/>
        <v>0.11692344809347308</v>
      </c>
      <c r="L647">
        <f>VLOOKUP(D647,[1]SOI!$A$1:$C$142,3)</f>
        <v>1.4</v>
      </c>
      <c r="M647" s="2">
        <f t="shared" si="84"/>
        <v>-641.56904092461969</v>
      </c>
      <c r="N647">
        <f t="shared" si="85"/>
        <v>75.532547468383612</v>
      </c>
      <c r="O647" t="s">
        <v>8</v>
      </c>
    </row>
    <row r="648" spans="1:15" x14ac:dyDescent="0.35">
      <c r="A648">
        <v>2001</v>
      </c>
      <c r="B648">
        <v>10</v>
      </c>
      <c r="C648">
        <v>8</v>
      </c>
      <c r="D648" s="1">
        <f t="shared" si="80"/>
        <v>37172</v>
      </c>
      <c r="E648">
        <v>0.2</v>
      </c>
      <c r="F648">
        <f t="shared" si="86"/>
        <v>3</v>
      </c>
      <c r="G648">
        <f t="shared" si="81"/>
        <v>1</v>
      </c>
      <c r="H648">
        <f t="shared" si="87"/>
        <v>1</v>
      </c>
      <c r="I648">
        <v>647</v>
      </c>
      <c r="J648">
        <f t="shared" si="82"/>
        <v>-0.99098271952364925</v>
      </c>
      <c r="K648">
        <f t="shared" si="83"/>
        <v>0.13398973694097738</v>
      </c>
      <c r="L648">
        <f>VLOOKUP(D648,[1]SOI!$A$1:$C$142,3)</f>
        <v>1.4</v>
      </c>
      <c r="M648" s="2">
        <f t="shared" si="84"/>
        <v>-641.16581953180105</v>
      </c>
      <c r="N648">
        <f t="shared" si="85"/>
        <v>86.691359800812364</v>
      </c>
      <c r="O648" t="s">
        <v>8</v>
      </c>
    </row>
    <row r="649" spans="1:15" x14ac:dyDescent="0.35">
      <c r="A649">
        <v>2001</v>
      </c>
      <c r="B649">
        <v>10</v>
      </c>
      <c r="C649">
        <v>9</v>
      </c>
      <c r="D649" s="1">
        <f t="shared" si="80"/>
        <v>37173</v>
      </c>
      <c r="E649">
        <v>0</v>
      </c>
      <c r="F649">
        <f t="shared" si="86"/>
        <v>0.2</v>
      </c>
      <c r="G649">
        <f t="shared" si="81"/>
        <v>0</v>
      </c>
      <c r="H649">
        <f t="shared" si="87"/>
        <v>1</v>
      </c>
      <c r="I649">
        <v>648</v>
      </c>
      <c r="J649">
        <f t="shared" si="82"/>
        <v>-0.98853126109334333</v>
      </c>
      <c r="K649">
        <f t="shared" si="83"/>
        <v>0.15101637606963153</v>
      </c>
      <c r="L649">
        <f>VLOOKUP(D649,[1]SOI!$A$1:$C$142,3)</f>
        <v>1.4</v>
      </c>
      <c r="M649" s="2">
        <f t="shared" si="84"/>
        <v>-640.56825718848643</v>
      </c>
      <c r="N649">
        <f t="shared" si="85"/>
        <v>97.858611693121233</v>
      </c>
      <c r="O649" t="s">
        <v>8</v>
      </c>
    </row>
    <row r="650" spans="1:15" x14ac:dyDescent="0.35">
      <c r="A650">
        <v>2001</v>
      </c>
      <c r="B650">
        <v>10</v>
      </c>
      <c r="C650">
        <v>10</v>
      </c>
      <c r="D650" s="1">
        <f t="shared" si="80"/>
        <v>37174</v>
      </c>
      <c r="E650">
        <v>0</v>
      </c>
      <c r="F650">
        <f t="shared" si="86"/>
        <v>0</v>
      </c>
      <c r="G650">
        <f t="shared" si="81"/>
        <v>0</v>
      </c>
      <c r="H650">
        <f t="shared" si="87"/>
        <v>0</v>
      </c>
      <c r="I650">
        <v>649</v>
      </c>
      <c r="J650">
        <f t="shared" si="82"/>
        <v>-0.98578728035894114</v>
      </c>
      <c r="K650">
        <f t="shared" si="83"/>
        <v>0.16799832702298678</v>
      </c>
      <c r="L650">
        <f>VLOOKUP(D650,[1]SOI!$A$1:$C$142,3)</f>
        <v>1.4</v>
      </c>
      <c r="M650" s="2">
        <f t="shared" si="84"/>
        <v>-639.77594495295284</v>
      </c>
      <c r="N650">
        <f t="shared" si="85"/>
        <v>109.03091423791842</v>
      </c>
      <c r="O650" t="s">
        <v>8</v>
      </c>
    </row>
    <row r="651" spans="1:15" x14ac:dyDescent="0.35">
      <c r="A651">
        <v>2001</v>
      </c>
      <c r="B651">
        <v>10</v>
      </c>
      <c r="C651">
        <v>11</v>
      </c>
      <c r="D651" s="1">
        <f t="shared" si="80"/>
        <v>37175</v>
      </c>
      <c r="E651">
        <v>0</v>
      </c>
      <c r="F651">
        <f t="shared" si="86"/>
        <v>0</v>
      </c>
      <c r="G651">
        <f t="shared" si="81"/>
        <v>0</v>
      </c>
      <c r="H651">
        <f t="shared" si="87"/>
        <v>0</v>
      </c>
      <c r="I651">
        <v>650</v>
      </c>
      <c r="J651">
        <f t="shared" si="82"/>
        <v>-0.98275158930848849</v>
      </c>
      <c r="K651">
        <f t="shared" si="83"/>
        <v>0.18493056456854279</v>
      </c>
      <c r="L651">
        <f>VLOOKUP(D651,[1]SOI!$A$1:$C$142,3)</f>
        <v>1.4</v>
      </c>
      <c r="M651" s="2">
        <f t="shared" si="84"/>
        <v>-638.78853305051757</v>
      </c>
      <c r="N651">
        <f t="shared" si="85"/>
        <v>120.20486696955281</v>
      </c>
      <c r="O651" t="s">
        <v>8</v>
      </c>
    </row>
    <row r="652" spans="1:15" x14ac:dyDescent="0.35">
      <c r="A652">
        <v>2001</v>
      </c>
      <c r="B652">
        <v>10</v>
      </c>
      <c r="C652">
        <v>12</v>
      </c>
      <c r="D652" s="1">
        <f t="shared" si="80"/>
        <v>37176</v>
      </c>
      <c r="E652">
        <v>4.2</v>
      </c>
      <c r="F652">
        <f t="shared" si="86"/>
        <v>0</v>
      </c>
      <c r="G652">
        <f t="shared" si="81"/>
        <v>1</v>
      </c>
      <c r="H652">
        <f t="shared" si="87"/>
        <v>0</v>
      </c>
      <c r="I652">
        <v>651</v>
      </c>
      <c r="J652">
        <f t="shared" si="82"/>
        <v>-0.97942508625180646</v>
      </c>
      <c r="K652">
        <f t="shared" si="83"/>
        <v>0.20180807818479801</v>
      </c>
      <c r="L652">
        <f>VLOOKUP(D652,[1]SOI!$A$1:$C$142,3)</f>
        <v>1.4</v>
      </c>
      <c r="M652" s="2">
        <f t="shared" si="84"/>
        <v>-637.60573114992599</v>
      </c>
      <c r="N652">
        <f t="shared" si="85"/>
        <v>131.37705889830352</v>
      </c>
      <c r="O652" t="s">
        <v>8</v>
      </c>
    </row>
    <row r="653" spans="1:15" x14ac:dyDescent="0.35">
      <c r="A653">
        <v>2001</v>
      </c>
      <c r="B653">
        <v>10</v>
      </c>
      <c r="C653">
        <v>13</v>
      </c>
      <c r="D653" s="1">
        <f t="shared" si="80"/>
        <v>37177</v>
      </c>
      <c r="E653">
        <v>0.6</v>
      </c>
      <c r="F653">
        <f t="shared" si="86"/>
        <v>4.2</v>
      </c>
      <c r="G653">
        <f t="shared" si="81"/>
        <v>1</v>
      </c>
      <c r="H653">
        <f t="shared" si="87"/>
        <v>1</v>
      </c>
      <c r="I653">
        <v>652</v>
      </c>
      <c r="J653">
        <f t="shared" si="82"/>
        <v>-0.97580875555466839</v>
      </c>
      <c r="K653">
        <f t="shared" si="83"/>
        <v>0.21862587354393681</v>
      </c>
      <c r="L653">
        <f>VLOOKUP(D653,[1]SOI!$A$1:$C$142,3)</f>
        <v>1.4</v>
      </c>
      <c r="M653" s="2">
        <f t="shared" si="84"/>
        <v>-636.22730862164383</v>
      </c>
      <c r="N653">
        <f t="shared" si="85"/>
        <v>142.54406955064681</v>
      </c>
      <c r="O653" t="s">
        <v>8</v>
      </c>
    </row>
    <row r="654" spans="1:15" x14ac:dyDescent="0.35">
      <c r="A654">
        <v>2001</v>
      </c>
      <c r="B654">
        <v>10</v>
      </c>
      <c r="C654">
        <v>14</v>
      </c>
      <c r="D654" s="1">
        <f t="shared" si="80"/>
        <v>37178</v>
      </c>
      <c r="E654">
        <v>9.6</v>
      </c>
      <c r="F654">
        <f t="shared" si="86"/>
        <v>0.6</v>
      </c>
      <c r="G654">
        <f t="shared" si="81"/>
        <v>1</v>
      </c>
      <c r="H654">
        <f t="shared" si="87"/>
        <v>1</v>
      </c>
      <c r="I654">
        <v>653</v>
      </c>
      <c r="J654">
        <f t="shared" si="82"/>
        <v>-0.9719036673475081</v>
      </c>
      <c r="K654">
        <f t="shared" si="83"/>
        <v>0.23537897398974364</v>
      </c>
      <c r="L654">
        <f>VLOOKUP(D654,[1]SOI!$A$1:$C$142,3)</f>
        <v>1.4</v>
      </c>
      <c r="M654" s="2">
        <f t="shared" si="84"/>
        <v>-634.65309477792277</v>
      </c>
      <c r="N654">
        <f t="shared" si="85"/>
        <v>153.70247001530259</v>
      </c>
      <c r="O654" t="s">
        <v>8</v>
      </c>
    </row>
    <row r="655" spans="1:15" x14ac:dyDescent="0.35">
      <c r="A655">
        <v>2001</v>
      </c>
      <c r="B655">
        <v>10</v>
      </c>
      <c r="C655">
        <v>15</v>
      </c>
      <c r="D655" s="1">
        <f t="shared" si="80"/>
        <v>37179</v>
      </c>
      <c r="E655">
        <v>0</v>
      </c>
      <c r="F655">
        <f t="shared" si="86"/>
        <v>9.6</v>
      </c>
      <c r="G655">
        <f t="shared" si="81"/>
        <v>0</v>
      </c>
      <c r="H655">
        <f t="shared" si="87"/>
        <v>1</v>
      </c>
      <c r="I655">
        <v>654</v>
      </c>
      <c r="J655">
        <f t="shared" si="82"/>
        <v>-0.96771097720875354</v>
      </c>
      <c r="K655">
        <f t="shared" si="83"/>
        <v>0.25206242201026163</v>
      </c>
      <c r="L655">
        <f>VLOOKUP(D655,[1]SOI!$A$1:$C$142,3)</f>
        <v>1.4</v>
      </c>
      <c r="M655" s="2">
        <f t="shared" si="84"/>
        <v>-632.88297909452479</v>
      </c>
      <c r="N655">
        <f t="shared" si="85"/>
        <v>164.8488239947111</v>
      </c>
      <c r="O655" t="s">
        <v>8</v>
      </c>
    </row>
    <row r="656" spans="1:15" x14ac:dyDescent="0.35">
      <c r="A656">
        <v>2001</v>
      </c>
      <c r="B656">
        <v>10</v>
      </c>
      <c r="C656">
        <v>16</v>
      </c>
      <c r="D656" s="1">
        <f t="shared" si="80"/>
        <v>37180</v>
      </c>
      <c r="E656">
        <v>3.6</v>
      </c>
      <c r="F656">
        <f t="shared" si="86"/>
        <v>0</v>
      </c>
      <c r="G656">
        <f t="shared" si="81"/>
        <v>1</v>
      </c>
      <c r="H656">
        <f t="shared" si="87"/>
        <v>0</v>
      </c>
      <c r="I656">
        <v>655</v>
      </c>
      <c r="J656">
        <f t="shared" si="82"/>
        <v>-0.96323192582287054</v>
      </c>
      <c r="K656">
        <f t="shared" si="83"/>
        <v>0.26867128070481233</v>
      </c>
      <c r="L656">
        <f>VLOOKUP(D656,[1]SOI!$A$1:$C$142,3)</f>
        <v>1.4</v>
      </c>
      <c r="M656" s="2">
        <f t="shared" si="84"/>
        <v>-630.91691141398019</v>
      </c>
      <c r="N656">
        <f t="shared" si="85"/>
        <v>175.97968886165208</v>
      </c>
      <c r="O656" t="s">
        <v>8</v>
      </c>
    </row>
    <row r="657" spans="1:15" x14ac:dyDescent="0.35">
      <c r="A657">
        <v>2001</v>
      </c>
      <c r="B657">
        <v>10</v>
      </c>
      <c r="C657">
        <v>17</v>
      </c>
      <c r="D657" s="1">
        <f t="shared" si="80"/>
        <v>37181</v>
      </c>
      <c r="E657">
        <v>0</v>
      </c>
      <c r="F657">
        <f t="shared" si="86"/>
        <v>3.6</v>
      </c>
      <c r="G657">
        <f t="shared" si="81"/>
        <v>0</v>
      </c>
      <c r="H657">
        <f t="shared" si="87"/>
        <v>1</v>
      </c>
      <c r="I657">
        <v>656</v>
      </c>
      <c r="J657">
        <f t="shared" si="82"/>
        <v>-0.95846783861322493</v>
      </c>
      <c r="K657">
        <f t="shared" si="83"/>
        <v>0.28520063524489725</v>
      </c>
      <c r="L657">
        <f>VLOOKUP(D657,[1]SOI!$A$1:$C$142,3)</f>
        <v>1.4</v>
      </c>
      <c r="M657" s="2">
        <f t="shared" si="84"/>
        <v>-628.75490213027558</v>
      </c>
      <c r="N657">
        <f t="shared" si="85"/>
        <v>187.09161672065261</v>
      </c>
      <c r="O657" t="s">
        <v>8</v>
      </c>
    </row>
    <row r="658" spans="1:15" x14ac:dyDescent="0.35">
      <c r="A658">
        <v>2001</v>
      </c>
      <c r="B658">
        <v>10</v>
      </c>
      <c r="C658">
        <v>18</v>
      </c>
      <c r="D658" s="1">
        <f t="shared" si="80"/>
        <v>37182</v>
      </c>
      <c r="E658">
        <v>4.2</v>
      </c>
      <c r="F658">
        <f t="shared" si="86"/>
        <v>0</v>
      </c>
      <c r="G658">
        <f t="shared" si="81"/>
        <v>1</v>
      </c>
      <c r="H658">
        <f t="shared" si="87"/>
        <v>0</v>
      </c>
      <c r="I658">
        <v>657</v>
      </c>
      <c r="J658">
        <f t="shared" si="82"/>
        <v>-0.95342012534986798</v>
      </c>
      <c r="K658">
        <f t="shared" si="83"/>
        <v>0.30164559432857962</v>
      </c>
      <c r="L658">
        <f>VLOOKUP(D658,[1]SOI!$A$1:$C$142,3)</f>
        <v>1.4</v>
      </c>
      <c r="M658" s="2">
        <f t="shared" si="84"/>
        <v>-626.39702235486322</v>
      </c>
      <c r="N658">
        <f t="shared" si="85"/>
        <v>198.1811554738768</v>
      </c>
      <c r="O658" t="s">
        <v>8</v>
      </c>
    </row>
    <row r="659" spans="1:15" x14ac:dyDescent="0.35">
      <c r="A659">
        <v>2001</v>
      </c>
      <c r="B659">
        <v>10</v>
      </c>
      <c r="C659">
        <v>19</v>
      </c>
      <c r="D659" s="1">
        <f t="shared" si="80"/>
        <v>37183</v>
      </c>
      <c r="E659">
        <v>0.2</v>
      </c>
      <c r="F659">
        <f t="shared" si="86"/>
        <v>4.2</v>
      </c>
      <c r="G659">
        <f t="shared" si="81"/>
        <v>1</v>
      </c>
      <c r="H659">
        <f t="shared" si="87"/>
        <v>1</v>
      </c>
      <c r="I659">
        <v>658</v>
      </c>
      <c r="J659">
        <f t="shared" si="82"/>
        <v>-0.94809027973236615</v>
      </c>
      <c r="K659">
        <f t="shared" si="83"/>
        <v>0.31800129162788576</v>
      </c>
      <c r="L659">
        <f>VLOOKUP(D659,[1]SOI!$A$1:$C$142,3)</f>
        <v>1.4</v>
      </c>
      <c r="M659" s="2">
        <f t="shared" si="84"/>
        <v>-623.84340406389697</v>
      </c>
      <c r="N659">
        <f t="shared" si="85"/>
        <v>209.24484989114885</v>
      </c>
      <c r="O659" t="s">
        <v>8</v>
      </c>
    </row>
    <row r="660" spans="1:15" x14ac:dyDescent="0.35">
      <c r="A660">
        <v>2001</v>
      </c>
      <c r="B660">
        <v>10</v>
      </c>
      <c r="C660">
        <v>20</v>
      </c>
      <c r="D660" s="1">
        <f t="shared" si="80"/>
        <v>37184</v>
      </c>
      <c r="E660">
        <v>0.8</v>
      </c>
      <c r="F660">
        <f t="shared" si="86"/>
        <v>0.2</v>
      </c>
      <c r="G660">
        <f t="shared" si="81"/>
        <v>1</v>
      </c>
      <c r="H660">
        <f t="shared" si="87"/>
        <v>1</v>
      </c>
      <c r="I660">
        <v>659</v>
      </c>
      <c r="J660">
        <f t="shared" si="82"/>
        <v>-0.94247987894778573</v>
      </c>
      <c r="K660">
        <f t="shared" si="83"/>
        <v>0.33426288722885045</v>
      </c>
      <c r="L660">
        <f>VLOOKUP(D660,[1]SOI!$A$1:$C$142,3)</f>
        <v>1.4</v>
      </c>
      <c r="M660" s="2">
        <f t="shared" si="84"/>
        <v>-621.09424022659084</v>
      </c>
      <c r="N660">
        <f t="shared" si="85"/>
        <v>220.27924268381244</v>
      </c>
      <c r="O660" t="s">
        <v>8</v>
      </c>
    </row>
    <row r="661" spans="1:15" x14ac:dyDescent="0.35">
      <c r="A661">
        <v>2001</v>
      </c>
      <c r="B661">
        <v>10</v>
      </c>
      <c r="C661">
        <v>21</v>
      </c>
      <c r="D661" s="1">
        <f t="shared" si="80"/>
        <v>37185</v>
      </c>
      <c r="E661">
        <v>0</v>
      </c>
      <c r="F661">
        <f t="shared" si="86"/>
        <v>0.8</v>
      </c>
      <c r="G661">
        <f t="shared" si="81"/>
        <v>0</v>
      </c>
      <c r="H661">
        <f t="shared" si="87"/>
        <v>1</v>
      </c>
      <c r="I661">
        <v>660</v>
      </c>
      <c r="J661">
        <f t="shared" si="82"/>
        <v>-0.93659058320398203</v>
      </c>
      <c r="K661">
        <f t="shared" si="83"/>
        <v>0.3504255690637097</v>
      </c>
      <c r="L661">
        <f>VLOOKUP(D661,[1]SOI!$A$1:$C$142,3)</f>
        <v>1.4</v>
      </c>
      <c r="M661" s="2">
        <f t="shared" si="84"/>
        <v>-618.14978491462819</v>
      </c>
      <c r="N661">
        <f t="shared" si="85"/>
        <v>231.2808755820484</v>
      </c>
      <c r="O661" t="s">
        <v>8</v>
      </c>
    </row>
    <row r="662" spans="1:15" x14ac:dyDescent="0.35">
      <c r="A662">
        <v>2001</v>
      </c>
      <c r="B662">
        <v>10</v>
      </c>
      <c r="C662">
        <v>22</v>
      </c>
      <c r="D662" s="1">
        <f t="shared" si="80"/>
        <v>37186</v>
      </c>
      <c r="E662">
        <v>0</v>
      </c>
      <c r="F662">
        <f t="shared" si="86"/>
        <v>0</v>
      </c>
      <c r="G662">
        <f t="shared" si="81"/>
        <v>0</v>
      </c>
      <c r="H662">
        <f t="shared" si="87"/>
        <v>0</v>
      </c>
      <c r="I662">
        <v>661</v>
      </c>
      <c r="J662">
        <f t="shared" si="82"/>
        <v>-0.93042413523831291</v>
      </c>
      <c r="K662">
        <f t="shared" si="83"/>
        <v>0.3664845543348827</v>
      </c>
      <c r="L662">
        <f>VLOOKUP(D662,[1]SOI!$A$1:$C$142,3)</f>
        <v>1.4</v>
      </c>
      <c r="M662" s="2">
        <f t="shared" si="84"/>
        <v>-615.01035339252485</v>
      </c>
      <c r="N662">
        <f t="shared" si="85"/>
        <v>242.24629041535746</v>
      </c>
      <c r="O662" t="s">
        <v>8</v>
      </c>
    </row>
    <row r="663" spans="1:15" x14ac:dyDescent="0.35">
      <c r="A663">
        <v>2001</v>
      </c>
      <c r="B663">
        <v>10</v>
      </c>
      <c r="C663">
        <v>23</v>
      </c>
      <c r="D663" s="1">
        <f t="shared" si="80"/>
        <v>37187</v>
      </c>
      <c r="E663">
        <v>0</v>
      </c>
      <c r="F663">
        <f t="shared" si="86"/>
        <v>0</v>
      </c>
      <c r="G663">
        <f t="shared" si="81"/>
        <v>0</v>
      </c>
      <c r="H663">
        <f t="shared" si="87"/>
        <v>0</v>
      </c>
      <c r="I663">
        <v>662</v>
      </c>
      <c r="J663">
        <f t="shared" si="82"/>
        <v>-0.9239823598019431</v>
      </c>
      <c r="K663">
        <f t="shared" si="83"/>
        <v>0.38243509093025518</v>
      </c>
      <c r="L663">
        <f>VLOOKUP(D663,[1]SOI!$A$1:$C$142,3)</f>
        <v>1.4</v>
      </c>
      <c r="M663" s="2">
        <f t="shared" si="84"/>
        <v>-611.67632218888627</v>
      </c>
      <c r="N663">
        <f t="shared" si="85"/>
        <v>253.17203019582894</v>
      </c>
      <c r="O663" t="s">
        <v>8</v>
      </c>
    </row>
    <row r="664" spans="1:15" x14ac:dyDescent="0.35">
      <c r="A664">
        <v>2001</v>
      </c>
      <c r="B664">
        <v>10</v>
      </c>
      <c r="C664">
        <v>24</v>
      </c>
      <c r="D664" s="1">
        <f t="shared" si="80"/>
        <v>37188</v>
      </c>
      <c r="E664">
        <v>3.4</v>
      </c>
      <c r="F664">
        <f t="shared" si="86"/>
        <v>0</v>
      </c>
      <c r="G664">
        <f t="shared" si="81"/>
        <v>1</v>
      </c>
      <c r="H664">
        <f t="shared" si="87"/>
        <v>0</v>
      </c>
      <c r="I664">
        <v>663</v>
      </c>
      <c r="J664">
        <f t="shared" si="82"/>
        <v>-0.91726716311986123</v>
      </c>
      <c r="K664">
        <f t="shared" si="83"/>
        <v>0.39827245882943246</v>
      </c>
      <c r="L664">
        <f>VLOOKUP(D664,[1]SOI!$A$1:$C$142,3)</f>
        <v>1.4</v>
      </c>
      <c r="M664" s="2">
        <f t="shared" si="84"/>
        <v>-608.148129148468</v>
      </c>
      <c r="N664">
        <f t="shared" si="85"/>
        <v>264.05464020391372</v>
      </c>
      <c r="O664" t="s">
        <v>8</v>
      </c>
    </row>
    <row r="665" spans="1:15" x14ac:dyDescent="0.35">
      <c r="A665">
        <v>2001</v>
      </c>
      <c r="B665">
        <v>10</v>
      </c>
      <c r="C665">
        <v>25</v>
      </c>
      <c r="D665" s="1">
        <f t="shared" si="80"/>
        <v>37189</v>
      </c>
      <c r="E665">
        <v>0</v>
      </c>
      <c r="F665">
        <f t="shared" si="86"/>
        <v>3.4</v>
      </c>
      <c r="G665">
        <f t="shared" si="81"/>
        <v>0</v>
      </c>
      <c r="H665">
        <f t="shared" si="87"/>
        <v>1</v>
      </c>
      <c r="I665">
        <v>664</v>
      </c>
      <c r="J665">
        <f t="shared" si="82"/>
        <v>-0.91028053232680184</v>
      </c>
      <c r="K665">
        <f t="shared" si="83"/>
        <v>0.41399197150045597</v>
      </c>
      <c r="L665">
        <f>VLOOKUP(D665,[1]SOI!$A$1:$C$142,3)</f>
        <v>1.4</v>
      </c>
      <c r="M665" s="2">
        <f t="shared" si="84"/>
        <v>-604.42627346499637</v>
      </c>
      <c r="N665">
        <f t="shared" si="85"/>
        <v>274.89066907630274</v>
      </c>
      <c r="O665" t="s">
        <v>8</v>
      </c>
    </row>
    <row r="666" spans="1:15" x14ac:dyDescent="0.35">
      <c r="A666">
        <v>2001</v>
      </c>
      <c r="B666">
        <v>10</v>
      </c>
      <c r="C666">
        <v>26</v>
      </c>
      <c r="D666" s="1">
        <f t="shared" si="80"/>
        <v>37190</v>
      </c>
      <c r="E666">
        <v>1.4</v>
      </c>
      <c r="F666">
        <f t="shared" si="86"/>
        <v>0</v>
      </c>
      <c r="G666">
        <f t="shared" si="81"/>
        <v>1</v>
      </c>
      <c r="H666">
        <f t="shared" si="87"/>
        <v>0</v>
      </c>
      <c r="I666">
        <v>665</v>
      </c>
      <c r="J666">
        <f t="shared" si="82"/>
        <v>-0.90302453487922207</v>
      </c>
      <c r="K666">
        <f t="shared" si="83"/>
        <v>0.42958897728662054</v>
      </c>
      <c r="L666">
        <f>VLOOKUP(D666,[1]SOI!$A$1:$C$142,3)</f>
        <v>1.4</v>
      </c>
      <c r="M666" s="2">
        <f t="shared" si="84"/>
        <v>-600.51131569468271</v>
      </c>
      <c r="N666">
        <f t="shared" si="85"/>
        <v>285.67666989560269</v>
      </c>
      <c r="O666" t="s">
        <v>8</v>
      </c>
    </row>
    <row r="667" spans="1:15" x14ac:dyDescent="0.35">
      <c r="A667">
        <v>2001</v>
      </c>
      <c r="B667">
        <v>10</v>
      </c>
      <c r="C667">
        <v>27</v>
      </c>
      <c r="D667" s="1">
        <f t="shared" si="80"/>
        <v>37191</v>
      </c>
      <c r="E667">
        <v>8.1999999999999993</v>
      </c>
      <c r="F667">
        <f t="shared" si="86"/>
        <v>1.4</v>
      </c>
      <c r="G667">
        <f t="shared" si="81"/>
        <v>1</v>
      </c>
      <c r="H667">
        <f t="shared" si="87"/>
        <v>1</v>
      </c>
      <c r="I667">
        <v>666</v>
      </c>
      <c r="J667">
        <f t="shared" si="82"/>
        <v>-0.89550131794350396</v>
      </c>
      <c r="K667">
        <f t="shared" si="83"/>
        <v>0.44505886078298396</v>
      </c>
      <c r="L667">
        <f>VLOOKUP(D667,[1]SOI!$A$1:$C$142,3)</f>
        <v>1.4</v>
      </c>
      <c r="M667" s="2">
        <f t="shared" si="84"/>
        <v>-596.40387775037368</v>
      </c>
      <c r="N667">
        <f t="shared" si="85"/>
        <v>296.40920128146729</v>
      </c>
      <c r="O667" t="s">
        <v>8</v>
      </c>
    </row>
    <row r="668" spans="1:15" x14ac:dyDescent="0.35">
      <c r="A668">
        <v>2001</v>
      </c>
      <c r="B668">
        <v>10</v>
      </c>
      <c r="C668">
        <v>28</v>
      </c>
      <c r="D668" s="1">
        <f t="shared" si="80"/>
        <v>37192</v>
      </c>
      <c r="E668">
        <v>1.2</v>
      </c>
      <c r="F668">
        <f t="shared" si="86"/>
        <v>8.1999999999999993</v>
      </c>
      <c r="G668">
        <f t="shared" si="81"/>
        <v>1</v>
      </c>
      <c r="H668">
        <f t="shared" si="87"/>
        <v>1</v>
      </c>
      <c r="I668">
        <v>667</v>
      </c>
      <c r="J668">
        <f t="shared" si="82"/>
        <v>-0.88771310776057544</v>
      </c>
      <c r="K668">
        <f t="shared" si="83"/>
        <v>0.46039704420213318</v>
      </c>
      <c r="L668">
        <f>VLOOKUP(D668,[1]SOI!$A$1:$C$142,3)</f>
        <v>1.4</v>
      </c>
      <c r="M668" s="2">
        <f t="shared" si="84"/>
        <v>-592.10464287630384</v>
      </c>
      <c r="N668">
        <f t="shared" si="85"/>
        <v>307.08482848282284</v>
      </c>
      <c r="O668" t="s">
        <v>8</v>
      </c>
    </row>
    <row r="669" spans="1:15" x14ac:dyDescent="0.35">
      <c r="A669">
        <v>2001</v>
      </c>
      <c r="B669">
        <v>10</v>
      </c>
      <c r="C669">
        <v>29</v>
      </c>
      <c r="D669" s="1">
        <f t="shared" si="80"/>
        <v>37193</v>
      </c>
      <c r="E669">
        <v>0</v>
      </c>
      <c r="F669">
        <f t="shared" si="86"/>
        <v>1.2</v>
      </c>
      <c r="G669">
        <f t="shared" si="81"/>
        <v>0</v>
      </c>
      <c r="H669">
        <f t="shared" si="87"/>
        <v>1</v>
      </c>
      <c r="I669">
        <v>668</v>
      </c>
      <c r="J669">
        <f t="shared" si="82"/>
        <v>-0.87966220898712921</v>
      </c>
      <c r="K669">
        <f t="shared" si="83"/>
        <v>0.47559898872882833</v>
      </c>
      <c r="L669">
        <f>VLOOKUP(D669,[1]SOI!$A$1:$C$142,3)</f>
        <v>1.4</v>
      </c>
      <c r="M669" s="2">
        <f t="shared" si="84"/>
        <v>-587.61435560340226</v>
      </c>
      <c r="N669">
        <f t="shared" si="85"/>
        <v>317.7001244708573</v>
      </c>
      <c r="O669" t="s">
        <v>8</v>
      </c>
    </row>
    <row r="670" spans="1:15" x14ac:dyDescent="0.35">
      <c r="A670">
        <v>2001</v>
      </c>
      <c r="B670">
        <v>10</v>
      </c>
      <c r="C670">
        <v>30</v>
      </c>
      <c r="D670" s="1">
        <f t="shared" si="80"/>
        <v>37194</v>
      </c>
      <c r="E670">
        <v>1.2</v>
      </c>
      <c r="F670">
        <f t="shared" si="86"/>
        <v>0</v>
      </c>
      <c r="G670">
        <f t="shared" si="81"/>
        <v>1</v>
      </c>
      <c r="H670">
        <f t="shared" si="87"/>
        <v>0</v>
      </c>
      <c r="I670">
        <v>669</v>
      </c>
      <c r="J670">
        <f t="shared" si="82"/>
        <v>-0.87135100401364052</v>
      </c>
      <c r="K670">
        <f t="shared" si="83"/>
        <v>0.49066019586310516</v>
      </c>
      <c r="L670">
        <f>VLOOKUP(D670,[1]SOI!$A$1:$C$142,3)</f>
        <v>1.4</v>
      </c>
      <c r="M670" s="2">
        <f t="shared" si="84"/>
        <v>-582.93382168512551</v>
      </c>
      <c r="N670">
        <f t="shared" si="85"/>
        <v>328.25167103241733</v>
      </c>
      <c r="O670" t="s">
        <v>8</v>
      </c>
    </row>
    <row r="671" spans="1:15" x14ac:dyDescent="0.35">
      <c r="A671">
        <v>2001</v>
      </c>
      <c r="B671">
        <v>10</v>
      </c>
      <c r="C671">
        <v>31</v>
      </c>
      <c r="D671" s="1">
        <f t="shared" si="80"/>
        <v>37195</v>
      </c>
      <c r="E671">
        <v>4.8</v>
      </c>
      <c r="F671">
        <f t="shared" si="86"/>
        <v>1.2</v>
      </c>
      <c r="G671">
        <f t="shared" si="81"/>
        <v>1</v>
      </c>
      <c r="H671">
        <f t="shared" si="87"/>
        <v>1</v>
      </c>
      <c r="I671">
        <v>670</v>
      </c>
      <c r="J671">
        <f t="shared" si="82"/>
        <v>-0.86278195225937448</v>
      </c>
      <c r="K671">
        <f t="shared" si="83"/>
        <v>0.50557620875146259</v>
      </c>
      <c r="L671">
        <f>VLOOKUP(D671,[1]SOI!$A$1:$C$142,3)</f>
        <v>1.4</v>
      </c>
      <c r="M671" s="2">
        <f t="shared" si="84"/>
        <v>-578.06390801378086</v>
      </c>
      <c r="N671">
        <f t="shared" si="85"/>
        <v>338.73605986347991</v>
      </c>
      <c r="O671" t="s">
        <v>8</v>
      </c>
    </row>
    <row r="672" spans="1:15" x14ac:dyDescent="0.35">
      <c r="A672">
        <v>2001</v>
      </c>
      <c r="B672">
        <v>11</v>
      </c>
      <c r="C672">
        <v>1</v>
      </c>
      <c r="D672" s="1">
        <f t="shared" si="80"/>
        <v>37196</v>
      </c>
      <c r="E672">
        <v>0.2</v>
      </c>
      <c r="F672">
        <f t="shared" si="86"/>
        <v>4.8</v>
      </c>
      <c r="G672">
        <f t="shared" si="81"/>
        <v>1</v>
      </c>
      <c r="H672">
        <f t="shared" si="87"/>
        <v>1</v>
      </c>
      <c r="I672">
        <v>671</v>
      </c>
      <c r="J672">
        <f t="shared" si="82"/>
        <v>-0.85395758944460809</v>
      </c>
      <c r="K672">
        <f t="shared" si="83"/>
        <v>0.52034261350571143</v>
      </c>
      <c r="L672">
        <f>VLOOKUP(D672,[1]SOI!$A$1:$C$142,3)</f>
        <v>-1.9</v>
      </c>
      <c r="M672" s="2">
        <f t="shared" si="84"/>
        <v>-573.00554251733206</v>
      </c>
      <c r="N672">
        <f t="shared" si="85"/>
        <v>349.14989366233237</v>
      </c>
      <c r="O672" t="s">
        <v>8</v>
      </c>
    </row>
    <row r="673" spans="1:15" x14ac:dyDescent="0.35">
      <c r="A673">
        <v>2001</v>
      </c>
      <c r="B673">
        <v>11</v>
      </c>
      <c r="C673">
        <v>2</v>
      </c>
      <c r="D673" s="1">
        <f t="shared" si="80"/>
        <v>37197</v>
      </c>
      <c r="E673">
        <v>0</v>
      </c>
      <c r="F673">
        <f t="shared" si="86"/>
        <v>0.2</v>
      </c>
      <c r="G673">
        <f t="shared" si="81"/>
        <v>0</v>
      </c>
      <c r="H673">
        <f t="shared" si="87"/>
        <v>1</v>
      </c>
      <c r="I673">
        <v>672</v>
      </c>
      <c r="J673">
        <f t="shared" si="82"/>
        <v>-0.84488052684026671</v>
      </c>
      <c r="K673">
        <f t="shared" si="83"/>
        <v>0.53495504050911924</v>
      </c>
      <c r="L673">
        <f>VLOOKUP(D673,[1]SOI!$A$1:$C$142,3)</f>
        <v>-1.9</v>
      </c>
      <c r="M673" s="2">
        <f t="shared" si="84"/>
        <v>-567.75971403665926</v>
      </c>
      <c r="N673">
        <f t="shared" si="85"/>
        <v>359.48978722212814</v>
      </c>
      <c r="O673" t="s">
        <v>8</v>
      </c>
    </row>
    <row r="674" spans="1:15" x14ac:dyDescent="0.35">
      <c r="A674">
        <v>2001</v>
      </c>
      <c r="B674">
        <v>11</v>
      </c>
      <c r="C674">
        <v>3</v>
      </c>
      <c r="D674" s="1">
        <f t="shared" si="80"/>
        <v>37198</v>
      </c>
      <c r="E674">
        <v>0</v>
      </c>
      <c r="F674">
        <f t="shared" si="86"/>
        <v>0</v>
      </c>
      <c r="G674">
        <f t="shared" si="81"/>
        <v>0</v>
      </c>
      <c r="H674">
        <f t="shared" si="87"/>
        <v>0</v>
      </c>
      <c r="I674">
        <v>673</v>
      </c>
      <c r="J674">
        <f t="shared" si="82"/>
        <v>-0.83555345049521446</v>
      </c>
      <c r="K674">
        <f t="shared" si="83"/>
        <v>0.54940916570943843</v>
      </c>
      <c r="L674">
        <f>VLOOKUP(D674,[1]SOI!$A$1:$C$142,3)</f>
        <v>-1.9</v>
      </c>
      <c r="M674" s="2">
        <f t="shared" si="84"/>
        <v>-562.32747218327938</v>
      </c>
      <c r="N674">
        <f t="shared" si="85"/>
        <v>369.75236852245206</v>
      </c>
      <c r="O674" t="s">
        <v>8</v>
      </c>
    </row>
    <row r="675" spans="1:15" x14ac:dyDescent="0.35">
      <c r="A675">
        <v>2001</v>
      </c>
      <c r="B675">
        <v>11</v>
      </c>
      <c r="C675">
        <v>4</v>
      </c>
      <c r="D675" s="1">
        <f t="shared" si="80"/>
        <v>37199</v>
      </c>
      <c r="E675">
        <v>0</v>
      </c>
      <c r="F675">
        <f t="shared" si="86"/>
        <v>0</v>
      </c>
      <c r="G675">
        <f t="shared" si="81"/>
        <v>0</v>
      </c>
      <c r="H675">
        <f t="shared" si="87"/>
        <v>0</v>
      </c>
      <c r="I675">
        <v>674</v>
      </c>
      <c r="J675">
        <f t="shared" si="82"/>
        <v>-0.82597912044139832</v>
      </c>
      <c r="K675">
        <f t="shared" si="83"/>
        <v>0.5637007118984807</v>
      </c>
      <c r="L675">
        <f>VLOOKUP(D675,[1]SOI!$A$1:$C$142,3)</f>
        <v>-1.9</v>
      </c>
      <c r="M675" s="2">
        <f t="shared" si="84"/>
        <v>-556.70992717750244</v>
      </c>
      <c r="N675">
        <f t="shared" si="85"/>
        <v>379.93427981957598</v>
      </c>
      <c r="O675" t="s">
        <v>8</v>
      </c>
    </row>
    <row r="676" spans="1:15" x14ac:dyDescent="0.35">
      <c r="A676">
        <v>2001</v>
      </c>
      <c r="B676">
        <v>11</v>
      </c>
      <c r="C676">
        <v>5</v>
      </c>
      <c r="D676" s="1">
        <f t="shared" si="80"/>
        <v>37200</v>
      </c>
      <c r="E676">
        <v>0</v>
      </c>
      <c r="F676">
        <f t="shared" si="86"/>
        <v>0</v>
      </c>
      <c r="G676">
        <f t="shared" si="81"/>
        <v>0</v>
      </c>
      <c r="H676">
        <f t="shared" si="87"/>
        <v>0</v>
      </c>
      <c r="I676">
        <v>675</v>
      </c>
      <c r="J676">
        <f t="shared" si="82"/>
        <v>-0.81616036987711638</v>
      </c>
      <c r="K676">
        <f t="shared" si="83"/>
        <v>0.57782544997780128</v>
      </c>
      <c r="L676">
        <f>VLOOKUP(D676,[1]SOI!$A$1:$C$142,3)</f>
        <v>-1.9</v>
      </c>
      <c r="M676" s="2">
        <f t="shared" si="84"/>
        <v>-550.90824966705361</v>
      </c>
      <c r="N676">
        <f t="shared" si="85"/>
        <v>390.03217873501586</v>
      </c>
      <c r="O676" t="s">
        <v>8</v>
      </c>
    </row>
    <row r="677" spans="1:15" x14ac:dyDescent="0.35">
      <c r="A677">
        <v>2001</v>
      </c>
      <c r="B677">
        <v>11</v>
      </c>
      <c r="C677">
        <v>6</v>
      </c>
      <c r="D677" s="1">
        <f t="shared" si="80"/>
        <v>37201</v>
      </c>
      <c r="E677">
        <v>7</v>
      </c>
      <c r="F677">
        <f t="shared" si="86"/>
        <v>0</v>
      </c>
      <c r="G677">
        <f t="shared" si="81"/>
        <v>1</v>
      </c>
      <c r="H677">
        <f t="shared" si="87"/>
        <v>0</v>
      </c>
      <c r="I677">
        <v>676</v>
      </c>
      <c r="J677">
        <f t="shared" si="82"/>
        <v>-0.80610010432863111</v>
      </c>
      <c r="K677">
        <f t="shared" si="83"/>
        <v>0.5917792002101544</v>
      </c>
      <c r="L677">
        <f>VLOOKUP(D677,[1]SOI!$A$1:$C$142,3)</f>
        <v>-1.9</v>
      </c>
      <c r="M677" s="2">
        <f t="shared" si="84"/>
        <v>-544.92367052615464</v>
      </c>
      <c r="N677">
        <f t="shared" si="85"/>
        <v>400.04273934206435</v>
      </c>
      <c r="O677" t="s">
        <v>8</v>
      </c>
    </row>
    <row r="678" spans="1:15" x14ac:dyDescent="0.35">
      <c r="A678">
        <v>2001</v>
      </c>
      <c r="B678">
        <v>11</v>
      </c>
      <c r="C678">
        <v>7</v>
      </c>
      <c r="D678" s="1">
        <f t="shared" si="80"/>
        <v>37202</v>
      </c>
      <c r="E678">
        <v>3.2</v>
      </c>
      <c r="F678">
        <f t="shared" si="86"/>
        <v>7</v>
      </c>
      <c r="G678">
        <f t="shared" si="81"/>
        <v>1</v>
      </c>
      <c r="H678">
        <f t="shared" si="87"/>
        <v>1</v>
      </c>
      <c r="I678">
        <v>677</v>
      </c>
      <c r="J678">
        <f t="shared" si="82"/>
        <v>-0.79580130079037148</v>
      </c>
      <c r="K678">
        <f t="shared" si="83"/>
        <v>0.6055578334563535</v>
      </c>
      <c r="L678">
        <f>VLOOKUP(D678,[1]SOI!$A$1:$C$142,3)</f>
        <v>-1.9</v>
      </c>
      <c r="M678" s="2">
        <f t="shared" si="84"/>
        <v>-538.75748063508149</v>
      </c>
      <c r="N678">
        <f t="shared" si="85"/>
        <v>409.9626532499513</v>
      </c>
      <c r="O678" t="s">
        <v>8</v>
      </c>
    </row>
    <row r="679" spans="1:15" x14ac:dyDescent="0.35">
      <c r="A679">
        <v>2001</v>
      </c>
      <c r="B679">
        <v>11</v>
      </c>
      <c r="C679">
        <v>8</v>
      </c>
      <c r="D679" s="1">
        <f t="shared" si="80"/>
        <v>37203</v>
      </c>
      <c r="E679">
        <v>1.4</v>
      </c>
      <c r="F679">
        <f t="shared" si="86"/>
        <v>3.2</v>
      </c>
      <c r="G679">
        <f t="shared" si="81"/>
        <v>1</v>
      </c>
      <c r="H679">
        <f t="shared" si="87"/>
        <v>1</v>
      </c>
      <c r="I679">
        <v>678</v>
      </c>
      <c r="J679">
        <f t="shared" si="82"/>
        <v>-0.78526700684399608</v>
      </c>
      <c r="K679">
        <f t="shared" si="83"/>
        <v>0.61915727239714413</v>
      </c>
      <c r="L679">
        <f>VLOOKUP(D679,[1]SOI!$A$1:$C$142,3)</f>
        <v>-1.9</v>
      </c>
      <c r="M679" s="2">
        <f t="shared" si="84"/>
        <v>-532.41103064022934</v>
      </c>
      <c r="N679">
        <f t="shared" si="85"/>
        <v>419.78863068526374</v>
      </c>
      <c r="O679" t="s">
        <v>8</v>
      </c>
    </row>
    <row r="680" spans="1:15" x14ac:dyDescent="0.35">
      <c r="A680">
        <v>2001</v>
      </c>
      <c r="B680">
        <v>11</v>
      </c>
      <c r="C680">
        <v>9</v>
      </c>
      <c r="D680" s="1">
        <f t="shared" si="80"/>
        <v>37204</v>
      </c>
      <c r="E680">
        <v>0.2</v>
      </c>
      <c r="F680">
        <f t="shared" si="86"/>
        <v>1.4</v>
      </c>
      <c r="G680">
        <f t="shared" si="81"/>
        <v>1</v>
      </c>
      <c r="H680">
        <f t="shared" si="87"/>
        <v>1</v>
      </c>
      <c r="I680">
        <v>679</v>
      </c>
      <c r="J680">
        <f t="shared" si="82"/>
        <v>-0.77450033975656318</v>
      </c>
      <c r="K680">
        <f t="shared" si="83"/>
        <v>0.63257349273975128</v>
      </c>
      <c r="L680">
        <f>VLOOKUP(D680,[1]SOI!$A$1:$C$142,3)</f>
        <v>-1.9</v>
      </c>
      <c r="M680" s="2">
        <f t="shared" si="84"/>
        <v>-525.88573069470635</v>
      </c>
      <c r="N680">
        <f t="shared" si="85"/>
        <v>429.5174015702911</v>
      </c>
      <c r="O680" t="s">
        <v>8</v>
      </c>
    </row>
    <row r="681" spans="1:15" x14ac:dyDescent="0.35">
      <c r="A681">
        <v>2001</v>
      </c>
      <c r="B681">
        <v>11</v>
      </c>
      <c r="C681">
        <v>10</v>
      </c>
      <c r="D681" s="1">
        <f t="shared" si="80"/>
        <v>37205</v>
      </c>
      <c r="E681">
        <v>0</v>
      </c>
      <c r="F681">
        <f t="shared" si="86"/>
        <v>0.2</v>
      </c>
      <c r="G681">
        <f t="shared" si="81"/>
        <v>0</v>
      </c>
      <c r="H681">
        <f t="shared" si="87"/>
        <v>1</v>
      </c>
      <c r="I681">
        <v>680</v>
      </c>
      <c r="J681">
        <f t="shared" si="82"/>
        <v>-0.76350448555808514</v>
      </c>
      <c r="K681">
        <f t="shared" si="83"/>
        <v>0.64580252440872643</v>
      </c>
      <c r="L681">
        <f>VLOOKUP(D681,[1]SOI!$A$1:$C$142,3)</f>
        <v>-1.9</v>
      </c>
      <c r="M681" s="2">
        <f t="shared" si="84"/>
        <v>-519.18305017949785</v>
      </c>
      <c r="N681">
        <f t="shared" si="85"/>
        <v>439.14571659793398</v>
      </c>
      <c r="O681" t="s">
        <v>8</v>
      </c>
    </row>
    <row r="682" spans="1:15" x14ac:dyDescent="0.35">
      <c r="A682">
        <v>2001</v>
      </c>
      <c r="B682">
        <v>11</v>
      </c>
      <c r="C682">
        <v>11</v>
      </c>
      <c r="D682" s="1">
        <f t="shared" si="80"/>
        <v>37206</v>
      </c>
      <c r="E682">
        <v>4.4000000000000004</v>
      </c>
      <c r="F682">
        <f t="shared" si="86"/>
        <v>0</v>
      </c>
      <c r="G682">
        <f t="shared" si="81"/>
        <v>1</v>
      </c>
      <c r="H682">
        <f t="shared" si="87"/>
        <v>0</v>
      </c>
      <c r="I682">
        <v>681</v>
      </c>
      <c r="J682">
        <f t="shared" si="82"/>
        <v>-0.7522826980987245</v>
      </c>
      <c r="K682">
        <f t="shared" si="83"/>
        <v>0.65884045272076552</v>
      </c>
      <c r="L682">
        <f>VLOOKUP(D682,[1]SOI!$A$1:$C$142,3)</f>
        <v>-1.9</v>
      </c>
      <c r="M682" s="2">
        <f t="shared" si="84"/>
        <v>-512.30451740523142</v>
      </c>
      <c r="N682">
        <f t="shared" si="85"/>
        <v>448.67034830284132</v>
      </c>
      <c r="O682" t="s">
        <v>8</v>
      </c>
    </row>
    <row r="683" spans="1:15" x14ac:dyDescent="0.35">
      <c r="A683">
        <v>2001</v>
      </c>
      <c r="B683">
        <v>11</v>
      </c>
      <c r="C683">
        <v>12</v>
      </c>
      <c r="D683" s="1">
        <f t="shared" si="80"/>
        <v>37207</v>
      </c>
      <c r="E683">
        <v>22</v>
      </c>
      <c r="F683">
        <f t="shared" si="86"/>
        <v>4.4000000000000004</v>
      </c>
      <c r="G683">
        <f t="shared" si="81"/>
        <v>1</v>
      </c>
      <c r="H683">
        <f t="shared" si="87"/>
        <v>1</v>
      </c>
      <c r="I683">
        <v>682</v>
      </c>
      <c r="J683">
        <f t="shared" si="82"/>
        <v>-0.74083829808593171</v>
      </c>
      <c r="K683">
        <f t="shared" si="83"/>
        <v>0.67168341954312094</v>
      </c>
      <c r="L683">
        <f>VLOOKUP(D683,[1]SOI!$A$1:$C$142,3)</f>
        <v>-1.9</v>
      </c>
      <c r="M683" s="2">
        <f t="shared" si="84"/>
        <v>-505.25171929460544</v>
      </c>
      <c r="N683">
        <f t="shared" si="85"/>
        <v>458.0880921284085</v>
      </c>
      <c r="O683" t="s">
        <v>8</v>
      </c>
    </row>
    <row r="684" spans="1:15" x14ac:dyDescent="0.35">
      <c r="A684">
        <v>2001</v>
      </c>
      <c r="B684">
        <v>11</v>
      </c>
      <c r="C684">
        <v>13</v>
      </c>
      <c r="D684" s="1">
        <f t="shared" si="80"/>
        <v>37208</v>
      </c>
      <c r="E684">
        <v>14.4</v>
      </c>
      <c r="F684">
        <f t="shared" si="86"/>
        <v>22</v>
      </c>
      <c r="G684">
        <f t="shared" si="81"/>
        <v>1</v>
      </c>
      <c r="H684">
        <f t="shared" si="87"/>
        <v>1</v>
      </c>
      <c r="I684">
        <v>683</v>
      </c>
      <c r="J684">
        <f t="shared" si="82"/>
        <v>-0.72917467210179199</v>
      </c>
      <c r="K684">
        <f t="shared" si="83"/>
        <v>0.68432762443528772</v>
      </c>
      <c r="L684">
        <f>VLOOKUP(D684,[1]SOI!$A$1:$C$142,3)</f>
        <v>-1.9</v>
      </c>
      <c r="M684" s="2">
        <f t="shared" si="84"/>
        <v>-498.02630104552395</v>
      </c>
      <c r="N684">
        <f t="shared" si="85"/>
        <v>467.39576748930153</v>
      </c>
      <c r="O684" t="s">
        <v>8</v>
      </c>
    </row>
    <row r="685" spans="1:15" x14ac:dyDescent="0.35">
      <c r="A685">
        <v>2001</v>
      </c>
      <c r="B685">
        <v>11</v>
      </c>
      <c r="C685">
        <v>14</v>
      </c>
      <c r="D685" s="1">
        <f t="shared" si="80"/>
        <v>37209</v>
      </c>
      <c r="E685">
        <v>0</v>
      </c>
      <c r="F685">
        <f t="shared" si="86"/>
        <v>14.4</v>
      </c>
      <c r="G685">
        <f t="shared" si="81"/>
        <v>0</v>
      </c>
      <c r="H685">
        <f t="shared" si="87"/>
        <v>1</v>
      </c>
      <c r="I685">
        <v>684</v>
      </c>
      <c r="J685">
        <f t="shared" si="82"/>
        <v>-0.71729527160088602</v>
      </c>
      <c r="K685">
        <f t="shared" si="83"/>
        <v>0.69676932577361006</v>
      </c>
      <c r="L685">
        <f>VLOOKUP(D685,[1]SOI!$A$1:$C$142,3)</f>
        <v>-1.9</v>
      </c>
      <c r="M685" s="2">
        <f t="shared" si="84"/>
        <v>-490.62996577500604</v>
      </c>
      <c r="N685">
        <f t="shared" si="85"/>
        <v>476.59021882914931</v>
      </c>
      <c r="O685" t="s">
        <v>8</v>
      </c>
    </row>
    <row r="686" spans="1:15" x14ac:dyDescent="0.35">
      <c r="A686">
        <v>2001</v>
      </c>
      <c r="B686">
        <v>11</v>
      </c>
      <c r="C686">
        <v>15</v>
      </c>
      <c r="D686" s="1">
        <f t="shared" si="80"/>
        <v>37210</v>
      </c>
      <c r="E686">
        <v>0</v>
      </c>
      <c r="F686">
        <f t="shared" si="86"/>
        <v>0</v>
      </c>
      <c r="G686">
        <f t="shared" si="81"/>
        <v>0</v>
      </c>
      <c r="H686">
        <f t="shared" si="87"/>
        <v>0</v>
      </c>
      <c r="I686">
        <v>685</v>
      </c>
      <c r="J686">
        <f t="shared" si="82"/>
        <v>-0.70520361188894221</v>
      </c>
      <c r="K686">
        <f t="shared" si="83"/>
        <v>0.70900484185849544</v>
      </c>
      <c r="L686">
        <f>VLOOKUP(D686,[1]SOI!$A$1:$C$142,3)</f>
        <v>-1.9</v>
      </c>
      <c r="M686" s="2">
        <f t="shared" si="84"/>
        <v>-483.06447414392539</v>
      </c>
      <c r="N686">
        <f t="shared" si="85"/>
        <v>485.6683166730694</v>
      </c>
      <c r="O686" t="s">
        <v>8</v>
      </c>
    </row>
    <row r="687" spans="1:15" x14ac:dyDescent="0.35">
      <c r="A687">
        <v>2001</v>
      </c>
      <c r="B687">
        <v>11</v>
      </c>
      <c r="C687">
        <v>16</v>
      </c>
      <c r="D687" s="1">
        <f t="shared" si="80"/>
        <v>37211</v>
      </c>
      <c r="E687">
        <v>0</v>
      </c>
      <c r="F687">
        <f t="shared" si="86"/>
        <v>0</v>
      </c>
      <c r="G687">
        <f t="shared" si="81"/>
        <v>0</v>
      </c>
      <c r="H687">
        <f t="shared" si="87"/>
        <v>0</v>
      </c>
      <c r="I687">
        <v>686</v>
      </c>
      <c r="J687">
        <f t="shared" si="82"/>
        <v>-0.69290327108260286</v>
      </c>
      <c r="K687">
        <f t="shared" si="83"/>
        <v>0.72103055200388633</v>
      </c>
      <c r="L687">
        <f>VLOOKUP(D687,[1]SOI!$A$1:$C$142,3)</f>
        <v>-1.9</v>
      </c>
      <c r="M687" s="2">
        <f t="shared" si="84"/>
        <v>-475.33164396266557</v>
      </c>
      <c r="N687">
        <f t="shared" si="85"/>
        <v>494.62695867466601</v>
      </c>
      <c r="O687" t="s">
        <v>8</v>
      </c>
    </row>
    <row r="688" spans="1:15" x14ac:dyDescent="0.35">
      <c r="A688">
        <v>2001</v>
      </c>
      <c r="B688">
        <v>11</v>
      </c>
      <c r="C688">
        <v>17</v>
      </c>
      <c r="D688" s="1">
        <f t="shared" si="80"/>
        <v>37212</v>
      </c>
      <c r="E688">
        <v>0</v>
      </c>
      <c r="F688">
        <f t="shared" si="86"/>
        <v>0</v>
      </c>
      <c r="G688">
        <f t="shared" si="81"/>
        <v>0</v>
      </c>
      <c r="H688">
        <f t="shared" si="87"/>
        <v>0</v>
      </c>
      <c r="I688">
        <v>687</v>
      </c>
      <c r="J688">
        <f t="shared" si="82"/>
        <v>-0.68039788905061094</v>
      </c>
      <c r="K688">
        <f t="shared" si="83"/>
        <v>0.73284289760867072</v>
      </c>
      <c r="L688">
        <f>VLOOKUP(D688,[1]SOI!$A$1:$C$142,3)</f>
        <v>-1.9</v>
      </c>
      <c r="M688" s="2">
        <f t="shared" si="84"/>
        <v>-467.43334977776971</v>
      </c>
      <c r="N688">
        <f t="shared" si="85"/>
        <v>503.46307065715678</v>
      </c>
      <c r="O688" t="s">
        <v>8</v>
      </c>
    </row>
    <row r="689" spans="1:15" x14ac:dyDescent="0.35">
      <c r="A689">
        <v>2001</v>
      </c>
      <c r="B689">
        <v>11</v>
      </c>
      <c r="C689">
        <v>18</v>
      </c>
      <c r="D689" s="1">
        <f t="shared" si="80"/>
        <v>37213</v>
      </c>
      <c r="E689">
        <v>7.2</v>
      </c>
      <c r="F689">
        <f t="shared" si="86"/>
        <v>0</v>
      </c>
      <c r="G689">
        <f t="shared" si="81"/>
        <v>1</v>
      </c>
      <c r="H689">
        <f t="shared" si="87"/>
        <v>0</v>
      </c>
      <c r="I689">
        <v>688</v>
      </c>
      <c r="J689">
        <f t="shared" si="82"/>
        <v>-0.66769116633669945</v>
      </c>
      <c r="K689">
        <f t="shared" si="83"/>
        <v>0.7444383832097442</v>
      </c>
      <c r="L689">
        <f>VLOOKUP(D689,[1]SOI!$A$1:$C$142,3)</f>
        <v>-1.9</v>
      </c>
      <c r="M689" s="2">
        <f t="shared" si="84"/>
        <v>-459.3715224396492</v>
      </c>
      <c r="N689">
        <f t="shared" si="85"/>
        <v>512.17360764830403</v>
      </c>
      <c r="O689" t="s">
        <v>8</v>
      </c>
    </row>
    <row r="690" spans="1:15" x14ac:dyDescent="0.35">
      <c r="A690">
        <v>2001</v>
      </c>
      <c r="B690">
        <v>11</v>
      </c>
      <c r="C690">
        <v>19</v>
      </c>
      <c r="D690" s="1">
        <f t="shared" si="80"/>
        <v>37214</v>
      </c>
      <c r="E690">
        <v>5</v>
      </c>
      <c r="F690">
        <f t="shared" si="86"/>
        <v>7.2</v>
      </c>
      <c r="G690">
        <f t="shared" si="81"/>
        <v>1</v>
      </c>
      <c r="H690">
        <f t="shared" si="87"/>
        <v>1</v>
      </c>
      <c r="I690">
        <v>689</v>
      </c>
      <c r="J690">
        <f t="shared" si="82"/>
        <v>-0.65478686306455114</v>
      </c>
      <c r="K690">
        <f t="shared" si="83"/>
        <v>0.75581357751636402</v>
      </c>
      <c r="L690">
        <f>VLOOKUP(D690,[1]SOI!$A$1:$C$142,3)</f>
        <v>-1.9</v>
      </c>
      <c r="M690" s="2">
        <f t="shared" si="84"/>
        <v>-451.14814865147571</v>
      </c>
      <c r="N690">
        <f t="shared" si="85"/>
        <v>520.7555549087748</v>
      </c>
      <c r="O690" t="s">
        <v>8</v>
      </c>
    </row>
    <row r="691" spans="1:15" x14ac:dyDescent="0.35">
      <c r="A691">
        <v>2001</v>
      </c>
      <c r="B691">
        <v>11</v>
      </c>
      <c r="C691">
        <v>20</v>
      </c>
      <c r="D691" s="1">
        <f t="shared" si="80"/>
        <v>37215</v>
      </c>
      <c r="E691">
        <v>0</v>
      </c>
      <c r="F691">
        <f t="shared" si="86"/>
        <v>5</v>
      </c>
      <c r="G691">
        <f t="shared" si="81"/>
        <v>0</v>
      </c>
      <c r="H691">
        <f t="shared" si="87"/>
        <v>1</v>
      </c>
      <c r="I691">
        <v>690</v>
      </c>
      <c r="J691">
        <f t="shared" si="82"/>
        <v>-0.64168879782511301</v>
      </c>
      <c r="K691">
        <f t="shared" si="83"/>
        <v>0.76696511442552662</v>
      </c>
      <c r="L691">
        <f>VLOOKUP(D691,[1]SOI!$A$1:$C$142,3)</f>
        <v>-1.9</v>
      </c>
      <c r="M691" s="2">
        <f t="shared" si="84"/>
        <v>-442.76527049932798</v>
      </c>
      <c r="N691">
        <f t="shared" si="85"/>
        <v>529.20592895361335</v>
      </c>
      <c r="O691" t="s">
        <v>8</v>
      </c>
    </row>
    <row r="692" spans="1:15" x14ac:dyDescent="0.35">
      <c r="A692">
        <v>2001</v>
      </c>
      <c r="B692">
        <v>11</v>
      </c>
      <c r="C692">
        <v>21</v>
      </c>
      <c r="D692" s="1">
        <f t="shared" si="80"/>
        <v>37216</v>
      </c>
      <c r="E692">
        <v>0</v>
      </c>
      <c r="F692">
        <f t="shared" si="86"/>
        <v>0</v>
      </c>
      <c r="G692">
        <f t="shared" si="81"/>
        <v>0</v>
      </c>
      <c r="H692">
        <f t="shared" si="87"/>
        <v>0</v>
      </c>
      <c r="I692">
        <v>691</v>
      </c>
      <c r="J692">
        <f t="shared" si="82"/>
        <v>-0.62840084654661976</v>
      </c>
      <c r="K692">
        <f t="shared" si="83"/>
        <v>0.77788969401804753</v>
      </c>
      <c r="L692">
        <f>VLOOKUP(D692,[1]SOI!$A$1:$C$142,3)</f>
        <v>-1.9</v>
      </c>
      <c r="M692" s="2">
        <f t="shared" si="84"/>
        <v>-434.22498496371423</v>
      </c>
      <c r="N692">
        <f t="shared" si="85"/>
        <v>537.52177856647086</v>
      </c>
      <c r="O692" t="s">
        <v>8</v>
      </c>
    </row>
    <row r="693" spans="1:15" x14ac:dyDescent="0.35">
      <c r="A693">
        <v>2001</v>
      </c>
      <c r="B693">
        <v>11</v>
      </c>
      <c r="C693">
        <v>22</v>
      </c>
      <c r="D693" s="1">
        <f t="shared" si="80"/>
        <v>37217</v>
      </c>
      <c r="E693">
        <v>0</v>
      </c>
      <c r="F693">
        <f t="shared" si="86"/>
        <v>0</v>
      </c>
      <c r="G693">
        <f t="shared" si="81"/>
        <v>0</v>
      </c>
      <c r="H693">
        <f t="shared" si="87"/>
        <v>0</v>
      </c>
      <c r="I693">
        <v>692</v>
      </c>
      <c r="J693">
        <f t="shared" si="82"/>
        <v>-0.61492694134763592</v>
      </c>
      <c r="K693">
        <f t="shared" si="83"/>
        <v>0.7885840835350667</v>
      </c>
      <c r="L693">
        <f>VLOOKUP(D693,[1]SOI!$A$1:$C$142,3)</f>
        <v>-1.9</v>
      </c>
      <c r="M693" s="2">
        <f t="shared" si="84"/>
        <v>-425.52944341256404</v>
      </c>
      <c r="N693">
        <f t="shared" si="85"/>
        <v>545.70018580626618</v>
      </c>
      <c r="O693" t="s">
        <v>8</v>
      </c>
    </row>
    <row r="694" spans="1:15" x14ac:dyDescent="0.35">
      <c r="A694">
        <v>2001</v>
      </c>
      <c r="B694">
        <v>11</v>
      </c>
      <c r="C694">
        <v>23</v>
      </c>
      <c r="D694" s="1">
        <f t="shared" si="80"/>
        <v>37218</v>
      </c>
      <c r="E694">
        <v>0</v>
      </c>
      <c r="F694">
        <f t="shared" si="86"/>
        <v>0</v>
      </c>
      <c r="G694">
        <f t="shared" si="81"/>
        <v>0</v>
      </c>
      <c r="H694">
        <f t="shared" si="87"/>
        <v>0</v>
      </c>
      <c r="I694">
        <v>693</v>
      </c>
      <c r="J694">
        <f t="shared" si="82"/>
        <v>-0.60127106937348418</v>
      </c>
      <c r="K694">
        <f t="shared" si="83"/>
        <v>0.79904511833467007</v>
      </c>
      <c r="L694">
        <f>VLOOKUP(D694,[1]SOI!$A$1:$C$142,3)</f>
        <v>-1.9</v>
      </c>
      <c r="M694" s="2">
        <f t="shared" si="84"/>
        <v>-416.68085107582453</v>
      </c>
      <c r="N694">
        <f t="shared" si="85"/>
        <v>553.73826700592633</v>
      </c>
      <c r="O694" t="s">
        <v>8</v>
      </c>
    </row>
    <row r="695" spans="1:15" x14ac:dyDescent="0.35">
      <c r="A695">
        <v>2001</v>
      </c>
      <c r="B695">
        <v>11</v>
      </c>
      <c r="C695">
        <v>24</v>
      </c>
      <c r="D695" s="1">
        <f t="shared" si="80"/>
        <v>37219</v>
      </c>
      <c r="E695">
        <v>4.8</v>
      </c>
      <c r="F695">
        <f t="shared" si="86"/>
        <v>0</v>
      </c>
      <c r="G695">
        <f t="shared" si="81"/>
        <v>1</v>
      </c>
      <c r="H695">
        <f t="shared" si="87"/>
        <v>0</v>
      </c>
      <c r="I695">
        <v>694</v>
      </c>
      <c r="J695">
        <f t="shared" si="82"/>
        <v>-0.58743727161638204</v>
      </c>
      <c r="K695">
        <f t="shared" si="83"/>
        <v>0.80926970282835931</v>
      </c>
      <c r="L695">
        <f>VLOOKUP(D695,[1]SOI!$A$1:$C$142,3)</f>
        <v>-1.9</v>
      </c>
      <c r="M695" s="2">
        <f t="shared" si="84"/>
        <v>-407.68146650176914</v>
      </c>
      <c r="N695">
        <f t="shared" si="85"/>
        <v>561.63317376288137</v>
      </c>
      <c r="O695" t="s">
        <v>8</v>
      </c>
    </row>
    <row r="696" spans="1:15" x14ac:dyDescent="0.35">
      <c r="A696">
        <v>2001</v>
      </c>
      <c r="B696">
        <v>11</v>
      </c>
      <c r="C696">
        <v>25</v>
      </c>
      <c r="D696" s="1">
        <f t="shared" si="80"/>
        <v>37220</v>
      </c>
      <c r="E696">
        <v>1.8</v>
      </c>
      <c r="F696">
        <f t="shared" si="86"/>
        <v>4.8</v>
      </c>
      <c r="G696">
        <f t="shared" si="81"/>
        <v>1</v>
      </c>
      <c r="H696">
        <f t="shared" si="87"/>
        <v>1</v>
      </c>
      <c r="I696">
        <v>695</v>
      </c>
      <c r="J696">
        <f t="shared" si="82"/>
        <v>-0.57342964171965316</v>
      </c>
      <c r="K696">
        <f t="shared" si="83"/>
        <v>0.81925481139708312</v>
      </c>
      <c r="L696">
        <f>VLOOKUP(D696,[1]SOI!$A$1:$C$142,3)</f>
        <v>-1.9</v>
      </c>
      <c r="M696" s="2">
        <f t="shared" si="84"/>
        <v>-398.53360099515896</v>
      </c>
      <c r="N696">
        <f t="shared" si="85"/>
        <v>569.38209392097281</v>
      </c>
      <c r="O696" t="s">
        <v>8</v>
      </c>
    </row>
    <row r="697" spans="1:15" x14ac:dyDescent="0.35">
      <c r="A697">
        <v>2001</v>
      </c>
      <c r="B697">
        <v>11</v>
      </c>
      <c r="C697">
        <v>26</v>
      </c>
      <c r="D697" s="1">
        <f t="shared" si="80"/>
        <v>37221</v>
      </c>
      <c r="E697">
        <v>0.4</v>
      </c>
      <c r="F697">
        <f t="shared" si="86"/>
        <v>1.8</v>
      </c>
      <c r="G697">
        <f t="shared" si="81"/>
        <v>1</v>
      </c>
      <c r="H697">
        <f t="shared" si="87"/>
        <v>1</v>
      </c>
      <c r="I697">
        <v>696</v>
      </c>
      <c r="J697">
        <f t="shared" si="82"/>
        <v>-0.55925232476634357</v>
      </c>
      <c r="K697">
        <f t="shared" si="83"/>
        <v>0.82899748928657202</v>
      </c>
      <c r="L697">
        <f>VLOOKUP(D697,[1]SOI!$A$1:$C$142,3)</f>
        <v>-1.9</v>
      </c>
      <c r="M697" s="2">
        <f t="shared" si="84"/>
        <v>-389.23961803737512</v>
      </c>
      <c r="N697">
        <f t="shared" si="85"/>
        <v>576.98225254345414</v>
      </c>
      <c r="O697" t="s">
        <v>8</v>
      </c>
    </row>
    <row r="698" spans="1:15" x14ac:dyDescent="0.35">
      <c r="A698">
        <v>2001</v>
      </c>
      <c r="B698">
        <v>11</v>
      </c>
      <c r="C698">
        <v>27</v>
      </c>
      <c r="D698" s="1">
        <f t="shared" si="80"/>
        <v>37222</v>
      </c>
      <c r="E698">
        <v>2.2000000000000002</v>
      </c>
      <c r="F698">
        <f t="shared" si="86"/>
        <v>0.4</v>
      </c>
      <c r="G698">
        <f t="shared" si="81"/>
        <v>1</v>
      </c>
      <c r="H698">
        <f t="shared" si="87"/>
        <v>1</v>
      </c>
      <c r="I698">
        <v>697</v>
      </c>
      <c r="J698">
        <f t="shared" si="82"/>
        <v>-0.54490951605262805</v>
      </c>
      <c r="K698">
        <f t="shared" si="83"/>
        <v>0.83849485348169595</v>
      </c>
      <c r="L698">
        <f>VLOOKUP(D698,[1]SOI!$A$1:$C$142,3)</f>
        <v>-1.9</v>
      </c>
      <c r="M698" s="2">
        <f t="shared" si="84"/>
        <v>-379.80193268868175</v>
      </c>
      <c r="N698">
        <f t="shared" si="85"/>
        <v>584.43091287674213</v>
      </c>
      <c r="O698" t="s">
        <v>8</v>
      </c>
    </row>
    <row r="699" spans="1:15" x14ac:dyDescent="0.35">
      <c r="A699">
        <v>2001</v>
      </c>
      <c r="B699">
        <v>11</v>
      </c>
      <c r="C699">
        <v>28</v>
      </c>
      <c r="D699" s="1">
        <f t="shared" si="80"/>
        <v>37223</v>
      </c>
      <c r="E699">
        <v>0</v>
      </c>
      <c r="F699">
        <f t="shared" si="86"/>
        <v>2.2000000000000002</v>
      </c>
      <c r="G699">
        <f t="shared" si="81"/>
        <v>0</v>
      </c>
      <c r="H699">
        <f t="shared" si="87"/>
        <v>1</v>
      </c>
      <c r="I699">
        <v>698</v>
      </c>
      <c r="J699">
        <f t="shared" si="82"/>
        <v>-0.53040545984636589</v>
      </c>
      <c r="K699">
        <f t="shared" si="83"/>
        <v>0.84774409355958669</v>
      </c>
      <c r="L699">
        <f>VLOOKUP(D699,[1]SOI!$A$1:$C$142,3)</f>
        <v>-1.9</v>
      </c>
      <c r="M699" s="2">
        <f t="shared" si="84"/>
        <v>-370.2230109727634</v>
      </c>
      <c r="N699">
        <f t="shared" si="85"/>
        <v>591.72537730459146</v>
      </c>
      <c r="O699" t="s">
        <v>8</v>
      </c>
    </row>
    <row r="700" spans="1:15" x14ac:dyDescent="0.35">
      <c r="A700">
        <v>2001</v>
      </c>
      <c r="B700">
        <v>11</v>
      </c>
      <c r="C700">
        <v>29</v>
      </c>
      <c r="D700" s="1">
        <f t="shared" si="80"/>
        <v>37224</v>
      </c>
      <c r="E700">
        <v>0</v>
      </c>
      <c r="F700">
        <f t="shared" si="86"/>
        <v>0</v>
      </c>
      <c r="G700">
        <f t="shared" si="81"/>
        <v>0</v>
      </c>
      <c r="H700">
        <f t="shared" si="87"/>
        <v>0</v>
      </c>
      <c r="I700">
        <v>699</v>
      </c>
      <c r="J700">
        <f t="shared" si="82"/>
        <v>-0.5157444481311303</v>
      </c>
      <c r="K700">
        <f t="shared" si="83"/>
        <v>0.85674247252130309</v>
      </c>
      <c r="L700">
        <f>VLOOKUP(D700,[1]SOI!$A$1:$C$142,3)</f>
        <v>-1.9</v>
      </c>
      <c r="M700" s="2">
        <f t="shared" si="84"/>
        <v>-360.50536924366008</v>
      </c>
      <c r="N700">
        <f t="shared" si="85"/>
        <v>598.86298829239081</v>
      </c>
      <c r="O700" t="s">
        <v>8</v>
      </c>
    </row>
    <row r="701" spans="1:15" x14ac:dyDescent="0.35">
      <c r="A701">
        <v>2001</v>
      </c>
      <c r="B701">
        <v>11</v>
      </c>
      <c r="C701">
        <v>30</v>
      </c>
      <c r="D701" s="1">
        <f t="shared" si="80"/>
        <v>37225</v>
      </c>
      <c r="E701">
        <v>0.6</v>
      </c>
      <c r="F701">
        <f t="shared" si="86"/>
        <v>0</v>
      </c>
      <c r="G701">
        <f t="shared" si="81"/>
        <v>1</v>
      </c>
      <c r="H701">
        <f t="shared" si="87"/>
        <v>0</v>
      </c>
      <c r="I701">
        <v>700</v>
      </c>
      <c r="J701">
        <f t="shared" si="82"/>
        <v>-0.50093081933616257</v>
      </c>
      <c r="K701">
        <f t="shared" si="83"/>
        <v>0.86548732760173963</v>
      </c>
      <c r="L701">
        <f>VLOOKUP(D701,[1]SOI!$A$1:$C$142,3)</f>
        <v>-1.9</v>
      </c>
      <c r="M701" s="2">
        <f t="shared" si="84"/>
        <v>-350.65157353531379</v>
      </c>
      <c r="N701">
        <f t="shared" si="85"/>
        <v>605.84112932121775</v>
      </c>
      <c r="O701" t="s">
        <v>8</v>
      </c>
    </row>
    <row r="702" spans="1:15" x14ac:dyDescent="0.35">
      <c r="A702">
        <v>2001</v>
      </c>
      <c r="B702">
        <v>12</v>
      </c>
      <c r="C702">
        <v>1</v>
      </c>
      <c r="D702" s="1">
        <f t="shared" si="80"/>
        <v>37226</v>
      </c>
      <c r="E702">
        <v>0.6</v>
      </c>
      <c r="F702">
        <f t="shared" si="86"/>
        <v>0.6</v>
      </c>
      <c r="G702">
        <f t="shared" si="81"/>
        <v>1</v>
      </c>
      <c r="H702">
        <f t="shared" si="87"/>
        <v>1</v>
      </c>
      <c r="I702">
        <v>701</v>
      </c>
      <c r="J702">
        <f t="shared" si="82"/>
        <v>-0.48596895705254817</v>
      </c>
      <c r="K702">
        <f t="shared" si="83"/>
        <v>0.87397607105758823</v>
      </c>
      <c r="L702">
        <f>VLOOKUP(D702,[1]SOI!$A$1:$C$142,3)</f>
        <v>7.2</v>
      </c>
      <c r="M702" s="2">
        <f t="shared" si="84"/>
        <v>-340.66423889383628</v>
      </c>
      <c r="N702">
        <f t="shared" si="85"/>
        <v>612.65722581136936</v>
      </c>
      <c r="O702" t="s">
        <v>8</v>
      </c>
    </row>
    <row r="703" spans="1:15" x14ac:dyDescent="0.35">
      <c r="A703">
        <v>2001</v>
      </c>
      <c r="B703">
        <v>12</v>
      </c>
      <c r="C703">
        <v>2</v>
      </c>
      <c r="D703" s="1">
        <f t="shared" si="80"/>
        <v>37227</v>
      </c>
      <c r="E703">
        <v>0</v>
      </c>
      <c r="F703">
        <f t="shared" si="86"/>
        <v>0.6</v>
      </c>
      <c r="G703">
        <f t="shared" si="81"/>
        <v>0</v>
      </c>
      <c r="H703">
        <f t="shared" si="87"/>
        <v>1</v>
      </c>
      <c r="I703">
        <v>702</v>
      </c>
      <c r="J703">
        <f t="shared" si="82"/>
        <v>-0.47086328873605632</v>
      </c>
      <c r="K703">
        <f t="shared" si="83"/>
        <v>0.88220619093308639</v>
      </c>
      <c r="L703">
        <f>VLOOKUP(D703,[1]SOI!$A$1:$C$142,3)</f>
        <v>7.2</v>
      </c>
      <c r="M703" s="2">
        <f t="shared" si="84"/>
        <v>-330.54602869271156</v>
      </c>
      <c r="N703">
        <f t="shared" si="85"/>
        <v>619.30874603502662</v>
      </c>
      <c r="O703" t="s">
        <v>8</v>
      </c>
    </row>
    <row r="704" spans="1:15" x14ac:dyDescent="0.35">
      <c r="A704">
        <v>2001</v>
      </c>
      <c r="B704">
        <v>12</v>
      </c>
      <c r="C704">
        <v>3</v>
      </c>
      <c r="D704" s="1">
        <f t="shared" si="80"/>
        <v>37228</v>
      </c>
      <c r="E704">
        <v>7.6</v>
      </c>
      <c r="F704">
        <f t="shared" si="86"/>
        <v>0</v>
      </c>
      <c r="G704">
        <f t="shared" si="81"/>
        <v>1</v>
      </c>
      <c r="H704">
        <f t="shared" si="87"/>
        <v>0</v>
      </c>
      <c r="I704">
        <v>703</v>
      </c>
      <c r="J704">
        <f t="shared" si="82"/>
        <v>-0.45561828439696561</v>
      </c>
      <c r="K704">
        <f t="shared" si="83"/>
        <v>0.89017525180335455</v>
      </c>
      <c r="L704">
        <f>VLOOKUP(D704,[1]SOI!$A$1:$C$142,3)</f>
        <v>7.2</v>
      </c>
      <c r="M704" s="2">
        <f t="shared" si="84"/>
        <v>-320.29965393106681</v>
      </c>
      <c r="N704">
        <f t="shared" si="85"/>
        <v>625.79320201775829</v>
      </c>
      <c r="O704" t="s">
        <v>8</v>
      </c>
    </row>
    <row r="705" spans="1:15" x14ac:dyDescent="0.35">
      <c r="A705">
        <v>2001</v>
      </c>
      <c r="B705">
        <v>12</v>
      </c>
      <c r="C705">
        <v>4</v>
      </c>
      <c r="D705" s="1">
        <f t="shared" si="80"/>
        <v>37229</v>
      </c>
      <c r="E705">
        <v>0.2</v>
      </c>
      <c r="F705">
        <f t="shared" si="86"/>
        <v>7.6</v>
      </c>
      <c r="G705">
        <f t="shared" si="81"/>
        <v>1</v>
      </c>
      <c r="H705">
        <f t="shared" si="87"/>
        <v>1</v>
      </c>
      <c r="I705">
        <v>704</v>
      </c>
      <c r="J705">
        <f t="shared" si="82"/>
        <v>-0.44023845527732852</v>
      </c>
      <c r="K705">
        <f t="shared" si="83"/>
        <v>0.89788089549507155</v>
      </c>
      <c r="L705">
        <f>VLOOKUP(D705,[1]SOI!$A$1:$C$142,3)</f>
        <v>7.2</v>
      </c>
      <c r="M705" s="2">
        <f t="shared" si="84"/>
        <v>-309.9278725152393</v>
      </c>
      <c r="N705">
        <f t="shared" si="85"/>
        <v>632.10815042853039</v>
      </c>
      <c r="O705" t="s">
        <v>8</v>
      </c>
    </row>
    <row r="706" spans="1:15" x14ac:dyDescent="0.35">
      <c r="A706">
        <v>2001</v>
      </c>
      <c r="B706">
        <v>12</v>
      </c>
      <c r="C706">
        <v>5</v>
      </c>
      <c r="D706" s="1">
        <f t="shared" si="80"/>
        <v>37230</v>
      </c>
      <c r="E706">
        <v>0</v>
      </c>
      <c r="F706">
        <f t="shared" si="86"/>
        <v>0.2</v>
      </c>
      <c r="G706">
        <f t="shared" si="81"/>
        <v>0</v>
      </c>
      <c r="H706">
        <f t="shared" si="87"/>
        <v>1</v>
      </c>
      <c r="I706">
        <v>705</v>
      </c>
      <c r="J706">
        <f t="shared" si="82"/>
        <v>-0.42472835251601759</v>
      </c>
      <c r="K706">
        <f t="shared" si="83"/>
        <v>0.90532084178429773</v>
      </c>
      <c r="L706">
        <f>VLOOKUP(D706,[1]SOI!$A$1:$C$142,3)</f>
        <v>7.2</v>
      </c>
      <c r="M706" s="2">
        <f t="shared" si="84"/>
        <v>-299.43348852379239</v>
      </c>
      <c r="N706">
        <f t="shared" si="85"/>
        <v>638.25119345792984</v>
      </c>
      <c r="O706" t="s">
        <v>8</v>
      </c>
    </row>
    <row r="707" spans="1:15" x14ac:dyDescent="0.35">
      <c r="A707">
        <v>2001</v>
      </c>
      <c r="B707">
        <v>12</v>
      </c>
      <c r="C707">
        <v>6</v>
      </c>
      <c r="D707" s="1">
        <f t="shared" ref="D707:D770" si="88">DATE(A707,B707,C707)</f>
        <v>37231</v>
      </c>
      <c r="E707">
        <v>0</v>
      </c>
      <c r="F707">
        <f t="shared" si="86"/>
        <v>0</v>
      </c>
      <c r="G707">
        <f t="shared" ref="G707:G770" si="89">IF(E707=0,0,1)</f>
        <v>0</v>
      </c>
      <c r="H707">
        <f t="shared" si="87"/>
        <v>0</v>
      </c>
      <c r="I707">
        <v>706</v>
      </c>
      <c r="J707">
        <f t="shared" ref="J707:J770" si="90">SIN(2*PI()*I707/365.25)</f>
        <v>-0.40909256580197667</v>
      </c>
      <c r="K707">
        <f t="shared" ref="K707:K770" si="91">COS(2*PI()*I707/365.25)</f>
        <v>0.91249288907122739</v>
      </c>
      <c r="L707">
        <f>VLOOKUP(D707,[1]SOI!$A$1:$C$142,3)</f>
        <v>7.2</v>
      </c>
      <c r="M707" s="2">
        <f t="shared" ref="M707:M770" si="92">I707*J707</f>
        <v>-288.81935145619553</v>
      </c>
      <c r="N707">
        <f t="shared" ref="N707:N770" si="93">I707*K707</f>
        <v>644.2199796842865</v>
      </c>
      <c r="O707" t="s">
        <v>8</v>
      </c>
    </row>
    <row r="708" spans="1:15" x14ac:dyDescent="0.35">
      <c r="A708">
        <v>2001</v>
      </c>
      <c r="B708">
        <v>12</v>
      </c>
      <c r="C708">
        <v>7</v>
      </c>
      <c r="D708" s="1">
        <f t="shared" si="88"/>
        <v>37232</v>
      </c>
      <c r="E708">
        <v>13.4</v>
      </c>
      <c r="F708">
        <f t="shared" ref="F708:F771" si="94">E707</f>
        <v>0</v>
      </c>
      <c r="G708">
        <f t="shared" si="89"/>
        <v>1</v>
      </c>
      <c r="H708">
        <f t="shared" ref="H708:H771" si="95">G707</f>
        <v>0</v>
      </c>
      <c r="I708">
        <v>707</v>
      </c>
      <c r="J708">
        <f t="shared" si="90"/>
        <v>-0.39333572201604849</v>
      </c>
      <c r="K708">
        <f t="shared" si="91"/>
        <v>0.91939491503168203</v>
      </c>
      <c r="L708">
        <f>VLOOKUP(D708,[1]SOI!$A$1:$C$142,3)</f>
        <v>7.2</v>
      </c>
      <c r="M708" s="2">
        <f t="shared" si="92"/>
        <v>-278.0883554653463</v>
      </c>
      <c r="N708">
        <f t="shared" si="93"/>
        <v>650.01220492739924</v>
      </c>
      <c r="O708" t="s">
        <v>8</v>
      </c>
    </row>
    <row r="709" spans="1:15" x14ac:dyDescent="0.35">
      <c r="A709">
        <v>2001</v>
      </c>
      <c r="B709">
        <v>12</v>
      </c>
      <c r="C709">
        <v>8</v>
      </c>
      <c r="D709" s="1">
        <f t="shared" si="88"/>
        <v>37233</v>
      </c>
      <c r="E709">
        <v>1.2</v>
      </c>
      <c r="F709">
        <f t="shared" si="94"/>
        <v>13.4</v>
      </c>
      <c r="G709">
        <f t="shared" si="89"/>
        <v>1</v>
      </c>
      <c r="H709">
        <f t="shared" si="95"/>
        <v>1</v>
      </c>
      <c r="I709">
        <v>708</v>
      </c>
      <c r="J709">
        <f t="shared" si="90"/>
        <v>-0.3774624838618108</v>
      </c>
      <c r="K709">
        <f t="shared" si="91"/>
        <v>0.9260248772451376</v>
      </c>
      <c r="L709">
        <f>VLOOKUP(D709,[1]SOI!$A$1:$C$142,3)</f>
        <v>7.2</v>
      </c>
      <c r="M709" s="2">
        <f t="shared" si="92"/>
        <v>-267.24343857416204</v>
      </c>
      <c r="N709">
        <f t="shared" si="93"/>
        <v>655.62561308955742</v>
      </c>
      <c r="O709" t="s">
        <v>8</v>
      </c>
    </row>
    <row r="710" spans="1:15" x14ac:dyDescent="0.35">
      <c r="A710">
        <v>2001</v>
      </c>
      <c r="B710">
        <v>12</v>
      </c>
      <c r="C710">
        <v>9</v>
      </c>
      <c r="D710" s="1">
        <f t="shared" si="88"/>
        <v>37234</v>
      </c>
      <c r="E710">
        <v>0</v>
      </c>
      <c r="F710">
        <f t="shared" si="94"/>
        <v>1.2</v>
      </c>
      <c r="G710">
        <f t="shared" si="89"/>
        <v>0</v>
      </c>
      <c r="H710">
        <f t="shared" si="95"/>
        <v>1</v>
      </c>
      <c r="I710">
        <v>709</v>
      </c>
      <c r="J710">
        <f t="shared" si="90"/>
        <v>-0.36147754848581265</v>
      </c>
      <c r="K710">
        <f t="shared" si="91"/>
        <v>0.93238081379910809</v>
      </c>
      <c r="L710">
        <f>VLOOKUP(D710,[1]SOI!$A$1:$C$142,3)</f>
        <v>7.2</v>
      </c>
      <c r="M710" s="2">
        <f t="shared" si="92"/>
        <v>-256.28758187644115</v>
      </c>
      <c r="N710">
        <f t="shared" si="93"/>
        <v>661.05799698356759</v>
      </c>
      <c r="O710" t="s">
        <v>8</v>
      </c>
    </row>
    <row r="711" spans="1:15" x14ac:dyDescent="0.35">
      <c r="A711">
        <v>2001</v>
      </c>
      <c r="B711">
        <v>12</v>
      </c>
      <c r="C711">
        <v>10</v>
      </c>
      <c r="D711" s="1">
        <f t="shared" si="88"/>
        <v>37235</v>
      </c>
      <c r="E711">
        <v>0</v>
      </c>
      <c r="F711">
        <f t="shared" si="94"/>
        <v>0</v>
      </c>
      <c r="G711">
        <f t="shared" si="89"/>
        <v>0</v>
      </c>
      <c r="H711">
        <f t="shared" si="95"/>
        <v>0</v>
      </c>
      <c r="I711">
        <v>710</v>
      </c>
      <c r="J711">
        <f t="shared" si="90"/>
        <v>-0.34538564608760303</v>
      </c>
      <c r="K711">
        <f t="shared" si="91"/>
        <v>0.9384608438697104</v>
      </c>
      <c r="L711">
        <f>VLOOKUP(D711,[1]SOI!$A$1:$C$142,3)</f>
        <v>7.2</v>
      </c>
      <c r="M711" s="2">
        <f t="shared" si="92"/>
        <v>-245.22380872219816</v>
      </c>
      <c r="N711">
        <f t="shared" si="93"/>
        <v>666.30719914749443</v>
      </c>
      <c r="O711" t="s">
        <v>8</v>
      </c>
    </row>
    <row r="712" spans="1:15" x14ac:dyDescent="0.35">
      <c r="A712">
        <v>2001</v>
      </c>
      <c r="B712">
        <v>12</v>
      </c>
      <c r="C712">
        <v>11</v>
      </c>
      <c r="D712" s="1">
        <f t="shared" si="88"/>
        <v>37236</v>
      </c>
      <c r="E712">
        <v>0.6</v>
      </c>
      <c r="F712">
        <f t="shared" si="94"/>
        <v>0</v>
      </c>
      <c r="G712">
        <f t="shared" si="89"/>
        <v>1</v>
      </c>
      <c r="H712">
        <f t="shared" si="95"/>
        <v>0</v>
      </c>
      <c r="I712">
        <v>711</v>
      </c>
      <c r="J712">
        <f t="shared" si="90"/>
        <v>-0.32919153851999539</v>
      </c>
      <c r="K712">
        <f t="shared" si="91"/>
        <v>0.94426316827822865</v>
      </c>
      <c r="L712">
        <f>VLOOKUP(D712,[1]SOI!$A$1:$C$142,3)</f>
        <v>7.2</v>
      </c>
      <c r="M712" s="2">
        <f t="shared" si="92"/>
        <v>-234.05518388771671</v>
      </c>
      <c r="N712">
        <f t="shared" si="93"/>
        <v>671.37111264582052</v>
      </c>
      <c r="O712" t="s">
        <v>8</v>
      </c>
    </row>
    <row r="713" spans="1:15" x14ac:dyDescent="0.35">
      <c r="A713">
        <v>2001</v>
      </c>
      <c r="B713">
        <v>12</v>
      </c>
      <c r="C713">
        <v>12</v>
      </c>
      <c r="D713" s="1">
        <f t="shared" si="88"/>
        <v>37237</v>
      </c>
      <c r="E713">
        <v>3.4</v>
      </c>
      <c r="F713">
        <f t="shared" si="94"/>
        <v>0.6</v>
      </c>
      <c r="G713">
        <f t="shared" si="89"/>
        <v>1</v>
      </c>
      <c r="H713">
        <f t="shared" si="95"/>
        <v>1</v>
      </c>
      <c r="I713">
        <v>712</v>
      </c>
      <c r="J713">
        <f t="shared" si="90"/>
        <v>-0.3129000178799537</v>
      </c>
      <c r="K713">
        <f t="shared" si="91"/>
        <v>0.949786070023521</v>
      </c>
      <c r="L713">
        <f>VLOOKUP(D713,[1]SOI!$A$1:$C$142,3)</f>
        <v>7.2</v>
      </c>
      <c r="M713" s="2">
        <f t="shared" si="92"/>
        <v>-222.78481273052702</v>
      </c>
      <c r="N713">
        <f t="shared" si="93"/>
        <v>676.24768185674691</v>
      </c>
      <c r="O713" t="s">
        <v>8</v>
      </c>
    </row>
    <row r="714" spans="1:15" x14ac:dyDescent="0.35">
      <c r="A714">
        <v>2001</v>
      </c>
      <c r="B714">
        <v>12</v>
      </c>
      <c r="C714">
        <v>13</v>
      </c>
      <c r="D714" s="1">
        <f t="shared" si="88"/>
        <v>37238</v>
      </c>
      <c r="E714">
        <v>2</v>
      </c>
      <c r="F714">
        <f t="shared" si="94"/>
        <v>3.4</v>
      </c>
      <c r="G714">
        <f t="shared" si="89"/>
        <v>1</v>
      </c>
      <c r="H714">
        <f t="shared" si="95"/>
        <v>1</v>
      </c>
      <c r="I714">
        <v>713</v>
      </c>
      <c r="J714">
        <f t="shared" si="90"/>
        <v>-0.29651590509054748</v>
      </c>
      <c r="K714">
        <f t="shared" si="91"/>
        <v>0.95502791479010363</v>
      </c>
      <c r="L714">
        <f>VLOOKUP(D714,[1]SOI!$A$1:$C$142,3)</f>
        <v>7.2</v>
      </c>
      <c r="M714" s="2">
        <f t="shared" si="92"/>
        <v>-211.41584032956035</v>
      </c>
      <c r="N714">
        <f t="shared" si="93"/>
        <v>680.93490324534389</v>
      </c>
      <c r="O714" t="s">
        <v>8</v>
      </c>
    </row>
    <row r="715" spans="1:15" x14ac:dyDescent="0.35">
      <c r="A715">
        <v>2001</v>
      </c>
      <c r="B715">
        <v>12</v>
      </c>
      <c r="C715">
        <v>14</v>
      </c>
      <c r="D715" s="1">
        <f t="shared" si="88"/>
        <v>37239</v>
      </c>
      <c r="E715">
        <v>0</v>
      </c>
      <c r="F715">
        <f t="shared" si="94"/>
        <v>2</v>
      </c>
      <c r="G715">
        <f t="shared" si="89"/>
        <v>0</v>
      </c>
      <c r="H715">
        <f t="shared" si="95"/>
        <v>1</v>
      </c>
      <c r="I715">
        <v>714</v>
      </c>
      <c r="J715">
        <f t="shared" si="90"/>
        <v>-0.2800440484743445</v>
      </c>
      <c r="K715">
        <f t="shared" si="91"/>
        <v>0.95998715143177771</v>
      </c>
      <c r="L715">
        <f>VLOOKUP(D715,[1]SOI!$A$1:$C$142,3)</f>
        <v>7.2</v>
      </c>
      <c r="M715" s="2">
        <f t="shared" si="92"/>
        <v>-199.95145061068197</v>
      </c>
      <c r="N715">
        <f t="shared" si="93"/>
        <v>685.43082612228932</v>
      </c>
      <c r="O715" t="s">
        <v>8</v>
      </c>
    </row>
    <row r="716" spans="1:15" x14ac:dyDescent="0.35">
      <c r="A716">
        <v>2001</v>
      </c>
      <c r="B716">
        <v>12</v>
      </c>
      <c r="C716">
        <v>15</v>
      </c>
      <c r="D716" s="1">
        <f t="shared" si="88"/>
        <v>37240</v>
      </c>
      <c r="E716">
        <v>0</v>
      </c>
      <c r="F716">
        <f t="shared" si="94"/>
        <v>0</v>
      </c>
      <c r="G716">
        <f t="shared" si="89"/>
        <v>0</v>
      </c>
      <c r="H716">
        <f t="shared" si="95"/>
        <v>0</v>
      </c>
      <c r="I716">
        <v>715</v>
      </c>
      <c r="J716">
        <f t="shared" si="90"/>
        <v>-0.26348932231871736</v>
      </c>
      <c r="K716">
        <f t="shared" si="91"/>
        <v>0.9646623124306366</v>
      </c>
      <c r="L716">
        <f>VLOOKUP(D716,[1]SOI!$A$1:$C$142,3)</f>
        <v>7.2</v>
      </c>
      <c r="M716" s="2">
        <f t="shared" si="92"/>
        <v>-188.3948654578829</v>
      </c>
      <c r="N716">
        <f t="shared" si="93"/>
        <v>689.7335533879052</v>
      </c>
      <c r="O716" t="s">
        <v>8</v>
      </c>
    </row>
    <row r="717" spans="1:15" x14ac:dyDescent="0.35">
      <c r="A717">
        <v>2001</v>
      </c>
      <c r="B717">
        <v>12</v>
      </c>
      <c r="C717">
        <v>16</v>
      </c>
      <c r="D717" s="1">
        <f t="shared" si="88"/>
        <v>37241</v>
      </c>
      <c r="E717">
        <v>0</v>
      </c>
      <c r="F717">
        <f t="shared" si="94"/>
        <v>0</v>
      </c>
      <c r="G717">
        <f t="shared" si="89"/>
        <v>0</v>
      </c>
      <c r="H717">
        <f t="shared" si="95"/>
        <v>0</v>
      </c>
      <c r="I717">
        <v>716</v>
      </c>
      <c r="J717">
        <f t="shared" si="90"/>
        <v>-0.24685662543348391</v>
      </c>
      <c r="K717">
        <f t="shared" si="91"/>
        <v>0.96905201433132193</v>
      </c>
      <c r="L717">
        <f>VLOOKUP(D717,[1]SOI!$A$1:$C$142,3)</f>
        <v>7.2</v>
      </c>
      <c r="M717" s="2">
        <f t="shared" si="92"/>
        <v>-176.74934381037448</v>
      </c>
      <c r="N717">
        <f t="shared" si="93"/>
        <v>693.84124226122651</v>
      </c>
      <c r="O717" t="s">
        <v>8</v>
      </c>
    </row>
    <row r="718" spans="1:15" x14ac:dyDescent="0.35">
      <c r="A718">
        <v>2001</v>
      </c>
      <c r="B718">
        <v>12</v>
      </c>
      <c r="C718">
        <v>17</v>
      </c>
      <c r="D718" s="1">
        <f t="shared" si="88"/>
        <v>37242</v>
      </c>
      <c r="E718">
        <v>0</v>
      </c>
      <c r="F718">
        <f t="shared" si="94"/>
        <v>0</v>
      </c>
      <c r="G718">
        <f t="shared" si="89"/>
        <v>0</v>
      </c>
      <c r="H718">
        <f t="shared" si="95"/>
        <v>0</v>
      </c>
      <c r="I718">
        <v>717</v>
      </c>
      <c r="J718">
        <f t="shared" si="90"/>
        <v>-0.23015087970124354</v>
      </c>
      <c r="K718">
        <f t="shared" si="91"/>
        <v>0.97315495815041897</v>
      </c>
      <c r="L718">
        <f>VLOOKUP(D718,[1]SOI!$A$1:$C$142,3)</f>
        <v>7.2</v>
      </c>
      <c r="M718" s="2">
        <f t="shared" si="92"/>
        <v>-165.01818074579162</v>
      </c>
      <c r="N718">
        <f t="shared" si="93"/>
        <v>697.75210499385037</v>
      </c>
      <c r="O718" t="s">
        <v>8</v>
      </c>
    </row>
    <row r="719" spans="1:15" x14ac:dyDescent="0.35">
      <c r="A719">
        <v>2001</v>
      </c>
      <c r="B719">
        <v>12</v>
      </c>
      <c r="C719">
        <v>18</v>
      </c>
      <c r="D719" s="1">
        <f t="shared" si="88"/>
        <v>37243</v>
      </c>
      <c r="E719">
        <v>0</v>
      </c>
      <c r="F719">
        <f t="shared" si="94"/>
        <v>0</v>
      </c>
      <c r="G719">
        <f t="shared" si="89"/>
        <v>0</v>
      </c>
      <c r="H719">
        <f t="shared" si="95"/>
        <v>0</v>
      </c>
      <c r="I719">
        <v>718</v>
      </c>
      <c r="J719">
        <f t="shared" si="90"/>
        <v>-0.21337702862092797</v>
      </c>
      <c r="K719">
        <f t="shared" si="91"/>
        <v>0.97696992976084152</v>
      </c>
      <c r="L719">
        <f>VLOOKUP(D719,[1]SOI!$A$1:$C$142,3)</f>
        <v>7.2</v>
      </c>
      <c r="M719" s="2">
        <f t="shared" si="92"/>
        <v>-153.20470654982628</v>
      </c>
      <c r="N719">
        <f t="shared" si="93"/>
        <v>701.46440956828417</v>
      </c>
      <c r="O719" t="s">
        <v>8</v>
      </c>
    </row>
    <row r="720" spans="1:15" x14ac:dyDescent="0.35">
      <c r="A720">
        <v>2001</v>
      </c>
      <c r="B720">
        <v>12</v>
      </c>
      <c r="C720">
        <v>19</v>
      </c>
      <c r="D720" s="1">
        <f t="shared" si="88"/>
        <v>37244</v>
      </c>
      <c r="E720">
        <v>0</v>
      </c>
      <c r="F720">
        <f t="shared" si="94"/>
        <v>0</v>
      </c>
      <c r="G720">
        <f t="shared" si="89"/>
        <v>0</v>
      </c>
      <c r="H720">
        <f t="shared" si="95"/>
        <v>0</v>
      </c>
      <c r="I720">
        <v>719</v>
      </c>
      <c r="J720">
        <f t="shared" si="90"/>
        <v>-0.19654003584493543</v>
      </c>
      <c r="K720">
        <f t="shared" si="91"/>
        <v>0.98049580025111349</v>
      </c>
      <c r="L720">
        <f>VLOOKUP(D720,[1]SOI!$A$1:$C$142,3)</f>
        <v>7.2</v>
      </c>
      <c r="M720" s="2">
        <f t="shared" si="92"/>
        <v>-141.31228577250857</v>
      </c>
      <c r="N720">
        <f t="shared" si="93"/>
        <v>704.97648038055058</v>
      </c>
      <c r="O720" t="s">
        <v>8</v>
      </c>
    </row>
    <row r="721" spans="1:15" x14ac:dyDescent="0.35">
      <c r="A721">
        <v>2001</v>
      </c>
      <c r="B721">
        <v>12</v>
      </c>
      <c r="C721">
        <v>20</v>
      </c>
      <c r="D721" s="1">
        <f t="shared" si="88"/>
        <v>37245</v>
      </c>
      <c r="E721">
        <v>0</v>
      </c>
      <c r="F721">
        <f t="shared" si="94"/>
        <v>0</v>
      </c>
      <c r="G721">
        <f t="shared" si="89"/>
        <v>0</v>
      </c>
      <c r="H721">
        <f t="shared" si="95"/>
        <v>0</v>
      </c>
      <c r="I721">
        <v>720</v>
      </c>
      <c r="J721">
        <f t="shared" si="90"/>
        <v>-0.17964488371031301</v>
      </c>
      <c r="K721">
        <f t="shared" si="91"/>
        <v>0.98373152625943028</v>
      </c>
      <c r="L721">
        <f>VLOOKUP(D721,[1]SOI!$A$1:$C$142,3)</f>
        <v>7.2</v>
      </c>
      <c r="M721" s="2">
        <f t="shared" si="92"/>
        <v>-129.34431627142536</v>
      </c>
      <c r="N721">
        <f t="shared" si="93"/>
        <v>708.28669890678975</v>
      </c>
      <c r="O721" t="s">
        <v>8</v>
      </c>
    </row>
    <row r="722" spans="1:15" x14ac:dyDescent="0.35">
      <c r="A722">
        <v>2001</v>
      </c>
      <c r="B722">
        <v>12</v>
      </c>
      <c r="C722">
        <v>21</v>
      </c>
      <c r="D722" s="1">
        <f t="shared" si="88"/>
        <v>37246</v>
      </c>
      <c r="E722">
        <v>0</v>
      </c>
      <c r="F722">
        <f t="shared" si="94"/>
        <v>0</v>
      </c>
      <c r="G722">
        <f t="shared" si="89"/>
        <v>0</v>
      </c>
      <c r="H722">
        <f t="shared" si="95"/>
        <v>0</v>
      </c>
      <c r="I722">
        <v>721</v>
      </c>
      <c r="J722">
        <f t="shared" si="90"/>
        <v>-0.16269657176439242</v>
      </c>
      <c r="K722">
        <f t="shared" si="91"/>
        <v>0.98667615028240852</v>
      </c>
      <c r="L722">
        <f>VLOOKUP(D722,[1]SOI!$A$1:$C$142,3)</f>
        <v>7.2</v>
      </c>
      <c r="M722" s="2">
        <f t="shared" si="92"/>
        <v>-117.30422824212694</v>
      </c>
      <c r="N722">
        <f t="shared" si="93"/>
        <v>711.39350435361655</v>
      </c>
      <c r="O722" t="s">
        <v>8</v>
      </c>
    </row>
    <row r="723" spans="1:15" x14ac:dyDescent="0.35">
      <c r="A723">
        <v>2001</v>
      </c>
      <c r="B723">
        <v>12</v>
      </c>
      <c r="C723">
        <v>22</v>
      </c>
      <c r="D723" s="1">
        <f t="shared" si="88"/>
        <v>37247</v>
      </c>
      <c r="E723">
        <v>0</v>
      </c>
      <c r="F723">
        <f t="shared" si="94"/>
        <v>0</v>
      </c>
      <c r="G723">
        <f t="shared" si="89"/>
        <v>0</v>
      </c>
      <c r="H723">
        <f t="shared" si="95"/>
        <v>0</v>
      </c>
      <c r="I723">
        <v>722</v>
      </c>
      <c r="J723">
        <f t="shared" si="90"/>
        <v>-0.14570011528535065</v>
      </c>
      <c r="K723">
        <f t="shared" si="91"/>
        <v>0.98932880095842535</v>
      </c>
      <c r="L723">
        <f>VLOOKUP(D723,[1]SOI!$A$1:$C$142,3)</f>
        <v>7.2</v>
      </c>
      <c r="M723" s="2">
        <f t="shared" si="92"/>
        <v>-105.19548323602316</v>
      </c>
      <c r="N723">
        <f t="shared" si="93"/>
        <v>714.29539429198314</v>
      </c>
      <c r="O723" t="s">
        <v>8</v>
      </c>
    </row>
    <row r="724" spans="1:15" x14ac:dyDescent="0.35">
      <c r="A724">
        <v>2001</v>
      </c>
      <c r="B724">
        <v>12</v>
      </c>
      <c r="C724">
        <v>23</v>
      </c>
      <c r="D724" s="1">
        <f t="shared" si="88"/>
        <v>37248</v>
      </c>
      <c r="E724">
        <v>0</v>
      </c>
      <c r="F724">
        <f t="shared" si="94"/>
        <v>0</v>
      </c>
      <c r="G724">
        <f t="shared" si="89"/>
        <v>0</v>
      </c>
      <c r="H724">
        <f t="shared" si="95"/>
        <v>0</v>
      </c>
      <c r="I724">
        <v>723</v>
      </c>
      <c r="J724">
        <f t="shared" si="90"/>
        <v>-0.12866054379810471</v>
      </c>
      <c r="K724">
        <f t="shared" si="91"/>
        <v>0.99168869332546894</v>
      </c>
      <c r="L724">
        <f>VLOOKUP(D724,[1]SOI!$A$1:$C$142,3)</f>
        <v>7.2</v>
      </c>
      <c r="M724" s="2">
        <f t="shared" si="92"/>
        <v>-93.021573166029711</v>
      </c>
      <c r="N724">
        <f t="shared" si="93"/>
        <v>716.99092527431401</v>
      </c>
      <c r="O724" t="s">
        <v>8</v>
      </c>
    </row>
    <row r="725" spans="1:15" x14ac:dyDescent="0.35">
      <c r="A725">
        <v>2001</v>
      </c>
      <c r="B725">
        <v>12</v>
      </c>
      <c r="C725">
        <v>24</v>
      </c>
      <c r="D725" s="1">
        <f t="shared" si="88"/>
        <v>37249</v>
      </c>
      <c r="E725">
        <v>1.2</v>
      </c>
      <c r="F725">
        <f t="shared" si="94"/>
        <v>0</v>
      </c>
      <c r="G725">
        <f t="shared" si="89"/>
        <v>1</v>
      </c>
      <c r="H725">
        <f t="shared" si="95"/>
        <v>0</v>
      </c>
      <c r="I725">
        <v>724</v>
      </c>
      <c r="J725">
        <f t="shared" si="90"/>
        <v>-0.11158289958600157</v>
      </c>
      <c r="K725">
        <f t="shared" si="91"/>
        <v>0.99375512905342045</v>
      </c>
      <c r="L725">
        <f>VLOOKUP(D725,[1]SOI!$A$1:$C$142,3)</f>
        <v>7.2</v>
      </c>
      <c r="M725" s="2">
        <f t="shared" si="92"/>
        <v>-80.786019300265139</v>
      </c>
      <c r="N725">
        <f t="shared" si="93"/>
        <v>719.47871343467637</v>
      </c>
      <c r="O725" t="s">
        <v>8</v>
      </c>
    </row>
    <row r="726" spans="1:15" x14ac:dyDescent="0.35">
      <c r="A726">
        <v>2001</v>
      </c>
      <c r="B726">
        <v>12</v>
      </c>
      <c r="C726">
        <v>25</v>
      </c>
      <c r="D726" s="1">
        <f t="shared" si="88"/>
        <v>37250</v>
      </c>
      <c r="E726">
        <v>0</v>
      </c>
      <c r="F726">
        <f t="shared" si="94"/>
        <v>1.2</v>
      </c>
      <c r="G726">
        <f t="shared" si="89"/>
        <v>0</v>
      </c>
      <c r="H726">
        <f t="shared" si="95"/>
        <v>1</v>
      </c>
      <c r="I726">
        <v>725</v>
      </c>
      <c r="J726">
        <f t="shared" si="90"/>
        <v>-9.4472236198714699E-2</v>
      </c>
      <c r="K726">
        <f t="shared" si="91"/>
        <v>0.99552749665070239</v>
      </c>
      <c r="L726">
        <f>VLOOKUP(D726,[1]SOI!$A$1:$C$142,3)</f>
        <v>7.2</v>
      </c>
      <c r="M726" s="2">
        <f t="shared" si="92"/>
        <v>-68.492371244068153</v>
      </c>
      <c r="N726">
        <f t="shared" si="93"/>
        <v>721.75743507175923</v>
      </c>
      <c r="O726" t="s">
        <v>8</v>
      </c>
    </row>
    <row r="727" spans="1:15" x14ac:dyDescent="0.35">
      <c r="A727">
        <v>2001</v>
      </c>
      <c r="B727">
        <v>12</v>
      </c>
      <c r="C727">
        <v>26</v>
      </c>
      <c r="D727" s="1">
        <f t="shared" si="88"/>
        <v>37251</v>
      </c>
      <c r="E727">
        <v>1.2</v>
      </c>
      <c r="F727">
        <f t="shared" si="94"/>
        <v>0</v>
      </c>
      <c r="G727">
        <f t="shared" si="89"/>
        <v>1</v>
      </c>
      <c r="H727">
        <f t="shared" si="95"/>
        <v>0</v>
      </c>
      <c r="I727">
        <v>726</v>
      </c>
      <c r="J727">
        <f t="shared" si="90"/>
        <v>-7.7333616956820964E-2</v>
      </c>
      <c r="K727">
        <f t="shared" si="91"/>
        <v>0.99700527164522845</v>
      </c>
      <c r="L727">
        <f>VLOOKUP(D727,[1]SOI!$A$1:$C$142,3)</f>
        <v>7.2</v>
      </c>
      <c r="M727" s="2">
        <f t="shared" si="92"/>
        <v>-56.144205910652019</v>
      </c>
      <c r="N727">
        <f t="shared" si="93"/>
        <v>723.82582721443589</v>
      </c>
      <c r="O727" t="s">
        <v>8</v>
      </c>
    </row>
    <row r="728" spans="1:15" x14ac:dyDescent="0.35">
      <c r="A728">
        <v>2001</v>
      </c>
      <c r="B728">
        <v>12</v>
      </c>
      <c r="C728">
        <v>27</v>
      </c>
      <c r="D728" s="1">
        <f t="shared" si="88"/>
        <v>37252</v>
      </c>
      <c r="E728">
        <v>15.4</v>
      </c>
      <c r="F728">
        <f t="shared" si="94"/>
        <v>1.2</v>
      </c>
      <c r="G728">
        <f t="shared" si="89"/>
        <v>1</v>
      </c>
      <c r="H728">
        <f t="shared" si="95"/>
        <v>1</v>
      </c>
      <c r="I728">
        <v>727</v>
      </c>
      <c r="J728">
        <f t="shared" si="90"/>
        <v>-6.0172113453494991E-2</v>
      </c>
      <c r="K728">
        <f t="shared" si="91"/>
        <v>0.99818801673960189</v>
      </c>
      <c r="L728">
        <f>VLOOKUP(D728,[1]SOI!$A$1:$C$142,3)</f>
        <v>7.2</v>
      </c>
      <c r="M728" s="2">
        <f t="shared" si="92"/>
        <v>-43.745126480690857</v>
      </c>
      <c r="N728">
        <f t="shared" si="93"/>
        <v>725.68268816969055</v>
      </c>
      <c r="O728" t="s">
        <v>8</v>
      </c>
    </row>
    <row r="729" spans="1:15" x14ac:dyDescent="0.35">
      <c r="A729">
        <v>2001</v>
      </c>
      <c r="B729">
        <v>12</v>
      </c>
      <c r="C729">
        <v>28</v>
      </c>
      <c r="D729" s="1">
        <f t="shared" si="88"/>
        <v>37253</v>
      </c>
      <c r="E729">
        <v>2.6</v>
      </c>
      <c r="F729">
        <f t="shared" si="94"/>
        <v>15.4</v>
      </c>
      <c r="G729">
        <f t="shared" si="89"/>
        <v>1</v>
      </c>
      <c r="H729">
        <f t="shared" si="95"/>
        <v>1</v>
      </c>
      <c r="I729">
        <v>728</v>
      </c>
      <c r="J729">
        <f t="shared" si="90"/>
        <v>-4.2992804053721911E-2</v>
      </c>
      <c r="K729">
        <f t="shared" si="91"/>
        <v>0.99907538194052115</v>
      </c>
      <c r="L729">
        <f>VLOOKUP(D729,[1]SOI!$A$1:$C$142,3)</f>
        <v>7.2</v>
      </c>
      <c r="M729" s="2">
        <f t="shared" si="92"/>
        <v>-31.298761351109551</v>
      </c>
      <c r="N729">
        <f t="shared" si="93"/>
        <v>727.32687805269939</v>
      </c>
      <c r="O729" t="s">
        <v>8</v>
      </c>
    </row>
    <row r="730" spans="1:15" x14ac:dyDescent="0.35">
      <c r="A730">
        <v>2001</v>
      </c>
      <c r="B730">
        <v>12</v>
      </c>
      <c r="C730">
        <v>29</v>
      </c>
      <c r="D730" s="1">
        <f t="shared" si="88"/>
        <v>37254</v>
      </c>
      <c r="E730">
        <v>0</v>
      </c>
      <c r="F730">
        <f t="shared" si="94"/>
        <v>2.6</v>
      </c>
      <c r="G730">
        <f t="shared" si="89"/>
        <v>0</v>
      </c>
      <c r="H730">
        <f t="shared" si="95"/>
        <v>1</v>
      </c>
      <c r="I730">
        <v>729</v>
      </c>
      <c r="J730">
        <f t="shared" si="90"/>
        <v>-2.5800772391541629E-2</v>
      </c>
      <c r="K730">
        <f t="shared" si="91"/>
        <v>0.99966710466234698</v>
      </c>
      <c r="L730">
        <f>VLOOKUP(D730,[1]SOI!$A$1:$C$142,3)</f>
        <v>7.2</v>
      </c>
      <c r="M730" s="2">
        <f t="shared" si="92"/>
        <v>-18.808763073433848</v>
      </c>
      <c r="N730">
        <f t="shared" si="93"/>
        <v>728.75731929885092</v>
      </c>
      <c r="O730" t="s">
        <v>8</v>
      </c>
    </row>
    <row r="731" spans="1:15" x14ac:dyDescent="0.35">
      <c r="A731">
        <v>2001</v>
      </c>
      <c r="B731">
        <v>12</v>
      </c>
      <c r="C731">
        <v>30</v>
      </c>
      <c r="D731" s="1">
        <f t="shared" si="88"/>
        <v>37255</v>
      </c>
      <c r="E731">
        <v>0</v>
      </c>
      <c r="F731">
        <f t="shared" si="94"/>
        <v>0</v>
      </c>
      <c r="G731">
        <f t="shared" si="89"/>
        <v>0</v>
      </c>
      <c r="H731">
        <f t="shared" si="95"/>
        <v>0</v>
      </c>
      <c r="I731">
        <v>730</v>
      </c>
      <c r="J731">
        <f t="shared" si="90"/>
        <v>-8.6011058657144042E-3</v>
      </c>
      <c r="K731">
        <f t="shared" si="91"/>
        <v>0.99996300980480612</v>
      </c>
      <c r="L731">
        <f>VLOOKUP(D731,[1]SOI!$A$1:$C$142,3)</f>
        <v>7.2</v>
      </c>
      <c r="M731" s="2">
        <f t="shared" si="92"/>
        <v>-6.2788072819715151</v>
      </c>
      <c r="N731">
        <f t="shared" si="93"/>
        <v>729.97299715750842</v>
      </c>
      <c r="O731" t="s">
        <v>8</v>
      </c>
    </row>
    <row r="732" spans="1:15" x14ac:dyDescent="0.35">
      <c r="A732">
        <v>2001</v>
      </c>
      <c r="B732">
        <v>12</v>
      </c>
      <c r="C732">
        <v>31</v>
      </c>
      <c r="D732" s="1">
        <f t="shared" si="88"/>
        <v>37256</v>
      </c>
      <c r="E732">
        <v>0</v>
      </c>
      <c r="F732">
        <f t="shared" si="94"/>
        <v>0</v>
      </c>
      <c r="G732">
        <f t="shared" si="89"/>
        <v>0</v>
      </c>
      <c r="H732">
        <f t="shared" si="95"/>
        <v>0</v>
      </c>
      <c r="I732">
        <v>731</v>
      </c>
      <c r="J732">
        <f t="shared" si="90"/>
        <v>8.6011058657152004E-3</v>
      </c>
      <c r="K732">
        <f t="shared" si="91"/>
        <v>0.99996300980480612</v>
      </c>
      <c r="L732">
        <f>VLOOKUP(D732,[1]SOI!$A$1:$C$142,3)</f>
        <v>7.2</v>
      </c>
      <c r="M732" s="2">
        <f t="shared" si="92"/>
        <v>6.2874083878378118</v>
      </c>
      <c r="N732">
        <f t="shared" si="93"/>
        <v>730.97296016731332</v>
      </c>
      <c r="O732" t="s">
        <v>8</v>
      </c>
    </row>
    <row r="733" spans="1:15" x14ac:dyDescent="0.35">
      <c r="A733">
        <v>2002</v>
      </c>
      <c r="B733">
        <v>1</v>
      </c>
      <c r="C733">
        <v>1</v>
      </c>
      <c r="D733" s="1">
        <f t="shared" si="88"/>
        <v>37257</v>
      </c>
      <c r="E733">
        <v>1.8</v>
      </c>
      <c r="F733">
        <f t="shared" si="94"/>
        <v>0</v>
      </c>
      <c r="G733">
        <f t="shared" si="89"/>
        <v>1</v>
      </c>
      <c r="H733">
        <f t="shared" si="95"/>
        <v>0</v>
      </c>
      <c r="I733">
        <v>732</v>
      </c>
      <c r="J733">
        <f t="shared" si="90"/>
        <v>2.580077239154065E-2</v>
      </c>
      <c r="K733">
        <f t="shared" si="91"/>
        <v>0.99966710466234709</v>
      </c>
      <c r="L733">
        <f>VLOOKUP(D733,[1]SOI!$A$1:$C$142,3)</f>
        <v>-9.1</v>
      </c>
      <c r="M733" s="2">
        <f t="shared" si="92"/>
        <v>18.886165390607754</v>
      </c>
      <c r="N733">
        <f t="shared" si="93"/>
        <v>731.75632061283807</v>
      </c>
      <c r="O733" t="s">
        <v>8</v>
      </c>
    </row>
    <row r="734" spans="1:15" x14ac:dyDescent="0.35">
      <c r="A734">
        <v>2002</v>
      </c>
      <c r="B734">
        <v>1</v>
      </c>
      <c r="C734">
        <v>2</v>
      </c>
      <c r="D734" s="1">
        <f t="shared" si="88"/>
        <v>37258</v>
      </c>
      <c r="E734">
        <v>8.8000000000000007</v>
      </c>
      <c r="F734">
        <f t="shared" si="94"/>
        <v>1.8</v>
      </c>
      <c r="G734">
        <f t="shared" si="89"/>
        <v>1</v>
      </c>
      <c r="H734">
        <f t="shared" si="95"/>
        <v>1</v>
      </c>
      <c r="I734">
        <v>733</v>
      </c>
      <c r="J734">
        <f t="shared" si="90"/>
        <v>4.2992804053720933E-2</v>
      </c>
      <c r="K734">
        <f t="shared" si="91"/>
        <v>0.99907538194052126</v>
      </c>
      <c r="L734">
        <f>VLOOKUP(D734,[1]SOI!$A$1:$C$142,3)</f>
        <v>-9.1</v>
      </c>
      <c r="M734" s="2">
        <f t="shared" si="92"/>
        <v>31.513725371377443</v>
      </c>
      <c r="N734">
        <f t="shared" si="93"/>
        <v>732.3222549624021</v>
      </c>
      <c r="O734" t="s">
        <v>8</v>
      </c>
    </row>
    <row r="735" spans="1:15" x14ac:dyDescent="0.35">
      <c r="A735">
        <v>2002</v>
      </c>
      <c r="B735">
        <v>1</v>
      </c>
      <c r="C735">
        <v>3</v>
      </c>
      <c r="D735" s="1">
        <f t="shared" si="88"/>
        <v>37259</v>
      </c>
      <c r="E735">
        <v>0.4</v>
      </c>
      <c r="F735">
        <f t="shared" si="94"/>
        <v>8.8000000000000007</v>
      </c>
      <c r="G735">
        <f t="shared" si="89"/>
        <v>1</v>
      </c>
      <c r="H735">
        <f t="shared" si="95"/>
        <v>1</v>
      </c>
      <c r="I735">
        <v>734</v>
      </c>
      <c r="J735">
        <f t="shared" si="90"/>
        <v>6.0172113453495789E-2</v>
      </c>
      <c r="K735">
        <f t="shared" si="91"/>
        <v>0.99818801673960178</v>
      </c>
      <c r="L735">
        <f>VLOOKUP(D735,[1]SOI!$A$1:$C$142,3)</f>
        <v>-9.1</v>
      </c>
      <c r="M735" s="2">
        <f t="shared" si="92"/>
        <v>44.166331274865911</v>
      </c>
      <c r="N735">
        <f t="shared" si="93"/>
        <v>732.67000428686765</v>
      </c>
      <c r="O735" t="s">
        <v>8</v>
      </c>
    </row>
    <row r="736" spans="1:15" x14ac:dyDescent="0.35">
      <c r="A736">
        <v>2002</v>
      </c>
      <c r="B736">
        <v>1</v>
      </c>
      <c r="C736">
        <v>4</v>
      </c>
      <c r="D736" s="1">
        <f t="shared" si="88"/>
        <v>37260</v>
      </c>
      <c r="E736">
        <v>0</v>
      </c>
      <c r="F736">
        <f t="shared" si="94"/>
        <v>0.4</v>
      </c>
      <c r="G736">
        <f t="shared" si="89"/>
        <v>0</v>
      </c>
      <c r="H736">
        <f t="shared" si="95"/>
        <v>1</v>
      </c>
      <c r="I736">
        <v>735</v>
      </c>
      <c r="J736">
        <f t="shared" si="90"/>
        <v>7.7333616956821755E-2</v>
      </c>
      <c r="K736">
        <f t="shared" si="91"/>
        <v>0.99700527164522834</v>
      </c>
      <c r="L736">
        <f>VLOOKUP(D736,[1]SOI!$A$1:$C$142,3)</f>
        <v>-9.1</v>
      </c>
      <c r="M736" s="2">
        <f t="shared" si="92"/>
        <v>56.840208463263991</v>
      </c>
      <c r="N736">
        <f t="shared" si="93"/>
        <v>732.79887465924287</v>
      </c>
      <c r="O736" t="s">
        <v>8</v>
      </c>
    </row>
    <row r="737" spans="1:15" x14ac:dyDescent="0.35">
      <c r="A737">
        <v>2002</v>
      </c>
      <c r="B737">
        <v>1</v>
      </c>
      <c r="C737">
        <v>5</v>
      </c>
      <c r="D737" s="1">
        <f t="shared" si="88"/>
        <v>37261</v>
      </c>
      <c r="E737">
        <v>0</v>
      </c>
      <c r="F737">
        <f t="shared" si="94"/>
        <v>0</v>
      </c>
      <c r="G737">
        <f t="shared" si="89"/>
        <v>0</v>
      </c>
      <c r="H737">
        <f t="shared" si="95"/>
        <v>0</v>
      </c>
      <c r="I737">
        <v>736</v>
      </c>
      <c r="J737">
        <f t="shared" si="90"/>
        <v>9.4472236198711951E-2</v>
      </c>
      <c r="K737">
        <f t="shared" si="91"/>
        <v>0.99552749665070261</v>
      </c>
      <c r="L737">
        <f>VLOOKUP(D737,[1]SOI!$A$1:$C$142,3)</f>
        <v>-9.1</v>
      </c>
      <c r="M737" s="2">
        <f t="shared" si="92"/>
        <v>69.531565842251993</v>
      </c>
      <c r="N737">
        <f t="shared" si="93"/>
        <v>732.70823753491709</v>
      </c>
      <c r="O737" t="s">
        <v>8</v>
      </c>
    </row>
    <row r="738" spans="1:15" x14ac:dyDescent="0.35">
      <c r="A738">
        <v>2002</v>
      </c>
      <c r="B738">
        <v>1</v>
      </c>
      <c r="C738">
        <v>6</v>
      </c>
      <c r="D738" s="1">
        <f t="shared" si="88"/>
        <v>37262</v>
      </c>
      <c r="E738">
        <v>0</v>
      </c>
      <c r="F738">
        <f t="shared" si="94"/>
        <v>0</v>
      </c>
      <c r="G738">
        <f t="shared" si="89"/>
        <v>0</v>
      </c>
      <c r="H738">
        <f t="shared" si="95"/>
        <v>0</v>
      </c>
      <c r="I738">
        <v>737</v>
      </c>
      <c r="J738">
        <f t="shared" si="90"/>
        <v>0.11158289958600059</v>
      </c>
      <c r="K738">
        <f t="shared" si="91"/>
        <v>0.99375512905342056</v>
      </c>
      <c r="L738">
        <f>VLOOKUP(D738,[1]SOI!$A$1:$C$142,3)</f>
        <v>-9.1</v>
      </c>
      <c r="M738" s="2">
        <f t="shared" si="92"/>
        <v>82.236596994882433</v>
      </c>
      <c r="N738">
        <f t="shared" si="93"/>
        <v>732.39753011237099</v>
      </c>
      <c r="O738" t="s">
        <v>8</v>
      </c>
    </row>
    <row r="739" spans="1:15" x14ac:dyDescent="0.35">
      <c r="A739">
        <v>2002</v>
      </c>
      <c r="B739">
        <v>1</v>
      </c>
      <c r="C739">
        <v>7</v>
      </c>
      <c r="D739" s="1">
        <f t="shared" si="88"/>
        <v>37263</v>
      </c>
      <c r="E739">
        <v>1.4</v>
      </c>
      <c r="F739">
        <f t="shared" si="94"/>
        <v>0</v>
      </c>
      <c r="G739">
        <f t="shared" si="89"/>
        <v>1</v>
      </c>
      <c r="H739">
        <f t="shared" si="95"/>
        <v>0</v>
      </c>
      <c r="I739">
        <v>738</v>
      </c>
      <c r="J739">
        <f t="shared" si="90"/>
        <v>0.12866054379810374</v>
      </c>
      <c r="K739">
        <f t="shared" si="91"/>
        <v>0.99168869332546905</v>
      </c>
      <c r="L739">
        <f>VLOOKUP(D739,[1]SOI!$A$1:$C$142,3)</f>
        <v>-9.1</v>
      </c>
      <c r="M739" s="2">
        <f t="shared" si="92"/>
        <v>94.951481323000564</v>
      </c>
      <c r="N739">
        <f t="shared" si="93"/>
        <v>731.86625567419617</v>
      </c>
      <c r="O739" t="s">
        <v>8</v>
      </c>
    </row>
    <row r="740" spans="1:15" x14ac:dyDescent="0.35">
      <c r="A740">
        <v>2002</v>
      </c>
      <c r="B740">
        <v>1</v>
      </c>
      <c r="C740">
        <v>8</v>
      </c>
      <c r="D740" s="1">
        <f t="shared" si="88"/>
        <v>37264</v>
      </c>
      <c r="E740">
        <v>0</v>
      </c>
      <c r="F740">
        <f t="shared" si="94"/>
        <v>1.4</v>
      </c>
      <c r="G740">
        <f t="shared" si="89"/>
        <v>0</v>
      </c>
      <c r="H740">
        <f t="shared" si="95"/>
        <v>1</v>
      </c>
      <c r="I740">
        <v>739</v>
      </c>
      <c r="J740">
        <f t="shared" si="90"/>
        <v>0.1457001152853479</v>
      </c>
      <c r="K740">
        <f t="shared" si="91"/>
        <v>0.98932880095842568</v>
      </c>
      <c r="L740">
        <f>VLOOKUP(D740,[1]SOI!$A$1:$C$142,3)</f>
        <v>-9.1</v>
      </c>
      <c r="M740" s="2">
        <f t="shared" si="92"/>
        <v>107.6723851958721</v>
      </c>
      <c r="N740">
        <f t="shared" si="93"/>
        <v>731.11398390827662</v>
      </c>
      <c r="O740" t="s">
        <v>8</v>
      </c>
    </row>
    <row r="741" spans="1:15" x14ac:dyDescent="0.35">
      <c r="A741">
        <v>2002</v>
      </c>
      <c r="B741">
        <v>1</v>
      </c>
      <c r="C741">
        <v>9</v>
      </c>
      <c r="D741" s="1">
        <f t="shared" si="88"/>
        <v>37265</v>
      </c>
      <c r="E741">
        <v>0</v>
      </c>
      <c r="F741">
        <f t="shared" si="94"/>
        <v>0</v>
      </c>
      <c r="G741">
        <f t="shared" si="89"/>
        <v>0</v>
      </c>
      <c r="H741">
        <f t="shared" si="95"/>
        <v>0</v>
      </c>
      <c r="I741">
        <v>740</v>
      </c>
      <c r="J741">
        <f t="shared" si="90"/>
        <v>0.1626965717643897</v>
      </c>
      <c r="K741">
        <f t="shared" si="91"/>
        <v>0.98667615028240896</v>
      </c>
      <c r="L741">
        <f>VLOOKUP(D741,[1]SOI!$A$1:$C$142,3)</f>
        <v>-9.1</v>
      </c>
      <c r="M741" s="2">
        <f t="shared" si="92"/>
        <v>120.39546310564837</v>
      </c>
      <c r="N741">
        <f t="shared" si="93"/>
        <v>730.14035120898268</v>
      </c>
      <c r="O741" t="s">
        <v>8</v>
      </c>
    </row>
    <row r="742" spans="1:15" x14ac:dyDescent="0.35">
      <c r="A742">
        <v>2002</v>
      </c>
      <c r="B742">
        <v>1</v>
      </c>
      <c r="C742">
        <v>10</v>
      </c>
      <c r="D742" s="1">
        <f t="shared" si="88"/>
        <v>37266</v>
      </c>
      <c r="E742">
        <v>0</v>
      </c>
      <c r="F742">
        <f t="shared" si="94"/>
        <v>0</v>
      </c>
      <c r="G742">
        <f t="shared" si="89"/>
        <v>0</v>
      </c>
      <c r="H742">
        <f t="shared" si="95"/>
        <v>0</v>
      </c>
      <c r="I742">
        <v>741</v>
      </c>
      <c r="J742">
        <f t="shared" si="90"/>
        <v>0.17964488371031379</v>
      </c>
      <c r="K742">
        <f t="shared" si="91"/>
        <v>0.98373152625943017</v>
      </c>
      <c r="L742">
        <f>VLOOKUP(D742,[1]SOI!$A$1:$C$142,3)</f>
        <v>-9.1</v>
      </c>
      <c r="M742" s="2">
        <f t="shared" si="92"/>
        <v>133.1168588293425</v>
      </c>
      <c r="N742">
        <f t="shared" si="93"/>
        <v>728.94506095823772</v>
      </c>
      <c r="O742" t="s">
        <v>8</v>
      </c>
    </row>
    <row r="743" spans="1:15" x14ac:dyDescent="0.35">
      <c r="A743">
        <v>2002</v>
      </c>
      <c r="B743">
        <v>1</v>
      </c>
      <c r="C743">
        <v>11</v>
      </c>
      <c r="D743" s="1">
        <f t="shared" si="88"/>
        <v>37267</v>
      </c>
      <c r="E743">
        <v>0</v>
      </c>
      <c r="F743">
        <f t="shared" si="94"/>
        <v>0</v>
      </c>
      <c r="G743">
        <f t="shared" si="89"/>
        <v>0</v>
      </c>
      <c r="H743">
        <f t="shared" si="95"/>
        <v>0</v>
      </c>
      <c r="I743">
        <v>742</v>
      </c>
      <c r="J743">
        <f t="shared" si="90"/>
        <v>0.19654003584493621</v>
      </c>
      <c r="K743">
        <f t="shared" si="91"/>
        <v>0.98049580025111338</v>
      </c>
      <c r="L743">
        <f>VLOOKUP(D743,[1]SOI!$A$1:$C$142,3)</f>
        <v>-9.1</v>
      </c>
      <c r="M743" s="2">
        <f t="shared" si="92"/>
        <v>145.83270659694267</v>
      </c>
      <c r="N743">
        <f t="shared" si="93"/>
        <v>727.52788378632613</v>
      </c>
      <c r="O743" t="s">
        <v>8</v>
      </c>
    </row>
    <row r="744" spans="1:15" x14ac:dyDescent="0.35">
      <c r="A744">
        <v>2002</v>
      </c>
      <c r="B744">
        <v>1</v>
      </c>
      <c r="C744">
        <v>12</v>
      </c>
      <c r="D744" s="1">
        <f t="shared" si="88"/>
        <v>37268</v>
      </c>
      <c r="E744">
        <v>0</v>
      </c>
      <c r="F744">
        <f t="shared" si="94"/>
        <v>0</v>
      </c>
      <c r="G744">
        <f t="shared" si="89"/>
        <v>0</v>
      </c>
      <c r="H744">
        <f t="shared" si="95"/>
        <v>0</v>
      </c>
      <c r="I744">
        <v>743</v>
      </c>
      <c r="J744">
        <f t="shared" si="90"/>
        <v>0.213377028620927</v>
      </c>
      <c r="K744">
        <f t="shared" si="91"/>
        <v>0.97696992976084174</v>
      </c>
      <c r="L744">
        <f>VLOOKUP(D744,[1]SOI!$A$1:$C$142,3)</f>
        <v>-9.1</v>
      </c>
      <c r="M744" s="2">
        <f t="shared" si="92"/>
        <v>158.53913226534877</v>
      </c>
      <c r="N744">
        <f t="shared" si="93"/>
        <v>725.88865781230538</v>
      </c>
      <c r="O744" t="s">
        <v>8</v>
      </c>
    </row>
    <row r="745" spans="1:15" x14ac:dyDescent="0.35">
      <c r="A745">
        <v>2002</v>
      </c>
      <c r="B745">
        <v>1</v>
      </c>
      <c r="C745">
        <v>13</v>
      </c>
      <c r="D745" s="1">
        <f t="shared" si="88"/>
        <v>37269</v>
      </c>
      <c r="E745">
        <v>0.4</v>
      </c>
      <c r="F745">
        <f t="shared" si="94"/>
        <v>0</v>
      </c>
      <c r="G745">
        <f t="shared" si="89"/>
        <v>1</v>
      </c>
      <c r="H745">
        <f t="shared" si="95"/>
        <v>0</v>
      </c>
      <c r="I745">
        <v>744</v>
      </c>
      <c r="J745">
        <f t="shared" si="90"/>
        <v>0.23015087970124259</v>
      </c>
      <c r="K745">
        <f t="shared" si="91"/>
        <v>0.97315495815041919</v>
      </c>
      <c r="L745">
        <f>VLOOKUP(D745,[1]SOI!$A$1:$C$142,3)</f>
        <v>-9.1</v>
      </c>
      <c r="M745" s="2">
        <f t="shared" si="92"/>
        <v>171.23225449772448</v>
      </c>
      <c r="N745">
        <f t="shared" si="93"/>
        <v>724.02728886391185</v>
      </c>
      <c r="O745" t="s">
        <v>8</v>
      </c>
    </row>
    <row r="746" spans="1:15" x14ac:dyDescent="0.35">
      <c r="A746">
        <v>2002</v>
      </c>
      <c r="B746">
        <v>1</v>
      </c>
      <c r="C746">
        <v>14</v>
      </c>
      <c r="D746" s="1">
        <f t="shared" si="88"/>
        <v>37270</v>
      </c>
      <c r="E746">
        <v>0.4</v>
      </c>
      <c r="F746">
        <f t="shared" si="94"/>
        <v>0.4</v>
      </c>
      <c r="G746">
        <f t="shared" si="89"/>
        <v>1</v>
      </c>
      <c r="H746">
        <f t="shared" si="95"/>
        <v>1</v>
      </c>
      <c r="I746">
        <v>745</v>
      </c>
      <c r="J746">
        <f t="shared" si="90"/>
        <v>0.24685662543348469</v>
      </c>
      <c r="K746">
        <f t="shared" si="91"/>
        <v>0.96905201433132171</v>
      </c>
      <c r="L746">
        <f>VLOOKUP(D746,[1]SOI!$A$1:$C$142,3)</f>
        <v>-9.1</v>
      </c>
      <c r="M746" s="2">
        <f t="shared" si="92"/>
        <v>183.90818594794609</v>
      </c>
      <c r="N746">
        <f t="shared" si="93"/>
        <v>721.94375067683472</v>
      </c>
      <c r="O746" t="s">
        <v>8</v>
      </c>
    </row>
    <row r="747" spans="1:15" x14ac:dyDescent="0.35">
      <c r="A747">
        <v>2002</v>
      </c>
      <c r="B747">
        <v>1</v>
      </c>
      <c r="C747">
        <v>15</v>
      </c>
      <c r="D747" s="1">
        <f t="shared" si="88"/>
        <v>37271</v>
      </c>
      <c r="E747">
        <v>0</v>
      </c>
      <c r="F747">
        <f t="shared" si="94"/>
        <v>0.4</v>
      </c>
      <c r="G747">
        <f t="shared" si="89"/>
        <v>0</v>
      </c>
      <c r="H747">
        <f t="shared" si="95"/>
        <v>1</v>
      </c>
      <c r="I747">
        <v>746</v>
      </c>
      <c r="J747">
        <f t="shared" si="90"/>
        <v>0.26348932231871808</v>
      </c>
      <c r="K747">
        <f t="shared" si="91"/>
        <v>0.96466231243063638</v>
      </c>
      <c r="L747">
        <f>VLOOKUP(D747,[1]SOI!$A$1:$C$142,3)</f>
        <v>-9.1</v>
      </c>
      <c r="M747" s="2">
        <f t="shared" si="92"/>
        <v>196.56303444976368</v>
      </c>
      <c r="N747">
        <f t="shared" si="93"/>
        <v>719.63808507325473</v>
      </c>
      <c r="O747" t="s">
        <v>8</v>
      </c>
    </row>
    <row r="748" spans="1:15" x14ac:dyDescent="0.35">
      <c r="A748">
        <v>2002</v>
      </c>
      <c r="B748">
        <v>1</v>
      </c>
      <c r="C748">
        <v>16</v>
      </c>
      <c r="D748" s="1">
        <f t="shared" si="88"/>
        <v>37272</v>
      </c>
      <c r="E748">
        <v>0</v>
      </c>
      <c r="F748">
        <f t="shared" si="94"/>
        <v>0</v>
      </c>
      <c r="G748">
        <f t="shared" si="89"/>
        <v>0</v>
      </c>
      <c r="H748">
        <f t="shared" si="95"/>
        <v>0</v>
      </c>
      <c r="I748">
        <v>747</v>
      </c>
      <c r="J748">
        <f t="shared" si="90"/>
        <v>0.28004404847434183</v>
      </c>
      <c r="K748">
        <f t="shared" si="91"/>
        <v>0.95998715143177848</v>
      </c>
      <c r="L748">
        <f>VLOOKUP(D748,[1]SOI!$A$1:$C$142,3)</f>
        <v>-9.1</v>
      </c>
      <c r="M748" s="2">
        <f t="shared" si="92"/>
        <v>209.19290421033335</v>
      </c>
      <c r="N748">
        <f t="shared" si="93"/>
        <v>717.11040211953855</v>
      </c>
      <c r="O748" t="s">
        <v>8</v>
      </c>
    </row>
    <row r="749" spans="1:15" x14ac:dyDescent="0.35">
      <c r="A749">
        <v>2002</v>
      </c>
      <c r="B749">
        <v>1</v>
      </c>
      <c r="C749">
        <v>17</v>
      </c>
      <c r="D749" s="1">
        <f t="shared" si="88"/>
        <v>37273</v>
      </c>
      <c r="E749">
        <v>0</v>
      </c>
      <c r="F749">
        <f t="shared" si="94"/>
        <v>0</v>
      </c>
      <c r="G749">
        <f t="shared" si="89"/>
        <v>0</v>
      </c>
      <c r="H749">
        <f t="shared" si="95"/>
        <v>0</v>
      </c>
      <c r="I749">
        <v>748</v>
      </c>
      <c r="J749">
        <f t="shared" si="90"/>
        <v>0.29651590509054826</v>
      </c>
      <c r="K749">
        <f t="shared" si="91"/>
        <v>0.9550279147901034</v>
      </c>
      <c r="L749">
        <f>VLOOKUP(D749,[1]SOI!$A$1:$C$142,3)</f>
        <v>-9.1</v>
      </c>
      <c r="M749" s="2">
        <f t="shared" si="92"/>
        <v>221.7938970077301</v>
      </c>
      <c r="N749">
        <f t="shared" si="93"/>
        <v>714.3608802629974</v>
      </c>
      <c r="O749" t="s">
        <v>8</v>
      </c>
    </row>
    <row r="750" spans="1:15" x14ac:dyDescent="0.35">
      <c r="A750">
        <v>2002</v>
      </c>
      <c r="B750">
        <v>1</v>
      </c>
      <c r="C750">
        <v>18</v>
      </c>
      <c r="D750" s="1">
        <f t="shared" si="88"/>
        <v>37274</v>
      </c>
      <c r="E750">
        <v>0</v>
      </c>
      <c r="F750">
        <f t="shared" si="94"/>
        <v>0</v>
      </c>
      <c r="G750">
        <f t="shared" si="89"/>
        <v>0</v>
      </c>
      <c r="H750">
        <f t="shared" si="95"/>
        <v>0</v>
      </c>
      <c r="I750">
        <v>749</v>
      </c>
      <c r="J750">
        <f t="shared" si="90"/>
        <v>0.31290001787995442</v>
      </c>
      <c r="K750">
        <f t="shared" si="91"/>
        <v>0.94978607002352067</v>
      </c>
      <c r="L750">
        <f>VLOOKUP(D750,[1]SOI!$A$1:$C$142,3)</f>
        <v>-9.1</v>
      </c>
      <c r="M750" s="2">
        <f t="shared" si="92"/>
        <v>234.36211339208586</v>
      </c>
      <c r="N750">
        <f t="shared" si="93"/>
        <v>711.38976644761703</v>
      </c>
      <c r="O750" t="s">
        <v>8</v>
      </c>
    </row>
    <row r="751" spans="1:15" x14ac:dyDescent="0.35">
      <c r="A751">
        <v>2002</v>
      </c>
      <c r="B751">
        <v>1</v>
      </c>
      <c r="C751">
        <v>19</v>
      </c>
      <c r="D751" s="1">
        <f t="shared" si="88"/>
        <v>37275</v>
      </c>
      <c r="E751">
        <v>0</v>
      </c>
      <c r="F751">
        <f t="shared" si="94"/>
        <v>0</v>
      </c>
      <c r="G751">
        <f t="shared" si="89"/>
        <v>0</v>
      </c>
      <c r="H751">
        <f t="shared" si="95"/>
        <v>0</v>
      </c>
      <c r="I751">
        <v>750</v>
      </c>
      <c r="J751">
        <f t="shared" si="90"/>
        <v>0.32919153851999278</v>
      </c>
      <c r="K751">
        <f t="shared" si="91"/>
        <v>0.94426316827822954</v>
      </c>
      <c r="L751">
        <f>VLOOKUP(D751,[1]SOI!$A$1:$C$142,3)</f>
        <v>-9.1</v>
      </c>
      <c r="M751" s="2">
        <f t="shared" si="92"/>
        <v>246.8936538899946</v>
      </c>
      <c r="N751">
        <f t="shared" si="93"/>
        <v>708.19737620867215</v>
      </c>
      <c r="O751" t="s">
        <v>8</v>
      </c>
    </row>
    <row r="752" spans="1:15" x14ac:dyDescent="0.35">
      <c r="A752">
        <v>2002</v>
      </c>
      <c r="B752">
        <v>1</v>
      </c>
      <c r="C752">
        <v>20</v>
      </c>
      <c r="D752" s="1">
        <f t="shared" si="88"/>
        <v>37276</v>
      </c>
      <c r="E752">
        <v>0</v>
      </c>
      <c r="F752">
        <f t="shared" si="94"/>
        <v>0</v>
      </c>
      <c r="G752">
        <f t="shared" si="89"/>
        <v>0</v>
      </c>
      <c r="H752">
        <f t="shared" si="95"/>
        <v>0</v>
      </c>
      <c r="I752">
        <v>751</v>
      </c>
      <c r="J752">
        <f t="shared" si="90"/>
        <v>0.34538564608760042</v>
      </c>
      <c r="K752">
        <f t="shared" si="91"/>
        <v>0.9384608438697114</v>
      </c>
      <c r="L752">
        <f>VLOOKUP(D752,[1]SOI!$A$1:$C$142,3)</f>
        <v>-9.1</v>
      </c>
      <c r="M752" s="2">
        <f t="shared" si="92"/>
        <v>259.38462021178793</v>
      </c>
      <c r="N752">
        <f t="shared" si="93"/>
        <v>704.7840937461533</v>
      </c>
      <c r="O752" t="s">
        <v>8</v>
      </c>
    </row>
    <row r="753" spans="1:15" x14ac:dyDescent="0.35">
      <c r="A753">
        <v>2002</v>
      </c>
      <c r="B753">
        <v>1</v>
      </c>
      <c r="C753">
        <v>21</v>
      </c>
      <c r="D753" s="1">
        <f t="shared" si="88"/>
        <v>37277</v>
      </c>
      <c r="E753">
        <v>0.2</v>
      </c>
      <c r="F753">
        <f t="shared" si="94"/>
        <v>0</v>
      </c>
      <c r="G753">
        <f t="shared" si="89"/>
        <v>1</v>
      </c>
      <c r="H753">
        <f t="shared" si="95"/>
        <v>0</v>
      </c>
      <c r="I753">
        <v>752</v>
      </c>
      <c r="J753">
        <f t="shared" si="90"/>
        <v>0.36147754848581176</v>
      </c>
      <c r="K753">
        <f t="shared" si="91"/>
        <v>0.93238081379910842</v>
      </c>
      <c r="L753">
        <f>VLOOKUP(D753,[1]SOI!$A$1:$C$142,3)</f>
        <v>-9.1</v>
      </c>
      <c r="M753" s="2">
        <f t="shared" si="92"/>
        <v>271.83111646133045</v>
      </c>
      <c r="N753">
        <f t="shared" si="93"/>
        <v>701.15037197692948</v>
      </c>
      <c r="O753" t="s">
        <v>8</v>
      </c>
    </row>
    <row r="754" spans="1:15" x14ac:dyDescent="0.35">
      <c r="A754">
        <v>2002</v>
      </c>
      <c r="B754">
        <v>1</v>
      </c>
      <c r="C754">
        <v>22</v>
      </c>
      <c r="D754" s="1">
        <f t="shared" si="88"/>
        <v>37278</v>
      </c>
      <c r="E754">
        <v>13</v>
      </c>
      <c r="F754">
        <f t="shared" si="94"/>
        <v>0.2</v>
      </c>
      <c r="G754">
        <f t="shared" si="89"/>
        <v>1</v>
      </c>
      <c r="H754">
        <f t="shared" si="95"/>
        <v>1</v>
      </c>
      <c r="I754">
        <v>753</v>
      </c>
      <c r="J754">
        <f t="shared" si="90"/>
        <v>0.37746248386180992</v>
      </c>
      <c r="K754">
        <f t="shared" si="91"/>
        <v>0.92602487724513805</v>
      </c>
      <c r="L754">
        <f>VLOOKUP(D754,[1]SOI!$A$1:$C$142,3)</f>
        <v>-9.1</v>
      </c>
      <c r="M754" s="2">
        <f t="shared" si="92"/>
        <v>284.22925034794287</v>
      </c>
      <c r="N754">
        <f t="shared" si="93"/>
        <v>697.29673256558897</v>
      </c>
      <c r="O754" t="s">
        <v>8</v>
      </c>
    </row>
    <row r="755" spans="1:15" x14ac:dyDescent="0.35">
      <c r="A755">
        <v>2002</v>
      </c>
      <c r="B755">
        <v>1</v>
      </c>
      <c r="C755">
        <v>23</v>
      </c>
      <c r="D755" s="1">
        <f t="shared" si="88"/>
        <v>37279</v>
      </c>
      <c r="E755">
        <v>3.4</v>
      </c>
      <c r="F755">
        <f t="shared" si="94"/>
        <v>13</v>
      </c>
      <c r="G755">
        <f t="shared" si="89"/>
        <v>1</v>
      </c>
      <c r="H755">
        <f t="shared" si="95"/>
        <v>1</v>
      </c>
      <c r="I755">
        <v>754</v>
      </c>
      <c r="J755">
        <f t="shared" si="90"/>
        <v>0.39333572201604594</v>
      </c>
      <c r="K755">
        <f t="shared" si="91"/>
        <v>0.91939491503168314</v>
      </c>
      <c r="L755">
        <f>VLOOKUP(D755,[1]SOI!$A$1:$C$142,3)</f>
        <v>-9.1</v>
      </c>
      <c r="M755" s="2">
        <f t="shared" si="92"/>
        <v>296.57513440009865</v>
      </c>
      <c r="N755">
        <f t="shared" si="93"/>
        <v>693.22376593388913</v>
      </c>
      <c r="O755" t="s">
        <v>8</v>
      </c>
    </row>
    <row r="756" spans="1:15" x14ac:dyDescent="0.35">
      <c r="A756">
        <v>2002</v>
      </c>
      <c r="B756">
        <v>1</v>
      </c>
      <c r="C756">
        <v>24</v>
      </c>
      <c r="D756" s="1">
        <f t="shared" si="88"/>
        <v>37280</v>
      </c>
      <c r="E756">
        <v>0</v>
      </c>
      <c r="F756">
        <f t="shared" si="94"/>
        <v>3.4</v>
      </c>
      <c r="G756">
        <f t="shared" si="89"/>
        <v>0</v>
      </c>
      <c r="H756">
        <f t="shared" si="95"/>
        <v>1</v>
      </c>
      <c r="I756">
        <v>755</v>
      </c>
      <c r="J756">
        <f t="shared" si="90"/>
        <v>0.40909256580197417</v>
      </c>
      <c r="K756">
        <f t="shared" si="91"/>
        <v>0.91249288907122861</v>
      </c>
      <c r="L756">
        <f>VLOOKUP(D756,[1]SOI!$A$1:$C$142,3)</f>
        <v>-9.1</v>
      </c>
      <c r="M756" s="2">
        <f t="shared" si="92"/>
        <v>308.86488718049048</v>
      </c>
      <c r="N756">
        <f t="shared" si="93"/>
        <v>688.93213124877764</v>
      </c>
      <c r="O756" t="s">
        <v>8</v>
      </c>
    </row>
    <row r="757" spans="1:15" x14ac:dyDescent="0.35">
      <c r="A757">
        <v>2002</v>
      </c>
      <c r="B757">
        <v>1</v>
      </c>
      <c r="C757">
        <v>25</v>
      </c>
      <c r="D757" s="1">
        <f t="shared" si="88"/>
        <v>37281</v>
      </c>
      <c r="E757">
        <v>0</v>
      </c>
      <c r="F757">
        <f t="shared" si="94"/>
        <v>0</v>
      </c>
      <c r="G757">
        <f t="shared" si="89"/>
        <v>0</v>
      </c>
      <c r="H757">
        <f t="shared" si="95"/>
        <v>0</v>
      </c>
      <c r="I757">
        <v>756</v>
      </c>
      <c r="J757">
        <f t="shared" si="90"/>
        <v>0.42472835251601831</v>
      </c>
      <c r="K757">
        <f t="shared" si="91"/>
        <v>0.90532084178429739</v>
      </c>
      <c r="L757">
        <f>VLOOKUP(D757,[1]SOI!$A$1:$C$142,3)</f>
        <v>-9.1</v>
      </c>
      <c r="M757" s="2">
        <f t="shared" si="92"/>
        <v>321.09463450210984</v>
      </c>
      <c r="N757">
        <f t="shared" si="93"/>
        <v>684.4225563889288</v>
      </c>
      <c r="O757" t="s">
        <v>8</v>
      </c>
    </row>
    <row r="758" spans="1:15" x14ac:dyDescent="0.35">
      <c r="A758">
        <v>2002</v>
      </c>
      <c r="B758">
        <v>1</v>
      </c>
      <c r="C758">
        <v>26</v>
      </c>
      <c r="D758" s="1">
        <f t="shared" si="88"/>
        <v>37282</v>
      </c>
      <c r="E758">
        <v>2</v>
      </c>
      <c r="F758">
        <f t="shared" si="94"/>
        <v>0</v>
      </c>
      <c r="G758">
        <f t="shared" si="89"/>
        <v>1</v>
      </c>
      <c r="H758">
        <f t="shared" si="95"/>
        <v>0</v>
      </c>
      <c r="I758">
        <v>757</v>
      </c>
      <c r="J758">
        <f t="shared" si="90"/>
        <v>0.44023845527732763</v>
      </c>
      <c r="K758">
        <f t="shared" si="91"/>
        <v>0.897880895495072</v>
      </c>
      <c r="L758">
        <f>VLOOKUP(D758,[1]SOI!$A$1:$C$142,3)</f>
        <v>-9.1</v>
      </c>
      <c r="M758" s="2">
        <f t="shared" si="92"/>
        <v>333.26051064493703</v>
      </c>
      <c r="N758">
        <f t="shared" si="93"/>
        <v>679.69583788976945</v>
      </c>
      <c r="O758" t="s">
        <v>8</v>
      </c>
    </row>
    <row r="759" spans="1:15" x14ac:dyDescent="0.35">
      <c r="A759">
        <v>2002</v>
      </c>
      <c r="B759">
        <v>1</v>
      </c>
      <c r="C759">
        <v>27</v>
      </c>
      <c r="D759" s="1">
        <f t="shared" si="88"/>
        <v>37283</v>
      </c>
      <c r="E759">
        <v>1</v>
      </c>
      <c r="F759">
        <f t="shared" si="94"/>
        <v>2</v>
      </c>
      <c r="G759">
        <f t="shared" si="89"/>
        <v>1</v>
      </c>
      <c r="H759">
        <f t="shared" si="95"/>
        <v>1</v>
      </c>
      <c r="I759">
        <v>758</v>
      </c>
      <c r="J759">
        <f t="shared" si="90"/>
        <v>0.45561828439696478</v>
      </c>
      <c r="K759">
        <f t="shared" si="91"/>
        <v>0.89017525180335499</v>
      </c>
      <c r="L759">
        <f>VLOOKUP(D759,[1]SOI!$A$1:$C$142,3)</f>
        <v>-9.1</v>
      </c>
      <c r="M759" s="2">
        <f t="shared" si="92"/>
        <v>345.35865957289928</v>
      </c>
      <c r="N759">
        <f t="shared" si="93"/>
        <v>674.75284086694307</v>
      </c>
      <c r="O759" t="s">
        <v>8</v>
      </c>
    </row>
    <row r="760" spans="1:15" x14ac:dyDescent="0.35">
      <c r="A760">
        <v>2002</v>
      </c>
      <c r="B760">
        <v>1</v>
      </c>
      <c r="C760">
        <v>28</v>
      </c>
      <c r="D760" s="1">
        <f t="shared" si="88"/>
        <v>37284</v>
      </c>
      <c r="E760">
        <v>2.4</v>
      </c>
      <c r="F760">
        <f t="shared" si="94"/>
        <v>1</v>
      </c>
      <c r="G760">
        <f t="shared" si="89"/>
        <v>1</v>
      </c>
      <c r="H760">
        <f t="shared" si="95"/>
        <v>1</v>
      </c>
      <c r="I760">
        <v>759</v>
      </c>
      <c r="J760">
        <f t="shared" si="90"/>
        <v>0.47086328873605704</v>
      </c>
      <c r="K760">
        <f t="shared" si="91"/>
        <v>0.88220619093308605</v>
      </c>
      <c r="L760">
        <f>VLOOKUP(D760,[1]SOI!$A$1:$C$142,3)</f>
        <v>-9.1</v>
      </c>
      <c r="M760" s="2">
        <f t="shared" si="92"/>
        <v>357.38523615066731</v>
      </c>
      <c r="N760">
        <f t="shared" si="93"/>
        <v>669.59449891821237</v>
      </c>
      <c r="O760" t="s">
        <v>8</v>
      </c>
    </row>
    <row r="761" spans="1:15" x14ac:dyDescent="0.35">
      <c r="A761">
        <v>2002</v>
      </c>
      <c r="B761">
        <v>1</v>
      </c>
      <c r="C761">
        <v>29</v>
      </c>
      <c r="D761" s="1">
        <f t="shared" si="88"/>
        <v>37285</v>
      </c>
      <c r="E761">
        <v>2.2000000000000002</v>
      </c>
      <c r="F761">
        <f t="shared" si="94"/>
        <v>2.4</v>
      </c>
      <c r="G761">
        <f t="shared" si="89"/>
        <v>1</v>
      </c>
      <c r="H761">
        <f t="shared" si="95"/>
        <v>1</v>
      </c>
      <c r="I761">
        <v>760</v>
      </c>
      <c r="J761">
        <f t="shared" si="90"/>
        <v>0.48596895705254889</v>
      </c>
      <c r="K761">
        <f t="shared" si="91"/>
        <v>0.8739760710575879</v>
      </c>
      <c r="L761">
        <f>VLOOKUP(D761,[1]SOI!$A$1:$C$142,3)</f>
        <v>-9.1</v>
      </c>
      <c r="M761" s="2">
        <f t="shared" si="92"/>
        <v>369.33640735993714</v>
      </c>
      <c r="N761">
        <f t="shared" si="93"/>
        <v>664.22181400376678</v>
      </c>
      <c r="O761" t="s">
        <v>8</v>
      </c>
    </row>
    <row r="762" spans="1:15" x14ac:dyDescent="0.35">
      <c r="A762">
        <v>2002</v>
      </c>
      <c r="B762">
        <v>1</v>
      </c>
      <c r="C762">
        <v>30</v>
      </c>
      <c r="D762" s="1">
        <f t="shared" si="88"/>
        <v>37286</v>
      </c>
      <c r="E762">
        <v>0.8</v>
      </c>
      <c r="F762">
        <f t="shared" si="94"/>
        <v>2.2000000000000002</v>
      </c>
      <c r="G762">
        <f t="shared" si="89"/>
        <v>1</v>
      </c>
      <c r="H762">
        <f t="shared" si="95"/>
        <v>1</v>
      </c>
      <c r="I762">
        <v>761</v>
      </c>
      <c r="J762">
        <f t="shared" si="90"/>
        <v>0.50093081933616013</v>
      </c>
      <c r="K762">
        <f t="shared" si="91"/>
        <v>0.86548732760174096</v>
      </c>
      <c r="L762">
        <f>VLOOKUP(D762,[1]SOI!$A$1:$C$142,3)</f>
        <v>-9.1</v>
      </c>
      <c r="M762" s="2">
        <f t="shared" si="92"/>
        <v>381.20835351481787</v>
      </c>
      <c r="N762">
        <f t="shared" si="93"/>
        <v>658.63585630492491</v>
      </c>
      <c r="O762" t="s">
        <v>8</v>
      </c>
    </row>
    <row r="763" spans="1:15" x14ac:dyDescent="0.35">
      <c r="A763">
        <v>2002</v>
      </c>
      <c r="B763">
        <v>1</v>
      </c>
      <c r="C763">
        <v>31</v>
      </c>
      <c r="D763" s="1">
        <f t="shared" si="88"/>
        <v>37287</v>
      </c>
      <c r="E763">
        <v>0</v>
      </c>
      <c r="F763">
        <f t="shared" si="94"/>
        <v>0.8</v>
      </c>
      <c r="G763">
        <f t="shared" si="89"/>
        <v>0</v>
      </c>
      <c r="H763">
        <f t="shared" si="95"/>
        <v>1</v>
      </c>
      <c r="I763">
        <v>762</v>
      </c>
      <c r="J763">
        <f t="shared" si="90"/>
        <v>0.51574444813112796</v>
      </c>
      <c r="K763">
        <f t="shared" si="91"/>
        <v>0.85674247252130453</v>
      </c>
      <c r="L763">
        <f>VLOOKUP(D763,[1]SOI!$A$1:$C$142,3)</f>
        <v>-9.1</v>
      </c>
      <c r="M763" s="2">
        <f t="shared" si="92"/>
        <v>392.9972694759195</v>
      </c>
      <c r="N763">
        <f t="shared" si="93"/>
        <v>652.837764061234</v>
      </c>
      <c r="O763" t="s">
        <v>8</v>
      </c>
    </row>
    <row r="764" spans="1:15" x14ac:dyDescent="0.35">
      <c r="A764">
        <v>2002</v>
      </c>
      <c r="B764">
        <v>2</v>
      </c>
      <c r="C764">
        <v>1</v>
      </c>
      <c r="D764" s="1">
        <f t="shared" si="88"/>
        <v>37288</v>
      </c>
      <c r="E764">
        <v>0</v>
      </c>
      <c r="F764">
        <f t="shared" si="94"/>
        <v>0</v>
      </c>
      <c r="G764">
        <f t="shared" si="89"/>
        <v>0</v>
      </c>
      <c r="H764">
        <f t="shared" si="95"/>
        <v>0</v>
      </c>
      <c r="I764">
        <v>763</v>
      </c>
      <c r="J764">
        <f t="shared" si="90"/>
        <v>0.530405459846365</v>
      </c>
      <c r="K764">
        <f t="shared" si="91"/>
        <v>0.84774409355958713</v>
      </c>
      <c r="L764">
        <f>VLOOKUP(D764,[1]SOI!$A$1:$C$142,3)</f>
        <v>2.7</v>
      </c>
      <c r="M764" s="2">
        <f t="shared" si="92"/>
        <v>404.69936586277652</v>
      </c>
      <c r="N764">
        <f t="shared" si="93"/>
        <v>646.82874338596503</v>
      </c>
      <c r="O764" t="s">
        <v>8</v>
      </c>
    </row>
    <row r="765" spans="1:15" x14ac:dyDescent="0.35">
      <c r="A765">
        <v>2002</v>
      </c>
      <c r="B765">
        <v>2</v>
      </c>
      <c r="C765">
        <v>2</v>
      </c>
      <c r="D765" s="1">
        <f t="shared" si="88"/>
        <v>37289</v>
      </c>
      <c r="E765">
        <v>19.600000000000001</v>
      </c>
      <c r="F765">
        <f t="shared" si="94"/>
        <v>0</v>
      </c>
      <c r="G765">
        <f t="shared" si="89"/>
        <v>1</v>
      </c>
      <c r="H765">
        <f t="shared" si="95"/>
        <v>0</v>
      </c>
      <c r="I765">
        <v>764</v>
      </c>
      <c r="J765">
        <f t="shared" si="90"/>
        <v>0.54490951605262872</v>
      </c>
      <c r="K765">
        <f t="shared" si="91"/>
        <v>0.8384948534816955</v>
      </c>
      <c r="L765">
        <f>VLOOKUP(D765,[1]SOI!$A$1:$C$142,3)</f>
        <v>2.7</v>
      </c>
      <c r="M765" s="2">
        <f t="shared" si="92"/>
        <v>416.31087026420835</v>
      </c>
      <c r="N765">
        <f t="shared" si="93"/>
        <v>640.61006806001535</v>
      </c>
      <c r="O765" t="s">
        <v>8</v>
      </c>
    </row>
    <row r="766" spans="1:15" x14ac:dyDescent="0.35">
      <c r="A766">
        <v>2002</v>
      </c>
      <c r="B766">
        <v>2</v>
      </c>
      <c r="C766">
        <v>3</v>
      </c>
      <c r="D766" s="1">
        <f t="shared" si="88"/>
        <v>37290</v>
      </c>
      <c r="E766">
        <v>0.6</v>
      </c>
      <c r="F766">
        <f t="shared" si="94"/>
        <v>19.600000000000001</v>
      </c>
      <c r="G766">
        <f t="shared" si="89"/>
        <v>1</v>
      </c>
      <c r="H766">
        <f t="shared" si="95"/>
        <v>1</v>
      </c>
      <c r="I766">
        <v>765</v>
      </c>
      <c r="J766">
        <f t="shared" si="90"/>
        <v>0.55925232476634135</v>
      </c>
      <c r="K766">
        <f t="shared" si="91"/>
        <v>0.82899748928657357</v>
      </c>
      <c r="L766">
        <f>VLOOKUP(D766,[1]SOI!$A$1:$C$142,3)</f>
        <v>2.7</v>
      </c>
      <c r="M766" s="2">
        <f t="shared" si="92"/>
        <v>427.82802844625115</v>
      </c>
      <c r="N766">
        <f t="shared" si="93"/>
        <v>634.18307930422884</v>
      </c>
      <c r="O766" t="s">
        <v>8</v>
      </c>
    </row>
    <row r="767" spans="1:15" x14ac:dyDescent="0.35">
      <c r="A767">
        <v>2002</v>
      </c>
      <c r="B767">
        <v>2</v>
      </c>
      <c r="C767">
        <v>4</v>
      </c>
      <c r="D767" s="1">
        <f t="shared" si="88"/>
        <v>37291</v>
      </c>
      <c r="E767">
        <v>0</v>
      </c>
      <c r="F767">
        <f t="shared" si="94"/>
        <v>0.6</v>
      </c>
      <c r="G767">
        <f t="shared" si="89"/>
        <v>0</v>
      </c>
      <c r="H767">
        <f t="shared" si="95"/>
        <v>1</v>
      </c>
      <c r="I767">
        <v>766</v>
      </c>
      <c r="J767">
        <f t="shared" si="90"/>
        <v>0.57342964171965094</v>
      </c>
      <c r="K767">
        <f t="shared" si="91"/>
        <v>0.81925481139708467</v>
      </c>
      <c r="L767">
        <f>VLOOKUP(D767,[1]SOI!$A$1:$C$142,3)</f>
        <v>2.7</v>
      </c>
      <c r="M767" s="2">
        <f t="shared" si="92"/>
        <v>439.24710555725261</v>
      </c>
      <c r="N767">
        <f t="shared" si="93"/>
        <v>627.54918553016682</v>
      </c>
      <c r="O767" t="s">
        <v>8</v>
      </c>
    </row>
    <row r="768" spans="1:15" x14ac:dyDescent="0.35">
      <c r="A768">
        <v>2002</v>
      </c>
      <c r="B768">
        <v>2</v>
      </c>
      <c r="C768">
        <v>5</v>
      </c>
      <c r="D768" s="1">
        <f t="shared" si="88"/>
        <v>37292</v>
      </c>
      <c r="E768">
        <v>0</v>
      </c>
      <c r="F768">
        <f t="shared" si="94"/>
        <v>0</v>
      </c>
      <c r="G768">
        <f t="shared" si="89"/>
        <v>0</v>
      </c>
      <c r="H768">
        <f t="shared" si="95"/>
        <v>0</v>
      </c>
      <c r="I768">
        <v>767</v>
      </c>
      <c r="J768">
        <f t="shared" si="90"/>
        <v>0.58743727161638126</v>
      </c>
      <c r="K768">
        <f t="shared" si="91"/>
        <v>0.80926970282835986</v>
      </c>
      <c r="L768">
        <f>VLOOKUP(D768,[1]SOI!$A$1:$C$142,3)</f>
        <v>2.7</v>
      </c>
      <c r="M768" s="2">
        <f t="shared" si="92"/>
        <v>450.56438732976443</v>
      </c>
      <c r="N768">
        <f t="shared" si="93"/>
        <v>620.70986206935197</v>
      </c>
      <c r="O768" t="s">
        <v>8</v>
      </c>
    </row>
    <row r="769" spans="1:15" x14ac:dyDescent="0.35">
      <c r="A769">
        <v>2002</v>
      </c>
      <c r="B769">
        <v>2</v>
      </c>
      <c r="C769">
        <v>6</v>
      </c>
      <c r="D769" s="1">
        <f t="shared" si="88"/>
        <v>37293</v>
      </c>
      <c r="E769">
        <v>0</v>
      </c>
      <c r="F769">
        <f t="shared" si="94"/>
        <v>0</v>
      </c>
      <c r="G769">
        <f t="shared" si="89"/>
        <v>0</v>
      </c>
      <c r="H769">
        <f t="shared" si="95"/>
        <v>0</v>
      </c>
      <c r="I769">
        <v>768</v>
      </c>
      <c r="J769">
        <f t="shared" si="90"/>
        <v>0.60127106937348196</v>
      </c>
      <c r="K769">
        <f t="shared" si="91"/>
        <v>0.79904511833467162</v>
      </c>
      <c r="L769">
        <f>VLOOKUP(D769,[1]SOI!$A$1:$C$142,3)</f>
        <v>2.7</v>
      </c>
      <c r="M769" s="2">
        <f t="shared" si="92"/>
        <v>461.77618127883414</v>
      </c>
      <c r="N769">
        <f t="shared" si="93"/>
        <v>613.66665088102786</v>
      </c>
      <c r="O769" t="s">
        <v>8</v>
      </c>
    </row>
    <row r="770" spans="1:15" x14ac:dyDescent="0.35">
      <c r="A770">
        <v>2002</v>
      </c>
      <c r="B770">
        <v>2</v>
      </c>
      <c r="C770">
        <v>7</v>
      </c>
      <c r="D770" s="1">
        <f t="shared" si="88"/>
        <v>37294</v>
      </c>
      <c r="E770">
        <v>0</v>
      </c>
      <c r="F770">
        <f t="shared" si="94"/>
        <v>0</v>
      </c>
      <c r="G770">
        <f t="shared" si="89"/>
        <v>0</v>
      </c>
      <c r="H770">
        <f t="shared" si="95"/>
        <v>0</v>
      </c>
      <c r="I770">
        <v>769</v>
      </c>
      <c r="J770">
        <f t="shared" si="90"/>
        <v>0.6149269413476337</v>
      </c>
      <c r="K770">
        <f t="shared" si="91"/>
        <v>0.78858408353506848</v>
      </c>
      <c r="L770">
        <f>VLOOKUP(D770,[1]SOI!$A$1:$C$142,3)</f>
        <v>2.7</v>
      </c>
      <c r="M770" s="2">
        <f t="shared" si="92"/>
        <v>472.8788178963303</v>
      </c>
      <c r="N770">
        <f t="shared" si="93"/>
        <v>606.42116023846768</v>
      </c>
      <c r="O770" t="s">
        <v>8</v>
      </c>
    </row>
    <row r="771" spans="1:15" x14ac:dyDescent="0.35">
      <c r="A771">
        <v>2002</v>
      </c>
      <c r="B771">
        <v>2</v>
      </c>
      <c r="C771">
        <v>8</v>
      </c>
      <c r="D771" s="1">
        <f t="shared" ref="D771:D834" si="96">DATE(A771,B771,C771)</f>
        <v>37295</v>
      </c>
      <c r="E771">
        <v>18.600000000000001</v>
      </c>
      <c r="F771">
        <f t="shared" si="94"/>
        <v>0</v>
      </c>
      <c r="G771">
        <f t="shared" ref="G771:G834" si="97">IF(E771=0,0,1)</f>
        <v>1</v>
      </c>
      <c r="H771">
        <f t="shared" si="95"/>
        <v>0</v>
      </c>
      <c r="I771">
        <v>770</v>
      </c>
      <c r="J771">
        <f t="shared" ref="J771:J834" si="98">SIN(2*PI()*I771/365.25)</f>
        <v>0.62840084654662043</v>
      </c>
      <c r="K771">
        <f t="shared" ref="K771:K834" si="99">COS(2*PI()*I771/365.25)</f>
        <v>0.77788969401804708</v>
      </c>
      <c r="L771">
        <f>VLOOKUP(D771,[1]SOI!$A$1:$C$142,3)</f>
        <v>2.7</v>
      </c>
      <c r="M771" s="2">
        <f t="shared" ref="M771:M834" si="100">I771*J771</f>
        <v>483.86865184089771</v>
      </c>
      <c r="N771">
        <f t="shared" ref="N771:N834" si="101">I771*K771</f>
        <v>598.97506439389622</v>
      </c>
      <c r="O771" t="s">
        <v>8</v>
      </c>
    </row>
    <row r="772" spans="1:15" x14ac:dyDescent="0.35">
      <c r="A772">
        <v>2002</v>
      </c>
      <c r="B772">
        <v>2</v>
      </c>
      <c r="C772">
        <v>9</v>
      </c>
      <c r="D772" s="1">
        <f t="shared" si="96"/>
        <v>37296</v>
      </c>
      <c r="E772">
        <v>1</v>
      </c>
      <c r="F772">
        <f t="shared" ref="F772:F835" si="102">E771</f>
        <v>18.600000000000001</v>
      </c>
      <c r="G772">
        <f t="shared" si="97"/>
        <v>1</v>
      </c>
      <c r="H772">
        <f t="shared" ref="H772:H835" si="103">G771</f>
        <v>1</v>
      </c>
      <c r="I772">
        <v>771</v>
      </c>
      <c r="J772">
        <f t="shared" si="98"/>
        <v>0.64168879782511368</v>
      </c>
      <c r="K772">
        <f t="shared" si="99"/>
        <v>0.76696511442552617</v>
      </c>
      <c r="L772">
        <f>VLOOKUP(D772,[1]SOI!$A$1:$C$142,3)</f>
        <v>2.7</v>
      </c>
      <c r="M772" s="2">
        <f t="shared" si="100"/>
        <v>494.74206312316267</v>
      </c>
      <c r="N772">
        <f t="shared" si="101"/>
        <v>591.33010322208065</v>
      </c>
      <c r="O772" t="s">
        <v>8</v>
      </c>
    </row>
    <row r="773" spans="1:15" x14ac:dyDescent="0.35">
      <c r="A773">
        <v>2002</v>
      </c>
      <c r="B773">
        <v>2</v>
      </c>
      <c r="C773">
        <v>10</v>
      </c>
      <c r="D773" s="1">
        <f t="shared" si="96"/>
        <v>37297</v>
      </c>
      <c r="E773">
        <v>2.6</v>
      </c>
      <c r="F773">
        <f t="shared" si="102"/>
        <v>1</v>
      </c>
      <c r="G773">
        <f t="shared" si="97"/>
        <v>1</v>
      </c>
      <c r="H773">
        <f t="shared" si="103"/>
        <v>1</v>
      </c>
      <c r="I773">
        <v>772</v>
      </c>
      <c r="J773">
        <f t="shared" si="98"/>
        <v>0.65478686306455036</v>
      </c>
      <c r="K773">
        <f t="shared" si="99"/>
        <v>0.75581357751636458</v>
      </c>
      <c r="L773">
        <f>VLOOKUP(D773,[1]SOI!$A$1:$C$142,3)</f>
        <v>2.7</v>
      </c>
      <c r="M773" s="2">
        <f t="shared" si="100"/>
        <v>505.49545828583285</v>
      </c>
      <c r="N773">
        <f t="shared" si="101"/>
        <v>583.48808184263351</v>
      </c>
      <c r="O773" t="s">
        <v>8</v>
      </c>
    </row>
    <row r="774" spans="1:15" x14ac:dyDescent="0.35">
      <c r="A774">
        <v>2002</v>
      </c>
      <c r="B774">
        <v>2</v>
      </c>
      <c r="C774">
        <v>11</v>
      </c>
      <c r="D774" s="1">
        <f t="shared" si="96"/>
        <v>37298</v>
      </c>
      <c r="E774">
        <v>1.2</v>
      </c>
      <c r="F774">
        <f t="shared" si="102"/>
        <v>2.6</v>
      </c>
      <c r="G774">
        <f t="shared" si="97"/>
        <v>1</v>
      </c>
      <c r="H774">
        <f t="shared" si="103"/>
        <v>1</v>
      </c>
      <c r="I774">
        <v>773</v>
      </c>
      <c r="J774">
        <f t="shared" si="98"/>
        <v>0.66769116633669878</v>
      </c>
      <c r="K774">
        <f t="shared" si="99"/>
        <v>0.74443838320974476</v>
      </c>
      <c r="L774">
        <f>VLOOKUP(D774,[1]SOI!$A$1:$C$142,3)</f>
        <v>2.7</v>
      </c>
      <c r="M774" s="2">
        <f t="shared" si="100"/>
        <v>516.12527157826821</v>
      </c>
      <c r="N774">
        <f t="shared" si="101"/>
        <v>575.45087022113273</v>
      </c>
      <c r="O774" t="s">
        <v>8</v>
      </c>
    </row>
    <row r="775" spans="1:15" x14ac:dyDescent="0.35">
      <c r="A775">
        <v>2002</v>
      </c>
      <c r="B775">
        <v>2</v>
      </c>
      <c r="C775">
        <v>12</v>
      </c>
      <c r="D775" s="1">
        <f t="shared" si="96"/>
        <v>37299</v>
      </c>
      <c r="E775">
        <v>0</v>
      </c>
      <c r="F775">
        <f t="shared" si="102"/>
        <v>1.2</v>
      </c>
      <c r="G775">
        <f t="shared" si="97"/>
        <v>0</v>
      </c>
      <c r="H775">
        <f t="shared" si="103"/>
        <v>1</v>
      </c>
      <c r="I775">
        <v>774</v>
      </c>
      <c r="J775">
        <f t="shared" si="98"/>
        <v>0.68039788905061149</v>
      </c>
      <c r="K775">
        <f t="shared" si="99"/>
        <v>0.73284289760867016</v>
      </c>
      <c r="L775">
        <f>VLOOKUP(D775,[1]SOI!$A$1:$C$142,3)</f>
        <v>2.7</v>
      </c>
      <c r="M775" s="2">
        <f t="shared" si="100"/>
        <v>526.62796612517332</v>
      </c>
      <c r="N775">
        <f t="shared" si="101"/>
        <v>567.22040274911069</v>
      </c>
      <c r="O775" t="s">
        <v>8</v>
      </c>
    </row>
    <row r="776" spans="1:15" x14ac:dyDescent="0.35">
      <c r="A776">
        <v>2002</v>
      </c>
      <c r="B776">
        <v>2</v>
      </c>
      <c r="C776">
        <v>13</v>
      </c>
      <c r="D776" s="1">
        <f t="shared" si="96"/>
        <v>37300</v>
      </c>
      <c r="E776">
        <v>0</v>
      </c>
      <c r="F776">
        <f t="shared" si="102"/>
        <v>0</v>
      </c>
      <c r="G776">
        <f t="shared" si="97"/>
        <v>0</v>
      </c>
      <c r="H776">
        <f t="shared" si="103"/>
        <v>0</v>
      </c>
      <c r="I776">
        <v>775</v>
      </c>
      <c r="J776">
        <f t="shared" si="98"/>
        <v>0.69290327108260341</v>
      </c>
      <c r="K776">
        <f t="shared" si="99"/>
        <v>0.72103055200388577</v>
      </c>
      <c r="L776">
        <f>VLOOKUP(D776,[1]SOI!$A$1:$C$142,3)</f>
        <v>2.7</v>
      </c>
      <c r="M776" s="2">
        <f t="shared" si="100"/>
        <v>537.00003508901762</v>
      </c>
      <c r="N776">
        <f t="shared" si="101"/>
        <v>558.79867780301151</v>
      </c>
      <c r="O776" t="s">
        <v>8</v>
      </c>
    </row>
    <row r="777" spans="1:15" x14ac:dyDescent="0.35">
      <c r="A777">
        <v>2002</v>
      </c>
      <c r="B777">
        <v>2</v>
      </c>
      <c r="C777">
        <v>14</v>
      </c>
      <c r="D777" s="1">
        <f t="shared" si="96"/>
        <v>37301</v>
      </c>
      <c r="E777">
        <v>0</v>
      </c>
      <c r="F777">
        <f t="shared" si="102"/>
        <v>0</v>
      </c>
      <c r="G777">
        <f t="shared" si="97"/>
        <v>0</v>
      </c>
      <c r="H777">
        <f t="shared" si="103"/>
        <v>0</v>
      </c>
      <c r="I777">
        <v>776</v>
      </c>
      <c r="J777">
        <f t="shared" si="98"/>
        <v>0.70520361188894032</v>
      </c>
      <c r="K777">
        <f t="shared" si="99"/>
        <v>0.70900484185849733</v>
      </c>
      <c r="L777">
        <f>VLOOKUP(D777,[1]SOI!$A$1:$C$142,3)</f>
        <v>2.7</v>
      </c>
      <c r="M777" s="2">
        <f t="shared" si="100"/>
        <v>547.23800282581772</v>
      </c>
      <c r="N777">
        <f t="shared" si="101"/>
        <v>550.18775728219396</v>
      </c>
      <c r="O777" t="s">
        <v>8</v>
      </c>
    </row>
    <row r="778" spans="1:15" x14ac:dyDescent="0.35">
      <c r="A778">
        <v>2002</v>
      </c>
      <c r="B778">
        <v>2</v>
      </c>
      <c r="C778">
        <v>15</v>
      </c>
      <c r="D778" s="1">
        <f t="shared" si="96"/>
        <v>37302</v>
      </c>
      <c r="E778">
        <v>0</v>
      </c>
      <c r="F778">
        <f t="shared" si="102"/>
        <v>0</v>
      </c>
      <c r="G778">
        <f t="shared" si="97"/>
        <v>0</v>
      </c>
      <c r="H778">
        <f t="shared" si="103"/>
        <v>0</v>
      </c>
      <c r="I778">
        <v>777</v>
      </c>
      <c r="J778">
        <f t="shared" si="98"/>
        <v>0.71729527160088413</v>
      </c>
      <c r="K778">
        <f t="shared" si="99"/>
        <v>0.69676932577361206</v>
      </c>
      <c r="L778">
        <f>VLOOKUP(D778,[1]SOI!$A$1:$C$142,3)</f>
        <v>2.7</v>
      </c>
      <c r="M778" s="2">
        <f t="shared" si="100"/>
        <v>557.338426033887</v>
      </c>
      <c r="N778">
        <f t="shared" si="101"/>
        <v>541.38976612609656</v>
      </c>
      <c r="O778" t="s">
        <v>8</v>
      </c>
    </row>
    <row r="779" spans="1:15" x14ac:dyDescent="0.35">
      <c r="A779">
        <v>2002</v>
      </c>
      <c r="B779">
        <v>2</v>
      </c>
      <c r="C779">
        <v>16</v>
      </c>
      <c r="D779" s="1">
        <f t="shared" si="96"/>
        <v>37303</v>
      </c>
      <c r="E779">
        <v>5.8</v>
      </c>
      <c r="F779">
        <f t="shared" si="102"/>
        <v>0</v>
      </c>
      <c r="G779">
        <f t="shared" si="97"/>
        <v>1</v>
      </c>
      <c r="H779">
        <f t="shared" si="103"/>
        <v>0</v>
      </c>
      <c r="I779">
        <v>778</v>
      </c>
      <c r="J779">
        <f t="shared" si="98"/>
        <v>0.72917467210179132</v>
      </c>
      <c r="K779">
        <f t="shared" si="99"/>
        <v>0.6843276244352885</v>
      </c>
      <c r="L779">
        <f>VLOOKUP(D779,[1]SOI!$A$1:$C$142,3)</f>
        <v>2.7</v>
      </c>
      <c r="M779" s="2">
        <f t="shared" si="100"/>
        <v>567.29789489519362</v>
      </c>
      <c r="N779">
        <f t="shared" si="101"/>
        <v>532.40689181065443</v>
      </c>
      <c r="O779" t="s">
        <v>8</v>
      </c>
    </row>
    <row r="780" spans="1:15" x14ac:dyDescent="0.35">
      <c r="A780">
        <v>2002</v>
      </c>
      <c r="B780">
        <v>2</v>
      </c>
      <c r="C780">
        <v>17</v>
      </c>
      <c r="D780" s="1">
        <f t="shared" si="96"/>
        <v>37304</v>
      </c>
      <c r="E780">
        <v>0</v>
      </c>
      <c r="F780">
        <f t="shared" si="102"/>
        <v>5.8</v>
      </c>
      <c r="G780">
        <f t="shared" si="97"/>
        <v>0</v>
      </c>
      <c r="H780">
        <f t="shared" si="103"/>
        <v>1</v>
      </c>
      <c r="I780">
        <v>779</v>
      </c>
      <c r="J780">
        <f t="shared" si="98"/>
        <v>0.74083829808592983</v>
      </c>
      <c r="K780">
        <f t="shared" si="99"/>
        <v>0.67168341954312294</v>
      </c>
      <c r="L780">
        <f>VLOOKUP(D780,[1]SOI!$A$1:$C$142,3)</f>
        <v>2.7</v>
      </c>
      <c r="M780" s="2">
        <f t="shared" si="100"/>
        <v>577.11303420893933</v>
      </c>
      <c r="N780">
        <f t="shared" si="101"/>
        <v>523.24138382409274</v>
      </c>
      <c r="O780" t="s">
        <v>8</v>
      </c>
    </row>
    <row r="781" spans="1:15" x14ac:dyDescent="0.35">
      <c r="A781">
        <v>2002</v>
      </c>
      <c r="B781">
        <v>2</v>
      </c>
      <c r="C781">
        <v>18</v>
      </c>
      <c r="D781" s="1">
        <f t="shared" si="96"/>
        <v>37305</v>
      </c>
      <c r="E781">
        <v>0</v>
      </c>
      <c r="F781">
        <f t="shared" si="102"/>
        <v>0</v>
      </c>
      <c r="G781">
        <f t="shared" si="97"/>
        <v>0</v>
      </c>
      <c r="H781">
        <f t="shared" si="103"/>
        <v>0</v>
      </c>
      <c r="I781">
        <v>780</v>
      </c>
      <c r="J781">
        <f t="shared" si="98"/>
        <v>0.75228269809872272</v>
      </c>
      <c r="K781">
        <f t="shared" si="99"/>
        <v>0.65884045272076763</v>
      </c>
      <c r="L781">
        <f>VLOOKUP(D781,[1]SOI!$A$1:$C$142,3)</f>
        <v>2.7</v>
      </c>
      <c r="M781" s="2">
        <f t="shared" si="100"/>
        <v>586.78050451700369</v>
      </c>
      <c r="N781">
        <f t="shared" si="101"/>
        <v>513.89555312219875</v>
      </c>
      <c r="O781" t="s">
        <v>8</v>
      </c>
    </row>
    <row r="782" spans="1:15" x14ac:dyDescent="0.35">
      <c r="A782">
        <v>2002</v>
      </c>
      <c r="B782">
        <v>2</v>
      </c>
      <c r="C782">
        <v>19</v>
      </c>
      <c r="D782" s="1">
        <f t="shared" si="96"/>
        <v>37306</v>
      </c>
      <c r="E782">
        <v>0</v>
      </c>
      <c r="F782">
        <f t="shared" si="102"/>
        <v>0</v>
      </c>
      <c r="G782">
        <f t="shared" si="97"/>
        <v>0</v>
      </c>
      <c r="H782">
        <f t="shared" si="103"/>
        <v>0</v>
      </c>
      <c r="I782">
        <v>781</v>
      </c>
      <c r="J782">
        <f t="shared" si="98"/>
        <v>0.7635044855580857</v>
      </c>
      <c r="K782">
        <f t="shared" si="99"/>
        <v>0.64580252440872588</v>
      </c>
      <c r="L782">
        <f>VLOOKUP(D782,[1]SOI!$A$1:$C$142,3)</f>
        <v>2.7</v>
      </c>
      <c r="M782" s="2">
        <f t="shared" si="100"/>
        <v>596.29700322086489</v>
      </c>
      <c r="N782">
        <f t="shared" si="101"/>
        <v>504.37177156321491</v>
      </c>
      <c r="O782" t="s">
        <v>8</v>
      </c>
    </row>
    <row r="783" spans="1:15" x14ac:dyDescent="0.35">
      <c r="A783">
        <v>2002</v>
      </c>
      <c r="B783">
        <v>2</v>
      </c>
      <c r="C783">
        <v>20</v>
      </c>
      <c r="D783" s="1">
        <f t="shared" si="96"/>
        <v>37307</v>
      </c>
      <c r="E783">
        <v>0</v>
      </c>
      <c r="F783">
        <f t="shared" si="102"/>
        <v>0</v>
      </c>
      <c r="G783">
        <f t="shared" si="97"/>
        <v>0</v>
      </c>
      <c r="H783">
        <f t="shared" si="103"/>
        <v>0</v>
      </c>
      <c r="I783">
        <v>782</v>
      </c>
      <c r="J783">
        <f t="shared" si="98"/>
        <v>0.77450033975656374</v>
      </c>
      <c r="K783">
        <f t="shared" si="99"/>
        <v>0.63257349273975061</v>
      </c>
      <c r="L783">
        <f>VLOOKUP(D783,[1]SOI!$A$1:$C$142,3)</f>
        <v>2.7</v>
      </c>
      <c r="M783" s="2">
        <f t="shared" si="100"/>
        <v>605.65926568963289</v>
      </c>
      <c r="N783">
        <f t="shared" si="101"/>
        <v>494.67247132248497</v>
      </c>
      <c r="O783" t="s">
        <v>8</v>
      </c>
    </row>
    <row r="784" spans="1:15" x14ac:dyDescent="0.35">
      <c r="A784">
        <v>2002</v>
      </c>
      <c r="B784">
        <v>2</v>
      </c>
      <c r="C784">
        <v>21</v>
      </c>
      <c r="D784" s="1">
        <f t="shared" si="96"/>
        <v>37308</v>
      </c>
      <c r="E784">
        <v>11.4</v>
      </c>
      <c r="F784">
        <f t="shared" si="102"/>
        <v>0</v>
      </c>
      <c r="G784">
        <f t="shared" si="97"/>
        <v>1</v>
      </c>
      <c r="H784">
        <f t="shared" si="103"/>
        <v>0</v>
      </c>
      <c r="I784">
        <v>783</v>
      </c>
      <c r="J784">
        <f t="shared" si="98"/>
        <v>0.78526700684399553</v>
      </c>
      <c r="K784">
        <f t="shared" si="99"/>
        <v>0.61915727239714491</v>
      </c>
      <c r="L784">
        <f>VLOOKUP(D784,[1]SOI!$A$1:$C$142,3)</f>
        <v>2.7</v>
      </c>
      <c r="M784" s="2">
        <f t="shared" si="100"/>
        <v>614.8640663588485</v>
      </c>
      <c r="N784">
        <f t="shared" si="101"/>
        <v>484.80014428696444</v>
      </c>
      <c r="O784" t="s">
        <v>8</v>
      </c>
    </row>
    <row r="785" spans="1:15" x14ac:dyDescent="0.35">
      <c r="A785">
        <v>2002</v>
      </c>
      <c r="B785">
        <v>2</v>
      </c>
      <c r="C785">
        <v>22</v>
      </c>
      <c r="D785" s="1">
        <f t="shared" si="96"/>
        <v>37309</v>
      </c>
      <c r="E785">
        <v>0</v>
      </c>
      <c r="F785">
        <f t="shared" si="102"/>
        <v>11.4</v>
      </c>
      <c r="G785">
        <f t="shared" si="97"/>
        <v>0</v>
      </c>
      <c r="H785">
        <f t="shared" si="103"/>
        <v>1</v>
      </c>
      <c r="I785">
        <v>784</v>
      </c>
      <c r="J785">
        <f t="shared" si="98"/>
        <v>0.79580130079036981</v>
      </c>
      <c r="K785">
        <f t="shared" si="99"/>
        <v>0.60555783345635572</v>
      </c>
      <c r="L785">
        <f>VLOOKUP(D785,[1]SOI!$A$1:$C$142,3)</f>
        <v>2.7</v>
      </c>
      <c r="M785" s="2">
        <f t="shared" si="100"/>
        <v>623.90821981964996</v>
      </c>
      <c r="N785">
        <f t="shared" si="101"/>
        <v>474.75734142978291</v>
      </c>
      <c r="O785" t="s">
        <v>8</v>
      </c>
    </row>
    <row r="786" spans="1:15" x14ac:dyDescent="0.35">
      <c r="A786">
        <v>2002</v>
      </c>
      <c r="B786">
        <v>2</v>
      </c>
      <c r="C786">
        <v>23</v>
      </c>
      <c r="D786" s="1">
        <f t="shared" si="96"/>
        <v>37310</v>
      </c>
      <c r="E786">
        <v>0</v>
      </c>
      <c r="F786">
        <f t="shared" si="102"/>
        <v>0</v>
      </c>
      <c r="G786">
        <f t="shared" si="97"/>
        <v>0</v>
      </c>
      <c r="H786">
        <f t="shared" si="103"/>
        <v>0</v>
      </c>
      <c r="I786">
        <v>785</v>
      </c>
      <c r="J786">
        <f t="shared" si="98"/>
        <v>0.80610010432863166</v>
      </c>
      <c r="K786">
        <f t="shared" si="99"/>
        <v>0.59177920021015373</v>
      </c>
      <c r="L786">
        <f>VLOOKUP(D786,[1]SOI!$A$1:$C$142,3)</f>
        <v>2.7</v>
      </c>
      <c r="M786" s="2">
        <f t="shared" si="100"/>
        <v>632.78858189797586</v>
      </c>
      <c r="N786">
        <f t="shared" si="101"/>
        <v>464.54667216497069</v>
      </c>
      <c r="O786" t="s">
        <v>8</v>
      </c>
    </row>
    <row r="787" spans="1:15" x14ac:dyDescent="0.35">
      <c r="A787">
        <v>2002</v>
      </c>
      <c r="B787">
        <v>2</v>
      </c>
      <c r="C787">
        <v>24</v>
      </c>
      <c r="D787" s="1">
        <f t="shared" si="96"/>
        <v>37311</v>
      </c>
      <c r="E787">
        <v>0</v>
      </c>
      <c r="F787">
        <f t="shared" si="102"/>
        <v>0</v>
      </c>
      <c r="G787">
        <f t="shared" si="97"/>
        <v>0</v>
      </c>
      <c r="H787">
        <f t="shared" si="103"/>
        <v>0</v>
      </c>
      <c r="I787">
        <v>786</v>
      </c>
      <c r="J787">
        <f t="shared" si="98"/>
        <v>0.81616036987711693</v>
      </c>
      <c r="K787">
        <f t="shared" si="99"/>
        <v>0.57782544997780061</v>
      </c>
      <c r="L787">
        <f>VLOOKUP(D787,[1]SOI!$A$1:$C$142,3)</f>
        <v>2.7</v>
      </c>
      <c r="M787" s="2">
        <f t="shared" si="100"/>
        <v>641.50205072341396</v>
      </c>
      <c r="N787">
        <f t="shared" si="101"/>
        <v>454.17080368255125</v>
      </c>
      <c r="O787" t="s">
        <v>8</v>
      </c>
    </row>
    <row r="788" spans="1:15" x14ac:dyDescent="0.35">
      <c r="A788">
        <v>2002</v>
      </c>
      <c r="B788">
        <v>2</v>
      </c>
      <c r="C788">
        <v>25</v>
      </c>
      <c r="D788" s="1">
        <f t="shared" si="96"/>
        <v>37312</v>
      </c>
      <c r="E788">
        <v>0</v>
      </c>
      <c r="F788">
        <f t="shared" si="102"/>
        <v>0</v>
      </c>
      <c r="G788">
        <f t="shared" si="97"/>
        <v>0</v>
      </c>
      <c r="H788">
        <f t="shared" si="103"/>
        <v>0</v>
      </c>
      <c r="I788">
        <v>787</v>
      </c>
      <c r="J788">
        <f t="shared" si="98"/>
        <v>0.82597912044139776</v>
      </c>
      <c r="K788">
        <f t="shared" si="99"/>
        <v>0.56370071189848148</v>
      </c>
      <c r="L788">
        <f>VLOOKUP(D788,[1]SOI!$A$1:$C$142,3)</f>
        <v>2.7</v>
      </c>
      <c r="M788" s="2">
        <f t="shared" si="100"/>
        <v>650.04556778738004</v>
      </c>
      <c r="N788">
        <f t="shared" si="101"/>
        <v>443.63246026410491</v>
      </c>
      <c r="O788" t="s">
        <v>8</v>
      </c>
    </row>
    <row r="789" spans="1:15" x14ac:dyDescent="0.35">
      <c r="A789">
        <v>2002</v>
      </c>
      <c r="B789">
        <v>2</v>
      </c>
      <c r="C789">
        <v>26</v>
      </c>
      <c r="D789" s="1">
        <f t="shared" si="96"/>
        <v>37313</v>
      </c>
      <c r="E789">
        <v>7.2</v>
      </c>
      <c r="F789">
        <f t="shared" si="102"/>
        <v>0</v>
      </c>
      <c r="G789">
        <f t="shared" si="97"/>
        <v>1</v>
      </c>
      <c r="H789">
        <f t="shared" si="103"/>
        <v>0</v>
      </c>
      <c r="I789">
        <v>788</v>
      </c>
      <c r="J789">
        <f t="shared" si="98"/>
        <v>0.8355534504952139</v>
      </c>
      <c r="K789">
        <f t="shared" si="99"/>
        <v>0.54940916570943932</v>
      </c>
      <c r="L789">
        <f>VLOOKUP(D789,[1]SOI!$A$1:$C$142,3)</f>
        <v>2.7</v>
      </c>
      <c r="M789" s="2">
        <f t="shared" si="100"/>
        <v>658.4161189902286</v>
      </c>
      <c r="N789">
        <f t="shared" si="101"/>
        <v>432.9344225790382</v>
      </c>
      <c r="O789" t="s">
        <v>8</v>
      </c>
    </row>
    <row r="790" spans="1:15" x14ac:dyDescent="0.35">
      <c r="A790">
        <v>2002</v>
      </c>
      <c r="B790">
        <v>2</v>
      </c>
      <c r="C790">
        <v>27</v>
      </c>
      <c r="D790" s="1">
        <f t="shared" si="96"/>
        <v>37314</v>
      </c>
      <c r="E790">
        <v>0</v>
      </c>
      <c r="F790">
        <f t="shared" si="102"/>
        <v>7.2</v>
      </c>
      <c r="G790">
        <f t="shared" si="97"/>
        <v>0</v>
      </c>
      <c r="H790">
        <f t="shared" si="103"/>
        <v>1</v>
      </c>
      <c r="I790">
        <v>789</v>
      </c>
      <c r="J790">
        <f t="shared" si="98"/>
        <v>0.84488052684026704</v>
      </c>
      <c r="K790">
        <f t="shared" si="99"/>
        <v>0.53495504050911857</v>
      </c>
      <c r="L790">
        <f>VLOOKUP(D790,[1]SOI!$A$1:$C$142,3)</f>
        <v>2.7</v>
      </c>
      <c r="M790" s="2">
        <f t="shared" si="100"/>
        <v>666.61073567697065</v>
      </c>
      <c r="N790">
        <f t="shared" si="101"/>
        <v>422.07952696169457</v>
      </c>
      <c r="O790" t="s">
        <v>8</v>
      </c>
    </row>
    <row r="791" spans="1:15" x14ac:dyDescent="0.35">
      <c r="A791">
        <v>2002</v>
      </c>
      <c r="B791">
        <v>2</v>
      </c>
      <c r="C791">
        <v>28</v>
      </c>
      <c r="D791" s="1">
        <f t="shared" si="96"/>
        <v>37315</v>
      </c>
      <c r="E791">
        <v>0</v>
      </c>
      <c r="F791">
        <f t="shared" si="102"/>
        <v>0</v>
      </c>
      <c r="G791">
        <f t="shared" si="97"/>
        <v>0</v>
      </c>
      <c r="H791">
        <f t="shared" si="103"/>
        <v>0</v>
      </c>
      <c r="I791">
        <v>790</v>
      </c>
      <c r="J791">
        <f t="shared" si="98"/>
        <v>0.85395758944460665</v>
      </c>
      <c r="K791">
        <f t="shared" si="99"/>
        <v>0.52034261350571376</v>
      </c>
      <c r="L791">
        <f>VLOOKUP(D791,[1]SOI!$A$1:$C$142,3)</f>
        <v>2.7</v>
      </c>
      <c r="M791" s="2">
        <f t="shared" si="100"/>
        <v>674.62649566123923</v>
      </c>
      <c r="N791">
        <f t="shared" si="101"/>
        <v>411.07066466951386</v>
      </c>
      <c r="O791" t="s">
        <v>8</v>
      </c>
    </row>
    <row r="792" spans="1:15" x14ac:dyDescent="0.35">
      <c r="A792">
        <v>2002</v>
      </c>
      <c r="B792">
        <v>3</v>
      </c>
      <c r="C792">
        <v>1</v>
      </c>
      <c r="D792" s="1">
        <f t="shared" si="96"/>
        <v>37316</v>
      </c>
      <c r="E792">
        <v>0</v>
      </c>
      <c r="F792">
        <f t="shared" si="102"/>
        <v>0</v>
      </c>
      <c r="G792">
        <f t="shared" si="97"/>
        <v>0</v>
      </c>
      <c r="H792">
        <f t="shared" si="103"/>
        <v>0</v>
      </c>
      <c r="I792">
        <v>791</v>
      </c>
      <c r="J792">
        <f t="shared" si="98"/>
        <v>0.86278195225937304</v>
      </c>
      <c r="K792">
        <f t="shared" si="99"/>
        <v>0.50557620875146492</v>
      </c>
      <c r="L792">
        <f>VLOOKUP(D792,[1]SOI!$A$1:$C$142,3)</f>
        <v>7.7</v>
      </c>
      <c r="M792" s="2">
        <f t="shared" si="100"/>
        <v>682.46052423716412</v>
      </c>
      <c r="N792">
        <f t="shared" si="101"/>
        <v>399.91078112240876</v>
      </c>
      <c r="O792" t="s">
        <v>8</v>
      </c>
    </row>
    <row r="793" spans="1:15" x14ac:dyDescent="0.35">
      <c r="A793">
        <v>2002</v>
      </c>
      <c r="B793">
        <v>3</v>
      </c>
      <c r="C793">
        <v>2</v>
      </c>
      <c r="D793" s="1">
        <f t="shared" si="96"/>
        <v>37317</v>
      </c>
      <c r="E793">
        <v>0</v>
      </c>
      <c r="F793">
        <f t="shared" si="102"/>
        <v>0</v>
      </c>
      <c r="G793">
        <f t="shared" si="97"/>
        <v>0</v>
      </c>
      <c r="H793">
        <f t="shared" si="103"/>
        <v>0</v>
      </c>
      <c r="I793">
        <v>792</v>
      </c>
      <c r="J793">
        <f t="shared" si="98"/>
        <v>0.87135100401363996</v>
      </c>
      <c r="K793">
        <f t="shared" si="99"/>
        <v>0.490660195863106</v>
      </c>
      <c r="L793">
        <f>VLOOKUP(D793,[1]SOI!$A$1:$C$142,3)</f>
        <v>7.7</v>
      </c>
      <c r="M793" s="2">
        <f t="shared" si="100"/>
        <v>690.10999517880282</v>
      </c>
      <c r="N793">
        <f t="shared" si="101"/>
        <v>388.60287512357996</v>
      </c>
      <c r="O793" t="s">
        <v>8</v>
      </c>
    </row>
    <row r="794" spans="1:15" x14ac:dyDescent="0.35">
      <c r="A794">
        <v>2002</v>
      </c>
      <c r="B794">
        <v>3</v>
      </c>
      <c r="C794">
        <v>3</v>
      </c>
      <c r="D794" s="1">
        <f t="shared" si="96"/>
        <v>37318</v>
      </c>
      <c r="E794">
        <v>2.6</v>
      </c>
      <c r="F794">
        <f t="shared" si="102"/>
        <v>0</v>
      </c>
      <c r="G794">
        <f t="shared" si="97"/>
        <v>1</v>
      </c>
      <c r="H794">
        <f t="shared" si="103"/>
        <v>0</v>
      </c>
      <c r="I794">
        <v>793</v>
      </c>
      <c r="J794">
        <f t="shared" si="98"/>
        <v>0.87966220898712877</v>
      </c>
      <c r="K794">
        <f t="shared" si="99"/>
        <v>0.47559898872882922</v>
      </c>
      <c r="L794">
        <f>VLOOKUP(D794,[1]SOI!$A$1:$C$142,3)</f>
        <v>7.7</v>
      </c>
      <c r="M794" s="2">
        <f t="shared" si="100"/>
        <v>697.57213172679315</v>
      </c>
      <c r="N794">
        <f t="shared" si="101"/>
        <v>377.14999806196158</v>
      </c>
      <c r="O794" t="s">
        <v>8</v>
      </c>
    </row>
    <row r="795" spans="1:15" x14ac:dyDescent="0.35">
      <c r="A795">
        <v>2002</v>
      </c>
      <c r="B795">
        <v>3</v>
      </c>
      <c r="C795">
        <v>4</v>
      </c>
      <c r="D795" s="1">
        <f t="shared" si="96"/>
        <v>37319</v>
      </c>
      <c r="E795">
        <v>0.4</v>
      </c>
      <c r="F795">
        <f t="shared" si="102"/>
        <v>2.6</v>
      </c>
      <c r="G795">
        <f t="shared" si="97"/>
        <v>1</v>
      </c>
      <c r="H795">
        <f t="shared" si="103"/>
        <v>1</v>
      </c>
      <c r="I795">
        <v>794</v>
      </c>
      <c r="J795">
        <f t="shared" si="98"/>
        <v>0.88771310776057422</v>
      </c>
      <c r="K795">
        <f t="shared" si="99"/>
        <v>0.46039704420213562</v>
      </c>
      <c r="L795">
        <f>VLOOKUP(D795,[1]SOI!$A$1:$C$142,3)</f>
        <v>7.7</v>
      </c>
      <c r="M795" s="2">
        <f t="shared" si="100"/>
        <v>704.84420756189593</v>
      </c>
      <c r="N795">
        <f t="shared" si="101"/>
        <v>365.55525309649568</v>
      </c>
      <c r="O795" t="s">
        <v>8</v>
      </c>
    </row>
    <row r="796" spans="1:15" x14ac:dyDescent="0.35">
      <c r="A796">
        <v>2002</v>
      </c>
      <c r="B796">
        <v>3</v>
      </c>
      <c r="C796">
        <v>5</v>
      </c>
      <c r="D796" s="1">
        <f t="shared" si="96"/>
        <v>37320</v>
      </c>
      <c r="E796">
        <v>0</v>
      </c>
      <c r="F796">
        <f t="shared" si="102"/>
        <v>0.4</v>
      </c>
      <c r="G796">
        <f t="shared" si="97"/>
        <v>0</v>
      </c>
      <c r="H796">
        <f t="shared" si="103"/>
        <v>1</v>
      </c>
      <c r="I796">
        <v>795</v>
      </c>
      <c r="J796">
        <f t="shared" si="98"/>
        <v>0.89550131794350274</v>
      </c>
      <c r="K796">
        <f t="shared" si="99"/>
        <v>0.44505886078298645</v>
      </c>
      <c r="L796">
        <f>VLOOKUP(D796,[1]SOI!$A$1:$C$142,3)</f>
        <v>7.7</v>
      </c>
      <c r="M796" s="2">
        <f t="shared" si="100"/>
        <v>711.92354776508466</v>
      </c>
      <c r="N796">
        <f t="shared" si="101"/>
        <v>353.8217943224742</v>
      </c>
      <c r="O796" t="s">
        <v>8</v>
      </c>
    </row>
    <row r="797" spans="1:15" x14ac:dyDescent="0.35">
      <c r="A797">
        <v>2002</v>
      </c>
      <c r="B797">
        <v>3</v>
      </c>
      <c r="C797">
        <v>6</v>
      </c>
      <c r="D797" s="1">
        <f t="shared" si="96"/>
        <v>37321</v>
      </c>
      <c r="E797">
        <v>0</v>
      </c>
      <c r="F797">
        <f t="shared" si="102"/>
        <v>0</v>
      </c>
      <c r="G797">
        <f t="shared" si="97"/>
        <v>0</v>
      </c>
      <c r="H797">
        <f t="shared" si="103"/>
        <v>0</v>
      </c>
      <c r="I797">
        <v>796</v>
      </c>
      <c r="J797">
        <f t="shared" si="98"/>
        <v>0.90302453487922241</v>
      </c>
      <c r="K797">
        <f t="shared" si="99"/>
        <v>0.42958897728661982</v>
      </c>
      <c r="L797">
        <f>VLOOKUP(D797,[1]SOI!$A$1:$C$142,3)</f>
        <v>7.7</v>
      </c>
      <c r="M797" s="2">
        <f t="shared" si="100"/>
        <v>718.807529763861</v>
      </c>
      <c r="N797">
        <f t="shared" si="101"/>
        <v>341.95282592014939</v>
      </c>
      <c r="O797" t="s">
        <v>8</v>
      </c>
    </row>
    <row r="798" spans="1:15" x14ac:dyDescent="0.35">
      <c r="A798">
        <v>2002</v>
      </c>
      <c r="B798">
        <v>3</v>
      </c>
      <c r="C798">
        <v>7</v>
      </c>
      <c r="D798" s="1">
        <f t="shared" si="96"/>
        <v>37322</v>
      </c>
      <c r="E798">
        <v>0.4</v>
      </c>
      <c r="F798">
        <f t="shared" si="102"/>
        <v>0</v>
      </c>
      <c r="G798">
        <f t="shared" si="97"/>
        <v>1</v>
      </c>
      <c r="H798">
        <f t="shared" si="103"/>
        <v>0</v>
      </c>
      <c r="I798">
        <v>797</v>
      </c>
      <c r="J798">
        <f t="shared" si="98"/>
        <v>0.91028053232680217</v>
      </c>
      <c r="K798">
        <f t="shared" si="99"/>
        <v>0.41399197150045525</v>
      </c>
      <c r="L798">
        <f>VLOOKUP(D798,[1]SOI!$A$1:$C$142,3)</f>
        <v>7.7</v>
      </c>
      <c r="M798" s="2">
        <f t="shared" si="100"/>
        <v>725.49358426446133</v>
      </c>
      <c r="N798">
        <f t="shared" si="101"/>
        <v>329.95160128586281</v>
      </c>
      <c r="O798" t="s">
        <v>8</v>
      </c>
    </row>
    <row r="799" spans="1:15" x14ac:dyDescent="0.35">
      <c r="A799">
        <v>2002</v>
      </c>
      <c r="B799">
        <v>3</v>
      </c>
      <c r="C799">
        <v>8</v>
      </c>
      <c r="D799" s="1">
        <f t="shared" si="96"/>
        <v>37323</v>
      </c>
      <c r="E799">
        <v>0</v>
      </c>
      <c r="F799">
        <f t="shared" si="102"/>
        <v>0.4</v>
      </c>
      <c r="G799">
        <f t="shared" si="97"/>
        <v>0</v>
      </c>
      <c r="H799">
        <f t="shared" si="103"/>
        <v>1</v>
      </c>
      <c r="I799">
        <v>798</v>
      </c>
      <c r="J799">
        <f t="shared" si="98"/>
        <v>0.91726716311986078</v>
      </c>
      <c r="K799">
        <f t="shared" si="99"/>
        <v>0.39827245882943335</v>
      </c>
      <c r="L799">
        <f>VLOOKUP(D799,[1]SOI!$A$1:$C$142,3)</f>
        <v>7.7</v>
      </c>
      <c r="M799" s="2">
        <f t="shared" si="100"/>
        <v>731.97919616964896</v>
      </c>
      <c r="N799">
        <f t="shared" si="101"/>
        <v>317.82142214588782</v>
      </c>
      <c r="O799" t="s">
        <v>8</v>
      </c>
    </row>
    <row r="800" spans="1:15" x14ac:dyDescent="0.35">
      <c r="A800">
        <v>2002</v>
      </c>
      <c r="B800">
        <v>3</v>
      </c>
      <c r="C800">
        <v>9</v>
      </c>
      <c r="D800" s="1">
        <f t="shared" si="96"/>
        <v>37324</v>
      </c>
      <c r="E800">
        <v>0</v>
      </c>
      <c r="F800">
        <f t="shared" si="102"/>
        <v>0</v>
      </c>
      <c r="G800">
        <f t="shared" si="97"/>
        <v>0</v>
      </c>
      <c r="H800">
        <f t="shared" si="103"/>
        <v>0</v>
      </c>
      <c r="I800">
        <v>799</v>
      </c>
      <c r="J800">
        <f t="shared" si="98"/>
        <v>0.92398235980194277</v>
      </c>
      <c r="K800">
        <f t="shared" si="99"/>
        <v>0.38243509093025607</v>
      </c>
      <c r="L800">
        <f>VLOOKUP(D800,[1]SOI!$A$1:$C$142,3)</f>
        <v>7.7</v>
      </c>
      <c r="M800" s="2">
        <f t="shared" si="100"/>
        <v>738.26190548175225</v>
      </c>
      <c r="N800">
        <f t="shared" si="101"/>
        <v>305.56563765327462</v>
      </c>
      <c r="O800" t="s">
        <v>8</v>
      </c>
    </row>
    <row r="801" spans="1:15" x14ac:dyDescent="0.35">
      <c r="A801">
        <v>2002</v>
      </c>
      <c r="B801">
        <v>3</v>
      </c>
      <c r="C801">
        <v>10</v>
      </c>
      <c r="D801" s="1">
        <f t="shared" si="96"/>
        <v>37325</v>
      </c>
      <c r="E801">
        <v>0</v>
      </c>
      <c r="F801">
        <f t="shared" si="102"/>
        <v>0</v>
      </c>
      <c r="G801">
        <f t="shared" si="97"/>
        <v>0</v>
      </c>
      <c r="H801">
        <f t="shared" si="103"/>
        <v>0</v>
      </c>
      <c r="I801">
        <v>800</v>
      </c>
      <c r="J801">
        <f t="shared" si="98"/>
        <v>0.93042413523831324</v>
      </c>
      <c r="K801">
        <f t="shared" si="99"/>
        <v>0.36648455433488197</v>
      </c>
      <c r="L801">
        <f>VLOOKUP(D801,[1]SOI!$A$1:$C$142,3)</f>
        <v>7.7</v>
      </c>
      <c r="M801" s="2">
        <f t="shared" si="100"/>
        <v>744.33930819065063</v>
      </c>
      <c r="N801">
        <f t="shared" si="101"/>
        <v>293.18764346790556</v>
      </c>
      <c r="O801" t="s">
        <v>8</v>
      </c>
    </row>
    <row r="802" spans="1:15" x14ac:dyDescent="0.35">
      <c r="A802">
        <v>2002</v>
      </c>
      <c r="B802">
        <v>3</v>
      </c>
      <c r="C802">
        <v>11</v>
      </c>
      <c r="D802" s="1">
        <f t="shared" si="96"/>
        <v>37326</v>
      </c>
      <c r="E802">
        <v>0</v>
      </c>
      <c r="F802">
        <f t="shared" si="102"/>
        <v>0</v>
      </c>
      <c r="G802">
        <f t="shared" si="97"/>
        <v>0</v>
      </c>
      <c r="H802">
        <f t="shared" si="103"/>
        <v>0</v>
      </c>
      <c r="I802">
        <v>801</v>
      </c>
      <c r="J802">
        <f t="shared" si="98"/>
        <v>0.93659058320398114</v>
      </c>
      <c r="K802">
        <f t="shared" si="99"/>
        <v>0.35042556906371225</v>
      </c>
      <c r="L802">
        <f>VLOOKUP(D802,[1]SOI!$A$1:$C$142,3)</f>
        <v>7.7</v>
      </c>
      <c r="M802" s="2">
        <f t="shared" si="100"/>
        <v>750.20905714638889</v>
      </c>
      <c r="N802">
        <f t="shared" si="101"/>
        <v>280.6908808200335</v>
      </c>
      <c r="O802" t="s">
        <v>8</v>
      </c>
    </row>
    <row r="803" spans="1:15" x14ac:dyDescent="0.35">
      <c r="A803">
        <v>2002</v>
      </c>
      <c r="B803">
        <v>3</v>
      </c>
      <c r="C803">
        <v>12</v>
      </c>
      <c r="D803" s="1">
        <f t="shared" si="96"/>
        <v>37327</v>
      </c>
      <c r="E803">
        <v>0.8</v>
      </c>
      <c r="F803">
        <f t="shared" si="102"/>
        <v>0</v>
      </c>
      <c r="G803">
        <f t="shared" si="97"/>
        <v>1</v>
      </c>
      <c r="H803">
        <f t="shared" si="103"/>
        <v>0</v>
      </c>
      <c r="I803">
        <v>802</v>
      </c>
      <c r="J803">
        <f t="shared" si="98"/>
        <v>0.9424798789477854</v>
      </c>
      <c r="K803">
        <f t="shared" si="99"/>
        <v>0.33426288722885139</v>
      </c>
      <c r="L803">
        <f>VLOOKUP(D803,[1]SOI!$A$1:$C$142,3)</f>
        <v>7.7</v>
      </c>
      <c r="M803" s="2">
        <f t="shared" si="100"/>
        <v>755.86886291612393</v>
      </c>
      <c r="N803">
        <f t="shared" si="101"/>
        <v>268.07883555753881</v>
      </c>
      <c r="O803" t="s">
        <v>8</v>
      </c>
    </row>
    <row r="804" spans="1:15" x14ac:dyDescent="0.35">
      <c r="A804">
        <v>2002</v>
      </c>
      <c r="B804">
        <v>3</v>
      </c>
      <c r="C804">
        <v>13</v>
      </c>
      <c r="D804" s="1">
        <f t="shared" si="96"/>
        <v>37328</v>
      </c>
      <c r="E804">
        <v>0</v>
      </c>
      <c r="F804">
        <f t="shared" si="102"/>
        <v>0.8</v>
      </c>
      <c r="G804">
        <f t="shared" si="97"/>
        <v>0</v>
      </c>
      <c r="H804">
        <f t="shared" si="103"/>
        <v>1</v>
      </c>
      <c r="I804">
        <v>803</v>
      </c>
      <c r="J804">
        <f t="shared" si="98"/>
        <v>0.94809027973236648</v>
      </c>
      <c r="K804">
        <f t="shared" si="99"/>
        <v>0.31800129162788504</v>
      </c>
      <c r="L804">
        <f>VLOOKUP(D804,[1]SOI!$A$1:$C$142,3)</f>
        <v>7.7</v>
      </c>
      <c r="M804" s="2">
        <f t="shared" si="100"/>
        <v>761.31649462509029</v>
      </c>
      <c r="N804">
        <f t="shared" si="101"/>
        <v>255.35503717719169</v>
      </c>
      <c r="O804" t="s">
        <v>8</v>
      </c>
    </row>
    <row r="805" spans="1:15" x14ac:dyDescent="0.35">
      <c r="A805">
        <v>2002</v>
      </c>
      <c r="B805">
        <v>3</v>
      </c>
      <c r="C805">
        <v>14</v>
      </c>
      <c r="D805" s="1">
        <f t="shared" si="96"/>
        <v>37329</v>
      </c>
      <c r="E805">
        <v>0</v>
      </c>
      <c r="F805">
        <f t="shared" si="102"/>
        <v>0</v>
      </c>
      <c r="G805">
        <f t="shared" si="97"/>
        <v>0</v>
      </c>
      <c r="H805">
        <f t="shared" si="103"/>
        <v>0</v>
      </c>
      <c r="I805">
        <v>804</v>
      </c>
      <c r="J805">
        <f t="shared" si="98"/>
        <v>0.9534201253498682</v>
      </c>
      <c r="K805">
        <f t="shared" si="99"/>
        <v>0.30164559432857885</v>
      </c>
      <c r="L805">
        <f>VLOOKUP(D805,[1]SOI!$A$1:$C$142,3)</f>
        <v>7.7</v>
      </c>
      <c r="M805" s="2">
        <f t="shared" si="100"/>
        <v>766.54978078129398</v>
      </c>
      <c r="N805">
        <f t="shared" si="101"/>
        <v>242.52305784017739</v>
      </c>
      <c r="O805" t="s">
        <v>8</v>
      </c>
    </row>
    <row r="806" spans="1:15" x14ac:dyDescent="0.35">
      <c r="A806">
        <v>2002</v>
      </c>
      <c r="B806">
        <v>3</v>
      </c>
      <c r="C806">
        <v>15</v>
      </c>
      <c r="D806" s="1">
        <f t="shared" si="96"/>
        <v>37330</v>
      </c>
      <c r="E806">
        <v>0</v>
      </c>
      <c r="F806">
        <f t="shared" si="102"/>
        <v>0</v>
      </c>
      <c r="G806">
        <f t="shared" si="97"/>
        <v>0</v>
      </c>
      <c r="H806">
        <f t="shared" si="103"/>
        <v>0</v>
      </c>
      <c r="I806">
        <v>805</v>
      </c>
      <c r="J806">
        <f t="shared" si="98"/>
        <v>0.95846783861322415</v>
      </c>
      <c r="K806">
        <f t="shared" si="99"/>
        <v>0.28520063524489991</v>
      </c>
      <c r="L806">
        <f>VLOOKUP(D806,[1]SOI!$A$1:$C$142,3)</f>
        <v>7.7</v>
      </c>
      <c r="M806" s="2">
        <f t="shared" si="100"/>
        <v>771.5666100836454</v>
      </c>
      <c r="N806">
        <f t="shared" si="101"/>
        <v>229.58651137214443</v>
      </c>
      <c r="O806" t="s">
        <v>8</v>
      </c>
    </row>
    <row r="807" spans="1:15" x14ac:dyDescent="0.35">
      <c r="A807">
        <v>2002</v>
      </c>
      <c r="B807">
        <v>3</v>
      </c>
      <c r="C807">
        <v>16</v>
      </c>
      <c r="D807" s="1">
        <f t="shared" si="96"/>
        <v>37331</v>
      </c>
      <c r="E807">
        <v>0</v>
      </c>
      <c r="F807">
        <f t="shared" si="102"/>
        <v>0</v>
      </c>
      <c r="G807">
        <f t="shared" si="97"/>
        <v>0</v>
      </c>
      <c r="H807">
        <f t="shared" si="103"/>
        <v>0</v>
      </c>
      <c r="I807">
        <v>806</v>
      </c>
      <c r="J807">
        <f t="shared" si="98"/>
        <v>0.96323192582286976</v>
      </c>
      <c r="K807">
        <f t="shared" si="99"/>
        <v>0.268671280704815</v>
      </c>
      <c r="L807">
        <f>VLOOKUP(D807,[1]SOI!$A$1:$C$142,3)</f>
        <v>7.7</v>
      </c>
      <c r="M807" s="2">
        <f t="shared" si="100"/>
        <v>776.36493221323303</v>
      </c>
      <c r="N807">
        <f t="shared" si="101"/>
        <v>216.5490522480809</v>
      </c>
      <c r="O807" t="s">
        <v>8</v>
      </c>
    </row>
    <row r="808" spans="1:15" x14ac:dyDescent="0.35">
      <c r="A808">
        <v>2002</v>
      </c>
      <c r="B808">
        <v>3</v>
      </c>
      <c r="C808">
        <v>17</v>
      </c>
      <c r="D808" s="1">
        <f t="shared" si="96"/>
        <v>37332</v>
      </c>
      <c r="E808">
        <v>0</v>
      </c>
      <c r="F808">
        <f t="shared" si="102"/>
        <v>0</v>
      </c>
      <c r="G808">
        <f t="shared" si="97"/>
        <v>0</v>
      </c>
      <c r="H808">
        <f t="shared" si="103"/>
        <v>0</v>
      </c>
      <c r="I808">
        <v>807</v>
      </c>
      <c r="J808">
        <f t="shared" si="98"/>
        <v>0.96771097720875332</v>
      </c>
      <c r="K808">
        <f t="shared" si="99"/>
        <v>0.25206242201026258</v>
      </c>
      <c r="L808">
        <f>VLOOKUP(D808,[1]SOI!$A$1:$C$142,3)</f>
        <v>7.7</v>
      </c>
      <c r="M808" s="2">
        <f t="shared" si="100"/>
        <v>780.94275860746393</v>
      </c>
      <c r="N808">
        <f t="shared" si="101"/>
        <v>203.41437456228189</v>
      </c>
      <c r="O808" t="s">
        <v>8</v>
      </c>
    </row>
    <row r="809" spans="1:15" x14ac:dyDescent="0.35">
      <c r="A809">
        <v>2002</v>
      </c>
      <c r="B809">
        <v>3</v>
      </c>
      <c r="C809">
        <v>18</v>
      </c>
      <c r="D809" s="1">
        <f t="shared" si="96"/>
        <v>37333</v>
      </c>
      <c r="E809">
        <v>0</v>
      </c>
      <c r="F809">
        <f t="shared" si="102"/>
        <v>0</v>
      </c>
      <c r="G809">
        <f t="shared" si="97"/>
        <v>0</v>
      </c>
      <c r="H809">
        <f t="shared" si="103"/>
        <v>0</v>
      </c>
      <c r="I809">
        <v>808</v>
      </c>
      <c r="J809">
        <f t="shared" si="98"/>
        <v>0.97190366734750777</v>
      </c>
      <c r="K809">
        <f t="shared" si="99"/>
        <v>0.23537897398974461</v>
      </c>
      <c r="L809">
        <f>VLOOKUP(D809,[1]SOI!$A$1:$C$142,3)</f>
        <v>7.7</v>
      </c>
      <c r="M809" s="2">
        <f t="shared" si="100"/>
        <v>785.29816321678629</v>
      </c>
      <c r="N809">
        <f t="shared" si="101"/>
        <v>190.18621098371364</v>
      </c>
      <c r="O809" t="s">
        <v>8</v>
      </c>
    </row>
    <row r="810" spans="1:15" x14ac:dyDescent="0.35">
      <c r="A810">
        <v>2002</v>
      </c>
      <c r="B810">
        <v>3</v>
      </c>
      <c r="C810">
        <v>19</v>
      </c>
      <c r="D810" s="1">
        <f t="shared" si="96"/>
        <v>37334</v>
      </c>
      <c r="E810">
        <v>0</v>
      </c>
      <c r="F810">
        <f t="shared" si="102"/>
        <v>0</v>
      </c>
      <c r="G810">
        <f t="shared" si="97"/>
        <v>0</v>
      </c>
      <c r="H810">
        <f t="shared" si="103"/>
        <v>0</v>
      </c>
      <c r="I810">
        <v>809</v>
      </c>
      <c r="J810">
        <f t="shared" si="98"/>
        <v>0.97580875555466773</v>
      </c>
      <c r="K810">
        <f t="shared" si="99"/>
        <v>0.2186258735439395</v>
      </c>
      <c r="L810">
        <f>VLOOKUP(D810,[1]SOI!$A$1:$C$142,3)</f>
        <v>7.7</v>
      </c>
      <c r="M810" s="2">
        <f t="shared" si="100"/>
        <v>789.42928324372622</v>
      </c>
      <c r="N810">
        <f t="shared" si="101"/>
        <v>176.86833169704707</v>
      </c>
      <c r="O810" t="s">
        <v>8</v>
      </c>
    </row>
    <row r="811" spans="1:15" x14ac:dyDescent="0.35">
      <c r="A811">
        <v>2002</v>
      </c>
      <c r="B811">
        <v>3</v>
      </c>
      <c r="C811">
        <v>20</v>
      </c>
      <c r="D811" s="1">
        <f t="shared" si="96"/>
        <v>37335</v>
      </c>
      <c r="E811">
        <v>0</v>
      </c>
      <c r="F811">
        <f t="shared" si="102"/>
        <v>0</v>
      </c>
      <c r="G811">
        <f t="shared" si="97"/>
        <v>0</v>
      </c>
      <c r="H811">
        <f t="shared" si="103"/>
        <v>0</v>
      </c>
      <c r="I811">
        <v>810</v>
      </c>
      <c r="J811">
        <f t="shared" si="98"/>
        <v>0.97942508625180591</v>
      </c>
      <c r="K811">
        <f t="shared" si="99"/>
        <v>0.2018080781848007</v>
      </c>
      <c r="L811">
        <f>VLOOKUP(D811,[1]SOI!$A$1:$C$142,3)</f>
        <v>7.7</v>
      </c>
      <c r="M811" s="2">
        <f t="shared" si="100"/>
        <v>793.33431986396283</v>
      </c>
      <c r="N811">
        <f t="shared" si="101"/>
        <v>163.46454332968858</v>
      </c>
      <c r="O811" t="s">
        <v>8</v>
      </c>
    </row>
    <row r="812" spans="1:15" x14ac:dyDescent="0.35">
      <c r="A812">
        <v>2002</v>
      </c>
      <c r="B812">
        <v>3</v>
      </c>
      <c r="C812">
        <v>21</v>
      </c>
      <c r="D812" s="1">
        <f t="shared" si="96"/>
        <v>37336</v>
      </c>
      <c r="E812">
        <v>3.4</v>
      </c>
      <c r="F812">
        <f t="shared" si="102"/>
        <v>0</v>
      </c>
      <c r="G812">
        <f t="shared" si="97"/>
        <v>1</v>
      </c>
      <c r="H812">
        <f t="shared" si="103"/>
        <v>0</v>
      </c>
      <c r="I812">
        <v>811</v>
      </c>
      <c r="J812">
        <f t="shared" si="98"/>
        <v>0.98275158930848827</v>
      </c>
      <c r="K812">
        <f t="shared" si="99"/>
        <v>0.18493056456854376</v>
      </c>
      <c r="L812">
        <f>VLOOKUP(D812,[1]SOI!$A$1:$C$142,3)</f>
        <v>7.7</v>
      </c>
      <c r="M812" s="2">
        <f t="shared" si="100"/>
        <v>797.01153892918398</v>
      </c>
      <c r="N812">
        <f t="shared" si="101"/>
        <v>149.978687865089</v>
      </c>
      <c r="O812" t="s">
        <v>8</v>
      </c>
    </row>
    <row r="813" spans="1:15" x14ac:dyDescent="0.35">
      <c r="A813">
        <v>2002</v>
      </c>
      <c r="B813">
        <v>3</v>
      </c>
      <c r="C813">
        <v>22</v>
      </c>
      <c r="D813" s="1">
        <f t="shared" si="96"/>
        <v>37337</v>
      </c>
      <c r="E813">
        <v>0.4</v>
      </c>
      <c r="F813">
        <f t="shared" si="102"/>
        <v>3.4</v>
      </c>
      <c r="G813">
        <f t="shared" si="97"/>
        <v>1</v>
      </c>
      <c r="H813">
        <f t="shared" si="103"/>
        <v>1</v>
      </c>
      <c r="I813">
        <v>812</v>
      </c>
      <c r="J813">
        <f t="shared" si="98"/>
        <v>0.98578728035894092</v>
      </c>
      <c r="K813">
        <f t="shared" si="99"/>
        <v>0.16799832702298775</v>
      </c>
      <c r="L813">
        <f>VLOOKUP(D813,[1]SOI!$A$1:$C$142,3)</f>
        <v>7.7</v>
      </c>
      <c r="M813" s="2">
        <f t="shared" si="100"/>
        <v>800.45927165145997</v>
      </c>
      <c r="N813">
        <f t="shared" si="101"/>
        <v>136.41464154266606</v>
      </c>
      <c r="O813" t="s">
        <v>8</v>
      </c>
    </row>
    <row r="814" spans="1:15" x14ac:dyDescent="0.35">
      <c r="A814">
        <v>2002</v>
      </c>
      <c r="B814">
        <v>3</v>
      </c>
      <c r="C814">
        <v>23</v>
      </c>
      <c r="D814" s="1">
        <f t="shared" si="96"/>
        <v>37338</v>
      </c>
      <c r="E814">
        <v>0</v>
      </c>
      <c r="F814">
        <f t="shared" si="102"/>
        <v>0.4</v>
      </c>
      <c r="G814">
        <f t="shared" si="97"/>
        <v>0</v>
      </c>
      <c r="H814">
        <f t="shared" si="103"/>
        <v>1</v>
      </c>
      <c r="I814">
        <v>813</v>
      </c>
      <c r="J814">
        <f t="shared" si="98"/>
        <v>0.98853126109334311</v>
      </c>
      <c r="K814">
        <f t="shared" si="99"/>
        <v>0.15101637606963247</v>
      </c>
      <c r="L814">
        <f>VLOOKUP(D814,[1]SOI!$A$1:$C$142,3)</f>
        <v>7.7</v>
      </c>
      <c r="M814" s="2">
        <f t="shared" si="100"/>
        <v>803.67591526888793</v>
      </c>
      <c r="N814">
        <f t="shared" si="101"/>
        <v>122.7763137446112</v>
      </c>
      <c r="O814" t="s">
        <v>8</v>
      </c>
    </row>
    <row r="815" spans="1:15" x14ac:dyDescent="0.35">
      <c r="A815">
        <v>2002</v>
      </c>
      <c r="B815">
        <v>3</v>
      </c>
      <c r="C815">
        <v>24</v>
      </c>
      <c r="D815" s="1">
        <f t="shared" si="96"/>
        <v>37339</v>
      </c>
      <c r="E815">
        <v>0</v>
      </c>
      <c r="F815">
        <f t="shared" si="102"/>
        <v>0</v>
      </c>
      <c r="G815">
        <f t="shared" si="97"/>
        <v>0</v>
      </c>
      <c r="H815">
        <f t="shared" si="103"/>
        <v>0</v>
      </c>
      <c r="I815">
        <v>814</v>
      </c>
      <c r="J815">
        <f t="shared" si="98"/>
        <v>0.99098271952364936</v>
      </c>
      <c r="K815">
        <f t="shared" si="99"/>
        <v>0.1339897369409766</v>
      </c>
      <c r="L815">
        <f>VLOOKUP(D815,[1]SOI!$A$1:$C$142,3)</f>
        <v>7.7</v>
      </c>
      <c r="M815" s="2">
        <f t="shared" si="100"/>
        <v>806.65993369225055</v>
      </c>
      <c r="N815">
        <f t="shared" si="101"/>
        <v>109.06764586995496</v>
      </c>
      <c r="O815" t="s">
        <v>8</v>
      </c>
    </row>
    <row r="816" spans="1:15" x14ac:dyDescent="0.35">
      <c r="A816">
        <v>2002</v>
      </c>
      <c r="B816">
        <v>3</v>
      </c>
      <c r="C816">
        <v>25</v>
      </c>
      <c r="D816" s="1">
        <f t="shared" si="96"/>
        <v>37340</v>
      </c>
      <c r="E816">
        <v>1</v>
      </c>
      <c r="F816">
        <f t="shared" si="102"/>
        <v>0</v>
      </c>
      <c r="G816">
        <f t="shared" si="97"/>
        <v>1</v>
      </c>
      <c r="H816">
        <f t="shared" si="103"/>
        <v>0</v>
      </c>
      <c r="I816">
        <v>815</v>
      </c>
      <c r="J816">
        <f t="shared" si="98"/>
        <v>0.9931409302238694</v>
      </c>
      <c r="K816">
        <f t="shared" si="99"/>
        <v>0.11692344809347405</v>
      </c>
      <c r="L816">
        <f>VLOOKUP(D816,[1]SOI!$A$1:$C$142,3)</f>
        <v>7.7</v>
      </c>
      <c r="M816" s="2">
        <f t="shared" si="100"/>
        <v>809.40985813245356</v>
      </c>
      <c r="N816">
        <f t="shared" si="101"/>
        <v>95.292610196181343</v>
      </c>
      <c r="O816" t="s">
        <v>8</v>
      </c>
    </row>
    <row r="817" spans="1:15" x14ac:dyDescent="0.35">
      <c r="A817">
        <v>2002</v>
      </c>
      <c r="B817">
        <v>3</v>
      </c>
      <c r="C817">
        <v>26</v>
      </c>
      <c r="D817" s="1">
        <f t="shared" si="96"/>
        <v>37341</v>
      </c>
      <c r="E817">
        <v>2.2000000000000002</v>
      </c>
      <c r="F817">
        <f t="shared" si="102"/>
        <v>1</v>
      </c>
      <c r="G817">
        <f t="shared" si="97"/>
        <v>1</v>
      </c>
      <c r="H817">
        <f t="shared" si="103"/>
        <v>1</v>
      </c>
      <c r="I817">
        <v>816</v>
      </c>
      <c r="J817">
        <f t="shared" si="98"/>
        <v>0.9950052545447351</v>
      </c>
      <c r="K817">
        <f t="shared" si="99"/>
        <v>9.9822559716563244E-2</v>
      </c>
      <c r="L817">
        <f>VLOOKUP(D817,[1]SOI!$A$1:$C$142,3)</f>
        <v>7.7</v>
      </c>
      <c r="M817" s="2">
        <f t="shared" si="100"/>
        <v>811.92428770850381</v>
      </c>
      <c r="N817">
        <f t="shared" si="101"/>
        <v>81.455208728715604</v>
      </c>
      <c r="O817" t="s">
        <v>8</v>
      </c>
    </row>
    <row r="818" spans="1:15" x14ac:dyDescent="0.35">
      <c r="A818">
        <v>2002</v>
      </c>
      <c r="B818">
        <v>3</v>
      </c>
      <c r="C818">
        <v>27</v>
      </c>
      <c r="D818" s="1">
        <f t="shared" si="96"/>
        <v>37342</v>
      </c>
      <c r="E818">
        <v>7.8</v>
      </c>
      <c r="F818">
        <f t="shared" si="102"/>
        <v>2.2000000000000002</v>
      </c>
      <c r="G818">
        <f t="shared" si="97"/>
        <v>1</v>
      </c>
      <c r="H818">
        <f t="shared" si="103"/>
        <v>1</v>
      </c>
      <c r="I818">
        <v>817</v>
      </c>
      <c r="J818">
        <f t="shared" si="98"/>
        <v>0.99657514080268583</v>
      </c>
      <c r="K818">
        <f t="shared" si="99"/>
        <v>8.2692132238241761E-2</v>
      </c>
      <c r="L818">
        <f>VLOOKUP(D818,[1]SOI!$A$1:$C$142,3)</f>
        <v>7.7</v>
      </c>
      <c r="M818" s="2">
        <f t="shared" si="100"/>
        <v>814.20189003579435</v>
      </c>
      <c r="N818">
        <f t="shared" si="101"/>
        <v>67.55947203864352</v>
      </c>
      <c r="O818" t="s">
        <v>8</v>
      </c>
    </row>
    <row r="819" spans="1:15" x14ac:dyDescent="0.35">
      <c r="A819">
        <v>2002</v>
      </c>
      <c r="B819">
        <v>3</v>
      </c>
      <c r="C819">
        <v>28</v>
      </c>
      <c r="D819" s="1">
        <f t="shared" si="96"/>
        <v>37343</v>
      </c>
      <c r="E819">
        <v>1.2</v>
      </c>
      <c r="F819">
        <f t="shared" si="102"/>
        <v>7.8</v>
      </c>
      <c r="G819">
        <f t="shared" si="97"/>
        <v>1</v>
      </c>
      <c r="H819">
        <f t="shared" si="103"/>
        <v>1</v>
      </c>
      <c r="I819">
        <v>818</v>
      </c>
      <c r="J819">
        <f t="shared" si="98"/>
        <v>0.99785012444312093</v>
      </c>
      <c r="K819">
        <f t="shared" si="99"/>
        <v>6.5537234827600738E-2</v>
      </c>
      <c r="L819">
        <f>VLOOKUP(D819,[1]SOI!$A$1:$C$142,3)</f>
        <v>7.7</v>
      </c>
      <c r="M819" s="2">
        <f t="shared" si="100"/>
        <v>816.24140179447295</v>
      </c>
      <c r="N819">
        <f t="shared" si="101"/>
        <v>53.609458088977405</v>
      </c>
      <c r="O819" t="s">
        <v>8</v>
      </c>
    </row>
    <row r="820" spans="1:15" x14ac:dyDescent="0.35">
      <c r="A820">
        <v>2002</v>
      </c>
      <c r="B820">
        <v>3</v>
      </c>
      <c r="C820">
        <v>29</v>
      </c>
      <c r="D820" s="1">
        <f t="shared" si="96"/>
        <v>37344</v>
      </c>
      <c r="E820">
        <v>0.4</v>
      </c>
      <c r="F820">
        <f t="shared" si="102"/>
        <v>1.2</v>
      </c>
      <c r="G820">
        <f t="shared" si="97"/>
        <v>1</v>
      </c>
      <c r="H820">
        <f t="shared" si="103"/>
        <v>1</v>
      </c>
      <c r="I820">
        <v>819</v>
      </c>
      <c r="J820">
        <f t="shared" si="98"/>
        <v>0.99882982817786836</v>
      </c>
      <c r="K820">
        <f t="shared" si="99"/>
        <v>4.8362943894783267E-2</v>
      </c>
      <c r="L820">
        <f>VLOOKUP(D820,[1]SOI!$A$1:$C$142,3)</f>
        <v>7.7</v>
      </c>
      <c r="M820" s="2">
        <f t="shared" si="100"/>
        <v>818.04162927767413</v>
      </c>
      <c r="N820">
        <f t="shared" si="101"/>
        <v>39.609251049827499</v>
      </c>
      <c r="O820" t="s">
        <v>8</v>
      </c>
    </row>
    <row r="821" spans="1:15" x14ac:dyDescent="0.35">
      <c r="A821">
        <v>2002</v>
      </c>
      <c r="B821">
        <v>3</v>
      </c>
      <c r="C821">
        <v>30</v>
      </c>
      <c r="D821" s="1">
        <f t="shared" si="96"/>
        <v>37345</v>
      </c>
      <c r="E821">
        <v>0.4</v>
      </c>
      <c r="F821">
        <f t="shared" si="102"/>
        <v>0.4</v>
      </c>
      <c r="G821">
        <f t="shared" si="97"/>
        <v>1</v>
      </c>
      <c r="H821">
        <f t="shared" si="103"/>
        <v>1</v>
      </c>
      <c r="I821">
        <v>820</v>
      </c>
      <c r="J821">
        <f t="shared" si="98"/>
        <v>0.9995139620968313</v>
      </c>
      <c r="K821">
        <f t="shared" si="99"/>
        <v>3.1174341588782392E-2</v>
      </c>
      <c r="L821">
        <f>VLOOKUP(D821,[1]SOI!$A$1:$C$142,3)</f>
        <v>7.7</v>
      </c>
      <c r="M821" s="2">
        <f t="shared" si="100"/>
        <v>819.60144891940172</v>
      </c>
      <c r="N821">
        <f t="shared" si="101"/>
        <v>25.562960102801561</v>
      </c>
      <c r="O821" t="s">
        <v>8</v>
      </c>
    </row>
    <row r="822" spans="1:15" x14ac:dyDescent="0.35">
      <c r="A822">
        <v>2002</v>
      </c>
      <c r="B822">
        <v>3</v>
      </c>
      <c r="C822">
        <v>31</v>
      </c>
      <c r="D822" s="1">
        <f t="shared" si="96"/>
        <v>37346</v>
      </c>
      <c r="E822">
        <v>0</v>
      </c>
      <c r="F822">
        <f t="shared" si="102"/>
        <v>0.4</v>
      </c>
      <c r="G822">
        <f t="shared" si="97"/>
        <v>0</v>
      </c>
      <c r="H822">
        <f t="shared" si="103"/>
        <v>1</v>
      </c>
      <c r="I822">
        <v>821</v>
      </c>
      <c r="J822">
        <f t="shared" si="98"/>
        <v>0.99990232375377641</v>
      </c>
      <c r="K822">
        <f t="shared" si="99"/>
        <v>1.3976514293558466E-2</v>
      </c>
      <c r="L822">
        <f>VLOOKUP(D822,[1]SOI!$A$1:$C$142,3)</f>
        <v>7.7</v>
      </c>
      <c r="M822" s="2">
        <f t="shared" si="100"/>
        <v>820.91980780185042</v>
      </c>
      <c r="N822">
        <f t="shared" si="101"/>
        <v>11.474718235011501</v>
      </c>
      <c r="O822" t="s">
        <v>8</v>
      </c>
    </row>
    <row r="823" spans="1:15" x14ac:dyDescent="0.35">
      <c r="A823">
        <v>2002</v>
      </c>
      <c r="B823">
        <v>4</v>
      </c>
      <c r="C823">
        <v>1</v>
      </c>
      <c r="D823" s="1">
        <f t="shared" si="96"/>
        <v>37347</v>
      </c>
      <c r="E823">
        <v>0</v>
      </c>
      <c r="F823">
        <f t="shared" si="102"/>
        <v>0</v>
      </c>
      <c r="G823">
        <f t="shared" si="97"/>
        <v>0</v>
      </c>
      <c r="H823">
        <f t="shared" si="103"/>
        <v>0</v>
      </c>
      <c r="I823">
        <v>822</v>
      </c>
      <c r="J823">
        <f t="shared" si="98"/>
        <v>0.99999479822624138</v>
      </c>
      <c r="K823">
        <f t="shared" si="99"/>
        <v>-3.2254488771071917E-3</v>
      </c>
      <c r="L823">
        <f>VLOOKUP(D823,[1]SOI!$A$1:$C$142,3)</f>
        <v>-5.2</v>
      </c>
      <c r="M823" s="2">
        <f t="shared" si="100"/>
        <v>821.99572414197041</v>
      </c>
      <c r="N823">
        <f t="shared" si="101"/>
        <v>-2.6513189769821115</v>
      </c>
      <c r="O823" t="s">
        <v>8</v>
      </c>
    </row>
    <row r="824" spans="1:15" x14ac:dyDescent="0.35">
      <c r="A824">
        <v>2002</v>
      </c>
      <c r="B824">
        <v>4</v>
      </c>
      <c r="C824">
        <v>2</v>
      </c>
      <c r="D824" s="1">
        <f t="shared" si="96"/>
        <v>37348</v>
      </c>
      <c r="E824">
        <v>0</v>
      </c>
      <c r="F824">
        <f t="shared" si="102"/>
        <v>0</v>
      </c>
      <c r="G824">
        <f t="shared" si="97"/>
        <v>0</v>
      </c>
      <c r="H824">
        <f t="shared" si="103"/>
        <v>0</v>
      </c>
      <c r="I824">
        <v>823</v>
      </c>
      <c r="J824">
        <f t="shared" si="98"/>
        <v>0.9997913581495419</v>
      </c>
      <c r="K824">
        <f t="shared" si="99"/>
        <v>-2.0426457585555856E-2</v>
      </c>
      <c r="L824">
        <f>VLOOKUP(D824,[1]SOI!$A$1:$C$142,3)</f>
        <v>-5.2</v>
      </c>
      <c r="M824" s="2">
        <f t="shared" si="100"/>
        <v>822.82828775707299</v>
      </c>
      <c r="N824">
        <f t="shared" si="101"/>
        <v>-16.810974592912469</v>
      </c>
      <c r="O824" t="s">
        <v>8</v>
      </c>
    </row>
    <row r="825" spans="1:15" x14ac:dyDescent="0.35">
      <c r="A825">
        <v>2002</v>
      </c>
      <c r="B825">
        <v>4</v>
      </c>
      <c r="C825">
        <v>3</v>
      </c>
      <c r="D825" s="1">
        <f t="shared" si="96"/>
        <v>37349</v>
      </c>
      <c r="E825">
        <v>0</v>
      </c>
      <c r="F825">
        <f t="shared" si="102"/>
        <v>0</v>
      </c>
      <c r="G825">
        <f t="shared" si="97"/>
        <v>0</v>
      </c>
      <c r="H825">
        <f t="shared" si="103"/>
        <v>0</v>
      </c>
      <c r="I825">
        <v>824</v>
      </c>
      <c r="J825">
        <f t="shared" si="98"/>
        <v>0.99929206372486967</v>
      </c>
      <c r="K825">
        <f t="shared" si="99"/>
        <v>-3.7621421776574848E-2</v>
      </c>
      <c r="L825">
        <f>VLOOKUP(D825,[1]SOI!$A$1:$C$142,3)</f>
        <v>-5.2</v>
      </c>
      <c r="M825" s="2">
        <f t="shared" si="100"/>
        <v>823.41666050929257</v>
      </c>
      <c r="N825">
        <f t="shared" si="101"/>
        <v>-31.000051543897676</v>
      </c>
      <c r="O825" t="s">
        <v>8</v>
      </c>
    </row>
    <row r="826" spans="1:15" x14ac:dyDescent="0.35">
      <c r="A826">
        <v>2002</v>
      </c>
      <c r="B826">
        <v>4</v>
      </c>
      <c r="C826">
        <v>4</v>
      </c>
      <c r="D826" s="1">
        <f t="shared" si="96"/>
        <v>37350</v>
      </c>
      <c r="E826">
        <v>4.2</v>
      </c>
      <c r="F826">
        <f t="shared" si="102"/>
        <v>0</v>
      </c>
      <c r="G826">
        <f t="shared" si="97"/>
        <v>1</v>
      </c>
      <c r="H826">
        <f t="shared" si="103"/>
        <v>0</v>
      </c>
      <c r="I826">
        <v>825</v>
      </c>
      <c r="J826">
        <f t="shared" si="98"/>
        <v>0.99849706270147787</v>
      </c>
      <c r="K826">
        <f t="shared" si="99"/>
        <v>-5.4805253183623233E-2</v>
      </c>
      <c r="L826">
        <f>VLOOKUP(D826,[1]SOI!$A$1:$C$142,3)</f>
        <v>-5.2</v>
      </c>
      <c r="M826" s="2">
        <f t="shared" si="100"/>
        <v>823.76007672871924</v>
      </c>
      <c r="N826">
        <f t="shared" si="101"/>
        <v>-45.214333876489164</v>
      </c>
      <c r="O826" t="s">
        <v>8</v>
      </c>
    </row>
    <row r="827" spans="1:15" x14ac:dyDescent="0.35">
      <c r="A827">
        <v>2002</v>
      </c>
      <c r="B827">
        <v>4</v>
      </c>
      <c r="C827">
        <v>5</v>
      </c>
      <c r="D827" s="1">
        <f t="shared" si="96"/>
        <v>37351</v>
      </c>
      <c r="E827">
        <v>0</v>
      </c>
      <c r="F827">
        <f t="shared" si="102"/>
        <v>4.2</v>
      </c>
      <c r="G827">
        <f t="shared" si="97"/>
        <v>0</v>
      </c>
      <c r="H827">
        <f t="shared" si="103"/>
        <v>1</v>
      </c>
      <c r="I827">
        <v>826</v>
      </c>
      <c r="J827">
        <f t="shared" si="98"/>
        <v>0.99740659033295975</v>
      </c>
      <c r="K827">
        <f t="shared" si="99"/>
        <v>-7.1972866834519297E-2</v>
      </c>
      <c r="L827">
        <f>VLOOKUP(D827,[1]SOI!$A$1:$C$142,3)</f>
        <v>-5.2</v>
      </c>
      <c r="M827" s="2">
        <f t="shared" si="100"/>
        <v>823.85784361502476</v>
      </c>
      <c r="N827">
        <f t="shared" si="101"/>
        <v>-59.44958800531294</v>
      </c>
      <c r="O827" t="s">
        <v>8</v>
      </c>
    </row>
    <row r="828" spans="1:15" x14ac:dyDescent="0.35">
      <c r="A828">
        <v>2002</v>
      </c>
      <c r="B828">
        <v>4</v>
      </c>
      <c r="C828">
        <v>6</v>
      </c>
      <c r="D828" s="1">
        <f t="shared" si="96"/>
        <v>37352</v>
      </c>
      <c r="E828">
        <v>0</v>
      </c>
      <c r="F828">
        <f t="shared" si="102"/>
        <v>0</v>
      </c>
      <c r="G828">
        <f t="shared" si="97"/>
        <v>0</v>
      </c>
      <c r="H828">
        <f t="shared" si="103"/>
        <v>0</v>
      </c>
      <c r="I828">
        <v>827</v>
      </c>
      <c r="J828">
        <f t="shared" si="98"/>
        <v>0.99602096930763306</v>
      </c>
      <c r="K828">
        <f t="shared" si="99"/>
        <v>-8.9119182556186935E-2</v>
      </c>
      <c r="L828">
        <f>VLOOKUP(D828,[1]SOI!$A$1:$C$142,3)</f>
        <v>-5.2</v>
      </c>
      <c r="M828" s="2">
        <f t="shared" si="100"/>
        <v>823.70934161741252</v>
      </c>
      <c r="N828">
        <f t="shared" si="101"/>
        <v>-73.7015639739666</v>
      </c>
      <c r="O828" t="s">
        <v>8</v>
      </c>
    </row>
    <row r="829" spans="1:15" x14ac:dyDescent="0.35">
      <c r="A829">
        <v>2002</v>
      </c>
      <c r="B829">
        <v>4</v>
      </c>
      <c r="C829">
        <v>7</v>
      </c>
      <c r="D829" s="1">
        <f t="shared" si="96"/>
        <v>37353</v>
      </c>
      <c r="E829">
        <v>0</v>
      </c>
      <c r="F829">
        <f t="shared" si="102"/>
        <v>0</v>
      </c>
      <c r="G829">
        <f t="shared" si="97"/>
        <v>0</v>
      </c>
      <c r="H829">
        <f t="shared" si="103"/>
        <v>0</v>
      </c>
      <c r="I829">
        <v>828</v>
      </c>
      <c r="J829">
        <f t="shared" si="98"/>
        <v>0.99434060965305193</v>
      </c>
      <c r="K829">
        <f t="shared" si="99"/>
        <v>-0.10623912647794644</v>
      </c>
      <c r="L829">
        <f>VLOOKUP(D829,[1]SOI!$A$1:$C$142,3)</f>
        <v>-5.2</v>
      </c>
      <c r="M829" s="2">
        <f t="shared" si="100"/>
        <v>823.31402479272697</v>
      </c>
      <c r="N829">
        <f t="shared" si="101"/>
        <v>-87.96599672373965</v>
      </c>
      <c r="O829" t="s">
        <v>8</v>
      </c>
    </row>
    <row r="830" spans="1:15" x14ac:dyDescent="0.35">
      <c r="A830">
        <v>2002</v>
      </c>
      <c r="B830">
        <v>4</v>
      </c>
      <c r="C830">
        <v>8</v>
      </c>
      <c r="D830" s="1">
        <f t="shared" si="96"/>
        <v>37354</v>
      </c>
      <c r="E830">
        <v>0</v>
      </c>
      <c r="F830">
        <f t="shared" si="102"/>
        <v>0</v>
      </c>
      <c r="G830">
        <f t="shared" si="97"/>
        <v>0</v>
      </c>
      <c r="H830">
        <f t="shared" si="103"/>
        <v>0</v>
      </c>
      <c r="I830">
        <v>829</v>
      </c>
      <c r="J830">
        <f t="shared" si="98"/>
        <v>0.99236600861467195</v>
      </c>
      <c r="K830">
        <f t="shared" si="99"/>
        <v>-0.12332763253295968</v>
      </c>
      <c r="L830">
        <f>VLOOKUP(D830,[1]SOI!$A$1:$C$142,3)</f>
        <v>-5.2</v>
      </c>
      <c r="M830" s="2">
        <f t="shared" si="100"/>
        <v>822.67142114156309</v>
      </c>
      <c r="N830">
        <f t="shared" si="101"/>
        <v>-102.23860736982358</v>
      </c>
      <c r="O830" t="s">
        <v>8</v>
      </c>
    </row>
    <row r="831" spans="1:15" x14ac:dyDescent="0.35">
      <c r="A831">
        <v>2002</v>
      </c>
      <c r="B831">
        <v>4</v>
      </c>
      <c r="C831">
        <v>9</v>
      </c>
      <c r="D831" s="1">
        <f t="shared" si="96"/>
        <v>37355</v>
      </c>
      <c r="E831">
        <v>0</v>
      </c>
      <c r="F831">
        <f t="shared" si="102"/>
        <v>0</v>
      </c>
      <c r="G831">
        <f t="shared" si="97"/>
        <v>0</v>
      </c>
      <c r="H831">
        <f t="shared" si="103"/>
        <v>0</v>
      </c>
      <c r="I831">
        <v>830</v>
      </c>
      <c r="J831">
        <f t="shared" si="98"/>
        <v>0.99009775050870941</v>
      </c>
      <c r="K831">
        <f t="shared" si="99"/>
        <v>-0.14037964395735386</v>
      </c>
      <c r="L831">
        <f>VLOOKUP(D831,[1]SOI!$A$1:$C$142,3)</f>
        <v>-5.2</v>
      </c>
      <c r="M831" s="2">
        <f t="shared" si="100"/>
        <v>821.78113292222884</v>
      </c>
      <c r="N831">
        <f t="shared" si="101"/>
        <v>-116.51510448460371</v>
      </c>
      <c r="O831" t="s">
        <v>8</v>
      </c>
    </row>
    <row r="832" spans="1:15" x14ac:dyDescent="0.35">
      <c r="A832">
        <v>2002</v>
      </c>
      <c r="B832">
        <v>4</v>
      </c>
      <c r="C832">
        <v>10</v>
      </c>
      <c r="D832" s="1">
        <f t="shared" si="96"/>
        <v>37356</v>
      </c>
      <c r="E832">
        <v>2.2000000000000002</v>
      </c>
      <c r="F832">
        <f t="shared" si="102"/>
        <v>0</v>
      </c>
      <c r="G832">
        <f t="shared" si="97"/>
        <v>1</v>
      </c>
      <c r="H832">
        <f t="shared" si="103"/>
        <v>0</v>
      </c>
      <c r="I832">
        <v>831</v>
      </c>
      <c r="J832">
        <f t="shared" si="98"/>
        <v>0.9875365065492302</v>
      </c>
      <c r="K832">
        <f t="shared" si="99"/>
        <v>-0.15739011478660975</v>
      </c>
      <c r="L832">
        <f>VLOOKUP(D832,[1]SOI!$A$1:$C$142,3)</f>
        <v>-5.2</v>
      </c>
      <c r="M832" s="2">
        <f t="shared" si="100"/>
        <v>820.64283694241033</v>
      </c>
      <c r="N832">
        <f t="shared" si="101"/>
        <v>-130.7911853876727</v>
      </c>
      <c r="O832" t="s">
        <v>8</v>
      </c>
    </row>
    <row r="833" spans="1:15" x14ac:dyDescent="0.35">
      <c r="A833">
        <v>2002</v>
      </c>
      <c r="B833">
        <v>4</v>
      </c>
      <c r="C833">
        <v>11</v>
      </c>
      <c r="D833" s="1">
        <f t="shared" si="96"/>
        <v>37357</v>
      </c>
      <c r="E833">
        <v>0</v>
      </c>
      <c r="F833">
        <f t="shared" si="102"/>
        <v>2.2000000000000002</v>
      </c>
      <c r="G833">
        <f t="shared" si="97"/>
        <v>0</v>
      </c>
      <c r="H833">
        <f t="shared" si="103"/>
        <v>1</v>
      </c>
      <c r="I833">
        <v>832</v>
      </c>
      <c r="J833">
        <f t="shared" si="98"/>
        <v>0.98468303464952822</v>
      </c>
      <c r="K833">
        <f t="shared" si="99"/>
        <v>-0.17435401134873857</v>
      </c>
      <c r="L833">
        <f>VLOOKUP(D833,[1]SOI!$A$1:$C$142,3)</f>
        <v>-5.2</v>
      </c>
      <c r="M833" s="2">
        <f t="shared" si="100"/>
        <v>819.2562848284075</v>
      </c>
      <c r="N833">
        <f t="shared" si="101"/>
        <v>-145.0625374421505</v>
      </c>
      <c r="O833" t="s">
        <v>8</v>
      </c>
    </row>
    <row r="834" spans="1:15" x14ac:dyDescent="0.35">
      <c r="A834">
        <v>2002</v>
      </c>
      <c r="B834">
        <v>4</v>
      </c>
      <c r="C834">
        <v>12</v>
      </c>
      <c r="D834" s="1">
        <f t="shared" si="96"/>
        <v>37358</v>
      </c>
      <c r="E834">
        <v>0</v>
      </c>
      <c r="F834">
        <f t="shared" si="102"/>
        <v>0</v>
      </c>
      <c r="G834">
        <f t="shared" si="97"/>
        <v>0</v>
      </c>
      <c r="H834">
        <f t="shared" si="103"/>
        <v>0</v>
      </c>
      <c r="I834">
        <v>833</v>
      </c>
      <c r="J834">
        <f t="shared" si="98"/>
        <v>0.98153817919784703</v>
      </c>
      <c r="K834">
        <f t="shared" si="99"/>
        <v>-0.19126631375382125</v>
      </c>
      <c r="L834">
        <f>VLOOKUP(D834,[1]SOI!$A$1:$C$142,3)</f>
        <v>-5.2</v>
      </c>
      <c r="M834" s="2">
        <f t="shared" si="100"/>
        <v>817.6213032718066</v>
      </c>
      <c r="N834">
        <f t="shared" si="101"/>
        <v>-159.3248393569331</v>
      </c>
      <c r="O834" t="s">
        <v>8</v>
      </c>
    </row>
    <row r="835" spans="1:15" x14ac:dyDescent="0.35">
      <c r="A835">
        <v>2002</v>
      </c>
      <c r="B835">
        <v>4</v>
      </c>
      <c r="C835">
        <v>13</v>
      </c>
      <c r="D835" s="1">
        <f t="shared" ref="D835:D898" si="104">DATE(A835,B835,C835)</f>
        <v>37359</v>
      </c>
      <c r="E835">
        <v>15.6</v>
      </c>
      <c r="F835">
        <f t="shared" si="102"/>
        <v>0</v>
      </c>
      <c r="G835">
        <f t="shared" ref="G835:G898" si="105">IF(E835=0,0,1)</f>
        <v>1</v>
      </c>
      <c r="H835">
        <f t="shared" si="103"/>
        <v>0</v>
      </c>
      <c r="I835">
        <v>834</v>
      </c>
      <c r="J835">
        <f t="shared" ref="J835:J898" si="106">SIN(2*PI()*I835/365.25)</f>
        <v>0.97810287080751035</v>
      </c>
      <c r="K835">
        <f t="shared" ref="K835:K898" si="107">COS(2*PI()*I835/365.25)</f>
        <v>-0.20812201737948507</v>
      </c>
      <c r="L835">
        <f>VLOOKUP(D835,[1]SOI!$A$1:$C$142,3)</f>
        <v>-5.2</v>
      </c>
      <c r="M835" s="2">
        <f t="shared" ref="M835:M898" si="108">I835*J835</f>
        <v>815.73779425346368</v>
      </c>
      <c r="N835">
        <f t="shared" ref="N835:N898" si="109">I835*K835</f>
        <v>-173.57376249449055</v>
      </c>
      <c r="O835" t="s">
        <v>8</v>
      </c>
    </row>
    <row r="836" spans="1:15" x14ac:dyDescent="0.35">
      <c r="A836">
        <v>2002</v>
      </c>
      <c r="B836">
        <v>4</v>
      </c>
      <c r="C836">
        <v>14</v>
      </c>
      <c r="D836" s="1">
        <f t="shared" si="104"/>
        <v>37360</v>
      </c>
      <c r="E836">
        <v>0.8</v>
      </c>
      <c r="F836">
        <f t="shared" ref="F836:F899" si="110">E835</f>
        <v>15.6</v>
      </c>
      <c r="G836">
        <f t="shared" si="105"/>
        <v>1</v>
      </c>
      <c r="H836">
        <f t="shared" ref="H836:H899" si="111">G835</f>
        <v>1</v>
      </c>
      <c r="I836">
        <v>835</v>
      </c>
      <c r="J836">
        <f t="shared" si="106"/>
        <v>0.97437812604153973</v>
      </c>
      <c r="K836">
        <f t="shared" si="107"/>
        <v>-0.22491613435184504</v>
      </c>
      <c r="L836">
        <f>VLOOKUP(D836,[1]SOI!$A$1:$C$142,3)</f>
        <v>-5.2</v>
      </c>
      <c r="M836" s="2">
        <f t="shared" si="108"/>
        <v>813.60573524468566</v>
      </c>
      <c r="N836">
        <f t="shared" si="109"/>
        <v>-187.80497218379062</v>
      </c>
      <c r="O836" t="s">
        <v>8</v>
      </c>
    </row>
    <row r="837" spans="1:15" x14ac:dyDescent="0.35">
      <c r="A837">
        <v>2002</v>
      </c>
      <c r="B837">
        <v>4</v>
      </c>
      <c r="C837">
        <v>15</v>
      </c>
      <c r="D837" s="1">
        <f t="shared" si="104"/>
        <v>37361</v>
      </c>
      <c r="E837">
        <v>0</v>
      </c>
      <c r="F837">
        <f t="shared" si="110"/>
        <v>0.8</v>
      </c>
      <c r="G837">
        <f t="shared" si="105"/>
        <v>0</v>
      </c>
      <c r="H837">
        <f t="shared" si="111"/>
        <v>1</v>
      </c>
      <c r="I837">
        <v>836</v>
      </c>
      <c r="J837">
        <f t="shared" si="106"/>
        <v>0.97036504711183602</v>
      </c>
      <c r="K837">
        <f t="shared" si="107"/>
        <v>-0.2416436950215011</v>
      </c>
      <c r="L837">
        <f>VLOOKUP(D837,[1]SOI!$A$1:$C$142,3)</f>
        <v>-5.2</v>
      </c>
      <c r="M837" s="2">
        <f t="shared" si="108"/>
        <v>811.22517938549493</v>
      </c>
      <c r="N837">
        <f t="shared" si="109"/>
        <v>-202.01412903797493</v>
      </c>
      <c r="O837" t="s">
        <v>8</v>
      </c>
    </row>
    <row r="838" spans="1:15" x14ac:dyDescent="0.35">
      <c r="A838">
        <v>2002</v>
      </c>
      <c r="B838">
        <v>4</v>
      </c>
      <c r="C838">
        <v>16</v>
      </c>
      <c r="D838" s="1">
        <f t="shared" si="104"/>
        <v>37362</v>
      </c>
      <c r="E838">
        <v>1.4</v>
      </c>
      <c r="F838">
        <f t="shared" si="110"/>
        <v>0</v>
      </c>
      <c r="G838">
        <f t="shared" si="105"/>
        <v>1</v>
      </c>
      <c r="H838">
        <f t="shared" si="111"/>
        <v>0</v>
      </c>
      <c r="I838">
        <v>837</v>
      </c>
      <c r="J838">
        <f t="shared" si="106"/>
        <v>0.96606482155302076</v>
      </c>
      <c r="K838">
        <f t="shared" si="107"/>
        <v>-0.25829974943412193</v>
      </c>
      <c r="L838">
        <f>VLOOKUP(D838,[1]SOI!$A$1:$C$142,3)</f>
        <v>-5.2</v>
      </c>
      <c r="M838" s="2">
        <f t="shared" si="108"/>
        <v>808.59625563987834</v>
      </c>
      <c r="N838">
        <f t="shared" si="109"/>
        <v>-216.19689027636005</v>
      </c>
      <c r="O838" t="s">
        <v>8</v>
      </c>
    </row>
    <row r="839" spans="1:15" x14ac:dyDescent="0.35">
      <c r="A839">
        <v>2002</v>
      </c>
      <c r="B839">
        <v>4</v>
      </c>
      <c r="C839">
        <v>17</v>
      </c>
      <c r="D839" s="1">
        <f t="shared" si="104"/>
        <v>37363</v>
      </c>
      <c r="E839">
        <v>0</v>
      </c>
      <c r="F839">
        <f t="shared" si="110"/>
        <v>1.4</v>
      </c>
      <c r="G839">
        <f t="shared" si="105"/>
        <v>0</v>
      </c>
      <c r="H839">
        <f t="shared" si="111"/>
        <v>1</v>
      </c>
      <c r="I839">
        <v>838</v>
      </c>
      <c r="J839">
        <f t="shared" si="106"/>
        <v>0.96147872187101913</v>
      </c>
      <c r="K839">
        <f t="shared" si="107"/>
        <v>-0.27487936879524355</v>
      </c>
      <c r="L839">
        <f>VLOOKUP(D839,[1]SOI!$A$1:$C$142,3)</f>
        <v>-5.2</v>
      </c>
      <c r="M839" s="2">
        <f t="shared" si="108"/>
        <v>805.71916892791398</v>
      </c>
      <c r="N839">
        <f t="shared" si="109"/>
        <v>-230.3489110504141</v>
      </c>
      <c r="O839" t="s">
        <v>8</v>
      </c>
    </row>
    <row r="840" spans="1:15" x14ac:dyDescent="0.35">
      <c r="A840">
        <v>2002</v>
      </c>
      <c r="B840">
        <v>4</v>
      </c>
      <c r="C840">
        <v>18</v>
      </c>
      <c r="D840" s="1">
        <f t="shared" si="104"/>
        <v>37364</v>
      </c>
      <c r="E840">
        <v>0</v>
      </c>
      <c r="F840">
        <f t="shared" si="110"/>
        <v>0</v>
      </c>
      <c r="G840">
        <f t="shared" si="105"/>
        <v>0</v>
      </c>
      <c r="H840">
        <f t="shared" si="111"/>
        <v>0</v>
      </c>
      <c r="I840">
        <v>839</v>
      </c>
      <c r="J840">
        <f t="shared" si="106"/>
        <v>0.95660810516651062</v>
      </c>
      <c r="K840">
        <f t="shared" si="107"/>
        <v>-0.29137764692875484</v>
      </c>
      <c r="L840">
        <f>VLOOKUP(D840,[1]SOI!$A$1:$C$142,3)</f>
        <v>-5.2</v>
      </c>
      <c r="M840" s="2">
        <f t="shared" si="108"/>
        <v>802.59420023470238</v>
      </c>
      <c r="N840">
        <f t="shared" si="109"/>
        <v>-244.46584577322531</v>
      </c>
      <c r="O840" t="s">
        <v>8</v>
      </c>
    </row>
    <row r="841" spans="1:15" x14ac:dyDescent="0.35">
      <c r="A841">
        <v>2002</v>
      </c>
      <c r="B841">
        <v>4</v>
      </c>
      <c r="C841">
        <v>19</v>
      </c>
      <c r="D841" s="1">
        <f t="shared" si="104"/>
        <v>37365</v>
      </c>
      <c r="E841">
        <v>0</v>
      </c>
      <c r="F841">
        <f t="shared" si="110"/>
        <v>0</v>
      </c>
      <c r="G841">
        <f t="shared" si="105"/>
        <v>0</v>
      </c>
      <c r="H841">
        <f t="shared" si="111"/>
        <v>0</v>
      </c>
      <c r="I841">
        <v>840</v>
      </c>
      <c r="J841">
        <f t="shared" si="106"/>
        <v>0.95145441273333786</v>
      </c>
      <c r="K841">
        <f t="shared" si="107"/>
        <v>-0.30778970172872777</v>
      </c>
      <c r="L841">
        <f>VLOOKUP(D841,[1]SOI!$A$1:$C$142,3)</f>
        <v>-5.2</v>
      </c>
      <c r="M841" s="2">
        <f t="shared" si="108"/>
        <v>799.22170669600382</v>
      </c>
      <c r="N841">
        <f t="shared" si="109"/>
        <v>-258.54334945213134</v>
      </c>
      <c r="O841" t="s">
        <v>8</v>
      </c>
    </row>
    <row r="842" spans="1:15" x14ac:dyDescent="0.35">
      <c r="A842">
        <v>2002</v>
      </c>
      <c r="B842">
        <v>4</v>
      </c>
      <c r="C842">
        <v>20</v>
      </c>
      <c r="D842" s="1">
        <f t="shared" si="104"/>
        <v>37366</v>
      </c>
      <c r="E842">
        <v>1.2</v>
      </c>
      <c r="F842">
        <f t="shared" si="110"/>
        <v>0</v>
      </c>
      <c r="G842">
        <f t="shared" si="105"/>
        <v>1</v>
      </c>
      <c r="H842">
        <f t="shared" si="111"/>
        <v>0</v>
      </c>
      <c r="I842">
        <v>841</v>
      </c>
      <c r="J842">
        <f t="shared" si="106"/>
        <v>0.94601916963200872</v>
      </c>
      <c r="K842">
        <f t="shared" si="107"/>
        <v>-0.32411067660409559</v>
      </c>
      <c r="L842">
        <f>VLOOKUP(D842,[1]SOI!$A$1:$C$142,3)</f>
        <v>-5.2</v>
      </c>
      <c r="M842" s="2">
        <f t="shared" si="108"/>
        <v>795.60212166051929</v>
      </c>
      <c r="N842">
        <f t="shared" si="109"/>
        <v>-272.57707902404439</v>
      </c>
      <c r="O842" t="s">
        <v>8</v>
      </c>
    </row>
    <row r="843" spans="1:15" x14ac:dyDescent="0.35">
      <c r="A843">
        <v>2002</v>
      </c>
      <c r="B843">
        <v>4</v>
      </c>
      <c r="C843">
        <v>21</v>
      </c>
      <c r="D843" s="1">
        <f t="shared" si="104"/>
        <v>37367</v>
      </c>
      <c r="E843">
        <v>0.2</v>
      </c>
      <c r="F843">
        <f t="shared" si="110"/>
        <v>1.2</v>
      </c>
      <c r="G843">
        <f t="shared" si="105"/>
        <v>1</v>
      </c>
      <c r="H843">
        <f t="shared" si="111"/>
        <v>1</v>
      </c>
      <c r="I843">
        <v>842</v>
      </c>
      <c r="J843">
        <f t="shared" si="106"/>
        <v>0.94030398423840067</v>
      </c>
      <c r="K843">
        <f t="shared" si="107"/>
        <v>-0.34033574191581695</v>
      </c>
      <c r="L843">
        <f>VLOOKUP(D843,[1]SOI!$A$1:$C$142,3)</f>
        <v>-5.2</v>
      </c>
      <c r="M843" s="2">
        <f t="shared" si="108"/>
        <v>791.73595472873342</v>
      </c>
      <c r="N843">
        <f t="shared" si="109"/>
        <v>-286.56269469311786</v>
      </c>
      <c r="O843" t="s">
        <v>8</v>
      </c>
    </row>
    <row r="844" spans="1:15" x14ac:dyDescent="0.35">
      <c r="A844">
        <v>2002</v>
      </c>
      <c r="B844">
        <v>4</v>
      </c>
      <c r="C844">
        <v>22</v>
      </c>
      <c r="D844" s="1">
        <f t="shared" si="104"/>
        <v>37368</v>
      </c>
      <c r="E844">
        <v>0</v>
      </c>
      <c r="F844">
        <f t="shared" si="110"/>
        <v>0.2</v>
      </c>
      <c r="G844">
        <f t="shared" si="105"/>
        <v>0</v>
      </c>
      <c r="H844">
        <f t="shared" si="111"/>
        <v>1</v>
      </c>
      <c r="I844">
        <v>843</v>
      </c>
      <c r="J844">
        <f t="shared" si="106"/>
        <v>0.93431054776781941</v>
      </c>
      <c r="K844">
        <f t="shared" si="107"/>
        <v>-0.35646009640603149</v>
      </c>
      <c r="L844">
        <f>VLOOKUP(D844,[1]SOI!$A$1:$C$142,3)</f>
        <v>-5.2</v>
      </c>
      <c r="M844" s="2">
        <f t="shared" si="108"/>
        <v>787.62379176827176</v>
      </c>
      <c r="N844">
        <f t="shared" si="109"/>
        <v>-300.49586127028454</v>
      </c>
      <c r="O844" t="s">
        <v>8</v>
      </c>
    </row>
    <row r="845" spans="1:15" x14ac:dyDescent="0.35">
      <c r="A845">
        <v>2002</v>
      </c>
      <c r="B845">
        <v>4</v>
      </c>
      <c r="C845">
        <v>23</v>
      </c>
      <c r="D845" s="1">
        <f t="shared" si="104"/>
        <v>37369</v>
      </c>
      <c r="E845">
        <v>0</v>
      </c>
      <c r="F845">
        <f t="shared" si="110"/>
        <v>0</v>
      </c>
      <c r="G845">
        <f t="shared" si="105"/>
        <v>0</v>
      </c>
      <c r="H845">
        <f t="shared" si="111"/>
        <v>0</v>
      </c>
      <c r="I845">
        <v>844</v>
      </c>
      <c r="J845">
        <f t="shared" si="106"/>
        <v>0.92804063377454293</v>
      </c>
      <c r="K845">
        <f t="shared" si="107"/>
        <v>-0.37247896861882634</v>
      </c>
      <c r="L845">
        <f>VLOOKUP(D845,[1]SOI!$A$1:$C$142,3)</f>
        <v>-5.2</v>
      </c>
      <c r="M845" s="2">
        <f t="shared" si="108"/>
        <v>783.26629490571429</v>
      </c>
      <c r="N845">
        <f t="shared" si="109"/>
        <v>-314.37224951428942</v>
      </c>
      <c r="O845" t="s">
        <v>8</v>
      </c>
    </row>
    <row r="846" spans="1:15" x14ac:dyDescent="0.35">
      <c r="A846">
        <v>2002</v>
      </c>
      <c r="B846">
        <v>4</v>
      </c>
      <c r="C846">
        <v>24</v>
      </c>
      <c r="D846" s="1">
        <f t="shared" si="104"/>
        <v>37370</v>
      </c>
      <c r="E846">
        <v>0.4</v>
      </c>
      <c r="F846">
        <f t="shared" si="110"/>
        <v>0</v>
      </c>
      <c r="G846">
        <f t="shared" si="105"/>
        <v>1</v>
      </c>
      <c r="H846">
        <f t="shared" si="111"/>
        <v>0</v>
      </c>
      <c r="I846">
        <v>845</v>
      </c>
      <c r="J846">
        <f t="shared" si="106"/>
        <v>0.92149609762699458</v>
      </c>
      <c r="K846">
        <f t="shared" si="107"/>
        <v>-0.38838761831219648</v>
      </c>
      <c r="L846">
        <f>VLOOKUP(D846,[1]SOI!$A$1:$C$142,3)</f>
        <v>-5.2</v>
      </c>
      <c r="M846" s="2">
        <f t="shared" si="108"/>
        <v>778.66420249481041</v>
      </c>
      <c r="N846">
        <f t="shared" si="109"/>
        <v>-328.187537473806</v>
      </c>
      <c r="O846" t="s">
        <v>8</v>
      </c>
    </row>
    <row r="847" spans="1:15" x14ac:dyDescent="0.35">
      <c r="A847">
        <v>2002</v>
      </c>
      <c r="B847">
        <v>4</v>
      </c>
      <c r="C847">
        <v>25</v>
      </c>
      <c r="D847" s="1">
        <f t="shared" si="104"/>
        <v>37371</v>
      </c>
      <c r="E847">
        <v>6.8</v>
      </c>
      <c r="F847">
        <f t="shared" si="110"/>
        <v>0.4</v>
      </c>
      <c r="G847">
        <f t="shared" si="105"/>
        <v>1</v>
      </c>
      <c r="H847">
        <f t="shared" si="111"/>
        <v>1</v>
      </c>
      <c r="I847">
        <v>846</v>
      </c>
      <c r="J847">
        <f t="shared" si="106"/>
        <v>0.91467887595871178</v>
      </c>
      <c r="K847">
        <f t="shared" si="107"/>
        <v>-0.40418133786075217</v>
      </c>
      <c r="L847">
        <f>VLOOKUP(D847,[1]SOI!$A$1:$C$142,3)</f>
        <v>-5.2</v>
      </c>
      <c r="M847" s="2">
        <f t="shared" si="108"/>
        <v>773.81832906107013</v>
      </c>
      <c r="N847">
        <f t="shared" si="109"/>
        <v>-341.93741183019631</v>
      </c>
      <c r="O847" t="s">
        <v>8</v>
      </c>
    </row>
    <row r="848" spans="1:15" x14ac:dyDescent="0.35">
      <c r="A848">
        <v>2002</v>
      </c>
      <c r="B848">
        <v>4</v>
      </c>
      <c r="C848">
        <v>26</v>
      </c>
      <c r="D848" s="1">
        <f t="shared" si="104"/>
        <v>37372</v>
      </c>
      <c r="E848">
        <v>6.4</v>
      </c>
      <c r="F848">
        <f t="shared" si="110"/>
        <v>6.8</v>
      </c>
      <c r="G848">
        <f t="shared" si="105"/>
        <v>1</v>
      </c>
      <c r="H848">
        <f t="shared" si="111"/>
        <v>1</v>
      </c>
      <c r="I848">
        <v>847</v>
      </c>
      <c r="J848">
        <f t="shared" si="106"/>
        <v>0.90759098609526401</v>
      </c>
      <c r="K848">
        <f t="shared" si="107"/>
        <v>-0.41985545364878402</v>
      </c>
      <c r="L848">
        <f>VLOOKUP(D848,[1]SOI!$A$1:$C$142,3)</f>
        <v>-5.2</v>
      </c>
      <c r="M848" s="2">
        <f t="shared" si="108"/>
        <v>768.72956522268862</v>
      </c>
      <c r="N848">
        <f t="shared" si="109"/>
        <v>-355.61756924052008</v>
      </c>
      <c r="O848" t="s">
        <v>8</v>
      </c>
    </row>
    <row r="849" spans="1:15" x14ac:dyDescent="0.35">
      <c r="A849">
        <v>2002</v>
      </c>
      <c r="B849">
        <v>4</v>
      </c>
      <c r="C849">
        <v>27</v>
      </c>
      <c r="D849" s="1">
        <f t="shared" si="104"/>
        <v>37373</v>
      </c>
      <c r="E849">
        <v>0.2</v>
      </c>
      <c r="F849">
        <f t="shared" si="110"/>
        <v>6.4</v>
      </c>
      <c r="G849">
        <f t="shared" si="105"/>
        <v>1</v>
      </c>
      <c r="H849">
        <f t="shared" si="111"/>
        <v>1</v>
      </c>
      <c r="I849">
        <v>848</v>
      </c>
      <c r="J849">
        <f t="shared" si="106"/>
        <v>0.90023452545729654</v>
      </c>
      <c r="K849">
        <f t="shared" si="107"/>
        <v>-0.43540532745325489</v>
      </c>
      <c r="L849">
        <f>VLOOKUP(D849,[1]SOI!$A$1:$C$142,3)</f>
        <v>-5.2</v>
      </c>
      <c r="M849" s="2">
        <f t="shared" si="108"/>
        <v>763.39887758778741</v>
      </c>
      <c r="N849">
        <f t="shared" si="109"/>
        <v>-369.22371768036015</v>
      </c>
      <c r="O849" t="s">
        <v>8</v>
      </c>
    </row>
    <row r="850" spans="1:15" x14ac:dyDescent="0.35">
      <c r="A850">
        <v>2002</v>
      </c>
      <c r="B850">
        <v>4</v>
      </c>
      <c r="C850">
        <v>28</v>
      </c>
      <c r="D850" s="1">
        <f t="shared" si="104"/>
        <v>37374</v>
      </c>
      <c r="E850">
        <v>0</v>
      </c>
      <c r="F850">
        <f t="shared" si="110"/>
        <v>0.2</v>
      </c>
      <c r="G850">
        <f t="shared" si="105"/>
        <v>0</v>
      </c>
      <c r="H850">
        <f t="shared" si="111"/>
        <v>1</v>
      </c>
      <c r="I850">
        <v>849</v>
      </c>
      <c r="J850">
        <f t="shared" si="106"/>
        <v>0.89261167093986538</v>
      </c>
      <c r="K850">
        <f t="shared" si="107"/>
        <v>-0.45082635781633423</v>
      </c>
      <c r="L850">
        <f>VLOOKUP(D850,[1]SOI!$A$1:$C$142,3)</f>
        <v>-5.2</v>
      </c>
      <c r="M850" s="2">
        <f t="shared" si="108"/>
        <v>757.82730862794574</v>
      </c>
      <c r="N850">
        <f t="shared" si="109"/>
        <v>-382.75157778606774</v>
      </c>
      <c r="O850" t="s">
        <v>8</v>
      </c>
    </row>
    <row r="851" spans="1:15" x14ac:dyDescent="0.35">
      <c r="A851">
        <v>2002</v>
      </c>
      <c r="B851">
        <v>4</v>
      </c>
      <c r="C851">
        <v>29</v>
      </c>
      <c r="D851" s="1">
        <f t="shared" si="104"/>
        <v>37375</v>
      </c>
      <c r="E851">
        <v>0</v>
      </c>
      <c r="F851">
        <f t="shared" si="110"/>
        <v>0</v>
      </c>
      <c r="G851">
        <f t="shared" si="105"/>
        <v>0</v>
      </c>
      <c r="H851">
        <f t="shared" si="111"/>
        <v>0</v>
      </c>
      <c r="I851">
        <v>850</v>
      </c>
      <c r="J851">
        <f t="shared" si="106"/>
        <v>0.8847246782682624</v>
      </c>
      <c r="K851">
        <f t="shared" si="107"/>
        <v>-0.46611398140703703</v>
      </c>
      <c r="L851">
        <f>VLOOKUP(D851,[1]SOI!$A$1:$C$142,3)</f>
        <v>-5.2</v>
      </c>
      <c r="M851" s="2">
        <f t="shared" si="108"/>
        <v>752.01597652802309</v>
      </c>
      <c r="N851">
        <f t="shared" si="109"/>
        <v>-396.19688419598145</v>
      </c>
      <c r="O851" t="s">
        <v>8</v>
      </c>
    </row>
    <row r="852" spans="1:15" x14ac:dyDescent="0.35">
      <c r="A852">
        <v>2002</v>
      </c>
      <c r="B852">
        <v>4</v>
      </c>
      <c r="C852">
        <v>30</v>
      </c>
      <c r="D852" s="1">
        <f t="shared" si="104"/>
        <v>37376</v>
      </c>
      <c r="E852">
        <v>0</v>
      </c>
      <c r="F852">
        <f t="shared" si="110"/>
        <v>0</v>
      </c>
      <c r="G852">
        <f t="shared" si="105"/>
        <v>0</v>
      </c>
      <c r="H852">
        <f t="shared" si="111"/>
        <v>0</v>
      </c>
      <c r="I852">
        <v>851</v>
      </c>
      <c r="J852">
        <f t="shared" si="106"/>
        <v>0.87657588133050668</v>
      </c>
      <c r="K852">
        <f t="shared" si="107"/>
        <v>-0.48126367437159179</v>
      </c>
      <c r="L852">
        <f>VLOOKUP(D852,[1]SOI!$A$1:$C$142,3)</f>
        <v>-5.2</v>
      </c>
      <c r="M852" s="2">
        <f t="shared" si="108"/>
        <v>745.96607501226117</v>
      </c>
      <c r="N852">
        <f t="shared" si="109"/>
        <v>-409.55538689022461</v>
      </c>
      <c r="O852" t="s">
        <v>8</v>
      </c>
    </row>
    <row r="853" spans="1:15" x14ac:dyDescent="0.35">
      <c r="A853">
        <v>2002</v>
      </c>
      <c r="B853">
        <v>5</v>
      </c>
      <c r="C853">
        <v>1</v>
      </c>
      <c r="D853" s="1">
        <f t="shared" si="104"/>
        <v>37377</v>
      </c>
      <c r="E853">
        <v>0</v>
      </c>
      <c r="F853">
        <f t="shared" si="110"/>
        <v>0</v>
      </c>
      <c r="G853">
        <f t="shared" si="105"/>
        <v>0</v>
      </c>
      <c r="H853">
        <f t="shared" si="111"/>
        <v>0</v>
      </c>
      <c r="I853">
        <v>852</v>
      </c>
      <c r="J853">
        <f t="shared" si="106"/>
        <v>0.86816769148671713</v>
      </c>
      <c r="K853">
        <f t="shared" si="107"/>
        <v>-0.49627095367210888</v>
      </c>
      <c r="L853">
        <f>VLOOKUP(D853,[1]SOI!$A$1:$C$142,3)</f>
        <v>-3.8</v>
      </c>
      <c r="M853" s="2">
        <f t="shared" si="108"/>
        <v>739.67887314668303</v>
      </c>
      <c r="N853">
        <f t="shared" si="109"/>
        <v>-422.82285252863676</v>
      </c>
      <c r="O853" t="s">
        <v>8</v>
      </c>
    </row>
    <row r="854" spans="1:15" x14ac:dyDescent="0.35">
      <c r="A854">
        <v>2002</v>
      </c>
      <c r="B854">
        <v>5</v>
      </c>
      <c r="C854">
        <v>2</v>
      </c>
      <c r="D854" s="1">
        <f t="shared" si="104"/>
        <v>37378</v>
      </c>
      <c r="E854">
        <v>0</v>
      </c>
      <c r="F854">
        <f t="shared" si="110"/>
        <v>0</v>
      </c>
      <c r="G854">
        <f t="shared" si="105"/>
        <v>0</v>
      </c>
      <c r="H854">
        <f t="shared" si="111"/>
        <v>0</v>
      </c>
      <c r="I854">
        <v>853</v>
      </c>
      <c r="J854">
        <f t="shared" si="106"/>
        <v>0.85950259685554153</v>
      </c>
      <c r="K854">
        <f t="shared" si="107"/>
        <v>-0.51113137841320244</v>
      </c>
      <c r="L854">
        <f>VLOOKUP(D854,[1]SOI!$A$1:$C$142,3)</f>
        <v>-3.8</v>
      </c>
      <c r="M854" s="2">
        <f t="shared" si="108"/>
        <v>733.15571511777694</v>
      </c>
      <c r="N854">
        <f t="shared" si="109"/>
        <v>-435.99506578646168</v>
      </c>
      <c r="O854" t="s">
        <v>8</v>
      </c>
    </row>
    <row r="855" spans="1:15" x14ac:dyDescent="0.35">
      <c r="A855">
        <v>2002</v>
      </c>
      <c r="B855">
        <v>5</v>
      </c>
      <c r="C855">
        <v>3</v>
      </c>
      <c r="D855" s="1">
        <f t="shared" si="104"/>
        <v>37379</v>
      </c>
      <c r="E855">
        <v>0</v>
      </c>
      <c r="F855">
        <f t="shared" si="110"/>
        <v>0</v>
      </c>
      <c r="G855">
        <f t="shared" si="105"/>
        <v>0</v>
      </c>
      <c r="H855">
        <f t="shared" si="111"/>
        <v>0</v>
      </c>
      <c r="I855">
        <v>854</v>
      </c>
      <c r="J855">
        <f t="shared" si="106"/>
        <v>0.85058316157788849</v>
      </c>
      <c r="K855">
        <f t="shared" si="107"/>
        <v>-0.52584055115611206</v>
      </c>
      <c r="L855">
        <f>VLOOKUP(D855,[1]SOI!$A$1:$C$142,3)</f>
        <v>-3.8</v>
      </c>
      <c r="M855" s="2">
        <f t="shared" si="108"/>
        <v>726.39801998751682</v>
      </c>
      <c r="N855">
        <f t="shared" si="109"/>
        <v>-449.06783068731971</v>
      </c>
      <c r="O855" t="s">
        <v>8</v>
      </c>
    </row>
    <row r="856" spans="1:15" x14ac:dyDescent="0.35">
      <c r="A856">
        <v>2002</v>
      </c>
      <c r="B856">
        <v>5</v>
      </c>
      <c r="C856">
        <v>4</v>
      </c>
      <c r="D856" s="1">
        <f t="shared" si="104"/>
        <v>37380</v>
      </c>
      <c r="E856">
        <v>0</v>
      </c>
      <c r="F856">
        <f t="shared" si="110"/>
        <v>0</v>
      </c>
      <c r="G856">
        <f t="shared" si="105"/>
        <v>0</v>
      </c>
      <c r="H856">
        <f t="shared" si="111"/>
        <v>0</v>
      </c>
      <c r="I856">
        <v>855</v>
      </c>
      <c r="J856">
        <f t="shared" si="106"/>
        <v>0.84141202505815826</v>
      </c>
      <c r="K856">
        <f t="shared" si="107"/>
        <v>-0.54039411921997205</v>
      </c>
      <c r="L856">
        <f>VLOOKUP(D856,[1]SOI!$A$1:$C$142,3)</f>
        <v>-3.8</v>
      </c>
      <c r="M856" s="2">
        <f t="shared" si="108"/>
        <v>719.40728142472528</v>
      </c>
      <c r="N856">
        <f t="shared" si="109"/>
        <v>-462.03697193307607</v>
      </c>
      <c r="O856" t="s">
        <v>8</v>
      </c>
    </row>
    <row r="857" spans="1:15" x14ac:dyDescent="0.35">
      <c r="A857">
        <v>2002</v>
      </c>
      <c r="B857">
        <v>5</v>
      </c>
      <c r="C857">
        <v>5</v>
      </c>
      <c r="D857" s="1">
        <f t="shared" si="104"/>
        <v>37381</v>
      </c>
      <c r="E857">
        <v>0</v>
      </c>
      <c r="F857">
        <f t="shared" si="110"/>
        <v>0</v>
      </c>
      <c r="G857">
        <f t="shared" si="105"/>
        <v>0</v>
      </c>
      <c r="H857">
        <f t="shared" si="111"/>
        <v>0</v>
      </c>
      <c r="I857">
        <v>856</v>
      </c>
      <c r="J857">
        <f t="shared" si="106"/>
        <v>0.83199190118319555</v>
      </c>
      <c r="K857">
        <f t="shared" si="107"/>
        <v>-0.55478777596984941</v>
      </c>
      <c r="L857">
        <f>VLOOKUP(D857,[1]SOI!$A$1:$C$142,3)</f>
        <v>-3.8</v>
      </c>
      <c r="M857" s="2">
        <f t="shared" si="108"/>
        <v>712.18506741281544</v>
      </c>
      <c r="N857">
        <f t="shared" si="109"/>
        <v>-474.89833623019109</v>
      </c>
      <c r="O857" t="s">
        <v>8</v>
      </c>
    </row>
    <row r="858" spans="1:15" x14ac:dyDescent="0.35">
      <c r="A858">
        <v>2002</v>
      </c>
      <c r="B858">
        <v>5</v>
      </c>
      <c r="C858">
        <v>6</v>
      </c>
      <c r="D858" s="1">
        <f t="shared" si="104"/>
        <v>37382</v>
      </c>
      <c r="E858">
        <v>0.2</v>
      </c>
      <c r="F858">
        <f t="shared" si="110"/>
        <v>0</v>
      </c>
      <c r="G858">
        <f t="shared" si="105"/>
        <v>1</v>
      </c>
      <c r="H858">
        <f t="shared" si="111"/>
        <v>0</v>
      </c>
      <c r="I858">
        <v>857</v>
      </c>
      <c r="J858">
        <f t="shared" si="106"/>
        <v>0.8223255775192102</v>
      </c>
      <c r="K858">
        <f t="shared" si="107"/>
        <v>-0.56901726209114034</v>
      </c>
      <c r="L858">
        <f>VLOOKUP(D858,[1]SOI!$A$1:$C$142,3)</f>
        <v>-3.8</v>
      </c>
      <c r="M858" s="2">
        <f t="shared" si="108"/>
        <v>704.73301993396319</v>
      </c>
      <c r="N858">
        <f t="shared" si="109"/>
        <v>-487.64779361210725</v>
      </c>
      <c r="O858" t="s">
        <v>8</v>
      </c>
    </row>
    <row r="859" spans="1:15" x14ac:dyDescent="0.35">
      <c r="A859">
        <v>2002</v>
      </c>
      <c r="B859">
        <v>5</v>
      </c>
      <c r="C859">
        <v>7</v>
      </c>
      <c r="D859" s="1">
        <f t="shared" si="104"/>
        <v>37383</v>
      </c>
      <c r="E859">
        <v>0</v>
      </c>
      <c r="F859">
        <f t="shared" si="110"/>
        <v>0.2</v>
      </c>
      <c r="G859">
        <f t="shared" si="105"/>
        <v>0</v>
      </c>
      <c r="H859">
        <f t="shared" si="111"/>
        <v>1</v>
      </c>
      <c r="I859">
        <v>858</v>
      </c>
      <c r="J859">
        <f t="shared" si="106"/>
        <v>0.81241591448688943</v>
      </c>
      <c r="K859">
        <f t="shared" si="107"/>
        <v>-0.5830783668499725</v>
      </c>
      <c r="L859">
        <f>VLOOKUP(D859,[1]SOI!$A$1:$C$142,3)</f>
        <v>-3.8</v>
      </c>
      <c r="M859" s="2">
        <f t="shared" si="108"/>
        <v>697.0528546297511</v>
      </c>
      <c r="N859">
        <f t="shared" si="109"/>
        <v>-500.28123875727641</v>
      </c>
      <c r="O859" t="s">
        <v>8</v>
      </c>
    </row>
    <row r="860" spans="1:15" x14ac:dyDescent="0.35">
      <c r="A860">
        <v>2002</v>
      </c>
      <c r="B860">
        <v>5</v>
      </c>
      <c r="C860">
        <v>8</v>
      </c>
      <c r="D860" s="1">
        <f t="shared" si="104"/>
        <v>37384</v>
      </c>
      <c r="E860">
        <v>0</v>
      </c>
      <c r="F860">
        <f t="shared" si="110"/>
        <v>0</v>
      </c>
      <c r="G860">
        <f t="shared" si="105"/>
        <v>0</v>
      </c>
      <c r="H860">
        <f t="shared" si="111"/>
        <v>0</v>
      </c>
      <c r="I860">
        <v>859</v>
      </c>
      <c r="J860">
        <f t="shared" si="106"/>
        <v>0.80226584451495797</v>
      </c>
      <c r="K860">
        <f t="shared" si="107"/>
        <v>-0.59696692933922346</v>
      </c>
      <c r="L860">
        <f>VLOOKUP(D860,[1]SOI!$A$1:$C$142,3)</f>
        <v>-3.8</v>
      </c>
      <c r="M860" s="2">
        <f t="shared" si="108"/>
        <v>689.14636043834889</v>
      </c>
      <c r="N860">
        <f t="shared" si="109"/>
        <v>-512.79459230239297</v>
      </c>
      <c r="O860" t="s">
        <v>8</v>
      </c>
    </row>
    <row r="861" spans="1:15" x14ac:dyDescent="0.35">
      <c r="A861">
        <v>2002</v>
      </c>
      <c r="B861">
        <v>5</v>
      </c>
      <c r="C861">
        <v>9</v>
      </c>
      <c r="D861" s="1">
        <f t="shared" si="104"/>
        <v>37385</v>
      </c>
      <c r="E861">
        <v>0</v>
      </c>
      <c r="F861">
        <f t="shared" si="110"/>
        <v>0</v>
      </c>
      <c r="G861">
        <f t="shared" si="105"/>
        <v>0</v>
      </c>
      <c r="H861">
        <f t="shared" si="111"/>
        <v>0</v>
      </c>
      <c r="I861">
        <v>860</v>
      </c>
      <c r="J861">
        <f t="shared" si="106"/>
        <v>0.79187837117241811</v>
      </c>
      <c r="K861">
        <f t="shared" si="107"/>
        <v>-0.61067883970980852</v>
      </c>
      <c r="L861">
        <f>VLOOKUP(D861,[1]SOI!$A$1:$C$142,3)</f>
        <v>-3.8</v>
      </c>
      <c r="M861" s="2">
        <f t="shared" si="108"/>
        <v>681.01539920827952</v>
      </c>
      <c r="N861">
        <f t="shared" si="109"/>
        <v>-525.18380215043533</v>
      </c>
      <c r="O861" t="s">
        <v>8</v>
      </c>
    </row>
    <row r="862" spans="1:15" x14ac:dyDescent="0.35">
      <c r="A862">
        <v>2002</v>
      </c>
      <c r="B862">
        <v>5</v>
      </c>
      <c r="C862">
        <v>10</v>
      </c>
      <c r="D862" s="1">
        <f t="shared" si="104"/>
        <v>37386</v>
      </c>
      <c r="E862">
        <v>3.2</v>
      </c>
      <c r="F862">
        <f t="shared" si="110"/>
        <v>0</v>
      </c>
      <c r="G862">
        <f t="shared" si="105"/>
        <v>1</v>
      </c>
      <c r="H862">
        <f t="shared" si="111"/>
        <v>0</v>
      </c>
      <c r="I862">
        <v>861</v>
      </c>
      <c r="J862">
        <f t="shared" si="106"/>
        <v>0.78125656827975054</v>
      </c>
      <c r="K862">
        <f t="shared" si="107"/>
        <v>-0.62421004038684569</v>
      </c>
      <c r="L862">
        <f>VLOOKUP(D862,[1]SOI!$A$1:$C$142,3)</f>
        <v>-3.8</v>
      </c>
      <c r="M862" s="2">
        <f t="shared" si="108"/>
        <v>672.66190528886523</v>
      </c>
      <c r="N862">
        <f t="shared" si="109"/>
        <v>-537.44484477307412</v>
      </c>
      <c r="O862" t="s">
        <v>8</v>
      </c>
    </row>
    <row r="863" spans="1:15" x14ac:dyDescent="0.35">
      <c r="A863">
        <v>2002</v>
      </c>
      <c r="B863">
        <v>5</v>
      </c>
      <c r="C863">
        <v>11</v>
      </c>
      <c r="D863" s="1">
        <f t="shared" si="104"/>
        <v>37387</v>
      </c>
      <c r="E863">
        <v>0</v>
      </c>
      <c r="F863">
        <f t="shared" si="110"/>
        <v>3.2</v>
      </c>
      <c r="G863">
        <f t="shared" si="105"/>
        <v>0</v>
      </c>
      <c r="H863">
        <f t="shared" si="111"/>
        <v>1</v>
      </c>
      <c r="I863">
        <v>862</v>
      </c>
      <c r="J863">
        <f t="shared" si="106"/>
        <v>0.77040357899931822</v>
      </c>
      <c r="K863">
        <f t="shared" si="107"/>
        <v>-0.63755652727035994</v>
      </c>
      <c r="L863">
        <f>VLOOKUP(D863,[1]SOI!$A$1:$C$142,3)</f>
        <v>-3.8</v>
      </c>
      <c r="M863" s="2">
        <f t="shared" si="108"/>
        <v>664.08788509741225</v>
      </c>
      <c r="N863">
        <f t="shared" si="109"/>
        <v>-549.57372650705031</v>
      </c>
      <c r="O863" t="s">
        <v>8</v>
      </c>
    </row>
    <row r="864" spans="1:15" x14ac:dyDescent="0.35">
      <c r="A864">
        <v>2002</v>
      </c>
      <c r="B864">
        <v>5</v>
      </c>
      <c r="C864">
        <v>12</v>
      </c>
      <c r="D864" s="1">
        <f t="shared" si="104"/>
        <v>37388</v>
      </c>
      <c r="E864">
        <v>0</v>
      </c>
      <c r="F864">
        <f t="shared" si="110"/>
        <v>0</v>
      </c>
      <c r="G864">
        <f t="shared" si="105"/>
        <v>0</v>
      </c>
      <c r="H864">
        <f t="shared" si="111"/>
        <v>0</v>
      </c>
      <c r="I864">
        <v>863</v>
      </c>
      <c r="J864">
        <f t="shared" si="106"/>
        <v>0.75932261490525943</v>
      </c>
      <c r="K864">
        <f t="shared" si="107"/>
        <v>-0.65071435092015528</v>
      </c>
      <c r="L864">
        <f>VLOOKUP(D864,[1]SOI!$A$1:$C$142,3)</f>
        <v>-3.8</v>
      </c>
      <c r="M864" s="2">
        <f t="shared" si="108"/>
        <v>655.29541666323894</v>
      </c>
      <c r="N864">
        <f t="shared" si="109"/>
        <v>-561.56648484409402</v>
      </c>
      <c r="O864" t="s">
        <v>8</v>
      </c>
    </row>
    <row r="865" spans="1:15" x14ac:dyDescent="0.35">
      <c r="A865">
        <v>2002</v>
      </c>
      <c r="B865">
        <v>5</v>
      </c>
      <c r="C865">
        <v>13</v>
      </c>
      <c r="D865" s="1">
        <f t="shared" si="104"/>
        <v>37389</v>
      </c>
      <c r="E865">
        <v>0.8</v>
      </c>
      <c r="F865">
        <f t="shared" si="110"/>
        <v>0</v>
      </c>
      <c r="G865">
        <f t="shared" si="105"/>
        <v>1</v>
      </c>
      <c r="H865">
        <f t="shared" si="111"/>
        <v>0</v>
      </c>
      <c r="I865">
        <v>864</v>
      </c>
      <c r="J865">
        <f t="shared" si="106"/>
        <v>0.74801695503312404</v>
      </c>
      <c r="K865">
        <f t="shared" si="107"/>
        <v>-0.66367961772452622</v>
      </c>
      <c r="L865">
        <f>VLOOKUP(D865,[1]SOI!$A$1:$C$142,3)</f>
        <v>-3.8</v>
      </c>
      <c r="M865" s="2">
        <f t="shared" si="108"/>
        <v>646.28664914861918</v>
      </c>
      <c r="N865">
        <f t="shared" si="109"/>
        <v>-573.4191897139907</v>
      </c>
      <c r="O865" t="s">
        <v>8</v>
      </c>
    </row>
    <row r="866" spans="1:15" x14ac:dyDescent="0.35">
      <c r="A866">
        <v>2002</v>
      </c>
      <c r="B866">
        <v>5</v>
      </c>
      <c r="C866">
        <v>14</v>
      </c>
      <c r="D866" s="1">
        <f t="shared" si="104"/>
        <v>37390</v>
      </c>
      <c r="E866">
        <v>0</v>
      </c>
      <c r="F866">
        <f t="shared" si="110"/>
        <v>0.8</v>
      </c>
      <c r="G866">
        <f t="shared" si="105"/>
        <v>0</v>
      </c>
      <c r="H866">
        <f t="shared" si="111"/>
        <v>1</v>
      </c>
      <c r="I866">
        <v>865</v>
      </c>
      <c r="J866">
        <f t="shared" si="106"/>
        <v>0.73648994490955644</v>
      </c>
      <c r="K866">
        <f t="shared" si="107"/>
        <v>-0.67644849105243676</v>
      </c>
      <c r="L866">
        <f>VLOOKUP(D866,[1]SOI!$A$1:$C$142,3)</f>
        <v>-3.8</v>
      </c>
      <c r="M866" s="2">
        <f t="shared" si="108"/>
        <v>637.06380234676635</v>
      </c>
      <c r="N866">
        <f t="shared" si="109"/>
        <v>-585.12794476035776</v>
      </c>
      <c r="O866" t="s">
        <v>8</v>
      </c>
    </row>
    <row r="867" spans="1:15" x14ac:dyDescent="0.35">
      <c r="A867">
        <v>2002</v>
      </c>
      <c r="B867">
        <v>5</v>
      </c>
      <c r="C867">
        <v>15</v>
      </c>
      <c r="D867" s="1">
        <f t="shared" si="104"/>
        <v>37391</v>
      </c>
      <c r="E867">
        <v>0</v>
      </c>
      <c r="F867">
        <f t="shared" si="110"/>
        <v>0</v>
      </c>
      <c r="G867">
        <f t="shared" si="105"/>
        <v>0</v>
      </c>
      <c r="H867">
        <f t="shared" si="111"/>
        <v>0</v>
      </c>
      <c r="I867">
        <v>866</v>
      </c>
      <c r="J867">
        <f t="shared" si="106"/>
        <v>0.72474499556230854</v>
      </c>
      <c r="K867">
        <f t="shared" si="107"/>
        <v>-0.68901719238883252</v>
      </c>
      <c r="L867">
        <f>VLOOKUP(D867,[1]SOI!$A$1:$C$142,3)</f>
        <v>-3.8</v>
      </c>
      <c r="M867" s="2">
        <f t="shared" si="108"/>
        <v>627.62916615695917</v>
      </c>
      <c r="N867">
        <f t="shared" si="109"/>
        <v>-596.68888860872892</v>
      </c>
      <c r="O867" t="s">
        <v>8</v>
      </c>
    </row>
    <row r="868" spans="1:15" x14ac:dyDescent="0.35">
      <c r="A868">
        <v>2002</v>
      </c>
      <c r="B868">
        <v>5</v>
      </c>
      <c r="C868">
        <v>16</v>
      </c>
      <c r="D868" s="1">
        <f t="shared" si="104"/>
        <v>37392</v>
      </c>
      <c r="E868">
        <v>2.8</v>
      </c>
      <c r="F868">
        <f t="shared" si="110"/>
        <v>0</v>
      </c>
      <c r="G868">
        <f t="shared" si="105"/>
        <v>1</v>
      </c>
      <c r="H868">
        <f t="shared" si="111"/>
        <v>0</v>
      </c>
      <c r="I868">
        <v>867</v>
      </c>
      <c r="J868">
        <f t="shared" si="106"/>
        <v>0.712785582510848</v>
      </c>
      <c r="K868">
        <f t="shared" si="107"/>
        <v>-0.70138200245277971</v>
      </c>
      <c r="L868">
        <f>VLOOKUP(D868,[1]SOI!$A$1:$C$142,3)</f>
        <v>-3.8</v>
      </c>
      <c r="M868" s="2">
        <f t="shared" si="108"/>
        <v>617.98510003690524</v>
      </c>
      <c r="N868">
        <f t="shared" si="109"/>
        <v>-608.09819612655997</v>
      </c>
      <c r="O868" t="s">
        <v>8</v>
      </c>
    </row>
    <row r="869" spans="1:15" x14ac:dyDescent="0.35">
      <c r="A869">
        <v>2002</v>
      </c>
      <c r="B869">
        <v>5</v>
      </c>
      <c r="C869">
        <v>17</v>
      </c>
      <c r="D869" s="1">
        <f t="shared" si="104"/>
        <v>37393</v>
      </c>
      <c r="E869">
        <v>2</v>
      </c>
      <c r="F869">
        <f t="shared" si="110"/>
        <v>2.8</v>
      </c>
      <c r="G869">
        <f t="shared" si="105"/>
        <v>1</v>
      </c>
      <c r="H869">
        <f t="shared" si="111"/>
        <v>1</v>
      </c>
      <c r="I869">
        <v>868</v>
      </c>
      <c r="J869">
        <f t="shared" si="106"/>
        <v>0.70061524473790526</v>
      </c>
      <c r="K869">
        <f t="shared" si="107"/>
        <v>-0.71353926229804976</v>
      </c>
      <c r="L869">
        <f>VLOOKUP(D869,[1]SOI!$A$1:$C$142,3)</f>
        <v>-3.8</v>
      </c>
      <c r="M869" s="2">
        <f t="shared" si="108"/>
        <v>608.13403243250173</v>
      </c>
      <c r="N869">
        <f t="shared" si="109"/>
        <v>-619.35207967470717</v>
      </c>
      <c r="O869" t="s">
        <v>8</v>
      </c>
    </row>
    <row r="870" spans="1:15" x14ac:dyDescent="0.35">
      <c r="A870">
        <v>2002</v>
      </c>
      <c r="B870">
        <v>5</v>
      </c>
      <c r="C870">
        <v>18</v>
      </c>
      <c r="D870" s="1">
        <f t="shared" si="104"/>
        <v>37394</v>
      </c>
      <c r="E870">
        <v>0</v>
      </c>
      <c r="F870">
        <f t="shared" si="110"/>
        <v>2</v>
      </c>
      <c r="G870">
        <f t="shared" si="105"/>
        <v>0</v>
      </c>
      <c r="H870">
        <f t="shared" si="111"/>
        <v>1</v>
      </c>
      <c r="I870">
        <v>869</v>
      </c>
      <c r="J870">
        <f t="shared" si="106"/>
        <v>0.68823758364222787</v>
      </c>
      <c r="K870">
        <f t="shared" si="107"/>
        <v>-0.72548537439586436</v>
      </c>
      <c r="L870">
        <f>VLOOKUP(D870,[1]SOI!$A$1:$C$142,3)</f>
        <v>-3.8</v>
      </c>
      <c r="M870" s="2">
        <f t="shared" si="108"/>
        <v>598.07846018509599</v>
      </c>
      <c r="N870">
        <f t="shared" si="109"/>
        <v>-630.44679035000615</v>
      </c>
      <c r="O870" t="s">
        <v>8</v>
      </c>
    </row>
    <row r="871" spans="1:15" x14ac:dyDescent="0.35">
      <c r="A871">
        <v>2002</v>
      </c>
      <c r="B871">
        <v>5</v>
      </c>
      <c r="C871">
        <v>19</v>
      </c>
      <c r="D871" s="1">
        <f t="shared" si="104"/>
        <v>37395</v>
      </c>
      <c r="E871">
        <v>2</v>
      </c>
      <c r="F871">
        <f t="shared" si="110"/>
        <v>0</v>
      </c>
      <c r="G871">
        <f t="shared" si="105"/>
        <v>1</v>
      </c>
      <c r="H871">
        <f t="shared" si="111"/>
        <v>0</v>
      </c>
      <c r="I871">
        <v>870</v>
      </c>
      <c r="J871">
        <f t="shared" si="106"/>
        <v>0.67565626197287409</v>
      </c>
      <c r="K871">
        <f t="shared" si="107"/>
        <v>-0.73721680369945652</v>
      </c>
      <c r="L871">
        <f>VLOOKUP(D871,[1]SOI!$A$1:$C$142,3)</f>
        <v>-3.8</v>
      </c>
      <c r="M871" s="2">
        <f t="shared" si="108"/>
        <v>587.82094791640043</v>
      </c>
      <c r="N871">
        <f t="shared" si="109"/>
        <v>-641.37861921852721</v>
      </c>
      <c r="O871" t="s">
        <v>8</v>
      </c>
    </row>
    <row r="872" spans="1:15" x14ac:dyDescent="0.35">
      <c r="A872">
        <v>2002</v>
      </c>
      <c r="B872">
        <v>5</v>
      </c>
      <c r="C872">
        <v>20</v>
      </c>
      <c r="D872" s="1">
        <f t="shared" si="104"/>
        <v>37396</v>
      </c>
      <c r="E872">
        <v>9.6</v>
      </c>
      <c r="F872">
        <f t="shared" si="110"/>
        <v>2</v>
      </c>
      <c r="G872">
        <f t="shared" si="105"/>
        <v>1</v>
      </c>
      <c r="H872">
        <f t="shared" si="111"/>
        <v>1</v>
      </c>
      <c r="I872">
        <v>871</v>
      </c>
      <c r="J872">
        <f t="shared" si="106"/>
        <v>0.6628750027453385</v>
      </c>
      <c r="K872">
        <f t="shared" si="107"/>
        <v>-0.74873007869015618</v>
      </c>
      <c r="L872">
        <f>VLOOKUP(D872,[1]SOI!$A$1:$C$142,3)</f>
        <v>-3.8</v>
      </c>
      <c r="M872" s="2">
        <f t="shared" si="108"/>
        <v>577.36412739118987</v>
      </c>
      <c r="N872">
        <f t="shared" si="109"/>
        <v>-652.14389853912598</v>
      </c>
      <c r="O872" t="s">
        <v>8</v>
      </c>
    </row>
    <row r="873" spans="1:15" x14ac:dyDescent="0.35">
      <c r="A873">
        <v>2002</v>
      </c>
      <c r="B873">
        <v>5</v>
      </c>
      <c r="C873">
        <v>21</v>
      </c>
      <c r="D873" s="1">
        <f t="shared" si="104"/>
        <v>37397</v>
      </c>
      <c r="E873">
        <v>10.6</v>
      </c>
      <c r="F873">
        <f t="shared" si="110"/>
        <v>9.6</v>
      </c>
      <c r="G873">
        <f t="shared" si="105"/>
        <v>1</v>
      </c>
      <c r="H873">
        <f t="shared" si="111"/>
        <v>1</v>
      </c>
      <c r="I873">
        <v>872</v>
      </c>
      <c r="J873">
        <f t="shared" si="106"/>
        <v>0.64989758813985732</v>
      </c>
      <c r="K873">
        <f t="shared" si="107"/>
        <v>-0.76002179240466283</v>
      </c>
      <c r="L873">
        <f>VLOOKUP(D873,[1]SOI!$A$1:$C$142,3)</f>
        <v>-3.8</v>
      </c>
      <c r="M873" s="2">
        <f t="shared" si="108"/>
        <v>566.71069685795555</v>
      </c>
      <c r="N873">
        <f t="shared" si="109"/>
        <v>-662.739002976866</v>
      </c>
      <c r="O873" t="s">
        <v>8</v>
      </c>
    </row>
    <row r="874" spans="1:15" x14ac:dyDescent="0.35">
      <c r="A874">
        <v>2002</v>
      </c>
      <c r="B874">
        <v>5</v>
      </c>
      <c r="C874">
        <v>22</v>
      </c>
      <c r="D874" s="1">
        <f t="shared" si="104"/>
        <v>37398</v>
      </c>
      <c r="E874">
        <v>5.4</v>
      </c>
      <c r="F874">
        <f t="shared" si="110"/>
        <v>10.6</v>
      </c>
      <c r="G874">
        <f t="shared" si="105"/>
        <v>1</v>
      </c>
      <c r="H874">
        <f t="shared" si="111"/>
        <v>1</v>
      </c>
      <c r="I874">
        <v>873</v>
      </c>
      <c r="J874">
        <f t="shared" si="106"/>
        <v>0.63672785838219736</v>
      </c>
      <c r="K874">
        <f t="shared" si="107"/>
        <v>-0.77108860344322327</v>
      </c>
      <c r="L874">
        <f>VLOOKUP(D874,[1]SOI!$A$1:$C$142,3)</f>
        <v>-3.8</v>
      </c>
      <c r="M874" s="2">
        <f t="shared" si="108"/>
        <v>555.86342036765825</v>
      </c>
      <c r="N874">
        <f t="shared" si="109"/>
        <v>-673.16035080593394</v>
      </c>
      <c r="O874" t="s">
        <v>8</v>
      </c>
    </row>
    <row r="875" spans="1:15" x14ac:dyDescent="0.35">
      <c r="A875">
        <v>2002</v>
      </c>
      <c r="B875">
        <v>5</v>
      </c>
      <c r="C875">
        <v>23</v>
      </c>
      <c r="D875" s="1">
        <f t="shared" si="104"/>
        <v>37399</v>
      </c>
      <c r="E875">
        <v>0.2</v>
      </c>
      <c r="F875">
        <f t="shared" si="110"/>
        <v>5.4</v>
      </c>
      <c r="G875">
        <f t="shared" si="105"/>
        <v>1</v>
      </c>
      <c r="H875">
        <f t="shared" si="111"/>
        <v>1</v>
      </c>
      <c r="I875">
        <v>874</v>
      </c>
      <c r="J875">
        <f t="shared" si="106"/>
        <v>0.62336971060727731</v>
      </c>
      <c r="K875">
        <f t="shared" si="107"/>
        <v>-0.78192723695840094</v>
      </c>
      <c r="L875">
        <f>VLOOKUP(D875,[1]SOI!$A$1:$C$142,3)</f>
        <v>-3.8</v>
      </c>
      <c r="M875" s="2">
        <f t="shared" si="108"/>
        <v>544.82512707076035</v>
      </c>
      <c r="N875">
        <f t="shared" si="109"/>
        <v>-683.4044051016424</v>
      </c>
      <c r="O875" t="s">
        <v>8</v>
      </c>
    </row>
    <row r="876" spans="1:15" x14ac:dyDescent="0.35">
      <c r="A876">
        <v>2002</v>
      </c>
      <c r="B876">
        <v>5</v>
      </c>
      <c r="C876">
        <v>24</v>
      </c>
      <c r="D876" s="1">
        <f t="shared" si="104"/>
        <v>37400</v>
      </c>
      <c r="E876">
        <v>0</v>
      </c>
      <c r="F876">
        <f t="shared" si="110"/>
        <v>0.2</v>
      </c>
      <c r="G876">
        <f t="shared" si="105"/>
        <v>0</v>
      </c>
      <c r="H876">
        <f t="shared" si="111"/>
        <v>1</v>
      </c>
      <c r="I876">
        <v>875</v>
      </c>
      <c r="J876">
        <f t="shared" si="106"/>
        <v>0.60982709770593435</v>
      </c>
      <c r="K876">
        <f t="shared" si="107"/>
        <v>-0.79253448562416307</v>
      </c>
      <c r="L876">
        <f>VLOOKUP(D876,[1]SOI!$A$1:$C$142,3)</f>
        <v>-3.8</v>
      </c>
      <c r="M876" s="2">
        <f t="shared" si="108"/>
        <v>533.59871049269259</v>
      </c>
      <c r="N876">
        <f t="shared" si="109"/>
        <v>-693.4676749211427</v>
      </c>
      <c r="O876" t="s">
        <v>8</v>
      </c>
    </row>
    <row r="877" spans="1:15" x14ac:dyDescent="0.35">
      <c r="A877">
        <v>2002</v>
      </c>
      <c r="B877">
        <v>5</v>
      </c>
      <c r="C877">
        <v>25</v>
      </c>
      <c r="D877" s="1">
        <f t="shared" si="104"/>
        <v>37401</v>
      </c>
      <c r="E877">
        <v>0</v>
      </c>
      <c r="F877">
        <f t="shared" si="110"/>
        <v>0</v>
      </c>
      <c r="G877">
        <f t="shared" si="105"/>
        <v>0</v>
      </c>
      <c r="H877">
        <f t="shared" si="111"/>
        <v>0</v>
      </c>
      <c r="I877">
        <v>876</v>
      </c>
      <c r="J877">
        <f t="shared" si="106"/>
        <v>0.59610402715520416</v>
      </c>
      <c r="K877">
        <f t="shared" si="107"/>
        <v>-0.80290721058497638</v>
      </c>
      <c r="L877">
        <f>VLOOKUP(D877,[1]SOI!$A$1:$C$142,3)</f>
        <v>-3.8</v>
      </c>
      <c r="M877" s="2">
        <f t="shared" si="108"/>
        <v>522.18712778795884</v>
      </c>
      <c r="N877">
        <f t="shared" si="109"/>
        <v>-703.34671647243931</v>
      </c>
      <c r="O877" t="s">
        <v>8</v>
      </c>
    </row>
    <row r="878" spans="1:15" x14ac:dyDescent="0.35">
      <c r="A878">
        <v>2002</v>
      </c>
      <c r="B878">
        <v>5</v>
      </c>
      <c r="C878">
        <v>26</v>
      </c>
      <c r="D878" s="1">
        <f t="shared" si="104"/>
        <v>37402</v>
      </c>
      <c r="E878">
        <v>0</v>
      </c>
      <c r="F878">
        <f t="shared" si="110"/>
        <v>0</v>
      </c>
      <c r="G878">
        <f t="shared" si="105"/>
        <v>0</v>
      </c>
      <c r="H878">
        <f t="shared" si="111"/>
        <v>0</v>
      </c>
      <c r="I878">
        <v>877</v>
      </c>
      <c r="J878">
        <f t="shared" si="106"/>
        <v>0.58220455983244868</v>
      </c>
      <c r="K878">
        <f t="shared" si="107"/>
        <v>-0.81304234238464157</v>
      </c>
      <c r="L878">
        <f>VLOOKUP(D878,[1]SOI!$A$1:$C$142,3)</f>
        <v>-3.8</v>
      </c>
      <c r="M878" s="2">
        <f t="shared" si="108"/>
        <v>510.5933989730575</v>
      </c>
      <c r="N878">
        <f t="shared" si="109"/>
        <v>-713.0381342713307</v>
      </c>
      <c r="O878" t="s">
        <v>8</v>
      </c>
    </row>
    <row r="879" spans="1:15" x14ac:dyDescent="0.35">
      <c r="A879">
        <v>2002</v>
      </c>
      <c r="B879">
        <v>5</v>
      </c>
      <c r="C879">
        <v>27</v>
      </c>
      <c r="D879" s="1">
        <f t="shared" si="104"/>
        <v>37403</v>
      </c>
      <c r="E879">
        <v>0</v>
      </c>
      <c r="F879">
        <f t="shared" si="110"/>
        <v>0</v>
      </c>
      <c r="G879">
        <f t="shared" si="105"/>
        <v>0</v>
      </c>
      <c r="H879">
        <f t="shared" si="111"/>
        <v>0</v>
      </c>
      <c r="I879">
        <v>878</v>
      </c>
      <c r="J879">
        <f t="shared" si="106"/>
        <v>0.56813280881366801</v>
      </c>
      <c r="K879">
        <f t="shared" si="107"/>
        <v>-0.82293688187460168</v>
      </c>
      <c r="L879">
        <f>VLOOKUP(D879,[1]SOI!$A$1:$C$142,3)</f>
        <v>-3.8</v>
      </c>
      <c r="M879" s="2">
        <f t="shared" si="108"/>
        <v>498.82060613840054</v>
      </c>
      <c r="N879">
        <f t="shared" si="109"/>
        <v>-722.53858228590025</v>
      </c>
      <c r="O879" t="s">
        <v>8</v>
      </c>
    </row>
    <row r="880" spans="1:15" x14ac:dyDescent="0.35">
      <c r="A880">
        <v>2002</v>
      </c>
      <c r="B880">
        <v>5</v>
      </c>
      <c r="C880">
        <v>28</v>
      </c>
      <c r="D880" s="1">
        <f t="shared" si="104"/>
        <v>37404</v>
      </c>
      <c r="E880">
        <v>0</v>
      </c>
      <c r="F880">
        <f t="shared" si="110"/>
        <v>0</v>
      </c>
      <c r="G880">
        <f t="shared" si="105"/>
        <v>0</v>
      </c>
      <c r="H880">
        <f t="shared" si="111"/>
        <v>0</v>
      </c>
      <c r="I880">
        <v>879</v>
      </c>
      <c r="J880">
        <f t="shared" si="106"/>
        <v>0.55389293815638141</v>
      </c>
      <c r="K880">
        <f t="shared" si="107"/>
        <v>-0.83258790110143388</v>
      </c>
      <c r="L880">
        <f>VLOOKUP(D880,[1]SOI!$A$1:$C$142,3)</f>
        <v>-3.8</v>
      </c>
      <c r="M880" s="2">
        <f t="shared" si="108"/>
        <v>486.87189263945925</v>
      </c>
      <c r="N880">
        <f t="shared" si="109"/>
        <v>-731.84476506816043</v>
      </c>
      <c r="O880" t="s">
        <v>8</v>
      </c>
    </row>
    <row r="881" spans="1:15" x14ac:dyDescent="0.35">
      <c r="A881">
        <v>2002</v>
      </c>
      <c r="B881">
        <v>5</v>
      </c>
      <c r="C881">
        <v>29</v>
      </c>
      <c r="D881" s="1">
        <f t="shared" si="104"/>
        <v>37405</v>
      </c>
      <c r="E881">
        <v>0</v>
      </c>
      <c r="F881">
        <f t="shared" si="110"/>
        <v>0</v>
      </c>
      <c r="G881">
        <f t="shared" si="105"/>
        <v>0</v>
      </c>
      <c r="H881">
        <f t="shared" si="111"/>
        <v>0</v>
      </c>
      <c r="I881">
        <v>880</v>
      </c>
      <c r="J881">
        <f t="shared" si="106"/>
        <v>0.53948916166741101</v>
      </c>
      <c r="K881">
        <f t="shared" si="107"/>
        <v>-0.84199254417328073</v>
      </c>
      <c r="L881">
        <f>VLOOKUP(D881,[1]SOI!$A$1:$C$142,3)</f>
        <v>-3.8</v>
      </c>
      <c r="M881" s="2">
        <f t="shared" si="108"/>
        <v>474.75046226732167</v>
      </c>
      <c r="N881">
        <f t="shared" si="109"/>
        <v>-740.95343887248703</v>
      </c>
      <c r="O881" t="s">
        <v>8</v>
      </c>
    </row>
    <row r="882" spans="1:15" x14ac:dyDescent="0.35">
      <c r="A882">
        <v>2002</v>
      </c>
      <c r="B882">
        <v>5</v>
      </c>
      <c r="C882">
        <v>30</v>
      </c>
      <c r="D882" s="1">
        <f t="shared" si="104"/>
        <v>37406</v>
      </c>
      <c r="E882">
        <v>0</v>
      </c>
      <c r="F882">
        <f t="shared" si="110"/>
        <v>0</v>
      </c>
      <c r="G882">
        <f t="shared" si="105"/>
        <v>0</v>
      </c>
      <c r="H882">
        <f t="shared" si="111"/>
        <v>0</v>
      </c>
      <c r="I882">
        <v>881</v>
      </c>
      <c r="J882">
        <f t="shared" si="106"/>
        <v>0.52492574165596007</v>
      </c>
      <c r="K882">
        <f t="shared" si="107"/>
        <v>-0.85114802810494739</v>
      </c>
      <c r="L882">
        <f>VLOOKUP(D882,[1]SOI!$A$1:$C$142,3)</f>
        <v>-3.8</v>
      </c>
      <c r="M882" s="2">
        <f t="shared" si="108"/>
        <v>462.45957839890082</v>
      </c>
      <c r="N882">
        <f t="shared" si="109"/>
        <v>-749.86141276045862</v>
      </c>
      <c r="O882" t="s">
        <v>8</v>
      </c>
    </row>
    <row r="883" spans="1:15" x14ac:dyDescent="0.35">
      <c r="A883">
        <v>2002</v>
      </c>
      <c r="B883">
        <v>5</v>
      </c>
      <c r="C883">
        <v>31</v>
      </c>
      <c r="D883" s="1">
        <f t="shared" si="104"/>
        <v>37407</v>
      </c>
      <c r="E883">
        <v>0</v>
      </c>
      <c r="F883">
        <f t="shared" si="110"/>
        <v>0</v>
      </c>
      <c r="G883">
        <f t="shared" si="105"/>
        <v>0</v>
      </c>
      <c r="H883">
        <f t="shared" si="111"/>
        <v>0</v>
      </c>
      <c r="I883">
        <v>882</v>
      </c>
      <c r="J883">
        <f t="shared" si="106"/>
        <v>0.5102069876723101</v>
      </c>
      <c r="K883">
        <f t="shared" si="107"/>
        <v>-0.86005164364144271</v>
      </c>
      <c r="L883">
        <f>VLOOKUP(D883,[1]SOI!$A$1:$C$142,3)</f>
        <v>-3.8</v>
      </c>
      <c r="M883" s="2">
        <f t="shared" si="108"/>
        <v>450.00256312697752</v>
      </c>
      <c r="N883">
        <f t="shared" si="109"/>
        <v>-758.56554969175249</v>
      </c>
      <c r="O883" t="s">
        <v>8</v>
      </c>
    </row>
    <row r="884" spans="1:15" x14ac:dyDescent="0.35">
      <c r="A884">
        <v>2002</v>
      </c>
      <c r="B884">
        <v>6</v>
      </c>
      <c r="C884">
        <v>1</v>
      </c>
      <c r="D884" s="1">
        <f t="shared" si="104"/>
        <v>37408</v>
      </c>
      <c r="E884">
        <v>4.4000000000000004</v>
      </c>
      <c r="F884">
        <f t="shared" si="110"/>
        <v>0</v>
      </c>
      <c r="G884">
        <f t="shared" si="105"/>
        <v>1</v>
      </c>
      <c r="H884">
        <f t="shared" si="111"/>
        <v>0</v>
      </c>
      <c r="I884">
        <v>883</v>
      </c>
      <c r="J884">
        <f t="shared" si="106"/>
        <v>0.49533725523256678</v>
      </c>
      <c r="K884">
        <f t="shared" si="107"/>
        <v>-0.86870075605968422</v>
      </c>
      <c r="L884">
        <f>VLOOKUP(D884,[1]SOI!$A$1:$C$142,3)</f>
        <v>-14.5</v>
      </c>
      <c r="M884" s="2">
        <f t="shared" si="108"/>
        <v>437.38279637035646</v>
      </c>
      <c r="N884">
        <f t="shared" si="109"/>
        <v>-767.06276760070114</v>
      </c>
      <c r="O884" t="s">
        <v>8</v>
      </c>
    </row>
    <row r="885" spans="1:15" x14ac:dyDescent="0.35">
      <c r="A885">
        <v>2002</v>
      </c>
      <c r="B885">
        <v>6</v>
      </c>
      <c r="C885">
        <v>2</v>
      </c>
      <c r="D885" s="1">
        <f t="shared" si="104"/>
        <v>37409</v>
      </c>
      <c r="E885">
        <v>0</v>
      </c>
      <c r="F885">
        <f t="shared" si="110"/>
        <v>4.4000000000000004</v>
      </c>
      <c r="G885">
        <f t="shared" si="105"/>
        <v>0</v>
      </c>
      <c r="H885">
        <f t="shared" si="111"/>
        <v>1</v>
      </c>
      <c r="I885">
        <v>884</v>
      </c>
      <c r="J885">
        <f t="shared" si="106"/>
        <v>0.48032094452978846</v>
      </c>
      <c r="K885">
        <f t="shared" si="107"/>
        <v>-0.87709280594815731</v>
      </c>
      <c r="L885">
        <f>VLOOKUP(D885,[1]SOI!$A$1:$C$142,3)</f>
        <v>-14.5</v>
      </c>
      <c r="M885" s="2">
        <f t="shared" si="108"/>
        <v>424.60371496433299</v>
      </c>
      <c r="N885">
        <f t="shared" si="109"/>
        <v>-775.35004045817107</v>
      </c>
      <c r="O885" t="s">
        <v>8</v>
      </c>
    </row>
    <row r="886" spans="1:15" x14ac:dyDescent="0.35">
      <c r="A886">
        <v>2002</v>
      </c>
      <c r="B886">
        <v>6</v>
      </c>
      <c r="C886">
        <v>3</v>
      </c>
      <c r="D886" s="1">
        <f t="shared" si="104"/>
        <v>37410</v>
      </c>
      <c r="E886">
        <v>0</v>
      </c>
      <c r="F886">
        <f t="shared" si="110"/>
        <v>0</v>
      </c>
      <c r="G886">
        <f t="shared" si="105"/>
        <v>0</v>
      </c>
      <c r="H886">
        <f t="shared" si="111"/>
        <v>0</v>
      </c>
      <c r="I886">
        <v>885</v>
      </c>
      <c r="J886">
        <f t="shared" si="106"/>
        <v>0.46516249913190438</v>
      </c>
      <c r="K886">
        <f t="shared" si="107"/>
        <v>-0.88522530996428306</v>
      </c>
      <c r="L886">
        <f>VLOOKUP(D886,[1]SOI!$A$1:$C$142,3)</f>
        <v>-14.5</v>
      </c>
      <c r="M886" s="2">
        <f t="shared" si="108"/>
        <v>411.66881173173539</v>
      </c>
      <c r="N886">
        <f t="shared" si="109"/>
        <v>-783.42439931839056</v>
      </c>
      <c r="O886" t="s">
        <v>8</v>
      </c>
    </row>
    <row r="887" spans="1:15" x14ac:dyDescent="0.35">
      <c r="A887">
        <v>2002</v>
      </c>
      <c r="B887">
        <v>6</v>
      </c>
      <c r="C887">
        <v>4</v>
      </c>
      <c r="D887" s="1">
        <f t="shared" si="104"/>
        <v>37411</v>
      </c>
      <c r="E887">
        <v>0</v>
      </c>
      <c r="F887">
        <f t="shared" si="110"/>
        <v>0</v>
      </c>
      <c r="G887">
        <f t="shared" si="105"/>
        <v>0</v>
      </c>
      <c r="H887">
        <f t="shared" si="111"/>
        <v>0</v>
      </c>
      <c r="I887">
        <v>886</v>
      </c>
      <c r="J887">
        <f t="shared" si="106"/>
        <v>0.44986640466678224</v>
      </c>
      <c r="K887">
        <f t="shared" si="107"/>
        <v>-0.89309586156928467</v>
      </c>
      <c r="L887">
        <f>VLOOKUP(D887,[1]SOI!$A$1:$C$142,3)</f>
        <v>-14.5</v>
      </c>
      <c r="M887" s="2">
        <f t="shared" si="108"/>
        <v>398.58163453476908</v>
      </c>
      <c r="N887">
        <f t="shared" si="109"/>
        <v>-791.2829333503862</v>
      </c>
      <c r="O887" t="s">
        <v>8</v>
      </c>
    </row>
    <row r="888" spans="1:15" x14ac:dyDescent="0.35">
      <c r="A888">
        <v>2002</v>
      </c>
      <c r="B888">
        <v>6</v>
      </c>
      <c r="C888">
        <v>5</v>
      </c>
      <c r="D888" s="1">
        <f t="shared" si="104"/>
        <v>37412</v>
      </c>
      <c r="E888">
        <v>0</v>
      </c>
      <c r="F888">
        <f t="shared" si="110"/>
        <v>0</v>
      </c>
      <c r="G888">
        <f t="shared" si="105"/>
        <v>0</v>
      </c>
      <c r="H888">
        <f t="shared" si="111"/>
        <v>0</v>
      </c>
      <c r="I888">
        <v>887</v>
      </c>
      <c r="J888">
        <f t="shared" si="106"/>
        <v>0.4344371874948631</v>
      </c>
      <c r="K888">
        <f t="shared" si="107"/>
        <v>-0.90070213174031799</v>
      </c>
      <c r="L888">
        <f>VLOOKUP(D888,[1]SOI!$A$1:$C$142,3)</f>
        <v>-14.5</v>
      </c>
      <c r="M888" s="2">
        <f t="shared" si="108"/>
        <v>385.34578530794357</v>
      </c>
      <c r="N888">
        <f t="shared" si="109"/>
        <v>-798.92279085366204</v>
      </c>
      <c r="O888" t="s">
        <v>8</v>
      </c>
    </row>
    <row r="889" spans="1:15" x14ac:dyDescent="0.35">
      <c r="A889">
        <v>2002</v>
      </c>
      <c r="B889">
        <v>6</v>
      </c>
      <c r="C889">
        <v>6</v>
      </c>
      <c r="D889" s="1">
        <f t="shared" si="104"/>
        <v>37413</v>
      </c>
      <c r="E889">
        <v>0</v>
      </c>
      <c r="F889">
        <f t="shared" si="110"/>
        <v>0</v>
      </c>
      <c r="G889">
        <f t="shared" si="105"/>
        <v>0</v>
      </c>
      <c r="H889">
        <f t="shared" si="111"/>
        <v>0</v>
      </c>
      <c r="I889">
        <v>888</v>
      </c>
      <c r="J889">
        <f t="shared" si="106"/>
        <v>0.4188794133697436</v>
      </c>
      <c r="K889">
        <f t="shared" si="107"/>
        <v>-0.90804186965966471</v>
      </c>
      <c r="L889">
        <f>VLOOKUP(D889,[1]SOI!$A$1:$C$142,3)</f>
        <v>-14.5</v>
      </c>
      <c r="M889" s="2">
        <f t="shared" si="108"/>
        <v>371.96491907233229</v>
      </c>
      <c r="N889">
        <f t="shared" si="109"/>
        <v>-806.3411802577823</v>
      </c>
      <c r="O889" t="s">
        <v>8</v>
      </c>
    </row>
    <row r="890" spans="1:15" x14ac:dyDescent="0.35">
      <c r="A890">
        <v>2002</v>
      </c>
      <c r="B890">
        <v>6</v>
      </c>
      <c r="C890">
        <v>7</v>
      </c>
      <c r="D890" s="1">
        <f t="shared" si="104"/>
        <v>37414</v>
      </c>
      <c r="E890">
        <v>0</v>
      </c>
      <c r="F890">
        <f t="shared" si="110"/>
        <v>0</v>
      </c>
      <c r="G890">
        <f t="shared" si="105"/>
        <v>0</v>
      </c>
      <c r="H890">
        <f t="shared" si="111"/>
        <v>0</v>
      </c>
      <c r="I890">
        <v>889</v>
      </c>
      <c r="J890">
        <f t="shared" si="106"/>
        <v>0.40319768608708623</v>
      </c>
      <c r="K890">
        <f t="shared" si="107"/>
        <v>-0.91511290338079021</v>
      </c>
      <c r="L890">
        <f>VLOOKUP(D890,[1]SOI!$A$1:$C$142,3)</f>
        <v>-14.5</v>
      </c>
      <c r="M890" s="2">
        <f t="shared" si="108"/>
        <v>358.44274293141967</v>
      </c>
      <c r="N890">
        <f t="shared" si="109"/>
        <v>-813.53537110552247</v>
      </c>
      <c r="O890" t="s">
        <v>8</v>
      </c>
    </row>
    <row r="891" spans="1:15" x14ac:dyDescent="0.35">
      <c r="A891">
        <v>2002</v>
      </c>
      <c r="B891">
        <v>6</v>
      </c>
      <c r="C891">
        <v>8</v>
      </c>
      <c r="D891" s="1">
        <f t="shared" si="104"/>
        <v>37415</v>
      </c>
      <c r="E891">
        <v>0</v>
      </c>
      <c r="F891">
        <f t="shared" si="110"/>
        <v>0</v>
      </c>
      <c r="G891">
        <f t="shared" si="105"/>
        <v>0</v>
      </c>
      <c r="H891">
        <f t="shared" si="111"/>
        <v>0</v>
      </c>
      <c r="I891">
        <v>890</v>
      </c>
      <c r="J891">
        <f t="shared" si="106"/>
        <v>0.38739664612228869</v>
      </c>
      <c r="K891">
        <f t="shared" si="107"/>
        <v>-0.92191314047105444</v>
      </c>
      <c r="L891">
        <f>VLOOKUP(D891,[1]SOI!$A$1:$C$142,3)</f>
        <v>-14.5</v>
      </c>
      <c r="M891" s="2">
        <f t="shared" si="108"/>
        <v>344.78301504883694</v>
      </c>
      <c r="N891">
        <f t="shared" si="109"/>
        <v>-820.50269501923844</v>
      </c>
      <c r="O891" t="s">
        <v>8</v>
      </c>
    </row>
    <row r="892" spans="1:15" x14ac:dyDescent="0.35">
      <c r="A892">
        <v>2002</v>
      </c>
      <c r="B892">
        <v>6</v>
      </c>
      <c r="C892">
        <v>9</v>
      </c>
      <c r="D892" s="1">
        <f t="shared" si="104"/>
        <v>37416</v>
      </c>
      <c r="E892">
        <v>0</v>
      </c>
      <c r="F892">
        <f t="shared" si="110"/>
        <v>0</v>
      </c>
      <c r="G892">
        <f t="shared" si="105"/>
        <v>0</v>
      </c>
      <c r="H892">
        <f t="shared" si="111"/>
        <v>0</v>
      </c>
      <c r="I892">
        <v>891</v>
      </c>
      <c r="J892">
        <f t="shared" si="106"/>
        <v>0.37148096925728924</v>
      </c>
      <c r="K892">
        <f t="shared" si="107"/>
        <v>-0.92844056863089786</v>
      </c>
      <c r="L892">
        <f>VLOOKUP(D892,[1]SOI!$A$1:$C$142,3)</f>
        <v>-14.5</v>
      </c>
      <c r="M892" s="2">
        <f t="shared" si="108"/>
        <v>330.98954360824473</v>
      </c>
      <c r="N892">
        <f t="shared" si="109"/>
        <v>-827.24054665013</v>
      </c>
      <c r="O892" t="s">
        <v>8</v>
      </c>
    </row>
    <row r="893" spans="1:15" x14ac:dyDescent="0.35">
      <c r="A893">
        <v>2002</v>
      </c>
      <c r="B893">
        <v>6</v>
      </c>
      <c r="C893">
        <v>10</v>
      </c>
      <c r="D893" s="1">
        <f t="shared" si="104"/>
        <v>37417</v>
      </c>
      <c r="E893">
        <v>0</v>
      </c>
      <c r="F893">
        <f t="shared" si="110"/>
        <v>0</v>
      </c>
      <c r="G893">
        <f t="shared" si="105"/>
        <v>0</v>
      </c>
      <c r="H893">
        <f t="shared" si="111"/>
        <v>0</v>
      </c>
      <c r="I893">
        <v>892</v>
      </c>
      <c r="J893">
        <f t="shared" si="106"/>
        <v>0.3554553651969341</v>
      </c>
      <c r="K893">
        <f t="shared" si="107"/>
        <v>-0.93469325628931021</v>
      </c>
      <c r="L893">
        <f>VLOOKUP(D893,[1]SOI!$A$1:$C$142,3)</f>
        <v>-14.5</v>
      </c>
      <c r="M893" s="2">
        <f t="shared" si="108"/>
        <v>317.06618575566523</v>
      </c>
      <c r="N893">
        <f t="shared" si="109"/>
        <v>-833.74638461006475</v>
      </c>
      <c r="O893" t="s">
        <v>8</v>
      </c>
    </row>
    <row r="894" spans="1:15" x14ac:dyDescent="0.35">
      <c r="A894">
        <v>2002</v>
      </c>
      <c r="B894">
        <v>6</v>
      </c>
      <c r="C894">
        <v>11</v>
      </c>
      <c r="D894" s="1">
        <f t="shared" si="104"/>
        <v>37418</v>
      </c>
      <c r="E894">
        <v>0</v>
      </c>
      <c r="F894">
        <f t="shared" si="110"/>
        <v>0</v>
      </c>
      <c r="G894">
        <f t="shared" si="105"/>
        <v>0</v>
      </c>
      <c r="H894">
        <f t="shared" si="111"/>
        <v>0</v>
      </c>
      <c r="I894">
        <v>893</v>
      </c>
      <c r="J894">
        <f t="shared" si="106"/>
        <v>0.33932457617529027</v>
      </c>
      <c r="K894">
        <f t="shared" si="107"/>
        <v>-0.94066935317541822</v>
      </c>
      <c r="L894">
        <f>VLOOKUP(D894,[1]SOI!$A$1:$C$142,3)</f>
        <v>-14.5</v>
      </c>
      <c r="M894" s="2">
        <f t="shared" si="108"/>
        <v>303.01684652453423</v>
      </c>
      <c r="N894">
        <f t="shared" si="109"/>
        <v>-840.01773238564851</v>
      </c>
      <c r="O894" t="s">
        <v>8</v>
      </c>
    </row>
    <row r="895" spans="1:15" x14ac:dyDescent="0.35">
      <c r="A895">
        <v>2002</v>
      </c>
      <c r="B895">
        <v>6</v>
      </c>
      <c r="C895">
        <v>12</v>
      </c>
      <c r="D895" s="1">
        <f t="shared" si="104"/>
        <v>37419</v>
      </c>
      <c r="E895">
        <v>0</v>
      </c>
      <c r="F895">
        <f t="shared" si="110"/>
        <v>0</v>
      </c>
      <c r="G895">
        <f t="shared" si="105"/>
        <v>0</v>
      </c>
      <c r="H895">
        <f t="shared" si="111"/>
        <v>0</v>
      </c>
      <c r="I895">
        <v>894</v>
      </c>
      <c r="J895">
        <f t="shared" si="106"/>
        <v>0.32309337555234868</v>
      </c>
      <c r="K895">
        <f t="shared" si="107"/>
        <v>-0.9463670908660069</v>
      </c>
      <c r="L895">
        <f>VLOOKUP(D895,[1]SOI!$A$1:$C$142,3)</f>
        <v>-14.5</v>
      </c>
      <c r="M895" s="2">
        <f t="shared" si="108"/>
        <v>288.84547774379973</v>
      </c>
      <c r="N895">
        <f t="shared" si="109"/>
        <v>-846.05217923421014</v>
      </c>
      <c r="O895" t="s">
        <v>8</v>
      </c>
    </row>
    <row r="896" spans="1:15" x14ac:dyDescent="0.35">
      <c r="A896">
        <v>2002</v>
      </c>
      <c r="B896">
        <v>6</v>
      </c>
      <c r="C896">
        <v>13</v>
      </c>
      <c r="D896" s="1">
        <f t="shared" si="104"/>
        <v>37420</v>
      </c>
      <c r="E896">
        <v>3.6</v>
      </c>
      <c r="F896">
        <f t="shared" si="110"/>
        <v>0</v>
      </c>
      <c r="G896">
        <f t="shared" si="105"/>
        <v>1</v>
      </c>
      <c r="H896">
        <f t="shared" si="111"/>
        <v>0</v>
      </c>
      <c r="I896">
        <v>895</v>
      </c>
      <c r="J896">
        <f t="shared" si="106"/>
        <v>0.30676656640150524</v>
      </c>
      <c r="K896">
        <f t="shared" si="107"/>
        <v>-0.9517847833088271</v>
      </c>
      <c r="L896">
        <f>VLOOKUP(D896,[1]SOI!$A$1:$C$142,3)</f>
        <v>-14.5</v>
      </c>
      <c r="M896" s="2">
        <f t="shared" si="108"/>
        <v>274.55607692934717</v>
      </c>
      <c r="N896">
        <f t="shared" si="109"/>
        <v>-851.84738106140026</v>
      </c>
      <c r="O896" t="s">
        <v>8</v>
      </c>
    </row>
    <row r="897" spans="1:15" x14ac:dyDescent="0.35">
      <c r="A897">
        <v>2002</v>
      </c>
      <c r="B897">
        <v>6</v>
      </c>
      <c r="C897">
        <v>14</v>
      </c>
      <c r="D897" s="1">
        <f t="shared" si="104"/>
        <v>37421</v>
      </c>
      <c r="E897">
        <v>0.6</v>
      </c>
      <c r="F897">
        <f t="shared" si="110"/>
        <v>3.6</v>
      </c>
      <c r="G897">
        <f t="shared" si="105"/>
        <v>1</v>
      </c>
      <c r="H897">
        <f t="shared" si="111"/>
        <v>1</v>
      </c>
      <c r="I897">
        <v>896</v>
      </c>
      <c r="J897">
        <f t="shared" si="106"/>
        <v>0.29034898008826743</v>
      </c>
      <c r="K897">
        <f t="shared" si="107"/>
        <v>-0.95692082732152028</v>
      </c>
      <c r="L897">
        <f>VLOOKUP(D897,[1]SOI!$A$1:$C$142,3)</f>
        <v>-14.5</v>
      </c>
      <c r="M897" s="2">
        <f t="shared" si="108"/>
        <v>260.15268615908764</v>
      </c>
      <c r="N897">
        <f t="shared" si="109"/>
        <v>-857.40106128008222</v>
      </c>
      <c r="O897" t="s">
        <v>8</v>
      </c>
    </row>
    <row r="898" spans="1:15" x14ac:dyDescent="0.35">
      <c r="A898">
        <v>2002</v>
      </c>
      <c r="B898">
        <v>6</v>
      </c>
      <c r="C898">
        <v>15</v>
      </c>
      <c r="D898" s="1">
        <f t="shared" si="104"/>
        <v>37422</v>
      </c>
      <c r="E898">
        <v>1.8</v>
      </c>
      <c r="F898">
        <f t="shared" si="110"/>
        <v>0.6</v>
      </c>
      <c r="G898">
        <f t="shared" si="105"/>
        <v>1</v>
      </c>
      <c r="H898">
        <f t="shared" si="111"/>
        <v>1</v>
      </c>
      <c r="I898">
        <v>897</v>
      </c>
      <c r="J898">
        <f t="shared" si="106"/>
        <v>0.27384547484055566</v>
      </c>
      <c r="K898">
        <f t="shared" si="107"/>
        <v>-0.96177370306603338</v>
      </c>
      <c r="L898">
        <f>VLOOKUP(D898,[1]SOI!$A$1:$C$142,3)</f>
        <v>-14.5</v>
      </c>
      <c r="M898" s="2">
        <f t="shared" si="108"/>
        <v>245.63939093197843</v>
      </c>
      <c r="N898">
        <f t="shared" si="109"/>
        <v>-862.71101165023197</v>
      </c>
      <c r="O898" t="s">
        <v>8</v>
      </c>
    </row>
    <row r="899" spans="1:15" x14ac:dyDescent="0.35">
      <c r="A899">
        <v>2002</v>
      </c>
      <c r="B899">
        <v>6</v>
      </c>
      <c r="C899">
        <v>16</v>
      </c>
      <c r="D899" s="1">
        <f t="shared" ref="D899:D962" si="112">DATE(A899,B899,C899)</f>
        <v>37423</v>
      </c>
      <c r="E899">
        <v>0.8</v>
      </c>
      <c r="F899">
        <f t="shared" si="110"/>
        <v>1.8</v>
      </c>
      <c r="G899">
        <f t="shared" ref="G899:G962" si="113">IF(E899=0,0,1)</f>
        <v>1</v>
      </c>
      <c r="H899">
        <f t="shared" si="111"/>
        <v>1</v>
      </c>
      <c r="I899">
        <v>898</v>
      </c>
      <c r="J899">
        <f t="shared" ref="J899:J962" si="114">SIN(2*PI()*I899/365.25)</f>
        <v>0.25726093431108682</v>
      </c>
      <c r="K899">
        <f t="shared" ref="K899:K962" si="115">COS(2*PI()*I899/365.25)</f>
        <v>-0.96634197449835879</v>
      </c>
      <c r="L899">
        <f>VLOOKUP(D899,[1]SOI!$A$1:$C$142,3)</f>
        <v>-14.5</v>
      </c>
      <c r="M899" s="2">
        <f t="shared" ref="M899:M962" si="116">I899*J899</f>
        <v>231.02031901135595</v>
      </c>
      <c r="N899">
        <f t="shared" ref="N899:N962" si="117">I899*K899</f>
        <v>-867.7750930995262</v>
      </c>
      <c r="O899" t="s">
        <v>8</v>
      </c>
    </row>
    <row r="900" spans="1:15" x14ac:dyDescent="0.35">
      <c r="A900">
        <v>2002</v>
      </c>
      <c r="B900">
        <v>6</v>
      </c>
      <c r="C900">
        <v>17</v>
      </c>
      <c r="D900" s="1">
        <f t="shared" si="112"/>
        <v>37424</v>
      </c>
      <c r="E900">
        <v>0</v>
      </c>
      <c r="F900">
        <f t="shared" ref="F900:F963" si="118">E899</f>
        <v>0.8</v>
      </c>
      <c r="G900">
        <f t="shared" si="113"/>
        <v>0</v>
      </c>
      <c r="H900">
        <f t="shared" ref="H900:H963" si="119">G899</f>
        <v>1</v>
      </c>
      <c r="I900">
        <v>899</v>
      </c>
      <c r="J900">
        <f t="shared" si="114"/>
        <v>0.24060026613222654</v>
      </c>
      <c r="K900">
        <f t="shared" si="115"/>
        <v>-0.97062428979348225</v>
      </c>
      <c r="L900">
        <f>VLOOKUP(D900,[1]SOI!$A$1:$C$142,3)</f>
        <v>-14.5</v>
      </c>
      <c r="M900" s="2">
        <f t="shared" si="116"/>
        <v>216.29963925287166</v>
      </c>
      <c r="N900">
        <f t="shared" si="117"/>
        <v>-872.5912365243405</v>
      </c>
      <c r="O900" t="s">
        <v>8</v>
      </c>
    </row>
    <row r="901" spans="1:15" x14ac:dyDescent="0.35">
      <c r="A901">
        <v>2002</v>
      </c>
      <c r="B901">
        <v>6</v>
      </c>
      <c r="C901">
        <v>18</v>
      </c>
      <c r="D901" s="1">
        <f t="shared" si="112"/>
        <v>37425</v>
      </c>
      <c r="E901">
        <v>0</v>
      </c>
      <c r="F901">
        <f t="shared" si="118"/>
        <v>0</v>
      </c>
      <c r="G901">
        <f t="shared" si="113"/>
        <v>0</v>
      </c>
      <c r="H901">
        <f t="shared" si="119"/>
        <v>0</v>
      </c>
      <c r="I901">
        <v>900</v>
      </c>
      <c r="J901">
        <f t="shared" si="114"/>
        <v>0.22386840046373174</v>
      </c>
      <c r="K901">
        <f t="shared" si="115"/>
        <v>-0.97461938174541252</v>
      </c>
      <c r="L901">
        <f>VLOOKUP(D901,[1]SOI!$A$1:$C$142,3)</f>
        <v>-14.5</v>
      </c>
      <c r="M901" s="2">
        <f t="shared" si="116"/>
        <v>201.48156041735857</v>
      </c>
      <c r="N901">
        <f t="shared" si="117"/>
        <v>-877.15744357087124</v>
      </c>
      <c r="O901" t="s">
        <v>8</v>
      </c>
    </row>
    <row r="902" spans="1:15" x14ac:dyDescent="0.35">
      <c r="A902">
        <v>2002</v>
      </c>
      <c r="B902">
        <v>6</v>
      </c>
      <c r="C902">
        <v>19</v>
      </c>
      <c r="D902" s="1">
        <f t="shared" si="112"/>
        <v>37426</v>
      </c>
      <c r="E902">
        <v>0</v>
      </c>
      <c r="F902">
        <f t="shared" si="118"/>
        <v>0</v>
      </c>
      <c r="G902">
        <f t="shared" si="113"/>
        <v>0</v>
      </c>
      <c r="H902">
        <f t="shared" si="119"/>
        <v>0</v>
      </c>
      <c r="I902">
        <v>901</v>
      </c>
      <c r="J902">
        <f t="shared" si="114"/>
        <v>0.20707028853384346</v>
      </c>
      <c r="K902">
        <f t="shared" si="115"/>
        <v>-0.97832606814216638</v>
      </c>
      <c r="L902">
        <f>VLOOKUP(D902,[1]SOI!$A$1:$C$142,3)</f>
        <v>-14.5</v>
      </c>
      <c r="M902" s="2">
        <f t="shared" si="116"/>
        <v>186.57032996899295</v>
      </c>
      <c r="N902">
        <f t="shared" si="117"/>
        <v>-881.47178739609194</v>
      </c>
      <c r="O902" t="s">
        <v>8</v>
      </c>
    </row>
    <row r="903" spans="1:15" x14ac:dyDescent="0.35">
      <c r="A903">
        <v>2002</v>
      </c>
      <c r="B903">
        <v>6</v>
      </c>
      <c r="C903">
        <v>20</v>
      </c>
      <c r="D903" s="1">
        <f t="shared" si="112"/>
        <v>37427</v>
      </c>
      <c r="E903">
        <v>0</v>
      </c>
      <c r="F903">
        <f t="shared" si="118"/>
        <v>0</v>
      </c>
      <c r="G903">
        <f t="shared" si="113"/>
        <v>0</v>
      </c>
      <c r="H903">
        <f t="shared" si="119"/>
        <v>0</v>
      </c>
      <c r="I903">
        <v>902</v>
      </c>
      <c r="J903">
        <f t="shared" si="114"/>
        <v>0.19021090117413572</v>
      </c>
      <c r="K903">
        <f t="shared" si="115"/>
        <v>-0.98174325211560443</v>
      </c>
      <c r="L903">
        <f>VLOOKUP(D903,[1]SOI!$A$1:$C$142,3)</f>
        <v>-14.5</v>
      </c>
      <c r="M903" s="2">
        <f t="shared" si="116"/>
        <v>171.57023285907042</v>
      </c>
      <c r="N903">
        <f t="shared" si="117"/>
        <v>-885.53241340827515</v>
      </c>
      <c r="O903" t="s">
        <v>8</v>
      </c>
    </row>
    <row r="904" spans="1:15" x14ac:dyDescent="0.35">
      <c r="A904">
        <v>2002</v>
      </c>
      <c r="B904">
        <v>6</v>
      </c>
      <c r="C904">
        <v>21</v>
      </c>
      <c r="D904" s="1">
        <f t="shared" si="112"/>
        <v>37428</v>
      </c>
      <c r="E904">
        <v>0.2</v>
      </c>
      <c r="F904">
        <f t="shared" si="118"/>
        <v>0</v>
      </c>
      <c r="G904">
        <f t="shared" si="113"/>
        <v>1</v>
      </c>
      <c r="H904">
        <f t="shared" si="119"/>
        <v>0</v>
      </c>
      <c r="I904">
        <v>903</v>
      </c>
      <c r="J904">
        <f t="shared" si="114"/>
        <v>0.17329522734857314</v>
      </c>
      <c r="K904">
        <f t="shared" si="115"/>
        <v>-0.98486992246601091</v>
      </c>
      <c r="L904">
        <f>VLOOKUP(D904,[1]SOI!$A$1:$C$142,3)</f>
        <v>-14.5</v>
      </c>
      <c r="M904" s="2">
        <f t="shared" si="116"/>
        <v>156.48559029576154</v>
      </c>
      <c r="N904">
        <f t="shared" si="117"/>
        <v>-889.33753998680788</v>
      </c>
      <c r="O904" t="s">
        <v>8</v>
      </c>
    </row>
    <row r="905" spans="1:15" x14ac:dyDescent="0.35">
      <c r="A905">
        <v>2002</v>
      </c>
      <c r="B905">
        <v>6</v>
      </c>
      <c r="C905">
        <v>22</v>
      </c>
      <c r="D905" s="1">
        <f t="shared" si="112"/>
        <v>37429</v>
      </c>
      <c r="E905">
        <v>0</v>
      </c>
      <c r="F905">
        <f t="shared" si="118"/>
        <v>0.2</v>
      </c>
      <c r="G905">
        <f t="shared" si="113"/>
        <v>0</v>
      </c>
      <c r="H905">
        <f t="shared" si="119"/>
        <v>1</v>
      </c>
      <c r="I905">
        <v>904</v>
      </c>
      <c r="J905">
        <f t="shared" si="114"/>
        <v>0.15632827267718599</v>
      </c>
      <c r="K905">
        <f t="shared" si="115"/>
        <v>-0.9877051539613263</v>
      </c>
      <c r="L905">
        <f>VLOOKUP(D905,[1]SOI!$A$1:$C$142,3)</f>
        <v>-14.5</v>
      </c>
      <c r="M905" s="2">
        <f t="shared" si="116"/>
        <v>141.32075850017614</v>
      </c>
      <c r="N905">
        <f t="shared" si="117"/>
        <v>-892.88545918103898</v>
      </c>
      <c r="O905" t="s">
        <v>8</v>
      </c>
    </row>
    <row r="906" spans="1:15" x14ac:dyDescent="0.35">
      <c r="A906">
        <v>2002</v>
      </c>
      <c r="B906">
        <v>6</v>
      </c>
      <c r="C906">
        <v>23</v>
      </c>
      <c r="D906" s="1">
        <f t="shared" si="112"/>
        <v>37430</v>
      </c>
      <c r="E906">
        <v>0</v>
      </c>
      <c r="F906">
        <f t="shared" si="118"/>
        <v>0</v>
      </c>
      <c r="G906">
        <f t="shared" si="113"/>
        <v>0</v>
      </c>
      <c r="H906">
        <f t="shared" si="119"/>
        <v>0</v>
      </c>
      <c r="I906">
        <v>905</v>
      </c>
      <c r="J906">
        <f t="shared" si="114"/>
        <v>0.13931505795483362</v>
      </c>
      <c r="K906">
        <f t="shared" si="115"/>
        <v>-0.99024810761093673</v>
      </c>
      <c r="L906">
        <f>VLOOKUP(D906,[1]SOI!$A$1:$C$142,3)</f>
        <v>-14.5</v>
      </c>
      <c r="M906" s="2">
        <f t="shared" si="116"/>
        <v>126.08012744912443</v>
      </c>
      <c r="N906">
        <f t="shared" si="117"/>
        <v>-896.17453738789777</v>
      </c>
      <c r="O906" t="s">
        <v>8</v>
      </c>
    </row>
    <row r="907" spans="1:15" x14ac:dyDescent="0.35">
      <c r="A907">
        <v>2002</v>
      </c>
      <c r="B907">
        <v>6</v>
      </c>
      <c r="C907">
        <v>24</v>
      </c>
      <c r="D907" s="1">
        <f t="shared" si="112"/>
        <v>37431</v>
      </c>
      <c r="E907">
        <v>0</v>
      </c>
      <c r="F907">
        <f t="shared" si="118"/>
        <v>0</v>
      </c>
      <c r="G907">
        <f t="shared" si="113"/>
        <v>0</v>
      </c>
      <c r="H907">
        <f t="shared" si="119"/>
        <v>0</v>
      </c>
      <c r="I907">
        <v>906</v>
      </c>
      <c r="J907">
        <f t="shared" si="114"/>
        <v>0.12226061766546514</v>
      </c>
      <c r="K907">
        <f t="shared" si="115"/>
        <v>-0.99249803091394539</v>
      </c>
      <c r="L907">
        <f>VLOOKUP(D907,[1]SOI!$A$1:$C$142,3)</f>
        <v>-14.5</v>
      </c>
      <c r="M907" s="2">
        <f t="shared" si="116"/>
        <v>110.76811960491142</v>
      </c>
      <c r="N907">
        <f t="shared" si="117"/>
        <v>-899.20321600803447</v>
      </c>
      <c r="O907" t="s">
        <v>8</v>
      </c>
    </row>
    <row r="908" spans="1:15" x14ac:dyDescent="0.35">
      <c r="A908">
        <v>2002</v>
      </c>
      <c r="B908">
        <v>6</v>
      </c>
      <c r="C908">
        <v>25</v>
      </c>
      <c r="D908" s="1">
        <f t="shared" si="112"/>
        <v>37432</v>
      </c>
      <c r="E908">
        <v>0</v>
      </c>
      <c r="F908">
        <f t="shared" si="118"/>
        <v>0</v>
      </c>
      <c r="G908">
        <f t="shared" si="113"/>
        <v>0</v>
      </c>
      <c r="H908">
        <f t="shared" si="119"/>
        <v>0</v>
      </c>
      <c r="I908">
        <v>907</v>
      </c>
      <c r="J908">
        <f t="shared" si="114"/>
        <v>0.10516999849235054</v>
      </c>
      <c r="K908">
        <f t="shared" si="115"/>
        <v>-0.99445425808184817</v>
      </c>
      <c r="L908">
        <f>VLOOKUP(D908,[1]SOI!$A$1:$C$142,3)</f>
        <v>-14.5</v>
      </c>
      <c r="M908" s="2">
        <f t="shared" si="116"/>
        <v>95.38918863256194</v>
      </c>
      <c r="N908">
        <f t="shared" si="117"/>
        <v>-901.9700120802363</v>
      </c>
      <c r="O908" t="s">
        <v>8</v>
      </c>
    </row>
    <row r="909" spans="1:15" x14ac:dyDescent="0.35">
      <c r="A909">
        <v>2002</v>
      </c>
      <c r="B909">
        <v>6</v>
      </c>
      <c r="C909">
        <v>26</v>
      </c>
      <c r="D909" s="1">
        <f t="shared" si="112"/>
        <v>37433</v>
      </c>
      <c r="E909">
        <v>0.6</v>
      </c>
      <c r="F909">
        <f t="shared" si="118"/>
        <v>0</v>
      </c>
      <c r="G909">
        <f t="shared" si="113"/>
        <v>1</v>
      </c>
      <c r="H909">
        <f t="shared" si="119"/>
        <v>0</v>
      </c>
      <c r="I909">
        <v>908</v>
      </c>
      <c r="J909">
        <f t="shared" si="114"/>
        <v>8.8048257824657708E-2</v>
      </c>
      <c r="K909">
        <f t="shared" si="115"/>
        <v>-0.99611621023555408</v>
      </c>
      <c r="L909">
        <f>VLOOKUP(D909,[1]SOI!$A$1:$C$142,3)</f>
        <v>-14.5</v>
      </c>
      <c r="M909" s="2">
        <f t="shared" si="116"/>
        <v>79.947818104789192</v>
      </c>
      <c r="N909">
        <f t="shared" si="117"/>
        <v>-904.47351889388312</v>
      </c>
      <c r="O909" t="s">
        <v>8</v>
      </c>
    </row>
    <row r="910" spans="1:15" x14ac:dyDescent="0.35">
      <c r="A910">
        <v>2002</v>
      </c>
      <c r="B910">
        <v>6</v>
      </c>
      <c r="C910">
        <v>27</v>
      </c>
      <c r="D910" s="1">
        <f t="shared" si="112"/>
        <v>37434</v>
      </c>
      <c r="E910">
        <v>0</v>
      </c>
      <c r="F910">
        <f t="shared" si="118"/>
        <v>0.6</v>
      </c>
      <c r="G910">
        <f t="shared" si="113"/>
        <v>0</v>
      </c>
      <c r="H910">
        <f t="shared" si="119"/>
        <v>1</v>
      </c>
      <c r="I910">
        <v>909</v>
      </c>
      <c r="J910">
        <f t="shared" si="114"/>
        <v>7.0900462260910777E-2</v>
      </c>
      <c r="K910">
        <f t="shared" si="115"/>
        <v>-0.99748339557668286</v>
      </c>
      <c r="L910">
        <f>VLOOKUP(D910,[1]SOI!$A$1:$C$142,3)</f>
        <v>-14.5</v>
      </c>
      <c r="M910" s="2">
        <f t="shared" si="116"/>
        <v>64.448520195167902</v>
      </c>
      <c r="N910">
        <f t="shared" si="117"/>
        <v>-906.71240657920475</v>
      </c>
      <c r="O910" t="s">
        <v>8</v>
      </c>
    </row>
    <row r="911" spans="1:15" x14ac:dyDescent="0.35">
      <c r="A911">
        <v>2002</v>
      </c>
      <c r="B911">
        <v>6</v>
      </c>
      <c r="C911">
        <v>28</v>
      </c>
      <c r="D911" s="1">
        <f t="shared" si="112"/>
        <v>37435</v>
      </c>
      <c r="E911">
        <v>7.4</v>
      </c>
      <c r="F911">
        <f t="shared" si="118"/>
        <v>0</v>
      </c>
      <c r="G911">
        <f t="shared" si="113"/>
        <v>1</v>
      </c>
      <c r="H911">
        <f t="shared" si="119"/>
        <v>0</v>
      </c>
      <c r="I911">
        <v>910</v>
      </c>
      <c r="J911">
        <f t="shared" si="114"/>
        <v>5.373168610970562E-2</v>
      </c>
      <c r="K911">
        <f t="shared" si="115"/>
        <v>-0.99855540953309552</v>
      </c>
      <c r="L911">
        <f>VLOOKUP(D911,[1]SOI!$A$1:$C$142,3)</f>
        <v>-14.5</v>
      </c>
      <c r="M911" s="2">
        <f t="shared" si="116"/>
        <v>48.895834359832115</v>
      </c>
      <c r="N911">
        <f t="shared" si="117"/>
        <v>-908.68542267511691</v>
      </c>
      <c r="O911" t="s">
        <v>8</v>
      </c>
    </row>
    <row r="912" spans="1:15" x14ac:dyDescent="0.35">
      <c r="A912">
        <v>2002</v>
      </c>
      <c r="B912">
        <v>6</v>
      </c>
      <c r="C912">
        <v>29</v>
      </c>
      <c r="D912" s="1">
        <f t="shared" si="112"/>
        <v>37436</v>
      </c>
      <c r="E912">
        <v>6.8</v>
      </c>
      <c r="F912">
        <f t="shared" si="118"/>
        <v>7.4</v>
      </c>
      <c r="G912">
        <f t="shared" si="113"/>
        <v>1</v>
      </c>
      <c r="H912">
        <f t="shared" si="119"/>
        <v>1</v>
      </c>
      <c r="I912">
        <v>911</v>
      </c>
      <c r="J912">
        <f t="shared" si="114"/>
        <v>3.6547009888120909E-2</v>
      </c>
      <c r="K912">
        <f t="shared" si="115"/>
        <v>-0.9993319348786156</v>
      </c>
      <c r="L912">
        <f>VLOOKUP(D912,[1]SOI!$A$1:$C$142,3)</f>
        <v>-14.5</v>
      </c>
      <c r="M912" s="2">
        <f t="shared" si="116"/>
        <v>33.294326008078144</v>
      </c>
      <c r="N912">
        <f t="shared" si="117"/>
        <v>-910.39139267441885</v>
      </c>
      <c r="O912" t="s">
        <v>8</v>
      </c>
    </row>
    <row r="913" spans="1:15" x14ac:dyDescent="0.35">
      <c r="A913">
        <v>2002</v>
      </c>
      <c r="B913">
        <v>6</v>
      </c>
      <c r="C913">
        <v>30</v>
      </c>
      <c r="D913" s="1">
        <f t="shared" si="112"/>
        <v>37437</v>
      </c>
      <c r="E913">
        <v>1</v>
      </c>
      <c r="F913">
        <f t="shared" si="118"/>
        <v>6.8</v>
      </c>
      <c r="G913">
        <f t="shared" si="113"/>
        <v>1</v>
      </c>
      <c r="H913">
        <f t="shared" si="119"/>
        <v>1</v>
      </c>
      <c r="I913">
        <v>912</v>
      </c>
      <c r="J913">
        <f t="shared" si="114"/>
        <v>1.9351518818325447E-2</v>
      </c>
      <c r="K913">
        <f t="shared" si="115"/>
        <v>-0.99981274182690028</v>
      </c>
      <c r="L913">
        <f>VLOOKUP(D913,[1]SOI!$A$1:$C$142,3)</f>
        <v>-14.5</v>
      </c>
      <c r="M913" s="2">
        <f t="shared" si="116"/>
        <v>17.648585162312809</v>
      </c>
      <c r="N913">
        <f t="shared" si="117"/>
        <v>-911.829220546133</v>
      </c>
      <c r="O913" t="s">
        <v>8</v>
      </c>
    </row>
    <row r="914" spans="1:15" x14ac:dyDescent="0.35">
      <c r="A914">
        <v>2002</v>
      </c>
      <c r="B914">
        <v>7</v>
      </c>
      <c r="C914">
        <v>1</v>
      </c>
      <c r="D914" s="1">
        <f t="shared" si="112"/>
        <v>37438</v>
      </c>
      <c r="E914">
        <v>0</v>
      </c>
      <c r="F914">
        <f t="shared" si="118"/>
        <v>1</v>
      </c>
      <c r="G914">
        <f t="shared" si="113"/>
        <v>0</v>
      </c>
      <c r="H914">
        <f t="shared" si="119"/>
        <v>1</v>
      </c>
      <c r="I914">
        <v>913</v>
      </c>
      <c r="J914">
        <f t="shared" si="114"/>
        <v>2.1503013227738691E-3</v>
      </c>
      <c r="K914">
        <f t="shared" si="115"/>
        <v>-0.99999768809943823</v>
      </c>
      <c r="L914">
        <f>VLOOKUP(D914,[1]SOI!$A$1:$C$142,3)</f>
        <v>-6.3</v>
      </c>
      <c r="M914" s="2">
        <f t="shared" si="116"/>
        <v>1.9632251076925424</v>
      </c>
      <c r="N914">
        <f t="shared" si="117"/>
        <v>-912.99788923478707</v>
      </c>
      <c r="O914" t="s">
        <v>8</v>
      </c>
    </row>
    <row r="915" spans="1:15" x14ac:dyDescent="0.35">
      <c r="A915">
        <v>2002</v>
      </c>
      <c r="B915">
        <v>7</v>
      </c>
      <c r="C915">
        <v>2</v>
      </c>
      <c r="D915" s="1">
        <f t="shared" si="112"/>
        <v>37439</v>
      </c>
      <c r="E915">
        <v>0</v>
      </c>
      <c r="F915">
        <f t="shared" si="118"/>
        <v>0</v>
      </c>
      <c r="G915">
        <f t="shared" si="113"/>
        <v>0</v>
      </c>
      <c r="H915">
        <f t="shared" si="119"/>
        <v>0</v>
      </c>
      <c r="I915">
        <v>914</v>
      </c>
      <c r="J915">
        <f t="shared" si="114"/>
        <v>-1.5051552481532364E-2</v>
      </c>
      <c r="K915">
        <f t="shared" si="115"/>
        <v>-0.99988671896765169</v>
      </c>
      <c r="L915">
        <f>VLOOKUP(D915,[1]SOI!$A$1:$C$142,3)</f>
        <v>-6.3</v>
      </c>
      <c r="M915" s="2">
        <f t="shared" si="116"/>
        <v>-13.757118968120581</v>
      </c>
      <c r="N915">
        <f t="shared" si="117"/>
        <v>-913.89646113643369</v>
      </c>
      <c r="O915" t="s">
        <v>8</v>
      </c>
    </row>
    <row r="916" spans="1:15" x14ac:dyDescent="0.35">
      <c r="A916">
        <v>2002</v>
      </c>
      <c r="B916">
        <v>7</v>
      </c>
      <c r="C916">
        <v>3</v>
      </c>
      <c r="D916" s="1">
        <f t="shared" si="112"/>
        <v>37440</v>
      </c>
      <c r="E916">
        <v>2.2000000000000002</v>
      </c>
      <c r="F916">
        <f t="shared" si="118"/>
        <v>0</v>
      </c>
      <c r="G916">
        <f t="shared" si="113"/>
        <v>1</v>
      </c>
      <c r="H916">
        <f t="shared" si="119"/>
        <v>0</v>
      </c>
      <c r="I916">
        <v>915</v>
      </c>
      <c r="J916">
        <f t="shared" si="114"/>
        <v>-3.2248952289303121E-2</v>
      </c>
      <c r="K916">
        <f t="shared" si="115"/>
        <v>-0.99947986726909221</v>
      </c>
      <c r="L916">
        <f>VLOOKUP(D916,[1]SOI!$A$1:$C$142,3)</f>
        <v>-6.3</v>
      </c>
      <c r="M916" s="2">
        <f t="shared" si="116"/>
        <v>-29.507791344712356</v>
      </c>
      <c r="N916">
        <f t="shared" si="117"/>
        <v>-914.52407855121942</v>
      </c>
      <c r="O916" t="s">
        <v>8</v>
      </c>
    </row>
    <row r="917" spans="1:15" x14ac:dyDescent="0.35">
      <c r="A917">
        <v>2002</v>
      </c>
      <c r="B917">
        <v>7</v>
      </c>
      <c r="C917">
        <v>4</v>
      </c>
      <c r="D917" s="1">
        <f t="shared" si="112"/>
        <v>37441</v>
      </c>
      <c r="E917">
        <v>4.5999999999999996</v>
      </c>
      <c r="F917">
        <f t="shared" si="118"/>
        <v>2.2000000000000002</v>
      </c>
      <c r="G917">
        <f t="shared" si="113"/>
        <v>1</v>
      </c>
      <c r="H917">
        <f t="shared" si="119"/>
        <v>1</v>
      </c>
      <c r="I917">
        <v>916</v>
      </c>
      <c r="J917">
        <f t="shared" si="114"/>
        <v>-4.9436809113255716E-2</v>
      </c>
      <c r="K917">
        <f t="shared" si="115"/>
        <v>-0.99877725339772305</v>
      </c>
      <c r="L917">
        <f>VLOOKUP(D917,[1]SOI!$A$1:$C$142,3)</f>
        <v>-6.3</v>
      </c>
      <c r="M917" s="2">
        <f t="shared" si="116"/>
        <v>-45.284117147742236</v>
      </c>
      <c r="N917">
        <f t="shared" si="117"/>
        <v>-914.87996411231427</v>
      </c>
      <c r="O917" t="s">
        <v>8</v>
      </c>
    </row>
    <row r="918" spans="1:15" x14ac:dyDescent="0.35">
      <c r="A918">
        <v>2002</v>
      </c>
      <c r="B918">
        <v>7</v>
      </c>
      <c r="C918">
        <v>5</v>
      </c>
      <c r="D918" s="1">
        <f t="shared" si="112"/>
        <v>37442</v>
      </c>
      <c r="E918">
        <v>1.8</v>
      </c>
      <c r="F918">
        <f t="shared" si="118"/>
        <v>4.5999999999999996</v>
      </c>
      <c r="G918">
        <f t="shared" si="113"/>
        <v>1</v>
      </c>
      <c r="H918">
        <f t="shared" si="119"/>
        <v>1</v>
      </c>
      <c r="I918">
        <v>917</v>
      </c>
      <c r="J918">
        <f t="shared" si="114"/>
        <v>-6.661003679003169E-2</v>
      </c>
      <c r="K918">
        <f t="shared" si="115"/>
        <v>-0.99777908526829251</v>
      </c>
      <c r="L918">
        <f>VLOOKUP(D918,[1]SOI!$A$1:$C$142,3)</f>
        <v>-6.3</v>
      </c>
      <c r="M918" s="2">
        <f t="shared" si="116"/>
        <v>-61.081403736459059</v>
      </c>
      <c r="N918">
        <f t="shared" si="117"/>
        <v>-914.96342119102428</v>
      </c>
      <c r="O918" t="s">
        <v>8</v>
      </c>
    </row>
    <row r="919" spans="1:15" x14ac:dyDescent="0.35">
      <c r="A919">
        <v>2002</v>
      </c>
      <c r="B919">
        <v>7</v>
      </c>
      <c r="C919">
        <v>6</v>
      </c>
      <c r="D919" s="1">
        <f t="shared" si="112"/>
        <v>37443</v>
      </c>
      <c r="E919">
        <v>0</v>
      </c>
      <c r="F919">
        <f t="shared" si="118"/>
        <v>1.8</v>
      </c>
      <c r="G919">
        <f t="shared" si="113"/>
        <v>0</v>
      </c>
      <c r="H919">
        <f t="shared" si="119"/>
        <v>1</v>
      </c>
      <c r="I919">
        <v>918</v>
      </c>
      <c r="J919">
        <f t="shared" si="114"/>
        <v>-8.3763553485267289E-2</v>
      </c>
      <c r="K919">
        <f t="shared" si="115"/>
        <v>-0.99648565825480939</v>
      </c>
      <c r="L919">
        <f>VLOOKUP(D919,[1]SOI!$A$1:$C$142,3)</f>
        <v>-6.3</v>
      </c>
      <c r="M919" s="2">
        <f t="shared" si="116"/>
        <v>-76.894942099475372</v>
      </c>
      <c r="N919">
        <f t="shared" si="117"/>
        <v>-914.77383427791506</v>
      </c>
      <c r="O919" t="s">
        <v>8</v>
      </c>
    </row>
    <row r="920" spans="1:15" x14ac:dyDescent="0.35">
      <c r="A920">
        <v>2002</v>
      </c>
      <c r="B920">
        <v>7</v>
      </c>
      <c r="C920">
        <v>7</v>
      </c>
      <c r="D920" s="1">
        <f t="shared" si="112"/>
        <v>37444</v>
      </c>
      <c r="E920">
        <v>0.2</v>
      </c>
      <c r="F920">
        <f t="shared" si="118"/>
        <v>0</v>
      </c>
      <c r="G920">
        <f t="shared" si="113"/>
        <v>1</v>
      </c>
      <c r="H920">
        <f t="shared" si="119"/>
        <v>0</v>
      </c>
      <c r="I920">
        <v>919</v>
      </c>
      <c r="J920">
        <f t="shared" si="114"/>
        <v>-0.10089228319740061</v>
      </c>
      <c r="K920">
        <f t="shared" si="115"/>
        <v>-0.99489735510313604</v>
      </c>
      <c r="L920">
        <f>VLOOKUP(D920,[1]SOI!$A$1:$C$142,3)</f>
        <v>-6.3</v>
      </c>
      <c r="M920" s="2">
        <f t="shared" si="116"/>
        <v>-92.720008258411156</v>
      </c>
      <c r="N920">
        <f t="shared" si="117"/>
        <v>-914.31066933978207</v>
      </c>
      <c r="O920" t="s">
        <v>8</v>
      </c>
    </row>
    <row r="921" spans="1:15" x14ac:dyDescent="0.35">
      <c r="A921">
        <v>2002</v>
      </c>
      <c r="B921">
        <v>7</v>
      </c>
      <c r="C921">
        <v>8</v>
      </c>
      <c r="D921" s="1">
        <f t="shared" si="112"/>
        <v>37445</v>
      </c>
      <c r="E921">
        <v>0</v>
      </c>
      <c r="F921">
        <f t="shared" si="118"/>
        <v>0.2</v>
      </c>
      <c r="G921">
        <f t="shared" si="113"/>
        <v>0</v>
      </c>
      <c r="H921">
        <f t="shared" si="119"/>
        <v>1</v>
      </c>
      <c r="I921">
        <v>920</v>
      </c>
      <c r="J921">
        <f t="shared" si="114"/>
        <v>-0.11799115725973859</v>
      </c>
      <c r="K921">
        <f t="shared" si="115"/>
        <v>-0.99301464581772791</v>
      </c>
      <c r="L921">
        <f>VLOOKUP(D921,[1]SOI!$A$1:$C$142,3)</f>
        <v>-6.3</v>
      </c>
      <c r="M921" s="2">
        <f t="shared" si="116"/>
        <v>-108.5518646789595</v>
      </c>
      <c r="N921">
        <f t="shared" si="117"/>
        <v>-913.5734741523097</v>
      </c>
      <c r="O921" t="s">
        <v>8</v>
      </c>
    </row>
    <row r="922" spans="1:15" x14ac:dyDescent="0.35">
      <c r="A922">
        <v>2002</v>
      </c>
      <c r="B922">
        <v>7</v>
      </c>
      <c r="C922">
        <v>9</v>
      </c>
      <c r="D922" s="1">
        <f t="shared" si="112"/>
        <v>37446</v>
      </c>
      <c r="E922">
        <v>0</v>
      </c>
      <c r="F922">
        <f t="shared" si="118"/>
        <v>0</v>
      </c>
      <c r="G922">
        <f t="shared" si="113"/>
        <v>0</v>
      </c>
      <c r="H922">
        <f t="shared" si="119"/>
        <v>0</v>
      </c>
      <c r="I922">
        <v>921</v>
      </c>
      <c r="J922">
        <f t="shared" si="114"/>
        <v>-0.13505511584034471</v>
      </c>
      <c r="K922">
        <f t="shared" si="115"/>
        <v>-0.99083808752255331</v>
      </c>
      <c r="L922">
        <f>VLOOKUP(D922,[1]SOI!$A$1:$C$142,3)</f>
        <v>-6.3</v>
      </c>
      <c r="M922" s="2">
        <f t="shared" si="116"/>
        <v>-124.38576168895749</v>
      </c>
      <c r="N922">
        <f t="shared" si="117"/>
        <v>-912.56187860827163</v>
      </c>
      <c r="O922" t="s">
        <v>8</v>
      </c>
    </row>
    <row r="923" spans="1:15" x14ac:dyDescent="0.35">
      <c r="A923">
        <v>2002</v>
      </c>
      <c r="B923">
        <v>7</v>
      </c>
      <c r="C923">
        <v>10</v>
      </c>
      <c r="D923" s="1">
        <f t="shared" si="112"/>
        <v>37447</v>
      </c>
      <c r="E923">
        <v>0.4</v>
      </c>
      <c r="F923">
        <f t="shared" si="118"/>
        <v>0</v>
      </c>
      <c r="G923">
        <f t="shared" si="113"/>
        <v>1</v>
      </c>
      <c r="H923">
        <f t="shared" si="119"/>
        <v>0</v>
      </c>
      <c r="I923">
        <v>922</v>
      </c>
      <c r="J923">
        <f t="shared" si="114"/>
        <v>-0.15207910943934577</v>
      </c>
      <c r="K923">
        <f t="shared" si="115"/>
        <v>-0.9883683242962289</v>
      </c>
      <c r="L923">
        <f>VLOOKUP(D923,[1]SOI!$A$1:$C$142,3)</f>
        <v>-6.3</v>
      </c>
      <c r="M923" s="2">
        <f t="shared" si="116"/>
        <v>-140.21693890307679</v>
      </c>
      <c r="N923">
        <f t="shared" si="117"/>
        <v>-911.27559500112307</v>
      </c>
      <c r="O923" t="s">
        <v>8</v>
      </c>
    </row>
    <row r="924" spans="1:15" x14ac:dyDescent="0.35">
      <c r="A924">
        <v>2002</v>
      </c>
      <c r="B924">
        <v>7</v>
      </c>
      <c r="C924">
        <v>11</v>
      </c>
      <c r="D924" s="1">
        <f t="shared" si="112"/>
        <v>37448</v>
      </c>
      <c r="E924">
        <v>0</v>
      </c>
      <c r="F924">
        <f t="shared" si="118"/>
        <v>0.4</v>
      </c>
      <c r="G924">
        <f t="shared" si="113"/>
        <v>0</v>
      </c>
      <c r="H924">
        <f t="shared" si="119"/>
        <v>1</v>
      </c>
      <c r="I924">
        <v>923</v>
      </c>
      <c r="J924">
        <f t="shared" si="114"/>
        <v>-0.16905810038314617</v>
      </c>
      <c r="K924">
        <f t="shared" si="115"/>
        <v>-0.98560608698142793</v>
      </c>
      <c r="L924">
        <f>VLOOKUP(D924,[1]SOI!$A$1:$C$142,3)</f>
        <v>-6.3</v>
      </c>
      <c r="M924" s="2">
        <f t="shared" si="116"/>
        <v>-156.04062665364393</v>
      </c>
      <c r="N924">
        <f t="shared" si="117"/>
        <v>-909.71441828385798</v>
      </c>
      <c r="O924" t="s">
        <v>8</v>
      </c>
    </row>
    <row r="925" spans="1:15" x14ac:dyDescent="0.35">
      <c r="A925">
        <v>2002</v>
      </c>
      <c r="B925">
        <v>7</v>
      </c>
      <c r="C925">
        <v>12</v>
      </c>
      <c r="D925" s="1">
        <f t="shared" si="112"/>
        <v>37449</v>
      </c>
      <c r="E925">
        <v>0</v>
      </c>
      <c r="F925">
        <f t="shared" si="118"/>
        <v>0</v>
      </c>
      <c r="G925">
        <f t="shared" si="113"/>
        <v>0</v>
      </c>
      <c r="H925">
        <f t="shared" si="119"/>
        <v>0</v>
      </c>
      <c r="I925">
        <v>924</v>
      </c>
      <c r="J925">
        <f t="shared" si="114"/>
        <v>-0.18598706431516163</v>
      </c>
      <c r="K925">
        <f t="shared" si="115"/>
        <v>-0.98255219296861174</v>
      </c>
      <c r="L925">
        <f>VLOOKUP(D925,[1]SOI!$A$1:$C$142,3)</f>
        <v>-6.3</v>
      </c>
      <c r="M925" s="2">
        <f t="shared" si="116"/>
        <v>-171.85204742720936</v>
      </c>
      <c r="N925">
        <f t="shared" si="117"/>
        <v>-907.87822630299729</v>
      </c>
      <c r="O925" t="s">
        <v>8</v>
      </c>
    </row>
    <row r="926" spans="1:15" x14ac:dyDescent="0.35">
      <c r="A926">
        <v>2002</v>
      </c>
      <c r="B926">
        <v>7</v>
      </c>
      <c r="C926">
        <v>13</v>
      </c>
      <c r="D926" s="1">
        <f t="shared" si="112"/>
        <v>37450</v>
      </c>
      <c r="E926">
        <v>0</v>
      </c>
      <c r="F926">
        <f t="shared" si="118"/>
        <v>0</v>
      </c>
      <c r="G926">
        <f t="shared" si="113"/>
        <v>0</v>
      </c>
      <c r="H926">
        <f t="shared" si="119"/>
        <v>0</v>
      </c>
      <c r="I926">
        <v>925</v>
      </c>
      <c r="J926">
        <f t="shared" si="114"/>
        <v>-0.20286099168260036</v>
      </c>
      <c r="K926">
        <f t="shared" si="115"/>
        <v>-0.9792075459541516</v>
      </c>
      <c r="L926">
        <f>VLOOKUP(D926,[1]SOI!$A$1:$C$142,3)</f>
        <v>-6.3</v>
      </c>
      <c r="M926" s="2">
        <f t="shared" si="116"/>
        <v>-187.64641730640534</v>
      </c>
      <c r="N926">
        <f t="shared" si="117"/>
        <v>-905.76698000759018</v>
      </c>
      <c r="O926" t="s">
        <v>8</v>
      </c>
    </row>
    <row r="927" spans="1:15" x14ac:dyDescent="0.35">
      <c r="A927">
        <v>2002</v>
      </c>
      <c r="B927">
        <v>7</v>
      </c>
      <c r="C927">
        <v>14</v>
      </c>
      <c r="D927" s="1">
        <f t="shared" si="112"/>
        <v>37451</v>
      </c>
      <c r="E927">
        <v>0.8</v>
      </c>
      <c r="F927">
        <f t="shared" si="118"/>
        <v>0</v>
      </c>
      <c r="G927">
        <f t="shared" si="113"/>
        <v>1</v>
      </c>
      <c r="H927">
        <f t="shared" si="119"/>
        <v>0</v>
      </c>
      <c r="I927">
        <v>926</v>
      </c>
      <c r="J927">
        <f t="shared" si="114"/>
        <v>-0.21967488921888068</v>
      </c>
      <c r="K927">
        <f t="shared" si="115"/>
        <v>-0.97557313567290915</v>
      </c>
      <c r="L927">
        <f>VLOOKUP(D927,[1]SOI!$A$1:$C$142,3)</f>
        <v>-6.3</v>
      </c>
      <c r="M927" s="2">
        <f t="shared" si="116"/>
        <v>-203.41894741668349</v>
      </c>
      <c r="N927">
        <f t="shared" si="117"/>
        <v>-903.38072363311392</v>
      </c>
      <c r="O927" t="s">
        <v>8</v>
      </c>
    </row>
    <row r="928" spans="1:15" x14ac:dyDescent="0.35">
      <c r="A928">
        <v>2002</v>
      </c>
      <c r="B928">
        <v>7</v>
      </c>
      <c r="C928">
        <v>15</v>
      </c>
      <c r="D928" s="1">
        <f t="shared" si="112"/>
        <v>37452</v>
      </c>
      <c r="E928">
        <v>0</v>
      </c>
      <c r="F928">
        <f t="shared" si="118"/>
        <v>0.8</v>
      </c>
      <c r="G928">
        <f t="shared" si="113"/>
        <v>0</v>
      </c>
      <c r="H928">
        <f t="shared" si="119"/>
        <v>1</v>
      </c>
      <c r="I928">
        <v>927</v>
      </c>
      <c r="J928">
        <f t="shared" si="114"/>
        <v>-0.23642378142121204</v>
      </c>
      <c r="K928">
        <f t="shared" si="115"/>
        <v>-0.97165003760535873</v>
      </c>
      <c r="L928">
        <f>VLOOKUP(D928,[1]SOI!$A$1:$C$142,3)</f>
        <v>-6.3</v>
      </c>
      <c r="M928" s="2">
        <f t="shared" si="116"/>
        <v>-219.16484537746356</v>
      </c>
      <c r="N928">
        <f t="shared" si="117"/>
        <v>-900.71958486016752</v>
      </c>
      <c r="O928" t="s">
        <v>8</v>
      </c>
    </row>
    <row r="929" spans="1:15" x14ac:dyDescent="0.35">
      <c r="A929">
        <v>2002</v>
      </c>
      <c r="B929">
        <v>7</v>
      </c>
      <c r="C929">
        <v>16</v>
      </c>
      <c r="D929" s="1">
        <f t="shared" si="112"/>
        <v>37453</v>
      </c>
      <c r="E929">
        <v>0</v>
      </c>
      <c r="F929">
        <f t="shared" si="118"/>
        <v>0</v>
      </c>
      <c r="G929">
        <f t="shared" si="113"/>
        <v>0</v>
      </c>
      <c r="H929">
        <f t="shared" si="119"/>
        <v>0</v>
      </c>
      <c r="I929">
        <v>928</v>
      </c>
      <c r="J929">
        <f t="shared" si="114"/>
        <v>-0.25310271202292967</v>
      </c>
      <c r="K929">
        <f t="shared" si="115"/>
        <v>-0.96743941265933442</v>
      </c>
      <c r="L929">
        <f>VLOOKUP(D929,[1]SOI!$A$1:$C$142,3)</f>
        <v>-6.3</v>
      </c>
      <c r="M929" s="2">
        <f t="shared" si="116"/>
        <v>-234.87931675727873</v>
      </c>
      <c r="N929">
        <f t="shared" si="117"/>
        <v>-897.7837749478623</v>
      </c>
      <c r="O929" t="s">
        <v>8</v>
      </c>
    </row>
    <row r="930" spans="1:15" x14ac:dyDescent="0.35">
      <c r="A930">
        <v>2002</v>
      </c>
      <c r="B930">
        <v>7</v>
      </c>
      <c r="C930">
        <v>17</v>
      </c>
      <c r="D930" s="1">
        <f t="shared" si="112"/>
        <v>37454</v>
      </c>
      <c r="E930">
        <v>2</v>
      </c>
      <c r="F930">
        <f t="shared" si="118"/>
        <v>0</v>
      </c>
      <c r="G930">
        <f t="shared" si="113"/>
        <v>1</v>
      </c>
      <c r="H930">
        <f t="shared" si="119"/>
        <v>0</v>
      </c>
      <c r="I930">
        <v>929</v>
      </c>
      <c r="J930">
        <f t="shared" si="114"/>
        <v>-0.26970674546012696</v>
      </c>
      <c r="K930">
        <f t="shared" si="115"/>
        <v>-0.96294250682650118</v>
      </c>
      <c r="L930">
        <f>VLOOKUP(D930,[1]SOI!$A$1:$C$142,3)</f>
        <v>-6.3</v>
      </c>
      <c r="M930" s="2">
        <f t="shared" si="116"/>
        <v>-250.55756653245794</v>
      </c>
      <c r="N930">
        <f t="shared" si="117"/>
        <v>-894.57358884181963</v>
      </c>
      <c r="O930" t="s">
        <v>8</v>
      </c>
    </row>
    <row r="931" spans="1:15" x14ac:dyDescent="0.35">
      <c r="A931">
        <v>2002</v>
      </c>
      <c r="B931">
        <v>7</v>
      </c>
      <c r="C931">
        <v>18</v>
      </c>
      <c r="D931" s="1">
        <f t="shared" si="112"/>
        <v>37455</v>
      </c>
      <c r="E931">
        <v>0.2</v>
      </c>
      <c r="F931">
        <f t="shared" si="118"/>
        <v>2</v>
      </c>
      <c r="G931">
        <f t="shared" si="113"/>
        <v>1</v>
      </c>
      <c r="H931">
        <f t="shared" si="119"/>
        <v>1</v>
      </c>
      <c r="I931">
        <v>930</v>
      </c>
      <c r="J931">
        <f t="shared" si="114"/>
        <v>-0.28623096833217826</v>
      </c>
      <c r="K931">
        <f t="shared" si="115"/>
        <v>-0.95816065081364277</v>
      </c>
      <c r="L931">
        <f>VLOOKUP(D931,[1]SOI!$A$1:$C$142,3)</f>
        <v>-6.3</v>
      </c>
      <c r="M931" s="2">
        <f t="shared" si="116"/>
        <v>-266.1948005489258</v>
      </c>
      <c r="N931">
        <f t="shared" si="117"/>
        <v>-891.08940525668777</v>
      </c>
      <c r="O931" t="s">
        <v>8</v>
      </c>
    </row>
    <row r="932" spans="1:15" x14ac:dyDescent="0.35">
      <c r="A932">
        <v>2002</v>
      </c>
      <c r="B932">
        <v>7</v>
      </c>
      <c r="C932">
        <v>19</v>
      </c>
      <c r="D932" s="1">
        <f t="shared" si="112"/>
        <v>37456</v>
      </c>
      <c r="E932">
        <v>0</v>
      </c>
      <c r="F932">
        <f t="shared" si="118"/>
        <v>0.2</v>
      </c>
      <c r="G932">
        <f t="shared" si="113"/>
        <v>0</v>
      </c>
      <c r="H932">
        <f t="shared" si="119"/>
        <v>1</v>
      </c>
      <c r="I932">
        <v>931</v>
      </c>
      <c r="J932">
        <f t="shared" si="114"/>
        <v>-0.30267049085569003</v>
      </c>
      <c r="K932">
        <f t="shared" si="115"/>
        <v>-0.95309525964888508</v>
      </c>
      <c r="L932">
        <f>VLOOKUP(D932,[1]SOI!$A$1:$C$142,3)</f>
        <v>-6.3</v>
      </c>
      <c r="M932" s="2">
        <f t="shared" si="116"/>
        <v>-281.78622698664742</v>
      </c>
      <c r="N932">
        <f t="shared" si="117"/>
        <v>-887.33168673311206</v>
      </c>
      <c r="O932" t="s">
        <v>8</v>
      </c>
    </row>
    <row r="933" spans="1:15" x14ac:dyDescent="0.35">
      <c r="A933">
        <v>2002</v>
      </c>
      <c r="B933">
        <v>7</v>
      </c>
      <c r="C933">
        <v>20</v>
      </c>
      <c r="D933" s="1">
        <f t="shared" si="112"/>
        <v>37457</v>
      </c>
      <c r="E933">
        <v>0.2</v>
      </c>
      <c r="F933">
        <f t="shared" si="118"/>
        <v>0</v>
      </c>
      <c r="G933">
        <f t="shared" si="113"/>
        <v>1</v>
      </c>
      <c r="H933">
        <f t="shared" si="119"/>
        <v>0</v>
      </c>
      <c r="I933">
        <v>932</v>
      </c>
      <c r="J933">
        <f t="shared" si="114"/>
        <v>-0.3190204483114526</v>
      </c>
      <c r="K933">
        <f t="shared" si="115"/>
        <v>-0.94774783226297055</v>
      </c>
      <c r="L933">
        <f>VLOOKUP(D933,[1]SOI!$A$1:$C$142,3)</f>
        <v>-6.3</v>
      </c>
      <c r="M933" s="2">
        <f t="shared" si="116"/>
        <v>-297.3270578262738</v>
      </c>
      <c r="N933">
        <f t="shared" si="117"/>
        <v>-883.30097966908852</v>
      </c>
      <c r="O933" t="s">
        <v>8</v>
      </c>
    </row>
    <row r="934" spans="1:15" x14ac:dyDescent="0.35">
      <c r="A934">
        <v>2002</v>
      </c>
      <c r="B934">
        <v>7</v>
      </c>
      <c r="C934">
        <v>21</v>
      </c>
      <c r="D934" s="1">
        <f t="shared" si="112"/>
        <v>37458</v>
      </c>
      <c r="E934">
        <v>1.4</v>
      </c>
      <c r="F934">
        <f t="shared" si="118"/>
        <v>0.2</v>
      </c>
      <c r="G934">
        <f t="shared" si="113"/>
        <v>1</v>
      </c>
      <c r="H934">
        <f t="shared" si="119"/>
        <v>1</v>
      </c>
      <c r="I934">
        <v>933</v>
      </c>
      <c r="J934">
        <f t="shared" si="114"/>
        <v>-0.33527600248401762</v>
      </c>
      <c r="K934">
        <f t="shared" si="115"/>
        <v>-0.94211995104569191</v>
      </c>
      <c r="L934">
        <f>VLOOKUP(D934,[1]SOI!$A$1:$C$142,3)</f>
        <v>-6.3</v>
      </c>
      <c r="M934" s="2">
        <f t="shared" si="116"/>
        <v>-312.81251031758842</v>
      </c>
      <c r="N934">
        <f t="shared" si="117"/>
        <v>-878.99791432563052</v>
      </c>
      <c r="O934" t="s">
        <v>8</v>
      </c>
    </row>
    <row r="935" spans="1:15" x14ac:dyDescent="0.35">
      <c r="A935">
        <v>2002</v>
      </c>
      <c r="B935">
        <v>7</v>
      </c>
      <c r="C935">
        <v>22</v>
      </c>
      <c r="D935" s="1">
        <f t="shared" si="112"/>
        <v>37459</v>
      </c>
      <c r="E935">
        <v>0</v>
      </c>
      <c r="F935">
        <f t="shared" si="118"/>
        <v>1.4</v>
      </c>
      <c r="G935">
        <f t="shared" si="113"/>
        <v>0</v>
      </c>
      <c r="H935">
        <f t="shared" si="119"/>
        <v>1</v>
      </c>
      <c r="I935">
        <v>934</v>
      </c>
      <c r="J935">
        <f t="shared" si="114"/>
        <v>-0.35143234309337218</v>
      </c>
      <c r="K935">
        <f t="shared" si="115"/>
        <v>-0.93621328137764759</v>
      </c>
      <c r="L935">
        <f>VLOOKUP(D935,[1]SOI!$A$1:$C$142,3)</f>
        <v>-6.3</v>
      </c>
      <c r="M935" s="2">
        <f t="shared" si="116"/>
        <v>-328.23780844920964</v>
      </c>
      <c r="N935">
        <f t="shared" si="117"/>
        <v>-874.42320480672288</v>
      </c>
      <c r="O935" t="s">
        <v>8</v>
      </c>
    </row>
    <row r="936" spans="1:15" x14ac:dyDescent="0.35">
      <c r="A936">
        <v>2002</v>
      </c>
      <c r="B936">
        <v>7</v>
      </c>
      <c r="C936">
        <v>23</v>
      </c>
      <c r="D936" s="1">
        <f t="shared" si="112"/>
        <v>37460</v>
      </c>
      <c r="E936">
        <v>0.8</v>
      </c>
      <c r="F936">
        <f t="shared" si="118"/>
        <v>0</v>
      </c>
      <c r="G936">
        <f t="shared" si="113"/>
        <v>1</v>
      </c>
      <c r="H936">
        <f t="shared" si="119"/>
        <v>0</v>
      </c>
      <c r="I936">
        <v>935</v>
      </c>
      <c r="J936">
        <f t="shared" si="114"/>
        <v>-0.36748468921840599</v>
      </c>
      <c r="K936">
        <f t="shared" si="115"/>
        <v>-0.93002957113741902</v>
      </c>
      <c r="L936">
        <f>VLOOKUP(D936,[1]SOI!$A$1:$C$142,3)</f>
        <v>-6.3</v>
      </c>
      <c r="M936" s="2">
        <f t="shared" si="116"/>
        <v>-343.59818441920959</v>
      </c>
      <c r="N936">
        <f t="shared" si="117"/>
        <v>-869.57764901348673</v>
      </c>
      <c r="O936" t="s">
        <v>8</v>
      </c>
    </row>
    <row r="937" spans="1:15" x14ac:dyDescent="0.35">
      <c r="A937">
        <v>2002</v>
      </c>
      <c r="B937">
        <v>7</v>
      </c>
      <c r="C937">
        <v>24</v>
      </c>
      <c r="D937" s="1">
        <f t="shared" si="112"/>
        <v>37461</v>
      </c>
      <c r="E937">
        <v>4.5999999999999996</v>
      </c>
      <c r="F937">
        <f t="shared" si="118"/>
        <v>0.8</v>
      </c>
      <c r="G937">
        <f t="shared" si="113"/>
        <v>1</v>
      </c>
      <c r="H937">
        <f t="shared" si="119"/>
        <v>1</v>
      </c>
      <c r="I937">
        <v>936</v>
      </c>
      <c r="J937">
        <f t="shared" si="114"/>
        <v>-0.38342829071163992</v>
      </c>
      <c r="K937">
        <f t="shared" si="115"/>
        <v>-0.92357065018435391</v>
      </c>
      <c r="L937">
        <f>VLOOKUP(D937,[1]SOI!$A$1:$C$142,3)</f>
        <v>-6.3</v>
      </c>
      <c r="M937" s="2">
        <f t="shared" si="116"/>
        <v>-358.88888010609497</v>
      </c>
      <c r="N937">
        <f t="shared" si="117"/>
        <v>-864.46212857255523</v>
      </c>
      <c r="O937" t="s">
        <v>8</v>
      </c>
    </row>
    <row r="938" spans="1:15" x14ac:dyDescent="0.35">
      <c r="A938">
        <v>2002</v>
      </c>
      <c r="B938">
        <v>7</v>
      </c>
      <c r="C938">
        <v>25</v>
      </c>
      <c r="D938" s="1">
        <f t="shared" si="112"/>
        <v>37462</v>
      </c>
      <c r="E938">
        <v>0</v>
      </c>
      <c r="F938">
        <f t="shared" si="118"/>
        <v>4.5999999999999996</v>
      </c>
      <c r="G938">
        <f t="shared" si="113"/>
        <v>0</v>
      </c>
      <c r="H938">
        <f t="shared" si="119"/>
        <v>1</v>
      </c>
      <c r="I938">
        <v>937</v>
      </c>
      <c r="J938">
        <f t="shared" si="114"/>
        <v>-0.39925842960488095</v>
      </c>
      <c r="K938">
        <f t="shared" si="115"/>
        <v>-0.91683842981707764</v>
      </c>
      <c r="L938">
        <f>VLOOKUP(D938,[1]SOI!$A$1:$C$142,3)</f>
        <v>-6.3</v>
      </c>
      <c r="M938" s="2">
        <f t="shared" si="116"/>
        <v>-374.10514853977344</v>
      </c>
      <c r="N938">
        <f t="shared" si="117"/>
        <v>-859.07760873860173</v>
      </c>
      <c r="O938" t="s">
        <v>8</v>
      </c>
    </row>
    <row r="939" spans="1:15" x14ac:dyDescent="0.35">
      <c r="A939">
        <v>2002</v>
      </c>
      <c r="B939">
        <v>7</v>
      </c>
      <c r="C939">
        <v>26</v>
      </c>
      <c r="D939" s="1">
        <f t="shared" si="112"/>
        <v>37463</v>
      </c>
      <c r="E939">
        <v>0</v>
      </c>
      <c r="F939">
        <f t="shared" si="118"/>
        <v>0</v>
      </c>
      <c r="G939">
        <f t="shared" si="113"/>
        <v>0</v>
      </c>
      <c r="H939">
        <f t="shared" si="119"/>
        <v>0</v>
      </c>
      <c r="I939">
        <v>938</v>
      </c>
      <c r="J939">
        <f t="shared" si="114"/>
        <v>-0.41497042150535474</v>
      </c>
      <c r="K939">
        <f t="shared" si="115"/>
        <v>-0.90983490220790508</v>
      </c>
      <c r="L939">
        <f>VLOOKUP(D939,[1]SOI!$A$1:$C$142,3)</f>
        <v>-6.3</v>
      </c>
      <c r="M939" s="2">
        <f t="shared" si="116"/>
        <v>-389.24225537202273</v>
      </c>
      <c r="N939">
        <f t="shared" si="117"/>
        <v>-853.42513827101493</v>
      </c>
      <c r="O939" t="s">
        <v>8</v>
      </c>
    </row>
    <row r="940" spans="1:15" x14ac:dyDescent="0.35">
      <c r="A940">
        <v>2002</v>
      </c>
      <c r="B940">
        <v>7</v>
      </c>
      <c r="C940">
        <v>27</v>
      </c>
      <c r="D940" s="1">
        <f t="shared" si="112"/>
        <v>37464</v>
      </c>
      <c r="E940">
        <v>0</v>
      </c>
      <c r="F940">
        <f t="shared" si="118"/>
        <v>0</v>
      </c>
      <c r="G940">
        <f t="shared" si="113"/>
        <v>0</v>
      </c>
      <c r="H940">
        <f t="shared" si="119"/>
        <v>0</v>
      </c>
      <c r="I940">
        <v>939</v>
      </c>
      <c r="J940">
        <f t="shared" si="114"/>
        <v>-0.43055961698187301</v>
      </c>
      <c r="K940">
        <f t="shared" si="115"/>
        <v>-0.90256213981333322</v>
      </c>
      <c r="L940">
        <f>VLOOKUP(D940,[1]SOI!$A$1:$C$142,3)</f>
        <v>-6.3</v>
      </c>
      <c r="M940" s="2">
        <f t="shared" si="116"/>
        <v>-404.29548034597877</v>
      </c>
      <c r="N940">
        <f t="shared" si="117"/>
        <v>-847.50584928471994</v>
      </c>
      <c r="O940" t="s">
        <v>8</v>
      </c>
    </row>
    <row r="941" spans="1:15" x14ac:dyDescent="0.35">
      <c r="A941">
        <v>2002</v>
      </c>
      <c r="B941">
        <v>7</v>
      </c>
      <c r="C941">
        <v>28</v>
      </c>
      <c r="D941" s="1">
        <f t="shared" si="112"/>
        <v>37465</v>
      </c>
      <c r="E941">
        <v>0</v>
      </c>
      <c r="F941">
        <f t="shared" si="118"/>
        <v>0</v>
      </c>
      <c r="G941">
        <f t="shared" si="113"/>
        <v>0</v>
      </c>
      <c r="H941">
        <f t="shared" si="119"/>
        <v>0</v>
      </c>
      <c r="I941">
        <v>940</v>
      </c>
      <c r="J941">
        <f t="shared" si="114"/>
        <v>-0.44602140294068493</v>
      </c>
      <c r="K941">
        <f t="shared" si="115"/>
        <v>-0.89502229476076356</v>
      </c>
      <c r="L941">
        <f>VLOOKUP(D941,[1]SOI!$A$1:$C$142,3)</f>
        <v>-6.3</v>
      </c>
      <c r="M941" s="2">
        <f t="shared" si="116"/>
        <v>-419.26011876424383</v>
      </c>
      <c r="N941">
        <f t="shared" si="117"/>
        <v>-841.32095707511769</v>
      </c>
      <c r="O941" t="s">
        <v>8</v>
      </c>
    </row>
    <row r="942" spans="1:15" x14ac:dyDescent="0.35">
      <c r="A942">
        <v>2002</v>
      </c>
      <c r="B942">
        <v>7</v>
      </c>
      <c r="C942">
        <v>29</v>
      </c>
      <c r="D942" s="1">
        <f t="shared" si="112"/>
        <v>37466</v>
      </c>
      <c r="E942">
        <v>0.4</v>
      </c>
      <c r="F942">
        <f t="shared" si="118"/>
        <v>0</v>
      </c>
      <c r="G942">
        <f t="shared" si="113"/>
        <v>1</v>
      </c>
      <c r="H942">
        <f t="shared" si="119"/>
        <v>0</v>
      </c>
      <c r="I942">
        <v>941</v>
      </c>
      <c r="J942">
        <f t="shared" si="114"/>
        <v>-0.46135120399057555</v>
      </c>
      <c r="K942">
        <f t="shared" si="115"/>
        <v>-0.88721759821164858</v>
      </c>
      <c r="L942">
        <f>VLOOKUP(D942,[1]SOI!$A$1:$C$142,3)</f>
        <v>-6.3</v>
      </c>
      <c r="M942" s="2">
        <f t="shared" si="116"/>
        <v>-434.13148295513162</v>
      </c>
      <c r="N942">
        <f t="shared" si="117"/>
        <v>-834.87175991716128</v>
      </c>
      <c r="O942" t="s">
        <v>8</v>
      </c>
    </row>
    <row r="943" spans="1:15" x14ac:dyDescent="0.35">
      <c r="A943">
        <v>2002</v>
      </c>
      <c r="B943">
        <v>7</v>
      </c>
      <c r="C943">
        <v>30</v>
      </c>
      <c r="D943" s="1">
        <f t="shared" si="112"/>
        <v>37467</v>
      </c>
      <c r="E943">
        <v>0</v>
      </c>
      <c r="F943">
        <f t="shared" si="118"/>
        <v>0.4</v>
      </c>
      <c r="G943">
        <f t="shared" si="113"/>
        <v>0</v>
      </c>
      <c r="H943">
        <f t="shared" si="119"/>
        <v>1</v>
      </c>
      <c r="I943">
        <v>942</v>
      </c>
      <c r="J943">
        <f t="shared" si="114"/>
        <v>-0.47654448379677822</v>
      </c>
      <c r="K943">
        <f t="shared" si="115"/>
        <v>-0.87915035970126421</v>
      </c>
      <c r="L943">
        <f>VLOOKUP(D943,[1]SOI!$A$1:$C$142,3)</f>
        <v>-6.3</v>
      </c>
      <c r="M943" s="2">
        <f t="shared" si="116"/>
        <v>-448.90490373656507</v>
      </c>
      <c r="N943">
        <f t="shared" si="117"/>
        <v>-828.15963883859092</v>
      </c>
      <c r="O943" t="s">
        <v>8</v>
      </c>
    </row>
    <row r="944" spans="1:15" x14ac:dyDescent="0.35">
      <c r="A944">
        <v>2002</v>
      </c>
      <c r="B944">
        <v>7</v>
      </c>
      <c r="C944">
        <v>31</v>
      </c>
      <c r="D944" s="1">
        <f t="shared" si="112"/>
        <v>37468</v>
      </c>
      <c r="E944">
        <v>0</v>
      </c>
      <c r="F944">
        <f t="shared" si="118"/>
        <v>0</v>
      </c>
      <c r="G944">
        <f t="shared" si="113"/>
        <v>0</v>
      </c>
      <c r="H944">
        <f t="shared" si="119"/>
        <v>0</v>
      </c>
      <c r="I944">
        <v>943</v>
      </c>
      <c r="J944">
        <f t="shared" si="114"/>
        <v>-0.49159674642336193</v>
      </c>
      <c r="K944">
        <f t="shared" si="115"/>
        <v>-0.8708229664552749</v>
      </c>
      <c r="L944">
        <f>VLOOKUP(D944,[1]SOI!$A$1:$C$142,3)</f>
        <v>-6.3</v>
      </c>
      <c r="M944" s="2">
        <f t="shared" si="116"/>
        <v>-463.57573187723028</v>
      </c>
      <c r="N944">
        <f t="shared" si="117"/>
        <v>-821.18605736732422</v>
      </c>
      <c r="O944" t="s">
        <v>8</v>
      </c>
    </row>
    <row r="945" spans="1:15" x14ac:dyDescent="0.35">
      <c r="A945">
        <v>2002</v>
      </c>
      <c r="B945">
        <v>8</v>
      </c>
      <c r="C945">
        <v>1</v>
      </c>
      <c r="D945" s="1">
        <f t="shared" si="112"/>
        <v>37469</v>
      </c>
      <c r="E945">
        <v>0</v>
      </c>
      <c r="F945">
        <f t="shared" si="118"/>
        <v>0</v>
      </c>
      <c r="G945">
        <f t="shared" si="113"/>
        <v>0</v>
      </c>
      <c r="H945">
        <f t="shared" si="119"/>
        <v>0</v>
      </c>
      <c r="I945">
        <v>944</v>
      </c>
      <c r="J945">
        <f t="shared" si="114"/>
        <v>-0.50650353766364464</v>
      </c>
      <c r="K945">
        <f t="shared" si="115"/>
        <v>-0.86223788268331891</v>
      </c>
      <c r="L945">
        <f>VLOOKUP(D945,[1]SOI!$A$1:$C$142,3)</f>
        <v>-7.6</v>
      </c>
      <c r="M945" s="2">
        <f t="shared" si="116"/>
        <v>-478.13933955448056</v>
      </c>
      <c r="N945">
        <f t="shared" si="117"/>
        <v>-813.95256125305309</v>
      </c>
      <c r="O945" t="s">
        <v>8</v>
      </c>
    </row>
    <row r="946" spans="1:15" x14ac:dyDescent="0.35">
      <c r="A946">
        <v>2002</v>
      </c>
      <c r="B946">
        <v>8</v>
      </c>
      <c r="C946">
        <v>2</v>
      </c>
      <c r="D946" s="1">
        <f t="shared" si="112"/>
        <v>37470</v>
      </c>
      <c r="E946">
        <v>4.5999999999999996</v>
      </c>
      <c r="F946">
        <f t="shared" si="118"/>
        <v>0</v>
      </c>
      <c r="G946">
        <f t="shared" si="113"/>
        <v>1</v>
      </c>
      <c r="H946">
        <f t="shared" si="119"/>
        <v>0</v>
      </c>
      <c r="I946">
        <v>945</v>
      </c>
      <c r="J946">
        <f t="shared" si="114"/>
        <v>-0.52126044635827751</v>
      </c>
      <c r="K946">
        <f t="shared" si="115"/>
        <v>-0.85339764884980163</v>
      </c>
      <c r="L946">
        <f>VLOOKUP(D946,[1]SOI!$A$1:$C$142,3)</f>
        <v>-7.6</v>
      </c>
      <c r="M946" s="2">
        <f t="shared" si="116"/>
        <v>-492.59112180857227</v>
      </c>
      <c r="N946">
        <f t="shared" si="117"/>
        <v>-806.46077816306251</v>
      </c>
      <c r="O946" t="s">
        <v>8</v>
      </c>
    </row>
    <row r="947" spans="1:15" x14ac:dyDescent="0.35">
      <c r="A947">
        <v>2002</v>
      </c>
      <c r="B947">
        <v>8</v>
      </c>
      <c r="C947">
        <v>3</v>
      </c>
      <c r="D947" s="1">
        <f t="shared" si="112"/>
        <v>37471</v>
      </c>
      <c r="E947">
        <v>3.2</v>
      </c>
      <c r="F947">
        <f t="shared" si="118"/>
        <v>4.5999999999999996</v>
      </c>
      <c r="G947">
        <f t="shared" si="113"/>
        <v>1</v>
      </c>
      <c r="H947">
        <f t="shared" si="119"/>
        <v>1</v>
      </c>
      <c r="I947">
        <v>946</v>
      </c>
      <c r="J947">
        <f t="shared" si="114"/>
        <v>-0.53586310570055884</v>
      </c>
      <c r="K947">
        <f t="shared" si="115"/>
        <v>-0.84430488092214162</v>
      </c>
      <c r="L947">
        <f>VLOOKUP(D947,[1]SOI!$A$1:$C$142,3)</f>
        <v>-7.6</v>
      </c>
      <c r="M947" s="2">
        <f t="shared" si="116"/>
        <v>-506.92649799272868</v>
      </c>
      <c r="N947">
        <f t="shared" si="117"/>
        <v>-798.71241735234594</v>
      </c>
      <c r="O947" t="s">
        <v>8</v>
      </c>
    </row>
    <row r="948" spans="1:15" x14ac:dyDescent="0.35">
      <c r="A948">
        <v>2002</v>
      </c>
      <c r="B948">
        <v>8</v>
      </c>
      <c r="C948">
        <v>4</v>
      </c>
      <c r="D948" s="1">
        <f t="shared" si="112"/>
        <v>37472</v>
      </c>
      <c r="E948">
        <v>1.8</v>
      </c>
      <c r="F948">
        <f t="shared" si="118"/>
        <v>3.2</v>
      </c>
      <c r="G948">
        <f t="shared" si="113"/>
        <v>1</v>
      </c>
      <c r="H948">
        <f t="shared" si="119"/>
        <v>1</v>
      </c>
      <c r="I948">
        <v>947</v>
      </c>
      <c r="J948">
        <f t="shared" si="114"/>
        <v>-0.55030719452865184</v>
      </c>
      <c r="K948">
        <f t="shared" si="115"/>
        <v>-0.83496226959665942</v>
      </c>
      <c r="L948">
        <f>VLOOKUP(D948,[1]SOI!$A$1:$C$142,3)</f>
        <v>-7.6</v>
      </c>
      <c r="M948" s="2">
        <f t="shared" si="116"/>
        <v>-521.14091321863327</v>
      </c>
      <c r="N948">
        <f t="shared" si="117"/>
        <v>-790.70926930803648</v>
      </c>
      <c r="O948" t="s">
        <v>8</v>
      </c>
    </row>
    <row r="949" spans="1:15" x14ac:dyDescent="0.35">
      <c r="A949">
        <v>2002</v>
      </c>
      <c r="B949">
        <v>8</v>
      </c>
      <c r="C949">
        <v>5</v>
      </c>
      <c r="D949" s="1">
        <f t="shared" si="112"/>
        <v>37473</v>
      </c>
      <c r="E949">
        <v>0</v>
      </c>
      <c r="F949">
        <f t="shared" si="118"/>
        <v>1.8</v>
      </c>
      <c r="G949">
        <f t="shared" si="113"/>
        <v>0</v>
      </c>
      <c r="H949">
        <f t="shared" si="119"/>
        <v>1</v>
      </c>
      <c r="I949">
        <v>948</v>
      </c>
      <c r="J949">
        <f t="shared" si="114"/>
        <v>-0.56458843860429553</v>
      </c>
      <c r="K949">
        <f t="shared" si="115"/>
        <v>-0.82537257950235032</v>
      </c>
      <c r="L949">
        <f>VLOOKUP(D949,[1]SOI!$A$1:$C$142,3)</f>
        <v>-7.6</v>
      </c>
      <c r="M949" s="2">
        <f t="shared" si="116"/>
        <v>-535.22983979687217</v>
      </c>
      <c r="N949">
        <f t="shared" si="117"/>
        <v>-782.45320536822805</v>
      </c>
      <c r="O949" t="s">
        <v>8</v>
      </c>
    </row>
    <row r="950" spans="1:15" x14ac:dyDescent="0.35">
      <c r="A950">
        <v>2002</v>
      </c>
      <c r="B950">
        <v>8</v>
      </c>
      <c r="C950">
        <v>6</v>
      </c>
      <c r="D950" s="1">
        <f t="shared" si="112"/>
        <v>37474</v>
      </c>
      <c r="E950">
        <v>0.4</v>
      </c>
      <c r="F950">
        <f t="shared" si="118"/>
        <v>0</v>
      </c>
      <c r="G950">
        <f t="shared" si="113"/>
        <v>1</v>
      </c>
      <c r="H950">
        <f t="shared" si="119"/>
        <v>0</v>
      </c>
      <c r="I950">
        <v>949</v>
      </c>
      <c r="J950">
        <f t="shared" si="114"/>
        <v>-0.57870261187759875</v>
      </c>
      <c r="K950">
        <f t="shared" si="115"/>
        <v>-0.81553864838280066</v>
      </c>
      <c r="L950">
        <f>VLOOKUP(D950,[1]SOI!$A$1:$C$142,3)</f>
        <v>-7.6</v>
      </c>
      <c r="M950" s="2">
        <f t="shared" si="116"/>
        <v>-549.18877867184119</v>
      </c>
      <c r="N950">
        <f t="shared" si="117"/>
        <v>-773.94617731527785</v>
      </c>
      <c r="O950" t="s">
        <v>8</v>
      </c>
    </row>
    <row r="951" spans="1:15" x14ac:dyDescent="0.35">
      <c r="A951">
        <v>2002</v>
      </c>
      <c r="B951">
        <v>8</v>
      </c>
      <c r="C951">
        <v>7</v>
      </c>
      <c r="D951" s="1">
        <f t="shared" si="112"/>
        <v>37475</v>
      </c>
      <c r="E951">
        <v>0.8</v>
      </c>
      <c r="F951">
        <f t="shared" si="118"/>
        <v>0.4</v>
      </c>
      <c r="G951">
        <f t="shared" si="113"/>
        <v>1</v>
      </c>
      <c r="H951">
        <f t="shared" si="119"/>
        <v>1</v>
      </c>
      <c r="I951">
        <v>950</v>
      </c>
      <c r="J951">
        <f t="shared" si="114"/>
        <v>-0.59264553773762041</v>
      </c>
      <c r="K951">
        <f t="shared" si="115"/>
        <v>-0.80546338625643732</v>
      </c>
      <c r="L951">
        <f>VLOOKUP(D951,[1]SOI!$A$1:$C$142,3)</f>
        <v>-7.6</v>
      </c>
      <c r="M951" s="2">
        <f t="shared" si="116"/>
        <v>-563.01326085073936</v>
      </c>
      <c r="N951">
        <f t="shared" si="117"/>
        <v>-765.1902169436155</v>
      </c>
      <c r="O951" t="s">
        <v>8</v>
      </c>
    </row>
    <row r="952" spans="1:15" x14ac:dyDescent="0.35">
      <c r="A952">
        <v>2002</v>
      </c>
      <c r="B952">
        <v>8</v>
      </c>
      <c r="C952">
        <v>8</v>
      </c>
      <c r="D952" s="1">
        <f t="shared" si="112"/>
        <v>37476</v>
      </c>
      <c r="E952">
        <v>0.2</v>
      </c>
      <c r="F952">
        <f t="shared" si="118"/>
        <v>0.8</v>
      </c>
      <c r="G952">
        <f t="shared" si="113"/>
        <v>1</v>
      </c>
      <c r="H952">
        <f t="shared" si="119"/>
        <v>1</v>
      </c>
      <c r="I952">
        <v>951</v>
      </c>
      <c r="J952">
        <f t="shared" si="114"/>
        <v>-0.60641309024827572</v>
      </c>
      <c r="K952">
        <f t="shared" si="115"/>
        <v>-0.7951497745554208</v>
      </c>
      <c r="L952">
        <f>VLOOKUP(D952,[1]SOI!$A$1:$C$142,3)</f>
        <v>-7.6</v>
      </c>
      <c r="M952" s="2">
        <f t="shared" si="116"/>
        <v>-576.69884882611018</v>
      </c>
      <c r="N952">
        <f t="shared" si="117"/>
        <v>-756.18743560220514</v>
      </c>
      <c r="O952" t="s">
        <v>8</v>
      </c>
    </row>
    <row r="953" spans="1:15" x14ac:dyDescent="0.35">
      <c r="A953">
        <v>2002</v>
      </c>
      <c r="B953">
        <v>8</v>
      </c>
      <c r="C953">
        <v>9</v>
      </c>
      <c r="D953" s="1">
        <f t="shared" si="112"/>
        <v>37477</v>
      </c>
      <c r="E953">
        <v>0</v>
      </c>
      <c r="F953">
        <f t="shared" si="118"/>
        <v>0.2</v>
      </c>
      <c r="G953">
        <f t="shared" si="113"/>
        <v>0</v>
      </c>
      <c r="H953">
        <f t="shared" si="119"/>
        <v>1</v>
      </c>
      <c r="I953">
        <v>952</v>
      </c>
      <c r="J953">
        <f t="shared" si="114"/>
        <v>-0.62000119536927534</v>
      </c>
      <c r="K953">
        <f t="shared" si="115"/>
        <v>-0.78460086524338579</v>
      </c>
      <c r="L953">
        <f>VLOOKUP(D953,[1]SOI!$A$1:$C$142,3)</f>
        <v>-7.6</v>
      </c>
      <c r="M953" s="2">
        <f t="shared" si="116"/>
        <v>-590.24113799155009</v>
      </c>
      <c r="N953">
        <f t="shared" si="117"/>
        <v>-746.94002371170325</v>
      </c>
      <c r="O953" t="s">
        <v>8</v>
      </c>
    </row>
    <row r="954" spans="1:15" x14ac:dyDescent="0.35">
      <c r="A954">
        <v>2002</v>
      </c>
      <c r="B954">
        <v>8</v>
      </c>
      <c r="C954">
        <v>10</v>
      </c>
      <c r="D954" s="1">
        <f t="shared" si="112"/>
        <v>37478</v>
      </c>
      <c r="E954">
        <v>0</v>
      </c>
      <c r="F954">
        <f t="shared" si="118"/>
        <v>0</v>
      </c>
      <c r="G954">
        <f t="shared" si="113"/>
        <v>0</v>
      </c>
      <c r="H954">
        <f t="shared" si="119"/>
        <v>0</v>
      </c>
      <c r="I954">
        <v>953</v>
      </c>
      <c r="J954">
        <f t="shared" si="114"/>
        <v>-0.63340583216170787</v>
      </c>
      <c r="K954">
        <f t="shared" si="115"/>
        <v>-0.77381977991230899</v>
      </c>
      <c r="L954">
        <f>VLOOKUP(D954,[1]SOI!$A$1:$C$142,3)</f>
        <v>-7.6</v>
      </c>
      <c r="M954" s="2">
        <f t="shared" si="116"/>
        <v>-603.6357580501076</v>
      </c>
      <c r="N954">
        <f t="shared" si="117"/>
        <v>-737.45025025643042</v>
      </c>
      <c r="O954" t="s">
        <v>8</v>
      </c>
    </row>
    <row r="955" spans="1:15" x14ac:dyDescent="0.35">
      <c r="A955">
        <v>2002</v>
      </c>
      <c r="B955">
        <v>8</v>
      </c>
      <c r="C955">
        <v>11</v>
      </c>
      <c r="D955" s="1">
        <f t="shared" si="112"/>
        <v>37479</v>
      </c>
      <c r="E955">
        <v>0</v>
      </c>
      <c r="F955">
        <f t="shared" si="118"/>
        <v>0</v>
      </c>
      <c r="G955">
        <f t="shared" si="113"/>
        <v>0</v>
      </c>
      <c r="H955">
        <f t="shared" si="119"/>
        <v>0</v>
      </c>
      <c r="I955">
        <v>954</v>
      </c>
      <c r="J955">
        <f t="shared" si="114"/>
        <v>-0.64662303397788379</v>
      </c>
      <c r="K955">
        <f t="shared" si="115"/>
        <v>-0.76280970885879296</v>
      </c>
      <c r="L955">
        <f>VLOOKUP(D955,[1]SOI!$A$1:$C$142,3)</f>
        <v>-7.6</v>
      </c>
      <c r="M955" s="2">
        <f t="shared" si="116"/>
        <v>-616.87837441490115</v>
      </c>
      <c r="N955">
        <f t="shared" si="117"/>
        <v>-727.7204622512885</v>
      </c>
      <c r="O955" t="s">
        <v>8</v>
      </c>
    </row>
    <row r="956" spans="1:15" x14ac:dyDescent="0.35">
      <c r="A956">
        <v>2002</v>
      </c>
      <c r="B956">
        <v>8</v>
      </c>
      <c r="C956">
        <v>12</v>
      </c>
      <c r="D956" s="1">
        <f t="shared" si="112"/>
        <v>37480</v>
      </c>
      <c r="E956">
        <v>2</v>
      </c>
      <c r="F956">
        <f t="shared" si="118"/>
        <v>0</v>
      </c>
      <c r="G956">
        <f t="shared" si="113"/>
        <v>1</v>
      </c>
      <c r="H956">
        <f t="shared" si="119"/>
        <v>0</v>
      </c>
      <c r="I956">
        <v>955</v>
      </c>
      <c r="J956">
        <f t="shared" si="114"/>
        <v>-0.65964888963513868</v>
      </c>
      <c r="K956">
        <f t="shared" si="115"/>
        <v>-0.75157391013999986</v>
      </c>
      <c r="L956">
        <f>VLOOKUP(D956,[1]SOI!$A$1:$C$142,3)</f>
        <v>-7.6</v>
      </c>
      <c r="M956" s="2">
        <f t="shared" si="116"/>
        <v>-629.96468960155744</v>
      </c>
      <c r="N956">
        <f t="shared" si="117"/>
        <v>-717.75308418369991</v>
      </c>
      <c r="O956" t="s">
        <v>8</v>
      </c>
    </row>
    <row r="957" spans="1:15" x14ac:dyDescent="0.35">
      <c r="A957">
        <v>2002</v>
      </c>
      <c r="B957">
        <v>8</v>
      </c>
      <c r="C957">
        <v>13</v>
      </c>
      <c r="D957" s="1">
        <f t="shared" si="112"/>
        <v>37481</v>
      </c>
      <c r="E957">
        <v>3.6</v>
      </c>
      <c r="F957">
        <f t="shared" si="118"/>
        <v>2</v>
      </c>
      <c r="G957">
        <f t="shared" si="113"/>
        <v>1</v>
      </c>
      <c r="H957">
        <f t="shared" si="119"/>
        <v>1</v>
      </c>
      <c r="I957">
        <v>956</v>
      </c>
      <c r="J957">
        <f t="shared" si="114"/>
        <v>-0.67247954457322312</v>
      </c>
      <c r="K957">
        <f t="shared" si="115"/>
        <v>-0.74011570860953246</v>
      </c>
      <c r="L957">
        <f>VLOOKUP(D957,[1]SOI!$A$1:$C$142,3)</f>
        <v>-7.6</v>
      </c>
      <c r="M957" s="2">
        <f t="shared" si="116"/>
        <v>-642.89044461200126</v>
      </c>
      <c r="N957">
        <f t="shared" si="117"/>
        <v>-707.55061743071303</v>
      </c>
      <c r="O957" t="s">
        <v>8</v>
      </c>
    </row>
    <row r="958" spans="1:15" x14ac:dyDescent="0.35">
      <c r="A958">
        <v>2002</v>
      </c>
      <c r="B958">
        <v>8</v>
      </c>
      <c r="C958">
        <v>14</v>
      </c>
      <c r="D958" s="1">
        <f t="shared" si="112"/>
        <v>37482</v>
      </c>
      <c r="E958">
        <v>15.8</v>
      </c>
      <c r="F958">
        <f t="shared" si="118"/>
        <v>3.6</v>
      </c>
      <c r="G958">
        <f t="shared" si="113"/>
        <v>1</v>
      </c>
      <c r="H958">
        <f t="shared" si="119"/>
        <v>1</v>
      </c>
      <c r="I958">
        <v>957</v>
      </c>
      <c r="J958">
        <f t="shared" si="114"/>
        <v>-0.68511120199491282</v>
      </c>
      <c r="K958">
        <f t="shared" si="115"/>
        <v>-0.72843849493357071</v>
      </c>
      <c r="L958">
        <f>VLOOKUP(D958,[1]SOI!$A$1:$C$142,3)</f>
        <v>-7.6</v>
      </c>
      <c r="M958" s="2">
        <f t="shared" si="116"/>
        <v>-655.65142030913159</v>
      </c>
      <c r="N958">
        <f t="shared" si="117"/>
        <v>-697.11563965142716</v>
      </c>
      <c r="O958" t="s">
        <v>8</v>
      </c>
    </row>
    <row r="959" spans="1:15" x14ac:dyDescent="0.35">
      <c r="A959">
        <v>2002</v>
      </c>
      <c r="B959">
        <v>8</v>
      </c>
      <c r="C959">
        <v>15</v>
      </c>
      <c r="D959" s="1">
        <f t="shared" si="112"/>
        <v>37483</v>
      </c>
      <c r="E959">
        <v>0</v>
      </c>
      <c r="F959">
        <f t="shared" si="118"/>
        <v>15.8</v>
      </c>
      <c r="G959">
        <f t="shared" si="113"/>
        <v>0</v>
      </c>
      <c r="H959">
        <f t="shared" si="119"/>
        <v>1</v>
      </c>
      <c r="I959">
        <v>958</v>
      </c>
      <c r="J959">
        <f t="shared" si="114"/>
        <v>-0.69754012398955278</v>
      </c>
      <c r="K959">
        <f t="shared" si="115"/>
        <v>-0.71654572458750965</v>
      </c>
      <c r="L959">
        <f>VLOOKUP(D959,[1]SOI!$A$1:$C$142,3)</f>
        <v>-7.6</v>
      </c>
      <c r="M959" s="2">
        <f t="shared" si="116"/>
        <v>-668.24343878199159</v>
      </c>
      <c r="N959">
        <f t="shared" si="117"/>
        <v>-686.45080415483426</v>
      </c>
      <c r="O959" t="s">
        <v>8</v>
      </c>
    </row>
    <row r="960" spans="1:15" x14ac:dyDescent="0.35">
      <c r="A960">
        <v>2002</v>
      </c>
      <c r="B960">
        <v>8</v>
      </c>
      <c r="C960">
        <v>16</v>
      </c>
      <c r="D960" s="1">
        <f t="shared" si="112"/>
        <v>37484</v>
      </c>
      <c r="E960">
        <v>0</v>
      </c>
      <c r="F960">
        <f t="shared" si="118"/>
        <v>0</v>
      </c>
      <c r="G960">
        <f t="shared" si="113"/>
        <v>0</v>
      </c>
      <c r="H960">
        <f t="shared" si="119"/>
        <v>0</v>
      </c>
      <c r="I960">
        <v>959</v>
      </c>
      <c r="J960">
        <f t="shared" si="114"/>
        <v>-0.70976263263916028</v>
      </c>
      <c r="K960">
        <f t="shared" si="115"/>
        <v>-0.70444091683343346</v>
      </c>
      <c r="L960">
        <f>VLOOKUP(D960,[1]SOI!$A$1:$C$142,3)</f>
        <v>-7.6</v>
      </c>
      <c r="M960" s="2">
        <f t="shared" si="116"/>
        <v>-680.66236470095475</v>
      </c>
      <c r="N960">
        <f t="shared" si="117"/>
        <v>-675.5588392432627</v>
      </c>
      <c r="O960" t="s">
        <v>8</v>
      </c>
    </row>
    <row r="961" spans="1:15" x14ac:dyDescent="0.35">
      <c r="A961">
        <v>2002</v>
      </c>
      <c r="B961">
        <v>8</v>
      </c>
      <c r="C961">
        <v>17</v>
      </c>
      <c r="D961" s="1">
        <f t="shared" si="112"/>
        <v>37485</v>
      </c>
      <c r="E961">
        <v>0</v>
      </c>
      <c r="F961">
        <f t="shared" si="118"/>
        <v>0</v>
      </c>
      <c r="G961">
        <f t="shared" si="113"/>
        <v>0</v>
      </c>
      <c r="H961">
        <f t="shared" si="119"/>
        <v>0</v>
      </c>
      <c r="I961">
        <v>960</v>
      </c>
      <c r="J961">
        <f t="shared" si="114"/>
        <v>-0.7217751111067896</v>
      </c>
      <c r="K961">
        <f t="shared" si="115"/>
        <v>-0.69212765367869922</v>
      </c>
      <c r="L961">
        <f>VLOOKUP(D961,[1]SOI!$A$1:$C$142,3)</f>
        <v>-7.6</v>
      </c>
      <c r="M961" s="2">
        <f t="shared" si="116"/>
        <v>-692.90410666251796</v>
      </c>
      <c r="N961">
        <f t="shared" si="117"/>
        <v>-664.44254753155121</v>
      </c>
      <c r="O961" t="s">
        <v>8</v>
      </c>
    </row>
    <row r="962" spans="1:15" x14ac:dyDescent="0.35">
      <c r="A962">
        <v>2002</v>
      </c>
      <c r="B962">
        <v>8</v>
      </c>
      <c r="C962">
        <v>18</v>
      </c>
      <c r="D962" s="1">
        <f t="shared" si="112"/>
        <v>37486</v>
      </c>
      <c r="E962">
        <v>0</v>
      </c>
      <c r="F962">
        <f t="shared" si="118"/>
        <v>0</v>
      </c>
      <c r="G962">
        <f t="shared" si="113"/>
        <v>0</v>
      </c>
      <c r="H962">
        <f t="shared" si="119"/>
        <v>0</v>
      </c>
      <c r="I962">
        <v>961</v>
      </c>
      <c r="J962">
        <f t="shared" si="114"/>
        <v>-0.73357400470679757</v>
      </c>
      <c r="K962">
        <f t="shared" si="115"/>
        <v>-0.67960957881597828</v>
      </c>
      <c r="L962">
        <f>VLOOKUP(D962,[1]SOI!$A$1:$C$142,3)</f>
        <v>-7.6</v>
      </c>
      <c r="M962" s="2">
        <f t="shared" si="116"/>
        <v>-704.9646185232325</v>
      </c>
      <c r="N962">
        <f t="shared" si="117"/>
        <v>-653.10480524215518</v>
      </c>
      <c r="O962" t="s">
        <v>8</v>
      </c>
    </row>
    <row r="963" spans="1:15" x14ac:dyDescent="0.35">
      <c r="A963">
        <v>2002</v>
      </c>
      <c r="B963">
        <v>8</v>
      </c>
      <c r="C963">
        <v>19</v>
      </c>
      <c r="D963" s="1">
        <f t="shared" ref="D963:D1026" si="120">DATE(A963,B963,C963)</f>
        <v>37487</v>
      </c>
      <c r="E963">
        <v>0</v>
      </c>
      <c r="F963">
        <f t="shared" si="118"/>
        <v>0</v>
      </c>
      <c r="G963">
        <f t="shared" ref="G963:G1026" si="121">IF(E963=0,0,1)</f>
        <v>0</v>
      </c>
      <c r="H963">
        <f t="shared" si="119"/>
        <v>0</v>
      </c>
      <c r="I963">
        <v>962</v>
      </c>
      <c r="J963">
        <f t="shared" ref="J963:J1026" si="122">SIN(2*PI()*I963/365.25)</f>
        <v>-0.74515582195673946</v>
      </c>
      <c r="K963">
        <f t="shared" ref="K963:K1026" si="123">COS(2*PI()*I963/365.25)</f>
        <v>-0.66689039654502147</v>
      </c>
      <c r="L963">
        <f>VLOOKUP(D963,[1]SOI!$A$1:$C$142,3)</f>
        <v>-7.6</v>
      </c>
      <c r="M963" s="2">
        <f t="shared" ref="M963:M1026" si="124">I963*J963</f>
        <v>-716.83990072238339</v>
      </c>
      <c r="N963">
        <f t="shared" ref="N963:N1026" si="125">I963*K963</f>
        <v>-641.54856147631062</v>
      </c>
      <c r="O963" t="s">
        <v>8</v>
      </c>
    </row>
    <row r="964" spans="1:15" x14ac:dyDescent="0.35">
      <c r="A964">
        <v>2002</v>
      </c>
      <c r="B964">
        <v>8</v>
      </c>
      <c r="C964">
        <v>20</v>
      </c>
      <c r="D964" s="1">
        <f t="shared" si="120"/>
        <v>37488</v>
      </c>
      <c r="E964">
        <v>0</v>
      </c>
      <c r="F964">
        <f t="shared" ref="F964:F1027" si="126">E963</f>
        <v>0</v>
      </c>
      <c r="G964">
        <f t="shared" si="121"/>
        <v>0</v>
      </c>
      <c r="H964">
        <f t="shared" ref="H964:H1027" si="127">G963</f>
        <v>0</v>
      </c>
      <c r="I964">
        <v>963</v>
      </c>
      <c r="J964">
        <f t="shared" si="122"/>
        <v>-0.75651713561056244</v>
      </c>
      <c r="K964">
        <f t="shared" si="123"/>
        <v>-0.6539738706764896</v>
      </c>
      <c r="L964">
        <f>VLOOKUP(D964,[1]SOI!$A$1:$C$142,3)</f>
        <v>-7.6</v>
      </c>
      <c r="M964" s="2">
        <f t="shared" si="124"/>
        <v>-728.52600159297162</v>
      </c>
      <c r="N964">
        <f t="shared" si="125"/>
        <v>-629.77683746145954</v>
      </c>
      <c r="O964" t="s">
        <v>8</v>
      </c>
    </row>
    <row r="965" spans="1:15" x14ac:dyDescent="0.35">
      <c r="A965">
        <v>2002</v>
      </c>
      <c r="B965">
        <v>8</v>
      </c>
      <c r="C965">
        <v>21</v>
      </c>
      <c r="D965" s="1">
        <f t="shared" si="120"/>
        <v>37489</v>
      </c>
      <c r="E965">
        <v>0</v>
      </c>
      <c r="F965">
        <f t="shared" si="126"/>
        <v>0</v>
      </c>
      <c r="G965">
        <f t="shared" si="121"/>
        <v>0</v>
      </c>
      <c r="H965">
        <f t="shared" si="127"/>
        <v>0</v>
      </c>
      <c r="I965">
        <v>964</v>
      </c>
      <c r="J965">
        <f t="shared" si="122"/>
        <v>-0.76765458367276773</v>
      </c>
      <c r="K965">
        <f t="shared" si="123"/>
        <v>-0.6408638234181967</v>
      </c>
      <c r="L965">
        <f>VLOOKUP(D965,[1]SOI!$A$1:$C$142,3)</f>
        <v>-7.6</v>
      </c>
      <c r="M965" s="2">
        <f t="shared" si="124"/>
        <v>-740.01901866054811</v>
      </c>
      <c r="N965">
        <f t="shared" si="125"/>
        <v>-617.79272577514166</v>
      </c>
      <c r="O965" t="s">
        <v>8</v>
      </c>
    </row>
    <row r="966" spans="1:15" x14ac:dyDescent="0.35">
      <c r="A966">
        <v>2002</v>
      </c>
      <c r="B966">
        <v>8</v>
      </c>
      <c r="C966">
        <v>22</v>
      </c>
      <c r="D966" s="1">
        <f t="shared" si="120"/>
        <v>37490</v>
      </c>
      <c r="E966">
        <v>0</v>
      </c>
      <c r="F966">
        <f t="shared" si="126"/>
        <v>0</v>
      </c>
      <c r="G966">
        <f t="shared" si="121"/>
        <v>0</v>
      </c>
      <c r="H966">
        <f t="shared" si="127"/>
        <v>0</v>
      </c>
      <c r="I966">
        <v>965</v>
      </c>
      <c r="J966">
        <f t="shared" si="122"/>
        <v>-0.77856487039328748</v>
      </c>
      <c r="K966">
        <f t="shared" si="123"/>
        <v>-0.62756413424404967</v>
      </c>
      <c r="L966">
        <f>VLOOKUP(D966,[1]SOI!$A$1:$C$142,3)</f>
        <v>-7.6</v>
      </c>
      <c r="M966" s="2">
        <f t="shared" si="124"/>
        <v>-751.31509992952238</v>
      </c>
      <c r="N966">
        <f t="shared" si="125"/>
        <v>-605.59938954550796</v>
      </c>
      <c r="O966" t="s">
        <v>8</v>
      </c>
    </row>
    <row r="967" spans="1:15" x14ac:dyDescent="0.35">
      <c r="A967">
        <v>2002</v>
      </c>
      <c r="B967">
        <v>8</v>
      </c>
      <c r="C967">
        <v>23</v>
      </c>
      <c r="D967" s="1">
        <f t="shared" si="120"/>
        <v>37491</v>
      </c>
      <c r="E967">
        <v>0.2</v>
      </c>
      <c r="F967">
        <f t="shared" si="126"/>
        <v>0</v>
      </c>
      <c r="G967">
        <f t="shared" si="121"/>
        <v>1</v>
      </c>
      <c r="H967">
        <f t="shared" si="127"/>
        <v>0</v>
      </c>
      <c r="I967">
        <v>966</v>
      </c>
      <c r="J967">
        <f t="shared" si="122"/>
        <v>-0.78924476724275572</v>
      </c>
      <c r="K967">
        <f t="shared" si="123"/>
        <v>-0.61407873874604091</v>
      </c>
      <c r="L967">
        <f>VLOOKUP(D967,[1]SOI!$A$1:$C$142,3)</f>
        <v>-7.6</v>
      </c>
      <c r="M967" s="2">
        <f t="shared" si="124"/>
        <v>-762.41044515650208</v>
      </c>
      <c r="N967">
        <f t="shared" si="125"/>
        <v>-593.20006162867548</v>
      </c>
      <c r="O967" t="s">
        <v>8</v>
      </c>
    </row>
    <row r="968" spans="1:15" x14ac:dyDescent="0.35">
      <c r="A968">
        <v>2002</v>
      </c>
      <c r="B968">
        <v>8</v>
      </c>
      <c r="C968">
        <v>24</v>
      </c>
      <c r="D968" s="1">
        <f t="shared" si="120"/>
        <v>37492</v>
      </c>
      <c r="E968">
        <v>0</v>
      </c>
      <c r="F968">
        <f t="shared" si="126"/>
        <v>0.2</v>
      </c>
      <c r="G968">
        <f t="shared" si="121"/>
        <v>0</v>
      </c>
      <c r="H968">
        <f t="shared" si="127"/>
        <v>1</v>
      </c>
      <c r="I968">
        <v>967</v>
      </c>
      <c r="J968">
        <f t="shared" si="122"/>
        <v>-0.7996911138678674</v>
      </c>
      <c r="K968">
        <f t="shared" si="123"/>
        <v>-0.60041162746966315</v>
      </c>
      <c r="L968">
        <f>VLOOKUP(D968,[1]SOI!$A$1:$C$142,3)</f>
        <v>-7.6</v>
      </c>
      <c r="M968" s="2">
        <f t="shared" si="124"/>
        <v>-773.30130711022775</v>
      </c>
      <c r="N968">
        <f t="shared" si="125"/>
        <v>-580.59804376316424</v>
      </c>
      <c r="O968" t="s">
        <v>8</v>
      </c>
    </row>
    <row r="969" spans="1:15" x14ac:dyDescent="0.35">
      <c r="A969">
        <v>2002</v>
      </c>
      <c r="B969">
        <v>8</v>
      </c>
      <c r="C969">
        <v>25</v>
      </c>
      <c r="D969" s="1">
        <f t="shared" si="120"/>
        <v>37493</v>
      </c>
      <c r="E969">
        <v>0</v>
      </c>
      <c r="F969">
        <f t="shared" si="126"/>
        <v>0</v>
      </c>
      <c r="G969">
        <f t="shared" si="121"/>
        <v>0</v>
      </c>
      <c r="H969">
        <f t="shared" si="127"/>
        <v>0</v>
      </c>
      <c r="I969">
        <v>968</v>
      </c>
      <c r="J969">
        <f t="shared" si="122"/>
        <v>-0.80990081902659683</v>
      </c>
      <c r="K969">
        <f t="shared" si="123"/>
        <v>-0.58656684473301723</v>
      </c>
      <c r="L969">
        <f>VLOOKUP(D969,[1]SOI!$A$1:$C$142,3)</f>
        <v>-7.6</v>
      </c>
      <c r="M969" s="2">
        <f t="shared" si="124"/>
        <v>-783.98399281774573</v>
      </c>
      <c r="N969">
        <f t="shared" si="125"/>
        <v>-567.79670570156065</v>
      </c>
      <c r="O969" t="s">
        <v>8</v>
      </c>
    </row>
    <row r="970" spans="1:15" x14ac:dyDescent="0.35">
      <c r="A970">
        <v>2002</v>
      </c>
      <c r="B970">
        <v>8</v>
      </c>
      <c r="C970">
        <v>26</v>
      </c>
      <c r="D970" s="1">
        <f t="shared" si="120"/>
        <v>37494</v>
      </c>
      <c r="E970">
        <v>0</v>
      </c>
      <c r="F970">
        <f t="shared" si="126"/>
        <v>0</v>
      </c>
      <c r="G970">
        <f t="shared" si="121"/>
        <v>0</v>
      </c>
      <c r="H970">
        <f t="shared" si="127"/>
        <v>0</v>
      </c>
      <c r="I970">
        <v>969</v>
      </c>
      <c r="J970">
        <f t="shared" si="122"/>
        <v>-0.81987086150292099</v>
      </c>
      <c r="K970">
        <f t="shared" si="123"/>
        <v>-0.57254848743006748</v>
      </c>
      <c r="L970">
        <f>VLOOKUP(D970,[1]SOI!$A$1:$C$142,3)</f>
        <v>-7.6</v>
      </c>
      <c r="M970" s="2">
        <f t="shared" si="124"/>
        <v>-794.45486479633041</v>
      </c>
      <c r="N970">
        <f t="shared" si="125"/>
        <v>-554.79948431973537</v>
      </c>
      <c r="O970" t="s">
        <v>8</v>
      </c>
    </row>
    <row r="971" spans="1:15" x14ac:dyDescent="0.35">
      <c r="A971">
        <v>2002</v>
      </c>
      <c r="B971">
        <v>8</v>
      </c>
      <c r="C971">
        <v>27</v>
      </c>
      <c r="D971" s="1">
        <f t="shared" si="120"/>
        <v>37495</v>
      </c>
      <c r="E971">
        <v>0</v>
      </c>
      <c r="F971">
        <f t="shared" si="126"/>
        <v>0</v>
      </c>
      <c r="G971">
        <f t="shared" si="121"/>
        <v>0</v>
      </c>
      <c r="H971">
        <f t="shared" si="127"/>
        <v>0</v>
      </c>
      <c r="I971">
        <v>970</v>
      </c>
      <c r="J971">
        <f t="shared" si="122"/>
        <v>-0.82959829100087268</v>
      </c>
      <c r="K971">
        <f t="shared" si="123"/>
        <v>-0.55836070381826775</v>
      </c>
      <c r="L971">
        <f>VLOOKUP(D971,[1]SOI!$A$1:$C$142,3)</f>
        <v>-7.6</v>
      </c>
      <c r="M971" s="2">
        <f t="shared" si="124"/>
        <v>-804.71034227084647</v>
      </c>
      <c r="N971">
        <f t="shared" si="125"/>
        <v>-541.60988270371968</v>
      </c>
      <c r="O971" t="s">
        <v>8</v>
      </c>
    </row>
    <row r="972" spans="1:15" x14ac:dyDescent="0.35">
      <c r="A972">
        <v>2002</v>
      </c>
      <c r="B972">
        <v>8</v>
      </c>
      <c r="C972">
        <v>28</v>
      </c>
      <c r="D972" s="1">
        <f t="shared" si="120"/>
        <v>37496</v>
      </c>
      <c r="E972">
        <v>0</v>
      </c>
      <c r="F972">
        <f t="shared" si="126"/>
        <v>0</v>
      </c>
      <c r="G972">
        <f t="shared" si="121"/>
        <v>0</v>
      </c>
      <c r="H972">
        <f t="shared" si="127"/>
        <v>0</v>
      </c>
      <c r="I972">
        <v>971</v>
      </c>
      <c r="J972">
        <f t="shared" si="122"/>
        <v>-0.83908022901756807</v>
      </c>
      <c r="K972">
        <f t="shared" si="123"/>
        <v>-0.5440076922910424</v>
      </c>
      <c r="L972">
        <f>VLOOKUP(D972,[1]SOI!$A$1:$C$142,3)</f>
        <v>-7.6</v>
      </c>
      <c r="M972" s="2">
        <f t="shared" si="124"/>
        <v>-814.74690237605864</v>
      </c>
      <c r="N972">
        <f t="shared" si="125"/>
        <v>-528.23146921460216</v>
      </c>
      <c r="O972" t="s">
        <v>8</v>
      </c>
    </row>
    <row r="973" spans="1:15" x14ac:dyDescent="0.35">
      <c r="A973">
        <v>2002</v>
      </c>
      <c r="B973">
        <v>8</v>
      </c>
      <c r="C973">
        <v>29</v>
      </c>
      <c r="D973" s="1">
        <f t="shared" si="120"/>
        <v>37497</v>
      </c>
      <c r="E973">
        <v>2.4</v>
      </c>
      <c r="F973">
        <f t="shared" si="126"/>
        <v>0</v>
      </c>
      <c r="G973">
        <f t="shared" si="121"/>
        <v>1</v>
      </c>
      <c r="H973">
        <f t="shared" si="127"/>
        <v>0</v>
      </c>
      <c r="I973">
        <v>972</v>
      </c>
      <c r="J973">
        <f t="shared" si="122"/>
        <v>-0.84831386969499056</v>
      </c>
      <c r="K973">
        <f t="shared" si="123"/>
        <v>-0.52949370013543184</v>
      </c>
      <c r="L973">
        <f>VLOOKUP(D973,[1]SOI!$A$1:$C$142,3)</f>
        <v>-7.6</v>
      </c>
      <c r="M973" s="2">
        <f t="shared" si="124"/>
        <v>-824.56108134353087</v>
      </c>
      <c r="N973">
        <f t="shared" si="125"/>
        <v>-514.66787653163976</v>
      </c>
      <c r="O973" t="s">
        <v>8</v>
      </c>
    </row>
    <row r="974" spans="1:15" x14ac:dyDescent="0.35">
      <c r="A974">
        <v>2002</v>
      </c>
      <c r="B974">
        <v>8</v>
      </c>
      <c r="C974">
        <v>30</v>
      </c>
      <c r="D974" s="1">
        <f t="shared" si="120"/>
        <v>37498</v>
      </c>
      <c r="E974">
        <v>0</v>
      </c>
      <c r="F974">
        <f t="shared" si="126"/>
        <v>2.4</v>
      </c>
      <c r="G974">
        <f t="shared" si="121"/>
        <v>0</v>
      </c>
      <c r="H974">
        <f t="shared" si="127"/>
        <v>1</v>
      </c>
      <c r="I974">
        <v>973</v>
      </c>
      <c r="J974">
        <f t="shared" si="122"/>
        <v>-0.85729648065031427</v>
      </c>
      <c r="K974">
        <f t="shared" si="123"/>
        <v>-0.51482302227521382</v>
      </c>
      <c r="L974">
        <f>VLOOKUP(D974,[1]SOI!$A$1:$C$142,3)</f>
        <v>-7.6</v>
      </c>
      <c r="M974" s="2">
        <f t="shared" si="124"/>
        <v>-834.14947567275578</v>
      </c>
      <c r="N974">
        <f t="shared" si="125"/>
        <v>-500.92280067378306</v>
      </c>
      <c r="O974" t="s">
        <v>8</v>
      </c>
    </row>
    <row r="975" spans="1:15" x14ac:dyDescent="0.35">
      <c r="A975">
        <v>2002</v>
      </c>
      <c r="B975">
        <v>8</v>
      </c>
      <c r="C975">
        <v>31</v>
      </c>
      <c r="D975" s="1">
        <f t="shared" si="120"/>
        <v>37499</v>
      </c>
      <c r="E975">
        <v>0.6</v>
      </c>
      <c r="F975">
        <f t="shared" si="126"/>
        <v>0</v>
      </c>
      <c r="G975">
        <f t="shared" si="121"/>
        <v>1</v>
      </c>
      <c r="H975">
        <f t="shared" si="127"/>
        <v>0</v>
      </c>
      <c r="I975">
        <v>974</v>
      </c>
      <c r="J975">
        <f t="shared" si="122"/>
        <v>-0.86602540378443771</v>
      </c>
      <c r="K975">
        <f t="shared" si="123"/>
        <v>-0.50000000000000155</v>
      </c>
      <c r="L975">
        <f>VLOOKUP(D975,[1]SOI!$A$1:$C$142,3)</f>
        <v>-7.6</v>
      </c>
      <c r="M975" s="2">
        <f t="shared" si="124"/>
        <v>-843.50874328604232</v>
      </c>
      <c r="N975">
        <f t="shared" si="125"/>
        <v>-487.00000000000153</v>
      </c>
      <c r="O975" t="s">
        <v>8</v>
      </c>
    </row>
    <row r="976" spans="1:15" x14ac:dyDescent="0.35">
      <c r="A976">
        <v>2002</v>
      </c>
      <c r="B976">
        <v>9</v>
      </c>
      <c r="C976">
        <v>1</v>
      </c>
      <c r="D976" s="1">
        <f t="shared" si="120"/>
        <v>37500</v>
      </c>
      <c r="E976">
        <v>0</v>
      </c>
      <c r="F976">
        <f t="shared" si="126"/>
        <v>0.6</v>
      </c>
      <c r="G976">
        <f t="shared" si="121"/>
        <v>0</v>
      </c>
      <c r="H976">
        <f t="shared" si="127"/>
        <v>1</v>
      </c>
      <c r="I976">
        <v>975</v>
      </c>
      <c r="J976">
        <f t="shared" si="122"/>
        <v>-0.87449805606857423</v>
      </c>
      <c r="K976">
        <f t="shared" si="123"/>
        <v>-0.48502901968055984</v>
      </c>
      <c r="L976">
        <f>VLOOKUP(D976,[1]SOI!$A$1:$C$142,3)</f>
        <v>-14.6</v>
      </c>
      <c r="M976" s="2">
        <f t="shared" si="124"/>
        <v>-852.63560466685988</v>
      </c>
      <c r="N976">
        <f t="shared" si="125"/>
        <v>-472.90329418854583</v>
      </c>
      <c r="O976" t="s">
        <v>8</v>
      </c>
    </row>
    <row r="977" spans="1:15" x14ac:dyDescent="0.35">
      <c r="A977">
        <v>2002</v>
      </c>
      <c r="B977">
        <v>9</v>
      </c>
      <c r="C977">
        <v>2</v>
      </c>
      <c r="D977" s="1">
        <f t="shared" si="120"/>
        <v>37501</v>
      </c>
      <c r="E977">
        <v>0</v>
      </c>
      <c r="F977">
        <f t="shared" si="126"/>
        <v>0</v>
      </c>
      <c r="G977">
        <f t="shared" si="121"/>
        <v>0</v>
      </c>
      <c r="H977">
        <f t="shared" si="127"/>
        <v>0</v>
      </c>
      <c r="I977">
        <v>976</v>
      </c>
      <c r="J977">
        <f t="shared" si="122"/>
        <v>-0.88271193030859907</v>
      </c>
      <c r="K977">
        <f t="shared" si="123"/>
        <v>-0.46991451147082797</v>
      </c>
      <c r="L977">
        <f>VLOOKUP(D977,[1]SOI!$A$1:$C$142,3)</f>
        <v>-14.6</v>
      </c>
      <c r="M977" s="2">
        <f t="shared" si="124"/>
        <v>-861.52684398119266</v>
      </c>
      <c r="N977">
        <f t="shared" si="125"/>
        <v>-458.63656319552808</v>
      </c>
      <c r="O977" t="s">
        <v>8</v>
      </c>
    </row>
    <row r="978" spans="1:15" x14ac:dyDescent="0.35">
      <c r="A978">
        <v>2002</v>
      </c>
      <c r="B978">
        <v>9</v>
      </c>
      <c r="C978">
        <v>3</v>
      </c>
      <c r="D978" s="1">
        <f t="shared" si="120"/>
        <v>37502</v>
      </c>
      <c r="E978">
        <v>0</v>
      </c>
      <c r="F978">
        <f t="shared" si="126"/>
        <v>0</v>
      </c>
      <c r="G978">
        <f t="shared" si="121"/>
        <v>0</v>
      </c>
      <c r="H978">
        <f t="shared" si="127"/>
        <v>0</v>
      </c>
      <c r="I978">
        <v>977</v>
      </c>
      <c r="J978">
        <f t="shared" si="122"/>
        <v>-0.89066459588697466</v>
      </c>
      <c r="K978">
        <f t="shared" si="123"/>
        <v>-0.45466094799695755</v>
      </c>
      <c r="L978">
        <f>VLOOKUP(D978,[1]SOI!$A$1:$C$142,3)</f>
        <v>-14.6</v>
      </c>
      <c r="M978" s="2">
        <f t="shared" si="124"/>
        <v>-870.17931018157424</v>
      </c>
      <c r="N978">
        <f t="shared" si="125"/>
        <v>-444.20374619302754</v>
      </c>
      <c r="O978" t="s">
        <v>8</v>
      </c>
    </row>
    <row r="979" spans="1:15" x14ac:dyDescent="0.35">
      <c r="A979">
        <v>2002</v>
      </c>
      <c r="B979">
        <v>9</v>
      </c>
      <c r="C979">
        <v>4</v>
      </c>
      <c r="D979" s="1">
        <f t="shared" si="120"/>
        <v>37503</v>
      </c>
      <c r="E979">
        <v>2.4</v>
      </c>
      <c r="F979">
        <f t="shared" si="126"/>
        <v>0</v>
      </c>
      <c r="G979">
        <f t="shared" si="121"/>
        <v>1</v>
      </c>
      <c r="H979">
        <f t="shared" si="127"/>
        <v>0</v>
      </c>
      <c r="I979">
        <v>978</v>
      </c>
      <c r="J979">
        <f t="shared" si="122"/>
        <v>-0.89835369948201338</v>
      </c>
      <c r="K979">
        <f t="shared" si="123"/>
        <v>-0.43927284303378045</v>
      </c>
      <c r="L979">
        <f>VLOOKUP(D979,[1]SOI!$A$1:$C$142,3)</f>
        <v>-14.6</v>
      </c>
      <c r="M979" s="2">
        <f t="shared" si="124"/>
        <v>-878.5899180934091</v>
      </c>
      <c r="N979">
        <f t="shared" si="125"/>
        <v>-429.6088404870373</v>
      </c>
      <c r="O979" t="s">
        <v>8</v>
      </c>
    </row>
    <row r="980" spans="1:15" x14ac:dyDescent="0.35">
      <c r="A980">
        <v>2002</v>
      </c>
      <c r="B980">
        <v>9</v>
      </c>
      <c r="C980">
        <v>5</v>
      </c>
      <c r="D980" s="1">
        <f t="shared" si="120"/>
        <v>37504</v>
      </c>
      <c r="E980">
        <v>0</v>
      </c>
      <c r="F980">
        <f t="shared" si="126"/>
        <v>2.4</v>
      </c>
      <c r="G980">
        <f t="shared" si="121"/>
        <v>0</v>
      </c>
      <c r="H980">
        <f t="shared" si="127"/>
        <v>1</v>
      </c>
      <c r="I980">
        <v>979</v>
      </c>
      <c r="J980">
        <f t="shared" si="122"/>
        <v>-0.90577696576425426</v>
      </c>
      <c r="K980">
        <f t="shared" si="123"/>
        <v>-0.42375475016912911</v>
      </c>
      <c r="L980">
        <f>VLOOKUP(D980,[1]SOI!$A$1:$C$142,3)</f>
        <v>-14.6</v>
      </c>
      <c r="M980" s="2">
        <f t="shared" si="124"/>
        <v>-886.75564948320493</v>
      </c>
      <c r="N980">
        <f t="shared" si="125"/>
        <v>-414.85590041557742</v>
      </c>
      <c r="O980" t="s">
        <v>8</v>
      </c>
    </row>
    <row r="981" spans="1:15" x14ac:dyDescent="0.35">
      <c r="A981">
        <v>2002</v>
      </c>
      <c r="B981">
        <v>9</v>
      </c>
      <c r="C981">
        <v>6</v>
      </c>
      <c r="D981" s="1">
        <f t="shared" si="120"/>
        <v>37505</v>
      </c>
      <c r="E981">
        <v>0</v>
      </c>
      <c r="F981">
        <f t="shared" si="126"/>
        <v>0</v>
      </c>
      <c r="G981">
        <f t="shared" si="121"/>
        <v>0</v>
      </c>
      <c r="H981">
        <f t="shared" si="127"/>
        <v>0</v>
      </c>
      <c r="I981">
        <v>980</v>
      </c>
      <c r="J981">
        <f t="shared" si="122"/>
        <v>-0.91293219806977377</v>
      </c>
      <c r="K981">
        <f t="shared" si="123"/>
        <v>-0.40811126145634763</v>
      </c>
      <c r="L981">
        <f>VLOOKUP(D981,[1]SOI!$A$1:$C$142,3)</f>
        <v>-14.6</v>
      </c>
      <c r="M981" s="2">
        <f t="shared" si="124"/>
        <v>-894.67355410837831</v>
      </c>
      <c r="N981">
        <f t="shared" si="125"/>
        <v>-399.94903622722069</v>
      </c>
      <c r="O981" t="s">
        <v>8</v>
      </c>
    </row>
    <row r="982" spans="1:15" x14ac:dyDescent="0.35">
      <c r="A982">
        <v>2002</v>
      </c>
      <c r="B982">
        <v>9</v>
      </c>
      <c r="C982">
        <v>7</v>
      </c>
      <c r="D982" s="1">
        <f t="shared" si="120"/>
        <v>37506</v>
      </c>
      <c r="E982">
        <v>0.6</v>
      </c>
      <c r="F982">
        <f t="shared" si="126"/>
        <v>0</v>
      </c>
      <c r="G982">
        <f t="shared" si="121"/>
        <v>1</v>
      </c>
      <c r="H982">
        <f t="shared" si="127"/>
        <v>0</v>
      </c>
      <c r="I982">
        <v>981</v>
      </c>
      <c r="J982">
        <f t="shared" si="122"/>
        <v>-0.91981727905021926</v>
      </c>
      <c r="K982">
        <f t="shared" si="123"/>
        <v>-0.39234700605541911</v>
      </c>
      <c r="L982">
        <f>VLOOKUP(D982,[1]SOI!$A$1:$C$142,3)</f>
        <v>-14.6</v>
      </c>
      <c r="M982" s="2">
        <f t="shared" si="124"/>
        <v>-902.34075074826512</v>
      </c>
      <c r="N982">
        <f t="shared" si="125"/>
        <v>-384.89241294036617</v>
      </c>
      <c r="O982" t="s">
        <v>8</v>
      </c>
    </row>
    <row r="983" spans="1:15" x14ac:dyDescent="0.35">
      <c r="A983">
        <v>2002</v>
      </c>
      <c r="B983">
        <v>9</v>
      </c>
      <c r="C983">
        <v>8</v>
      </c>
      <c r="D983" s="1">
        <f t="shared" si="120"/>
        <v>37507</v>
      </c>
      <c r="E983">
        <v>3.4</v>
      </c>
      <c r="F983">
        <f t="shared" si="126"/>
        <v>0.6</v>
      </c>
      <c r="G983">
        <f t="shared" si="121"/>
        <v>1</v>
      </c>
      <c r="H983">
        <f t="shared" si="127"/>
        <v>1</v>
      </c>
      <c r="I983">
        <v>982</v>
      </c>
      <c r="J983">
        <f t="shared" si="122"/>
        <v>-0.92643017129935668</v>
      </c>
      <c r="K983">
        <f t="shared" si="123"/>
        <v>-0.37646664886314246</v>
      </c>
      <c r="L983">
        <f>VLOOKUP(D983,[1]SOI!$A$1:$C$142,3)</f>
        <v>-14.6</v>
      </c>
      <c r="M983" s="2">
        <f t="shared" si="124"/>
        <v>-909.75442821596823</v>
      </c>
      <c r="N983">
        <f t="shared" si="125"/>
        <v>-369.69024918360589</v>
      </c>
      <c r="O983" t="s">
        <v>8</v>
      </c>
    </row>
    <row r="984" spans="1:15" x14ac:dyDescent="0.35">
      <c r="A984">
        <v>2002</v>
      </c>
      <c r="B984">
        <v>9</v>
      </c>
      <c r="C984">
        <v>9</v>
      </c>
      <c r="D984" s="1">
        <f t="shared" si="120"/>
        <v>37508</v>
      </c>
      <c r="E984">
        <v>2.8</v>
      </c>
      <c r="F984">
        <f t="shared" si="126"/>
        <v>3.4</v>
      </c>
      <c r="G984">
        <f t="shared" si="121"/>
        <v>1</v>
      </c>
      <c r="H984">
        <f t="shared" si="127"/>
        <v>1</v>
      </c>
      <c r="I984">
        <v>983</v>
      </c>
      <c r="J984">
        <f t="shared" si="122"/>
        <v>-0.93276891795597838</v>
      </c>
      <c r="K984">
        <f t="shared" si="123"/>
        <v>-0.3604748891327012</v>
      </c>
      <c r="L984">
        <f>VLOOKUP(D984,[1]SOI!$A$1:$C$142,3)</f>
        <v>-14.6</v>
      </c>
      <c r="M984" s="2">
        <f t="shared" si="124"/>
        <v>-916.91184635072671</v>
      </c>
      <c r="N984">
        <f t="shared" si="125"/>
        <v>-354.34681601744529</v>
      </c>
      <c r="O984" t="s">
        <v>8</v>
      </c>
    </row>
    <row r="985" spans="1:15" x14ac:dyDescent="0.35">
      <c r="A985">
        <v>2002</v>
      </c>
      <c r="B985">
        <v>9</v>
      </c>
      <c r="C985">
        <v>10</v>
      </c>
      <c r="D985" s="1">
        <f t="shared" si="120"/>
        <v>37509</v>
      </c>
      <c r="E985">
        <v>0</v>
      </c>
      <c r="F985">
        <f t="shared" si="126"/>
        <v>2.8</v>
      </c>
      <c r="G985">
        <f t="shared" si="121"/>
        <v>0</v>
      </c>
      <c r="H985">
        <f t="shared" si="127"/>
        <v>1</v>
      </c>
      <c r="I985">
        <v>984</v>
      </c>
      <c r="J985">
        <f t="shared" si="122"/>
        <v>-0.93883164328296687</v>
      </c>
      <c r="K985">
        <f t="shared" si="123"/>
        <v>-0.34437645908308562</v>
      </c>
      <c r="L985">
        <f>VLOOKUP(D985,[1]SOI!$A$1:$C$142,3)</f>
        <v>-14.6</v>
      </c>
      <c r="M985" s="2">
        <f t="shared" si="124"/>
        <v>-923.8103369904394</v>
      </c>
      <c r="N985">
        <f t="shared" si="125"/>
        <v>-338.86643573775626</v>
      </c>
      <c r="O985" t="s">
        <v>8</v>
      </c>
    </row>
    <row r="986" spans="1:15" x14ac:dyDescent="0.35">
      <c r="A986">
        <v>2002</v>
      </c>
      <c r="B986">
        <v>9</v>
      </c>
      <c r="C986">
        <v>11</v>
      </c>
      <c r="D986" s="1">
        <f t="shared" si="120"/>
        <v>37510</v>
      </c>
      <c r="E986">
        <v>2.4</v>
      </c>
      <c r="F986">
        <f t="shared" si="126"/>
        <v>0</v>
      </c>
      <c r="G986">
        <f t="shared" si="121"/>
        <v>1</v>
      </c>
      <c r="H986">
        <f t="shared" si="127"/>
        <v>0</v>
      </c>
      <c r="I986">
        <v>985</v>
      </c>
      <c r="J986">
        <f t="shared" si="122"/>
        <v>-0.94461655322235916</v>
      </c>
      <c r="K986">
        <f t="shared" si="123"/>
        <v>-0.32817612249874289</v>
      </c>
      <c r="L986">
        <f>VLOOKUP(D986,[1]SOI!$A$1:$C$142,3)</f>
        <v>-14.6</v>
      </c>
      <c r="M986" s="2">
        <f t="shared" si="124"/>
        <v>-930.4473049240238</v>
      </c>
      <c r="N986">
        <f t="shared" si="125"/>
        <v>-323.25348066126173</v>
      </c>
      <c r="O986" t="s">
        <v>8</v>
      </c>
    </row>
    <row r="987" spans="1:15" x14ac:dyDescent="0.35">
      <c r="A987">
        <v>2002</v>
      </c>
      <c r="B987">
        <v>9</v>
      </c>
      <c r="C987">
        <v>12</v>
      </c>
      <c r="D987" s="1">
        <f t="shared" si="120"/>
        <v>37511</v>
      </c>
      <c r="E987">
        <v>0</v>
      </c>
      <c r="F987">
        <f t="shared" si="126"/>
        <v>2.4</v>
      </c>
      <c r="G987">
        <f t="shared" si="121"/>
        <v>0</v>
      </c>
      <c r="H987">
        <f t="shared" si="127"/>
        <v>1</v>
      </c>
      <c r="I987">
        <v>986</v>
      </c>
      <c r="J987">
        <f t="shared" si="122"/>
        <v>-0.95012193592623628</v>
      </c>
      <c r="K987">
        <f t="shared" si="123"/>
        <v>-0.31187867331989999</v>
      </c>
      <c r="L987">
        <f>VLOOKUP(D987,[1]SOI!$A$1:$C$142,3)</f>
        <v>-14.6</v>
      </c>
      <c r="M987" s="2">
        <f t="shared" si="124"/>
        <v>-936.82022882326896</v>
      </c>
      <c r="N987">
        <f t="shared" si="125"/>
        <v>-307.5123718934214</v>
      </c>
      <c r="O987" t="s">
        <v>8</v>
      </c>
    </row>
    <row r="988" spans="1:15" x14ac:dyDescent="0.35">
      <c r="A988">
        <v>2002</v>
      </c>
      <c r="B988">
        <v>9</v>
      </c>
      <c r="C988">
        <v>13</v>
      </c>
      <c r="D988" s="1">
        <f t="shared" si="120"/>
        <v>37512</v>
      </c>
      <c r="E988">
        <v>0</v>
      </c>
      <c r="F988">
        <f t="shared" si="126"/>
        <v>0</v>
      </c>
      <c r="G988">
        <f t="shared" si="121"/>
        <v>0</v>
      </c>
      <c r="H988">
        <f t="shared" si="127"/>
        <v>0</v>
      </c>
      <c r="I988">
        <v>987</v>
      </c>
      <c r="J988">
        <f t="shared" si="122"/>
        <v>-0.95534616226327862</v>
      </c>
      <c r="K988">
        <f t="shared" si="123"/>
        <v>-0.29548893422398304</v>
      </c>
      <c r="L988">
        <f>VLOOKUP(D988,[1]SOI!$A$1:$C$142,3)</f>
        <v>-14.6</v>
      </c>
      <c r="M988" s="2">
        <f t="shared" si="124"/>
        <v>-942.926662153856</v>
      </c>
      <c r="N988">
        <f t="shared" si="125"/>
        <v>-291.64757807907125</v>
      </c>
      <c r="O988" t="s">
        <v>8</v>
      </c>
    </row>
    <row r="989" spans="1:15" x14ac:dyDescent="0.35">
      <c r="A989">
        <v>2002</v>
      </c>
      <c r="B989">
        <v>9</v>
      </c>
      <c r="C989">
        <v>14</v>
      </c>
      <c r="D989" s="1">
        <f t="shared" si="120"/>
        <v>37513</v>
      </c>
      <c r="E989">
        <v>0</v>
      </c>
      <c r="F989">
        <f t="shared" si="126"/>
        <v>0</v>
      </c>
      <c r="G989">
        <f t="shared" si="121"/>
        <v>0</v>
      </c>
      <c r="H989">
        <f t="shared" si="127"/>
        <v>0</v>
      </c>
      <c r="I989">
        <v>988</v>
      </c>
      <c r="J989">
        <f t="shared" si="122"/>
        <v>-0.96028768630086647</v>
      </c>
      <c r="K989">
        <f t="shared" si="123"/>
        <v>-0.27901175519846605</v>
      </c>
      <c r="L989">
        <f>VLOOKUP(D989,[1]SOI!$A$1:$C$142,3)</f>
        <v>-14.6</v>
      </c>
      <c r="M989" s="2">
        <f t="shared" si="124"/>
        <v>-948.76423406525612</v>
      </c>
      <c r="N989">
        <f t="shared" si="125"/>
        <v>-275.66361413608445</v>
      </c>
      <c r="O989" t="s">
        <v>8</v>
      </c>
    </row>
    <row r="990" spans="1:15" x14ac:dyDescent="0.35">
      <c r="A990">
        <v>2002</v>
      </c>
      <c r="B990">
        <v>9</v>
      </c>
      <c r="C990">
        <v>15</v>
      </c>
      <c r="D990" s="1">
        <f t="shared" si="120"/>
        <v>37514</v>
      </c>
      <c r="E990">
        <v>0</v>
      </c>
      <c r="F990">
        <f t="shared" si="126"/>
        <v>0</v>
      </c>
      <c r="G990">
        <f t="shared" si="121"/>
        <v>0</v>
      </c>
      <c r="H990">
        <f t="shared" si="127"/>
        <v>0</v>
      </c>
      <c r="I990">
        <v>989</v>
      </c>
      <c r="J990">
        <f t="shared" si="122"/>
        <v>-0.96494504576253359</v>
      </c>
      <c r="K990">
        <f t="shared" si="123"/>
        <v>-0.26245201210572178</v>
      </c>
      <c r="L990">
        <f>VLOOKUP(D990,[1]SOI!$A$1:$C$142,3)</f>
        <v>-14.6</v>
      </c>
      <c r="M990" s="2">
        <f t="shared" si="124"/>
        <v>-954.33065025914573</v>
      </c>
      <c r="N990">
        <f t="shared" si="125"/>
        <v>-259.56503997255885</v>
      </c>
      <c r="O990" t="s">
        <v>8</v>
      </c>
    </row>
    <row r="991" spans="1:15" x14ac:dyDescent="0.35">
      <c r="A991">
        <v>2002</v>
      </c>
      <c r="B991">
        <v>9</v>
      </c>
      <c r="C991">
        <v>16</v>
      </c>
      <c r="D991" s="1">
        <f t="shared" si="120"/>
        <v>37515</v>
      </c>
      <c r="E991">
        <v>0.4</v>
      </c>
      <c r="F991">
        <f t="shared" si="126"/>
        <v>0</v>
      </c>
      <c r="G991">
        <f t="shared" si="121"/>
        <v>1</v>
      </c>
      <c r="H991">
        <f t="shared" si="127"/>
        <v>0</v>
      </c>
      <c r="I991">
        <v>990</v>
      </c>
      <c r="J991">
        <f t="shared" si="122"/>
        <v>-0.9693168624606876</v>
      </c>
      <c r="K991">
        <f t="shared" si="123"/>
        <v>-0.24581460524014512</v>
      </c>
      <c r="L991">
        <f>VLOOKUP(D991,[1]SOI!$A$1:$C$142,3)</f>
        <v>-14.6</v>
      </c>
      <c r="M991" s="2">
        <f t="shared" si="124"/>
        <v>-959.62369383608075</v>
      </c>
      <c r="N991">
        <f t="shared" si="125"/>
        <v>-243.35645918774367</v>
      </c>
      <c r="O991" t="s">
        <v>8</v>
      </c>
    </row>
    <row r="992" spans="1:15" x14ac:dyDescent="0.35">
      <c r="A992">
        <v>2002</v>
      </c>
      <c r="B992">
        <v>9</v>
      </c>
      <c r="C992">
        <v>17</v>
      </c>
      <c r="D992" s="1">
        <f t="shared" si="120"/>
        <v>37516</v>
      </c>
      <c r="E992">
        <v>14.2</v>
      </c>
      <c r="F992">
        <f t="shared" si="126"/>
        <v>0.4</v>
      </c>
      <c r="G992">
        <f t="shared" si="121"/>
        <v>1</v>
      </c>
      <c r="H992">
        <f t="shared" si="127"/>
        <v>1</v>
      </c>
      <c r="I992">
        <v>991</v>
      </c>
      <c r="J992">
        <f t="shared" si="122"/>
        <v>-0.97340184270443075</v>
      </c>
      <c r="K992">
        <f t="shared" si="123"/>
        <v>-0.22910445787810119</v>
      </c>
      <c r="L992">
        <f>VLOOKUP(D992,[1]SOI!$A$1:$C$142,3)</f>
        <v>-14.6</v>
      </c>
      <c r="M992" s="2">
        <f t="shared" si="124"/>
        <v>-964.64122612009089</v>
      </c>
      <c r="N992">
        <f t="shared" si="125"/>
        <v>-227.04251775719828</v>
      </c>
      <c r="O992" t="s">
        <v>8</v>
      </c>
    </row>
    <row r="993" spans="1:15" x14ac:dyDescent="0.35">
      <c r="A993">
        <v>2002</v>
      </c>
      <c r="B993">
        <v>9</v>
      </c>
      <c r="C993">
        <v>18</v>
      </c>
      <c r="D993" s="1">
        <f t="shared" si="120"/>
        <v>37517</v>
      </c>
      <c r="E993">
        <v>0</v>
      </c>
      <c r="F993">
        <f t="shared" si="126"/>
        <v>14.2</v>
      </c>
      <c r="G993">
        <f t="shared" si="121"/>
        <v>0</v>
      </c>
      <c r="H993">
        <f t="shared" si="127"/>
        <v>1</v>
      </c>
      <c r="I993">
        <v>992</v>
      </c>
      <c r="J993">
        <f t="shared" si="122"/>
        <v>-0.97719877768238705</v>
      </c>
      <c r="K993">
        <f t="shared" si="123"/>
        <v>-0.21232651482103831</v>
      </c>
      <c r="L993">
        <f>VLOOKUP(D993,[1]SOI!$A$1:$C$142,3)</f>
        <v>-14.6</v>
      </c>
      <c r="M993" s="2">
        <f t="shared" si="124"/>
        <v>-969.381187460928</v>
      </c>
      <c r="N993">
        <f t="shared" si="125"/>
        <v>-210.62790270247001</v>
      </c>
      <c r="O993" t="s">
        <v>8</v>
      </c>
    </row>
    <row r="994" spans="1:15" x14ac:dyDescent="0.35">
      <c r="A994">
        <v>2002</v>
      </c>
      <c r="B994">
        <v>9</v>
      </c>
      <c r="C994">
        <v>19</v>
      </c>
      <c r="D994" s="1">
        <f t="shared" si="120"/>
        <v>37518</v>
      </c>
      <c r="E994">
        <v>2.2000000000000002</v>
      </c>
      <c r="F994">
        <f t="shared" si="126"/>
        <v>0</v>
      </c>
      <c r="G994">
        <f t="shared" si="121"/>
        <v>1</v>
      </c>
      <c r="H994">
        <f t="shared" si="127"/>
        <v>0</v>
      </c>
      <c r="I994">
        <v>993</v>
      </c>
      <c r="J994">
        <f t="shared" si="122"/>
        <v>-0.98070654382041145</v>
      </c>
      <c r="K994">
        <f t="shared" si="123"/>
        <v>-0.19548574093223126</v>
      </c>
      <c r="L994">
        <f>VLOOKUP(D994,[1]SOI!$A$1:$C$142,3)</f>
        <v>-14.6</v>
      </c>
      <c r="M994" s="2">
        <f t="shared" si="124"/>
        <v>-973.84159801366854</v>
      </c>
      <c r="N994">
        <f t="shared" si="125"/>
        <v>-194.11734074570563</v>
      </c>
      <c r="O994" t="s">
        <v>8</v>
      </c>
    </row>
    <row r="995" spans="1:15" x14ac:dyDescent="0.35">
      <c r="A995">
        <v>2002</v>
      </c>
      <c r="B995">
        <v>9</v>
      </c>
      <c r="C995">
        <v>20</v>
      </c>
      <c r="D995" s="1">
        <f t="shared" si="120"/>
        <v>37519</v>
      </c>
      <c r="E995">
        <v>1.4</v>
      </c>
      <c r="F995">
        <f t="shared" si="126"/>
        <v>2.2000000000000002</v>
      </c>
      <c r="G995">
        <f t="shared" si="121"/>
        <v>1</v>
      </c>
      <c r="H995">
        <f t="shared" si="127"/>
        <v>1</v>
      </c>
      <c r="I995">
        <v>994</v>
      </c>
      <c r="J995">
        <f t="shared" si="122"/>
        <v>-0.98392410311406819</v>
      </c>
      <c r="K995">
        <f t="shared" si="123"/>
        <v>-0.17858711966761923</v>
      </c>
      <c r="L995">
        <f>VLOOKUP(D995,[1]SOI!$A$1:$C$142,3)</f>
        <v>-14.6</v>
      </c>
      <c r="M995" s="2">
        <f t="shared" si="124"/>
        <v>-978.02055849538374</v>
      </c>
      <c r="N995">
        <f t="shared" si="125"/>
        <v>-177.51559694961352</v>
      </c>
      <c r="O995" t="s">
        <v>8</v>
      </c>
    </row>
    <row r="996" spans="1:15" x14ac:dyDescent="0.35">
      <c r="A996">
        <v>2002</v>
      </c>
      <c r="B996">
        <v>9</v>
      </c>
      <c r="C996">
        <v>21</v>
      </c>
      <c r="D996" s="1">
        <f t="shared" si="120"/>
        <v>37520</v>
      </c>
      <c r="E996">
        <v>0</v>
      </c>
      <c r="F996">
        <f t="shared" si="126"/>
        <v>1.4</v>
      </c>
      <c r="G996">
        <f t="shared" si="121"/>
        <v>0</v>
      </c>
      <c r="H996">
        <f t="shared" si="127"/>
        <v>1</v>
      </c>
      <c r="I996">
        <v>995</v>
      </c>
      <c r="J996">
        <f t="shared" si="122"/>
        <v>-0.98685050343579617</v>
      </c>
      <c r="K996">
        <f t="shared" si="123"/>
        <v>-0.16163565160111054</v>
      </c>
      <c r="L996">
        <f>VLOOKUP(D996,[1]SOI!$A$1:$C$142,3)</f>
        <v>-14.6</v>
      </c>
      <c r="M996" s="2">
        <f t="shared" si="124"/>
        <v>-981.91625091861715</v>
      </c>
      <c r="N996">
        <f t="shared" si="125"/>
        <v>-160.827473343105</v>
      </c>
      <c r="O996" t="s">
        <v>8</v>
      </c>
    </row>
    <row r="997" spans="1:15" x14ac:dyDescent="0.35">
      <c r="A997">
        <v>2002</v>
      </c>
      <c r="B997">
        <v>9</v>
      </c>
      <c r="C997">
        <v>22</v>
      </c>
      <c r="D997" s="1">
        <f t="shared" si="120"/>
        <v>37521</v>
      </c>
      <c r="E997">
        <v>0</v>
      </c>
      <c r="F997">
        <f t="shared" si="126"/>
        <v>0</v>
      </c>
      <c r="G997">
        <f t="shared" si="121"/>
        <v>0</v>
      </c>
      <c r="H997">
        <f t="shared" si="127"/>
        <v>0</v>
      </c>
      <c r="I997">
        <v>996</v>
      </c>
      <c r="J997">
        <f t="shared" si="122"/>
        <v>-0.98948487881666025</v>
      </c>
      <c r="K997">
        <f t="shared" si="123"/>
        <v>-0.14463635294482202</v>
      </c>
      <c r="L997">
        <f>VLOOKUP(D997,[1]SOI!$A$1:$C$142,3)</f>
        <v>-14.6</v>
      </c>
      <c r="M997" s="2">
        <f t="shared" si="124"/>
        <v>-985.52693930139355</v>
      </c>
      <c r="N997">
        <f t="shared" si="125"/>
        <v>-144.05780753304273</v>
      </c>
      <c r="O997" t="s">
        <v>8</v>
      </c>
    </row>
    <row r="998" spans="1:15" x14ac:dyDescent="0.35">
      <c r="A998">
        <v>2002</v>
      </c>
      <c r="B998">
        <v>9</v>
      </c>
      <c r="C998">
        <v>23</v>
      </c>
      <c r="D998" s="1">
        <f t="shared" si="120"/>
        <v>37522</v>
      </c>
      <c r="E998">
        <v>0</v>
      </c>
      <c r="F998">
        <f t="shared" si="126"/>
        <v>0</v>
      </c>
      <c r="G998">
        <f t="shared" si="121"/>
        <v>0</v>
      </c>
      <c r="H998">
        <f t="shared" si="127"/>
        <v>0</v>
      </c>
      <c r="I998">
        <v>997</v>
      </c>
      <c r="J998">
        <f t="shared" si="122"/>
        <v>-0.99182644970260159</v>
      </c>
      <c r="K998">
        <f t="shared" si="123"/>
        <v>-0.12759425406472197</v>
      </c>
      <c r="L998">
        <f>VLOOKUP(D998,[1]SOI!$A$1:$C$142,3)</f>
        <v>-14.6</v>
      </c>
      <c r="M998" s="2">
        <f t="shared" si="124"/>
        <v>-988.85097035349384</v>
      </c>
      <c r="N998">
        <f t="shared" si="125"/>
        <v>-127.2114713025278</v>
      </c>
      <c r="O998" t="s">
        <v>8</v>
      </c>
    </row>
    <row r="999" spans="1:15" x14ac:dyDescent="0.35">
      <c r="A999">
        <v>2002</v>
      </c>
      <c r="B999">
        <v>9</v>
      </c>
      <c r="C999">
        <v>24</v>
      </c>
      <c r="D999" s="1">
        <f t="shared" si="120"/>
        <v>37523</v>
      </c>
      <c r="E999">
        <v>0</v>
      </c>
      <c r="F999">
        <f t="shared" si="126"/>
        <v>0</v>
      </c>
      <c r="G999">
        <f t="shared" si="121"/>
        <v>0</v>
      </c>
      <c r="H999">
        <f t="shared" si="127"/>
        <v>0</v>
      </c>
      <c r="I999">
        <v>998</v>
      </c>
      <c r="J999">
        <f t="shared" si="122"/>
        <v>-0.99387452318512259</v>
      </c>
      <c r="K999">
        <f t="shared" si="123"/>
        <v>-0.11051439799205</v>
      </c>
      <c r="L999">
        <f>VLOOKUP(D999,[1]SOI!$A$1:$C$142,3)</f>
        <v>-14.6</v>
      </c>
      <c r="M999" s="2">
        <f t="shared" si="124"/>
        <v>-991.88677413875234</v>
      </c>
      <c r="N999">
        <f t="shared" si="125"/>
        <v>-110.2933691960659</v>
      </c>
      <c r="O999" t="s">
        <v>8</v>
      </c>
    </row>
    <row r="1000" spans="1:15" x14ac:dyDescent="0.35">
      <c r="A1000">
        <v>2002</v>
      </c>
      <c r="B1000">
        <v>9</v>
      </c>
      <c r="C1000">
        <v>25</v>
      </c>
      <c r="D1000" s="1">
        <f t="shared" si="120"/>
        <v>37524</v>
      </c>
      <c r="E1000">
        <v>0</v>
      </c>
      <c r="F1000">
        <f t="shared" si="126"/>
        <v>0</v>
      </c>
      <c r="G1000">
        <f t="shared" si="121"/>
        <v>0</v>
      </c>
      <c r="H1000">
        <f t="shared" si="127"/>
        <v>0</v>
      </c>
      <c r="I1000">
        <v>999</v>
      </c>
      <c r="J1000">
        <f t="shared" si="122"/>
        <v>-0.99562849320632929</v>
      </c>
      <c r="K1000">
        <f t="shared" si="123"/>
        <v>-9.340183893101002E-2</v>
      </c>
      <c r="L1000">
        <f>VLOOKUP(D1000,[1]SOI!$A$1:$C$142,3)</f>
        <v>-14.6</v>
      </c>
      <c r="M1000" s="2">
        <f t="shared" si="124"/>
        <v>-994.63286471312301</v>
      </c>
      <c r="N1000">
        <f t="shared" si="125"/>
        <v>-93.308437092079004</v>
      </c>
      <c r="O1000" t="s">
        <v>8</v>
      </c>
    </row>
    <row r="1001" spans="1:15" x14ac:dyDescent="0.35">
      <c r="A1001">
        <v>2002</v>
      </c>
      <c r="B1001">
        <v>9</v>
      </c>
      <c r="C1001">
        <v>26</v>
      </c>
      <c r="D1001" s="1">
        <f t="shared" si="120"/>
        <v>37525</v>
      </c>
      <c r="E1001">
        <v>0</v>
      </c>
      <c r="F1001">
        <f t="shared" si="126"/>
        <v>0</v>
      </c>
      <c r="G1001">
        <f t="shared" si="121"/>
        <v>0</v>
      </c>
      <c r="H1001">
        <f t="shared" si="127"/>
        <v>0</v>
      </c>
      <c r="I1001">
        <v>1000</v>
      </c>
      <c r="J1001">
        <f t="shared" si="122"/>
        <v>-0.99708784073827439</v>
      </c>
      <c r="K1001">
        <f t="shared" si="123"/>
        <v>-7.6261640763135741E-2</v>
      </c>
      <c r="L1001">
        <f>VLOOKUP(D1001,[1]SOI!$A$1:$C$142,3)</f>
        <v>-14.6</v>
      </c>
      <c r="M1001" s="2">
        <f t="shared" si="124"/>
        <v>-997.08784073827439</v>
      </c>
      <c r="N1001">
        <f t="shared" si="125"/>
        <v>-76.261640763135745</v>
      </c>
      <c r="O1001" t="s">
        <v>8</v>
      </c>
    </row>
    <row r="1002" spans="1:15" x14ac:dyDescent="0.35">
      <c r="A1002">
        <v>2002</v>
      </c>
      <c r="B1002">
        <v>9</v>
      </c>
      <c r="C1002">
        <v>27</v>
      </c>
      <c r="D1002" s="1">
        <f t="shared" si="120"/>
        <v>37526</v>
      </c>
      <c r="E1002">
        <v>0</v>
      </c>
      <c r="F1002">
        <f t="shared" si="126"/>
        <v>0</v>
      </c>
      <c r="G1002">
        <f t="shared" si="121"/>
        <v>0</v>
      </c>
      <c r="H1002">
        <f t="shared" si="127"/>
        <v>0</v>
      </c>
      <c r="I1002">
        <v>1001</v>
      </c>
      <c r="J1002">
        <f t="shared" si="122"/>
        <v>-0.99825213393654422</v>
      </c>
      <c r="K1002">
        <f t="shared" si="123"/>
        <v>-5.9098875548827819E-2</v>
      </c>
      <c r="L1002">
        <f>VLOOKUP(D1002,[1]SOI!$A$1:$C$142,3)</f>
        <v>-14.6</v>
      </c>
      <c r="M1002" s="2">
        <f t="shared" si="124"/>
        <v>-999.25038607048077</v>
      </c>
      <c r="N1002">
        <f t="shared" si="125"/>
        <v>-59.157974424376647</v>
      </c>
      <c r="O1002" t="s">
        <v>8</v>
      </c>
    </row>
    <row r="1003" spans="1:15" x14ac:dyDescent="0.35">
      <c r="A1003">
        <v>2002</v>
      </c>
      <c r="B1003">
        <v>9</v>
      </c>
      <c r="C1003">
        <v>28</v>
      </c>
      <c r="D1003" s="1">
        <f t="shared" si="120"/>
        <v>37527</v>
      </c>
      <c r="E1003">
        <v>0.4</v>
      </c>
      <c r="F1003">
        <f t="shared" si="126"/>
        <v>0</v>
      </c>
      <c r="G1003">
        <f t="shared" si="121"/>
        <v>1</v>
      </c>
      <c r="H1003">
        <f t="shared" si="127"/>
        <v>0</v>
      </c>
      <c r="I1003">
        <v>1002</v>
      </c>
      <c r="J1003">
        <f t="shared" si="122"/>
        <v>-0.99912102826804949</v>
      </c>
      <c r="K1003">
        <f t="shared" si="123"/>
        <v>-4.1918622026439062E-2</v>
      </c>
      <c r="L1003">
        <f>VLOOKUP(D1003,[1]SOI!$A$1:$C$142,3)</f>
        <v>-14.6</v>
      </c>
      <c r="M1003" s="2">
        <f t="shared" si="124"/>
        <v>-1001.1192703245856</v>
      </c>
      <c r="N1003">
        <f t="shared" si="125"/>
        <v>-42.00245927049194</v>
      </c>
      <c r="O1003" t="s">
        <v>8</v>
      </c>
    </row>
    <row r="1004" spans="1:15" x14ac:dyDescent="0.35">
      <c r="A1004">
        <v>2002</v>
      </c>
      <c r="B1004">
        <v>9</v>
      </c>
      <c r="C1004">
        <v>29</v>
      </c>
      <c r="D1004" s="1">
        <f t="shared" si="120"/>
        <v>37528</v>
      </c>
      <c r="E1004">
        <v>9</v>
      </c>
      <c r="F1004">
        <f t="shared" si="126"/>
        <v>0.4</v>
      </c>
      <c r="G1004">
        <f t="shared" si="121"/>
        <v>1</v>
      </c>
      <c r="H1004">
        <f t="shared" si="127"/>
        <v>1</v>
      </c>
      <c r="I1004">
        <v>1003</v>
      </c>
      <c r="J1004">
        <f t="shared" si="122"/>
        <v>-0.99969426661297878</v>
      </c>
      <c r="K1004">
        <f t="shared" si="123"/>
        <v>-2.4725964109383363E-2</v>
      </c>
      <c r="L1004">
        <f>VLOOKUP(D1004,[1]SOI!$A$1:$C$142,3)</f>
        <v>-14.6</v>
      </c>
      <c r="M1004" s="2">
        <f t="shared" si="124"/>
        <v>-1002.6933494128177</v>
      </c>
      <c r="N1004">
        <f t="shared" si="125"/>
        <v>-24.800142001711514</v>
      </c>
      <c r="O1004" t="s">
        <v>8</v>
      </c>
    </row>
    <row r="1005" spans="1:15" x14ac:dyDescent="0.35">
      <c r="A1005">
        <v>2002</v>
      </c>
      <c r="B1005">
        <v>9</v>
      </c>
      <c r="C1005">
        <v>30</v>
      </c>
      <c r="D1005" s="1">
        <f t="shared" si="120"/>
        <v>37529</v>
      </c>
      <c r="E1005">
        <v>0</v>
      </c>
      <c r="F1005">
        <f t="shared" si="126"/>
        <v>9</v>
      </c>
      <c r="G1005">
        <f t="shared" si="121"/>
        <v>0</v>
      </c>
      <c r="H1005">
        <f t="shared" si="127"/>
        <v>1</v>
      </c>
      <c r="I1005">
        <v>1004</v>
      </c>
      <c r="J1005">
        <f t="shared" si="122"/>
        <v>-0.99997167934088305</v>
      </c>
      <c r="K1005">
        <f t="shared" si="123"/>
        <v>-7.5259893817451835E-3</v>
      </c>
      <c r="L1005">
        <f>VLOOKUP(D1005,[1]SOI!$A$1:$C$142,3)</f>
        <v>-14.6</v>
      </c>
      <c r="M1005" s="2">
        <f t="shared" si="124"/>
        <v>-1003.9715660582466</v>
      </c>
      <c r="N1005">
        <f t="shared" si="125"/>
        <v>-7.5560933392721639</v>
      </c>
      <c r="O1005" t="s">
        <v>8</v>
      </c>
    </row>
    <row r="1006" spans="1:15" x14ac:dyDescent="0.35">
      <c r="A1006">
        <v>2002</v>
      </c>
      <c r="B1006">
        <v>10</v>
      </c>
      <c r="C1006">
        <v>1</v>
      </c>
      <c r="D1006" s="1">
        <f t="shared" si="120"/>
        <v>37530</v>
      </c>
      <c r="E1006">
        <v>0</v>
      </c>
      <c r="F1006">
        <f t="shared" si="126"/>
        <v>0</v>
      </c>
      <c r="G1006">
        <f t="shared" si="121"/>
        <v>0</v>
      </c>
      <c r="H1006">
        <f t="shared" si="127"/>
        <v>0</v>
      </c>
      <c r="I1006">
        <v>1005</v>
      </c>
      <c r="J1006">
        <f t="shared" si="122"/>
        <v>-0.9999531843608731</v>
      </c>
      <c r="K1006">
        <f t="shared" si="123"/>
        <v>9.6762124072290283E-3</v>
      </c>
      <c r="L1006">
        <f>VLOOKUP(D1006,[1]SOI!$A$1:$C$142,3)</f>
        <v>-7.6</v>
      </c>
      <c r="M1006" s="2">
        <f t="shared" si="124"/>
        <v>-1004.9529502826774</v>
      </c>
      <c r="N1006">
        <f t="shared" si="125"/>
        <v>9.724593469265173</v>
      </c>
      <c r="O1006" t="s">
        <v>8</v>
      </c>
    </row>
    <row r="1007" spans="1:15" x14ac:dyDescent="0.35">
      <c r="A1007">
        <v>2002</v>
      </c>
      <c r="B1007">
        <v>10</v>
      </c>
      <c r="C1007">
        <v>2</v>
      </c>
      <c r="D1007" s="1">
        <f t="shared" si="120"/>
        <v>37531</v>
      </c>
      <c r="E1007">
        <v>0</v>
      </c>
      <c r="F1007">
        <f t="shared" si="126"/>
        <v>0</v>
      </c>
      <c r="G1007">
        <f t="shared" si="121"/>
        <v>0</v>
      </c>
      <c r="H1007">
        <f t="shared" si="127"/>
        <v>0</v>
      </c>
      <c r="I1007">
        <v>1006</v>
      </c>
      <c r="J1007">
        <f t="shared" si="122"/>
        <v>-0.99963878714591092</v>
      </c>
      <c r="K1007">
        <f t="shared" si="123"/>
        <v>2.6875550849280207E-2</v>
      </c>
      <c r="L1007">
        <f>VLOOKUP(D1007,[1]SOI!$A$1:$C$142,3)</f>
        <v>-7.6</v>
      </c>
      <c r="M1007" s="2">
        <f t="shared" si="124"/>
        <v>-1005.6366198687864</v>
      </c>
      <c r="N1007">
        <f t="shared" si="125"/>
        <v>27.036804154375886</v>
      </c>
      <c r="O1007" t="s">
        <v>8</v>
      </c>
    </row>
    <row r="1008" spans="1:15" x14ac:dyDescent="0.35">
      <c r="A1008">
        <v>2002</v>
      </c>
      <c r="B1008">
        <v>10</v>
      </c>
      <c r="C1008">
        <v>3</v>
      </c>
      <c r="D1008" s="1">
        <f t="shared" si="120"/>
        <v>37532</v>
      </c>
      <c r="E1008">
        <v>0</v>
      </c>
      <c r="F1008">
        <f t="shared" si="126"/>
        <v>0</v>
      </c>
      <c r="G1008">
        <f t="shared" si="121"/>
        <v>0</v>
      </c>
      <c r="H1008">
        <f t="shared" si="127"/>
        <v>0</v>
      </c>
      <c r="I1008">
        <v>1007</v>
      </c>
      <c r="J1008">
        <f t="shared" si="122"/>
        <v>-0.99902858073119083</v>
      </c>
      <c r="K1008">
        <f t="shared" si="123"/>
        <v>4.4066936383445492E-2</v>
      </c>
      <c r="L1008">
        <f>VLOOKUP(D1008,[1]SOI!$A$1:$C$142,3)</f>
        <v>-7.6</v>
      </c>
      <c r="M1008" s="2">
        <f t="shared" si="124"/>
        <v>-1006.0217807963091</v>
      </c>
      <c r="N1008">
        <f t="shared" si="125"/>
        <v>44.375404938129613</v>
      </c>
      <c r="O1008" t="s">
        <v>8</v>
      </c>
    </row>
    <row r="1009" spans="1:15" x14ac:dyDescent="0.35">
      <c r="A1009">
        <v>2002</v>
      </c>
      <c r="B1009">
        <v>10</v>
      </c>
      <c r="C1009">
        <v>4</v>
      </c>
      <c r="D1009" s="1">
        <f t="shared" si="120"/>
        <v>37533</v>
      </c>
      <c r="E1009">
        <v>2.2000000000000002</v>
      </c>
      <c r="F1009">
        <f t="shared" si="126"/>
        <v>0</v>
      </c>
      <c r="G1009">
        <f t="shared" si="121"/>
        <v>1</v>
      </c>
      <c r="H1009">
        <f t="shared" si="127"/>
        <v>0</v>
      </c>
      <c r="I1009">
        <v>1008</v>
      </c>
      <c r="J1009">
        <f t="shared" si="122"/>
        <v>-0.99812274568660786</v>
      </c>
      <c r="K1009">
        <f t="shared" si="123"/>
        <v>6.1245281802169642E-2</v>
      </c>
      <c r="L1009">
        <f>VLOOKUP(D1009,[1]SOI!$A$1:$C$142,3)</f>
        <v>-7.6</v>
      </c>
      <c r="M1009" s="2">
        <f t="shared" si="124"/>
        <v>-1006.1077276521007</v>
      </c>
      <c r="N1009">
        <f t="shared" si="125"/>
        <v>61.735244056587</v>
      </c>
      <c r="O1009" t="s">
        <v>8</v>
      </c>
    </row>
    <row r="1010" spans="1:15" x14ac:dyDescent="0.35">
      <c r="A1010">
        <v>2002</v>
      </c>
      <c r="B1010">
        <v>10</v>
      </c>
      <c r="C1010">
        <v>5</v>
      </c>
      <c r="D1010" s="1">
        <f t="shared" si="120"/>
        <v>37534</v>
      </c>
      <c r="E1010">
        <v>4.5999999999999996</v>
      </c>
      <c r="F1010">
        <f t="shared" si="126"/>
        <v>2.2000000000000002</v>
      </c>
      <c r="G1010">
        <f t="shared" si="121"/>
        <v>1</v>
      </c>
      <c r="H1010">
        <f t="shared" si="127"/>
        <v>1</v>
      </c>
      <c r="I1010">
        <v>1009</v>
      </c>
      <c r="J1010">
        <f t="shared" si="122"/>
        <v>-0.99692155006332539</v>
      </c>
      <c r="K1010">
        <f t="shared" si="123"/>
        <v>7.8405503756666689E-2</v>
      </c>
      <c r="L1010">
        <f>VLOOKUP(D1010,[1]SOI!$A$1:$C$142,3)</f>
        <v>-7.6</v>
      </c>
      <c r="M1010" s="2">
        <f t="shared" si="124"/>
        <v>-1005.8938440138953</v>
      </c>
      <c r="N1010">
        <f t="shared" si="125"/>
        <v>79.111153290476693</v>
      </c>
      <c r="O1010" t="s">
        <v>8</v>
      </c>
    </row>
    <row r="1011" spans="1:15" x14ac:dyDescent="0.35">
      <c r="A1011">
        <v>2002</v>
      </c>
      <c r="B1011">
        <v>10</v>
      </c>
      <c r="C1011">
        <v>6</v>
      </c>
      <c r="D1011" s="1">
        <f t="shared" si="120"/>
        <v>37535</v>
      </c>
      <c r="E1011">
        <v>0</v>
      </c>
      <c r="F1011">
        <f t="shared" si="126"/>
        <v>4.5999999999999996</v>
      </c>
      <c r="G1011">
        <f t="shared" si="121"/>
        <v>0</v>
      </c>
      <c r="H1011">
        <f t="shared" si="127"/>
        <v>1</v>
      </c>
      <c r="I1011">
        <v>1010</v>
      </c>
      <c r="J1011">
        <f t="shared" si="122"/>
        <v>-0.99542534931445403</v>
      </c>
      <c r="K1011">
        <f t="shared" si="123"/>
        <v>9.5542524261175335E-2</v>
      </c>
      <c r="L1011">
        <f>VLOOKUP(D1011,[1]SOI!$A$1:$C$142,3)</f>
        <v>-7.6</v>
      </c>
      <c r="M1011" s="2">
        <f t="shared" si="124"/>
        <v>-1005.3796028075985</v>
      </c>
      <c r="N1011">
        <f t="shared" si="125"/>
        <v>96.497949503787083</v>
      </c>
      <c r="O1011" t="s">
        <v>8</v>
      </c>
    </row>
    <row r="1012" spans="1:15" x14ac:dyDescent="0.35">
      <c r="A1012">
        <v>2002</v>
      </c>
      <c r="B1012">
        <v>10</v>
      </c>
      <c r="C1012">
        <v>7</v>
      </c>
      <c r="D1012" s="1">
        <f t="shared" si="120"/>
        <v>37536</v>
      </c>
      <c r="E1012">
        <v>0</v>
      </c>
      <c r="F1012">
        <f t="shared" si="126"/>
        <v>0</v>
      </c>
      <c r="G1012">
        <f t="shared" si="121"/>
        <v>0</v>
      </c>
      <c r="H1012">
        <f t="shared" si="127"/>
        <v>0</v>
      </c>
      <c r="I1012">
        <v>1011</v>
      </c>
      <c r="J1012">
        <f t="shared" si="122"/>
        <v>-0.99363458618986622</v>
      </c>
      <c r="K1012">
        <f t="shared" si="123"/>
        <v>0.11265127219562723</v>
      </c>
      <c r="L1012">
        <f>VLOOKUP(D1012,[1]SOI!$A$1:$C$142,3)</f>
        <v>-7.6</v>
      </c>
      <c r="M1012" s="2">
        <f t="shared" si="124"/>
        <v>-1004.5645666379547</v>
      </c>
      <c r="N1012">
        <f t="shared" si="125"/>
        <v>113.89043618977914</v>
      </c>
      <c r="O1012" t="s">
        <v>8</v>
      </c>
    </row>
    <row r="1013" spans="1:15" x14ac:dyDescent="0.35">
      <c r="A1013">
        <v>2002</v>
      </c>
      <c r="B1013">
        <v>10</v>
      </c>
      <c r="C1013">
        <v>8</v>
      </c>
      <c r="D1013" s="1">
        <f t="shared" si="120"/>
        <v>37537</v>
      </c>
      <c r="E1013">
        <v>3</v>
      </c>
      <c r="F1013">
        <f t="shared" si="126"/>
        <v>0</v>
      </c>
      <c r="G1013">
        <f t="shared" si="121"/>
        <v>1</v>
      </c>
      <c r="H1013">
        <f t="shared" si="127"/>
        <v>0</v>
      </c>
      <c r="I1013">
        <v>1012</v>
      </c>
      <c r="J1013">
        <f t="shared" si="122"/>
        <v>-0.99154979060518156</v>
      </c>
      <c r="K1013">
        <f t="shared" si="123"/>
        <v>0.12972668480625174</v>
      </c>
      <c r="L1013">
        <f>VLOOKUP(D1013,[1]SOI!$A$1:$C$142,3)</f>
        <v>-7.6</v>
      </c>
      <c r="M1013" s="2">
        <f t="shared" si="124"/>
        <v>-1003.4483880924438</v>
      </c>
      <c r="N1013">
        <f t="shared" si="125"/>
        <v>131.28340502392678</v>
      </c>
      <c r="O1013" t="s">
        <v>8</v>
      </c>
    </row>
    <row r="1014" spans="1:15" x14ac:dyDescent="0.35">
      <c r="A1014">
        <v>2002</v>
      </c>
      <c r="B1014">
        <v>10</v>
      </c>
      <c r="C1014">
        <v>9</v>
      </c>
      <c r="D1014" s="1">
        <f t="shared" si="120"/>
        <v>37538</v>
      </c>
      <c r="E1014">
        <v>1.2</v>
      </c>
      <c r="F1014">
        <f t="shared" si="126"/>
        <v>3</v>
      </c>
      <c r="G1014">
        <f t="shared" si="121"/>
        <v>1</v>
      </c>
      <c r="H1014">
        <f t="shared" si="127"/>
        <v>1</v>
      </c>
      <c r="I1014">
        <v>1013</v>
      </c>
      <c r="J1014">
        <f t="shared" si="122"/>
        <v>-0.9891715794849546</v>
      </c>
      <c r="K1014">
        <f t="shared" si="123"/>
        <v>0.14676370920374041</v>
      </c>
      <c r="L1014">
        <f>VLOOKUP(D1014,[1]SOI!$A$1:$C$142,3)</f>
        <v>-7.6</v>
      </c>
      <c r="M1014" s="2">
        <f t="shared" si="124"/>
        <v>-1002.030810018259</v>
      </c>
      <c r="N1014">
        <f t="shared" si="125"/>
        <v>148.67163742338903</v>
      </c>
      <c r="O1014" t="s">
        <v>8</v>
      </c>
    </row>
    <row r="1015" spans="1:15" x14ac:dyDescent="0.35">
      <c r="A1015">
        <v>2002</v>
      </c>
      <c r="B1015">
        <v>10</v>
      </c>
      <c r="C1015">
        <v>10</v>
      </c>
      <c r="D1015" s="1">
        <f t="shared" si="120"/>
        <v>37539</v>
      </c>
      <c r="E1015">
        <v>0</v>
      </c>
      <c r="F1015">
        <f t="shared" si="126"/>
        <v>1.2</v>
      </c>
      <c r="G1015">
        <f t="shared" si="121"/>
        <v>0</v>
      </c>
      <c r="H1015">
        <f t="shared" si="127"/>
        <v>1</v>
      </c>
      <c r="I1015">
        <v>1014</v>
      </c>
      <c r="J1015">
        <f t="shared" si="122"/>
        <v>-0.98650065658011821</v>
      </c>
      <c r="K1015">
        <f t="shared" si="123"/>
        <v>0.16375730385847118</v>
      </c>
      <c r="L1015">
        <f>VLOOKUP(D1015,[1]SOI!$A$1:$C$142,3)</f>
        <v>-7.6</v>
      </c>
      <c r="M1015" s="2">
        <f t="shared" si="124"/>
        <v>-1000.3116657722398</v>
      </c>
      <c r="N1015">
        <f t="shared" si="125"/>
        <v>166.04990611248977</v>
      </c>
      <c r="O1015" t="s">
        <v>8</v>
      </c>
    </row>
    <row r="1016" spans="1:15" x14ac:dyDescent="0.35">
      <c r="A1016">
        <v>2002</v>
      </c>
      <c r="B1016">
        <v>10</v>
      </c>
      <c r="C1016">
        <v>11</v>
      </c>
      <c r="D1016" s="1">
        <f t="shared" si="120"/>
        <v>37540</v>
      </c>
      <c r="E1016">
        <v>0</v>
      </c>
      <c r="F1016">
        <f t="shared" si="126"/>
        <v>0</v>
      </c>
      <c r="G1016">
        <f t="shared" si="121"/>
        <v>0</v>
      </c>
      <c r="H1016">
        <f t="shared" si="127"/>
        <v>0</v>
      </c>
      <c r="I1016">
        <v>1015</v>
      </c>
      <c r="J1016">
        <f t="shared" si="122"/>
        <v>-0.9835378122597298</v>
      </c>
      <c r="K1016">
        <f t="shared" si="123"/>
        <v>0.18070244009239203</v>
      </c>
      <c r="L1016">
        <f>VLOOKUP(D1016,[1]SOI!$A$1:$C$142,3)</f>
        <v>-7.6</v>
      </c>
      <c r="M1016" s="2">
        <f t="shared" si="124"/>
        <v>-998.29087944362573</v>
      </c>
      <c r="N1016">
        <f t="shared" si="125"/>
        <v>183.41297669377792</v>
      </c>
      <c r="O1016" t="s">
        <v>8</v>
      </c>
    </row>
    <row r="1017" spans="1:15" x14ac:dyDescent="0.35">
      <c r="A1017">
        <v>2002</v>
      </c>
      <c r="B1017">
        <v>10</v>
      </c>
      <c r="C1017">
        <v>12</v>
      </c>
      <c r="D1017" s="1">
        <f t="shared" si="120"/>
        <v>37541</v>
      </c>
      <c r="E1017">
        <v>0</v>
      </c>
      <c r="F1017">
        <f t="shared" si="126"/>
        <v>0</v>
      </c>
      <c r="G1017">
        <f t="shared" si="121"/>
        <v>0</v>
      </c>
      <c r="H1017">
        <f t="shared" si="127"/>
        <v>0</v>
      </c>
      <c r="I1017">
        <v>1016</v>
      </c>
      <c r="J1017">
        <f t="shared" si="122"/>
        <v>-0.9802839232770918</v>
      </c>
      <c r="K1017">
        <f t="shared" si="123"/>
        <v>0.19759410356706683</v>
      </c>
      <c r="L1017">
        <f>VLOOKUP(D1017,[1]SOI!$A$1:$C$142,3)</f>
        <v>-7.6</v>
      </c>
      <c r="M1017" s="2">
        <f t="shared" si="124"/>
        <v>-995.96846604952532</v>
      </c>
      <c r="N1017">
        <f t="shared" si="125"/>
        <v>200.7556092241399</v>
      </c>
      <c r="O1017" t="s">
        <v>8</v>
      </c>
    </row>
    <row r="1018" spans="1:15" x14ac:dyDescent="0.35">
      <c r="A1018">
        <v>2002</v>
      </c>
      <c r="B1018">
        <v>10</v>
      </c>
      <c r="C1018">
        <v>13</v>
      </c>
      <c r="D1018" s="1">
        <f t="shared" si="120"/>
        <v>37542</v>
      </c>
      <c r="E1018">
        <v>2.8</v>
      </c>
      <c r="F1018">
        <f t="shared" si="126"/>
        <v>0</v>
      </c>
      <c r="G1018">
        <f t="shared" si="121"/>
        <v>1</v>
      </c>
      <c r="H1018">
        <f t="shared" si="127"/>
        <v>0</v>
      </c>
      <c r="I1018">
        <v>1017</v>
      </c>
      <c r="J1018">
        <f t="shared" si="122"/>
        <v>-0.9767399525103051</v>
      </c>
      <c r="K1018">
        <f t="shared" si="123"/>
        <v>0.21442729576750921</v>
      </c>
      <c r="L1018">
        <f>VLOOKUP(D1018,[1]SOI!$A$1:$C$142,3)</f>
        <v>-7.6</v>
      </c>
      <c r="M1018" s="2">
        <f t="shared" si="124"/>
        <v>-993.34453170298025</v>
      </c>
      <c r="N1018">
        <f t="shared" si="125"/>
        <v>218.07255979555686</v>
      </c>
      <c r="O1018" t="s">
        <v>8</v>
      </c>
    </row>
    <row r="1019" spans="1:15" x14ac:dyDescent="0.35">
      <c r="A1019">
        <v>2002</v>
      </c>
      <c r="B1019">
        <v>10</v>
      </c>
      <c r="C1019">
        <v>14</v>
      </c>
      <c r="D1019" s="1">
        <f t="shared" si="120"/>
        <v>37543</v>
      </c>
      <c r="E1019">
        <v>1.2</v>
      </c>
      <c r="F1019">
        <f t="shared" si="126"/>
        <v>2.8</v>
      </c>
      <c r="G1019">
        <f t="shared" si="121"/>
        <v>1</v>
      </c>
      <c r="H1019">
        <f t="shared" si="127"/>
        <v>1</v>
      </c>
      <c r="I1019">
        <v>1018</v>
      </c>
      <c r="J1019">
        <f t="shared" si="122"/>
        <v>-0.97290694867733507</v>
      </c>
      <c r="K1019">
        <f t="shared" si="123"/>
        <v>0.231197035481334</v>
      </c>
      <c r="L1019">
        <f>VLOOKUP(D1019,[1]SOI!$A$1:$C$142,3)</f>
        <v>-7.6</v>
      </c>
      <c r="M1019" s="2">
        <f t="shared" si="124"/>
        <v>-990.41927375352714</v>
      </c>
      <c r="N1019">
        <f t="shared" si="125"/>
        <v>235.358582119998</v>
      </c>
      <c r="O1019" t="s">
        <v>8</v>
      </c>
    </row>
    <row r="1020" spans="1:15" x14ac:dyDescent="0.35">
      <c r="A1020">
        <v>2002</v>
      </c>
      <c r="B1020">
        <v>10</v>
      </c>
      <c r="C1020">
        <v>15</v>
      </c>
      <c r="D1020" s="1">
        <f t="shared" si="120"/>
        <v>37544</v>
      </c>
      <c r="E1020">
        <v>0.6</v>
      </c>
      <c r="F1020">
        <f t="shared" si="126"/>
        <v>1.2</v>
      </c>
      <c r="G1020">
        <f t="shared" si="121"/>
        <v>1</v>
      </c>
      <c r="H1020">
        <f t="shared" si="127"/>
        <v>1</v>
      </c>
      <c r="I1020">
        <v>1019</v>
      </c>
      <c r="J1020">
        <f t="shared" si="122"/>
        <v>-0.96878604602568374</v>
      </c>
      <c r="K1020">
        <f t="shared" si="123"/>
        <v>0.24789836027275722</v>
      </c>
      <c r="L1020">
        <f>VLOOKUP(D1020,[1]SOI!$A$1:$C$142,3)</f>
        <v>-7.6</v>
      </c>
      <c r="M1020" s="2">
        <f t="shared" si="124"/>
        <v>-987.19298090017173</v>
      </c>
      <c r="N1020">
        <f t="shared" si="125"/>
        <v>252.60842911793961</v>
      </c>
      <c r="O1020" t="s">
        <v>8</v>
      </c>
    </row>
    <row r="1021" spans="1:15" x14ac:dyDescent="0.35">
      <c r="A1021">
        <v>2002</v>
      </c>
      <c r="B1021">
        <v>10</v>
      </c>
      <c r="C1021">
        <v>16</v>
      </c>
      <c r="D1021" s="1">
        <f t="shared" si="120"/>
        <v>37545</v>
      </c>
      <c r="E1021">
        <v>0.2</v>
      </c>
      <c r="F1021">
        <f t="shared" si="126"/>
        <v>0.6</v>
      </c>
      <c r="G1021">
        <f t="shared" si="121"/>
        <v>1</v>
      </c>
      <c r="H1021">
        <f t="shared" si="127"/>
        <v>1</v>
      </c>
      <c r="I1021">
        <v>1020</v>
      </c>
      <c r="J1021">
        <f t="shared" si="122"/>
        <v>-0.96437846399674554</v>
      </c>
      <c r="K1021">
        <f t="shared" si="123"/>
        <v>0.26452632795107123</v>
      </c>
      <c r="L1021">
        <f>VLOOKUP(D1021,[1]SOI!$A$1:$C$142,3)</f>
        <v>-7.6</v>
      </c>
      <c r="M1021" s="2">
        <f t="shared" si="124"/>
        <v>-983.66603327668042</v>
      </c>
      <c r="N1021">
        <f t="shared" si="125"/>
        <v>269.81685451009264</v>
      </c>
      <c r="O1021" t="s">
        <v>8</v>
      </c>
    </row>
    <row r="1022" spans="1:15" x14ac:dyDescent="0.35">
      <c r="A1022">
        <v>2002</v>
      </c>
      <c r="B1022">
        <v>10</v>
      </c>
      <c r="C1022">
        <v>17</v>
      </c>
      <c r="D1022" s="1">
        <f t="shared" si="120"/>
        <v>37546</v>
      </c>
      <c r="E1022">
        <v>0</v>
      </c>
      <c r="F1022">
        <f t="shared" si="126"/>
        <v>0.2</v>
      </c>
      <c r="G1022">
        <f t="shared" si="121"/>
        <v>0</v>
      </c>
      <c r="H1022">
        <f t="shared" si="127"/>
        <v>1</v>
      </c>
      <c r="I1022">
        <v>1021</v>
      </c>
      <c r="J1022">
        <f t="shared" si="122"/>
        <v>-0.95968550686495235</v>
      </c>
      <c r="K1022">
        <f t="shared" si="123"/>
        <v>0.28107601803312854</v>
      </c>
      <c r="L1022">
        <f>VLOOKUP(D1022,[1]SOI!$A$1:$C$142,3)</f>
        <v>-7.6</v>
      </c>
      <c r="M1022" s="2">
        <f t="shared" si="124"/>
        <v>-979.83890250911634</v>
      </c>
      <c r="N1022">
        <f t="shared" si="125"/>
        <v>286.97861441182425</v>
      </c>
      <c r="O1022" t="s">
        <v>8</v>
      </c>
    </row>
    <row r="1023" spans="1:15" x14ac:dyDescent="0.35">
      <c r="A1023">
        <v>2002</v>
      </c>
      <c r="B1023">
        <v>10</v>
      </c>
      <c r="C1023">
        <v>18</v>
      </c>
      <c r="D1023" s="1">
        <f t="shared" si="120"/>
        <v>37547</v>
      </c>
      <c r="E1023">
        <v>0</v>
      </c>
      <c r="F1023">
        <f t="shared" si="126"/>
        <v>0</v>
      </c>
      <c r="G1023">
        <f t="shared" si="121"/>
        <v>0</v>
      </c>
      <c r="H1023">
        <f t="shared" si="127"/>
        <v>0</v>
      </c>
      <c r="I1023">
        <v>1022</v>
      </c>
      <c r="J1023">
        <f t="shared" si="122"/>
        <v>-0.95470856335182352</v>
      </c>
      <c r="K1023">
        <f t="shared" si="123"/>
        <v>0.29754253319936813</v>
      </c>
      <c r="L1023">
        <f>VLOOKUP(D1023,[1]SOI!$A$1:$C$142,3)</f>
        <v>-7.6</v>
      </c>
      <c r="M1023" s="2">
        <f t="shared" si="124"/>
        <v>-975.71215174556369</v>
      </c>
      <c r="N1023">
        <f t="shared" si="125"/>
        <v>304.08846892975424</v>
      </c>
      <c r="O1023" t="s">
        <v>8</v>
      </c>
    </row>
    <row r="1024" spans="1:15" x14ac:dyDescent="0.35">
      <c r="A1024">
        <v>2002</v>
      </c>
      <c r="B1024">
        <v>10</v>
      </c>
      <c r="C1024">
        <v>19</v>
      </c>
      <c r="D1024" s="1">
        <f t="shared" si="120"/>
        <v>37548</v>
      </c>
      <c r="E1024">
        <v>0</v>
      </c>
      <c r="F1024">
        <f t="shared" si="126"/>
        <v>0</v>
      </c>
      <c r="G1024">
        <f t="shared" si="121"/>
        <v>0</v>
      </c>
      <c r="H1024">
        <f t="shared" si="127"/>
        <v>0</v>
      </c>
      <c r="I1024">
        <v>1023</v>
      </c>
      <c r="J1024">
        <f t="shared" si="122"/>
        <v>-0.94944910621501422</v>
      </c>
      <c r="K1024">
        <f t="shared" si="123"/>
        <v>0.31392100074303836</v>
      </c>
      <c r="L1024">
        <f>VLOOKUP(D1024,[1]SOI!$A$1:$C$142,3)</f>
        <v>-7.6</v>
      </c>
      <c r="M1024" s="2">
        <f t="shared" si="124"/>
        <v>-971.28643565795949</v>
      </c>
      <c r="N1024">
        <f t="shared" si="125"/>
        <v>321.14118376012823</v>
      </c>
      <c r="O1024" t="s">
        <v>8</v>
      </c>
    </row>
    <row r="1025" spans="1:15" x14ac:dyDescent="0.35">
      <c r="A1025">
        <v>2002</v>
      </c>
      <c r="B1025">
        <v>10</v>
      </c>
      <c r="C1025">
        <v>20</v>
      </c>
      <c r="D1025" s="1">
        <f t="shared" si="120"/>
        <v>37549</v>
      </c>
      <c r="E1025">
        <v>0</v>
      </c>
      <c r="F1025">
        <f t="shared" si="126"/>
        <v>0</v>
      </c>
      <c r="G1025">
        <f t="shared" si="121"/>
        <v>0</v>
      </c>
      <c r="H1025">
        <f t="shared" si="127"/>
        <v>0</v>
      </c>
      <c r="I1025">
        <v>1024</v>
      </c>
      <c r="J1025">
        <f t="shared" si="122"/>
        <v>-0.94390869181250847</v>
      </c>
      <c r="K1025">
        <f t="shared" si="123"/>
        <v>0.33020657401208553</v>
      </c>
      <c r="L1025">
        <f>VLOOKUP(D1025,[1]SOI!$A$1:$C$142,3)</f>
        <v>-7.6</v>
      </c>
      <c r="M1025" s="2">
        <f t="shared" si="124"/>
        <v>-966.56250041600867</v>
      </c>
      <c r="N1025">
        <f t="shared" si="125"/>
        <v>338.13153178837558</v>
      </c>
      <c r="O1025" t="s">
        <v>8</v>
      </c>
    </row>
    <row r="1026" spans="1:15" x14ac:dyDescent="0.35">
      <c r="A1026">
        <v>2002</v>
      </c>
      <c r="B1026">
        <v>10</v>
      </c>
      <c r="C1026">
        <v>21</v>
      </c>
      <c r="D1026" s="1">
        <f t="shared" si="120"/>
        <v>37550</v>
      </c>
      <c r="E1026">
        <v>0</v>
      </c>
      <c r="F1026">
        <f t="shared" si="126"/>
        <v>0</v>
      </c>
      <c r="G1026">
        <f t="shared" si="121"/>
        <v>0</v>
      </c>
      <c r="H1026">
        <f t="shared" si="127"/>
        <v>0</v>
      </c>
      <c r="I1026">
        <v>1025</v>
      </c>
      <c r="J1026">
        <f t="shared" si="122"/>
        <v>-0.93808895964206607</v>
      </c>
      <c r="K1026">
        <f t="shared" si="123"/>
        <v>0.34639443384336621</v>
      </c>
      <c r="L1026">
        <f>VLOOKUP(D1026,[1]SOI!$A$1:$C$142,3)</f>
        <v>-7.6</v>
      </c>
      <c r="M1026" s="2">
        <f t="shared" si="124"/>
        <v>-961.54118363311773</v>
      </c>
      <c r="N1026">
        <f t="shared" si="125"/>
        <v>355.05429468945039</v>
      </c>
      <c r="O1026" t="s">
        <v>8</v>
      </c>
    </row>
    <row r="1027" spans="1:15" x14ac:dyDescent="0.35">
      <c r="A1027">
        <v>2002</v>
      </c>
      <c r="B1027">
        <v>10</v>
      </c>
      <c r="C1027">
        <v>22</v>
      </c>
      <c r="D1027" s="1">
        <f t="shared" ref="D1027:D1090" si="128">DATE(A1027,B1027,C1027)</f>
        <v>37551</v>
      </c>
      <c r="E1027">
        <v>0</v>
      </c>
      <c r="F1027">
        <f t="shared" si="126"/>
        <v>0</v>
      </c>
      <c r="G1027">
        <f t="shared" ref="G1027:G1090" si="129">IF(E1027=0,0,1)</f>
        <v>0</v>
      </c>
      <c r="H1027">
        <f t="shared" si="127"/>
        <v>0</v>
      </c>
      <c r="I1027">
        <v>1026</v>
      </c>
      <c r="J1027">
        <f t="shared" ref="J1027:J1090" si="130">SIN(2*PI()*I1027/365.25)</f>
        <v>-0.93199163185606293</v>
      </c>
      <c r="K1027">
        <f t="shared" ref="K1027:K1090" si="131">COS(2*PI()*I1027/365.25)</f>
        <v>0.36247978998872871</v>
      </c>
      <c r="L1027">
        <f>VLOOKUP(D1027,[1]SOI!$A$1:$C$142,3)</f>
        <v>-7.6</v>
      </c>
      <c r="M1027" s="2">
        <f t="shared" ref="M1027:M1090" si="132">I1027*J1027</f>
        <v>-956.2234142843206</v>
      </c>
      <c r="N1027">
        <f t="shared" ref="N1027:N1090" si="133">I1027*K1027</f>
        <v>371.90426452843565</v>
      </c>
      <c r="O1027" t="s">
        <v>8</v>
      </c>
    </row>
    <row r="1028" spans="1:15" x14ac:dyDescent="0.35">
      <c r="A1028">
        <v>2002</v>
      </c>
      <c r="B1028">
        <v>10</v>
      </c>
      <c r="C1028">
        <v>23</v>
      </c>
      <c r="D1028" s="1">
        <f t="shared" si="128"/>
        <v>37552</v>
      </c>
      <c r="E1028">
        <v>6.4</v>
      </c>
      <c r="F1028">
        <f t="shared" ref="F1028:F1091" si="134">E1027</f>
        <v>0</v>
      </c>
      <c r="G1028">
        <f t="shared" si="129"/>
        <v>1</v>
      </c>
      <c r="H1028">
        <f t="shared" ref="H1028:H1091" si="135">G1027</f>
        <v>0</v>
      </c>
      <c r="I1028">
        <v>1027</v>
      </c>
      <c r="J1028">
        <f t="shared" si="130"/>
        <v>-0.92561851275189266</v>
      </c>
      <c r="K1028">
        <f t="shared" si="131"/>
        <v>0.37845788253248791</v>
      </c>
      <c r="L1028">
        <f>VLOOKUP(D1028,[1]SOI!$A$1:$C$142,3)</f>
        <v>-7.6</v>
      </c>
      <c r="M1028" s="2">
        <f t="shared" si="132"/>
        <v>-950.61021259619372</v>
      </c>
      <c r="N1028">
        <f t="shared" si="133"/>
        <v>388.6762453608651</v>
      </c>
      <c r="O1028" t="s">
        <v>8</v>
      </c>
    </row>
    <row r="1029" spans="1:15" x14ac:dyDescent="0.35">
      <c r="A1029">
        <v>2002</v>
      </c>
      <c r="B1029">
        <v>10</v>
      </c>
      <c r="C1029">
        <v>24</v>
      </c>
      <c r="D1029" s="1">
        <f t="shared" si="128"/>
        <v>37553</v>
      </c>
      <c r="E1029">
        <v>7.4</v>
      </c>
      <c r="F1029">
        <f t="shared" si="134"/>
        <v>6.4</v>
      </c>
      <c r="G1029">
        <f t="shared" si="129"/>
        <v>1</v>
      </c>
      <c r="H1029">
        <f t="shared" si="135"/>
        <v>1</v>
      </c>
      <c r="I1029">
        <v>1028</v>
      </c>
      <c r="J1029">
        <f t="shared" si="130"/>
        <v>-0.91897148823802777</v>
      </c>
      <c r="K1029">
        <f t="shared" si="131"/>
        <v>0.39432398330000717</v>
      </c>
      <c r="L1029">
        <f>VLOOKUP(D1029,[1]SOI!$A$1:$C$142,3)</f>
        <v>-7.6</v>
      </c>
      <c r="M1029" s="2">
        <f t="shared" si="132"/>
        <v>-944.70268990869249</v>
      </c>
      <c r="N1029">
        <f t="shared" si="133"/>
        <v>405.3650548324074</v>
      </c>
      <c r="O1029" t="s">
        <v>8</v>
      </c>
    </row>
    <row r="1030" spans="1:15" x14ac:dyDescent="0.35">
      <c r="A1030">
        <v>2002</v>
      </c>
      <c r="B1030">
        <v>10</v>
      </c>
      <c r="C1030">
        <v>25</v>
      </c>
      <c r="D1030" s="1">
        <f t="shared" si="128"/>
        <v>37554</v>
      </c>
      <c r="E1030">
        <v>2.6</v>
      </c>
      <c r="F1030">
        <f t="shared" si="134"/>
        <v>7.4</v>
      </c>
      <c r="G1030">
        <f t="shared" si="129"/>
        <v>1</v>
      </c>
      <c r="H1030">
        <f t="shared" si="135"/>
        <v>1</v>
      </c>
      <c r="I1030">
        <v>1029</v>
      </c>
      <c r="J1030">
        <f t="shared" si="130"/>
        <v>-0.91205252527596525</v>
      </c>
      <c r="K1030">
        <f t="shared" si="131"/>
        <v>0.41007339725680186</v>
      </c>
      <c r="L1030">
        <f>VLOOKUP(D1030,[1]SOI!$A$1:$C$142,3)</f>
        <v>-7.6</v>
      </c>
      <c r="M1030" s="2">
        <f t="shared" si="132"/>
        <v>-938.5020485089683</v>
      </c>
      <c r="N1030">
        <f t="shared" si="133"/>
        <v>421.96552577724913</v>
      </c>
      <c r="O1030" t="s">
        <v>8</v>
      </c>
    </row>
    <row r="1031" spans="1:15" x14ac:dyDescent="0.35">
      <c r="A1031">
        <v>2002</v>
      </c>
      <c r="B1031">
        <v>10</v>
      </c>
      <c r="C1031">
        <v>26</v>
      </c>
      <c r="D1031" s="1">
        <f t="shared" si="128"/>
        <v>37555</v>
      </c>
      <c r="E1031">
        <v>0</v>
      </c>
      <c r="F1031">
        <f t="shared" si="134"/>
        <v>2.6</v>
      </c>
      <c r="G1031">
        <f t="shared" si="129"/>
        <v>0</v>
      </c>
      <c r="H1031">
        <f t="shared" si="135"/>
        <v>1</v>
      </c>
      <c r="I1031">
        <v>1030</v>
      </c>
      <c r="J1031">
        <f t="shared" si="130"/>
        <v>-0.90486367129815792</v>
      </c>
      <c r="K1031">
        <f t="shared" si="131"/>
        <v>0.42570146389790497</v>
      </c>
      <c r="L1031">
        <f>VLOOKUP(D1031,[1]SOI!$A$1:$C$142,3)</f>
        <v>-7.6</v>
      </c>
      <c r="M1031" s="2">
        <f t="shared" si="132"/>
        <v>-932.00958143710261</v>
      </c>
      <c r="N1031">
        <f t="shared" si="133"/>
        <v>438.47250781484212</v>
      </c>
      <c r="O1031" t="s">
        <v>8</v>
      </c>
    </row>
    <row r="1032" spans="1:15" x14ac:dyDescent="0.35">
      <c r="A1032">
        <v>2002</v>
      </c>
      <c r="B1032">
        <v>10</v>
      </c>
      <c r="C1032">
        <v>27</v>
      </c>
      <c r="D1032" s="1">
        <f t="shared" si="128"/>
        <v>37556</v>
      </c>
      <c r="E1032">
        <v>0.8</v>
      </c>
      <c r="F1032">
        <f t="shared" si="134"/>
        <v>0</v>
      </c>
      <c r="G1032">
        <f t="shared" si="129"/>
        <v>1</v>
      </c>
      <c r="H1032">
        <f t="shared" si="135"/>
        <v>0</v>
      </c>
      <c r="I1032">
        <v>1031</v>
      </c>
      <c r="J1032">
        <f t="shared" si="130"/>
        <v>-0.89740705360215678</v>
      </c>
      <c r="K1032">
        <f t="shared" si="131"/>
        <v>0.44120355862696264</v>
      </c>
      <c r="L1032">
        <f>VLOOKUP(D1032,[1]SOI!$A$1:$C$142,3)</f>
        <v>-7.6</v>
      </c>
      <c r="M1032" s="2">
        <f t="shared" si="132"/>
        <v>-925.22667226382362</v>
      </c>
      <c r="N1032">
        <f t="shared" si="133"/>
        <v>454.88086894439851</v>
      </c>
      <c r="O1032" t="s">
        <v>8</v>
      </c>
    </row>
    <row r="1033" spans="1:15" x14ac:dyDescent="0.35">
      <c r="A1033">
        <v>2002</v>
      </c>
      <c r="B1033">
        <v>10</v>
      </c>
      <c r="C1033">
        <v>28</v>
      </c>
      <c r="D1033" s="1">
        <f t="shared" si="128"/>
        <v>37557</v>
      </c>
      <c r="E1033">
        <v>1.2</v>
      </c>
      <c r="F1033">
        <f t="shared" si="134"/>
        <v>0.8</v>
      </c>
      <c r="G1033">
        <f t="shared" si="129"/>
        <v>1</v>
      </c>
      <c r="H1033">
        <f t="shared" si="135"/>
        <v>1</v>
      </c>
      <c r="I1033">
        <v>1032</v>
      </c>
      <c r="J1033">
        <f t="shared" si="130"/>
        <v>-0.88968487872110524</v>
      </c>
      <c r="K1033">
        <f t="shared" si="131"/>
        <v>0.45657509412473679</v>
      </c>
      <c r="L1033">
        <f>VLOOKUP(D1033,[1]SOI!$A$1:$C$142,3)</f>
        <v>-7.6</v>
      </c>
      <c r="M1033" s="2">
        <f t="shared" si="132"/>
        <v>-918.15479484018056</v>
      </c>
      <c r="N1033">
        <f t="shared" si="133"/>
        <v>471.18549713672837</v>
      </c>
      <c r="O1033" t="s">
        <v>8</v>
      </c>
    </row>
    <row r="1034" spans="1:15" x14ac:dyDescent="0.35">
      <c r="A1034">
        <v>2002</v>
      </c>
      <c r="B1034">
        <v>10</v>
      </c>
      <c r="C1034">
        <v>29</v>
      </c>
      <c r="D1034" s="1">
        <f t="shared" si="128"/>
        <v>37558</v>
      </c>
      <c r="E1034">
        <v>0</v>
      </c>
      <c r="F1034">
        <f t="shared" si="134"/>
        <v>1.2</v>
      </c>
      <c r="G1034">
        <f t="shared" si="129"/>
        <v>0</v>
      </c>
      <c r="H1034">
        <f t="shared" si="135"/>
        <v>1</v>
      </c>
      <c r="I1034">
        <v>1033</v>
      </c>
      <c r="J1034">
        <f t="shared" si="130"/>
        <v>-0.88169943177078525</v>
      </c>
      <c r="K1034">
        <f t="shared" si="131"/>
        <v>0.47181152170657564</v>
      </c>
      <c r="L1034">
        <f>VLOOKUP(D1034,[1]SOI!$A$1:$C$142,3)</f>
        <v>-7.6</v>
      </c>
      <c r="M1034" s="2">
        <f t="shared" si="132"/>
        <v>-910.79551301922118</v>
      </c>
      <c r="N1034">
        <f t="shared" si="133"/>
        <v>487.38130192289265</v>
      </c>
      <c r="O1034" t="s">
        <v>8</v>
      </c>
    </row>
    <row r="1035" spans="1:15" x14ac:dyDescent="0.35">
      <c r="A1035">
        <v>2002</v>
      </c>
      <c r="B1035">
        <v>10</v>
      </c>
      <c r="C1035">
        <v>30</v>
      </c>
      <c r="D1035" s="1">
        <f t="shared" si="128"/>
        <v>37559</v>
      </c>
      <c r="E1035">
        <v>0</v>
      </c>
      <c r="F1035">
        <f t="shared" si="134"/>
        <v>0</v>
      </c>
      <c r="G1035">
        <f t="shared" si="129"/>
        <v>0</v>
      </c>
      <c r="H1035">
        <f t="shared" si="135"/>
        <v>0</v>
      </c>
      <c r="I1035">
        <v>1034</v>
      </c>
      <c r="J1035">
        <f t="shared" si="130"/>
        <v>-0.87345307577342435</v>
      </c>
      <c r="K1035">
        <f t="shared" si="131"/>
        <v>0.48690833266842398</v>
      </c>
      <c r="L1035">
        <f>VLOOKUP(D1035,[1]SOI!$A$1:$C$142,3)</f>
        <v>-7.6</v>
      </c>
      <c r="M1035" s="2">
        <f t="shared" si="132"/>
        <v>-903.15048034972074</v>
      </c>
      <c r="N1035">
        <f t="shared" si="133"/>
        <v>503.46321597915039</v>
      </c>
      <c r="O1035" t="s">
        <v>8</v>
      </c>
    </row>
    <row r="1036" spans="1:15" x14ac:dyDescent="0.35">
      <c r="A1036">
        <v>2002</v>
      </c>
      <c r="B1036">
        <v>10</v>
      </c>
      <c r="C1036">
        <v>31</v>
      </c>
      <c r="D1036" s="1">
        <f t="shared" si="128"/>
        <v>37560</v>
      </c>
      <c r="E1036">
        <v>0</v>
      </c>
      <c r="F1036">
        <f t="shared" si="134"/>
        <v>0</v>
      </c>
      <c r="G1036">
        <f t="shared" si="129"/>
        <v>0</v>
      </c>
      <c r="H1036">
        <f t="shared" si="135"/>
        <v>0</v>
      </c>
      <c r="I1036">
        <v>1035</v>
      </c>
      <c r="J1036">
        <f t="shared" si="130"/>
        <v>-0.86494825095843508</v>
      </c>
      <c r="K1036">
        <f t="shared" si="131"/>
        <v>0.50186105962103089</v>
      </c>
      <c r="L1036">
        <f>VLOOKUP(D1036,[1]SOI!$A$1:$C$142,3)</f>
        <v>-7.6</v>
      </c>
      <c r="M1036" s="2">
        <f t="shared" si="132"/>
        <v>-895.22143974198036</v>
      </c>
      <c r="N1036">
        <f t="shared" si="133"/>
        <v>519.42619670776696</v>
      </c>
      <c r="O1036" t="s">
        <v>8</v>
      </c>
    </row>
    <row r="1037" spans="1:15" x14ac:dyDescent="0.35">
      <c r="A1037">
        <v>2002</v>
      </c>
      <c r="B1037">
        <v>11</v>
      </c>
      <c r="C1037">
        <v>1</v>
      </c>
      <c r="D1037" s="1">
        <f t="shared" si="128"/>
        <v>37561</v>
      </c>
      <c r="E1037">
        <v>0</v>
      </c>
      <c r="F1037">
        <f t="shared" si="134"/>
        <v>0</v>
      </c>
      <c r="G1037">
        <f t="shared" si="129"/>
        <v>0</v>
      </c>
      <c r="H1037">
        <f t="shared" si="135"/>
        <v>0</v>
      </c>
      <c r="I1037">
        <v>1036</v>
      </c>
      <c r="J1037">
        <f t="shared" si="130"/>
        <v>-0.85618747404030626</v>
      </c>
      <c r="K1037">
        <f t="shared" si="131"/>
        <v>0.51666527781193095</v>
      </c>
      <c r="L1037">
        <f>VLOOKUP(D1037,[1]SOI!$A$1:$C$142,3)</f>
        <v>-7.4</v>
      </c>
      <c r="M1037" s="2">
        <f t="shared" si="132"/>
        <v>-887.01022310575729</v>
      </c>
      <c r="N1037">
        <f t="shared" si="133"/>
        <v>535.26522781316044</v>
      </c>
      <c r="O1037" t="s">
        <v>8</v>
      </c>
    </row>
    <row r="1038" spans="1:15" x14ac:dyDescent="0.35">
      <c r="A1038">
        <v>2002</v>
      </c>
      <c r="B1038">
        <v>11</v>
      </c>
      <c r="C1038">
        <v>2</v>
      </c>
      <c r="D1038" s="1">
        <f t="shared" si="128"/>
        <v>37562</v>
      </c>
      <c r="E1038">
        <v>0</v>
      </c>
      <c r="F1038">
        <f t="shared" si="134"/>
        <v>0</v>
      </c>
      <c r="G1038">
        <f t="shared" si="129"/>
        <v>0</v>
      </c>
      <c r="H1038">
        <f t="shared" si="135"/>
        <v>0</v>
      </c>
      <c r="I1038">
        <v>1037</v>
      </c>
      <c r="J1038">
        <f t="shared" si="130"/>
        <v>-0.84717333747387702</v>
      </c>
      <c r="K1038">
        <f t="shared" si="131"/>
        <v>0.53131660643478151</v>
      </c>
      <c r="L1038">
        <f>VLOOKUP(D1038,[1]SOI!$A$1:$C$142,3)</f>
        <v>-7.4</v>
      </c>
      <c r="M1038" s="2">
        <f t="shared" si="132"/>
        <v>-878.51875096041044</v>
      </c>
      <c r="N1038">
        <f t="shared" si="133"/>
        <v>550.97532087286845</v>
      </c>
      <c r="O1038" t="s">
        <v>8</v>
      </c>
    </row>
    <row r="1039" spans="1:15" x14ac:dyDescent="0.35">
      <c r="A1039">
        <v>2002</v>
      </c>
      <c r="B1039">
        <v>11</v>
      </c>
      <c r="C1039">
        <v>3</v>
      </c>
      <c r="D1039" s="1">
        <f t="shared" si="128"/>
        <v>37563</v>
      </c>
      <c r="E1039">
        <v>1.2</v>
      </c>
      <c r="F1039">
        <f t="shared" si="134"/>
        <v>0</v>
      </c>
      <c r="G1039">
        <f t="shared" si="129"/>
        <v>1</v>
      </c>
      <c r="H1039">
        <f t="shared" si="135"/>
        <v>0</v>
      </c>
      <c r="I1039">
        <v>1038</v>
      </c>
      <c r="J1039">
        <f t="shared" si="130"/>
        <v>-0.83790850868718081</v>
      </c>
      <c r="K1039">
        <f t="shared" si="131"/>
        <v>0.54581070992572567</v>
      </c>
      <c r="L1039">
        <f>VLOOKUP(D1039,[1]SOI!$A$1:$C$142,3)</f>
        <v>-7.4</v>
      </c>
      <c r="M1039" s="2">
        <f t="shared" si="132"/>
        <v>-869.74903201729364</v>
      </c>
      <c r="N1039">
        <f t="shared" si="133"/>
        <v>566.55151690290324</v>
      </c>
      <c r="O1039" t="s">
        <v>8</v>
      </c>
    </row>
    <row r="1040" spans="1:15" x14ac:dyDescent="0.35">
      <c r="A1040">
        <v>2002</v>
      </c>
      <c r="B1040">
        <v>11</v>
      </c>
      <c r="C1040">
        <v>4</v>
      </c>
      <c r="D1040" s="1">
        <f t="shared" si="128"/>
        <v>37564</v>
      </c>
      <c r="E1040">
        <v>1</v>
      </c>
      <c r="F1040">
        <f t="shared" si="134"/>
        <v>1.2</v>
      </c>
      <c r="G1040">
        <f t="shared" si="129"/>
        <v>1</v>
      </c>
      <c r="H1040">
        <f t="shared" si="135"/>
        <v>1</v>
      </c>
      <c r="I1040">
        <v>1039</v>
      </c>
      <c r="J1040">
        <f t="shared" si="130"/>
        <v>-0.82839572929211436</v>
      </c>
      <c r="K1040">
        <f t="shared" si="131"/>
        <v>0.56014329924634998</v>
      </c>
      <c r="L1040">
        <f>VLOOKUP(D1040,[1]SOI!$A$1:$C$142,3)</f>
        <v>-7.4</v>
      </c>
      <c r="M1040" s="2">
        <f t="shared" si="132"/>
        <v>-860.7031627345068</v>
      </c>
      <c r="N1040">
        <f t="shared" si="133"/>
        <v>581.98888791695765</v>
      </c>
      <c r="O1040" t="s">
        <v>8</v>
      </c>
    </row>
    <row r="1041" spans="1:15" x14ac:dyDescent="0.35">
      <c r="A1041">
        <v>2002</v>
      </c>
      <c r="B1041">
        <v>11</v>
      </c>
      <c r="C1041">
        <v>5</v>
      </c>
      <c r="D1041" s="1">
        <f t="shared" si="128"/>
        <v>37565</v>
      </c>
      <c r="E1041">
        <v>1.4</v>
      </c>
      <c r="F1041">
        <f t="shared" si="134"/>
        <v>1</v>
      </c>
      <c r="G1041">
        <f t="shared" si="129"/>
        <v>1</v>
      </c>
      <c r="H1041">
        <f t="shared" si="135"/>
        <v>1</v>
      </c>
      <c r="I1041">
        <v>1040</v>
      </c>
      <c r="J1041">
        <f t="shared" si="130"/>
        <v>-0.81863781427314475</v>
      </c>
      <c r="K1041">
        <f t="shared" si="131"/>
        <v>0.57431013315288815</v>
      </c>
      <c r="L1041">
        <f>VLOOKUP(D1041,[1]SOI!$A$1:$C$142,3)</f>
        <v>-7.4</v>
      </c>
      <c r="M1041" s="2">
        <f t="shared" si="132"/>
        <v>-851.38332684407055</v>
      </c>
      <c r="N1041">
        <f t="shared" si="133"/>
        <v>597.28253847900362</v>
      </c>
      <c r="O1041" t="s">
        <v>8</v>
      </c>
    </row>
    <row r="1042" spans="1:15" x14ac:dyDescent="0.35">
      <c r="A1042">
        <v>2002</v>
      </c>
      <c r="B1042">
        <v>11</v>
      </c>
      <c r="C1042">
        <v>6</v>
      </c>
      <c r="D1042" s="1">
        <f t="shared" si="128"/>
        <v>37566</v>
      </c>
      <c r="E1042">
        <v>0</v>
      </c>
      <c r="F1042">
        <f t="shared" si="134"/>
        <v>1.4</v>
      </c>
      <c r="G1042">
        <f t="shared" si="129"/>
        <v>0</v>
      </c>
      <c r="H1042">
        <f t="shared" si="135"/>
        <v>1</v>
      </c>
      <c r="I1042">
        <v>1041</v>
      </c>
      <c r="J1042">
        <f t="shared" si="130"/>
        <v>-0.80863765115431163</v>
      </c>
      <c r="K1042">
        <f t="shared" si="131"/>
        <v>0.58830701945127062</v>
      </c>
      <c r="L1042">
        <f>VLOOKUP(D1042,[1]SOI!$A$1:$C$142,3)</f>
        <v>-7.4</v>
      </c>
      <c r="M1042" s="2">
        <f t="shared" si="132"/>
        <v>-841.79179485163843</v>
      </c>
      <c r="N1042">
        <f t="shared" si="133"/>
        <v>612.42760724877269</v>
      </c>
      <c r="O1042" t="s">
        <v>8</v>
      </c>
    </row>
    <row r="1043" spans="1:15" x14ac:dyDescent="0.35">
      <c r="A1043">
        <v>2002</v>
      </c>
      <c r="B1043">
        <v>11</v>
      </c>
      <c r="C1043">
        <v>7</v>
      </c>
      <c r="D1043" s="1">
        <f t="shared" si="128"/>
        <v>37567</v>
      </c>
      <c r="E1043">
        <v>0</v>
      </c>
      <c r="F1043">
        <f t="shared" si="134"/>
        <v>0</v>
      </c>
      <c r="G1043">
        <f t="shared" si="129"/>
        <v>0</v>
      </c>
      <c r="H1043">
        <f t="shared" si="135"/>
        <v>0</v>
      </c>
      <c r="I1043">
        <v>1042</v>
      </c>
      <c r="J1043">
        <f t="shared" si="130"/>
        <v>-0.79839819914477739</v>
      </c>
      <c r="K1043">
        <f t="shared" si="131"/>
        <v>0.60212981623764195</v>
      </c>
      <c r="L1043">
        <f>VLOOKUP(D1043,[1]SOI!$A$1:$C$142,3)</f>
        <v>-7.4</v>
      </c>
      <c r="M1043" s="2">
        <f t="shared" si="132"/>
        <v>-831.93092350885809</v>
      </c>
      <c r="N1043">
        <f t="shared" si="133"/>
        <v>627.41926851962296</v>
      </c>
      <c r="O1043" t="s">
        <v>8</v>
      </c>
    </row>
    <row r="1044" spans="1:15" x14ac:dyDescent="0.35">
      <c r="A1044">
        <v>2002</v>
      </c>
      <c r="B1044">
        <v>11</v>
      </c>
      <c r="C1044">
        <v>8</v>
      </c>
      <c r="D1044" s="1">
        <f t="shared" si="128"/>
        <v>37568</v>
      </c>
      <c r="E1044">
        <v>0</v>
      </c>
      <c r="F1044">
        <f t="shared" si="134"/>
        <v>0</v>
      </c>
      <c r="G1044">
        <f t="shared" si="129"/>
        <v>0</v>
      </c>
      <c r="H1044">
        <f t="shared" si="135"/>
        <v>0</v>
      </c>
      <c r="I1044">
        <v>1043</v>
      </c>
      <c r="J1044">
        <f t="shared" si="130"/>
        <v>-0.78792248826312206</v>
      </c>
      <c r="K1044">
        <f t="shared" si="131"/>
        <v>0.61577443312405411</v>
      </c>
      <c r="L1044">
        <f>VLOOKUP(D1044,[1]SOI!$A$1:$C$142,3)</f>
        <v>-7.4</v>
      </c>
      <c r="M1044" s="2">
        <f t="shared" si="132"/>
        <v>-821.80315525843628</v>
      </c>
      <c r="N1044">
        <f t="shared" si="133"/>
        <v>642.25273374838844</v>
      </c>
      <c r="O1044" t="s">
        <v>8</v>
      </c>
    </row>
    <row r="1045" spans="1:15" x14ac:dyDescent="0.35">
      <c r="A1045">
        <v>2002</v>
      </c>
      <c r="B1045">
        <v>11</v>
      </c>
      <c r="C1045">
        <v>9</v>
      </c>
      <c r="D1045" s="1">
        <f t="shared" si="128"/>
        <v>37569</v>
      </c>
      <c r="E1045">
        <v>0</v>
      </c>
      <c r="F1045">
        <f t="shared" si="134"/>
        <v>0</v>
      </c>
      <c r="G1045">
        <f t="shared" si="129"/>
        <v>0</v>
      </c>
      <c r="H1045">
        <f t="shared" si="135"/>
        <v>0</v>
      </c>
      <c r="I1045">
        <v>1044</v>
      </c>
      <c r="J1045">
        <f t="shared" si="130"/>
        <v>-0.77721361844073811</v>
      </c>
      <c r="K1045">
        <f t="shared" si="131"/>
        <v>0.6292368324488441</v>
      </c>
      <c r="L1045">
        <f>VLOOKUP(D1045,[1]SOI!$A$1:$C$142,3)</f>
        <v>-7.4</v>
      </c>
      <c r="M1045" s="2">
        <f t="shared" si="132"/>
        <v>-811.41101765213057</v>
      </c>
      <c r="N1045">
        <f t="shared" si="133"/>
        <v>656.92325307659326</v>
      </c>
      <c r="O1045" t="s">
        <v>8</v>
      </c>
    </row>
    <row r="1046" spans="1:15" x14ac:dyDescent="0.35">
      <c r="A1046">
        <v>2002</v>
      </c>
      <c r="B1046">
        <v>11</v>
      </c>
      <c r="C1046">
        <v>10</v>
      </c>
      <c r="D1046" s="1">
        <f t="shared" si="128"/>
        <v>37570</v>
      </c>
      <c r="E1046">
        <v>0</v>
      </c>
      <c r="F1046">
        <f t="shared" si="134"/>
        <v>0</v>
      </c>
      <c r="G1046">
        <f t="shared" si="129"/>
        <v>0</v>
      </c>
      <c r="H1046">
        <f t="shared" si="135"/>
        <v>0</v>
      </c>
      <c r="I1046">
        <v>1045</v>
      </c>
      <c r="J1046">
        <f t="shared" si="130"/>
        <v>-0.76627475860449057</v>
      </c>
      <c r="K1046">
        <f t="shared" si="131"/>
        <v>0.64251303047146813</v>
      </c>
      <c r="L1046">
        <f>VLOOKUP(D1046,[1]SOI!$A$1:$C$142,3)</f>
        <v>-7.4</v>
      </c>
      <c r="M1046" s="2">
        <f t="shared" si="132"/>
        <v>-800.75712274169268</v>
      </c>
      <c r="N1046">
        <f t="shared" si="133"/>
        <v>671.42611684268422</v>
      </c>
      <c r="O1046" t="s">
        <v>8</v>
      </c>
    </row>
    <row r="1047" spans="1:15" x14ac:dyDescent="0.35">
      <c r="A1047">
        <v>2002</v>
      </c>
      <c r="B1047">
        <v>11</v>
      </c>
      <c r="C1047">
        <v>11</v>
      </c>
      <c r="D1047" s="1">
        <f t="shared" si="128"/>
        <v>37571</v>
      </c>
      <c r="E1047">
        <v>0</v>
      </c>
      <c r="F1047">
        <f t="shared" si="134"/>
        <v>0</v>
      </c>
      <c r="G1047">
        <f t="shared" si="129"/>
        <v>0</v>
      </c>
      <c r="H1047">
        <f t="shared" si="135"/>
        <v>0</v>
      </c>
      <c r="I1047">
        <v>1046</v>
      </c>
      <c r="J1047">
        <f t="shared" si="130"/>
        <v>-0.75510914573899646</v>
      </c>
      <c r="K1047">
        <f t="shared" si="131"/>
        <v>0.65559909855133491</v>
      </c>
      <c r="L1047">
        <f>VLOOKUP(D1047,[1]SOI!$A$1:$C$142,3)</f>
        <v>-7.4</v>
      </c>
      <c r="M1047" s="2">
        <f t="shared" si="132"/>
        <v>-789.84416644299029</v>
      </c>
      <c r="N1047">
        <f t="shared" si="133"/>
        <v>685.75665708469637</v>
      </c>
      <c r="O1047" t="s">
        <v>8</v>
      </c>
    </row>
    <row r="1048" spans="1:15" x14ac:dyDescent="0.35">
      <c r="A1048">
        <v>2002</v>
      </c>
      <c r="B1048">
        <v>11</v>
      </c>
      <c r="C1048">
        <v>12</v>
      </c>
      <c r="D1048" s="1">
        <f t="shared" si="128"/>
        <v>37572</v>
      </c>
      <c r="E1048">
        <v>0</v>
      </c>
      <c r="F1048">
        <f t="shared" si="134"/>
        <v>0</v>
      </c>
      <c r="G1048">
        <f t="shared" si="129"/>
        <v>0</v>
      </c>
      <c r="H1048">
        <f t="shared" si="135"/>
        <v>0</v>
      </c>
      <c r="I1048">
        <v>1047</v>
      </c>
      <c r="J1048">
        <f t="shared" si="130"/>
        <v>-0.74372008392874256</v>
      </c>
      <c r="K1048">
        <f t="shared" si="131"/>
        <v>0.66849116431036248</v>
      </c>
      <c r="L1048">
        <f>VLOOKUP(D1048,[1]SOI!$A$1:$C$142,3)</f>
        <v>-7.4</v>
      </c>
      <c r="M1048" s="2">
        <f t="shared" si="132"/>
        <v>-778.67492787339347</v>
      </c>
      <c r="N1048">
        <f t="shared" si="133"/>
        <v>699.91024903294954</v>
      </c>
      <c r="O1048" t="s">
        <v>8</v>
      </c>
    </row>
    <row r="1049" spans="1:15" x14ac:dyDescent="0.35">
      <c r="A1049">
        <v>2002</v>
      </c>
      <c r="B1049">
        <v>11</v>
      </c>
      <c r="C1049">
        <v>13</v>
      </c>
      <c r="D1049" s="1">
        <f t="shared" si="128"/>
        <v>37573</v>
      </c>
      <c r="E1049">
        <v>0</v>
      </c>
      <c r="F1049">
        <f t="shared" si="134"/>
        <v>0</v>
      </c>
      <c r="G1049">
        <f t="shared" si="129"/>
        <v>0</v>
      </c>
      <c r="H1049">
        <f t="shared" si="135"/>
        <v>0</v>
      </c>
      <c r="I1049">
        <v>1048</v>
      </c>
      <c r="J1049">
        <f t="shared" si="130"/>
        <v>-0.73211094338034632</v>
      </c>
      <c r="K1049">
        <f t="shared" si="131"/>
        <v>0.68118541277888456</v>
      </c>
      <c r="L1049">
        <f>VLOOKUP(D1049,[1]SOI!$A$1:$C$142,3)</f>
        <v>-7.4</v>
      </c>
      <c r="M1049" s="2">
        <f t="shared" si="132"/>
        <v>-767.252268662603</v>
      </c>
      <c r="N1049">
        <f t="shared" si="133"/>
        <v>713.88231259227098</v>
      </c>
      <c r="O1049" t="s">
        <v>8</v>
      </c>
    </row>
    <row r="1050" spans="1:15" x14ac:dyDescent="0.35">
      <c r="A1050">
        <v>2002</v>
      </c>
      <c r="B1050">
        <v>11</v>
      </c>
      <c r="C1050">
        <v>14</v>
      </c>
      <c r="D1050" s="1">
        <f t="shared" si="128"/>
        <v>37574</v>
      </c>
      <c r="E1050">
        <v>0</v>
      </c>
      <c r="F1050">
        <f t="shared" si="134"/>
        <v>0</v>
      </c>
      <c r="G1050">
        <f t="shared" si="129"/>
        <v>0</v>
      </c>
      <c r="H1050">
        <f t="shared" si="135"/>
        <v>0</v>
      </c>
      <c r="I1050">
        <v>1049</v>
      </c>
      <c r="J1050">
        <f t="shared" si="130"/>
        <v>-0.72028515942527127</v>
      </c>
      <c r="K1050">
        <f t="shared" si="131"/>
        <v>0.69367808752454596</v>
      </c>
      <c r="L1050">
        <f>VLOOKUP(D1050,[1]SOI!$A$1:$C$142,3)</f>
        <v>-7.4</v>
      </c>
      <c r="M1050" s="2">
        <f t="shared" si="132"/>
        <v>-755.57913223710955</v>
      </c>
      <c r="N1050">
        <f t="shared" si="133"/>
        <v>727.66831381324869</v>
      </c>
      <c r="O1050" t="s">
        <v>8</v>
      </c>
    </row>
    <row r="1051" spans="1:15" x14ac:dyDescent="0.35">
      <c r="A1051">
        <v>2002</v>
      </c>
      <c r="B1051">
        <v>11</v>
      </c>
      <c r="C1051">
        <v>15</v>
      </c>
      <c r="D1051" s="1">
        <f t="shared" si="128"/>
        <v>37575</v>
      </c>
      <c r="E1051">
        <v>0</v>
      </c>
      <c r="F1051">
        <f t="shared" si="134"/>
        <v>0</v>
      </c>
      <c r="G1051">
        <f t="shared" si="129"/>
        <v>0</v>
      </c>
      <c r="H1051">
        <f t="shared" si="135"/>
        <v>0</v>
      </c>
      <c r="I1051">
        <v>1050</v>
      </c>
      <c r="J1051">
        <f t="shared" si="130"/>
        <v>-0.70824623150325083</v>
      </c>
      <c r="K1051">
        <f t="shared" si="131"/>
        <v>0.70596549176389889</v>
      </c>
      <c r="L1051">
        <f>VLOOKUP(D1051,[1]SOI!$A$1:$C$142,3)</f>
        <v>-7.4</v>
      </c>
      <c r="M1051" s="2">
        <f t="shared" si="132"/>
        <v>-743.65854307841335</v>
      </c>
      <c r="N1051">
        <f t="shared" si="133"/>
        <v>741.26376635209385</v>
      </c>
      <c r="O1051" t="s">
        <v>8</v>
      </c>
    </row>
    <row r="1052" spans="1:15" x14ac:dyDescent="0.35">
      <c r="A1052">
        <v>2002</v>
      </c>
      <c r="B1052">
        <v>11</v>
      </c>
      <c r="C1052">
        <v>16</v>
      </c>
      <c r="D1052" s="1">
        <f t="shared" si="128"/>
        <v>37576</v>
      </c>
      <c r="E1052">
        <v>0</v>
      </c>
      <c r="F1052">
        <f t="shared" si="134"/>
        <v>0</v>
      </c>
      <c r="G1052">
        <f t="shared" si="129"/>
        <v>0</v>
      </c>
      <c r="H1052">
        <f t="shared" si="135"/>
        <v>0</v>
      </c>
      <c r="I1052">
        <v>1051</v>
      </c>
      <c r="J1052">
        <f t="shared" si="130"/>
        <v>-0.69599772212673994</v>
      </c>
      <c r="K1052">
        <f t="shared" si="131"/>
        <v>0.71804398945634895</v>
      </c>
      <c r="L1052">
        <f>VLOOKUP(D1052,[1]SOI!$A$1:$C$142,3)</f>
        <v>-7.4</v>
      </c>
      <c r="M1052" s="2">
        <f t="shared" si="132"/>
        <v>-731.49360595520363</v>
      </c>
      <c r="N1052">
        <f t="shared" si="133"/>
        <v>754.6642329186227</v>
      </c>
      <c r="O1052" t="s">
        <v>8</v>
      </c>
    </row>
    <row r="1053" spans="1:15" x14ac:dyDescent="0.35">
      <c r="A1053">
        <v>2002</v>
      </c>
      <c r="B1053">
        <v>11</v>
      </c>
      <c r="C1053">
        <v>17</v>
      </c>
      <c r="D1053" s="1">
        <f t="shared" si="128"/>
        <v>37577</v>
      </c>
      <c r="E1053">
        <v>0</v>
      </c>
      <c r="F1053">
        <f t="shared" si="134"/>
        <v>0</v>
      </c>
      <c r="G1053">
        <f t="shared" si="129"/>
        <v>0</v>
      </c>
      <c r="H1053">
        <f t="shared" si="135"/>
        <v>0</v>
      </c>
      <c r="I1053">
        <v>1052</v>
      </c>
      <c r="J1053">
        <f t="shared" si="130"/>
        <v>-0.68354325582672504</v>
      </c>
      <c r="K1053">
        <f t="shared" si="131"/>
        <v>0.72991000638010184</v>
      </c>
      <c r="L1053">
        <f>VLOOKUP(D1053,[1]SOI!$A$1:$C$142,3)</f>
        <v>-7.4</v>
      </c>
      <c r="M1053" s="2">
        <f t="shared" si="132"/>
        <v>-719.08750512971471</v>
      </c>
      <c r="N1053">
        <f t="shared" si="133"/>
        <v>767.86532671186717</v>
      </c>
      <c r="O1053" t="s">
        <v>8</v>
      </c>
    </row>
    <row r="1054" spans="1:15" x14ac:dyDescent="0.35">
      <c r="A1054">
        <v>2002</v>
      </c>
      <c r="B1054">
        <v>11</v>
      </c>
      <c r="C1054">
        <v>18</v>
      </c>
      <c r="D1054" s="1">
        <f t="shared" si="128"/>
        <v>37578</v>
      </c>
      <c r="E1054">
        <v>0</v>
      </c>
      <c r="F1054">
        <f t="shared" si="134"/>
        <v>0</v>
      </c>
      <c r="G1054">
        <f t="shared" si="129"/>
        <v>0</v>
      </c>
      <c r="H1054">
        <f t="shared" si="135"/>
        <v>0</v>
      </c>
      <c r="I1054">
        <v>1053</v>
      </c>
      <c r="J1054">
        <f t="shared" si="130"/>
        <v>-0.67088651808015753</v>
      </c>
      <c r="K1054">
        <f t="shared" si="131"/>
        <v>0.74156003118984404</v>
      </c>
      <c r="L1054">
        <f>VLOOKUP(D1054,[1]SOI!$A$1:$C$142,3)</f>
        <v>-7.4</v>
      </c>
      <c r="M1054" s="2">
        <f t="shared" si="132"/>
        <v>-706.44350353840593</v>
      </c>
      <c r="N1054">
        <f t="shared" si="133"/>
        <v>780.86271284290581</v>
      </c>
      <c r="O1054" t="s">
        <v>8</v>
      </c>
    </row>
    <row r="1055" spans="1:15" x14ac:dyDescent="0.35">
      <c r="A1055">
        <v>2002</v>
      </c>
      <c r="B1055">
        <v>11</v>
      </c>
      <c r="C1055">
        <v>19</v>
      </c>
      <c r="D1055" s="1">
        <f t="shared" si="128"/>
        <v>37579</v>
      </c>
      <c r="E1055">
        <v>0</v>
      </c>
      <c r="F1055">
        <f t="shared" si="134"/>
        <v>0</v>
      </c>
      <c r="G1055">
        <f t="shared" si="129"/>
        <v>0</v>
      </c>
      <c r="H1055">
        <f t="shared" si="135"/>
        <v>0</v>
      </c>
      <c r="I1055">
        <v>1054</v>
      </c>
      <c r="J1055">
        <f t="shared" si="130"/>
        <v>-0.65803125421936659</v>
      </c>
      <c r="K1055">
        <f t="shared" si="131"/>
        <v>0.75299061645580112</v>
      </c>
      <c r="L1055">
        <f>VLOOKUP(D1055,[1]SOI!$A$1:$C$142,3)</f>
        <v>-7.4</v>
      </c>
      <c r="M1055" s="2">
        <f t="shared" si="132"/>
        <v>-693.56494194721233</v>
      </c>
      <c r="N1055">
        <f t="shared" si="133"/>
        <v>793.65210974441436</v>
      </c>
      <c r="O1055" t="s">
        <v>8</v>
      </c>
    </row>
    <row r="1056" spans="1:15" x14ac:dyDescent="0.35">
      <c r="A1056">
        <v>2002</v>
      </c>
      <c r="B1056">
        <v>11</v>
      </c>
      <c r="C1056">
        <v>20</v>
      </c>
      <c r="D1056" s="1">
        <f t="shared" si="128"/>
        <v>37580</v>
      </c>
      <c r="E1056">
        <v>0.6</v>
      </c>
      <c r="F1056">
        <f t="shared" si="134"/>
        <v>0</v>
      </c>
      <c r="G1056">
        <f t="shared" si="129"/>
        <v>1</v>
      </c>
      <c r="H1056">
        <f t="shared" si="135"/>
        <v>0</v>
      </c>
      <c r="I1056">
        <v>1055</v>
      </c>
      <c r="J1056">
        <f t="shared" si="130"/>
        <v>-0.64498126832374725</v>
      </c>
      <c r="K1056">
        <f t="shared" si="131"/>
        <v>0.76419837968389481</v>
      </c>
      <c r="L1056">
        <f>VLOOKUP(D1056,[1]SOI!$A$1:$C$142,3)</f>
        <v>-7.4</v>
      </c>
      <c r="M1056" s="2">
        <f t="shared" si="132"/>
        <v>-680.45523808155338</v>
      </c>
      <c r="N1056">
        <f t="shared" si="133"/>
        <v>806.22929056650901</v>
      </c>
      <c r="O1056" t="s">
        <v>8</v>
      </c>
    </row>
    <row r="1057" spans="1:15" x14ac:dyDescent="0.35">
      <c r="A1057">
        <v>2002</v>
      </c>
      <c r="B1057">
        <v>11</v>
      </c>
      <c r="C1057">
        <v>21</v>
      </c>
      <c r="D1057" s="1">
        <f t="shared" si="128"/>
        <v>37581</v>
      </c>
      <c r="E1057">
        <v>0</v>
      </c>
      <c r="F1057">
        <f t="shared" si="134"/>
        <v>0.6</v>
      </c>
      <c r="G1057">
        <f t="shared" si="129"/>
        <v>0</v>
      </c>
      <c r="H1057">
        <f t="shared" si="135"/>
        <v>1</v>
      </c>
      <c r="I1057">
        <v>1056</v>
      </c>
      <c r="J1057">
        <f t="shared" si="130"/>
        <v>-0.63174042209407477</v>
      </c>
      <c r="K1057">
        <f t="shared" si="131"/>
        <v>0.775180004316675</v>
      </c>
      <c r="L1057">
        <f>VLOOKUP(D1057,[1]SOI!$A$1:$C$142,3)</f>
        <v>-7.4</v>
      </c>
      <c r="M1057" s="2">
        <f t="shared" si="132"/>
        <v>-667.11788573134299</v>
      </c>
      <c r="N1057">
        <f t="shared" si="133"/>
        <v>818.59008455840876</v>
      </c>
      <c r="O1057" t="s">
        <v>8</v>
      </c>
    </row>
    <row r="1058" spans="1:15" x14ac:dyDescent="0.35">
      <c r="A1058">
        <v>2002</v>
      </c>
      <c r="B1058">
        <v>11</v>
      </c>
      <c r="C1058">
        <v>22</v>
      </c>
      <c r="D1058" s="1">
        <f t="shared" si="128"/>
        <v>37582</v>
      </c>
      <c r="E1058">
        <v>0</v>
      </c>
      <c r="F1058">
        <f t="shared" si="134"/>
        <v>0</v>
      </c>
      <c r="G1058">
        <f t="shared" si="129"/>
        <v>0</v>
      </c>
      <c r="H1058">
        <f t="shared" si="135"/>
        <v>0</v>
      </c>
      <c r="I1058">
        <v>1057</v>
      </c>
      <c r="J1058">
        <f t="shared" si="130"/>
        <v>-0.61831263370978395</v>
      </c>
      <c r="K1058">
        <f t="shared" si="131"/>
        <v>0.78593224071472634</v>
      </c>
      <c r="L1058">
        <f>VLOOKUP(D1058,[1]SOI!$A$1:$C$142,3)</f>
        <v>-7.4</v>
      </c>
      <c r="M1058" s="2">
        <f t="shared" si="132"/>
        <v>-653.55645383124158</v>
      </c>
      <c r="N1058">
        <f t="shared" si="133"/>
        <v>830.7303784354657</v>
      </c>
      <c r="O1058" t="s">
        <v>8</v>
      </c>
    </row>
    <row r="1059" spans="1:15" x14ac:dyDescent="0.35">
      <c r="A1059">
        <v>2002</v>
      </c>
      <c r="B1059">
        <v>11</v>
      </c>
      <c r="C1059">
        <v>23</v>
      </c>
      <c r="D1059" s="1">
        <f t="shared" si="128"/>
        <v>37583</v>
      </c>
      <c r="E1059">
        <v>0</v>
      </c>
      <c r="F1059">
        <f t="shared" si="134"/>
        <v>0</v>
      </c>
      <c r="G1059">
        <f t="shared" si="129"/>
        <v>0</v>
      </c>
      <c r="H1059">
        <f t="shared" si="135"/>
        <v>0</v>
      </c>
      <c r="I1059">
        <v>1058</v>
      </c>
      <c r="J1059">
        <f t="shared" si="130"/>
        <v>-0.60470187666948205</v>
      </c>
      <c r="K1059">
        <f t="shared" si="131"/>
        <v>0.79645190711831848</v>
      </c>
      <c r="L1059">
        <f>VLOOKUP(D1059,[1]SOI!$A$1:$C$142,3)</f>
        <v>-7.4</v>
      </c>
      <c r="M1059" s="2">
        <f t="shared" si="132"/>
        <v>-639.77458551631196</v>
      </c>
      <c r="N1059">
        <f t="shared" si="133"/>
        <v>842.64611773118099</v>
      </c>
      <c r="O1059" t="s">
        <v>8</v>
      </c>
    </row>
    <row r="1060" spans="1:15" x14ac:dyDescent="0.35">
      <c r="A1060">
        <v>2002</v>
      </c>
      <c r="B1060">
        <v>11</v>
      </c>
      <c r="C1060">
        <v>24</v>
      </c>
      <c r="D1060" s="1">
        <f t="shared" si="128"/>
        <v>37584</v>
      </c>
      <c r="E1060">
        <v>0</v>
      </c>
      <c r="F1060">
        <f t="shared" si="134"/>
        <v>0</v>
      </c>
      <c r="G1060">
        <f t="shared" si="129"/>
        <v>0</v>
      </c>
      <c r="H1060">
        <f t="shared" si="135"/>
        <v>0</v>
      </c>
      <c r="I1060">
        <v>1059</v>
      </c>
      <c r="J1060">
        <f t="shared" si="130"/>
        <v>-0.59091217861515577</v>
      </c>
      <c r="K1060">
        <f t="shared" si="131"/>
        <v>0.80673589058891526</v>
      </c>
      <c r="L1060">
        <f>VLOOKUP(D1060,[1]SOI!$A$1:$C$142,3)</f>
        <v>-7.4</v>
      </c>
      <c r="M1060" s="2">
        <f t="shared" si="132"/>
        <v>-625.77599715344991</v>
      </c>
      <c r="N1060">
        <f t="shared" si="133"/>
        <v>854.33330813366126</v>
      </c>
      <c r="O1060" t="s">
        <v>8</v>
      </c>
    </row>
    <row r="1061" spans="1:15" x14ac:dyDescent="0.35">
      <c r="A1061">
        <v>2002</v>
      </c>
      <c r="B1061">
        <v>11</v>
      </c>
      <c r="C1061">
        <v>25</v>
      </c>
      <c r="D1061" s="1">
        <f t="shared" si="128"/>
        <v>37585</v>
      </c>
      <c r="E1061">
        <v>0.2</v>
      </c>
      <c r="F1061">
        <f t="shared" si="134"/>
        <v>0</v>
      </c>
      <c r="G1061">
        <f t="shared" si="129"/>
        <v>1</v>
      </c>
      <c r="H1061">
        <f t="shared" si="135"/>
        <v>0</v>
      </c>
      <c r="I1061">
        <v>1060</v>
      </c>
      <c r="J1061">
        <f t="shared" si="130"/>
        <v>-0.57694762014031753</v>
      </c>
      <c r="K1061">
        <f t="shared" si="131"/>
        <v>0.81678114793035217</v>
      </c>
      <c r="L1061">
        <f>VLOOKUP(D1061,[1]SOI!$A$1:$C$142,3)</f>
        <v>-7.4</v>
      </c>
      <c r="M1061" s="2">
        <f t="shared" si="132"/>
        <v>-611.56447734873655</v>
      </c>
      <c r="N1061">
        <f t="shared" si="133"/>
        <v>865.78801680617335</v>
      </c>
      <c r="O1061" t="s">
        <v>8</v>
      </c>
    </row>
    <row r="1062" spans="1:15" x14ac:dyDescent="0.35">
      <c r="A1062">
        <v>2002</v>
      </c>
      <c r="B1062">
        <v>11</v>
      </c>
      <c r="C1062">
        <v>26</v>
      </c>
      <c r="D1062" s="1">
        <f t="shared" si="128"/>
        <v>37586</v>
      </c>
      <c r="E1062">
        <v>7.2</v>
      </c>
      <c r="F1062">
        <f t="shared" si="134"/>
        <v>0.2</v>
      </c>
      <c r="G1062">
        <f t="shared" si="129"/>
        <v>1</v>
      </c>
      <c r="H1062">
        <f t="shared" si="135"/>
        <v>1</v>
      </c>
      <c r="I1062">
        <v>1061</v>
      </c>
      <c r="J1062">
        <f t="shared" si="130"/>
        <v>-0.56281233358248206</v>
      </c>
      <c r="K1062">
        <f t="shared" si="131"/>
        <v>0.82658470658937366</v>
      </c>
      <c r="L1062">
        <f>VLOOKUP(D1062,[1]SOI!$A$1:$C$142,3)</f>
        <v>-7.4</v>
      </c>
      <c r="M1062" s="2">
        <f t="shared" si="132"/>
        <v>-597.14388593101341</v>
      </c>
      <c r="N1062">
        <f t="shared" si="133"/>
        <v>877.00637369132551</v>
      </c>
      <c r="O1062" t="s">
        <v>8</v>
      </c>
    </row>
    <row r="1063" spans="1:15" x14ac:dyDescent="0.35">
      <c r="A1063">
        <v>2002</v>
      </c>
      <c r="B1063">
        <v>11</v>
      </c>
      <c r="C1063">
        <v>27</v>
      </c>
      <c r="D1063" s="1">
        <f t="shared" si="128"/>
        <v>37587</v>
      </c>
      <c r="E1063">
        <v>12</v>
      </c>
      <c r="F1063">
        <f t="shared" si="134"/>
        <v>7.2</v>
      </c>
      <c r="G1063">
        <f t="shared" si="129"/>
        <v>1</v>
      </c>
      <c r="H1063">
        <f t="shared" si="135"/>
        <v>1</v>
      </c>
      <c r="I1063">
        <v>1062</v>
      </c>
      <c r="J1063">
        <f t="shared" si="130"/>
        <v>-0.54851050180036287</v>
      </c>
      <c r="K1063">
        <f t="shared" si="131"/>
        <v>0.83614366553524411</v>
      </c>
      <c r="L1063">
        <f>VLOOKUP(D1063,[1]SOI!$A$1:$C$142,3)</f>
        <v>-7.4</v>
      </c>
      <c r="M1063" s="2">
        <f t="shared" si="132"/>
        <v>-582.51815291198534</v>
      </c>
      <c r="N1063">
        <f t="shared" si="133"/>
        <v>887.98457279842921</v>
      </c>
      <c r="O1063" t="s">
        <v>8</v>
      </c>
    </row>
    <row r="1064" spans="1:15" x14ac:dyDescent="0.35">
      <c r="A1064">
        <v>2002</v>
      </c>
      <c r="B1064">
        <v>11</v>
      </c>
      <c r="C1064">
        <v>28</v>
      </c>
      <c r="D1064" s="1">
        <f t="shared" si="128"/>
        <v>37588</v>
      </c>
      <c r="E1064">
        <v>0</v>
      </c>
      <c r="F1064">
        <f t="shared" si="134"/>
        <v>12</v>
      </c>
      <c r="G1064">
        <f t="shared" si="129"/>
        <v>0</v>
      </c>
      <c r="H1064">
        <f t="shared" si="135"/>
        <v>1</v>
      </c>
      <c r="I1064">
        <v>1063</v>
      </c>
      <c r="J1064">
        <f t="shared" si="130"/>
        <v>-0.5340463569360725</v>
      </c>
      <c r="K1064">
        <f t="shared" si="131"/>
        <v>0.84545519611822662</v>
      </c>
      <c r="L1064">
        <f>VLOOKUP(D1064,[1]SOI!$A$1:$C$142,3)</f>
        <v>-7.4</v>
      </c>
      <c r="M1064" s="2">
        <f t="shared" si="132"/>
        <v>-567.69127742304511</v>
      </c>
      <c r="N1064">
        <f t="shared" si="133"/>
        <v>898.71887347367488</v>
      </c>
      <c r="O1064" t="s">
        <v>8</v>
      </c>
    </row>
    <row r="1065" spans="1:15" x14ac:dyDescent="0.35">
      <c r="A1065">
        <v>2002</v>
      </c>
      <c r="B1065">
        <v>11</v>
      </c>
      <c r="C1065">
        <v>29</v>
      </c>
      <c r="D1065" s="1">
        <f t="shared" si="128"/>
        <v>37589</v>
      </c>
      <c r="E1065">
        <v>0</v>
      </c>
      <c r="F1065">
        <f t="shared" si="134"/>
        <v>0</v>
      </c>
      <c r="G1065">
        <f t="shared" si="129"/>
        <v>0</v>
      </c>
      <c r="H1065">
        <f t="shared" si="135"/>
        <v>0</v>
      </c>
      <c r="I1065">
        <v>1064</v>
      </c>
      <c r="J1065">
        <f t="shared" si="130"/>
        <v>-0.51942417916278505</v>
      </c>
      <c r="K1065">
        <f t="shared" si="131"/>
        <v>0.85451654290661161</v>
      </c>
      <c r="L1065">
        <f>VLOOKUP(D1065,[1]SOI!$A$1:$C$142,3)</f>
        <v>-7.4</v>
      </c>
      <c r="M1065" s="2">
        <f t="shared" si="132"/>
        <v>-552.66732662920333</v>
      </c>
      <c r="N1065">
        <f t="shared" si="133"/>
        <v>909.20560165263475</v>
      </c>
      <c r="O1065" t="s">
        <v>8</v>
      </c>
    </row>
    <row r="1066" spans="1:15" x14ac:dyDescent="0.35">
      <c r="A1066">
        <v>2002</v>
      </c>
      <c r="B1066">
        <v>11</v>
      </c>
      <c r="C1066">
        <v>30</v>
      </c>
      <c r="D1066" s="1">
        <f t="shared" si="128"/>
        <v>37590</v>
      </c>
      <c r="E1066">
        <v>1.8</v>
      </c>
      <c r="F1066">
        <f t="shared" si="134"/>
        <v>0</v>
      </c>
      <c r="G1066">
        <f t="shared" si="129"/>
        <v>1</v>
      </c>
      <c r="H1066">
        <f t="shared" si="135"/>
        <v>0</v>
      </c>
      <c r="I1066">
        <v>1065</v>
      </c>
      <c r="J1066">
        <f t="shared" si="130"/>
        <v>-0.50464829541815492</v>
      </c>
      <c r="K1066">
        <f t="shared" si="131"/>
        <v>0.86332502450209947</v>
      </c>
      <c r="L1066">
        <f>VLOOKUP(D1066,[1]SOI!$A$1:$C$142,3)</f>
        <v>-7.4</v>
      </c>
      <c r="M1066" s="2">
        <f t="shared" si="132"/>
        <v>-537.45043462033505</v>
      </c>
      <c r="N1066">
        <f t="shared" si="133"/>
        <v>919.44115109473591</v>
      </c>
      <c r="O1066" t="s">
        <v>8</v>
      </c>
    </row>
    <row r="1067" spans="1:15" x14ac:dyDescent="0.35">
      <c r="A1067">
        <v>2002</v>
      </c>
      <c r="B1067">
        <v>12</v>
      </c>
      <c r="C1067">
        <v>1</v>
      </c>
      <c r="D1067" s="1">
        <f t="shared" si="128"/>
        <v>37591</v>
      </c>
      <c r="E1067">
        <v>0</v>
      </c>
      <c r="F1067">
        <f t="shared" si="134"/>
        <v>1.8</v>
      </c>
      <c r="G1067">
        <f t="shared" si="129"/>
        <v>0</v>
      </c>
      <c r="H1067">
        <f t="shared" si="135"/>
        <v>1</v>
      </c>
      <c r="I1067">
        <v>1066</v>
      </c>
      <c r="J1067">
        <f t="shared" si="130"/>
        <v>-0.4897230781238972</v>
      </c>
      <c r="K1067">
        <f t="shared" si="131"/>
        <v>0.87187803433327493</v>
      </c>
      <c r="L1067">
        <f>VLOOKUP(D1067,[1]SOI!$A$1:$C$142,3)</f>
        <v>-6</v>
      </c>
      <c r="M1067" s="2">
        <f t="shared" si="132"/>
        <v>-522.04480128007447</v>
      </c>
      <c r="N1067">
        <f t="shared" si="133"/>
        <v>929.42198459927113</v>
      </c>
      <c r="O1067" t="s">
        <v>8</v>
      </c>
    </row>
    <row r="1068" spans="1:15" x14ac:dyDescent="0.35">
      <c r="A1068">
        <v>2002</v>
      </c>
      <c r="B1068">
        <v>12</v>
      </c>
      <c r="C1068">
        <v>2</v>
      </c>
      <c r="D1068" s="1">
        <f t="shared" si="128"/>
        <v>37592</v>
      </c>
      <c r="E1068">
        <v>0</v>
      </c>
      <c r="F1068">
        <f t="shared" si="134"/>
        <v>0</v>
      </c>
      <c r="G1068">
        <f t="shared" si="129"/>
        <v>0</v>
      </c>
      <c r="H1068">
        <f t="shared" si="135"/>
        <v>0</v>
      </c>
      <c r="I1068">
        <v>1067</v>
      </c>
      <c r="J1068">
        <f t="shared" si="130"/>
        <v>-0.47465294389193585</v>
      </c>
      <c r="K1068">
        <f t="shared" si="131"/>
        <v>0.88017304142692232</v>
      </c>
      <c r="L1068">
        <f>VLOOKUP(D1068,[1]SOI!$A$1:$C$142,3)</f>
        <v>-6</v>
      </c>
      <c r="M1068" s="2">
        <f t="shared" si="132"/>
        <v>-506.45469113269553</v>
      </c>
      <c r="N1068">
        <f t="shared" si="133"/>
        <v>939.14463520252616</v>
      </c>
      <c r="O1068" t="s">
        <v>8</v>
      </c>
    </row>
    <row r="1069" spans="1:15" x14ac:dyDescent="0.35">
      <c r="A1069">
        <v>2002</v>
      </c>
      <c r="B1069">
        <v>12</v>
      </c>
      <c r="C1069">
        <v>3</v>
      </c>
      <c r="D1069" s="1">
        <f t="shared" si="128"/>
        <v>37593</v>
      </c>
      <c r="E1069">
        <v>0</v>
      </c>
      <c r="F1069">
        <f t="shared" si="134"/>
        <v>0</v>
      </c>
      <c r="G1069">
        <f t="shared" si="129"/>
        <v>0</v>
      </c>
      <c r="H1069">
        <f t="shared" si="135"/>
        <v>0</v>
      </c>
      <c r="I1069">
        <v>1068</v>
      </c>
      <c r="J1069">
        <f t="shared" si="130"/>
        <v>-0.45944235221744528</v>
      </c>
      <c r="K1069">
        <f t="shared" si="131"/>
        <v>0.888207591156989</v>
      </c>
      <c r="L1069">
        <f>VLOOKUP(D1069,[1]SOI!$A$1:$C$142,3)</f>
        <v>-6</v>
      </c>
      <c r="M1069" s="2">
        <f t="shared" si="132"/>
        <v>-490.68443216823158</v>
      </c>
      <c r="N1069">
        <f t="shared" si="133"/>
        <v>948.60570735566421</v>
      </c>
      <c r="O1069" t="s">
        <v>8</v>
      </c>
    </row>
    <row r="1070" spans="1:15" x14ac:dyDescent="0.35">
      <c r="A1070">
        <v>2002</v>
      </c>
      <c r="B1070">
        <v>12</v>
      </c>
      <c r="C1070">
        <v>4</v>
      </c>
      <c r="D1070" s="1">
        <f t="shared" si="128"/>
        <v>37594</v>
      </c>
      <c r="E1070">
        <v>0</v>
      </c>
      <c r="F1070">
        <f t="shared" si="134"/>
        <v>0</v>
      </c>
      <c r="G1070">
        <f t="shared" si="129"/>
        <v>0</v>
      </c>
      <c r="H1070">
        <f t="shared" si="135"/>
        <v>0</v>
      </c>
      <c r="I1070">
        <v>1069</v>
      </c>
      <c r="J1070">
        <f t="shared" si="130"/>
        <v>-0.44409580415922006</v>
      </c>
      <c r="K1070">
        <f t="shared" si="131"/>
        <v>0.89597930597094466</v>
      </c>
      <c r="L1070">
        <f>VLOOKUP(D1070,[1]SOI!$A$1:$C$142,3)</f>
        <v>-6</v>
      </c>
      <c r="M1070" s="2">
        <f t="shared" si="132"/>
        <v>-474.73841464620625</v>
      </c>
      <c r="N1070">
        <f t="shared" si="133"/>
        <v>957.80187808293988</v>
      </c>
      <c r="O1070" t="s">
        <v>8</v>
      </c>
    </row>
    <row r="1071" spans="1:15" x14ac:dyDescent="0.35">
      <c r="A1071">
        <v>2002</v>
      </c>
      <c r="B1071">
        <v>12</v>
      </c>
      <c r="C1071">
        <v>5</v>
      </c>
      <c r="D1071" s="1">
        <f t="shared" si="128"/>
        <v>37595</v>
      </c>
      <c r="E1071">
        <v>4.5999999999999996</v>
      </c>
      <c r="F1071">
        <f t="shared" si="134"/>
        <v>0</v>
      </c>
      <c r="G1071">
        <f t="shared" si="129"/>
        <v>1</v>
      </c>
      <c r="H1071">
        <f t="shared" si="135"/>
        <v>0</v>
      </c>
      <c r="I1071">
        <v>1070</v>
      </c>
      <c r="J1071">
        <f t="shared" si="130"/>
        <v>-0.42861784100772654</v>
      </c>
      <c r="K1071">
        <f t="shared" si="131"/>
        <v>0.90348588609334413</v>
      </c>
      <c r="L1071">
        <f>VLOOKUP(D1071,[1]SOI!$A$1:$C$142,3)</f>
        <v>-6</v>
      </c>
      <c r="M1071" s="2">
        <f t="shared" si="132"/>
        <v>-458.62108987826741</v>
      </c>
      <c r="N1071">
        <f t="shared" si="133"/>
        <v>966.72989811987827</v>
      </c>
      <c r="O1071" t="s">
        <v>8</v>
      </c>
    </row>
    <row r="1072" spans="1:15" x14ac:dyDescent="0.35">
      <c r="A1072">
        <v>2002</v>
      </c>
      <c r="B1072">
        <v>12</v>
      </c>
      <c r="C1072">
        <v>6</v>
      </c>
      <c r="D1072" s="1">
        <f t="shared" si="128"/>
        <v>37596</v>
      </c>
      <c r="E1072">
        <v>4.5999999999999996</v>
      </c>
      <c r="F1072">
        <f t="shared" si="134"/>
        <v>4.5999999999999996</v>
      </c>
      <c r="G1072">
        <f t="shared" si="129"/>
        <v>1</v>
      </c>
      <c r="H1072">
        <f t="shared" si="135"/>
        <v>1</v>
      </c>
      <c r="I1072">
        <v>1071</v>
      </c>
      <c r="J1072">
        <f t="shared" si="130"/>
        <v>-0.41301304294128083</v>
      </c>
      <c r="K1072">
        <f t="shared" si="131"/>
        <v>0.91072511020635849</v>
      </c>
      <c r="L1072">
        <f>VLOOKUP(D1072,[1]SOI!$A$1:$C$142,3)</f>
        <v>-6</v>
      </c>
      <c r="M1072" s="2">
        <f t="shared" si="132"/>
        <v>-442.33696899011176</v>
      </c>
      <c r="N1072">
        <f t="shared" si="133"/>
        <v>975.38659303100997</v>
      </c>
      <c r="O1072" t="s">
        <v>8</v>
      </c>
    </row>
    <row r="1073" spans="1:15" x14ac:dyDescent="0.35">
      <c r="A1073">
        <v>2002</v>
      </c>
      <c r="B1073">
        <v>12</v>
      </c>
      <c r="C1073">
        <v>7</v>
      </c>
      <c r="D1073" s="1">
        <f t="shared" si="128"/>
        <v>37597</v>
      </c>
      <c r="E1073">
        <v>0.6</v>
      </c>
      <c r="F1073">
        <f t="shared" si="134"/>
        <v>4.5999999999999996</v>
      </c>
      <c r="G1073">
        <f t="shared" si="129"/>
        <v>1</v>
      </c>
      <c r="H1073">
        <f t="shared" si="135"/>
        <v>1</v>
      </c>
      <c r="I1073">
        <v>1072</v>
      </c>
      <c r="J1073">
        <f t="shared" si="130"/>
        <v>-0.3972860276706911</v>
      </c>
      <c r="K1073">
        <f t="shared" si="131"/>
        <v>0.91769483610710312</v>
      </c>
      <c r="L1073">
        <f>VLOOKUP(D1073,[1]SOI!$A$1:$C$142,3)</f>
        <v>-6</v>
      </c>
      <c r="M1073" s="2">
        <f t="shared" si="132"/>
        <v>-425.89062166298083</v>
      </c>
      <c r="N1073">
        <f t="shared" si="133"/>
        <v>983.76886430681452</v>
      </c>
      <c r="O1073" t="s">
        <v>8</v>
      </c>
    </row>
    <row r="1074" spans="1:15" x14ac:dyDescent="0.35">
      <c r="A1074">
        <v>2002</v>
      </c>
      <c r="B1074">
        <v>12</v>
      </c>
      <c r="C1074">
        <v>8</v>
      </c>
      <c r="D1074" s="1">
        <f t="shared" si="128"/>
        <v>37598</v>
      </c>
      <c r="E1074">
        <v>0</v>
      </c>
      <c r="F1074">
        <f t="shared" si="134"/>
        <v>0.6</v>
      </c>
      <c r="G1074">
        <f t="shared" si="129"/>
        <v>0</v>
      </c>
      <c r="H1074">
        <f t="shared" si="135"/>
        <v>1</v>
      </c>
      <c r="I1074">
        <v>1073</v>
      </c>
      <c r="J1074">
        <f t="shared" si="130"/>
        <v>-0.38144144907279282</v>
      </c>
      <c r="K1074">
        <f t="shared" si="131"/>
        <v>0.92439300134155489</v>
      </c>
      <c r="L1074">
        <f>VLOOKUP(D1074,[1]SOI!$A$1:$C$142,3)</f>
        <v>-6</v>
      </c>
      <c r="M1074" s="2">
        <f t="shared" si="132"/>
        <v>-409.2866748551067</v>
      </c>
      <c r="N1074">
        <f t="shared" si="133"/>
        <v>991.87369043948843</v>
      </c>
      <c r="O1074" t="s">
        <v>8</v>
      </c>
    </row>
    <row r="1075" spans="1:15" x14ac:dyDescent="0.35">
      <c r="A1075">
        <v>2002</v>
      </c>
      <c r="B1075">
        <v>12</v>
      </c>
      <c r="C1075">
        <v>9</v>
      </c>
      <c r="D1075" s="1">
        <f t="shared" si="128"/>
        <v>37599</v>
      </c>
      <c r="E1075">
        <v>0.6</v>
      </c>
      <c r="F1075">
        <f t="shared" si="134"/>
        <v>0</v>
      </c>
      <c r="G1075">
        <f t="shared" si="129"/>
        <v>1</v>
      </c>
      <c r="H1075">
        <f t="shared" si="135"/>
        <v>0</v>
      </c>
      <c r="I1075">
        <v>1074</v>
      </c>
      <c r="J1075">
        <f t="shared" si="130"/>
        <v>-0.36548399581331109</v>
      </c>
      <c r="K1075">
        <f t="shared" si="131"/>
        <v>0.93081762381485644</v>
      </c>
      <c r="L1075">
        <f>VLOOKUP(D1075,[1]SOI!$A$1:$C$142,3)</f>
        <v>-6</v>
      </c>
      <c r="M1075" s="2">
        <f t="shared" si="132"/>
        <v>-392.52981150349609</v>
      </c>
      <c r="N1075">
        <f t="shared" si="133"/>
        <v>999.69812797715576</v>
      </c>
      <c r="O1075" t="s">
        <v>8</v>
      </c>
    </row>
    <row r="1076" spans="1:15" x14ac:dyDescent="0.35">
      <c r="A1076">
        <v>2002</v>
      </c>
      <c r="B1076">
        <v>12</v>
      </c>
      <c r="C1076">
        <v>10</v>
      </c>
      <c r="D1076" s="1">
        <f t="shared" si="128"/>
        <v>37600</v>
      </c>
      <c r="E1076">
        <v>0</v>
      </c>
      <c r="F1076">
        <f t="shared" si="134"/>
        <v>0.6</v>
      </c>
      <c r="G1076">
        <f t="shared" si="129"/>
        <v>0</v>
      </c>
      <c r="H1076">
        <f t="shared" si="135"/>
        <v>1</v>
      </c>
      <c r="I1076">
        <v>1075</v>
      </c>
      <c r="J1076">
        <f t="shared" si="130"/>
        <v>-0.34941838995939939</v>
      </c>
      <c r="K1076">
        <f t="shared" si="131"/>
        <v>0.93696680237785435</v>
      </c>
      <c r="L1076">
        <f>VLOOKUP(D1076,[1]SOI!$A$1:$C$142,3)</f>
        <v>-6</v>
      </c>
      <c r="M1076" s="2">
        <f t="shared" si="132"/>
        <v>-375.62476920635436</v>
      </c>
      <c r="N1076">
        <f t="shared" si="133"/>
        <v>1007.2393125561935</v>
      </c>
      <c r="O1076" t="s">
        <v>8</v>
      </c>
    </row>
    <row r="1077" spans="1:15" x14ac:dyDescent="0.35">
      <c r="A1077">
        <v>2002</v>
      </c>
      <c r="B1077">
        <v>12</v>
      </c>
      <c r="C1077">
        <v>11</v>
      </c>
      <c r="D1077" s="1">
        <f t="shared" si="128"/>
        <v>37601</v>
      </c>
      <c r="E1077">
        <v>0</v>
      </c>
      <c r="F1077">
        <f t="shared" si="134"/>
        <v>0</v>
      </c>
      <c r="G1077">
        <f t="shared" si="129"/>
        <v>0</v>
      </c>
      <c r="H1077">
        <f t="shared" si="135"/>
        <v>0</v>
      </c>
      <c r="I1077">
        <v>1076</v>
      </c>
      <c r="J1077">
        <f t="shared" si="130"/>
        <v>-0.33324938558229411</v>
      </c>
      <c r="K1077">
        <f t="shared" si="131"/>
        <v>0.9428387173896835</v>
      </c>
      <c r="L1077">
        <f>VLOOKUP(D1077,[1]SOI!$A$1:$C$142,3)</f>
        <v>-6</v>
      </c>
      <c r="M1077" s="2">
        <f t="shared" si="132"/>
        <v>-358.57633888654846</v>
      </c>
      <c r="N1077">
        <f t="shared" si="133"/>
        <v>1014.4944599112995</v>
      </c>
      <c r="O1077" t="s">
        <v>8</v>
      </c>
    </row>
    <row r="1078" spans="1:15" x14ac:dyDescent="0.35">
      <c r="A1078">
        <v>2002</v>
      </c>
      <c r="B1078">
        <v>12</v>
      </c>
      <c r="C1078">
        <v>12</v>
      </c>
      <c r="D1078" s="1">
        <f t="shared" si="128"/>
        <v>37602</v>
      </c>
      <c r="E1078">
        <v>0</v>
      </c>
      <c r="F1078">
        <f t="shared" si="134"/>
        <v>0</v>
      </c>
      <c r="G1078">
        <f t="shared" si="129"/>
        <v>0</v>
      </c>
      <c r="H1078">
        <f t="shared" si="135"/>
        <v>0</v>
      </c>
      <c r="I1078">
        <v>1077</v>
      </c>
      <c r="J1078">
        <f t="shared" si="130"/>
        <v>-0.3169817673505313</v>
      </c>
      <c r="K1078">
        <f t="shared" si="131"/>
        <v>0.94843163125621954</v>
      </c>
      <c r="L1078">
        <f>VLOOKUP(D1078,[1]SOI!$A$1:$C$142,3)</f>
        <v>-6</v>
      </c>
      <c r="M1078" s="2">
        <f t="shared" si="132"/>
        <v>-341.38936343652222</v>
      </c>
      <c r="N1078">
        <f t="shared" si="133"/>
        <v>1021.4608668629485</v>
      </c>
      <c r="O1078" t="s">
        <v>8</v>
      </c>
    </row>
    <row r="1079" spans="1:15" x14ac:dyDescent="0.35">
      <c r="A1079">
        <v>2002</v>
      </c>
      <c r="B1079">
        <v>12</v>
      </c>
      <c r="C1079">
        <v>13</v>
      </c>
      <c r="D1079" s="1">
        <f t="shared" si="128"/>
        <v>37603</v>
      </c>
      <c r="E1079">
        <v>0</v>
      </c>
      <c r="F1079">
        <f t="shared" si="134"/>
        <v>0</v>
      </c>
      <c r="G1079">
        <f t="shared" si="129"/>
        <v>0</v>
      </c>
      <c r="H1079">
        <f t="shared" si="135"/>
        <v>0</v>
      </c>
      <c r="I1079">
        <v>1078</v>
      </c>
      <c r="J1079">
        <f t="shared" si="130"/>
        <v>-0.30062034911405988</v>
      </c>
      <c r="K1079">
        <f t="shared" si="131"/>
        <v>0.95374388894427042</v>
      </c>
      <c r="L1079">
        <f>VLOOKUP(D1079,[1]SOI!$A$1:$C$142,3)</f>
        <v>-6</v>
      </c>
      <c r="M1079" s="2">
        <f t="shared" si="132"/>
        <v>-324.06873634495656</v>
      </c>
      <c r="N1079">
        <f t="shared" si="133"/>
        <v>1028.1359122819235</v>
      </c>
      <c r="O1079" t="s">
        <v>8</v>
      </c>
    </row>
    <row r="1080" spans="1:15" x14ac:dyDescent="0.35">
      <c r="A1080">
        <v>2002</v>
      </c>
      <c r="B1080">
        <v>12</v>
      </c>
      <c r="C1080">
        <v>14</v>
      </c>
      <c r="D1080" s="1">
        <f t="shared" si="128"/>
        <v>37604</v>
      </c>
      <c r="E1080">
        <v>0</v>
      </c>
      <c r="F1080">
        <f t="shared" si="134"/>
        <v>0</v>
      </c>
      <c r="G1080">
        <f t="shared" si="129"/>
        <v>0</v>
      </c>
      <c r="H1080">
        <f t="shared" si="135"/>
        <v>0</v>
      </c>
      <c r="I1080">
        <v>1079</v>
      </c>
      <c r="J1080">
        <f t="shared" si="130"/>
        <v>-0.28416997247976922</v>
      </c>
      <c r="K1080">
        <f t="shared" si="131"/>
        <v>0.95877391847131888</v>
      </c>
      <c r="L1080">
        <f>VLOOKUP(D1080,[1]SOI!$A$1:$C$142,3)</f>
        <v>-6</v>
      </c>
      <c r="M1080" s="2">
        <f t="shared" si="132"/>
        <v>-306.61940030567098</v>
      </c>
      <c r="N1080">
        <f t="shared" si="133"/>
        <v>1034.517058030553</v>
      </c>
      <c r="O1080" t="s">
        <v>8</v>
      </c>
    </row>
    <row r="1081" spans="1:15" x14ac:dyDescent="0.35">
      <c r="A1081">
        <v>2002</v>
      </c>
      <c r="B1081">
        <v>12</v>
      </c>
      <c r="C1081">
        <v>15</v>
      </c>
      <c r="D1081" s="1">
        <f t="shared" si="128"/>
        <v>37605</v>
      </c>
      <c r="E1081">
        <v>0</v>
      </c>
      <c r="F1081">
        <f t="shared" si="134"/>
        <v>0</v>
      </c>
      <c r="G1081">
        <f t="shared" si="129"/>
        <v>0</v>
      </c>
      <c r="H1081">
        <f t="shared" si="135"/>
        <v>0</v>
      </c>
      <c r="I1081">
        <v>1080</v>
      </c>
      <c r="J1081">
        <f t="shared" si="130"/>
        <v>-0.26763550537876996</v>
      </c>
      <c r="K1081">
        <f t="shared" si="131"/>
        <v>0.96352023137070164</v>
      </c>
      <c r="L1081">
        <f>VLOOKUP(D1081,[1]SOI!$A$1:$C$142,3)</f>
        <v>-6</v>
      </c>
      <c r="M1081" s="2">
        <f t="shared" si="132"/>
        <v>-289.04634580907157</v>
      </c>
      <c r="N1081">
        <f t="shared" si="133"/>
        <v>1040.6018498803578</v>
      </c>
      <c r="O1081" t="s">
        <v>8</v>
      </c>
    </row>
    <row r="1082" spans="1:15" x14ac:dyDescent="0.35">
      <c r="A1082">
        <v>2002</v>
      </c>
      <c r="B1082">
        <v>12</v>
      </c>
      <c r="C1082">
        <v>16</v>
      </c>
      <c r="D1082" s="1">
        <f t="shared" si="128"/>
        <v>37606</v>
      </c>
      <c r="E1082">
        <v>0</v>
      </c>
      <c r="F1082">
        <f t="shared" si="134"/>
        <v>0</v>
      </c>
      <c r="G1082">
        <f t="shared" si="129"/>
        <v>0</v>
      </c>
      <c r="H1082">
        <f t="shared" si="135"/>
        <v>0</v>
      </c>
      <c r="I1082">
        <v>1081</v>
      </c>
      <c r="J1082">
        <f t="shared" si="130"/>
        <v>-0.25102184062588107</v>
      </c>
      <c r="K1082">
        <f t="shared" si="131"/>
        <v>0.96798142313207369</v>
      </c>
      <c r="L1082">
        <f>VLOOKUP(D1082,[1]SOI!$A$1:$C$142,3)</f>
        <v>-6</v>
      </c>
      <c r="M1082" s="2">
        <f t="shared" si="132"/>
        <v>-271.35460971657744</v>
      </c>
      <c r="N1082">
        <f t="shared" si="133"/>
        <v>1046.3879184057716</v>
      </c>
      <c r="O1082" t="s">
        <v>8</v>
      </c>
    </row>
    <row r="1083" spans="1:15" x14ac:dyDescent="0.35">
      <c r="A1083">
        <v>2002</v>
      </c>
      <c r="B1083">
        <v>12</v>
      </c>
      <c r="C1083">
        <v>17</v>
      </c>
      <c r="D1083" s="1">
        <f t="shared" si="128"/>
        <v>37607</v>
      </c>
      <c r="E1083">
        <v>0</v>
      </c>
      <c r="F1083">
        <f t="shared" si="134"/>
        <v>0</v>
      </c>
      <c r="G1083">
        <f t="shared" si="129"/>
        <v>0</v>
      </c>
      <c r="H1083">
        <f t="shared" si="135"/>
        <v>0</v>
      </c>
      <c r="I1083">
        <v>1082</v>
      </c>
      <c r="J1083">
        <f t="shared" si="130"/>
        <v>-0.23433389447180475</v>
      </c>
      <c r="K1083">
        <f t="shared" si="131"/>
        <v>0.97215617361701567</v>
      </c>
      <c r="L1083">
        <f>VLOOKUP(D1083,[1]SOI!$A$1:$C$142,3)</f>
        <v>-6</v>
      </c>
      <c r="M1083" s="2">
        <f t="shared" si="132"/>
        <v>-253.54927381849274</v>
      </c>
      <c r="N1083">
        <f t="shared" si="133"/>
        <v>1051.872979853611</v>
      </c>
      <c r="O1083" t="s">
        <v>8</v>
      </c>
    </row>
    <row r="1084" spans="1:15" x14ac:dyDescent="0.35">
      <c r="A1084">
        <v>2002</v>
      </c>
      <c r="B1084">
        <v>12</v>
      </c>
      <c r="C1084">
        <v>18</v>
      </c>
      <c r="D1084" s="1">
        <f t="shared" si="128"/>
        <v>37608</v>
      </c>
      <c r="E1084">
        <v>0</v>
      </c>
      <c r="F1084">
        <f t="shared" si="134"/>
        <v>0</v>
      </c>
      <c r="G1084">
        <f t="shared" si="129"/>
        <v>0</v>
      </c>
      <c r="H1084">
        <f t="shared" si="135"/>
        <v>0</v>
      </c>
      <c r="I1084">
        <v>1083</v>
      </c>
      <c r="J1084">
        <f t="shared" si="130"/>
        <v>-0.21757660514828095</v>
      </c>
      <c r="K1084">
        <f t="shared" si="131"/>
        <v>0.97604324744969628</v>
      </c>
      <c r="L1084">
        <f>VLOOKUP(D1084,[1]SOI!$A$1:$C$142,3)</f>
        <v>-6</v>
      </c>
      <c r="M1084" s="2">
        <f t="shared" si="132"/>
        <v>-235.63546337558827</v>
      </c>
      <c r="N1084">
        <f t="shared" si="133"/>
        <v>1057.0548369880212</v>
      </c>
      <c r="O1084" t="s">
        <v>8</v>
      </c>
    </row>
    <row r="1085" spans="1:15" x14ac:dyDescent="0.35">
      <c r="A1085">
        <v>2002</v>
      </c>
      <c r="B1085">
        <v>12</v>
      </c>
      <c r="C1085">
        <v>19</v>
      </c>
      <c r="D1085" s="1">
        <f t="shared" si="128"/>
        <v>37609</v>
      </c>
      <c r="E1085">
        <v>0</v>
      </c>
      <c r="F1085">
        <f t="shared" si="134"/>
        <v>0</v>
      </c>
      <c r="G1085">
        <f t="shared" si="129"/>
        <v>0</v>
      </c>
      <c r="H1085">
        <f t="shared" si="135"/>
        <v>0</v>
      </c>
      <c r="I1085">
        <v>1084</v>
      </c>
      <c r="J1085">
        <f t="shared" si="130"/>
        <v>-0.20075493140682626</v>
      </c>
      <c r="K1085">
        <f t="shared" si="131"/>
        <v>0.97964149438242998</v>
      </c>
      <c r="L1085">
        <f>VLOOKUP(D1085,[1]SOI!$A$1:$C$142,3)</f>
        <v>-6</v>
      </c>
      <c r="M1085" s="2">
        <f t="shared" si="132"/>
        <v>-217.61834564499966</v>
      </c>
      <c r="N1085">
        <f t="shared" si="133"/>
        <v>1061.9313799105541</v>
      </c>
      <c r="O1085" t="s">
        <v>8</v>
      </c>
    </row>
    <row r="1086" spans="1:15" x14ac:dyDescent="0.35">
      <c r="A1086">
        <v>2002</v>
      </c>
      <c r="B1086">
        <v>12</v>
      </c>
      <c r="C1086">
        <v>20</v>
      </c>
      <c r="D1086" s="1">
        <f t="shared" si="128"/>
        <v>37610</v>
      </c>
      <c r="E1086">
        <v>0</v>
      </c>
      <c r="F1086">
        <f t="shared" si="134"/>
        <v>0</v>
      </c>
      <c r="G1086">
        <f t="shared" si="129"/>
        <v>0</v>
      </c>
      <c r="H1086">
        <f t="shared" si="135"/>
        <v>0</v>
      </c>
      <c r="I1086">
        <v>1085</v>
      </c>
      <c r="J1086">
        <f t="shared" si="130"/>
        <v>-0.18387385105132856</v>
      </c>
      <c r="K1086">
        <f t="shared" si="131"/>
        <v>0.98294984963606047</v>
      </c>
      <c r="L1086">
        <f>VLOOKUP(D1086,[1]SOI!$A$1:$C$142,3)</f>
        <v>-6</v>
      </c>
      <c r="M1086" s="2">
        <f t="shared" si="132"/>
        <v>-199.50312839069147</v>
      </c>
      <c r="N1086">
        <f t="shared" si="133"/>
        <v>1066.5005868551257</v>
      </c>
      <c r="O1086" t="s">
        <v>8</v>
      </c>
    </row>
    <row r="1087" spans="1:15" x14ac:dyDescent="0.35">
      <c r="A1087">
        <v>2002</v>
      </c>
      <c r="B1087">
        <v>12</v>
      </c>
      <c r="C1087">
        <v>21</v>
      </c>
      <c r="D1087" s="1">
        <f t="shared" si="128"/>
        <v>37611</v>
      </c>
      <c r="E1087">
        <v>0</v>
      </c>
      <c r="F1087">
        <f t="shared" si="134"/>
        <v>0</v>
      </c>
      <c r="G1087">
        <f t="shared" si="129"/>
        <v>0</v>
      </c>
      <c r="H1087">
        <f t="shared" si="135"/>
        <v>0</v>
      </c>
      <c r="I1087">
        <v>1086</v>
      </c>
      <c r="J1087">
        <f t="shared" si="130"/>
        <v>-0.16693835946505894</v>
      </c>
      <c r="K1087">
        <f t="shared" si="131"/>
        <v>0.98596733421504124</v>
      </c>
      <c r="L1087">
        <f>VLOOKUP(D1087,[1]SOI!$A$1:$C$142,3)</f>
        <v>-6</v>
      </c>
      <c r="M1087" s="2">
        <f t="shared" si="132"/>
        <v>-181.29505837905401</v>
      </c>
      <c r="N1087">
        <f t="shared" si="133"/>
        <v>1070.7605249575347</v>
      </c>
      <c r="O1087" t="s">
        <v>8</v>
      </c>
    </row>
    <row r="1088" spans="1:15" x14ac:dyDescent="0.35">
      <c r="A1088">
        <v>2002</v>
      </c>
      <c r="B1088">
        <v>12</v>
      </c>
      <c r="C1088">
        <v>22</v>
      </c>
      <c r="D1088" s="1">
        <f t="shared" si="128"/>
        <v>37612</v>
      </c>
      <c r="E1088">
        <v>0</v>
      </c>
      <c r="F1088">
        <f t="shared" si="134"/>
        <v>0</v>
      </c>
      <c r="G1088">
        <f t="shared" si="129"/>
        <v>0</v>
      </c>
      <c r="H1088">
        <f t="shared" si="135"/>
        <v>0</v>
      </c>
      <c r="I1088">
        <v>1087</v>
      </c>
      <c r="J1088">
        <f t="shared" si="130"/>
        <v>-0.1499534681324472</v>
      </c>
      <c r="K1088">
        <f t="shared" si="131"/>
        <v>0.98869305519713813</v>
      </c>
      <c r="L1088">
        <f>VLOOKUP(D1088,[1]SOI!$A$1:$C$142,3)</f>
        <v>-6</v>
      </c>
      <c r="M1088" s="2">
        <f t="shared" si="132"/>
        <v>-162.99941985997012</v>
      </c>
      <c r="N1088">
        <f t="shared" si="133"/>
        <v>1074.7093509992892</v>
      </c>
      <c r="O1088" t="s">
        <v>8</v>
      </c>
    </row>
    <row r="1089" spans="1:15" x14ac:dyDescent="0.35">
      <c r="A1089">
        <v>2002</v>
      </c>
      <c r="B1089">
        <v>12</v>
      </c>
      <c r="C1089">
        <v>23</v>
      </c>
      <c r="D1089" s="1">
        <f t="shared" si="128"/>
        <v>37613</v>
      </c>
      <c r="E1089">
        <v>0</v>
      </c>
      <c r="F1089">
        <f t="shared" si="134"/>
        <v>0</v>
      </c>
      <c r="G1089">
        <f t="shared" si="129"/>
        <v>0</v>
      </c>
      <c r="H1089">
        <f t="shared" si="135"/>
        <v>0</v>
      </c>
      <c r="I1089">
        <v>1088</v>
      </c>
      <c r="J1089">
        <f t="shared" si="130"/>
        <v>-0.13292420315609221</v>
      </c>
      <c r="K1089">
        <f t="shared" si="131"/>
        <v>0.99112620599766099</v>
      </c>
      <c r="L1089">
        <f>VLOOKUP(D1089,[1]SOI!$A$1:$C$142,3)</f>
        <v>-6</v>
      </c>
      <c r="M1089" s="2">
        <f t="shared" si="132"/>
        <v>-144.62153303382831</v>
      </c>
      <c r="N1089">
        <f t="shared" si="133"/>
        <v>1078.3453121254552</v>
      </c>
      <c r="O1089" t="s">
        <v>8</v>
      </c>
    </row>
    <row r="1090" spans="1:15" x14ac:dyDescent="0.35">
      <c r="A1090">
        <v>2002</v>
      </c>
      <c r="B1090">
        <v>12</v>
      </c>
      <c r="C1090">
        <v>24</v>
      </c>
      <c r="D1090" s="1">
        <f t="shared" si="128"/>
        <v>37614</v>
      </c>
      <c r="E1090">
        <v>0</v>
      </c>
      <c r="F1090">
        <f t="shared" si="134"/>
        <v>0</v>
      </c>
      <c r="G1090">
        <f t="shared" si="129"/>
        <v>0</v>
      </c>
      <c r="H1090">
        <f t="shared" si="135"/>
        <v>0</v>
      </c>
      <c r="I1090">
        <v>1089</v>
      </c>
      <c r="J1090">
        <f t="shared" si="130"/>
        <v>-0.11585560376947857</v>
      </c>
      <c r="K1090">
        <f t="shared" si="131"/>
        <v>0.99326606660814176</v>
      </c>
      <c r="L1090">
        <f>VLOOKUP(D1090,[1]SOI!$A$1:$C$142,3)</f>
        <v>-6</v>
      </c>
      <c r="M1090" s="2">
        <f t="shared" si="132"/>
        <v>-126.16675250496216</v>
      </c>
      <c r="N1090">
        <f t="shared" si="133"/>
        <v>1081.6667465362664</v>
      </c>
      <c r="O1090" t="s">
        <v>8</v>
      </c>
    </row>
    <row r="1091" spans="1:15" x14ac:dyDescent="0.35">
      <c r="A1091">
        <v>2002</v>
      </c>
      <c r="B1091">
        <v>12</v>
      </c>
      <c r="C1091">
        <v>25</v>
      </c>
      <c r="D1091" s="1">
        <f t="shared" ref="D1091:D1154" si="136">DATE(A1091,B1091,C1091)</f>
        <v>37615</v>
      </c>
      <c r="E1091">
        <v>0.4</v>
      </c>
      <c r="F1091">
        <f t="shared" si="134"/>
        <v>0</v>
      </c>
      <c r="G1091">
        <f t="shared" ref="G1091:G1154" si="137">IF(E1091=0,0,1)</f>
        <v>1</v>
      </c>
      <c r="H1091">
        <f t="shared" si="135"/>
        <v>0</v>
      </c>
      <c r="I1091">
        <v>1090</v>
      </c>
      <c r="J1091">
        <f t="shared" ref="J1091:J1154" si="138">SIN(2*PI()*I1091/365.25)</f>
        <v>-9.8752720845775618E-2</v>
      </c>
      <c r="K1091">
        <f t="shared" ref="K1091:K1154" si="139">COS(2*PI()*I1091/365.25)</f>
        <v>0.99511200380939846</v>
      </c>
      <c r="L1091">
        <f>VLOOKUP(D1091,[1]SOI!$A$1:$C$142,3)</f>
        <v>-6</v>
      </c>
      <c r="M1091" s="2">
        <f t="shared" ref="M1091:M1154" si="140">I1091*J1091</f>
        <v>-107.64046572189542</v>
      </c>
      <c r="N1091">
        <f t="shared" ref="N1091:N1154" si="141">I1091*K1091</f>
        <v>1084.6720841522442</v>
      </c>
      <c r="O1091" t="s">
        <v>8</v>
      </c>
    </row>
    <row r="1092" spans="1:15" x14ac:dyDescent="0.35">
      <c r="A1092">
        <v>2002</v>
      </c>
      <c r="B1092">
        <v>12</v>
      </c>
      <c r="C1092">
        <v>26</v>
      </c>
      <c r="D1092" s="1">
        <f t="shared" si="136"/>
        <v>37616</v>
      </c>
      <c r="E1092">
        <v>0</v>
      </c>
      <c r="F1092">
        <f t="shared" ref="F1092:F1155" si="142">E1091</f>
        <v>0.4</v>
      </c>
      <c r="G1092">
        <f t="shared" si="137"/>
        <v>0</v>
      </c>
      <c r="H1092">
        <f t="shared" ref="H1092:H1155" si="143">G1091</f>
        <v>1</v>
      </c>
      <c r="I1092">
        <v>1091</v>
      </c>
      <c r="J1092">
        <f t="shared" si="138"/>
        <v>-8.1620615403192376E-2</v>
      </c>
      <c r="K1092">
        <f t="shared" si="139"/>
        <v>0.99666347135891564</v>
      </c>
      <c r="L1092">
        <f>VLOOKUP(D1092,[1]SOI!$A$1:$C$142,3)</f>
        <v>-6</v>
      </c>
      <c r="M1092" s="2">
        <f t="shared" si="140"/>
        <v>-89.048091404882882</v>
      </c>
      <c r="N1092">
        <f t="shared" si="141"/>
        <v>1087.3598472525769</v>
      </c>
      <c r="O1092" t="s">
        <v>8</v>
      </c>
    </row>
    <row r="1093" spans="1:15" x14ac:dyDescent="0.35">
      <c r="A1093">
        <v>2002</v>
      </c>
      <c r="B1093">
        <v>12</v>
      </c>
      <c r="C1093">
        <v>27</v>
      </c>
      <c r="D1093" s="1">
        <f t="shared" si="136"/>
        <v>37617</v>
      </c>
      <c r="E1093">
        <v>0</v>
      </c>
      <c r="F1093">
        <f t="shared" si="142"/>
        <v>0</v>
      </c>
      <c r="G1093">
        <f t="shared" si="137"/>
        <v>0</v>
      </c>
      <c r="H1093">
        <f t="shared" si="143"/>
        <v>0</v>
      </c>
      <c r="I1093">
        <v>1092</v>
      </c>
      <c r="J1093">
        <f t="shared" si="138"/>
        <v>-6.4464357107361897E-2</v>
      </c>
      <c r="K1093">
        <f t="shared" si="139"/>
        <v>0.99792001015248433</v>
      </c>
      <c r="L1093">
        <f>VLOOKUP(D1093,[1]SOI!$A$1:$C$142,3)</f>
        <v>-6</v>
      </c>
      <c r="M1093" s="2">
        <f t="shared" si="140"/>
        <v>-70.395077961239195</v>
      </c>
      <c r="N1093">
        <f t="shared" si="141"/>
        <v>1089.7286510865129</v>
      </c>
      <c r="O1093" t="s">
        <v>8</v>
      </c>
    </row>
    <row r="1094" spans="1:15" x14ac:dyDescent="0.35">
      <c r="A1094">
        <v>2002</v>
      </c>
      <c r="B1094">
        <v>12</v>
      </c>
      <c r="C1094">
        <v>28</v>
      </c>
      <c r="D1094" s="1">
        <f t="shared" si="136"/>
        <v>37618</v>
      </c>
      <c r="E1094">
        <v>0</v>
      </c>
      <c r="F1094">
        <f t="shared" si="142"/>
        <v>0</v>
      </c>
      <c r="G1094">
        <f t="shared" si="137"/>
        <v>0</v>
      </c>
      <c r="H1094">
        <f t="shared" si="143"/>
        <v>0</v>
      </c>
      <c r="I1094">
        <v>1093</v>
      </c>
      <c r="J1094">
        <f t="shared" si="138"/>
        <v>-4.7289022771135107E-2</v>
      </c>
      <c r="K1094">
        <f t="shared" si="139"/>
        <v>0.99888124836005965</v>
      </c>
      <c r="L1094">
        <f>VLOOKUP(D1094,[1]SOI!$A$1:$C$142,3)</f>
        <v>-6</v>
      </c>
      <c r="M1094" s="2">
        <f t="shared" si="140"/>
        <v>-51.68690188885067</v>
      </c>
      <c r="N1094">
        <f t="shared" si="141"/>
        <v>1091.7772044575452</v>
      </c>
      <c r="O1094" t="s">
        <v>8</v>
      </c>
    </row>
    <row r="1095" spans="1:15" x14ac:dyDescent="0.35">
      <c r="A1095">
        <v>2002</v>
      </c>
      <c r="B1095">
        <v>12</v>
      </c>
      <c r="C1095">
        <v>29</v>
      </c>
      <c r="D1095" s="1">
        <f t="shared" si="136"/>
        <v>37619</v>
      </c>
      <c r="E1095">
        <v>0</v>
      </c>
      <c r="F1095">
        <f t="shared" si="142"/>
        <v>0</v>
      </c>
      <c r="G1095">
        <f t="shared" si="137"/>
        <v>0</v>
      </c>
      <c r="H1095">
        <f t="shared" si="143"/>
        <v>0</v>
      </c>
      <c r="I1095">
        <v>1094</v>
      </c>
      <c r="J1095">
        <f t="shared" si="138"/>
        <v>-3.0099694852259582E-2</v>
      </c>
      <c r="K1095">
        <f t="shared" si="139"/>
        <v>0.99954690153579129</v>
      </c>
      <c r="L1095">
        <f>VLOOKUP(D1095,[1]SOI!$A$1:$C$142,3)</f>
        <v>-6</v>
      </c>
      <c r="M1095" s="2">
        <f t="shared" si="140"/>
        <v>-32.929066168371982</v>
      </c>
      <c r="N1095">
        <f t="shared" si="141"/>
        <v>1093.5043102801558</v>
      </c>
      <c r="O1095" t="s">
        <v>8</v>
      </c>
    </row>
    <row r="1096" spans="1:15" x14ac:dyDescent="0.35">
      <c r="A1096">
        <v>2002</v>
      </c>
      <c r="B1096">
        <v>12</v>
      </c>
      <c r="C1096">
        <v>30</v>
      </c>
      <c r="D1096" s="1">
        <f t="shared" si="136"/>
        <v>37620</v>
      </c>
      <c r="E1096">
        <v>1</v>
      </c>
      <c r="F1096">
        <f t="shared" si="142"/>
        <v>0</v>
      </c>
      <c r="G1096">
        <f t="shared" si="137"/>
        <v>1</v>
      </c>
      <c r="H1096">
        <f t="shared" si="143"/>
        <v>0</v>
      </c>
      <c r="I1096">
        <v>1095</v>
      </c>
      <c r="J1096">
        <f t="shared" si="138"/>
        <v>-1.2901459949423296E-2</v>
      </c>
      <c r="K1096">
        <f t="shared" si="139"/>
        <v>0.99991677270219514</v>
      </c>
      <c r="L1096">
        <f>VLOOKUP(D1096,[1]SOI!$A$1:$C$142,3)</f>
        <v>-6</v>
      </c>
      <c r="M1096" s="2">
        <f t="shared" si="140"/>
        <v>-14.127098644618508</v>
      </c>
      <c r="N1096">
        <f t="shared" si="141"/>
        <v>1094.9088661089038</v>
      </c>
      <c r="O1096" t="s">
        <v>8</v>
      </c>
    </row>
    <row r="1097" spans="1:15" x14ac:dyDescent="0.35">
      <c r="A1097">
        <v>2002</v>
      </c>
      <c r="B1097">
        <v>12</v>
      </c>
      <c r="C1097">
        <v>31</v>
      </c>
      <c r="D1097" s="1">
        <f t="shared" si="136"/>
        <v>37621</v>
      </c>
      <c r="E1097">
        <v>0.2</v>
      </c>
      <c r="F1097">
        <f t="shared" si="142"/>
        <v>1</v>
      </c>
      <c r="G1097">
        <f t="shared" si="137"/>
        <v>1</v>
      </c>
      <c r="H1097">
        <f t="shared" si="143"/>
        <v>1</v>
      </c>
      <c r="I1097">
        <v>1096</v>
      </c>
      <c r="J1097">
        <f t="shared" si="138"/>
        <v>4.300592702983658E-3</v>
      </c>
      <c r="K1097">
        <f t="shared" si="139"/>
        <v>0.9999907524084426</v>
      </c>
      <c r="L1097">
        <f>VLOOKUP(D1097,[1]SOI!$A$1:$C$142,3)</f>
        <v>-6</v>
      </c>
      <c r="M1097" s="2">
        <f t="shared" si="140"/>
        <v>4.7134496024700896</v>
      </c>
      <c r="N1097">
        <f t="shared" si="141"/>
        <v>1095.989864639653</v>
      </c>
      <c r="O1097" t="s">
        <v>8</v>
      </c>
    </row>
    <row r="1098" spans="1:15" x14ac:dyDescent="0.35">
      <c r="A1098">
        <v>2003</v>
      </c>
      <c r="B1098">
        <v>1</v>
      </c>
      <c r="C1098">
        <v>1</v>
      </c>
      <c r="D1098" s="1">
        <f t="shared" si="136"/>
        <v>37622</v>
      </c>
      <c r="E1098">
        <v>5.4</v>
      </c>
      <c r="F1098">
        <f t="shared" si="142"/>
        <v>0.2</v>
      </c>
      <c r="G1098">
        <f t="shared" si="137"/>
        <v>1</v>
      </c>
      <c r="H1098">
        <f t="shared" si="143"/>
        <v>1</v>
      </c>
      <c r="I1098">
        <v>1097</v>
      </c>
      <c r="J1098">
        <f t="shared" si="138"/>
        <v>2.1501372740812812E-2</v>
      </c>
      <c r="K1098">
        <f t="shared" si="139"/>
        <v>0.99976881876274803</v>
      </c>
      <c r="L1098">
        <f>VLOOKUP(D1098,[1]SOI!$A$1:$C$142,3)</f>
        <v>-10.6</v>
      </c>
      <c r="M1098" s="2">
        <f t="shared" si="140"/>
        <v>23.587005896671656</v>
      </c>
      <c r="N1098">
        <f t="shared" si="141"/>
        <v>1096.7463941827345</v>
      </c>
      <c r="O1098" t="s">
        <v>8</v>
      </c>
    </row>
    <row r="1099" spans="1:15" x14ac:dyDescent="0.35">
      <c r="A1099">
        <v>2003</v>
      </c>
      <c r="B1099">
        <v>1</v>
      </c>
      <c r="C1099">
        <v>2</v>
      </c>
      <c r="D1099" s="1">
        <f t="shared" si="136"/>
        <v>37623</v>
      </c>
      <c r="E1099">
        <v>0.6</v>
      </c>
      <c r="F1099">
        <f t="shared" si="142"/>
        <v>5.4</v>
      </c>
      <c r="G1099">
        <f t="shared" si="137"/>
        <v>1</v>
      </c>
      <c r="H1099">
        <f t="shared" si="143"/>
        <v>1</v>
      </c>
      <c r="I1099">
        <v>1098</v>
      </c>
      <c r="J1099">
        <f t="shared" si="138"/>
        <v>3.8695790176527689E-2</v>
      </c>
      <c r="K1099">
        <f t="shared" si="139"/>
        <v>0.99925103743884802</v>
      </c>
      <c r="L1099">
        <f>VLOOKUP(D1099,[1]SOI!$A$1:$C$142,3)</f>
        <v>-10.6</v>
      </c>
      <c r="M1099" s="2">
        <f t="shared" si="140"/>
        <v>42.487977613827404</v>
      </c>
      <c r="N1099">
        <f t="shared" si="141"/>
        <v>1097.1776391078552</v>
      </c>
      <c r="O1099" t="s">
        <v>8</v>
      </c>
    </row>
    <row r="1100" spans="1:15" x14ac:dyDescent="0.35">
      <c r="A1100">
        <v>2003</v>
      </c>
      <c r="B1100">
        <v>1</v>
      </c>
      <c r="C1100">
        <v>3</v>
      </c>
      <c r="D1100" s="1">
        <f t="shared" si="136"/>
        <v>37624</v>
      </c>
      <c r="E1100">
        <v>0</v>
      </c>
      <c r="F1100">
        <f t="shared" si="142"/>
        <v>0.6</v>
      </c>
      <c r="G1100">
        <f t="shared" si="137"/>
        <v>0</v>
      </c>
      <c r="H1100">
        <f t="shared" si="143"/>
        <v>1</v>
      </c>
      <c r="I1100">
        <v>1099</v>
      </c>
      <c r="J1100">
        <f t="shared" si="138"/>
        <v>5.587875690537393E-2</v>
      </c>
      <c r="K1100">
        <f t="shared" si="139"/>
        <v>0.9984375616565665</v>
      </c>
      <c r="L1100">
        <f>VLOOKUP(D1100,[1]SOI!$A$1:$C$142,3)</f>
        <v>-10.6</v>
      </c>
      <c r="M1100" s="2">
        <f t="shared" si="140"/>
        <v>61.410753839005949</v>
      </c>
      <c r="N1100">
        <f t="shared" si="141"/>
        <v>1097.2828802605666</v>
      </c>
      <c r="O1100" t="s">
        <v>8</v>
      </c>
    </row>
    <row r="1101" spans="1:15" x14ac:dyDescent="0.35">
      <c r="A1101">
        <v>2003</v>
      </c>
      <c r="B1101">
        <v>1</v>
      </c>
      <c r="C1101">
        <v>4</v>
      </c>
      <c r="D1101" s="1">
        <f t="shared" si="136"/>
        <v>37625</v>
      </c>
      <c r="E1101">
        <v>0</v>
      </c>
      <c r="F1101">
        <f t="shared" si="142"/>
        <v>0</v>
      </c>
      <c r="G1101">
        <f t="shared" si="137"/>
        <v>0</v>
      </c>
      <c r="H1101">
        <f t="shared" si="143"/>
        <v>0</v>
      </c>
      <c r="I1101">
        <v>1100</v>
      </c>
      <c r="J1101">
        <f t="shared" si="138"/>
        <v>7.3045188211045567E-2</v>
      </c>
      <c r="K1101">
        <f t="shared" si="139"/>
        <v>0.99732863213647538</v>
      </c>
      <c r="L1101">
        <f>VLOOKUP(D1101,[1]SOI!$A$1:$C$142,3)</f>
        <v>-10.6</v>
      </c>
      <c r="M1101" s="2">
        <f t="shared" si="140"/>
        <v>80.349707032150121</v>
      </c>
      <c r="N1101">
        <f t="shared" si="141"/>
        <v>1097.0614953501229</v>
      </c>
      <c r="O1101" t="s">
        <v>8</v>
      </c>
    </row>
    <row r="1102" spans="1:15" x14ac:dyDescent="0.35">
      <c r="A1102">
        <v>2003</v>
      </c>
      <c r="B1102">
        <v>1</v>
      </c>
      <c r="C1102">
        <v>5</v>
      </c>
      <c r="D1102" s="1">
        <f t="shared" si="136"/>
        <v>37626</v>
      </c>
      <c r="E1102">
        <v>0</v>
      </c>
      <c r="F1102">
        <f t="shared" si="142"/>
        <v>0</v>
      </c>
      <c r="G1102">
        <f t="shared" si="137"/>
        <v>0</v>
      </c>
      <c r="H1102">
        <f t="shared" si="143"/>
        <v>0</v>
      </c>
      <c r="I1102">
        <v>1101</v>
      </c>
      <c r="J1102">
        <f t="shared" si="138"/>
        <v>9.0190004270345028E-2</v>
      </c>
      <c r="K1102">
        <f t="shared" si="139"/>
        <v>0.99592457702865989</v>
      </c>
      <c r="L1102">
        <f>VLOOKUP(D1102,[1]SOI!$A$1:$C$142,3)</f>
        <v>-10.6</v>
      </c>
      <c r="M1102" s="2">
        <f t="shared" si="140"/>
        <v>99.299194701649881</v>
      </c>
      <c r="N1102">
        <f t="shared" si="141"/>
        <v>1096.5129593085546</v>
      </c>
      <c r="O1102" t="s">
        <v>8</v>
      </c>
    </row>
    <row r="1103" spans="1:15" x14ac:dyDescent="0.35">
      <c r="A1103">
        <v>2003</v>
      </c>
      <c r="B1103">
        <v>1</v>
      </c>
      <c r="C1103">
        <v>6</v>
      </c>
      <c r="D1103" s="1">
        <f t="shared" si="136"/>
        <v>37627</v>
      </c>
      <c r="E1103">
        <v>0</v>
      </c>
      <c r="F1103">
        <f t="shared" si="142"/>
        <v>0</v>
      </c>
      <c r="G1103">
        <f t="shared" si="137"/>
        <v>0</v>
      </c>
      <c r="H1103">
        <f t="shared" si="143"/>
        <v>0</v>
      </c>
      <c r="I1103">
        <v>1102</v>
      </c>
      <c r="J1103">
        <f t="shared" si="138"/>
        <v>0.10730813165635973</v>
      </c>
      <c r="K1103">
        <f t="shared" si="139"/>
        <v>0.99422581181561631</v>
      </c>
      <c r="L1103">
        <f>VLOOKUP(D1103,[1]SOI!$A$1:$C$142,3)</f>
        <v>-10.6</v>
      </c>
      <c r="M1103" s="2">
        <f t="shared" si="140"/>
        <v>118.25356108530842</v>
      </c>
      <c r="N1103">
        <f t="shared" si="141"/>
        <v>1095.6368446208091</v>
      </c>
      <c r="O1103" t="s">
        <v>8</v>
      </c>
    </row>
    <row r="1104" spans="1:15" x14ac:dyDescent="0.35">
      <c r="A1104">
        <v>2003</v>
      </c>
      <c r="B1104">
        <v>1</v>
      </c>
      <c r="C1104">
        <v>7</v>
      </c>
      <c r="D1104" s="1">
        <f t="shared" si="136"/>
        <v>37628</v>
      </c>
      <c r="E1104">
        <v>0</v>
      </c>
      <c r="F1104">
        <f t="shared" si="142"/>
        <v>0</v>
      </c>
      <c r="G1104">
        <f t="shared" si="137"/>
        <v>0</v>
      </c>
      <c r="H1104">
        <f t="shared" si="143"/>
        <v>0</v>
      </c>
      <c r="I1104">
        <v>1103</v>
      </c>
      <c r="J1104">
        <f t="shared" si="138"/>
        <v>0.12439450483979901</v>
      </c>
      <c r="K1104">
        <f t="shared" si="139"/>
        <v>0.99223283918930094</v>
      </c>
      <c r="L1104">
        <f>VLOOKUP(D1104,[1]SOI!$A$1:$C$142,3)</f>
        <v>-10.6</v>
      </c>
      <c r="M1104" s="2">
        <f t="shared" si="140"/>
        <v>137.20713883829831</v>
      </c>
      <c r="N1104">
        <f t="shared" si="141"/>
        <v>1094.4328216257989</v>
      </c>
      <c r="O1104" t="s">
        <v>8</v>
      </c>
    </row>
    <row r="1105" spans="1:15" x14ac:dyDescent="0.35">
      <c r="A1105">
        <v>2003</v>
      </c>
      <c r="B1105">
        <v>1</v>
      </c>
      <c r="C1105">
        <v>8</v>
      </c>
      <c r="D1105" s="1">
        <f t="shared" si="136"/>
        <v>37629</v>
      </c>
      <c r="E1105">
        <v>0.2</v>
      </c>
      <c r="F1105">
        <f t="shared" si="142"/>
        <v>0</v>
      </c>
      <c r="G1105">
        <f t="shared" si="137"/>
        <v>1</v>
      </c>
      <c r="H1105">
        <f t="shared" si="143"/>
        <v>0</v>
      </c>
      <c r="I1105">
        <v>1104</v>
      </c>
      <c r="J1105">
        <f t="shared" si="138"/>
        <v>0.14144406768794104</v>
      </c>
      <c r="K1105">
        <f t="shared" si="139"/>
        <v>0.98994624890237815</v>
      </c>
      <c r="L1105">
        <f>VLOOKUP(D1105,[1]SOI!$A$1:$C$142,3)</f>
        <v>-10.6</v>
      </c>
      <c r="M1105" s="2">
        <f t="shared" si="140"/>
        <v>156.15425072748693</v>
      </c>
      <c r="N1105">
        <f t="shared" si="141"/>
        <v>1092.9006587882254</v>
      </c>
      <c r="O1105" t="s">
        <v>8</v>
      </c>
    </row>
    <row r="1106" spans="1:15" x14ac:dyDescent="0.35">
      <c r="A1106">
        <v>2003</v>
      </c>
      <c r="B1106">
        <v>1</v>
      </c>
      <c r="C1106">
        <v>9</v>
      </c>
      <c r="D1106" s="1">
        <f t="shared" si="136"/>
        <v>37630</v>
      </c>
      <c r="E1106">
        <v>0</v>
      </c>
      <c r="F1106">
        <f t="shared" si="142"/>
        <v>0.2</v>
      </c>
      <c r="G1106">
        <f t="shared" si="137"/>
        <v>0</v>
      </c>
      <c r="H1106">
        <f t="shared" si="143"/>
        <v>1</v>
      </c>
      <c r="I1106">
        <v>1105</v>
      </c>
      <c r="J1106">
        <f t="shared" si="138"/>
        <v>0.15845177496083448</v>
      </c>
      <c r="K1106">
        <f t="shared" si="139"/>
        <v>0.98736671759370187</v>
      </c>
      <c r="L1106">
        <f>VLOOKUP(D1106,[1]SOI!$A$1:$C$142,3)</f>
        <v>-10.6</v>
      </c>
      <c r="M1106" s="2">
        <f t="shared" si="140"/>
        <v>175.08921133172211</v>
      </c>
      <c r="N1106">
        <f t="shared" si="141"/>
        <v>1091.0402229410406</v>
      </c>
      <c r="O1106" t="s">
        <v>8</v>
      </c>
    </row>
    <row r="1107" spans="1:15" x14ac:dyDescent="0.35">
      <c r="A1107">
        <v>2003</v>
      </c>
      <c r="B1107">
        <v>1</v>
      </c>
      <c r="C1107">
        <v>10</v>
      </c>
      <c r="D1107" s="1">
        <f t="shared" si="136"/>
        <v>37631</v>
      </c>
      <c r="E1107">
        <v>0</v>
      </c>
      <c r="F1107">
        <f t="shared" si="142"/>
        <v>0</v>
      </c>
      <c r="G1107">
        <f t="shared" si="137"/>
        <v>0</v>
      </c>
      <c r="H1107">
        <f t="shared" si="143"/>
        <v>0</v>
      </c>
      <c r="I1107">
        <v>1106</v>
      </c>
      <c r="J1107">
        <f t="shared" si="138"/>
        <v>0.1754125938042766</v>
      </c>
      <c r="K1107">
        <f t="shared" si="139"/>
        <v>0.98449500858808614</v>
      </c>
      <c r="L1107">
        <f>VLOOKUP(D1107,[1]SOI!$A$1:$C$142,3)</f>
        <v>-10.6</v>
      </c>
      <c r="M1107" s="2">
        <f t="shared" si="140"/>
        <v>194.00632874752992</v>
      </c>
      <c r="N1107">
        <f t="shared" si="141"/>
        <v>1088.8514794984233</v>
      </c>
      <c r="O1107" t="s">
        <v>8</v>
      </c>
    </row>
    <row r="1108" spans="1:15" x14ac:dyDescent="0.35">
      <c r="A1108">
        <v>2003</v>
      </c>
      <c r="B1108">
        <v>1</v>
      </c>
      <c r="C1108">
        <v>11</v>
      </c>
      <c r="D1108" s="1">
        <f t="shared" si="136"/>
        <v>37632</v>
      </c>
      <c r="E1108">
        <v>0</v>
      </c>
      <c r="F1108">
        <f t="shared" si="142"/>
        <v>0</v>
      </c>
      <c r="G1108">
        <f t="shared" si="137"/>
        <v>0</v>
      </c>
      <c r="H1108">
        <f t="shared" si="143"/>
        <v>0</v>
      </c>
      <c r="I1108">
        <v>1107</v>
      </c>
      <c r="J1108">
        <f t="shared" si="138"/>
        <v>0.19232150523909475</v>
      </c>
      <c r="K1108">
        <f t="shared" si="139"/>
        <v>0.98133197167042752</v>
      </c>
      <c r="L1108">
        <f>VLOOKUP(D1108,[1]SOI!$A$1:$C$142,3)</f>
        <v>-10.6</v>
      </c>
      <c r="M1108" s="2">
        <f t="shared" si="140"/>
        <v>212.89990629967789</v>
      </c>
      <c r="N1108">
        <f t="shared" si="141"/>
        <v>1086.3344926391633</v>
      </c>
      <c r="O1108" t="s">
        <v>8</v>
      </c>
    </row>
    <row r="1109" spans="1:15" x14ac:dyDescent="0.35">
      <c r="A1109">
        <v>2003</v>
      </c>
      <c r="B1109">
        <v>1</v>
      </c>
      <c r="C1109">
        <v>12</v>
      </c>
      <c r="D1109" s="1">
        <f t="shared" si="136"/>
        <v>37633</v>
      </c>
      <c r="E1109">
        <v>0</v>
      </c>
      <c r="F1109">
        <f t="shared" si="142"/>
        <v>0</v>
      </c>
      <c r="G1109">
        <f t="shared" si="137"/>
        <v>0</v>
      </c>
      <c r="H1109">
        <f t="shared" si="143"/>
        <v>0</v>
      </c>
      <c r="I1109">
        <v>1108</v>
      </c>
      <c r="J1109">
        <f t="shared" si="138"/>
        <v>0.20917350564635714</v>
      </c>
      <c r="K1109">
        <f t="shared" si="139"/>
        <v>0.97787854283423836</v>
      </c>
      <c r="L1109">
        <f>VLOOKUP(D1109,[1]SOI!$A$1:$C$142,3)</f>
        <v>-10.6</v>
      </c>
      <c r="M1109" s="2">
        <f t="shared" si="140"/>
        <v>231.76424425616372</v>
      </c>
      <c r="N1109">
        <f t="shared" si="141"/>
        <v>1083.4894254603362</v>
      </c>
      <c r="O1109" t="s">
        <v>8</v>
      </c>
    </row>
    <row r="1110" spans="1:15" x14ac:dyDescent="0.35">
      <c r="A1110">
        <v>2003</v>
      </c>
      <c r="B1110">
        <v>1</v>
      </c>
      <c r="C1110">
        <v>13</v>
      </c>
      <c r="D1110" s="1">
        <f t="shared" si="136"/>
        <v>37634</v>
      </c>
      <c r="E1110">
        <v>0</v>
      </c>
      <c r="F1110">
        <f t="shared" si="142"/>
        <v>0</v>
      </c>
      <c r="G1110">
        <f t="shared" si="137"/>
        <v>0</v>
      </c>
      <c r="H1110">
        <f t="shared" si="143"/>
        <v>0</v>
      </c>
      <c r="I1110">
        <v>1109</v>
      </c>
      <c r="J1110">
        <f t="shared" si="138"/>
        <v>0.22596360824801723</v>
      </c>
      <c r="K1110">
        <f t="shared" si="139"/>
        <v>0.9741357440046724</v>
      </c>
      <c r="L1110">
        <f>VLOOKUP(D1110,[1]SOI!$A$1:$C$142,3)</f>
        <v>-10.6</v>
      </c>
      <c r="M1110" s="2">
        <f t="shared" si="140"/>
        <v>250.59364154705111</v>
      </c>
      <c r="N1110">
        <f t="shared" si="141"/>
        <v>1080.3165401011818</v>
      </c>
      <c r="O1110" t="s">
        <v>8</v>
      </c>
    </row>
    <row r="1111" spans="1:15" x14ac:dyDescent="0.35">
      <c r="A1111">
        <v>2003</v>
      </c>
      <c r="B1111">
        <v>1</v>
      </c>
      <c r="C1111">
        <v>14</v>
      </c>
      <c r="D1111" s="1">
        <f t="shared" si="136"/>
        <v>37635</v>
      </c>
      <c r="E1111">
        <v>0</v>
      </c>
      <c r="F1111">
        <f t="shared" si="142"/>
        <v>0</v>
      </c>
      <c r="G1111">
        <f t="shared" si="137"/>
        <v>0</v>
      </c>
      <c r="H1111">
        <f t="shared" si="143"/>
        <v>0</v>
      </c>
      <c r="I1111">
        <v>1110</v>
      </c>
      <c r="J1111">
        <f t="shared" si="138"/>
        <v>0.24268684458259532</v>
      </c>
      <c r="K1111">
        <f t="shared" si="139"/>
        <v>0.9701046827361175</v>
      </c>
      <c r="L1111">
        <f>VLOOKUP(D1111,[1]SOI!$A$1:$C$142,3)</f>
        <v>-10.6</v>
      </c>
      <c r="M1111" s="2">
        <f t="shared" si="140"/>
        <v>269.38239748668082</v>
      </c>
      <c r="N1111">
        <f t="shared" si="141"/>
        <v>1076.8161978370904</v>
      </c>
      <c r="O1111" t="s">
        <v>8</v>
      </c>
    </row>
    <row r="1112" spans="1:15" x14ac:dyDescent="0.35">
      <c r="A1112">
        <v>2003</v>
      </c>
      <c r="B1112">
        <v>1</v>
      </c>
      <c r="C1112">
        <v>15</v>
      </c>
      <c r="D1112" s="1">
        <f t="shared" si="136"/>
        <v>37636</v>
      </c>
      <c r="E1112">
        <v>0</v>
      </c>
      <c r="F1112">
        <f t="shared" si="142"/>
        <v>0</v>
      </c>
      <c r="G1112">
        <f t="shared" si="137"/>
        <v>0</v>
      </c>
      <c r="H1112">
        <f t="shared" si="143"/>
        <v>0</v>
      </c>
      <c r="I1112">
        <v>1111</v>
      </c>
      <c r="J1112">
        <f t="shared" si="138"/>
        <v>0.25933826597540549</v>
      </c>
      <c r="K1112">
        <f t="shared" si="139"/>
        <v>0.9657865518844575</v>
      </c>
      <c r="L1112">
        <f>VLOOKUP(D1112,[1]SOI!$A$1:$C$142,3)</f>
        <v>-10.6</v>
      </c>
      <c r="M1112" s="2">
        <f t="shared" si="140"/>
        <v>288.12481349867551</v>
      </c>
      <c r="N1112">
        <f t="shared" si="141"/>
        <v>1072.9888591436322</v>
      </c>
      <c r="O1112" t="s">
        <v>8</v>
      </c>
    </row>
    <row r="1113" spans="1:15" x14ac:dyDescent="0.35">
      <c r="A1113">
        <v>2003</v>
      </c>
      <c r="B1113">
        <v>1</v>
      </c>
      <c r="C1113">
        <v>16</v>
      </c>
      <c r="D1113" s="1">
        <f t="shared" si="136"/>
        <v>37637</v>
      </c>
      <c r="E1113">
        <v>0</v>
      </c>
      <c r="F1113">
        <f t="shared" si="142"/>
        <v>0</v>
      </c>
      <c r="G1113">
        <f t="shared" si="137"/>
        <v>0</v>
      </c>
      <c r="H1113">
        <f t="shared" si="143"/>
        <v>0</v>
      </c>
      <c r="I1113">
        <v>1112</v>
      </c>
      <c r="J1113">
        <f t="shared" si="138"/>
        <v>0.27591294500295865</v>
      </c>
      <c r="K1113">
        <f t="shared" si="139"/>
        <v>0.96118262925408426</v>
      </c>
      <c r="L1113">
        <f>VLOOKUP(D1113,[1]SOI!$A$1:$C$142,3)</f>
        <v>-10.6</v>
      </c>
      <c r="M1113" s="2">
        <f t="shared" si="140"/>
        <v>306.81519484329004</v>
      </c>
      <c r="N1113">
        <f t="shared" si="141"/>
        <v>1068.8350837305418</v>
      </c>
      <c r="O1113" t="s">
        <v>8</v>
      </c>
    </row>
    <row r="1114" spans="1:15" x14ac:dyDescent="0.35">
      <c r="A1114">
        <v>2003</v>
      </c>
      <c r="B1114">
        <v>1</v>
      </c>
      <c r="C1114">
        <v>17</v>
      </c>
      <c r="D1114" s="1">
        <f t="shared" si="136"/>
        <v>37638</v>
      </c>
      <c r="E1114">
        <v>0</v>
      </c>
      <c r="F1114">
        <f t="shared" si="142"/>
        <v>0</v>
      </c>
      <c r="G1114">
        <f t="shared" si="137"/>
        <v>0</v>
      </c>
      <c r="H1114">
        <f t="shared" si="143"/>
        <v>0</v>
      </c>
      <c r="I1114">
        <v>1113</v>
      </c>
      <c r="J1114">
        <f t="shared" si="138"/>
        <v>0.2924059769510764</v>
      </c>
      <c r="K1114">
        <f t="shared" si="139"/>
        <v>0.95629427721977223</v>
      </c>
      <c r="L1114">
        <f>VLOOKUP(D1114,[1]SOI!$A$1:$C$142,3)</f>
        <v>-10.6</v>
      </c>
      <c r="M1114" s="2">
        <f t="shared" si="140"/>
        <v>325.44785234654802</v>
      </c>
      <c r="N1114">
        <f t="shared" si="141"/>
        <v>1064.3555305456066</v>
      </c>
      <c r="O1114" t="s">
        <v>8</v>
      </c>
    </row>
    <row r="1115" spans="1:15" x14ac:dyDescent="0.35">
      <c r="A1115">
        <v>2003</v>
      </c>
      <c r="B1115">
        <v>1</v>
      </c>
      <c r="C1115">
        <v>18</v>
      </c>
      <c r="D1115" s="1">
        <f t="shared" si="136"/>
        <v>37639</v>
      </c>
      <c r="E1115">
        <v>0</v>
      </c>
      <c r="F1115">
        <f t="shared" si="142"/>
        <v>0</v>
      </c>
      <c r="G1115">
        <f t="shared" si="137"/>
        <v>0</v>
      </c>
      <c r="H1115">
        <f t="shared" si="143"/>
        <v>0</v>
      </c>
      <c r="I1115">
        <v>1114</v>
      </c>
      <c r="J1115">
        <f t="shared" si="138"/>
        <v>0.30881248126625455</v>
      </c>
      <c r="K1115">
        <f t="shared" si="139"/>
        <v>0.95112294232353534</v>
      </c>
      <c r="L1115">
        <f>VLOOKUP(D1115,[1]SOI!$A$1:$C$142,3)</f>
        <v>-10.6</v>
      </c>
      <c r="M1115" s="2">
        <f t="shared" si="140"/>
        <v>344.01710413060755</v>
      </c>
      <c r="N1115">
        <f t="shared" si="141"/>
        <v>1059.5509577484183</v>
      </c>
      <c r="O1115" t="s">
        <v>8</v>
      </c>
    </row>
    <row r="1116" spans="1:15" x14ac:dyDescent="0.35">
      <c r="A1116">
        <v>2003</v>
      </c>
      <c r="B1116">
        <v>1</v>
      </c>
      <c r="C1116">
        <v>19</v>
      </c>
      <c r="D1116" s="1">
        <f t="shared" si="136"/>
        <v>37640</v>
      </c>
      <c r="E1116">
        <v>0</v>
      </c>
      <c r="F1116">
        <f t="shared" si="142"/>
        <v>0</v>
      </c>
      <c r="G1116">
        <f t="shared" si="137"/>
        <v>0</v>
      </c>
      <c r="H1116">
        <f t="shared" si="143"/>
        <v>0</v>
      </c>
      <c r="I1116">
        <v>1115</v>
      </c>
      <c r="J1116">
        <f t="shared" si="138"/>
        <v>0.32512760299990751</v>
      </c>
      <c r="K1116">
        <f t="shared" si="139"/>
        <v>0.94567015484656936</v>
      </c>
      <c r="L1116">
        <f>VLOOKUP(D1116,[1]SOI!$A$1:$C$142,3)</f>
        <v>-10.6</v>
      </c>
      <c r="M1116" s="2">
        <f t="shared" si="140"/>
        <v>362.51727734489685</v>
      </c>
      <c r="N1116">
        <f t="shared" si="141"/>
        <v>1054.4222226539248</v>
      </c>
      <c r="O1116" t="s">
        <v>8</v>
      </c>
    </row>
    <row r="1117" spans="1:15" x14ac:dyDescent="0.35">
      <c r="A1117">
        <v>2003</v>
      </c>
      <c r="B1117">
        <v>1</v>
      </c>
      <c r="C1117">
        <v>20</v>
      </c>
      <c r="D1117" s="1">
        <f t="shared" si="136"/>
        <v>37641</v>
      </c>
      <c r="E1117">
        <v>0</v>
      </c>
      <c r="F1117">
        <f t="shared" si="142"/>
        <v>0</v>
      </c>
      <c r="G1117">
        <f t="shared" si="137"/>
        <v>0</v>
      </c>
      <c r="H1117">
        <f t="shared" si="143"/>
        <v>0</v>
      </c>
      <c r="I1117">
        <v>1116</v>
      </c>
      <c r="J1117">
        <f t="shared" si="138"/>
        <v>0.34134651424503604</v>
      </c>
      <c r="K1117">
        <f t="shared" si="139"/>
        <v>0.93993752835641342</v>
      </c>
      <c r="L1117">
        <f>VLOOKUP(D1117,[1]SOI!$A$1:$C$142,3)</f>
        <v>-10.6</v>
      </c>
      <c r="M1117" s="2">
        <f t="shared" si="140"/>
        <v>380.94270989746019</v>
      </c>
      <c r="N1117">
        <f t="shared" si="141"/>
        <v>1048.9702816457573</v>
      </c>
      <c r="O1117" t="s">
        <v>8</v>
      </c>
    </row>
    <row r="1118" spans="1:15" x14ac:dyDescent="0.35">
      <c r="A1118">
        <v>2003</v>
      </c>
      <c r="B1118">
        <v>1</v>
      </c>
      <c r="C1118">
        <v>21</v>
      </c>
      <c r="D1118" s="1">
        <f t="shared" si="136"/>
        <v>37642</v>
      </c>
      <c r="E1118">
        <v>0</v>
      </c>
      <c r="F1118">
        <f t="shared" si="142"/>
        <v>0</v>
      </c>
      <c r="G1118">
        <f t="shared" si="137"/>
        <v>0</v>
      </c>
      <c r="H1118">
        <f t="shared" si="143"/>
        <v>0</v>
      </c>
      <c r="I1118">
        <v>1117</v>
      </c>
      <c r="J1118">
        <f t="shared" si="138"/>
        <v>0.35746441556485881</v>
      </c>
      <c r="K1118">
        <f t="shared" si="139"/>
        <v>0.93392675922947721</v>
      </c>
      <c r="L1118">
        <f>VLOOKUP(D1118,[1]SOI!$A$1:$C$142,3)</f>
        <v>-10.6</v>
      </c>
      <c r="M1118" s="2">
        <f t="shared" si="140"/>
        <v>399.28775218594728</v>
      </c>
      <c r="N1118">
        <f t="shared" si="141"/>
        <v>1043.196190059326</v>
      </c>
      <c r="O1118" t="s">
        <v>8</v>
      </c>
    </row>
    <row r="1119" spans="1:15" x14ac:dyDescent="0.35">
      <c r="A1119">
        <v>2003</v>
      </c>
      <c r="B1119">
        <v>1</v>
      </c>
      <c r="C1119">
        <v>22</v>
      </c>
      <c r="D1119" s="1">
        <f t="shared" si="136"/>
        <v>37643</v>
      </c>
      <c r="E1119">
        <v>0</v>
      </c>
      <c r="F1119">
        <f t="shared" si="142"/>
        <v>0</v>
      </c>
      <c r="G1119">
        <f t="shared" si="137"/>
        <v>0</v>
      </c>
      <c r="H1119">
        <f t="shared" si="143"/>
        <v>0</v>
      </c>
      <c r="I1119">
        <v>1118</v>
      </c>
      <c r="J1119">
        <f t="shared" si="138"/>
        <v>0.37347653741306985</v>
      </c>
      <c r="K1119">
        <f t="shared" si="139"/>
        <v>0.92763962614904705</v>
      </c>
      <c r="L1119">
        <f>VLOOKUP(D1119,[1]SOI!$A$1:$C$142,3)</f>
        <v>-10.6</v>
      </c>
      <c r="M1119" s="2">
        <f t="shared" si="140"/>
        <v>417.54676882781212</v>
      </c>
      <c r="N1119">
        <f t="shared" si="141"/>
        <v>1037.1011020346346</v>
      </c>
      <c r="O1119" t="s">
        <v>8</v>
      </c>
    </row>
    <row r="1120" spans="1:15" x14ac:dyDescent="0.35">
      <c r="A1120">
        <v>2003</v>
      </c>
      <c r="B1120">
        <v>1</v>
      </c>
      <c r="C1120">
        <v>23</v>
      </c>
      <c r="D1120" s="1">
        <f t="shared" si="136"/>
        <v>37644</v>
      </c>
      <c r="E1120">
        <v>0</v>
      </c>
      <c r="F1120">
        <f t="shared" si="142"/>
        <v>0</v>
      </c>
      <c r="G1120">
        <f t="shared" si="137"/>
        <v>0</v>
      </c>
      <c r="H1120">
        <f t="shared" si="143"/>
        <v>0</v>
      </c>
      <c r="I1120">
        <v>1119</v>
      </c>
      <c r="J1120">
        <f t="shared" si="138"/>
        <v>0.38937814154520062</v>
      </c>
      <c r="K1120">
        <f t="shared" si="139"/>
        <v>0.92107798957895293</v>
      </c>
      <c r="L1120">
        <f>VLOOKUP(D1120,[1]SOI!$A$1:$C$142,3)</f>
        <v>-10.6</v>
      </c>
      <c r="M1120" s="2">
        <f t="shared" si="140"/>
        <v>435.71414038907949</v>
      </c>
      <c r="N1120">
        <f t="shared" si="141"/>
        <v>1030.6862703388483</v>
      </c>
      <c r="O1120" t="s">
        <v>8</v>
      </c>
    </row>
    <row r="1121" spans="1:15" x14ac:dyDescent="0.35">
      <c r="A1121">
        <v>2003</v>
      </c>
      <c r="B1121">
        <v>1</v>
      </c>
      <c r="C1121">
        <v>24</v>
      </c>
      <c r="D1121" s="1">
        <f t="shared" si="136"/>
        <v>37645</v>
      </c>
      <c r="E1121">
        <v>0</v>
      </c>
      <c r="F1121">
        <f t="shared" si="142"/>
        <v>0</v>
      </c>
      <c r="G1121">
        <f t="shared" si="137"/>
        <v>0</v>
      </c>
      <c r="H1121">
        <f t="shared" si="143"/>
        <v>0</v>
      </c>
      <c r="I1121">
        <v>1120</v>
      </c>
      <c r="J1121">
        <f t="shared" si="138"/>
        <v>0.40516452242075296</v>
      </c>
      <c r="K1121">
        <f t="shared" si="139"/>
        <v>0.9142437912130239</v>
      </c>
      <c r="L1121">
        <f>VLOOKUP(D1121,[1]SOI!$A$1:$C$142,3)</f>
        <v>-10.6</v>
      </c>
      <c r="M1121" s="2">
        <f t="shared" si="140"/>
        <v>453.78426511124331</v>
      </c>
      <c r="N1121">
        <f t="shared" si="141"/>
        <v>1023.9530461585867</v>
      </c>
      <c r="O1121" t="s">
        <v>8</v>
      </c>
    </row>
    <row r="1122" spans="1:15" x14ac:dyDescent="0.35">
      <c r="A1122">
        <v>2003</v>
      </c>
      <c r="B1122">
        <v>1</v>
      </c>
      <c r="C1122">
        <v>25</v>
      </c>
      <c r="D1122" s="1">
        <f t="shared" si="136"/>
        <v>37646</v>
      </c>
      <c r="E1122">
        <v>0</v>
      </c>
      <c r="F1122">
        <f t="shared" si="142"/>
        <v>0</v>
      </c>
      <c r="G1122">
        <f t="shared" si="137"/>
        <v>0</v>
      </c>
      <c r="H1122">
        <f t="shared" si="143"/>
        <v>0</v>
      </c>
      <c r="I1122">
        <v>1121</v>
      </c>
      <c r="J1122">
        <f t="shared" si="138"/>
        <v>0.42083100859565714</v>
      </c>
      <c r="K1122">
        <f t="shared" si="139"/>
        <v>0.90713905340050371</v>
      </c>
      <c r="L1122">
        <f>VLOOKUP(D1122,[1]SOI!$A$1:$C$142,3)</f>
        <v>-10.6</v>
      </c>
      <c r="M1122" s="2">
        <f t="shared" si="140"/>
        <v>471.75156063573166</v>
      </c>
      <c r="N1122">
        <f t="shared" si="141"/>
        <v>1016.9028788619646</v>
      </c>
      <c r="O1122" t="s">
        <v>8</v>
      </c>
    </row>
    <row r="1123" spans="1:15" x14ac:dyDescent="0.35">
      <c r="A1123">
        <v>2003</v>
      </c>
      <c r="B1123">
        <v>1</v>
      </c>
      <c r="C1123">
        <v>26</v>
      </c>
      <c r="D1123" s="1">
        <f t="shared" si="136"/>
        <v>37647</v>
      </c>
      <c r="E1123">
        <v>0</v>
      </c>
      <c r="F1123">
        <f t="shared" si="142"/>
        <v>0</v>
      </c>
      <c r="G1123">
        <f t="shared" si="137"/>
        <v>0</v>
      </c>
      <c r="H1123">
        <f t="shared" si="143"/>
        <v>0</v>
      </c>
      <c r="I1123">
        <v>1122</v>
      </c>
      <c r="J1123">
        <f t="shared" si="138"/>
        <v>0.43637296410459153</v>
      </c>
      <c r="K1123">
        <f t="shared" si="139"/>
        <v>0.89976587854762136</v>
      </c>
      <c r="L1123">
        <f>VLOOKUP(D1123,[1]SOI!$A$1:$C$142,3)</f>
        <v>-10.6</v>
      </c>
      <c r="M1123" s="2">
        <f t="shared" si="140"/>
        <v>489.61046572535167</v>
      </c>
      <c r="N1123">
        <f t="shared" si="141"/>
        <v>1009.5373157304311</v>
      </c>
      <c r="O1123" t="s">
        <v>8</v>
      </c>
    </row>
    <row r="1124" spans="1:15" x14ac:dyDescent="0.35">
      <c r="A1124">
        <v>2003</v>
      </c>
      <c r="B1124">
        <v>1</v>
      </c>
      <c r="C1124">
        <v>27</v>
      </c>
      <c r="D1124" s="1">
        <f t="shared" si="136"/>
        <v>37648</v>
      </c>
      <c r="E1124">
        <v>0.8</v>
      </c>
      <c r="F1124">
        <f t="shared" si="142"/>
        <v>0</v>
      </c>
      <c r="G1124">
        <f t="shared" si="137"/>
        <v>1</v>
      </c>
      <c r="H1124">
        <f t="shared" si="143"/>
        <v>0</v>
      </c>
      <c r="I1124">
        <v>1123</v>
      </c>
      <c r="J1124">
        <f t="shared" si="138"/>
        <v>0.4517857898328847</v>
      </c>
      <c r="K1124">
        <f t="shared" si="139"/>
        <v>0.89212644849543421</v>
      </c>
      <c r="L1124">
        <f>VLOOKUP(D1124,[1]SOI!$A$1:$C$142,3)</f>
        <v>-10.6</v>
      </c>
      <c r="M1124" s="2">
        <f t="shared" si="140"/>
        <v>507.35544198232952</v>
      </c>
      <c r="N1124">
        <f t="shared" si="141"/>
        <v>1001.8580016603726</v>
      </c>
      <c r="O1124" t="s">
        <v>8</v>
      </c>
    </row>
    <row r="1125" spans="1:15" x14ac:dyDescent="0.35">
      <c r="A1125">
        <v>2003</v>
      </c>
      <c r="B1125">
        <v>1</v>
      </c>
      <c r="C1125">
        <v>28</v>
      </c>
      <c r="D1125" s="1">
        <f t="shared" si="136"/>
        <v>37649</v>
      </c>
      <c r="E1125">
        <v>0</v>
      </c>
      <c r="F1125">
        <f t="shared" si="142"/>
        <v>0.8</v>
      </c>
      <c r="G1125">
        <f t="shared" si="137"/>
        <v>0</v>
      </c>
      <c r="H1125">
        <f t="shared" si="143"/>
        <v>1</v>
      </c>
      <c r="I1125">
        <v>1124</v>
      </c>
      <c r="J1125">
        <f t="shared" si="138"/>
        <v>0.46706492487742868</v>
      </c>
      <c r="K1125">
        <f t="shared" si="139"/>
        <v>0.88422302387420437</v>
      </c>
      <c r="L1125">
        <f>VLOOKUP(D1125,[1]SOI!$A$1:$C$142,3)</f>
        <v>-10.6</v>
      </c>
      <c r="M1125" s="2">
        <f t="shared" si="140"/>
        <v>524.98097556222979</v>
      </c>
      <c r="N1125">
        <f t="shared" si="141"/>
        <v>993.86667883460575</v>
      </c>
      <c r="O1125" t="s">
        <v>8</v>
      </c>
    </row>
    <row r="1126" spans="1:15" x14ac:dyDescent="0.35">
      <c r="A1126">
        <v>2003</v>
      </c>
      <c r="B1126">
        <v>1</v>
      </c>
      <c r="C1126">
        <v>29</v>
      </c>
      <c r="D1126" s="1">
        <f t="shared" si="136"/>
        <v>37650</v>
      </c>
      <c r="E1126">
        <v>0</v>
      </c>
      <c r="F1126">
        <f t="shared" si="142"/>
        <v>0</v>
      </c>
      <c r="G1126">
        <f t="shared" si="137"/>
        <v>0</v>
      </c>
      <c r="H1126">
        <f t="shared" si="143"/>
        <v>0</v>
      </c>
      <c r="I1126">
        <v>1125</v>
      </c>
      <c r="J1126">
        <f t="shared" si="138"/>
        <v>0.48220584789635257</v>
      </c>
      <c r="K1126">
        <f t="shared" si="139"/>
        <v>0.87605794343442811</v>
      </c>
      <c r="L1126">
        <f>VLOOKUP(D1126,[1]SOI!$A$1:$C$142,3)</f>
        <v>-10.6</v>
      </c>
      <c r="M1126" s="2">
        <f t="shared" si="140"/>
        <v>542.48157888339665</v>
      </c>
      <c r="N1126">
        <f t="shared" si="141"/>
        <v>985.56518636373164</v>
      </c>
      <c r="O1126" t="s">
        <v>8</v>
      </c>
    </row>
    <row r="1127" spans="1:15" x14ac:dyDescent="0.35">
      <c r="A1127">
        <v>2003</v>
      </c>
      <c r="B1127">
        <v>1</v>
      </c>
      <c r="C1127">
        <v>30</v>
      </c>
      <c r="D1127" s="1">
        <f t="shared" si="136"/>
        <v>37651</v>
      </c>
      <c r="E1127">
        <v>0</v>
      </c>
      <c r="F1127">
        <f t="shared" si="142"/>
        <v>0</v>
      </c>
      <c r="G1127">
        <f t="shared" si="137"/>
        <v>0</v>
      </c>
      <c r="H1127">
        <f t="shared" si="143"/>
        <v>0</v>
      </c>
      <c r="I1127">
        <v>1126</v>
      </c>
      <c r="J1127">
        <f t="shared" si="138"/>
        <v>0.49720407844693776</v>
      </c>
      <c r="K1127">
        <f t="shared" si="139"/>
        <v>0.86763362335477257</v>
      </c>
      <c r="L1127">
        <f>VLOOKUP(D1127,[1]SOI!$A$1:$C$142,3)</f>
        <v>-10.6</v>
      </c>
      <c r="M1127" s="2">
        <f t="shared" si="140"/>
        <v>559.85179233125189</v>
      </c>
      <c r="N1127">
        <f t="shared" si="141"/>
        <v>976.95545989747393</v>
      </c>
      <c r="O1127" t="s">
        <v>8</v>
      </c>
    </row>
    <row r="1128" spans="1:15" x14ac:dyDescent="0.35">
      <c r="A1128">
        <v>2003</v>
      </c>
      <c r="B1128">
        <v>1</v>
      </c>
      <c r="C1128">
        <v>31</v>
      </c>
      <c r="D1128" s="1">
        <f t="shared" si="136"/>
        <v>37652</v>
      </c>
      <c r="E1128">
        <v>3.6</v>
      </c>
      <c r="F1128">
        <f t="shared" si="142"/>
        <v>0</v>
      </c>
      <c r="G1128">
        <f t="shared" si="137"/>
        <v>1</v>
      </c>
      <c r="H1128">
        <f t="shared" si="143"/>
        <v>0</v>
      </c>
      <c r="I1128">
        <v>1127</v>
      </c>
      <c r="J1128">
        <f t="shared" si="138"/>
        <v>0.51205517831146297</v>
      </c>
      <c r="K1128">
        <f t="shared" si="139"/>
        <v>0.85895255652708535</v>
      </c>
      <c r="L1128">
        <f>VLOOKUP(D1128,[1]SOI!$A$1:$C$142,3)</f>
        <v>-10.6</v>
      </c>
      <c r="M1128" s="2">
        <f t="shared" si="140"/>
        <v>577.08618595701876</v>
      </c>
      <c r="N1128">
        <f t="shared" si="141"/>
        <v>968.03953120602523</v>
      </c>
      <c r="O1128" t="s">
        <v>8</v>
      </c>
    </row>
    <row r="1129" spans="1:15" x14ac:dyDescent="0.35">
      <c r="A1129">
        <v>2003</v>
      </c>
      <c r="B1129">
        <v>2</v>
      </c>
      <c r="C1129">
        <v>1</v>
      </c>
      <c r="D1129" s="1">
        <f t="shared" si="136"/>
        <v>37653</v>
      </c>
      <c r="E1129">
        <v>0</v>
      </c>
      <c r="F1129">
        <f t="shared" si="142"/>
        <v>3.6</v>
      </c>
      <c r="G1129">
        <f t="shared" si="137"/>
        <v>0</v>
      </c>
      <c r="H1129">
        <f t="shared" si="143"/>
        <v>1</v>
      </c>
      <c r="I1129">
        <v>1128</v>
      </c>
      <c r="J1129">
        <f t="shared" si="138"/>
        <v>0.52675475281055328</v>
      </c>
      <c r="K1129">
        <f t="shared" si="139"/>
        <v>0.85001731181870221</v>
      </c>
      <c r="L1129">
        <f>VLOOKUP(D1129,[1]SOI!$A$1:$C$142,3)</f>
        <v>-2</v>
      </c>
      <c r="M1129" s="2">
        <f t="shared" si="140"/>
        <v>594.17936117030411</v>
      </c>
      <c r="N1129">
        <f t="shared" si="141"/>
        <v>958.81952773149612</v>
      </c>
      <c r="O1129" t="s">
        <v>8</v>
      </c>
    </row>
    <row r="1130" spans="1:15" x14ac:dyDescent="0.35">
      <c r="A1130">
        <v>2003</v>
      </c>
      <c r="B1130">
        <v>2</v>
      </c>
      <c r="C1130">
        <v>2</v>
      </c>
      <c r="D1130" s="1">
        <f t="shared" si="136"/>
        <v>37654</v>
      </c>
      <c r="E1130">
        <v>0</v>
      </c>
      <c r="F1130">
        <f t="shared" si="142"/>
        <v>0</v>
      </c>
      <c r="G1130">
        <f t="shared" si="137"/>
        <v>0</v>
      </c>
      <c r="H1130">
        <f t="shared" si="143"/>
        <v>0</v>
      </c>
      <c r="I1130">
        <v>1129</v>
      </c>
      <c r="J1130">
        <f t="shared" si="138"/>
        <v>0.54129845210361793</v>
      </c>
      <c r="K1130">
        <f t="shared" si="139"/>
        <v>0.84083053331228841</v>
      </c>
      <c r="L1130">
        <f>VLOOKUP(D1130,[1]SOI!$A$1:$C$142,3)</f>
        <v>-2</v>
      </c>
      <c r="M1130" s="2">
        <f t="shared" si="140"/>
        <v>611.12595242498469</v>
      </c>
      <c r="N1130">
        <f t="shared" si="141"/>
        <v>949.29767210957357</v>
      </c>
      <c r="O1130" t="s">
        <v>8</v>
      </c>
    </row>
    <row r="1131" spans="1:15" x14ac:dyDescent="0.35">
      <c r="A1131">
        <v>2003</v>
      </c>
      <c r="B1131">
        <v>2</v>
      </c>
      <c r="C1131">
        <v>3</v>
      </c>
      <c r="D1131" s="1">
        <f t="shared" si="136"/>
        <v>37655</v>
      </c>
      <c r="E1131">
        <v>0</v>
      </c>
      <c r="F1131">
        <f t="shared" si="142"/>
        <v>0</v>
      </c>
      <c r="G1131">
        <f t="shared" si="137"/>
        <v>0</v>
      </c>
      <c r="H1131">
        <f t="shared" si="143"/>
        <v>0</v>
      </c>
      <c r="I1131">
        <v>1130</v>
      </c>
      <c r="J1131">
        <f t="shared" si="138"/>
        <v>0.55568197247604734</v>
      </c>
      <c r="K1131">
        <f t="shared" si="139"/>
        <v>0.83139493952340682</v>
      </c>
      <c r="L1131">
        <f>VLOOKUP(D1131,[1]SOI!$A$1:$C$142,3)</f>
        <v>-2</v>
      </c>
      <c r="M1131" s="2">
        <f t="shared" si="140"/>
        <v>627.92062889793351</v>
      </c>
      <c r="N1131">
        <f t="shared" si="141"/>
        <v>939.47628166144966</v>
      </c>
      <c r="O1131" t="s">
        <v>8</v>
      </c>
    </row>
    <row r="1132" spans="1:15" x14ac:dyDescent="0.35">
      <c r="A1132">
        <v>2003</v>
      </c>
      <c r="B1132">
        <v>2</v>
      </c>
      <c r="C1132">
        <v>4</v>
      </c>
      <c r="D1132" s="1">
        <f t="shared" si="136"/>
        <v>37656</v>
      </c>
      <c r="E1132">
        <v>0</v>
      </c>
      <c r="F1132">
        <f t="shared" si="142"/>
        <v>0</v>
      </c>
      <c r="G1132">
        <f t="shared" si="137"/>
        <v>0</v>
      </c>
      <c r="H1132">
        <f t="shared" si="143"/>
        <v>0</v>
      </c>
      <c r="I1132">
        <v>1131</v>
      </c>
      <c r="J1132">
        <f t="shared" si="138"/>
        <v>0.56990105761276089</v>
      </c>
      <c r="K1132">
        <f t="shared" si="139"/>
        <v>0.82171332259606</v>
      </c>
      <c r="L1132">
        <f>VLOOKUP(D1132,[1]SOI!$A$1:$C$142,3)</f>
        <v>-2</v>
      </c>
      <c r="M1132" s="2">
        <f t="shared" si="140"/>
        <v>644.55809616003262</v>
      </c>
      <c r="N1132">
        <f t="shared" si="141"/>
        <v>929.35776785614382</v>
      </c>
      <c r="O1132" t="s">
        <v>8</v>
      </c>
    </row>
    <row r="1133" spans="1:15" x14ac:dyDescent="0.35">
      <c r="A1133">
        <v>2003</v>
      </c>
      <c r="B1133">
        <v>2</v>
      </c>
      <c r="C1133">
        <v>5</v>
      </c>
      <c r="D1133" s="1">
        <f t="shared" si="136"/>
        <v>37657</v>
      </c>
      <c r="E1133">
        <v>0</v>
      </c>
      <c r="F1133">
        <f t="shared" si="142"/>
        <v>0</v>
      </c>
      <c r="G1133">
        <f t="shared" si="137"/>
        <v>0</v>
      </c>
      <c r="H1133">
        <f t="shared" si="143"/>
        <v>0</v>
      </c>
      <c r="I1133">
        <v>1132</v>
      </c>
      <c r="J1133">
        <f t="shared" si="138"/>
        <v>0.58395149985770034</v>
      </c>
      <c r="K1133">
        <f t="shared" si="139"/>
        <v>0.8117885474764609</v>
      </c>
      <c r="L1133">
        <f>VLOOKUP(D1133,[1]SOI!$A$1:$C$142,3)</f>
        <v>-2</v>
      </c>
      <c r="M1133" s="2">
        <f t="shared" si="140"/>
        <v>661.03309783891677</v>
      </c>
      <c r="N1133">
        <f t="shared" si="141"/>
        <v>918.94463574335373</v>
      </c>
      <c r="O1133" t="s">
        <v>8</v>
      </c>
    </row>
    <row r="1134" spans="1:15" x14ac:dyDescent="0.35">
      <c r="A1134">
        <v>2003</v>
      </c>
      <c r="B1134">
        <v>2</v>
      </c>
      <c r="C1134">
        <v>6</v>
      </c>
      <c r="D1134" s="1">
        <f t="shared" si="136"/>
        <v>37658</v>
      </c>
      <c r="E1134">
        <v>1.8</v>
      </c>
      <c r="F1134">
        <f t="shared" si="142"/>
        <v>0</v>
      </c>
      <c r="G1134">
        <f t="shared" si="137"/>
        <v>1</v>
      </c>
      <c r="H1134">
        <f t="shared" si="143"/>
        <v>0</v>
      </c>
      <c r="I1134">
        <v>1133</v>
      </c>
      <c r="J1134">
        <f t="shared" si="138"/>
        <v>0.59782914145895294</v>
      </c>
      <c r="K1134">
        <f t="shared" si="139"/>
        <v>0.80162355106524363</v>
      </c>
      <c r="L1134">
        <f>VLOOKUP(D1134,[1]SOI!$A$1:$C$142,3)</f>
        <v>-2</v>
      </c>
      <c r="M1134" s="2">
        <f t="shared" si="140"/>
        <v>677.3404172729937</v>
      </c>
      <c r="N1134">
        <f t="shared" si="141"/>
        <v>908.23948335692103</v>
      </c>
      <c r="O1134" t="s">
        <v>8</v>
      </c>
    </row>
    <row r="1135" spans="1:15" x14ac:dyDescent="0.35">
      <c r="A1135">
        <v>2003</v>
      </c>
      <c r="B1135">
        <v>2</v>
      </c>
      <c r="C1135">
        <v>7</v>
      </c>
      <c r="D1135" s="1">
        <f t="shared" si="136"/>
        <v>37659</v>
      </c>
      <c r="E1135">
        <v>0.6</v>
      </c>
      <c r="F1135">
        <f t="shared" si="142"/>
        <v>1.8</v>
      </c>
      <c r="G1135">
        <f t="shared" si="137"/>
        <v>1</v>
      </c>
      <c r="H1135">
        <f t="shared" si="143"/>
        <v>1</v>
      </c>
      <c r="I1135">
        <v>1134</v>
      </c>
      <c r="J1135">
        <f t="shared" si="138"/>
        <v>0.61152987579910456</v>
      </c>
      <c r="K1135">
        <f t="shared" si="139"/>
        <v>0.79122134134838129</v>
      </c>
      <c r="L1135">
        <f>VLOOKUP(D1135,[1]SOI!$A$1:$C$142,3)</f>
        <v>-2</v>
      </c>
      <c r="M1135" s="2">
        <f t="shared" si="140"/>
        <v>693.47487915618456</v>
      </c>
      <c r="N1135">
        <f t="shared" si="141"/>
        <v>897.24500108906443</v>
      </c>
      <c r="O1135" t="s">
        <v>8</v>
      </c>
    </row>
    <row r="1136" spans="1:15" x14ac:dyDescent="0.35">
      <c r="A1136">
        <v>2003</v>
      </c>
      <c r="B1136">
        <v>2</v>
      </c>
      <c r="C1136">
        <v>8</v>
      </c>
      <c r="D1136" s="1">
        <f t="shared" si="136"/>
        <v>37660</v>
      </c>
      <c r="E1136">
        <v>0</v>
      </c>
      <c r="F1136">
        <f t="shared" si="142"/>
        <v>0.6</v>
      </c>
      <c r="G1136">
        <f t="shared" si="137"/>
        <v>0</v>
      </c>
      <c r="H1136">
        <f t="shared" si="143"/>
        <v>1</v>
      </c>
      <c r="I1136">
        <v>1135</v>
      </c>
      <c r="J1136">
        <f t="shared" si="138"/>
        <v>0.62504964861043477</v>
      </c>
      <c r="K1136">
        <f t="shared" si="139"/>
        <v>0.7805849965070889</v>
      </c>
      <c r="L1136">
        <f>VLOOKUP(D1136,[1]SOI!$A$1:$C$142,3)</f>
        <v>-2</v>
      </c>
      <c r="M1136" s="2">
        <f t="shared" si="140"/>
        <v>709.43135117284351</v>
      </c>
      <c r="N1136">
        <f t="shared" si="141"/>
        <v>885.96397103554591</v>
      </c>
      <c r="O1136" t="s">
        <v>8</v>
      </c>
    </row>
    <row r="1137" spans="1:15" x14ac:dyDescent="0.35">
      <c r="A1137">
        <v>2003</v>
      </c>
      <c r="B1137">
        <v>2</v>
      </c>
      <c r="C1137">
        <v>9</v>
      </c>
      <c r="D1137" s="1">
        <f t="shared" si="136"/>
        <v>37661</v>
      </c>
      <c r="E1137">
        <v>0</v>
      </c>
      <c r="F1137">
        <f t="shared" si="142"/>
        <v>0</v>
      </c>
      <c r="G1137">
        <f t="shared" si="137"/>
        <v>0</v>
      </c>
      <c r="H1137">
        <f t="shared" si="143"/>
        <v>0</v>
      </c>
      <c r="I1137">
        <v>1136</v>
      </c>
      <c r="J1137">
        <f t="shared" si="138"/>
        <v>0.63838445917466491</v>
      </c>
      <c r="K1137">
        <f t="shared" si="139"/>
        <v>0.76971766400692054</v>
      </c>
      <c r="L1137">
        <f>VLOOKUP(D1137,[1]SOI!$A$1:$C$142,3)</f>
        <v>-2</v>
      </c>
      <c r="M1137" s="2">
        <f t="shared" si="140"/>
        <v>725.2047456224193</v>
      </c>
      <c r="N1137">
        <f t="shared" si="141"/>
        <v>874.39926631186177</v>
      </c>
      <c r="O1137" t="s">
        <v>8</v>
      </c>
    </row>
    <row r="1138" spans="1:15" x14ac:dyDescent="0.35">
      <c r="A1138">
        <v>2003</v>
      </c>
      <c r="B1138">
        <v>2</v>
      </c>
      <c r="C1138">
        <v>10</v>
      </c>
      <c r="D1138" s="1">
        <f t="shared" si="136"/>
        <v>37662</v>
      </c>
      <c r="E1138">
        <v>0</v>
      </c>
      <c r="F1138">
        <f t="shared" si="142"/>
        <v>0</v>
      </c>
      <c r="G1138">
        <f t="shared" si="137"/>
        <v>0</v>
      </c>
      <c r="H1138">
        <f t="shared" si="143"/>
        <v>0</v>
      </c>
      <c r="I1138">
        <v>1137</v>
      </c>
      <c r="J1138">
        <f t="shared" si="138"/>
        <v>0.65153036150680133</v>
      </c>
      <c r="K1138">
        <f t="shared" si="139"/>
        <v>0.75862255966641057</v>
      </c>
      <c r="L1138">
        <f>VLOOKUP(D1138,[1]SOI!$A$1:$C$142,3)</f>
        <v>-2</v>
      </c>
      <c r="M1138" s="2">
        <f t="shared" si="140"/>
        <v>740.79002103323307</v>
      </c>
      <c r="N1138">
        <f t="shared" si="141"/>
        <v>862.55385034070878</v>
      </c>
      <c r="O1138" t="s">
        <v>8</v>
      </c>
    </row>
    <row r="1139" spans="1:15" x14ac:dyDescent="0.35">
      <c r="A1139">
        <v>2003</v>
      </c>
      <c r="B1139">
        <v>2</v>
      </c>
      <c r="C1139">
        <v>11</v>
      </c>
      <c r="D1139" s="1">
        <f t="shared" si="136"/>
        <v>37663</v>
      </c>
      <c r="E1139">
        <v>0</v>
      </c>
      <c r="F1139">
        <f t="shared" si="142"/>
        <v>0</v>
      </c>
      <c r="G1139">
        <f t="shared" si="137"/>
        <v>0</v>
      </c>
      <c r="H1139">
        <f t="shared" si="143"/>
        <v>0</v>
      </c>
      <c r="I1139">
        <v>1138</v>
      </c>
      <c r="J1139">
        <f t="shared" si="138"/>
        <v>0.66448346552285509</v>
      </c>
      <c r="K1139">
        <f t="shared" si="139"/>
        <v>0.74730296670542973</v>
      </c>
      <c r="L1139">
        <f>VLOOKUP(D1139,[1]SOI!$A$1:$C$142,3)</f>
        <v>-2</v>
      </c>
      <c r="M1139" s="2">
        <f t="shared" si="140"/>
        <v>756.18218376500909</v>
      </c>
      <c r="N1139">
        <f t="shared" si="141"/>
        <v>850.43077611077899</v>
      </c>
      <c r="O1139" t="s">
        <v>8</v>
      </c>
    </row>
    <row r="1140" spans="1:15" x14ac:dyDescent="0.35">
      <c r="A1140">
        <v>2003</v>
      </c>
      <c r="B1140">
        <v>2</v>
      </c>
      <c r="C1140">
        <v>12</v>
      </c>
      <c r="D1140" s="1">
        <f t="shared" si="136"/>
        <v>37664</v>
      </c>
      <c r="E1140">
        <v>0</v>
      </c>
      <c r="F1140">
        <f t="shared" si="142"/>
        <v>0</v>
      </c>
      <c r="G1140">
        <f t="shared" si="137"/>
        <v>0</v>
      </c>
      <c r="H1140">
        <f t="shared" si="143"/>
        <v>0</v>
      </c>
      <c r="I1140">
        <v>1139</v>
      </c>
      <c r="J1140">
        <f t="shared" si="138"/>
        <v>0.67723993819094708</v>
      </c>
      <c r="K1140">
        <f t="shared" si="139"/>
        <v>0.73576223477365443</v>
      </c>
      <c r="L1140">
        <f>VLOOKUP(D1140,[1]SOI!$A$1:$C$142,3)</f>
        <v>-2</v>
      </c>
      <c r="M1140" s="2">
        <f t="shared" si="140"/>
        <v>771.3762895994887</v>
      </c>
      <c r="N1140">
        <f t="shared" si="141"/>
        <v>838.03318540719238</v>
      </c>
      <c r="O1140" t="s">
        <v>8</v>
      </c>
    </row>
    <row r="1141" spans="1:15" x14ac:dyDescent="0.35">
      <c r="A1141">
        <v>2003</v>
      </c>
      <c r="B1141">
        <v>2</v>
      </c>
      <c r="C1141">
        <v>13</v>
      </c>
      <c r="D1141" s="1">
        <f t="shared" si="136"/>
        <v>37665</v>
      </c>
      <c r="E1141">
        <v>0</v>
      </c>
      <c r="F1141">
        <f t="shared" si="142"/>
        <v>0</v>
      </c>
      <c r="G1141">
        <f t="shared" si="137"/>
        <v>0</v>
      </c>
      <c r="H1141">
        <f t="shared" si="143"/>
        <v>0</v>
      </c>
      <c r="I1141">
        <v>1140</v>
      </c>
      <c r="J1141">
        <f t="shared" si="138"/>
        <v>0.68979600466558799</v>
      </c>
      <c r="K1141">
        <f t="shared" si="139"/>
        <v>0.72400377895933121</v>
      </c>
      <c r="L1141">
        <f>VLOOKUP(D1141,[1]SOI!$A$1:$C$142,3)</f>
        <v>-2</v>
      </c>
      <c r="M1141" s="2">
        <f t="shared" si="140"/>
        <v>786.36744531877036</v>
      </c>
      <c r="N1141">
        <f t="shared" si="141"/>
        <v>825.36430801363758</v>
      </c>
      <c r="O1141" t="s">
        <v>8</v>
      </c>
    </row>
    <row r="1142" spans="1:15" x14ac:dyDescent="0.35">
      <c r="A1142">
        <v>2003</v>
      </c>
      <c r="B1142">
        <v>2</v>
      </c>
      <c r="C1142">
        <v>14</v>
      </c>
      <c r="D1142" s="1">
        <f t="shared" si="136"/>
        <v>37666</v>
      </c>
      <c r="E1142">
        <v>0</v>
      </c>
      <c r="F1142">
        <f t="shared" si="142"/>
        <v>0</v>
      </c>
      <c r="G1142">
        <f t="shared" si="137"/>
        <v>0</v>
      </c>
      <c r="H1142">
        <f t="shared" si="143"/>
        <v>0</v>
      </c>
      <c r="I1142">
        <v>1141</v>
      </c>
      <c r="J1142">
        <f t="shared" si="138"/>
        <v>0.70214794940469782</v>
      </c>
      <c r="K1142">
        <f t="shared" si="139"/>
        <v>0.71203107877871308</v>
      </c>
      <c r="L1142">
        <f>VLOOKUP(D1142,[1]SOI!$A$1:$C$142,3)</f>
        <v>-2</v>
      </c>
      <c r="M1142" s="2">
        <f t="shared" si="140"/>
        <v>801.15081027076019</v>
      </c>
      <c r="N1142">
        <f t="shared" si="141"/>
        <v>812.42746088651165</v>
      </c>
      <c r="O1142" t="s">
        <v>8</v>
      </c>
    </row>
    <row r="1143" spans="1:15" x14ac:dyDescent="0.35">
      <c r="A1143">
        <v>2003</v>
      </c>
      <c r="B1143">
        <v>2</v>
      </c>
      <c r="C1143">
        <v>15</v>
      </c>
      <c r="D1143" s="1">
        <f t="shared" si="136"/>
        <v>37667</v>
      </c>
      <c r="E1143">
        <v>0</v>
      </c>
      <c r="F1143">
        <f t="shared" si="142"/>
        <v>0</v>
      </c>
      <c r="G1143">
        <f t="shared" si="137"/>
        <v>0</v>
      </c>
      <c r="H1143">
        <f t="shared" si="143"/>
        <v>0</v>
      </c>
      <c r="I1143">
        <v>1142</v>
      </c>
      <c r="J1143">
        <f t="shared" si="138"/>
        <v>0.71429211726910202</v>
      </c>
      <c r="K1143">
        <f t="shared" si="139"/>
        <v>0.69984767714640839</v>
      </c>
      <c r="L1143">
        <f>VLOOKUP(D1143,[1]SOI!$A$1:$C$142,3)</f>
        <v>-2</v>
      </c>
      <c r="M1143" s="2">
        <f t="shared" si="140"/>
        <v>815.72159792131447</v>
      </c>
      <c r="N1143">
        <f t="shared" si="141"/>
        <v>799.22604730119838</v>
      </c>
      <c r="O1143" t="s">
        <v>8</v>
      </c>
    </row>
    <row r="1144" spans="1:15" x14ac:dyDescent="0.35">
      <c r="A1144">
        <v>2003</v>
      </c>
      <c r="B1144">
        <v>2</v>
      </c>
      <c r="C1144">
        <v>16</v>
      </c>
      <c r="D1144" s="1">
        <f t="shared" si="136"/>
        <v>37668</v>
      </c>
      <c r="E1144">
        <v>1.4</v>
      </c>
      <c r="F1144">
        <f t="shared" si="142"/>
        <v>0</v>
      </c>
      <c r="G1144">
        <f t="shared" si="137"/>
        <v>1</v>
      </c>
      <c r="H1144">
        <f t="shared" si="143"/>
        <v>0</v>
      </c>
      <c r="I1144">
        <v>1143</v>
      </c>
      <c r="J1144">
        <f t="shared" si="138"/>
        <v>0.72622491460415362</v>
      </c>
      <c r="K1144">
        <f t="shared" si="139"/>
        <v>0.68745717932696704</v>
      </c>
      <c r="L1144">
        <f>VLOOKUP(D1144,[1]SOI!$A$1:$C$142,3)</f>
        <v>-2</v>
      </c>
      <c r="M1144" s="2">
        <f t="shared" si="140"/>
        <v>830.07507739254754</v>
      </c>
      <c r="N1144">
        <f t="shared" si="141"/>
        <v>785.76355597072336</v>
      </c>
      <c r="O1144" t="s">
        <v>8</v>
      </c>
    </row>
    <row r="1145" spans="1:15" x14ac:dyDescent="0.35">
      <c r="A1145">
        <v>2003</v>
      </c>
      <c r="B1145">
        <v>2</v>
      </c>
      <c r="C1145">
        <v>17</v>
      </c>
      <c r="D1145" s="1">
        <f t="shared" si="136"/>
        <v>37669</v>
      </c>
      <c r="E1145">
        <v>0</v>
      </c>
      <c r="F1145">
        <f t="shared" si="142"/>
        <v>1.4</v>
      </c>
      <c r="G1145">
        <f t="shared" si="137"/>
        <v>0</v>
      </c>
      <c r="H1145">
        <f t="shared" si="143"/>
        <v>1</v>
      </c>
      <c r="I1145">
        <v>1144</v>
      </c>
      <c r="J1145">
        <f t="shared" si="138"/>
        <v>0.73794281030313846</v>
      </c>
      <c r="K1145">
        <f t="shared" si="139"/>
        <v>0.67486325186804041</v>
      </c>
      <c r="L1145">
        <f>VLOOKUP(D1145,[1]SOI!$A$1:$C$142,3)</f>
        <v>-2</v>
      </c>
      <c r="M1145" s="2">
        <f t="shared" si="140"/>
        <v>844.20657498679043</v>
      </c>
      <c r="N1145">
        <f t="shared" si="141"/>
        <v>772.04356013703818</v>
      </c>
      <c r="O1145" t="s">
        <v>8</v>
      </c>
    </row>
    <row r="1146" spans="1:15" x14ac:dyDescent="0.35">
      <c r="A1146">
        <v>2003</v>
      </c>
      <c r="B1146">
        <v>2</v>
      </c>
      <c r="C1146">
        <v>18</v>
      </c>
      <c r="D1146" s="1">
        <f t="shared" si="136"/>
        <v>37670</v>
      </c>
      <c r="E1146">
        <v>0</v>
      </c>
      <c r="F1146">
        <f t="shared" si="142"/>
        <v>0</v>
      </c>
      <c r="G1146">
        <f t="shared" si="137"/>
        <v>0</v>
      </c>
      <c r="H1146">
        <f t="shared" si="143"/>
        <v>0</v>
      </c>
      <c r="I1146">
        <v>1145</v>
      </c>
      <c r="J1146">
        <f t="shared" si="138"/>
        <v>0.74944233685219408</v>
      </c>
      <c r="K1146">
        <f t="shared" si="139"/>
        <v>0.66206962151538296</v>
      </c>
      <c r="L1146">
        <f>VLOOKUP(D1146,[1]SOI!$A$1:$C$142,3)</f>
        <v>-2</v>
      </c>
      <c r="M1146" s="2">
        <f t="shared" si="140"/>
        <v>858.11147569576224</v>
      </c>
      <c r="N1146">
        <f t="shared" si="141"/>
        <v>758.06971663511354</v>
      </c>
      <c r="O1146" t="s">
        <v>8</v>
      </c>
    </row>
    <row r="1147" spans="1:15" x14ac:dyDescent="0.35">
      <c r="A1147">
        <v>2003</v>
      </c>
      <c r="B1147">
        <v>2</v>
      </c>
      <c r="C1147">
        <v>19</v>
      </c>
      <c r="D1147" s="1">
        <f t="shared" si="136"/>
        <v>37671</v>
      </c>
      <c r="E1147">
        <v>0</v>
      </c>
      <c r="F1147">
        <f t="shared" si="142"/>
        <v>0</v>
      </c>
      <c r="G1147">
        <f t="shared" si="137"/>
        <v>0</v>
      </c>
      <c r="H1147">
        <f t="shared" si="143"/>
        <v>0</v>
      </c>
      <c r="I1147">
        <v>1146</v>
      </c>
      <c r="J1147">
        <f t="shared" si="138"/>
        <v>0.76072009135640972</v>
      </c>
      <c r="K1147">
        <f t="shared" si="139"/>
        <v>0.64908007411004043</v>
      </c>
      <c r="L1147">
        <f>VLOOKUP(D1147,[1]SOI!$A$1:$C$142,3)</f>
        <v>-2</v>
      </c>
      <c r="M1147" s="2">
        <f t="shared" si="140"/>
        <v>871.78522469444556</v>
      </c>
      <c r="N1147">
        <f t="shared" si="141"/>
        <v>743.84576493010638</v>
      </c>
      <c r="O1147" t="s">
        <v>8</v>
      </c>
    </row>
    <row r="1148" spans="1:15" x14ac:dyDescent="0.35">
      <c r="A1148">
        <v>2003</v>
      </c>
      <c r="B1148">
        <v>2</v>
      </c>
      <c r="C1148">
        <v>20</v>
      </c>
      <c r="D1148" s="1">
        <f t="shared" si="136"/>
        <v>37672</v>
      </c>
      <c r="E1148">
        <v>0</v>
      </c>
      <c r="F1148">
        <f t="shared" si="142"/>
        <v>0</v>
      </c>
      <c r="G1148">
        <f t="shared" si="137"/>
        <v>0</v>
      </c>
      <c r="H1148">
        <f t="shared" si="143"/>
        <v>0</v>
      </c>
      <c r="I1148">
        <v>1147</v>
      </c>
      <c r="J1148">
        <f t="shared" si="138"/>
        <v>0.77177273654678358</v>
      </c>
      <c r="K1148">
        <f t="shared" si="139"/>
        <v>0.63589845346807461</v>
      </c>
      <c r="L1148">
        <f>VLOOKUP(D1148,[1]SOI!$A$1:$C$142,3)</f>
        <v>-2</v>
      </c>
      <c r="M1148" s="2">
        <f t="shared" si="140"/>
        <v>885.22332881916077</v>
      </c>
      <c r="N1148">
        <f t="shared" si="141"/>
        <v>729.37552612788159</v>
      </c>
      <c r="O1148" t="s">
        <v>8</v>
      </c>
    </row>
    <row r="1149" spans="1:15" x14ac:dyDescent="0.35">
      <c r="A1149">
        <v>2003</v>
      </c>
      <c r="B1149">
        <v>2</v>
      </c>
      <c r="C1149">
        <v>21</v>
      </c>
      <c r="D1149" s="1">
        <f t="shared" si="136"/>
        <v>37673</v>
      </c>
      <c r="E1149">
        <v>8.1999999999999993</v>
      </c>
      <c r="F1149">
        <f t="shared" si="142"/>
        <v>0</v>
      </c>
      <c r="G1149">
        <f t="shared" si="137"/>
        <v>1</v>
      </c>
      <c r="H1149">
        <f t="shared" si="143"/>
        <v>0</v>
      </c>
      <c r="I1149">
        <v>1148</v>
      </c>
      <c r="J1149">
        <f t="shared" si="138"/>
        <v>0.78259700176778157</v>
      </c>
      <c r="K1149">
        <f t="shared" si="139"/>
        <v>0.62252866024310782</v>
      </c>
      <c r="L1149">
        <f>VLOOKUP(D1149,[1]SOI!$A$1:$C$142,3)</f>
        <v>-2</v>
      </c>
      <c r="M1149" s="2">
        <f t="shared" si="140"/>
        <v>898.42135802941323</v>
      </c>
      <c r="N1149">
        <f t="shared" si="141"/>
        <v>714.66290195908778</v>
      </c>
      <c r="O1149" t="s">
        <v>8</v>
      </c>
    </row>
    <row r="1150" spans="1:15" x14ac:dyDescent="0.35">
      <c r="A1150">
        <v>2003</v>
      </c>
      <c r="B1150">
        <v>2</v>
      </c>
      <c r="C1150">
        <v>22</v>
      </c>
      <c r="D1150" s="1">
        <f t="shared" si="136"/>
        <v>37674</v>
      </c>
      <c r="E1150">
        <v>7.8</v>
      </c>
      <c r="F1150">
        <f t="shared" si="142"/>
        <v>8.1999999999999993</v>
      </c>
      <c r="G1150">
        <f t="shared" si="137"/>
        <v>1</v>
      </c>
      <c r="H1150">
        <f t="shared" si="143"/>
        <v>1</v>
      </c>
      <c r="I1150">
        <v>1149</v>
      </c>
      <c r="J1150">
        <f t="shared" si="138"/>
        <v>0.79318968394518374</v>
      </c>
      <c r="K1150">
        <f t="shared" si="139"/>
        <v>0.60897465077204938</v>
      </c>
      <c r="L1150">
        <f>VLOOKUP(D1150,[1]SOI!$A$1:$C$142,3)</f>
        <v>-2</v>
      </c>
      <c r="M1150" s="2">
        <f t="shared" si="140"/>
        <v>911.37494685301613</v>
      </c>
      <c r="N1150">
        <f t="shared" si="141"/>
        <v>699.71187373708472</v>
      </c>
      <c r="O1150" t="s">
        <v>8</v>
      </c>
    </row>
    <row r="1151" spans="1:15" x14ac:dyDescent="0.35">
      <c r="A1151">
        <v>2003</v>
      </c>
      <c r="B1151">
        <v>2</v>
      </c>
      <c r="C1151">
        <v>23</v>
      </c>
      <c r="D1151" s="1">
        <f t="shared" si="136"/>
        <v>37675</v>
      </c>
      <c r="E1151">
        <v>0</v>
      </c>
      <c r="F1151">
        <f t="shared" si="142"/>
        <v>7.8</v>
      </c>
      <c r="G1151">
        <f t="shared" si="137"/>
        <v>0</v>
      </c>
      <c r="H1151">
        <f t="shared" si="143"/>
        <v>1</v>
      </c>
      <c r="I1151">
        <v>1150</v>
      </c>
      <c r="J1151">
        <f t="shared" si="138"/>
        <v>0.80354764853390948</v>
      </c>
      <c r="K1151">
        <f t="shared" si="139"/>
        <v>0.59524043590437026</v>
      </c>
      <c r="L1151">
        <f>VLOOKUP(D1151,[1]SOI!$A$1:$C$142,3)</f>
        <v>-2</v>
      </c>
      <c r="M1151" s="2">
        <f t="shared" si="140"/>
        <v>924.07979581399593</v>
      </c>
      <c r="N1151">
        <f t="shared" si="141"/>
        <v>684.52650129002575</v>
      </c>
      <c r="O1151" t="s">
        <v>8</v>
      </c>
    </row>
    <row r="1152" spans="1:15" x14ac:dyDescent="0.35">
      <c r="A1152">
        <v>2003</v>
      </c>
      <c r="B1152">
        <v>2</v>
      </c>
      <c r="C1152">
        <v>24</v>
      </c>
      <c r="D1152" s="1">
        <f t="shared" si="136"/>
        <v>37676</v>
      </c>
      <c r="E1152">
        <v>0</v>
      </c>
      <c r="F1152">
        <f t="shared" si="142"/>
        <v>0</v>
      </c>
      <c r="G1152">
        <f t="shared" si="137"/>
        <v>0</v>
      </c>
      <c r="H1152">
        <f t="shared" si="143"/>
        <v>0</v>
      </c>
      <c r="I1152">
        <v>1151</v>
      </c>
      <c r="J1152">
        <f t="shared" si="138"/>
        <v>0.81366783044559965</v>
      </c>
      <c r="K1152">
        <f t="shared" si="139"/>
        <v>0.58133007981520357</v>
      </c>
      <c r="L1152">
        <f>VLOOKUP(D1152,[1]SOI!$A$1:$C$142,3)</f>
        <v>-2</v>
      </c>
      <c r="M1152" s="2">
        <f t="shared" si="140"/>
        <v>936.5316728428852</v>
      </c>
      <c r="N1152">
        <f t="shared" si="141"/>
        <v>669.11092186729934</v>
      </c>
      <c r="O1152" t="s">
        <v>8</v>
      </c>
    </row>
    <row r="1153" spans="1:15" x14ac:dyDescent="0.35">
      <c r="A1153">
        <v>2003</v>
      </c>
      <c r="B1153">
        <v>2</v>
      </c>
      <c r="C1153">
        <v>25</v>
      </c>
      <c r="D1153" s="1">
        <f t="shared" si="136"/>
        <v>37677</v>
      </c>
      <c r="E1153">
        <v>0</v>
      </c>
      <c r="F1153">
        <f t="shared" si="142"/>
        <v>0</v>
      </c>
      <c r="G1153">
        <f t="shared" si="137"/>
        <v>0</v>
      </c>
      <c r="H1153">
        <f t="shared" si="143"/>
        <v>0</v>
      </c>
      <c r="I1153">
        <v>1152</v>
      </c>
      <c r="J1153">
        <f t="shared" si="138"/>
        <v>0.82354723495560012</v>
      </c>
      <c r="K1153">
        <f t="shared" si="139"/>
        <v>0.56724769880272374</v>
      </c>
      <c r="L1153">
        <f>VLOOKUP(D1153,[1]SOI!$A$1:$C$142,3)</f>
        <v>-2</v>
      </c>
      <c r="M1153" s="2">
        <f t="shared" si="140"/>
        <v>948.72641466885136</v>
      </c>
      <c r="N1153">
        <f t="shared" si="141"/>
        <v>653.46934902073781</v>
      </c>
      <c r="O1153" t="s">
        <v>8</v>
      </c>
    </row>
    <row r="1154" spans="1:15" x14ac:dyDescent="0.35">
      <c r="A1154">
        <v>2003</v>
      </c>
      <c r="B1154">
        <v>2</v>
      </c>
      <c r="C1154">
        <v>26</v>
      </c>
      <c r="D1154" s="1">
        <f t="shared" si="136"/>
        <v>37678</v>
      </c>
      <c r="E1154">
        <v>0</v>
      </c>
      <c r="F1154">
        <f t="shared" si="142"/>
        <v>0</v>
      </c>
      <c r="G1154">
        <f t="shared" si="137"/>
        <v>0</v>
      </c>
      <c r="H1154">
        <f t="shared" si="143"/>
        <v>0</v>
      </c>
      <c r="I1154">
        <v>1153</v>
      </c>
      <c r="J1154">
        <f t="shared" si="138"/>
        <v>0.83318293858917836</v>
      </c>
      <c r="K1154">
        <f t="shared" si="139"/>
        <v>0.55299746007002726</v>
      </c>
      <c r="L1154">
        <f>VLOOKUP(D1154,[1]SOI!$A$1:$C$142,3)</f>
        <v>-2</v>
      </c>
      <c r="M1154" s="2">
        <f t="shared" si="140"/>
        <v>960.65992819332268</v>
      </c>
      <c r="N1154">
        <f t="shared" si="141"/>
        <v>637.60607146074142</v>
      </c>
      <c r="O1154" t="s">
        <v>8</v>
      </c>
    </row>
    <row r="1155" spans="1:15" x14ac:dyDescent="0.35">
      <c r="A1155">
        <v>2003</v>
      </c>
      <c r="B1155">
        <v>2</v>
      </c>
      <c r="C1155">
        <v>27</v>
      </c>
      <c r="D1155" s="1">
        <f t="shared" ref="D1155:D1218" si="144">DATE(A1155,B1155,C1155)</f>
        <v>37679</v>
      </c>
      <c r="E1155">
        <v>0</v>
      </c>
      <c r="F1155">
        <f t="shared" si="142"/>
        <v>0</v>
      </c>
      <c r="G1155">
        <f t="shared" ref="G1155:G1218" si="145">IF(E1155=0,0,1)</f>
        <v>0</v>
      </c>
      <c r="H1155">
        <f t="shared" si="143"/>
        <v>0</v>
      </c>
      <c r="I1155">
        <v>1154</v>
      </c>
      <c r="J1155">
        <f t="shared" ref="J1155:J1218" si="146">SIN(2*PI()*I1155/365.25)</f>
        <v>0.8425720899866036</v>
      </c>
      <c r="K1155">
        <f t="shared" ref="K1155:K1218" si="147">COS(2*PI()*I1155/365.25)</f>
        <v>0.53858358049202248</v>
      </c>
      <c r="L1155">
        <f>VLOOKUP(D1155,[1]SOI!$A$1:$C$142,3)</f>
        <v>-2</v>
      </c>
      <c r="M1155" s="2">
        <f t="shared" ref="M1155:M1218" si="148">I1155*J1155</f>
        <v>972.32819184454058</v>
      </c>
      <c r="N1155">
        <f t="shared" ref="N1155:N1218" si="149">I1155*K1155</f>
        <v>621.52545188779391</v>
      </c>
      <c r="O1155" t="s">
        <v>8</v>
      </c>
    </row>
    <row r="1156" spans="1:15" x14ac:dyDescent="0.35">
      <c r="A1156">
        <v>2003</v>
      </c>
      <c r="B1156">
        <v>2</v>
      </c>
      <c r="C1156">
        <v>28</v>
      </c>
      <c r="D1156" s="1">
        <f t="shared" si="144"/>
        <v>37680</v>
      </c>
      <c r="E1156">
        <v>0.2</v>
      </c>
      <c r="F1156">
        <f t="shared" ref="F1156:F1219" si="150">E1155</f>
        <v>0</v>
      </c>
      <c r="G1156">
        <f t="shared" si="145"/>
        <v>1</v>
      </c>
      <c r="H1156">
        <f t="shared" ref="H1156:H1219" si="151">G1155</f>
        <v>0</v>
      </c>
      <c r="I1156">
        <v>1155</v>
      </c>
      <c r="J1156">
        <f t="shared" si="146"/>
        <v>0.85171191074691843</v>
      </c>
      <c r="K1156">
        <f t="shared" si="147"/>
        <v>0.52401032536757641</v>
      </c>
      <c r="L1156">
        <f>VLOOKUP(D1156,[1]SOI!$A$1:$C$142,3)</f>
        <v>-2</v>
      </c>
      <c r="M1156" s="2">
        <f t="shared" si="148"/>
        <v>983.72725691269079</v>
      </c>
      <c r="N1156">
        <f t="shared" si="149"/>
        <v>605.23192579955071</v>
      </c>
      <c r="O1156" t="s">
        <v>8</v>
      </c>
    </row>
    <row r="1157" spans="1:15" x14ac:dyDescent="0.35">
      <c r="A1157">
        <v>2003</v>
      </c>
      <c r="B1157">
        <v>3</v>
      </c>
      <c r="C1157">
        <v>1</v>
      </c>
      <c r="D1157" s="1">
        <f t="shared" si="144"/>
        <v>37681</v>
      </c>
      <c r="E1157">
        <v>1.2</v>
      </c>
      <c r="F1157">
        <f t="shared" si="150"/>
        <v>0.2</v>
      </c>
      <c r="G1157">
        <f t="shared" si="145"/>
        <v>1</v>
      </c>
      <c r="H1157">
        <f t="shared" si="151"/>
        <v>1</v>
      </c>
      <c r="I1157">
        <v>1156</v>
      </c>
      <c r="J1157">
        <f t="shared" si="146"/>
        <v>0.86059969625011801</v>
      </c>
      <c r="K1157">
        <f t="shared" si="147"/>
        <v>0.50928200715733574</v>
      </c>
      <c r="L1157">
        <f>VLOOKUP(D1157,[1]SOI!$A$1:$C$142,3)</f>
        <v>-7.4</v>
      </c>
      <c r="M1157" s="2">
        <f t="shared" si="148"/>
        <v>994.85324886513638</v>
      </c>
      <c r="N1157">
        <f t="shared" si="149"/>
        <v>588.73000027388014</v>
      </c>
      <c r="O1157" t="s">
        <v>8</v>
      </c>
    </row>
    <row r="1158" spans="1:15" x14ac:dyDescent="0.35">
      <c r="A1158">
        <v>2003</v>
      </c>
      <c r="B1158">
        <v>3</v>
      </c>
      <c r="C1158">
        <v>2</v>
      </c>
      <c r="D1158" s="1">
        <f t="shared" si="144"/>
        <v>37682</v>
      </c>
      <c r="E1158">
        <v>5.2</v>
      </c>
      <c r="F1158">
        <f t="shared" si="150"/>
        <v>1.2</v>
      </c>
      <c r="G1158">
        <f t="shared" si="145"/>
        <v>1</v>
      </c>
      <c r="H1158">
        <f t="shared" si="151"/>
        <v>1</v>
      </c>
      <c r="I1158">
        <v>1157</v>
      </c>
      <c r="J1158">
        <f t="shared" si="146"/>
        <v>0.86923281645747785</v>
      </c>
      <c r="K1158">
        <f t="shared" si="147"/>
        <v>0.49440298420762058</v>
      </c>
      <c r="L1158">
        <f>VLOOKUP(D1158,[1]SOI!$A$1:$C$142,3)</f>
        <v>-7.4</v>
      </c>
      <c r="M1158" s="2">
        <f t="shared" si="148"/>
        <v>1005.7023686413019</v>
      </c>
      <c r="N1158">
        <f t="shared" si="149"/>
        <v>572.02425272821699</v>
      </c>
      <c r="O1158" t="s">
        <v>8</v>
      </c>
    </row>
    <row r="1159" spans="1:15" x14ac:dyDescent="0.35">
      <c r="A1159">
        <v>2003</v>
      </c>
      <c r="B1159">
        <v>3</v>
      </c>
      <c r="C1159">
        <v>3</v>
      </c>
      <c r="D1159" s="1">
        <f t="shared" si="144"/>
        <v>37683</v>
      </c>
      <c r="E1159">
        <v>0.2</v>
      </c>
      <c r="F1159">
        <f t="shared" si="150"/>
        <v>5.2</v>
      </c>
      <c r="G1159">
        <f t="shared" si="145"/>
        <v>1</v>
      </c>
      <c r="H1159">
        <f t="shared" si="151"/>
        <v>1</v>
      </c>
      <c r="I1159">
        <v>1158</v>
      </c>
      <c r="J1159">
        <f t="shared" si="146"/>
        <v>0.87760871668983831</v>
      </c>
      <c r="K1159">
        <f t="shared" si="147"/>
        <v>0.47937765946069616</v>
      </c>
      <c r="L1159">
        <f>VLOOKUP(D1159,[1]SOI!$A$1:$C$142,3)</f>
        <v>-7.4</v>
      </c>
      <c r="M1159" s="2">
        <f t="shared" si="148"/>
        <v>1016.2708939268327</v>
      </c>
      <c r="N1159">
        <f t="shared" si="149"/>
        <v>555.11932965548613</v>
      </c>
      <c r="O1159" t="s">
        <v>8</v>
      </c>
    </row>
    <row r="1160" spans="1:15" x14ac:dyDescent="0.35">
      <c r="A1160">
        <v>2003</v>
      </c>
      <c r="B1160">
        <v>3</v>
      </c>
      <c r="C1160">
        <v>4</v>
      </c>
      <c r="D1160" s="1">
        <f t="shared" si="144"/>
        <v>37684</v>
      </c>
      <c r="E1160">
        <v>0</v>
      </c>
      <c r="F1160">
        <f t="shared" si="150"/>
        <v>0.2</v>
      </c>
      <c r="G1160">
        <f t="shared" si="145"/>
        <v>0</v>
      </c>
      <c r="H1160">
        <f t="shared" si="151"/>
        <v>1</v>
      </c>
      <c r="I1160">
        <v>1159</v>
      </c>
      <c r="J1160">
        <f t="shared" si="146"/>
        <v>0.8857249183835636</v>
      </c>
      <c r="K1160">
        <f t="shared" si="147"/>
        <v>0.4642104791518924</v>
      </c>
      <c r="L1160">
        <f>VLOOKUP(D1160,[1]SOI!$A$1:$C$142,3)</f>
        <v>-7.4</v>
      </c>
      <c r="M1160" s="2">
        <f t="shared" si="148"/>
        <v>1026.5551804065501</v>
      </c>
      <c r="N1160">
        <f t="shared" si="149"/>
        <v>538.01994533704328</v>
      </c>
      <c r="O1160" t="s">
        <v>8</v>
      </c>
    </row>
    <row r="1161" spans="1:15" x14ac:dyDescent="0.35">
      <c r="A1161">
        <v>2003</v>
      </c>
      <c r="B1161">
        <v>3</v>
      </c>
      <c r="C1161">
        <v>5</v>
      </c>
      <c r="D1161" s="1">
        <f t="shared" si="144"/>
        <v>37685</v>
      </c>
      <c r="E1161">
        <v>4</v>
      </c>
      <c r="F1161">
        <f t="shared" si="150"/>
        <v>0</v>
      </c>
      <c r="G1161">
        <f t="shared" si="145"/>
        <v>1</v>
      </c>
      <c r="H1161">
        <f t="shared" si="151"/>
        <v>0</v>
      </c>
      <c r="I1161">
        <v>1160</v>
      </c>
      <c r="J1161">
        <f t="shared" si="146"/>
        <v>0.89357901982399401</v>
      </c>
      <c r="K1161">
        <f t="shared" si="147"/>
        <v>0.44890593149388225</v>
      </c>
      <c r="L1161">
        <f>VLOOKUP(D1161,[1]SOI!$A$1:$C$142,3)</f>
        <v>-7.4</v>
      </c>
      <c r="M1161" s="2">
        <f t="shared" si="148"/>
        <v>1036.5516629958331</v>
      </c>
      <c r="N1161">
        <f t="shared" si="149"/>
        <v>520.73088053290337</v>
      </c>
      <c r="O1161" t="s">
        <v>8</v>
      </c>
    </row>
    <row r="1162" spans="1:15" x14ac:dyDescent="0.35">
      <c r="A1162">
        <v>2003</v>
      </c>
      <c r="B1162">
        <v>3</v>
      </c>
      <c r="C1162">
        <v>6</v>
      </c>
      <c r="D1162" s="1">
        <f t="shared" si="144"/>
        <v>37686</v>
      </c>
      <c r="E1162">
        <v>0</v>
      </c>
      <c r="F1162">
        <f t="shared" si="150"/>
        <v>4</v>
      </c>
      <c r="G1162">
        <f t="shared" si="145"/>
        <v>0</v>
      </c>
      <c r="H1162">
        <f t="shared" si="151"/>
        <v>1</v>
      </c>
      <c r="I1162">
        <v>1161</v>
      </c>
      <c r="J1162">
        <f t="shared" si="146"/>
        <v>0.90116869685615608</v>
      </c>
      <c r="K1162">
        <f t="shared" si="147"/>
        <v>0.43346854534853796</v>
      </c>
      <c r="L1162">
        <f>VLOOKUP(D1162,[1]SOI!$A$1:$C$142,3)</f>
        <v>-7.4</v>
      </c>
      <c r="M1162" s="2">
        <f t="shared" si="148"/>
        <v>1046.2568570499973</v>
      </c>
      <c r="N1162">
        <f t="shared" si="149"/>
        <v>503.25698114965257</v>
      </c>
      <c r="O1162" t="s">
        <v>8</v>
      </c>
    </row>
    <row r="1163" spans="1:15" x14ac:dyDescent="0.35">
      <c r="A1163">
        <v>2003</v>
      </c>
      <c r="B1163">
        <v>3</v>
      </c>
      <c r="C1163">
        <v>7</v>
      </c>
      <c r="D1163" s="1">
        <f t="shared" si="144"/>
        <v>37687</v>
      </c>
      <c r="E1163">
        <v>0</v>
      </c>
      <c r="F1163">
        <f t="shared" si="150"/>
        <v>0</v>
      </c>
      <c r="G1163">
        <f t="shared" si="145"/>
        <v>0</v>
      </c>
      <c r="H1163">
        <f t="shared" si="151"/>
        <v>0</v>
      </c>
      <c r="I1163">
        <v>1162</v>
      </c>
      <c r="J1163">
        <f t="shared" si="146"/>
        <v>0.90849170357250808</v>
      </c>
      <c r="K1163">
        <f t="shared" si="147"/>
        <v>0.41790288888678673</v>
      </c>
      <c r="L1163">
        <f>VLOOKUP(D1163,[1]SOI!$A$1:$C$142,3)</f>
        <v>-7.4</v>
      </c>
      <c r="M1163" s="2">
        <f t="shared" si="148"/>
        <v>1055.6673595512543</v>
      </c>
      <c r="N1163">
        <f t="shared" si="149"/>
        <v>485.60315688644619</v>
      </c>
      <c r="O1163" t="s">
        <v>8</v>
      </c>
    </row>
    <row r="1164" spans="1:15" x14ac:dyDescent="0.35">
      <c r="A1164">
        <v>2003</v>
      </c>
      <c r="B1164">
        <v>3</v>
      </c>
      <c r="C1164">
        <v>8</v>
      </c>
      <c r="D1164" s="1">
        <f t="shared" si="144"/>
        <v>37688</v>
      </c>
      <c r="E1164">
        <v>1</v>
      </c>
      <c r="F1164">
        <f t="shared" si="150"/>
        <v>0</v>
      </c>
      <c r="G1164">
        <f t="shared" si="145"/>
        <v>1</v>
      </c>
      <c r="H1164">
        <f t="shared" si="151"/>
        <v>0</v>
      </c>
      <c r="I1164">
        <v>1163</v>
      </c>
      <c r="J1164">
        <f t="shared" si="146"/>
        <v>0.91554587297754564</v>
      </c>
      <c r="K1164">
        <f t="shared" si="147"/>
        <v>0.40221356823680621</v>
      </c>
      <c r="L1164">
        <f>VLOOKUP(D1164,[1]SOI!$A$1:$C$142,3)</f>
        <v>-7.4</v>
      </c>
      <c r="M1164" s="2">
        <f t="shared" si="148"/>
        <v>1064.7798502728856</v>
      </c>
      <c r="N1164">
        <f t="shared" si="149"/>
        <v>467.7743798594056</v>
      </c>
      <c r="O1164" t="s">
        <v>8</v>
      </c>
    </row>
    <row r="1165" spans="1:15" x14ac:dyDescent="0.35">
      <c r="A1165">
        <v>2003</v>
      </c>
      <c r="B1165">
        <v>3</v>
      </c>
      <c r="C1165">
        <v>9</v>
      </c>
      <c r="D1165" s="1">
        <f t="shared" si="144"/>
        <v>37689</v>
      </c>
      <c r="E1165">
        <v>0.2</v>
      </c>
      <c r="F1165">
        <f t="shared" si="150"/>
        <v>1</v>
      </c>
      <c r="G1165">
        <f t="shared" si="145"/>
        <v>1</v>
      </c>
      <c r="H1165">
        <f t="shared" si="151"/>
        <v>1</v>
      </c>
      <c r="I1165">
        <v>1164</v>
      </c>
      <c r="J1165">
        <f t="shared" si="146"/>
        <v>0.92232911762905379</v>
      </c>
      <c r="K1165">
        <f t="shared" si="147"/>
        <v>0.38640522612098704</v>
      </c>
      <c r="L1165">
        <f>VLOOKUP(D1165,[1]SOI!$A$1:$C$142,3)</f>
        <v>-7.4</v>
      </c>
      <c r="M1165" s="2">
        <f t="shared" si="148"/>
        <v>1073.5910929202187</v>
      </c>
      <c r="N1165">
        <f t="shared" si="149"/>
        <v>449.77568320482891</v>
      </c>
      <c r="O1165" t="s">
        <v>8</v>
      </c>
    </row>
    <row r="1166" spans="1:15" x14ac:dyDescent="0.35">
      <c r="A1166">
        <v>2003</v>
      </c>
      <c r="B1166">
        <v>3</v>
      </c>
      <c r="C1166">
        <v>10</v>
      </c>
      <c r="D1166" s="1">
        <f t="shared" si="144"/>
        <v>37690</v>
      </c>
      <c r="E1166">
        <v>1.8</v>
      </c>
      <c r="F1166">
        <f t="shared" si="150"/>
        <v>0.2</v>
      </c>
      <c r="G1166">
        <f t="shared" si="145"/>
        <v>1</v>
      </c>
      <c r="H1166">
        <f t="shared" si="151"/>
        <v>1</v>
      </c>
      <c r="I1166">
        <v>1165</v>
      </c>
      <c r="J1166">
        <f t="shared" si="146"/>
        <v>0.92883943025580684</v>
      </c>
      <c r="K1166">
        <f t="shared" si="147"/>
        <v>0.37048254048209639</v>
      </c>
      <c r="L1166">
        <f>VLOOKUP(D1166,[1]SOI!$A$1:$C$142,3)</f>
        <v>-7.4</v>
      </c>
      <c r="M1166" s="2">
        <f t="shared" si="148"/>
        <v>1082.097936248015</v>
      </c>
      <c r="N1166">
        <f t="shared" si="149"/>
        <v>431.61215966164229</v>
      </c>
      <c r="O1166" t="s">
        <v>8</v>
      </c>
    </row>
    <row r="1167" spans="1:15" x14ac:dyDescent="0.35">
      <c r="A1167">
        <v>2003</v>
      </c>
      <c r="B1167">
        <v>3</v>
      </c>
      <c r="C1167">
        <v>11</v>
      </c>
      <c r="D1167" s="1">
        <f t="shared" si="144"/>
        <v>37691</v>
      </c>
      <c r="E1167">
        <v>0</v>
      </c>
      <c r="F1167">
        <f t="shared" si="150"/>
        <v>1.8</v>
      </c>
      <c r="G1167">
        <f t="shared" si="145"/>
        <v>0</v>
      </c>
      <c r="H1167">
        <f t="shared" si="151"/>
        <v>1</v>
      </c>
      <c r="I1167">
        <v>1166</v>
      </c>
      <c r="J1167">
        <f t="shared" si="146"/>
        <v>0.93507488435155772</v>
      </c>
      <c r="K1167">
        <f t="shared" si="147"/>
        <v>0.35445022309898611</v>
      </c>
      <c r="L1167">
        <f>VLOOKUP(D1167,[1]SOI!$A$1:$C$142,3)</f>
        <v>-7.4</v>
      </c>
      <c r="M1167" s="2">
        <f t="shared" si="148"/>
        <v>1090.2973151539163</v>
      </c>
      <c r="N1167">
        <f t="shared" si="149"/>
        <v>413.28896013341779</v>
      </c>
      <c r="O1167" t="s">
        <v>8</v>
      </c>
    </row>
    <row r="1168" spans="1:15" x14ac:dyDescent="0.35">
      <c r="A1168">
        <v>2003</v>
      </c>
      <c r="B1168">
        <v>3</v>
      </c>
      <c r="C1168">
        <v>12</v>
      </c>
      <c r="D1168" s="1">
        <f t="shared" si="144"/>
        <v>37692</v>
      </c>
      <c r="E1168">
        <v>0</v>
      </c>
      <c r="F1168">
        <f t="shared" si="150"/>
        <v>0</v>
      </c>
      <c r="G1168">
        <f t="shared" si="145"/>
        <v>0</v>
      </c>
      <c r="H1168">
        <f t="shared" si="151"/>
        <v>0</v>
      </c>
      <c r="I1168">
        <v>1167</v>
      </c>
      <c r="J1168">
        <f t="shared" si="146"/>
        <v>0.94103363474511936</v>
      </c>
      <c r="K1168">
        <f t="shared" si="147"/>
        <v>0.33831301819230847</v>
      </c>
      <c r="L1168">
        <f>VLOOKUP(D1168,[1]SOI!$A$1:$C$142,3)</f>
        <v>-7.4</v>
      </c>
      <c r="M1168" s="2">
        <f t="shared" si="148"/>
        <v>1098.1862517475543</v>
      </c>
      <c r="N1168">
        <f t="shared" si="149"/>
        <v>394.81129223042399</v>
      </c>
      <c r="O1168" t="s">
        <v>8</v>
      </c>
    </row>
    <row r="1169" spans="1:15" x14ac:dyDescent="0.35">
      <c r="A1169">
        <v>2003</v>
      </c>
      <c r="B1169">
        <v>3</v>
      </c>
      <c r="C1169">
        <v>13</v>
      </c>
      <c r="D1169" s="1">
        <f t="shared" si="144"/>
        <v>37693</v>
      </c>
      <c r="E1169">
        <v>0</v>
      </c>
      <c r="F1169">
        <f t="shared" si="150"/>
        <v>0</v>
      </c>
      <c r="G1169">
        <f t="shared" si="145"/>
        <v>0</v>
      </c>
      <c r="H1169">
        <f t="shared" si="151"/>
        <v>0</v>
      </c>
      <c r="I1169">
        <v>1168</v>
      </c>
      <c r="J1169">
        <f t="shared" si="146"/>
        <v>0.94671391814638584</v>
      </c>
      <c r="K1169">
        <f t="shared" si="147"/>
        <v>0.32207570102061128</v>
      </c>
      <c r="L1169">
        <f>VLOOKUP(D1169,[1]SOI!$A$1:$C$142,3)</f>
        <v>-7.4</v>
      </c>
      <c r="M1169" s="2">
        <f t="shared" si="148"/>
        <v>1105.7618563949786</v>
      </c>
      <c r="N1169">
        <f t="shared" si="149"/>
        <v>376.18441879207398</v>
      </c>
      <c r="O1169" t="s">
        <v>8</v>
      </c>
    </row>
    <row r="1170" spans="1:15" x14ac:dyDescent="0.35">
      <c r="A1170">
        <v>2003</v>
      </c>
      <c r="B1170">
        <v>3</v>
      </c>
      <c r="C1170">
        <v>14</v>
      </c>
      <c r="D1170" s="1">
        <f t="shared" si="144"/>
        <v>37694</v>
      </c>
      <c r="E1170">
        <v>0</v>
      </c>
      <c r="F1170">
        <f t="shared" si="150"/>
        <v>0</v>
      </c>
      <c r="G1170">
        <f t="shared" si="145"/>
        <v>0</v>
      </c>
      <c r="H1170">
        <f t="shared" si="151"/>
        <v>0</v>
      </c>
      <c r="I1170">
        <v>1169</v>
      </c>
      <c r="J1170">
        <f t="shared" si="146"/>
        <v>0.95211405366811042</v>
      </c>
      <c r="K1170">
        <f t="shared" si="147"/>
        <v>0.30574307646728238</v>
      </c>
      <c r="L1170">
        <f>VLOOKUP(D1170,[1]SOI!$A$1:$C$142,3)</f>
        <v>-7.4</v>
      </c>
      <c r="M1170" s="2">
        <f t="shared" si="148"/>
        <v>1113.0213287380211</v>
      </c>
      <c r="N1170">
        <f t="shared" si="149"/>
        <v>357.4136563902531</v>
      </c>
      <c r="O1170" t="s">
        <v>8</v>
      </c>
    </row>
    <row r="1171" spans="1:15" x14ac:dyDescent="0.35">
      <c r="A1171">
        <v>2003</v>
      </c>
      <c r="B1171">
        <v>3</v>
      </c>
      <c r="C1171">
        <v>15</v>
      </c>
      <c r="D1171" s="1">
        <f t="shared" si="144"/>
        <v>37695</v>
      </c>
      <c r="E1171">
        <v>0</v>
      </c>
      <c r="F1171">
        <f t="shared" si="150"/>
        <v>0</v>
      </c>
      <c r="G1171">
        <f t="shared" si="145"/>
        <v>0</v>
      </c>
      <c r="H1171">
        <f t="shared" si="151"/>
        <v>0</v>
      </c>
      <c r="I1171">
        <v>1170</v>
      </c>
      <c r="J1171">
        <f t="shared" si="146"/>
        <v>0.95723244332331148</v>
      </c>
      <c r="K1171">
        <f t="shared" si="147"/>
        <v>0.28931997761869704</v>
      </c>
      <c r="L1171">
        <f>VLOOKUP(D1171,[1]SOI!$A$1:$C$142,3)</f>
        <v>-7.4</v>
      </c>
      <c r="M1171" s="2">
        <f t="shared" si="148"/>
        <v>1119.9619586882745</v>
      </c>
      <c r="N1171">
        <f t="shared" si="149"/>
        <v>338.50437381387553</v>
      </c>
      <c r="O1171" t="s">
        <v>8</v>
      </c>
    </row>
    <row r="1172" spans="1:15" x14ac:dyDescent="0.35">
      <c r="A1172">
        <v>2003</v>
      </c>
      <c r="B1172">
        <v>3</v>
      </c>
      <c r="C1172">
        <v>16</v>
      </c>
      <c r="D1172" s="1">
        <f t="shared" si="144"/>
        <v>37696</v>
      </c>
      <c r="E1172">
        <v>0</v>
      </c>
      <c r="F1172">
        <f t="shared" si="150"/>
        <v>0</v>
      </c>
      <c r="G1172">
        <f t="shared" si="145"/>
        <v>0</v>
      </c>
      <c r="H1172">
        <f t="shared" si="151"/>
        <v>0</v>
      </c>
      <c r="I1172">
        <v>1171</v>
      </c>
      <c r="J1172">
        <f t="shared" si="146"/>
        <v>0.96206757249814501</v>
      </c>
      <c r="K1172">
        <f t="shared" si="147"/>
        <v>0.27281126433402009</v>
      </c>
      <c r="L1172">
        <f>VLOOKUP(D1172,[1]SOI!$A$1:$C$142,3)</f>
        <v>-7.4</v>
      </c>
      <c r="M1172" s="2">
        <f t="shared" si="148"/>
        <v>1126.5811273953277</v>
      </c>
      <c r="N1172">
        <f t="shared" si="149"/>
        <v>319.46199053513755</v>
      </c>
      <c r="O1172" t="s">
        <v>8</v>
      </c>
    </row>
    <row r="1173" spans="1:15" x14ac:dyDescent="0.35">
      <c r="A1173">
        <v>2003</v>
      </c>
      <c r="B1173">
        <v>3</v>
      </c>
      <c r="C1173">
        <v>17</v>
      </c>
      <c r="D1173" s="1">
        <f t="shared" si="144"/>
        <v>37697</v>
      </c>
      <c r="E1173">
        <v>0</v>
      </c>
      <c r="F1173">
        <f t="shared" si="150"/>
        <v>0</v>
      </c>
      <c r="G1173">
        <f t="shared" si="145"/>
        <v>0</v>
      </c>
      <c r="H1173">
        <f t="shared" si="151"/>
        <v>0</v>
      </c>
      <c r="I1173">
        <v>1172</v>
      </c>
      <c r="J1173">
        <f t="shared" si="146"/>
        <v>0.96661801040009643</v>
      </c>
      <c r="K1173">
        <f t="shared" si="147"/>
        <v>0.25622182180711894</v>
      </c>
      <c r="L1173">
        <f>VLOOKUP(D1173,[1]SOI!$A$1:$C$142,3)</f>
        <v>-7.4</v>
      </c>
      <c r="M1173" s="2">
        <f t="shared" si="148"/>
        <v>1132.8763081889131</v>
      </c>
      <c r="N1173">
        <f t="shared" si="149"/>
        <v>300.2919751579434</v>
      </c>
      <c r="O1173" t="s">
        <v>8</v>
      </c>
    </row>
    <row r="1174" spans="1:15" x14ac:dyDescent="0.35">
      <c r="A1174">
        <v>2003</v>
      </c>
      <c r="B1174">
        <v>3</v>
      </c>
      <c r="C1174">
        <v>18</v>
      </c>
      <c r="D1174" s="1">
        <f t="shared" si="144"/>
        <v>37698</v>
      </c>
      <c r="E1174">
        <v>0</v>
      </c>
      <c r="F1174">
        <f t="shared" si="150"/>
        <v>0</v>
      </c>
      <c r="G1174">
        <f t="shared" si="145"/>
        <v>0</v>
      </c>
      <c r="H1174">
        <f t="shared" si="151"/>
        <v>0</v>
      </c>
      <c r="I1174">
        <v>1173</v>
      </c>
      <c r="J1174">
        <f t="shared" si="146"/>
        <v>0.97088241048138313</v>
      </c>
      <c r="K1174">
        <f t="shared" si="147"/>
        <v>0.23955655912092891</v>
      </c>
      <c r="L1174">
        <f>VLOOKUP(D1174,[1]SOI!$A$1:$C$142,3)</f>
        <v>-7.4</v>
      </c>
      <c r="M1174" s="2">
        <f t="shared" si="148"/>
        <v>1138.8450674946623</v>
      </c>
      <c r="N1174">
        <f t="shared" si="149"/>
        <v>280.99984384884959</v>
      </c>
      <c r="O1174" t="s">
        <v>8</v>
      </c>
    </row>
    <row r="1175" spans="1:15" x14ac:dyDescent="0.35">
      <c r="A1175">
        <v>2003</v>
      </c>
      <c r="B1175">
        <v>3</v>
      </c>
      <c r="C1175">
        <v>19</v>
      </c>
      <c r="D1175" s="1">
        <f t="shared" si="144"/>
        <v>37699</v>
      </c>
      <c r="E1175">
        <v>0</v>
      </c>
      <c r="F1175">
        <f t="shared" si="150"/>
        <v>0</v>
      </c>
      <c r="G1175">
        <f t="shared" si="145"/>
        <v>0</v>
      </c>
      <c r="H1175">
        <f t="shared" si="151"/>
        <v>0</v>
      </c>
      <c r="I1175">
        <v>1174</v>
      </c>
      <c r="J1175">
        <f t="shared" si="146"/>
        <v>0.97485951083741229</v>
      </c>
      <c r="K1175">
        <f t="shared" si="147"/>
        <v>0.22282040779480056</v>
      </c>
      <c r="L1175">
        <f>VLOOKUP(D1175,[1]SOI!$A$1:$C$142,3)</f>
        <v>-7.4</v>
      </c>
      <c r="M1175" s="2">
        <f t="shared" si="148"/>
        <v>1144.485065723122</v>
      </c>
      <c r="N1175">
        <f t="shared" si="149"/>
        <v>261.59115875109586</v>
      </c>
      <c r="O1175" t="s">
        <v>8</v>
      </c>
    </row>
    <row r="1176" spans="1:15" x14ac:dyDescent="0.35">
      <c r="A1176">
        <v>2003</v>
      </c>
      <c r="B1176">
        <v>3</v>
      </c>
      <c r="C1176">
        <v>20</v>
      </c>
      <c r="D1176" s="1">
        <f t="shared" si="144"/>
        <v>37700</v>
      </c>
      <c r="E1176">
        <v>3.6</v>
      </c>
      <c r="F1176">
        <f t="shared" si="150"/>
        <v>0</v>
      </c>
      <c r="G1176">
        <f t="shared" si="145"/>
        <v>1</v>
      </c>
      <c r="H1176">
        <f t="shared" si="151"/>
        <v>0</v>
      </c>
      <c r="I1176">
        <v>1175</v>
      </c>
      <c r="J1176">
        <f t="shared" si="146"/>
        <v>0.97854813458020251</v>
      </c>
      <c r="K1176">
        <f t="shared" si="147"/>
        <v>0.20601832032517353</v>
      </c>
      <c r="L1176">
        <f>VLOOKUP(D1176,[1]SOI!$A$1:$C$142,3)</f>
        <v>-7.4</v>
      </c>
      <c r="M1176" s="2">
        <f t="shared" si="148"/>
        <v>1149.794058131738</v>
      </c>
      <c r="N1176">
        <f t="shared" si="149"/>
        <v>242.0715263820789</v>
      </c>
      <c r="O1176" t="s">
        <v>8</v>
      </c>
    </row>
    <row r="1177" spans="1:15" x14ac:dyDescent="0.35">
      <c r="A1177">
        <v>2003</v>
      </c>
      <c r="B1177">
        <v>3</v>
      </c>
      <c r="C1177">
        <v>21</v>
      </c>
      <c r="D1177" s="1">
        <f t="shared" si="144"/>
        <v>37701</v>
      </c>
      <c r="E1177">
        <v>1.2</v>
      </c>
      <c r="F1177">
        <f t="shared" si="150"/>
        <v>3.6</v>
      </c>
      <c r="G1177">
        <f t="shared" si="145"/>
        <v>1</v>
      </c>
      <c r="H1177">
        <f t="shared" si="151"/>
        <v>1</v>
      </c>
      <c r="I1177">
        <v>1176</v>
      </c>
      <c r="J1177">
        <f t="shared" si="146"/>
        <v>0.98194719018664633</v>
      </c>
      <c r="K1177">
        <f t="shared" si="147"/>
        <v>0.18915526872003929</v>
      </c>
      <c r="L1177">
        <f>VLOOKUP(D1177,[1]SOI!$A$1:$C$142,3)</f>
        <v>-7.4</v>
      </c>
      <c r="M1177" s="2">
        <f t="shared" si="148"/>
        <v>1154.7698956594961</v>
      </c>
      <c r="N1177">
        <f t="shared" si="149"/>
        <v>222.44659601476621</v>
      </c>
      <c r="O1177" t="s">
        <v>8</v>
      </c>
    </row>
    <row r="1178" spans="1:15" x14ac:dyDescent="0.35">
      <c r="A1178">
        <v>2003</v>
      </c>
      <c r="B1178">
        <v>3</v>
      </c>
      <c r="C1178">
        <v>22</v>
      </c>
      <c r="D1178" s="1">
        <f t="shared" si="144"/>
        <v>37702</v>
      </c>
      <c r="E1178">
        <v>3.6</v>
      </c>
      <c r="F1178">
        <f t="shared" si="150"/>
        <v>1.2</v>
      </c>
      <c r="G1178">
        <f t="shared" si="145"/>
        <v>1</v>
      </c>
      <c r="H1178">
        <f t="shared" si="151"/>
        <v>1</v>
      </c>
      <c r="I1178">
        <v>1177</v>
      </c>
      <c r="J1178">
        <f t="shared" si="146"/>
        <v>0.98505567182150133</v>
      </c>
      <c r="K1178">
        <f t="shared" si="147"/>
        <v>0.17223624302768209</v>
      </c>
      <c r="L1178">
        <f>VLOOKUP(D1178,[1]SOI!$A$1:$C$142,3)</f>
        <v>-7.4</v>
      </c>
      <c r="M1178" s="2">
        <f t="shared" si="148"/>
        <v>1159.410525733907</v>
      </c>
      <c r="N1178">
        <f t="shared" si="149"/>
        <v>202.72205804358182</v>
      </c>
      <c r="O1178" t="s">
        <v>8</v>
      </c>
    </row>
    <row r="1179" spans="1:15" x14ac:dyDescent="0.35">
      <c r="A1179">
        <v>2003</v>
      </c>
      <c r="B1179">
        <v>3</v>
      </c>
      <c r="C1179">
        <v>23</v>
      </c>
      <c r="D1179" s="1">
        <f t="shared" si="144"/>
        <v>37703</v>
      </c>
      <c r="E1179">
        <v>0.6</v>
      </c>
      <c r="F1179">
        <f t="shared" si="150"/>
        <v>3.6</v>
      </c>
      <c r="G1179">
        <f t="shared" si="145"/>
        <v>1</v>
      </c>
      <c r="H1179">
        <f t="shared" si="151"/>
        <v>1</v>
      </c>
      <c r="I1179">
        <v>1178</v>
      </c>
      <c r="J1179">
        <f t="shared" si="146"/>
        <v>0.98787265963504312</v>
      </c>
      <c r="K1179">
        <f t="shared" si="147"/>
        <v>0.15526624985999482</v>
      </c>
      <c r="L1179">
        <f>VLOOKUP(D1179,[1]SOI!$A$1:$C$142,3)</f>
        <v>-7.4</v>
      </c>
      <c r="M1179" s="2">
        <f t="shared" si="148"/>
        <v>1163.7139930500807</v>
      </c>
      <c r="N1179">
        <f t="shared" si="149"/>
        <v>182.9036423350739</v>
      </c>
      <c r="O1179" t="s">
        <v>8</v>
      </c>
    </row>
    <row r="1180" spans="1:15" x14ac:dyDescent="0.35">
      <c r="A1180">
        <v>2003</v>
      </c>
      <c r="B1180">
        <v>3</v>
      </c>
      <c r="C1180">
        <v>24</v>
      </c>
      <c r="D1180" s="1">
        <f t="shared" si="144"/>
        <v>37704</v>
      </c>
      <c r="E1180">
        <v>0</v>
      </c>
      <c r="F1180">
        <f t="shared" si="150"/>
        <v>0.6</v>
      </c>
      <c r="G1180">
        <f t="shared" si="145"/>
        <v>0</v>
      </c>
      <c r="H1180">
        <f t="shared" si="151"/>
        <v>1</v>
      </c>
      <c r="I1180">
        <v>1179</v>
      </c>
      <c r="J1180">
        <f t="shared" si="146"/>
        <v>0.99039732003525549</v>
      </c>
      <c r="K1180">
        <f t="shared" si="147"/>
        <v>0.13825031091098375</v>
      </c>
      <c r="L1180">
        <f>VLOOKUP(D1180,[1]SOI!$A$1:$C$142,3)</f>
        <v>-7.4</v>
      </c>
      <c r="M1180" s="2">
        <f t="shared" si="148"/>
        <v>1167.6784403215663</v>
      </c>
      <c r="N1180">
        <f t="shared" si="149"/>
        <v>162.99711656404983</v>
      </c>
      <c r="O1180" t="s">
        <v>8</v>
      </c>
    </row>
    <row r="1181" spans="1:15" x14ac:dyDescent="0.35">
      <c r="A1181">
        <v>2003</v>
      </c>
      <c r="B1181">
        <v>3</v>
      </c>
      <c r="C1181">
        <v>25</v>
      </c>
      <c r="D1181" s="1">
        <f t="shared" si="144"/>
        <v>37705</v>
      </c>
      <c r="E1181">
        <v>0</v>
      </c>
      <c r="F1181">
        <f t="shared" si="150"/>
        <v>0</v>
      </c>
      <c r="G1181">
        <f t="shared" si="145"/>
        <v>0</v>
      </c>
      <c r="H1181">
        <f t="shared" si="151"/>
        <v>0</v>
      </c>
      <c r="I1181">
        <v>1180</v>
      </c>
      <c r="J1181">
        <f t="shared" si="146"/>
        <v>0.99262890593450936</v>
      </c>
      <c r="K1181">
        <f t="shared" si="147"/>
        <v>0.12119346147073698</v>
      </c>
      <c r="L1181">
        <f>VLOOKUP(D1181,[1]SOI!$A$1:$C$142,3)</f>
        <v>-7.4</v>
      </c>
      <c r="M1181" s="2">
        <f t="shared" si="148"/>
        <v>1171.302109002721</v>
      </c>
      <c r="N1181">
        <f t="shared" si="149"/>
        <v>143.00828453546964</v>
      </c>
      <c r="O1181" t="s">
        <v>8</v>
      </c>
    </row>
    <row r="1182" spans="1:15" x14ac:dyDescent="0.35">
      <c r="A1182">
        <v>2003</v>
      </c>
      <c r="B1182">
        <v>3</v>
      </c>
      <c r="C1182">
        <v>26</v>
      </c>
      <c r="D1182" s="1">
        <f t="shared" si="144"/>
        <v>37706</v>
      </c>
      <c r="E1182">
        <v>0</v>
      </c>
      <c r="F1182">
        <f t="shared" si="150"/>
        <v>0</v>
      </c>
      <c r="G1182">
        <f t="shared" si="145"/>
        <v>0</v>
      </c>
      <c r="H1182">
        <f t="shared" si="151"/>
        <v>0</v>
      </c>
      <c r="I1182">
        <v>1181</v>
      </c>
      <c r="J1182">
        <f t="shared" si="146"/>
        <v>0.99456675697063368</v>
      </c>
      <c r="K1182">
        <f t="shared" si="147"/>
        <v>0.1041007489354257</v>
      </c>
      <c r="L1182">
        <f>VLOOKUP(D1182,[1]SOI!$A$1:$C$142,3)</f>
        <v>-7.4</v>
      </c>
      <c r="M1182" s="2">
        <f t="shared" si="148"/>
        <v>1174.5833399823184</v>
      </c>
      <c r="N1182">
        <f t="shared" si="149"/>
        <v>122.94298449273775</v>
      </c>
      <c r="O1182" t="s">
        <v>8</v>
      </c>
    </row>
    <row r="1183" spans="1:15" x14ac:dyDescent="0.35">
      <c r="A1183">
        <v>2003</v>
      </c>
      <c r="B1183">
        <v>3</v>
      </c>
      <c r="C1183">
        <v>27</v>
      </c>
      <c r="D1183" s="1">
        <f t="shared" si="144"/>
        <v>37707</v>
      </c>
      <c r="E1183">
        <v>0</v>
      </c>
      <c r="F1183">
        <f t="shared" si="150"/>
        <v>0</v>
      </c>
      <c r="G1183">
        <f t="shared" si="145"/>
        <v>0</v>
      </c>
      <c r="H1183">
        <f t="shared" si="151"/>
        <v>0</v>
      </c>
      <c r="I1183">
        <v>1182</v>
      </c>
      <c r="J1183">
        <f t="shared" si="146"/>
        <v>0.99621029970232955</v>
      </c>
      <c r="K1183">
        <f t="shared" si="147"/>
        <v>8.6977231313687953E-2</v>
      </c>
      <c r="L1183">
        <f>VLOOKUP(D1183,[1]SOI!$A$1:$C$142,3)</f>
        <v>-7.4</v>
      </c>
      <c r="M1183" s="2">
        <f t="shared" si="148"/>
        <v>1177.5205742481535</v>
      </c>
      <c r="N1183">
        <f t="shared" si="149"/>
        <v>102.80708741277915</v>
      </c>
      <c r="O1183" t="s">
        <v>8</v>
      </c>
    </row>
    <row r="1184" spans="1:15" x14ac:dyDescent="0.35">
      <c r="A1184">
        <v>2003</v>
      </c>
      <c r="B1184">
        <v>3</v>
      </c>
      <c r="C1184">
        <v>28</v>
      </c>
      <c r="D1184" s="1">
        <f t="shared" si="144"/>
        <v>37708</v>
      </c>
      <c r="E1184">
        <v>0</v>
      </c>
      <c r="F1184">
        <f t="shared" si="150"/>
        <v>0</v>
      </c>
      <c r="G1184">
        <f t="shared" si="145"/>
        <v>0</v>
      </c>
      <c r="H1184">
        <f t="shared" si="151"/>
        <v>0</v>
      </c>
      <c r="I1184">
        <v>1183</v>
      </c>
      <c r="J1184">
        <f t="shared" si="146"/>
        <v>0.99755904777886129</v>
      </c>
      <c r="K1184">
        <f t="shared" si="147"/>
        <v>6.9827975729871872E-2</v>
      </c>
      <c r="L1184">
        <f>VLOOKUP(D1184,[1]SOI!$A$1:$C$142,3)</f>
        <v>-7.4</v>
      </c>
      <c r="M1184" s="2">
        <f t="shared" si="148"/>
        <v>1180.1123535223928</v>
      </c>
      <c r="N1184">
        <f t="shared" si="149"/>
        <v>82.606495288438424</v>
      </c>
      <c r="O1184" t="s">
        <v>8</v>
      </c>
    </row>
    <row r="1185" spans="1:15" x14ac:dyDescent="0.35">
      <c r="A1185">
        <v>2003</v>
      </c>
      <c r="B1185">
        <v>3</v>
      </c>
      <c r="C1185">
        <v>29</v>
      </c>
      <c r="D1185" s="1">
        <f t="shared" si="144"/>
        <v>37709</v>
      </c>
      <c r="E1185">
        <v>0</v>
      </c>
      <c r="F1185">
        <f t="shared" si="150"/>
        <v>0</v>
      </c>
      <c r="G1185">
        <f t="shared" si="145"/>
        <v>0</v>
      </c>
      <c r="H1185">
        <f t="shared" si="151"/>
        <v>0</v>
      </c>
      <c r="I1185">
        <v>1184</v>
      </c>
      <c r="J1185">
        <f t="shared" si="146"/>
        <v>0.9986126020839734</v>
      </c>
      <c r="K1185">
        <f t="shared" si="147"/>
        <v>5.2658056924613207E-2</v>
      </c>
      <c r="L1185">
        <f>VLOOKUP(D1185,[1]SOI!$A$1:$C$142,3)</f>
        <v>-7.4</v>
      </c>
      <c r="M1185" s="2">
        <f t="shared" si="148"/>
        <v>1182.3573208674245</v>
      </c>
      <c r="N1185">
        <f t="shared" si="149"/>
        <v>62.347139398742037</v>
      </c>
      <c r="O1185" t="s">
        <v>8</v>
      </c>
    </row>
    <row r="1186" spans="1:15" x14ac:dyDescent="0.35">
      <c r="A1186">
        <v>2003</v>
      </c>
      <c r="B1186">
        <v>3</v>
      </c>
      <c r="C1186">
        <v>30</v>
      </c>
      <c r="D1186" s="1">
        <f t="shared" si="144"/>
        <v>37710</v>
      </c>
      <c r="E1186">
        <v>0</v>
      </c>
      <c r="F1186">
        <f t="shared" si="150"/>
        <v>0</v>
      </c>
      <c r="G1186">
        <f t="shared" si="145"/>
        <v>0</v>
      </c>
      <c r="H1186">
        <f t="shared" si="151"/>
        <v>0</v>
      </c>
      <c r="I1186">
        <v>1185</v>
      </c>
      <c r="J1186">
        <f t="shared" si="146"/>
        <v>0.9993706508539969</v>
      </c>
      <c r="K1186">
        <f t="shared" si="147"/>
        <v>3.5472555753127431E-2</v>
      </c>
      <c r="L1186">
        <f>VLOOKUP(D1186,[1]SOI!$A$1:$C$142,3)</f>
        <v>-7.4</v>
      </c>
      <c r="M1186" s="2">
        <f t="shared" si="148"/>
        <v>1184.2542212619862</v>
      </c>
      <c r="N1186">
        <f t="shared" si="149"/>
        <v>42.034978567456008</v>
      </c>
      <c r="O1186" t="s">
        <v>8</v>
      </c>
    </row>
    <row r="1187" spans="1:15" x14ac:dyDescent="0.35">
      <c r="A1187">
        <v>2003</v>
      </c>
      <c r="B1187">
        <v>3</v>
      </c>
      <c r="C1187">
        <v>31</v>
      </c>
      <c r="D1187" s="1">
        <f t="shared" si="144"/>
        <v>37711</v>
      </c>
      <c r="E1187">
        <v>0</v>
      </c>
      <c r="F1187">
        <f t="shared" si="150"/>
        <v>0</v>
      </c>
      <c r="G1187">
        <f t="shared" si="145"/>
        <v>0</v>
      </c>
      <c r="H1187">
        <f t="shared" si="151"/>
        <v>0</v>
      </c>
      <c r="I1187">
        <v>1186</v>
      </c>
      <c r="J1187">
        <f t="shared" si="146"/>
        <v>0.99983296977010505</v>
      </c>
      <c r="K1187">
        <f t="shared" si="147"/>
        <v>1.8276557681692205E-2</v>
      </c>
      <c r="L1187">
        <f>VLOOKUP(D1187,[1]SOI!$A$1:$C$142,3)</f>
        <v>-7.4</v>
      </c>
      <c r="M1187" s="2">
        <f t="shared" si="148"/>
        <v>1185.8019021473447</v>
      </c>
      <c r="N1187">
        <f t="shared" si="149"/>
        <v>21.675997410486953</v>
      </c>
      <c r="O1187" t="s">
        <v>8</v>
      </c>
    </row>
    <row r="1188" spans="1:15" x14ac:dyDescent="0.35">
      <c r="A1188">
        <v>2003</v>
      </c>
      <c r="B1188">
        <v>4</v>
      </c>
      <c r="C1188">
        <v>1</v>
      </c>
      <c r="D1188" s="1">
        <f t="shared" si="144"/>
        <v>37712</v>
      </c>
      <c r="E1188">
        <v>0</v>
      </c>
      <c r="F1188">
        <f t="shared" si="150"/>
        <v>0</v>
      </c>
      <c r="G1188">
        <f t="shared" si="145"/>
        <v>0</v>
      </c>
      <c r="H1188">
        <f t="shared" si="151"/>
        <v>0</v>
      </c>
      <c r="I1188">
        <v>1187</v>
      </c>
      <c r="J1188">
        <f t="shared" si="146"/>
        <v>0.9999994220246925</v>
      </c>
      <c r="K1188">
        <f t="shared" si="147"/>
        <v>1.0751512827974297E-3</v>
      </c>
      <c r="L1188">
        <f>VLOOKUP(D1188,[1]SOI!$A$1:$C$142,3)</f>
        <v>-6.8</v>
      </c>
      <c r="M1188" s="2">
        <f t="shared" si="148"/>
        <v>1186.99931394331</v>
      </c>
      <c r="N1188">
        <f t="shared" si="149"/>
        <v>1.2762045726805491</v>
      </c>
      <c r="O1188" t="s">
        <v>8</v>
      </c>
    </row>
    <row r="1189" spans="1:15" x14ac:dyDescent="0.35">
      <c r="A1189">
        <v>2003</v>
      </c>
      <c r="B1189">
        <v>4</v>
      </c>
      <c r="C1189">
        <v>2</v>
      </c>
      <c r="D1189" s="1">
        <f t="shared" si="144"/>
        <v>37713</v>
      </c>
      <c r="E1189">
        <v>1.6</v>
      </c>
      <c r="F1189">
        <f t="shared" si="150"/>
        <v>0</v>
      </c>
      <c r="G1189">
        <f t="shared" si="145"/>
        <v>1</v>
      </c>
      <c r="H1189">
        <f t="shared" si="151"/>
        <v>0</v>
      </c>
      <c r="I1189">
        <v>1188</v>
      </c>
      <c r="J1189">
        <f t="shared" si="146"/>
        <v>0.99986995836185921</v>
      </c>
      <c r="K1189">
        <f t="shared" si="147"/>
        <v>-1.6126573270655895E-2</v>
      </c>
      <c r="L1189">
        <f>VLOOKUP(D1189,[1]SOI!$A$1:$C$142,3)</f>
        <v>-6.8</v>
      </c>
      <c r="M1189" s="2">
        <f t="shared" si="148"/>
        <v>1187.8455105338887</v>
      </c>
      <c r="N1189">
        <f t="shared" si="149"/>
        <v>-19.158369045539203</v>
      </c>
      <c r="O1189" t="s">
        <v>8</v>
      </c>
    </row>
    <row r="1190" spans="1:15" x14ac:dyDescent="0.35">
      <c r="A1190">
        <v>2003</v>
      </c>
      <c r="B1190">
        <v>4</v>
      </c>
      <c r="C1190">
        <v>3</v>
      </c>
      <c r="D1190" s="1">
        <f t="shared" si="144"/>
        <v>37714</v>
      </c>
      <c r="E1190">
        <v>0.6</v>
      </c>
      <c r="F1190">
        <f t="shared" si="150"/>
        <v>1.6</v>
      </c>
      <c r="G1190">
        <f t="shared" si="145"/>
        <v>1</v>
      </c>
      <c r="H1190">
        <f t="shared" si="151"/>
        <v>1</v>
      </c>
      <c r="I1190">
        <v>1189</v>
      </c>
      <c r="J1190">
        <f t="shared" si="146"/>
        <v>0.99944461709198584</v>
      </c>
      <c r="K1190">
        <f t="shared" si="147"/>
        <v>-3.3323525711630365E-2</v>
      </c>
      <c r="L1190">
        <f>VLOOKUP(D1190,[1]SOI!$A$1:$C$142,3)</f>
        <v>-6.8</v>
      </c>
      <c r="M1190" s="2">
        <f t="shared" si="148"/>
        <v>1188.3396497223712</v>
      </c>
      <c r="N1190">
        <f t="shared" si="149"/>
        <v>-39.621672071128508</v>
      </c>
      <c r="O1190" t="s">
        <v>8</v>
      </c>
    </row>
    <row r="1191" spans="1:15" x14ac:dyDescent="0.35">
      <c r="A1191">
        <v>2003</v>
      </c>
      <c r="B1191">
        <v>4</v>
      </c>
      <c r="C1191">
        <v>4</v>
      </c>
      <c r="D1191" s="1">
        <f t="shared" si="144"/>
        <v>37715</v>
      </c>
      <c r="E1191">
        <v>0</v>
      </c>
      <c r="F1191">
        <f t="shared" si="150"/>
        <v>0.6</v>
      </c>
      <c r="G1191">
        <f t="shared" si="145"/>
        <v>0</v>
      </c>
      <c r="H1191">
        <f t="shared" si="151"/>
        <v>1</v>
      </c>
      <c r="I1191">
        <v>1190</v>
      </c>
      <c r="J1191">
        <f t="shared" si="146"/>
        <v>0.99872352408039744</v>
      </c>
      <c r="K1191">
        <f t="shared" si="147"/>
        <v>-5.0510617185219243E-2</v>
      </c>
      <c r="L1191">
        <f>VLOOKUP(D1191,[1]SOI!$A$1:$C$142,3)</f>
        <v>-6.8</v>
      </c>
      <c r="M1191" s="2">
        <f t="shared" si="148"/>
        <v>1188.480993655673</v>
      </c>
      <c r="N1191">
        <f t="shared" si="149"/>
        <v>-60.107634450410899</v>
      </c>
      <c r="O1191" t="s">
        <v>8</v>
      </c>
    </row>
    <row r="1192" spans="1:15" x14ac:dyDescent="0.35">
      <c r="A1192">
        <v>2003</v>
      </c>
      <c r="B1192">
        <v>4</v>
      </c>
      <c r="C1192">
        <v>5</v>
      </c>
      <c r="D1192" s="1">
        <f t="shared" si="144"/>
        <v>37716</v>
      </c>
      <c r="E1192">
        <v>0</v>
      </c>
      <c r="F1192">
        <f t="shared" si="150"/>
        <v>0</v>
      </c>
      <c r="G1192">
        <f t="shared" si="145"/>
        <v>0</v>
      </c>
      <c r="H1192">
        <f t="shared" si="151"/>
        <v>0</v>
      </c>
      <c r="I1192">
        <v>1191</v>
      </c>
      <c r="J1192">
        <f t="shared" si="146"/>
        <v>0.99770689271011681</v>
      </c>
      <c r="K1192">
        <f t="shared" si="147"/>
        <v>-6.7682761754552415E-2</v>
      </c>
      <c r="L1192">
        <f>VLOOKUP(D1192,[1]SOI!$A$1:$C$142,3)</f>
        <v>-6.8</v>
      </c>
      <c r="M1192" s="2">
        <f t="shared" si="148"/>
        <v>1188.2689092177491</v>
      </c>
      <c r="N1192">
        <f t="shared" si="149"/>
        <v>-80.610169249671927</v>
      </c>
      <c r="O1192" t="s">
        <v>8</v>
      </c>
    </row>
    <row r="1193" spans="1:15" x14ac:dyDescent="0.35">
      <c r="A1193">
        <v>2003</v>
      </c>
      <c r="B1193">
        <v>4</v>
      </c>
      <c r="C1193">
        <v>6</v>
      </c>
      <c r="D1193" s="1">
        <f t="shared" si="144"/>
        <v>37717</v>
      </c>
      <c r="E1193">
        <v>0</v>
      </c>
      <c r="F1193">
        <f t="shared" si="150"/>
        <v>0</v>
      </c>
      <c r="G1193">
        <f t="shared" si="145"/>
        <v>0</v>
      </c>
      <c r="H1193">
        <f t="shared" si="151"/>
        <v>0</v>
      </c>
      <c r="I1193">
        <v>1192</v>
      </c>
      <c r="J1193">
        <f t="shared" si="146"/>
        <v>0.99639502381872325</v>
      </c>
      <c r="K1193">
        <f t="shared" si="147"/>
        <v>-8.4834877905764397E-2</v>
      </c>
      <c r="L1193">
        <f>VLOOKUP(D1193,[1]SOI!$A$1:$C$142,3)</f>
        <v>-6.8</v>
      </c>
      <c r="M1193" s="2">
        <f t="shared" si="148"/>
        <v>1187.7028683919182</v>
      </c>
      <c r="N1193">
        <f t="shared" si="149"/>
        <v>-101.12317446367116</v>
      </c>
      <c r="O1193" t="s">
        <v>8</v>
      </c>
    </row>
    <row r="1194" spans="1:15" x14ac:dyDescent="0.35">
      <c r="A1194">
        <v>2003</v>
      </c>
      <c r="B1194">
        <v>4</v>
      </c>
      <c r="C1194">
        <v>7</v>
      </c>
      <c r="D1194" s="1">
        <f t="shared" si="144"/>
        <v>37718</v>
      </c>
      <c r="E1194">
        <v>0</v>
      </c>
      <c r="F1194">
        <f t="shared" si="150"/>
        <v>0</v>
      </c>
      <c r="G1194">
        <f t="shared" si="145"/>
        <v>0</v>
      </c>
      <c r="H1194">
        <f t="shared" si="151"/>
        <v>0</v>
      </c>
      <c r="I1194">
        <v>1193</v>
      </c>
      <c r="J1194">
        <f t="shared" si="146"/>
        <v>0.99478830560932696</v>
      </c>
      <c r="K1194">
        <f t="shared" si="147"/>
        <v>-0.10196189005174566</v>
      </c>
      <c r="L1194">
        <f>VLOOKUP(D1194,[1]SOI!$A$1:$C$142,3)</f>
        <v>-6.8</v>
      </c>
      <c r="M1194" s="2">
        <f t="shared" si="148"/>
        <v>1186.7824485919271</v>
      </c>
      <c r="N1194">
        <f t="shared" si="149"/>
        <v>-121.64053483173258</v>
      </c>
      <c r="O1194" t="s">
        <v>8</v>
      </c>
    </row>
    <row r="1195" spans="1:15" x14ac:dyDescent="0.35">
      <c r="A1195">
        <v>2003</v>
      </c>
      <c r="B1195">
        <v>4</v>
      </c>
      <c r="C1195">
        <v>8</v>
      </c>
      <c r="D1195" s="1">
        <f t="shared" si="144"/>
        <v>37719</v>
      </c>
      <c r="E1195">
        <v>4.5999999999999996</v>
      </c>
      <c r="F1195">
        <f t="shared" si="150"/>
        <v>0</v>
      </c>
      <c r="G1195">
        <f t="shared" si="145"/>
        <v>1</v>
      </c>
      <c r="H1195">
        <f t="shared" si="151"/>
        <v>0</v>
      </c>
      <c r="I1195">
        <v>1194</v>
      </c>
      <c r="J1195">
        <f t="shared" si="146"/>
        <v>0.99288721353569642</v>
      </c>
      <c r="K1195">
        <f t="shared" si="147"/>
        <v>-0.11905873003404802</v>
      </c>
      <c r="L1195">
        <f>VLOOKUP(D1195,[1]SOI!$A$1:$C$142,3)</f>
        <v>-6.8</v>
      </c>
      <c r="M1195" s="2">
        <f t="shared" si="148"/>
        <v>1185.5073329616216</v>
      </c>
      <c r="N1195">
        <f t="shared" si="149"/>
        <v>-142.15612366065332</v>
      </c>
      <c r="O1195" t="s">
        <v>8</v>
      </c>
    </row>
    <row r="1196" spans="1:15" x14ac:dyDescent="0.35">
      <c r="A1196">
        <v>2003</v>
      </c>
      <c r="B1196">
        <v>4</v>
      </c>
      <c r="C1196">
        <v>9</v>
      </c>
      <c r="D1196" s="1">
        <f t="shared" si="144"/>
        <v>37720</v>
      </c>
      <c r="E1196">
        <v>1</v>
      </c>
      <c r="F1196">
        <f t="shared" si="150"/>
        <v>4.5999999999999996</v>
      </c>
      <c r="G1196">
        <f t="shared" si="145"/>
        <v>1</v>
      </c>
      <c r="H1196">
        <f t="shared" si="151"/>
        <v>1</v>
      </c>
      <c r="I1196">
        <v>1195</v>
      </c>
      <c r="J1196">
        <f t="shared" si="146"/>
        <v>0.99069231016156112</v>
      </c>
      <c r="K1196">
        <f t="shared" si="147"/>
        <v>-0.13612033862266606</v>
      </c>
      <c r="L1196">
        <f>VLOOKUP(D1196,[1]SOI!$A$1:$C$142,3)</f>
        <v>-6.8</v>
      </c>
      <c r="M1196" s="2">
        <f t="shared" si="148"/>
        <v>1183.8773106430656</v>
      </c>
      <c r="N1196">
        <f t="shared" si="149"/>
        <v>-162.66380465408594</v>
      </c>
      <c r="O1196" t="s">
        <v>8</v>
      </c>
    </row>
    <row r="1197" spans="1:15" x14ac:dyDescent="0.35">
      <c r="A1197">
        <v>2003</v>
      </c>
      <c r="B1197">
        <v>4</v>
      </c>
      <c r="C1197">
        <v>10</v>
      </c>
      <c r="D1197" s="1">
        <f t="shared" si="144"/>
        <v>37721</v>
      </c>
      <c r="E1197">
        <v>0</v>
      </c>
      <c r="F1197">
        <f t="shared" si="150"/>
        <v>1</v>
      </c>
      <c r="G1197">
        <f t="shared" si="145"/>
        <v>0</v>
      </c>
      <c r="H1197">
        <f t="shared" si="151"/>
        <v>1</v>
      </c>
      <c r="I1197">
        <v>1196</v>
      </c>
      <c r="J1197">
        <f t="shared" si="146"/>
        <v>0.98820424499414228</v>
      </c>
      <c r="K1197">
        <f t="shared" si="147"/>
        <v>-0.15314166701311996</v>
      </c>
      <c r="L1197">
        <f>VLOOKUP(D1197,[1]SOI!$A$1:$C$142,3)</f>
        <v>-6.8</v>
      </c>
      <c r="M1197" s="2">
        <f t="shared" si="148"/>
        <v>1181.8922770129941</v>
      </c>
      <c r="N1197">
        <f t="shared" si="149"/>
        <v>-183.15743374769147</v>
      </c>
      <c r="O1197" t="s">
        <v>8</v>
      </c>
    </row>
    <row r="1198" spans="1:15" x14ac:dyDescent="0.35">
      <c r="A1198">
        <v>2003</v>
      </c>
      <c r="B1198">
        <v>4</v>
      </c>
      <c r="C1198">
        <v>11</v>
      </c>
      <c r="D1198" s="1">
        <f t="shared" si="144"/>
        <v>37722</v>
      </c>
      <c r="E1198">
        <v>13.8</v>
      </c>
      <c r="F1198">
        <f t="shared" si="150"/>
        <v>0</v>
      </c>
      <c r="G1198">
        <f t="shared" si="145"/>
        <v>1</v>
      </c>
      <c r="H1198">
        <f t="shared" si="151"/>
        <v>0</v>
      </c>
      <c r="I1198">
        <v>1197</v>
      </c>
      <c r="J1198">
        <f t="shared" si="146"/>
        <v>0.98542375429195272</v>
      </c>
      <c r="K1198">
        <f t="shared" si="147"/>
        <v>-0.17011767832048869</v>
      </c>
      <c r="L1198">
        <f>VLOOKUP(D1198,[1]SOI!$A$1:$C$142,3)</f>
        <v>-6.8</v>
      </c>
      <c r="M1198" s="2">
        <f t="shared" si="148"/>
        <v>1179.5522338874673</v>
      </c>
      <c r="N1198">
        <f t="shared" si="149"/>
        <v>-203.63086094962495</v>
      </c>
      <c r="O1198" t="s">
        <v>8</v>
      </c>
    </row>
    <row r="1199" spans="1:15" x14ac:dyDescent="0.35">
      <c r="A1199">
        <v>2003</v>
      </c>
      <c r="B1199">
        <v>4</v>
      </c>
      <c r="C1199">
        <v>12</v>
      </c>
      <c r="D1199" s="1">
        <f t="shared" si="144"/>
        <v>37723</v>
      </c>
      <c r="E1199">
        <v>14.8</v>
      </c>
      <c r="F1199">
        <f t="shared" si="150"/>
        <v>13.8</v>
      </c>
      <c r="G1199">
        <f t="shared" si="145"/>
        <v>1</v>
      </c>
      <c r="H1199">
        <f t="shared" si="151"/>
        <v>1</v>
      </c>
      <c r="I1199">
        <v>1198</v>
      </c>
      <c r="J1199">
        <f t="shared" si="146"/>
        <v>0.98235166084692382</v>
      </c>
      <c r="K1199">
        <f t="shared" si="147"/>
        <v>-0.1870433490699156</v>
      </c>
      <c r="L1199">
        <f>VLOOKUP(D1199,[1]SOI!$A$1:$C$142,3)</f>
        <v>-6.8</v>
      </c>
      <c r="M1199" s="2">
        <f t="shared" si="148"/>
        <v>1176.8572896946148</v>
      </c>
      <c r="N1199">
        <f t="shared" si="149"/>
        <v>-224.0779321857589</v>
      </c>
      <c r="O1199" t="s">
        <v>8</v>
      </c>
    </row>
    <row r="1200" spans="1:15" x14ac:dyDescent="0.35">
      <c r="A1200">
        <v>2003</v>
      </c>
      <c r="B1200">
        <v>4</v>
      </c>
      <c r="C1200">
        <v>13</v>
      </c>
      <c r="D1200" s="1">
        <f t="shared" si="144"/>
        <v>37724</v>
      </c>
      <c r="E1200">
        <v>0</v>
      </c>
      <c r="F1200">
        <f t="shared" si="150"/>
        <v>14.8</v>
      </c>
      <c r="G1200">
        <f t="shared" si="145"/>
        <v>0</v>
      </c>
      <c r="H1200">
        <f t="shared" si="151"/>
        <v>1</v>
      </c>
      <c r="I1200">
        <v>1199</v>
      </c>
      <c r="J1200">
        <f t="shared" si="146"/>
        <v>0.97898887374093191</v>
      </c>
      <c r="K1200">
        <f t="shared" si="147"/>
        <v>-0.20391367068311461</v>
      </c>
      <c r="L1200">
        <f>VLOOKUP(D1200,[1]SOI!$A$1:$C$142,3)</f>
        <v>-6.8</v>
      </c>
      <c r="M1200" s="2">
        <f t="shared" si="148"/>
        <v>1173.8076596153774</v>
      </c>
      <c r="N1200">
        <f t="shared" si="149"/>
        <v>-244.49249114905442</v>
      </c>
      <c r="O1200" t="s">
        <v>8</v>
      </c>
    </row>
    <row r="1201" spans="1:15" x14ac:dyDescent="0.35">
      <c r="A1201">
        <v>2003</v>
      </c>
      <c r="B1201">
        <v>4</v>
      </c>
      <c r="C1201">
        <v>14</v>
      </c>
      <c r="D1201" s="1">
        <f t="shared" si="144"/>
        <v>37725</v>
      </c>
      <c r="E1201">
        <v>17.8</v>
      </c>
      <c r="F1201">
        <f t="shared" si="150"/>
        <v>0</v>
      </c>
      <c r="G1201">
        <f t="shared" si="145"/>
        <v>1</v>
      </c>
      <c r="H1201">
        <f t="shared" si="151"/>
        <v>0</v>
      </c>
      <c r="I1201">
        <v>1200</v>
      </c>
      <c r="J1201">
        <f t="shared" si="146"/>
        <v>0.97533638807678424</v>
      </c>
      <c r="K1201">
        <f t="shared" si="147"/>
        <v>-0.22072365096049953</v>
      </c>
      <c r="L1201">
        <f>VLOOKUP(D1201,[1]SOI!$A$1:$C$142,3)</f>
        <v>-6.8</v>
      </c>
      <c r="M1201" s="2">
        <f t="shared" si="148"/>
        <v>1170.4036656921412</v>
      </c>
      <c r="N1201">
        <f t="shared" si="149"/>
        <v>-264.86838115259945</v>
      </c>
      <c r="O1201" t="s">
        <v>8</v>
      </c>
    </row>
    <row r="1202" spans="1:15" x14ac:dyDescent="0.35">
      <c r="A1202">
        <v>2003</v>
      </c>
      <c r="B1202">
        <v>4</v>
      </c>
      <c r="C1202">
        <v>15</v>
      </c>
      <c r="D1202" s="1">
        <f t="shared" si="144"/>
        <v>37726</v>
      </c>
      <c r="E1202">
        <v>0</v>
      </c>
      <c r="F1202">
        <f t="shared" si="150"/>
        <v>17.8</v>
      </c>
      <c r="G1202">
        <f t="shared" si="145"/>
        <v>0</v>
      </c>
      <c r="H1202">
        <f t="shared" si="151"/>
        <v>1</v>
      </c>
      <c r="I1202">
        <v>1201</v>
      </c>
      <c r="J1202">
        <f t="shared" si="146"/>
        <v>0.97139528468375047</v>
      </c>
      <c r="K1202">
        <f t="shared" si="147"/>
        <v>-0.23746831555846662</v>
      </c>
      <c r="L1202">
        <f>VLOOKUP(D1202,[1]SOI!$A$1:$C$142,3)</f>
        <v>-6.8</v>
      </c>
      <c r="M1202" s="2">
        <f t="shared" si="148"/>
        <v>1166.6457369051843</v>
      </c>
      <c r="N1202">
        <f t="shared" si="149"/>
        <v>-285.1994469857184</v>
      </c>
      <c r="O1202" t="s">
        <v>8</v>
      </c>
    </row>
    <row r="1203" spans="1:15" x14ac:dyDescent="0.35">
      <c r="A1203">
        <v>2003</v>
      </c>
      <c r="B1203">
        <v>4</v>
      </c>
      <c r="C1203">
        <v>16</v>
      </c>
      <c r="D1203" s="1">
        <f t="shared" si="144"/>
        <v>37727</v>
      </c>
      <c r="E1203">
        <v>9.6</v>
      </c>
      <c r="F1203">
        <f t="shared" si="150"/>
        <v>0</v>
      </c>
      <c r="G1203">
        <f t="shared" si="145"/>
        <v>1</v>
      </c>
      <c r="H1203">
        <f t="shared" si="151"/>
        <v>0</v>
      </c>
      <c r="I1203">
        <v>1202</v>
      </c>
      <c r="J1203">
        <f t="shared" si="146"/>
        <v>0.96716672979773122</v>
      </c>
      <c r="K1203">
        <f t="shared" si="147"/>
        <v>-0.25414270946136214</v>
      </c>
      <c r="L1203">
        <f>VLOOKUP(D1203,[1]SOI!$A$1:$C$142,3)</f>
        <v>-6.8</v>
      </c>
      <c r="M1203" s="2">
        <f t="shared" si="148"/>
        <v>1162.534409216873</v>
      </c>
      <c r="N1203">
        <f t="shared" si="149"/>
        <v>-305.47953677255731</v>
      </c>
      <c r="O1203" t="s">
        <v>8</v>
      </c>
    </row>
    <row r="1204" spans="1:15" x14ac:dyDescent="0.35">
      <c r="A1204">
        <v>2003</v>
      </c>
      <c r="B1204">
        <v>4</v>
      </c>
      <c r="C1204">
        <v>17</v>
      </c>
      <c r="D1204" s="1">
        <f t="shared" si="144"/>
        <v>37728</v>
      </c>
      <c r="E1204">
        <v>0</v>
      </c>
      <c r="F1204">
        <f t="shared" si="150"/>
        <v>9.6</v>
      </c>
      <c r="G1204">
        <f t="shared" si="145"/>
        <v>0</v>
      </c>
      <c r="H1204">
        <f t="shared" si="151"/>
        <v>1</v>
      </c>
      <c r="I1204">
        <v>1203</v>
      </c>
      <c r="J1204">
        <f t="shared" si="146"/>
        <v>0.96265197471614938</v>
      </c>
      <c r="K1204">
        <f t="shared" si="147"/>
        <v>-0.27074189844776153</v>
      </c>
      <c r="L1204">
        <f>VLOOKUP(D1204,[1]SOI!$A$1:$C$142,3)</f>
        <v>-6.8</v>
      </c>
      <c r="M1204" s="2">
        <f t="shared" si="148"/>
        <v>1158.0703255835276</v>
      </c>
      <c r="N1204">
        <f t="shared" si="149"/>
        <v>-325.7025038326571</v>
      </c>
      <c r="O1204" t="s">
        <v>8</v>
      </c>
    </row>
    <row r="1205" spans="1:15" x14ac:dyDescent="0.35">
      <c r="A1205">
        <v>2003</v>
      </c>
      <c r="B1205">
        <v>4</v>
      </c>
      <c r="C1205">
        <v>18</v>
      </c>
      <c r="D1205" s="1">
        <f t="shared" si="144"/>
        <v>37729</v>
      </c>
      <c r="E1205">
        <v>0</v>
      </c>
      <c r="F1205">
        <f t="shared" si="150"/>
        <v>0</v>
      </c>
      <c r="G1205">
        <f t="shared" si="145"/>
        <v>0</v>
      </c>
      <c r="H1205">
        <f t="shared" si="151"/>
        <v>0</v>
      </c>
      <c r="I1205">
        <v>1204</v>
      </c>
      <c r="J1205">
        <f t="shared" si="146"/>
        <v>0.95785235542766711</v>
      </c>
      <c r="K1205">
        <f t="shared" si="147"/>
        <v>-0.28726097055059541</v>
      </c>
      <c r="L1205">
        <f>VLOOKUP(D1205,[1]SOI!$A$1:$C$142,3)</f>
        <v>-6.8</v>
      </c>
      <c r="M1205" s="2">
        <f t="shared" si="148"/>
        <v>1153.2542359349111</v>
      </c>
      <c r="N1205">
        <f t="shared" si="149"/>
        <v>-345.86220854291685</v>
      </c>
      <c r="O1205" t="s">
        <v>8</v>
      </c>
    </row>
    <row r="1206" spans="1:15" x14ac:dyDescent="0.35">
      <c r="A1206">
        <v>2003</v>
      </c>
      <c r="B1206">
        <v>4</v>
      </c>
      <c r="C1206">
        <v>19</v>
      </c>
      <c r="D1206" s="1">
        <f t="shared" si="144"/>
        <v>37730</v>
      </c>
      <c r="E1206">
        <v>0</v>
      </c>
      <c r="F1206">
        <f t="shared" si="150"/>
        <v>0</v>
      </c>
      <c r="G1206">
        <f t="shared" si="145"/>
        <v>0</v>
      </c>
      <c r="H1206">
        <f t="shared" si="151"/>
        <v>0</v>
      </c>
      <c r="I1206">
        <v>1205</v>
      </c>
      <c r="J1206">
        <f t="shared" si="146"/>
        <v>0.95276929221685225</v>
      </c>
      <c r="K1206">
        <f t="shared" si="147"/>
        <v>-0.30369503751065535</v>
      </c>
      <c r="L1206">
        <f>VLOOKUP(D1206,[1]SOI!$A$1:$C$142,3)</f>
        <v>-6.8</v>
      </c>
      <c r="M1206" s="2">
        <f t="shared" si="148"/>
        <v>1148.0869971213069</v>
      </c>
      <c r="N1206">
        <f t="shared" si="149"/>
        <v>-365.95252020033968</v>
      </c>
      <c r="O1206" t="s">
        <v>8</v>
      </c>
    </row>
    <row r="1207" spans="1:15" x14ac:dyDescent="0.35">
      <c r="A1207">
        <v>2003</v>
      </c>
      <c r="B1207">
        <v>4</v>
      </c>
      <c r="C1207">
        <v>20</v>
      </c>
      <c r="D1207" s="1">
        <f t="shared" si="144"/>
        <v>37731</v>
      </c>
      <c r="E1207">
        <v>0</v>
      </c>
      <c r="F1207">
        <f t="shared" si="150"/>
        <v>0</v>
      </c>
      <c r="G1207">
        <f t="shared" si="145"/>
        <v>0</v>
      </c>
      <c r="H1207">
        <f t="shared" si="151"/>
        <v>0</v>
      </c>
      <c r="I1207">
        <v>1206</v>
      </c>
      <c r="J1207">
        <f t="shared" si="146"/>
        <v>0.94740428924388431</v>
      </c>
      <c r="K1207">
        <f t="shared" si="147"/>
        <v>-0.32003923622313935</v>
      </c>
      <c r="L1207">
        <f>VLOOKUP(D1207,[1]SOI!$A$1:$C$142,3)</f>
        <v>-6.8</v>
      </c>
      <c r="M1207" s="2">
        <f t="shared" si="148"/>
        <v>1142.5695728281246</v>
      </c>
      <c r="N1207">
        <f t="shared" si="149"/>
        <v>-385.96731888510607</v>
      </c>
      <c r="O1207" t="s">
        <v>8</v>
      </c>
    </row>
    <row r="1208" spans="1:15" x14ac:dyDescent="0.35">
      <c r="A1208">
        <v>2003</v>
      </c>
      <c r="B1208">
        <v>4</v>
      </c>
      <c r="C1208">
        <v>21</v>
      </c>
      <c r="D1208" s="1">
        <f t="shared" si="144"/>
        <v>37732</v>
      </c>
      <c r="E1208">
        <v>0</v>
      </c>
      <c r="F1208">
        <f t="shared" si="150"/>
        <v>0</v>
      </c>
      <c r="G1208">
        <f t="shared" si="145"/>
        <v>0</v>
      </c>
      <c r="H1208">
        <f t="shared" si="151"/>
        <v>0</v>
      </c>
      <c r="I1208">
        <v>1207</v>
      </c>
      <c r="J1208">
        <f t="shared" si="146"/>
        <v>0.94175893409946199</v>
      </c>
      <c r="K1208">
        <f t="shared" si="147"/>
        <v>-0.33628873017668193</v>
      </c>
      <c r="L1208">
        <f>VLOOKUP(D1208,[1]SOI!$A$1:$C$142,3)</f>
        <v>-6.8</v>
      </c>
      <c r="M1208" s="2">
        <f t="shared" si="148"/>
        <v>1136.7030334580506</v>
      </c>
      <c r="N1208">
        <f t="shared" si="149"/>
        <v>-405.90049732325508</v>
      </c>
      <c r="O1208" t="s">
        <v>8</v>
      </c>
    </row>
    <row r="1209" spans="1:15" x14ac:dyDescent="0.35">
      <c r="A1209">
        <v>2003</v>
      </c>
      <c r="B1209">
        <v>4</v>
      </c>
      <c r="C1209">
        <v>22</v>
      </c>
      <c r="D1209" s="1">
        <f t="shared" si="144"/>
        <v>37733</v>
      </c>
      <c r="E1209">
        <v>0</v>
      </c>
      <c r="F1209">
        <f t="shared" si="150"/>
        <v>0</v>
      </c>
      <c r="G1209">
        <f t="shared" si="145"/>
        <v>0</v>
      </c>
      <c r="H1209">
        <f t="shared" si="151"/>
        <v>0</v>
      </c>
      <c r="I1209">
        <v>1208</v>
      </c>
      <c r="J1209">
        <f t="shared" si="146"/>
        <v>0.93583489733499414</v>
      </c>
      <c r="K1209">
        <f t="shared" si="147"/>
        <v>-0.35243871088460321</v>
      </c>
      <c r="L1209">
        <f>VLOOKUP(D1209,[1]SOI!$A$1:$C$142,3)</f>
        <v>-6.8</v>
      </c>
      <c r="M1209" s="2">
        <f t="shared" si="148"/>
        <v>1130.488555980673</v>
      </c>
      <c r="N1209">
        <f t="shared" si="149"/>
        <v>-425.74596274860068</v>
      </c>
      <c r="O1209" t="s">
        <v>8</v>
      </c>
    </row>
    <row r="1210" spans="1:15" x14ac:dyDescent="0.35">
      <c r="A1210">
        <v>2003</v>
      </c>
      <c r="B1210">
        <v>4</v>
      </c>
      <c r="C1210">
        <v>23</v>
      </c>
      <c r="D1210" s="1">
        <f t="shared" si="144"/>
        <v>37734</v>
      </c>
      <c r="E1210">
        <v>0</v>
      </c>
      <c r="F1210">
        <f t="shared" si="150"/>
        <v>0</v>
      </c>
      <c r="G1210">
        <f t="shared" si="145"/>
        <v>0</v>
      </c>
      <c r="H1210">
        <f t="shared" si="151"/>
        <v>0</v>
      </c>
      <c r="I1210">
        <v>1209</v>
      </c>
      <c r="J1210">
        <f t="shared" si="146"/>
        <v>0.92963393196826916</v>
      </c>
      <c r="K1210">
        <f t="shared" si="147"/>
        <v>-0.36848439930778004</v>
      </c>
      <c r="L1210">
        <f>VLOOKUP(D1210,[1]SOI!$A$1:$C$142,3)</f>
        <v>-6.8</v>
      </c>
      <c r="M1210" s="2">
        <f t="shared" si="148"/>
        <v>1123.9274237496375</v>
      </c>
      <c r="N1210">
        <f t="shared" si="149"/>
        <v>-445.49763876310607</v>
      </c>
      <c r="O1210" t="s">
        <v>8</v>
      </c>
    </row>
    <row r="1211" spans="1:15" x14ac:dyDescent="0.35">
      <c r="A1211">
        <v>2003</v>
      </c>
      <c r="B1211">
        <v>4</v>
      </c>
      <c r="C1211">
        <v>24</v>
      </c>
      <c r="D1211" s="1">
        <f t="shared" si="144"/>
        <v>37735</v>
      </c>
      <c r="E1211">
        <v>0.4</v>
      </c>
      <c r="F1211">
        <f t="shared" si="150"/>
        <v>0</v>
      </c>
      <c r="G1211">
        <f t="shared" si="145"/>
        <v>1</v>
      </c>
      <c r="H1211">
        <f t="shared" si="151"/>
        <v>0</v>
      </c>
      <c r="I1211">
        <v>1210</v>
      </c>
      <c r="J1211">
        <f t="shared" si="146"/>
        <v>0.92315787296470431</v>
      </c>
      <c r="K1211">
        <f t="shared" si="147"/>
        <v>-0.38442104726885457</v>
      </c>
      <c r="L1211">
        <f>VLOOKUP(D1211,[1]SOI!$A$1:$C$142,3)</f>
        <v>-6.8</v>
      </c>
      <c r="M1211" s="2">
        <f t="shared" si="148"/>
        <v>1117.0210262872922</v>
      </c>
      <c r="N1211">
        <f t="shared" si="149"/>
        <v>-465.149467195314</v>
      </c>
      <c r="O1211" t="s">
        <v>8</v>
      </c>
    </row>
    <row r="1212" spans="1:15" x14ac:dyDescent="0.35">
      <c r="A1212">
        <v>2003</v>
      </c>
      <c r="B1212">
        <v>4</v>
      </c>
      <c r="C1212">
        <v>25</v>
      </c>
      <c r="D1212" s="1">
        <f t="shared" si="144"/>
        <v>37736</v>
      </c>
      <c r="E1212">
        <v>0.4</v>
      </c>
      <c r="F1212">
        <f t="shared" si="150"/>
        <v>0.4</v>
      </c>
      <c r="G1212">
        <f t="shared" si="145"/>
        <v>1</v>
      </c>
      <c r="H1212">
        <f t="shared" si="151"/>
        <v>1</v>
      </c>
      <c r="I1212">
        <v>1211</v>
      </c>
      <c r="J1212">
        <f t="shared" si="146"/>
        <v>0.9164086366943458</v>
      </c>
      <c r="K1212">
        <f t="shared" si="147"/>
        <v>-0.40024393885730553</v>
      </c>
      <c r="L1212">
        <f>VLOOKUP(D1212,[1]SOI!$A$1:$C$142,3)</f>
        <v>-6.8</v>
      </c>
      <c r="M1212" s="2">
        <f t="shared" si="148"/>
        <v>1109.7708590368527</v>
      </c>
      <c r="N1212">
        <f t="shared" si="149"/>
        <v>-484.69540995619701</v>
      </c>
      <c r="O1212" t="s">
        <v>8</v>
      </c>
    </row>
    <row r="1213" spans="1:15" x14ac:dyDescent="0.35">
      <c r="A1213">
        <v>2003</v>
      </c>
      <c r="B1213">
        <v>4</v>
      </c>
      <c r="C1213">
        <v>26</v>
      </c>
      <c r="D1213" s="1">
        <f t="shared" si="144"/>
        <v>37737</v>
      </c>
      <c r="E1213">
        <v>0</v>
      </c>
      <c r="F1213">
        <f t="shared" si="150"/>
        <v>0.4</v>
      </c>
      <c r="G1213">
        <f t="shared" si="145"/>
        <v>0</v>
      </c>
      <c r="H1213">
        <f t="shared" si="151"/>
        <v>1</v>
      </c>
      <c r="I1213">
        <v>1212</v>
      </c>
      <c r="J1213">
        <f t="shared" si="146"/>
        <v>0.90938822036479361</v>
      </c>
      <c r="K1213">
        <f t="shared" si="147"/>
        <v>-0.41594839182493959</v>
      </c>
      <c r="L1213">
        <f>VLOOKUP(D1213,[1]SOI!$A$1:$C$142,3)</f>
        <v>-6.8</v>
      </c>
      <c r="M1213" s="2">
        <f t="shared" si="148"/>
        <v>1102.1785230821299</v>
      </c>
      <c r="N1213">
        <f t="shared" si="149"/>
        <v>-504.12945089182676</v>
      </c>
      <c r="O1213" t="s">
        <v>8</v>
      </c>
    </row>
    <row r="1214" spans="1:15" x14ac:dyDescent="0.35">
      <c r="A1214">
        <v>2003</v>
      </c>
      <c r="B1214">
        <v>4</v>
      </c>
      <c r="C1214">
        <v>27</v>
      </c>
      <c r="D1214" s="1">
        <f t="shared" si="144"/>
        <v>37738</v>
      </c>
      <c r="E1214">
        <v>0</v>
      </c>
      <c r="F1214">
        <f t="shared" si="150"/>
        <v>0</v>
      </c>
      <c r="G1214">
        <f t="shared" si="145"/>
        <v>0</v>
      </c>
      <c r="H1214">
        <f t="shared" si="151"/>
        <v>0</v>
      </c>
      <c r="I1214">
        <v>1213</v>
      </c>
      <c r="J1214">
        <f t="shared" si="146"/>
        <v>0.90209870143018456</v>
      </c>
      <c r="K1214">
        <f t="shared" si="147"/>
        <v>-0.43152975897146978</v>
      </c>
      <c r="L1214">
        <f>VLOOKUP(D1214,[1]SOI!$A$1:$C$142,3)</f>
        <v>-6.8</v>
      </c>
      <c r="M1214" s="2">
        <f t="shared" si="148"/>
        <v>1094.2457248348139</v>
      </c>
      <c r="N1214">
        <f t="shared" si="149"/>
        <v>-523.44559763239283</v>
      </c>
      <c r="O1214" t="s">
        <v>8</v>
      </c>
    </row>
    <row r="1215" spans="1:15" x14ac:dyDescent="0.35">
      <c r="A1215">
        <v>2003</v>
      </c>
      <c r="B1215">
        <v>4</v>
      </c>
      <c r="C1215">
        <v>28</v>
      </c>
      <c r="D1215" s="1">
        <f t="shared" si="144"/>
        <v>37739</v>
      </c>
      <c r="E1215">
        <v>8.6</v>
      </c>
      <c r="F1215">
        <f t="shared" si="150"/>
        <v>0</v>
      </c>
      <c r="G1215">
        <f t="shared" si="145"/>
        <v>1</v>
      </c>
      <c r="H1215">
        <f t="shared" si="151"/>
        <v>0</v>
      </c>
      <c r="I1215">
        <v>1214</v>
      </c>
      <c r="J1215">
        <f t="shared" si="146"/>
        <v>0.89454223697644963</v>
      </c>
      <c r="K1215">
        <f t="shared" si="147"/>
        <v>-0.44698342951967407</v>
      </c>
      <c r="L1215">
        <f>VLOOKUP(D1215,[1]SOI!$A$1:$C$142,3)</f>
        <v>-6.8</v>
      </c>
      <c r="M1215" s="2">
        <f t="shared" si="148"/>
        <v>1085.9742756894098</v>
      </c>
      <c r="N1215">
        <f t="shared" si="149"/>
        <v>-542.63788343688429</v>
      </c>
      <c r="O1215" t="s">
        <v>8</v>
      </c>
    </row>
    <row r="1216" spans="1:15" x14ac:dyDescent="0.35">
      <c r="A1216">
        <v>2003</v>
      </c>
      <c r="B1216">
        <v>4</v>
      </c>
      <c r="C1216">
        <v>29</v>
      </c>
      <c r="D1216" s="1">
        <f t="shared" si="144"/>
        <v>37740</v>
      </c>
      <c r="E1216">
        <v>0</v>
      </c>
      <c r="F1216">
        <f t="shared" si="150"/>
        <v>8.6</v>
      </c>
      <c r="G1216">
        <f t="shared" si="145"/>
        <v>0</v>
      </c>
      <c r="H1216">
        <f t="shared" si="151"/>
        <v>1</v>
      </c>
      <c r="I1216">
        <v>1215</v>
      </c>
      <c r="J1216">
        <f t="shared" si="146"/>
        <v>0.88672106308299437</v>
      </c>
      <c r="K1216">
        <f t="shared" si="147"/>
        <v>-0.46230483047980842</v>
      </c>
      <c r="L1216">
        <f>VLOOKUP(D1216,[1]SOI!$A$1:$C$142,3)</f>
        <v>-6.8</v>
      </c>
      <c r="M1216" s="2">
        <f t="shared" si="148"/>
        <v>1077.3660916458382</v>
      </c>
      <c r="N1216">
        <f t="shared" si="149"/>
        <v>-561.70036903296727</v>
      </c>
      <c r="O1216" t="s">
        <v>8</v>
      </c>
    </row>
    <row r="1217" spans="1:15" x14ac:dyDescent="0.35">
      <c r="A1217">
        <v>2003</v>
      </c>
      <c r="B1217">
        <v>4</v>
      </c>
      <c r="C1217">
        <v>30</v>
      </c>
      <c r="D1217" s="1">
        <f t="shared" si="144"/>
        <v>37741</v>
      </c>
      <c r="E1217">
        <v>0</v>
      </c>
      <c r="F1217">
        <f t="shared" si="150"/>
        <v>0</v>
      </c>
      <c r="G1217">
        <f t="shared" si="145"/>
        <v>0</v>
      </c>
      <c r="H1217">
        <f t="shared" si="151"/>
        <v>0</v>
      </c>
      <c r="I1217">
        <v>1216</v>
      </c>
      <c r="J1217">
        <f t="shared" si="146"/>
        <v>0.87863749416100101</v>
      </c>
      <c r="K1217">
        <f t="shared" si="147"/>
        <v>-0.47748942800283745</v>
      </c>
      <c r="L1217">
        <f>VLOOKUP(D1217,[1]SOI!$A$1:$C$142,3)</f>
        <v>-6.8</v>
      </c>
      <c r="M1217" s="2">
        <f t="shared" si="148"/>
        <v>1068.4231928997772</v>
      </c>
      <c r="N1217">
        <f t="shared" si="149"/>
        <v>-580.62714445145036</v>
      </c>
      <c r="O1217" t="s">
        <v>8</v>
      </c>
    </row>
    <row r="1218" spans="1:15" x14ac:dyDescent="0.35">
      <c r="A1218">
        <v>2003</v>
      </c>
      <c r="B1218">
        <v>5</v>
      </c>
      <c r="C1218">
        <v>1</v>
      </c>
      <c r="D1218" s="1">
        <f t="shared" si="144"/>
        <v>37742</v>
      </c>
      <c r="E1218">
        <v>0.6</v>
      </c>
      <c r="F1218">
        <f t="shared" si="150"/>
        <v>0</v>
      </c>
      <c r="G1218">
        <f t="shared" si="145"/>
        <v>1</v>
      </c>
      <c r="H1218">
        <f t="shared" si="151"/>
        <v>0</v>
      </c>
      <c r="I1218">
        <v>1217</v>
      </c>
      <c r="J1218">
        <f t="shared" si="146"/>
        <v>0.8702939222685675</v>
      </c>
      <c r="K1218">
        <f t="shared" si="147"/>
        <v>-0.49253272872205422</v>
      </c>
      <c r="L1218">
        <f>VLOOKUP(D1218,[1]SOI!$A$1:$C$142,3)</f>
        <v>-5.5</v>
      </c>
      <c r="M1218" s="2">
        <f t="shared" si="148"/>
        <v>1059.1477034008467</v>
      </c>
      <c r="N1218">
        <f t="shared" si="149"/>
        <v>-599.41233085474005</v>
      </c>
      <c r="O1218" t="s">
        <v>8</v>
      </c>
    </row>
    <row r="1219" spans="1:15" x14ac:dyDescent="0.35">
      <c r="A1219">
        <v>2003</v>
      </c>
      <c r="B1219">
        <v>5</v>
      </c>
      <c r="C1219">
        <v>2</v>
      </c>
      <c r="D1219" s="1">
        <f t="shared" ref="D1219:D1282" si="152">DATE(A1219,B1219,C1219)</f>
        <v>37743</v>
      </c>
      <c r="E1219">
        <v>0</v>
      </c>
      <c r="F1219">
        <f t="shared" si="150"/>
        <v>0.6</v>
      </c>
      <c r="G1219">
        <f t="shared" ref="G1219:G1282" si="153">IF(E1219=0,0,1)</f>
        <v>0</v>
      </c>
      <c r="H1219">
        <f t="shared" si="151"/>
        <v>1</v>
      </c>
      <c r="I1219">
        <v>1218</v>
      </c>
      <c r="J1219">
        <f t="shared" ref="J1219:J1282" si="154">SIN(2*PI()*I1219/365.25)</f>
        <v>0.86169281640285356</v>
      </c>
      <c r="K1219">
        <f t="shared" ref="K1219:K1282" si="155">COS(2*PI()*I1219/365.25)</f>
        <v>-0.50743028108274946</v>
      </c>
      <c r="L1219">
        <f>VLOOKUP(D1219,[1]SOI!$A$1:$C$142,3)</f>
        <v>-5.5</v>
      </c>
      <c r="M1219" s="2">
        <f t="shared" ref="M1219:M1282" si="156">I1219*J1219</f>
        <v>1049.5418503786757</v>
      </c>
      <c r="N1219">
        <f t="shared" ref="N1219:N1282" si="157">I1219*K1219</f>
        <v>-618.05008235878881</v>
      </c>
      <c r="O1219" t="s">
        <v>8</v>
      </c>
    </row>
    <row r="1220" spans="1:15" x14ac:dyDescent="0.35">
      <c r="A1220">
        <v>2003</v>
      </c>
      <c r="B1220">
        <v>5</v>
      </c>
      <c r="C1220">
        <v>3</v>
      </c>
      <c r="D1220" s="1">
        <f t="shared" si="152"/>
        <v>37744</v>
      </c>
      <c r="E1220">
        <v>0</v>
      </c>
      <c r="F1220">
        <f t="shared" ref="F1220:F1283" si="158">E1219</f>
        <v>0</v>
      </c>
      <c r="G1220">
        <f t="shared" si="153"/>
        <v>0</v>
      </c>
      <c r="H1220">
        <f t="shared" ref="H1220:H1283" si="159">G1219</f>
        <v>0</v>
      </c>
      <c r="I1220">
        <v>1219</v>
      </c>
      <c r="J1220">
        <f t="shared" si="154"/>
        <v>0.8528367217694599</v>
      </c>
      <c r="K1220">
        <f t="shared" si="155"/>
        <v>-0.5221776766595071</v>
      </c>
      <c r="L1220">
        <f>VLOOKUP(D1220,[1]SOI!$A$1:$C$142,3)</f>
        <v>-5.5</v>
      </c>
      <c r="M1220" s="2">
        <f t="shared" si="156"/>
        <v>1039.6079638369715</v>
      </c>
      <c r="N1220">
        <f t="shared" si="157"/>
        <v>-636.53458784793918</v>
      </c>
      <c r="O1220" t="s">
        <v>8</v>
      </c>
    </row>
    <row r="1221" spans="1:15" x14ac:dyDescent="0.35">
      <c r="A1221">
        <v>2003</v>
      </c>
      <c r="B1221">
        <v>5</v>
      </c>
      <c r="C1221">
        <v>4</v>
      </c>
      <c r="D1221" s="1">
        <f t="shared" si="152"/>
        <v>37745</v>
      </c>
      <c r="E1221">
        <v>0.6</v>
      </c>
      <c r="F1221">
        <f t="shared" si="158"/>
        <v>0</v>
      </c>
      <c r="G1221">
        <f t="shared" si="153"/>
        <v>1</v>
      </c>
      <c r="H1221">
        <f t="shared" si="159"/>
        <v>0</v>
      </c>
      <c r="I1221">
        <v>1220</v>
      </c>
      <c r="J1221">
        <f t="shared" si="154"/>
        <v>0.84372825902927118</v>
      </c>
      <c r="K1221">
        <f t="shared" si="155"/>
        <v>-0.53677055146071029</v>
      </c>
      <c r="L1221">
        <f>VLOOKUP(D1221,[1]SOI!$A$1:$C$142,3)</f>
        <v>-5.5</v>
      </c>
      <c r="M1221" s="2">
        <f t="shared" si="156"/>
        <v>1029.3484760157107</v>
      </c>
      <c r="N1221">
        <f t="shared" si="157"/>
        <v>-654.8600727820666</v>
      </c>
      <c r="O1221" t="s">
        <v>8</v>
      </c>
    </row>
    <row r="1222" spans="1:15" x14ac:dyDescent="0.35">
      <c r="A1222">
        <v>2003</v>
      </c>
      <c r="B1222">
        <v>5</v>
      </c>
      <c r="C1222">
        <v>5</v>
      </c>
      <c r="D1222" s="1">
        <f t="shared" si="152"/>
        <v>37746</v>
      </c>
      <c r="E1222">
        <v>0</v>
      </c>
      <c r="F1222">
        <f t="shared" si="158"/>
        <v>0.6</v>
      </c>
      <c r="G1222">
        <f t="shared" si="153"/>
        <v>0</v>
      </c>
      <c r="H1222">
        <f t="shared" si="159"/>
        <v>1</v>
      </c>
      <c r="I1222">
        <v>1221</v>
      </c>
      <c r="J1222">
        <f t="shared" si="154"/>
        <v>0.83437012352295337</v>
      </c>
      <c r="K1222">
        <f t="shared" si="155"/>
        <v>-0.55120458721992838</v>
      </c>
      <c r="L1222">
        <f>VLOOKUP(D1222,[1]SOI!$A$1:$C$142,3)</f>
        <v>-5.5</v>
      </c>
      <c r="M1222" s="2">
        <f t="shared" si="156"/>
        <v>1018.765920821526</v>
      </c>
      <c r="N1222">
        <f t="shared" si="157"/>
        <v>-673.02080099553257</v>
      </c>
      <c r="O1222" t="s">
        <v>8</v>
      </c>
    </row>
    <row r="1223" spans="1:15" x14ac:dyDescent="0.35">
      <c r="A1223">
        <v>2003</v>
      </c>
      <c r="B1223">
        <v>5</v>
      </c>
      <c r="C1223">
        <v>6</v>
      </c>
      <c r="D1223" s="1">
        <f t="shared" si="152"/>
        <v>37747</v>
      </c>
      <c r="E1223">
        <v>0</v>
      </c>
      <c r="F1223">
        <f t="shared" si="158"/>
        <v>0</v>
      </c>
      <c r="G1223">
        <f t="shared" si="153"/>
        <v>0</v>
      </c>
      <c r="H1223">
        <f t="shared" si="159"/>
        <v>0</v>
      </c>
      <c r="I1223">
        <v>1222</v>
      </c>
      <c r="J1223">
        <f t="shared" si="154"/>
        <v>0.8247650844733625</v>
      </c>
      <c r="K1223">
        <f t="shared" si="155"/>
        <v>-0.56547551267375606</v>
      </c>
      <c r="L1223">
        <f>VLOOKUP(D1223,[1]SOI!$A$1:$C$142,3)</f>
        <v>-5.5</v>
      </c>
      <c r="M1223" s="2">
        <f t="shared" si="156"/>
        <v>1007.8629332264489</v>
      </c>
      <c r="N1223">
        <f t="shared" si="157"/>
        <v>-691.01107648732989</v>
      </c>
      <c r="O1223" t="s">
        <v>8</v>
      </c>
    </row>
    <row r="1224" spans="1:15" x14ac:dyDescent="0.35">
      <c r="A1224">
        <v>2003</v>
      </c>
      <c r="B1224">
        <v>5</v>
      </c>
      <c r="C1224">
        <v>7</v>
      </c>
      <c r="D1224" s="1">
        <f t="shared" si="152"/>
        <v>37748</v>
      </c>
      <c r="E1224">
        <v>0</v>
      </c>
      <c r="F1224">
        <f t="shared" si="158"/>
        <v>0</v>
      </c>
      <c r="G1224">
        <f t="shared" si="153"/>
        <v>0</v>
      </c>
      <c r="H1224">
        <f t="shared" si="159"/>
        <v>0</v>
      </c>
      <c r="I1224">
        <v>1223</v>
      </c>
      <c r="J1224">
        <f t="shared" si="154"/>
        <v>0.81491598416607969</v>
      </c>
      <c r="K1224">
        <f t="shared" si="155"/>
        <v>-0.57957910482576036</v>
      </c>
      <c r="L1224">
        <f>VLOOKUP(D1224,[1]SOI!$A$1:$C$142,3)</f>
        <v>-5.5</v>
      </c>
      <c r="M1224" s="2">
        <f t="shared" si="156"/>
        <v>996.64224863511549</v>
      </c>
      <c r="N1224">
        <f t="shared" si="157"/>
        <v>-708.82524520190498</v>
      </c>
      <c r="O1224" t="s">
        <v>8</v>
      </c>
    </row>
    <row r="1225" spans="1:15" x14ac:dyDescent="0.35">
      <c r="A1225">
        <v>2003</v>
      </c>
      <c r="B1225">
        <v>5</v>
      </c>
      <c r="C1225">
        <v>8</v>
      </c>
      <c r="D1225" s="1">
        <f t="shared" si="152"/>
        <v>37749</v>
      </c>
      <c r="E1225">
        <v>0</v>
      </c>
      <c r="F1225">
        <f t="shared" si="158"/>
        <v>0</v>
      </c>
      <c r="G1225">
        <f t="shared" si="153"/>
        <v>0</v>
      </c>
      <c r="H1225">
        <f t="shared" si="159"/>
        <v>0</v>
      </c>
      <c r="I1225">
        <v>1224</v>
      </c>
      <c r="J1225">
        <f t="shared" si="154"/>
        <v>0.80482573710834471</v>
      </c>
      <c r="K1225">
        <f t="shared" si="155"/>
        <v>-0.59351119019611565</v>
      </c>
      <c r="L1225">
        <f>VLOOKUP(D1225,[1]SOI!$A$1:$C$142,3)</f>
        <v>-5.5</v>
      </c>
      <c r="M1225" s="2">
        <f t="shared" si="156"/>
        <v>985.1067022206139</v>
      </c>
      <c r="N1225">
        <f t="shared" si="157"/>
        <v>-726.4576968000456</v>
      </c>
      <c r="O1225" t="s">
        <v>8</v>
      </c>
    </row>
    <row r="1226" spans="1:15" x14ac:dyDescent="0.35">
      <c r="A1226">
        <v>2003</v>
      </c>
      <c r="B1226">
        <v>5</v>
      </c>
      <c r="C1226">
        <v>9</v>
      </c>
      <c r="D1226" s="1">
        <f t="shared" si="152"/>
        <v>37750</v>
      </c>
      <c r="E1226">
        <v>1.4</v>
      </c>
      <c r="F1226">
        <f t="shared" si="158"/>
        <v>0</v>
      </c>
      <c r="G1226">
        <f t="shared" si="153"/>
        <v>1</v>
      </c>
      <c r="H1226">
        <f t="shared" si="159"/>
        <v>0</v>
      </c>
      <c r="I1226">
        <v>1225</v>
      </c>
      <c r="J1226">
        <f t="shared" si="154"/>
        <v>0.79449732916660043</v>
      </c>
      <c r="K1226">
        <f t="shared" si="155"/>
        <v>-0.60726764605661199</v>
      </c>
      <c r="L1226">
        <f>VLOOKUP(D1226,[1]SOI!$A$1:$C$142,3)</f>
        <v>-5.5</v>
      </c>
      <c r="M1226" s="2">
        <f t="shared" si="156"/>
        <v>973.25922822908558</v>
      </c>
      <c r="N1226">
        <f t="shared" si="157"/>
        <v>-743.90286641934972</v>
      </c>
      <c r="O1226" t="s">
        <v>8</v>
      </c>
    </row>
    <row r="1227" spans="1:15" x14ac:dyDescent="0.35">
      <c r="A1227">
        <v>2003</v>
      </c>
      <c r="B1227">
        <v>5</v>
      </c>
      <c r="C1227">
        <v>10</v>
      </c>
      <c r="D1227" s="1">
        <f t="shared" si="152"/>
        <v>37751</v>
      </c>
      <c r="E1227">
        <v>0.8</v>
      </c>
      <c r="F1227">
        <f t="shared" si="158"/>
        <v>1.4</v>
      </c>
      <c r="G1227">
        <f t="shared" si="153"/>
        <v>1</v>
      </c>
      <c r="H1227">
        <f t="shared" si="159"/>
        <v>1</v>
      </c>
      <c r="I1227">
        <v>1226</v>
      </c>
      <c r="J1227">
        <f t="shared" si="154"/>
        <v>0.78393381668292073</v>
      </c>
      <c r="K1227">
        <f t="shared" si="155"/>
        <v>-0.62084440165064625</v>
      </c>
      <c r="L1227">
        <f>VLOOKUP(D1227,[1]SOI!$A$1:$C$142,3)</f>
        <v>-5.5</v>
      </c>
      <c r="M1227" s="2">
        <f t="shared" si="156"/>
        <v>961.10285925326082</v>
      </c>
      <c r="N1227">
        <f t="shared" si="157"/>
        <v>-761.15523642369226</v>
      </c>
      <c r="O1227" t="s">
        <v>8</v>
      </c>
    </row>
    <row r="1228" spans="1:15" x14ac:dyDescent="0.35">
      <c r="A1228">
        <v>2003</v>
      </c>
      <c r="B1228">
        <v>5</v>
      </c>
      <c r="C1228">
        <v>11</v>
      </c>
      <c r="D1228" s="1">
        <f t="shared" si="152"/>
        <v>37752</v>
      </c>
      <c r="E1228">
        <v>0</v>
      </c>
      <c r="F1228">
        <f t="shared" si="158"/>
        <v>0.8</v>
      </c>
      <c r="G1228">
        <f t="shared" si="153"/>
        <v>0</v>
      </c>
      <c r="H1228">
        <f t="shared" si="159"/>
        <v>1</v>
      </c>
      <c r="I1228">
        <v>1227</v>
      </c>
      <c r="J1228">
        <f t="shared" si="154"/>
        <v>0.77313832557060214</v>
      </c>
      <c r="K1228">
        <f t="shared" si="155"/>
        <v>-0.63423743939780597</v>
      </c>
      <c r="L1228">
        <f>VLOOKUP(D1228,[1]SOI!$A$1:$C$142,3)</f>
        <v>-5.5</v>
      </c>
      <c r="M1228" s="2">
        <f t="shared" si="156"/>
        <v>948.64072547512887</v>
      </c>
      <c r="N1228">
        <f t="shared" si="157"/>
        <v>-778.20933814110788</v>
      </c>
      <c r="O1228" t="s">
        <v>8</v>
      </c>
    </row>
    <row r="1229" spans="1:15" x14ac:dyDescent="0.35">
      <c r="A1229">
        <v>2003</v>
      </c>
      <c r="B1229">
        <v>5</v>
      </c>
      <c r="C1229">
        <v>12</v>
      </c>
      <c r="D1229" s="1">
        <f t="shared" si="152"/>
        <v>37753</v>
      </c>
      <c r="E1229">
        <v>0</v>
      </c>
      <c r="F1229">
        <f t="shared" si="158"/>
        <v>0</v>
      </c>
      <c r="G1229">
        <f t="shared" si="153"/>
        <v>0</v>
      </c>
      <c r="H1229">
        <f t="shared" si="159"/>
        <v>0</v>
      </c>
      <c r="I1229">
        <v>1228</v>
      </c>
      <c r="J1229">
        <f t="shared" si="154"/>
        <v>0.76211405038914992</v>
      </c>
      <c r="K1229">
        <f t="shared" si="155"/>
        <v>-0.64744279608274602</v>
      </c>
      <c r="L1229">
        <f>VLOOKUP(D1229,[1]SOI!$A$1:$C$142,3)</f>
        <v>-5.5</v>
      </c>
      <c r="M1229" s="2">
        <f t="shared" si="156"/>
        <v>935.87605387787607</v>
      </c>
      <c r="N1229">
        <f t="shared" si="157"/>
        <v>-795.05975358961211</v>
      </c>
      <c r="O1229" t="s">
        <v>8</v>
      </c>
    </row>
    <row r="1230" spans="1:15" x14ac:dyDescent="0.35">
      <c r="A1230">
        <v>2003</v>
      </c>
      <c r="B1230">
        <v>5</v>
      </c>
      <c r="C1230">
        <v>13</v>
      </c>
      <c r="D1230" s="1">
        <f t="shared" si="152"/>
        <v>37754</v>
      </c>
      <c r="E1230">
        <v>0</v>
      </c>
      <c r="F1230">
        <f t="shared" si="158"/>
        <v>0</v>
      </c>
      <c r="G1230">
        <f t="shared" si="153"/>
        <v>0</v>
      </c>
      <c r="H1230">
        <f t="shared" si="159"/>
        <v>0</v>
      </c>
      <c r="I1230">
        <v>1229</v>
      </c>
      <c r="J1230">
        <f t="shared" si="154"/>
        <v>0.75086425339894924</v>
      </c>
      <c r="K1230">
        <f t="shared" si="155"/>
        <v>-0.66045656402797492</v>
      </c>
      <c r="L1230">
        <f>VLOOKUP(D1230,[1]SOI!$A$1:$C$142,3)</f>
        <v>-5.5</v>
      </c>
      <c r="M1230" s="2">
        <f t="shared" si="156"/>
        <v>922.81216742730862</v>
      </c>
      <c r="N1230">
        <f t="shared" si="157"/>
        <v>-811.70111719038118</v>
      </c>
      <c r="O1230" t="s">
        <v>8</v>
      </c>
    </row>
    <row r="1231" spans="1:15" x14ac:dyDescent="0.35">
      <c r="A1231">
        <v>2003</v>
      </c>
      <c r="B1231">
        <v>5</v>
      </c>
      <c r="C1231">
        <v>14</v>
      </c>
      <c r="D1231" s="1">
        <f t="shared" si="152"/>
        <v>37755</v>
      </c>
      <c r="E1231">
        <v>0</v>
      </c>
      <c r="F1231">
        <f t="shared" si="158"/>
        <v>0</v>
      </c>
      <c r="G1231">
        <f t="shared" si="153"/>
        <v>0</v>
      </c>
      <c r="H1231">
        <f t="shared" si="159"/>
        <v>0</v>
      </c>
      <c r="I1231">
        <v>1230</v>
      </c>
      <c r="J1231">
        <f t="shared" si="154"/>
        <v>0.73939226359592591</v>
      </c>
      <c r="K1231">
        <f t="shared" si="155"/>
        <v>-0.67327489225018089</v>
      </c>
      <c r="L1231">
        <f>VLOOKUP(D1231,[1]SOI!$A$1:$C$142,3)</f>
        <v>-5.5</v>
      </c>
      <c r="M1231" s="2">
        <f t="shared" si="156"/>
        <v>909.45248422298891</v>
      </c>
      <c r="N1231">
        <f t="shared" si="157"/>
        <v>-828.12811746772252</v>
      </c>
      <c r="O1231" t="s">
        <v>8</v>
      </c>
    </row>
    <row r="1232" spans="1:15" x14ac:dyDescent="0.35">
      <c r="A1232">
        <v>2003</v>
      </c>
      <c r="B1232">
        <v>5</v>
      </c>
      <c r="C1232">
        <v>15</v>
      </c>
      <c r="D1232" s="1">
        <f t="shared" si="152"/>
        <v>37756</v>
      </c>
      <c r="E1232">
        <v>2.8</v>
      </c>
      <c r="F1232">
        <f t="shared" si="158"/>
        <v>0</v>
      </c>
      <c r="G1232">
        <f t="shared" si="153"/>
        <v>1</v>
      </c>
      <c r="H1232">
        <f t="shared" si="159"/>
        <v>0</v>
      </c>
      <c r="I1232">
        <v>1231</v>
      </c>
      <c r="J1232">
        <f t="shared" si="154"/>
        <v>0.72770147572642219</v>
      </c>
      <c r="K1232">
        <f t="shared" si="155"/>
        <v>-0.6858939875998239</v>
      </c>
      <c r="L1232">
        <f>VLOOKUP(D1232,[1]SOI!$A$1:$C$142,3)</f>
        <v>-5.5</v>
      </c>
      <c r="M1232" s="2">
        <f t="shared" si="156"/>
        <v>895.80051661922573</v>
      </c>
      <c r="N1232">
        <f t="shared" si="157"/>
        <v>-844.33549873538323</v>
      </c>
      <c r="O1232" t="s">
        <v>8</v>
      </c>
    </row>
    <row r="1233" spans="1:15" x14ac:dyDescent="0.35">
      <c r="A1233">
        <v>2003</v>
      </c>
      <c r="B1233">
        <v>5</v>
      </c>
      <c r="C1233">
        <v>16</v>
      </c>
      <c r="D1233" s="1">
        <f t="shared" si="152"/>
        <v>37757</v>
      </c>
      <c r="E1233">
        <v>1.4</v>
      </c>
      <c r="F1233">
        <f t="shared" si="158"/>
        <v>2.8</v>
      </c>
      <c r="G1233">
        <f t="shared" si="153"/>
        <v>1</v>
      </c>
      <c r="H1233">
        <f t="shared" si="159"/>
        <v>1</v>
      </c>
      <c r="I1233">
        <v>1232</v>
      </c>
      <c r="J1233">
        <f t="shared" si="154"/>
        <v>0.71579534928266486</v>
      </c>
      <c r="K1233">
        <f t="shared" si="155"/>
        <v>-0.69831011588355774</v>
      </c>
      <c r="L1233">
        <f>VLOOKUP(D1233,[1]SOI!$A$1:$C$142,3)</f>
        <v>-5.5</v>
      </c>
      <c r="M1233" s="2">
        <f t="shared" si="156"/>
        <v>881.85987031624313</v>
      </c>
      <c r="N1233">
        <f t="shared" si="157"/>
        <v>-860.31806276854309</v>
      </c>
      <c r="O1233" t="s">
        <v>8</v>
      </c>
    </row>
    <row r="1234" spans="1:15" x14ac:dyDescent="0.35">
      <c r="A1234">
        <v>2003</v>
      </c>
      <c r="B1234">
        <v>5</v>
      </c>
      <c r="C1234">
        <v>17</v>
      </c>
      <c r="D1234" s="1">
        <f t="shared" si="152"/>
        <v>37758</v>
      </c>
      <c r="E1234">
        <v>0</v>
      </c>
      <c r="F1234">
        <f t="shared" si="158"/>
        <v>1.4</v>
      </c>
      <c r="G1234">
        <f t="shared" si="153"/>
        <v>0</v>
      </c>
      <c r="H1234">
        <f t="shared" si="159"/>
        <v>1</v>
      </c>
      <c r="I1234">
        <v>1233</v>
      </c>
      <c r="J1234">
        <f t="shared" si="154"/>
        <v>0.70367740747901497</v>
      </c>
      <c r="K1234">
        <f t="shared" si="155"/>
        <v>-0.71051960296927219</v>
      </c>
      <c r="L1234">
        <f>VLOOKUP(D1234,[1]SOI!$A$1:$C$142,3)</f>
        <v>-5.5</v>
      </c>
      <c r="M1234" s="2">
        <f t="shared" si="156"/>
        <v>867.63424342162546</v>
      </c>
      <c r="N1234">
        <f t="shared" si="157"/>
        <v>-876.07067046111263</v>
      </c>
      <c r="O1234" t="s">
        <v>8</v>
      </c>
    </row>
    <row r="1235" spans="1:15" x14ac:dyDescent="0.35">
      <c r="A1235">
        <v>2003</v>
      </c>
      <c r="B1235">
        <v>5</v>
      </c>
      <c r="C1235">
        <v>18</v>
      </c>
      <c r="D1235" s="1">
        <f t="shared" si="152"/>
        <v>37759</v>
      </c>
      <c r="E1235">
        <v>3.6</v>
      </c>
      <c r="F1235">
        <f t="shared" si="158"/>
        <v>0</v>
      </c>
      <c r="G1235">
        <f t="shared" si="153"/>
        <v>1</v>
      </c>
      <c r="H1235">
        <f t="shared" si="159"/>
        <v>0</v>
      </c>
      <c r="I1235">
        <v>1234</v>
      </c>
      <c r="J1235">
        <f t="shared" si="154"/>
        <v>0.69135123620940875</v>
      </c>
      <c r="K1235">
        <f t="shared" si="155"/>
        <v>-0.72251883587330945</v>
      </c>
      <c r="L1235">
        <f>VLOOKUP(D1235,[1]SOI!$A$1:$C$142,3)</f>
        <v>-5.5</v>
      </c>
      <c r="M1235" s="2">
        <f t="shared" si="156"/>
        <v>853.12742548241044</v>
      </c>
      <c r="N1235">
        <f t="shared" si="157"/>
        <v>-891.58824346766391</v>
      </c>
      <c r="O1235" t="s">
        <v>8</v>
      </c>
    </row>
    <row r="1236" spans="1:15" x14ac:dyDescent="0.35">
      <c r="A1236">
        <v>2003</v>
      </c>
      <c r="B1236">
        <v>5</v>
      </c>
      <c r="C1236">
        <v>19</v>
      </c>
      <c r="D1236" s="1">
        <f t="shared" si="152"/>
        <v>37760</v>
      </c>
      <c r="E1236">
        <v>2.8</v>
      </c>
      <c r="F1236">
        <f t="shared" si="158"/>
        <v>3.6</v>
      </c>
      <c r="G1236">
        <f t="shared" si="153"/>
        <v>1</v>
      </c>
      <c r="H1236">
        <f t="shared" si="159"/>
        <v>1</v>
      </c>
      <c r="I1236">
        <v>1235</v>
      </c>
      <c r="J1236">
        <f t="shared" si="154"/>
        <v>0.67882048298623632</v>
      </c>
      <c r="K1236">
        <f t="shared" si="155"/>
        <v>-0.73430426382960134</v>
      </c>
      <c r="L1236">
        <f>VLOOKUP(D1236,[1]SOI!$A$1:$C$142,3)</f>
        <v>-5.5</v>
      </c>
      <c r="M1236" s="2">
        <f t="shared" si="156"/>
        <v>838.3432964880019</v>
      </c>
      <c r="N1236">
        <f t="shared" si="157"/>
        <v>-906.86576582955763</v>
      </c>
      <c r="O1236" t="s">
        <v>8</v>
      </c>
    </row>
    <row r="1237" spans="1:15" x14ac:dyDescent="0.35">
      <c r="A1237">
        <v>2003</v>
      </c>
      <c r="B1237">
        <v>5</v>
      </c>
      <c r="C1237">
        <v>20</v>
      </c>
      <c r="D1237" s="1">
        <f t="shared" si="152"/>
        <v>37761</v>
      </c>
      <c r="E1237">
        <v>3.2</v>
      </c>
      <c r="F1237">
        <f t="shared" si="158"/>
        <v>2.8</v>
      </c>
      <c r="G1237">
        <f t="shared" si="153"/>
        <v>1</v>
      </c>
      <c r="H1237">
        <f t="shared" si="159"/>
        <v>1</v>
      </c>
      <c r="I1237">
        <v>1236</v>
      </c>
      <c r="J1237">
        <f t="shared" si="154"/>
        <v>0.66608885586097677</v>
      </c>
      <c r="K1237">
        <f t="shared" si="155"/>
        <v>-0.7458723993404065</v>
      </c>
      <c r="L1237">
        <f>VLOOKUP(D1237,[1]SOI!$A$1:$C$142,3)</f>
        <v>-5.5</v>
      </c>
      <c r="M1237" s="2">
        <f t="shared" si="156"/>
        <v>823.28582584416733</v>
      </c>
      <c r="N1237">
        <f t="shared" si="157"/>
        <v>-921.89828558474244</v>
      </c>
      <c r="O1237" t="s">
        <v>8</v>
      </c>
    </row>
    <row r="1238" spans="1:15" x14ac:dyDescent="0.35">
      <c r="A1238">
        <v>2003</v>
      </c>
      <c r="B1238">
        <v>5</v>
      </c>
      <c r="C1238">
        <v>21</v>
      </c>
      <c r="D1238" s="1">
        <f t="shared" si="152"/>
        <v>37762</v>
      </c>
      <c r="E1238">
        <v>6.4</v>
      </c>
      <c r="F1238">
        <f t="shared" si="158"/>
        <v>3.2</v>
      </c>
      <c r="G1238">
        <f t="shared" si="153"/>
        <v>1</v>
      </c>
      <c r="H1238">
        <f t="shared" si="159"/>
        <v>1</v>
      </c>
      <c r="I1238">
        <v>1237</v>
      </c>
      <c r="J1238">
        <f t="shared" si="154"/>
        <v>0.65316012232693144</v>
      </c>
      <c r="K1238">
        <f t="shared" si="155"/>
        <v>-0.7572198192083115</v>
      </c>
      <c r="L1238">
        <f>VLOOKUP(D1238,[1]SOI!$A$1:$C$142,3)</f>
        <v>-5.5</v>
      </c>
      <c r="M1238" s="2">
        <f t="shared" si="156"/>
        <v>807.9590713184142</v>
      </c>
      <c r="N1238">
        <f t="shared" si="157"/>
        <v>-936.68091636068129</v>
      </c>
      <c r="O1238" t="s">
        <v>8</v>
      </c>
    </row>
    <row r="1239" spans="1:15" x14ac:dyDescent="0.35">
      <c r="A1239">
        <v>2003</v>
      </c>
      <c r="B1239">
        <v>5</v>
      </c>
      <c r="C1239">
        <v>22</v>
      </c>
      <c r="D1239" s="1">
        <f t="shared" si="152"/>
        <v>37763</v>
      </c>
      <c r="E1239">
        <v>0</v>
      </c>
      <c r="F1239">
        <f t="shared" si="158"/>
        <v>6.4</v>
      </c>
      <c r="G1239">
        <f t="shared" si="153"/>
        <v>0</v>
      </c>
      <c r="H1239">
        <f t="shared" si="159"/>
        <v>1</v>
      </c>
      <c r="I1239">
        <v>1238</v>
      </c>
      <c r="J1239">
        <f t="shared" si="154"/>
        <v>0.64003810820435092</v>
      </c>
      <c r="K1239">
        <f t="shared" si="155"/>
        <v>-0.76834316554921966</v>
      </c>
      <c r="L1239">
        <f>VLOOKUP(D1239,[1]SOI!$A$1:$C$142,3)</f>
        <v>-5.5</v>
      </c>
      <c r="M1239" s="2">
        <f t="shared" si="156"/>
        <v>792.36717795698644</v>
      </c>
      <c r="N1239">
        <f t="shared" si="157"/>
        <v>-951.20883894993392</v>
      </c>
      <c r="O1239" t="s">
        <v>8</v>
      </c>
    </row>
    <row r="1240" spans="1:15" x14ac:dyDescent="0.35">
      <c r="A1240">
        <v>2003</v>
      </c>
      <c r="B1240">
        <v>5</v>
      </c>
      <c r="C1240">
        <v>23</v>
      </c>
      <c r="D1240" s="1">
        <f t="shared" si="152"/>
        <v>37764</v>
      </c>
      <c r="E1240">
        <v>0</v>
      </c>
      <c r="F1240">
        <f t="shared" si="158"/>
        <v>0</v>
      </c>
      <c r="G1240">
        <f t="shared" si="153"/>
        <v>0</v>
      </c>
      <c r="H1240">
        <f t="shared" si="159"/>
        <v>0</v>
      </c>
      <c r="I1240">
        <v>1239</v>
      </c>
      <c r="J1240">
        <f t="shared" si="154"/>
        <v>0.62672669650832979</v>
      </c>
      <c r="K1240">
        <f t="shared" si="155"/>
        <v>-0.77923914678598882</v>
      </c>
      <c r="L1240">
        <f>VLOOKUP(D1240,[1]SOI!$A$1:$C$142,3)</f>
        <v>-5.5</v>
      </c>
      <c r="M1240" s="2">
        <f t="shared" si="156"/>
        <v>776.51437697382062</v>
      </c>
      <c r="N1240">
        <f t="shared" si="157"/>
        <v>-965.47730286784019</v>
      </c>
      <c r="O1240" t="s">
        <v>8</v>
      </c>
    </row>
    <row r="1241" spans="1:15" x14ac:dyDescent="0.35">
      <c r="A1241">
        <v>2003</v>
      </c>
      <c r="B1241">
        <v>5</v>
      </c>
      <c r="C1241">
        <v>24</v>
      </c>
      <c r="D1241" s="1">
        <f t="shared" si="152"/>
        <v>37765</v>
      </c>
      <c r="E1241">
        <v>0</v>
      </c>
      <c r="F1241">
        <f t="shared" si="158"/>
        <v>0</v>
      </c>
      <c r="G1241">
        <f t="shared" si="153"/>
        <v>0</v>
      </c>
      <c r="H1241">
        <f t="shared" si="159"/>
        <v>0</v>
      </c>
      <c r="I1241">
        <v>1240</v>
      </c>
      <c r="J1241">
        <f t="shared" si="154"/>
        <v>0.61322982629975165</v>
      </c>
      <c r="K1241">
        <f t="shared" si="155"/>
        <v>-0.78990453862246945</v>
      </c>
      <c r="L1241">
        <f>VLOOKUP(D1241,[1]SOI!$A$1:$C$142,3)</f>
        <v>-5.5</v>
      </c>
      <c r="M1241" s="2">
        <f t="shared" si="156"/>
        <v>760.40498461169204</v>
      </c>
      <c r="N1241">
        <f t="shared" si="157"/>
        <v>-979.4816278918621</v>
      </c>
      <c r="O1241" t="s">
        <v>8</v>
      </c>
    </row>
    <row r="1242" spans="1:15" x14ac:dyDescent="0.35">
      <c r="A1242">
        <v>2003</v>
      </c>
      <c r="B1242">
        <v>5</v>
      </c>
      <c r="C1242">
        <v>25</v>
      </c>
      <c r="D1242" s="1">
        <f t="shared" si="152"/>
        <v>37766</v>
      </c>
      <c r="E1242">
        <v>0</v>
      </c>
      <c r="F1242">
        <f t="shared" si="158"/>
        <v>0</v>
      </c>
      <c r="G1242">
        <f t="shared" si="153"/>
        <v>0</v>
      </c>
      <c r="H1242">
        <f t="shared" si="159"/>
        <v>0</v>
      </c>
      <c r="I1242">
        <v>1241</v>
      </c>
      <c r="J1242">
        <f t="shared" si="154"/>
        <v>0.59955149151964937</v>
      </c>
      <c r="K1242">
        <f t="shared" si="155"/>
        <v>-0.80033618499763193</v>
      </c>
      <c r="L1242">
        <f>VLOOKUP(D1242,[1]SOI!$A$1:$C$142,3)</f>
        <v>-5.5</v>
      </c>
      <c r="M1242" s="2">
        <f t="shared" si="156"/>
        <v>744.04340097588488</v>
      </c>
      <c r="N1242">
        <f t="shared" si="157"/>
        <v>-993.21720558206118</v>
      </c>
      <c r="O1242" t="s">
        <v>8</v>
      </c>
    </row>
    <row r="1243" spans="1:15" x14ac:dyDescent="0.35">
      <c r="A1243">
        <v>2003</v>
      </c>
      <c r="B1243">
        <v>5</v>
      </c>
      <c r="C1243">
        <v>26</v>
      </c>
      <c r="D1243" s="1">
        <f t="shared" si="152"/>
        <v>37767</v>
      </c>
      <c r="E1243">
        <v>0</v>
      </c>
      <c r="F1243">
        <f t="shared" si="158"/>
        <v>0</v>
      </c>
      <c r="G1243">
        <f t="shared" si="153"/>
        <v>0</v>
      </c>
      <c r="H1243">
        <f t="shared" si="159"/>
        <v>0</v>
      </c>
      <c r="I1243">
        <v>1242</v>
      </c>
      <c r="J1243">
        <f t="shared" si="154"/>
        <v>0.58569573980735046</v>
      </c>
      <c r="K1243">
        <f t="shared" si="155"/>
        <v>-0.81053099901948256</v>
      </c>
      <c r="L1243">
        <f>VLOOKUP(D1243,[1]SOI!$A$1:$C$142,3)</f>
        <v>-5.5</v>
      </c>
      <c r="M1243" s="2">
        <f t="shared" si="156"/>
        <v>727.43410884072932</v>
      </c>
      <c r="N1243">
        <f t="shared" si="157"/>
        <v>-1006.6795007821974</v>
      </c>
      <c r="O1243" t="s">
        <v>8</v>
      </c>
    </row>
    <row r="1244" spans="1:15" x14ac:dyDescent="0.35">
      <c r="A1244">
        <v>2003</v>
      </c>
      <c r="B1244">
        <v>5</v>
      </c>
      <c r="C1244">
        <v>27</v>
      </c>
      <c r="D1244" s="1">
        <f t="shared" si="152"/>
        <v>37768</v>
      </c>
      <c r="E1244">
        <v>0</v>
      </c>
      <c r="F1244">
        <f t="shared" si="158"/>
        <v>0</v>
      </c>
      <c r="G1244">
        <f t="shared" si="153"/>
        <v>0</v>
      </c>
      <c r="H1244">
        <f t="shared" si="159"/>
        <v>0</v>
      </c>
      <c r="I1244">
        <v>1243</v>
      </c>
      <c r="J1244">
        <f t="shared" si="154"/>
        <v>0.5716666713027071</v>
      </c>
      <c r="K1244">
        <f t="shared" si="155"/>
        <v>-0.82048596387853134</v>
      </c>
      <c r="L1244">
        <f>VLOOKUP(D1244,[1]SOI!$A$1:$C$142,3)</f>
        <v>-5.5</v>
      </c>
      <c r="M1244" s="2">
        <f t="shared" si="156"/>
        <v>710.58167242926493</v>
      </c>
      <c r="N1244">
        <f t="shared" si="157"/>
        <v>-1019.8640531010144</v>
      </c>
      <c r="O1244" t="s">
        <v>8</v>
      </c>
    </row>
    <row r="1245" spans="1:15" x14ac:dyDescent="0.35">
      <c r="A1245">
        <v>2003</v>
      </c>
      <c r="B1245">
        <v>5</v>
      </c>
      <c r="C1245">
        <v>28</v>
      </c>
      <c r="D1245" s="1">
        <f t="shared" si="152"/>
        <v>37769</v>
      </c>
      <c r="E1245">
        <v>0</v>
      </c>
      <c r="F1245">
        <f t="shared" si="158"/>
        <v>0</v>
      </c>
      <c r="G1245">
        <f t="shared" si="153"/>
        <v>0</v>
      </c>
      <c r="H1245">
        <f t="shared" si="159"/>
        <v>0</v>
      </c>
      <c r="I1245">
        <v>1244</v>
      </c>
      <c r="J1245">
        <f t="shared" si="154"/>
        <v>0.55746843743278995</v>
      </c>
      <c r="K1245">
        <f t="shared" si="155"/>
        <v>-0.83019813374052065</v>
      </c>
      <c r="L1245">
        <f>VLOOKUP(D1245,[1]SOI!$A$1:$C$142,3)</f>
        <v>-5.5</v>
      </c>
      <c r="M1245" s="2">
        <f t="shared" si="156"/>
        <v>693.49073616639066</v>
      </c>
      <c r="N1245">
        <f t="shared" si="157"/>
        <v>-1032.7664783732077</v>
      </c>
      <c r="O1245" t="s">
        <v>8</v>
      </c>
    </row>
    <row r="1246" spans="1:15" x14ac:dyDescent="0.35">
      <c r="A1246">
        <v>2003</v>
      </c>
      <c r="B1246">
        <v>5</v>
      </c>
      <c r="C1246">
        <v>29</v>
      </c>
      <c r="D1246" s="1">
        <f t="shared" si="152"/>
        <v>37770</v>
      </c>
      <c r="E1246">
        <v>0</v>
      </c>
      <c r="F1246">
        <f t="shared" si="158"/>
        <v>0</v>
      </c>
      <c r="G1246">
        <f t="shared" si="153"/>
        <v>0</v>
      </c>
      <c r="H1246">
        <f t="shared" si="159"/>
        <v>0</v>
      </c>
      <c r="I1246">
        <v>1245</v>
      </c>
      <c r="J1246">
        <f t="shared" si="154"/>
        <v>0.54310523968343483</v>
      </c>
      <c r="K1246">
        <f t="shared" si="155"/>
        <v>-0.83966463461813068</v>
      </c>
      <c r="L1246">
        <f>VLOOKUP(D1246,[1]SOI!$A$1:$C$142,3)</f>
        <v>-5.5</v>
      </c>
      <c r="M1246" s="2">
        <f t="shared" si="156"/>
        <v>676.16602340587633</v>
      </c>
      <c r="N1246">
        <f t="shared" si="157"/>
        <v>-1045.3824700995726</v>
      </c>
      <c r="O1246" t="s">
        <v>8</v>
      </c>
    </row>
    <row r="1247" spans="1:15" x14ac:dyDescent="0.35">
      <c r="A1247">
        <v>2003</v>
      </c>
      <c r="B1247">
        <v>5</v>
      </c>
      <c r="C1247">
        <v>30</v>
      </c>
      <c r="D1247" s="1">
        <f t="shared" si="152"/>
        <v>37771</v>
      </c>
      <c r="E1247">
        <v>0</v>
      </c>
      <c r="F1247">
        <f t="shared" si="158"/>
        <v>0</v>
      </c>
      <c r="G1247">
        <f t="shared" si="153"/>
        <v>0</v>
      </c>
      <c r="H1247">
        <f t="shared" si="159"/>
        <v>0</v>
      </c>
      <c r="I1247">
        <v>1246</v>
      </c>
      <c r="J1247">
        <f t="shared" si="154"/>
        <v>0.52858132835592808</v>
      </c>
      <c r="K1247">
        <f t="shared" si="155"/>
        <v>-0.84888266522145595</v>
      </c>
      <c r="L1247">
        <f>VLOOKUP(D1247,[1]SOI!$A$1:$C$142,3)</f>
        <v>-5.5</v>
      </c>
      <c r="M1247" s="2">
        <f t="shared" si="156"/>
        <v>658.61233513148636</v>
      </c>
      <c r="N1247">
        <f t="shared" si="157"/>
        <v>-1057.7078008659341</v>
      </c>
      <c r="O1247" t="s">
        <v>8</v>
      </c>
    </row>
    <row r="1248" spans="1:15" x14ac:dyDescent="0.35">
      <c r="A1248">
        <v>2003</v>
      </c>
      <c r="B1248">
        <v>5</v>
      </c>
      <c r="C1248">
        <v>31</v>
      </c>
      <c r="D1248" s="1">
        <f t="shared" si="152"/>
        <v>37772</v>
      </c>
      <c r="E1248">
        <v>0</v>
      </c>
      <c r="F1248">
        <f t="shared" si="158"/>
        <v>0</v>
      </c>
      <c r="G1248">
        <f t="shared" si="153"/>
        <v>0</v>
      </c>
      <c r="H1248">
        <f t="shared" si="159"/>
        <v>0</v>
      </c>
      <c r="I1248">
        <v>1247</v>
      </c>
      <c r="J1248">
        <f t="shared" si="154"/>
        <v>0.51390100130931116</v>
      </c>
      <c r="K1248">
        <f t="shared" si="155"/>
        <v>-0.85784949778692965</v>
      </c>
      <c r="L1248">
        <f>VLOOKUP(D1248,[1]SOI!$A$1:$C$142,3)</f>
        <v>-5.5</v>
      </c>
      <c r="M1248" s="2">
        <f t="shared" si="156"/>
        <v>640.83454863271106</v>
      </c>
      <c r="N1248">
        <f t="shared" si="157"/>
        <v>-1069.7383237403012</v>
      </c>
      <c r="O1248" t="s">
        <v>8</v>
      </c>
    </row>
    <row r="1249" spans="1:15" x14ac:dyDescent="0.35">
      <c r="A1249">
        <v>2003</v>
      </c>
      <c r="B1249">
        <v>6</v>
      </c>
      <c r="C1249">
        <v>1</v>
      </c>
      <c r="D1249" s="1">
        <f t="shared" si="152"/>
        <v>37773</v>
      </c>
      <c r="E1249">
        <v>1.6</v>
      </c>
      <c r="F1249">
        <f t="shared" si="158"/>
        <v>0</v>
      </c>
      <c r="G1249">
        <f t="shared" si="153"/>
        <v>1</v>
      </c>
      <c r="H1249">
        <f t="shared" si="159"/>
        <v>0</v>
      </c>
      <c r="I1249">
        <v>1248</v>
      </c>
      <c r="J1249">
        <f t="shared" si="154"/>
        <v>0.49906860268853165</v>
      </c>
      <c r="K1249">
        <f t="shared" si="155"/>
        <v>-0.86656247888453874</v>
      </c>
      <c r="L1249">
        <f>VLOOKUP(D1249,[1]SOI!$A$1:$C$142,3)</f>
        <v>-7.4</v>
      </c>
      <c r="M1249" s="2">
        <f t="shared" si="156"/>
        <v>622.83761615528749</v>
      </c>
      <c r="N1249">
        <f t="shared" si="157"/>
        <v>-1081.4699736479045</v>
      </c>
      <c r="O1249" t="s">
        <v>8</v>
      </c>
    </row>
    <row r="1250" spans="1:15" x14ac:dyDescent="0.35">
      <c r="A1250">
        <v>2003</v>
      </c>
      <c r="B1250">
        <v>6</v>
      </c>
      <c r="C1250">
        <v>2</v>
      </c>
      <c r="D1250" s="1">
        <f t="shared" si="152"/>
        <v>37774</v>
      </c>
      <c r="E1250">
        <v>0.6</v>
      </c>
      <c r="F1250">
        <f t="shared" si="158"/>
        <v>1.6</v>
      </c>
      <c r="G1250">
        <f t="shared" si="153"/>
        <v>1</v>
      </c>
      <c r="H1250">
        <f t="shared" si="159"/>
        <v>1</v>
      </c>
      <c r="I1250">
        <v>1249</v>
      </c>
      <c r="J1250">
        <f t="shared" si="154"/>
        <v>0.48408852163897481</v>
      </c>
      <c r="K1250">
        <f t="shared" si="155"/>
        <v>-0.8750190302029961</v>
      </c>
      <c r="L1250">
        <f>VLOOKUP(D1250,[1]SOI!$A$1:$C$142,3)</f>
        <v>-7.4</v>
      </c>
      <c r="M1250" s="2">
        <f t="shared" si="156"/>
        <v>604.6265635270795</v>
      </c>
      <c r="N1250">
        <f t="shared" si="157"/>
        <v>-1092.8987687235422</v>
      </c>
      <c r="O1250" t="s">
        <v>8</v>
      </c>
    </row>
    <row r="1251" spans="1:15" x14ac:dyDescent="0.35">
      <c r="A1251">
        <v>2003</v>
      </c>
      <c r="B1251">
        <v>6</v>
      </c>
      <c r="C1251">
        <v>3</v>
      </c>
      <c r="D1251" s="1">
        <f t="shared" si="152"/>
        <v>37775</v>
      </c>
      <c r="E1251">
        <v>0</v>
      </c>
      <c r="F1251">
        <f t="shared" si="158"/>
        <v>0.6</v>
      </c>
      <c r="G1251">
        <f t="shared" si="153"/>
        <v>0</v>
      </c>
      <c r="H1251">
        <f t="shared" si="159"/>
        <v>1</v>
      </c>
      <c r="I1251">
        <v>1250</v>
      </c>
      <c r="J1251">
        <f t="shared" si="154"/>
        <v>0.46896519100763273</v>
      </c>
      <c r="K1251">
        <f t="shared" si="155"/>
        <v>-0.88321664931271227</v>
      </c>
      <c r="L1251">
        <f>VLOOKUP(D1251,[1]SOI!$A$1:$C$142,3)</f>
        <v>-7.4</v>
      </c>
      <c r="M1251" s="2">
        <f t="shared" si="156"/>
        <v>586.20648875954089</v>
      </c>
      <c r="N1251">
        <f t="shared" si="157"/>
        <v>-1104.0208116408903</v>
      </c>
      <c r="O1251" t="s">
        <v>8</v>
      </c>
    </row>
    <row r="1252" spans="1:15" x14ac:dyDescent="0.35">
      <c r="A1252">
        <v>2003</v>
      </c>
      <c r="B1252">
        <v>6</v>
      </c>
      <c r="C1252">
        <v>4</v>
      </c>
      <c r="D1252" s="1">
        <f t="shared" si="152"/>
        <v>37776</v>
      </c>
      <c r="E1252">
        <v>0</v>
      </c>
      <c r="F1252">
        <f t="shared" si="158"/>
        <v>0</v>
      </c>
      <c r="G1252">
        <f t="shared" si="153"/>
        <v>0</v>
      </c>
      <c r="H1252">
        <f t="shared" si="159"/>
        <v>0</v>
      </c>
      <c r="I1252">
        <v>1251</v>
      </c>
      <c r="J1252">
        <f t="shared" si="154"/>
        <v>0.45370308603134396</v>
      </c>
      <c r="K1252">
        <f t="shared" si="155"/>
        <v>-0.89115291040630895</v>
      </c>
      <c r="L1252">
        <f>VLOOKUP(D1252,[1]SOI!$A$1:$C$142,3)</f>
        <v>-7.4</v>
      </c>
      <c r="M1252" s="2">
        <f t="shared" si="156"/>
        <v>567.58256062521127</v>
      </c>
      <c r="N1252">
        <f t="shared" si="157"/>
        <v>-1114.8322909182925</v>
      </c>
      <c r="O1252" t="s">
        <v>8</v>
      </c>
    </row>
    <row r="1253" spans="1:15" x14ac:dyDescent="0.35">
      <c r="A1253">
        <v>2003</v>
      </c>
      <c r="B1253">
        <v>6</v>
      </c>
      <c r="C1253">
        <v>5</v>
      </c>
      <c r="D1253" s="1">
        <f t="shared" si="152"/>
        <v>37777</v>
      </c>
      <c r="E1253">
        <v>0</v>
      </c>
      <c r="F1253">
        <f t="shared" si="158"/>
        <v>0</v>
      </c>
      <c r="G1253">
        <f t="shared" si="153"/>
        <v>0</v>
      </c>
      <c r="H1253">
        <f t="shared" si="159"/>
        <v>0</v>
      </c>
      <c r="I1253">
        <v>1252</v>
      </c>
      <c r="J1253">
        <f t="shared" si="154"/>
        <v>0.43830672301252088</v>
      </c>
      <c r="K1253">
        <f t="shared" si="155"/>
        <v>-0.89882546501644311</v>
      </c>
      <c r="L1253">
        <f>VLOOKUP(D1253,[1]SOI!$A$1:$C$142,3)</f>
        <v>-7.4</v>
      </c>
      <c r="M1253" s="2">
        <f t="shared" si="156"/>
        <v>548.7600172116762</v>
      </c>
      <c r="N1253">
        <f t="shared" si="157"/>
        <v>-1125.3294822005869</v>
      </c>
      <c r="O1253" t="s">
        <v>8</v>
      </c>
    </row>
    <row r="1254" spans="1:15" x14ac:dyDescent="0.35">
      <c r="A1254">
        <v>2003</v>
      </c>
      <c r="B1254">
        <v>6</v>
      </c>
      <c r="C1254">
        <v>6</v>
      </c>
      <c r="D1254" s="1">
        <f t="shared" si="152"/>
        <v>37778</v>
      </c>
      <c r="E1254">
        <v>0</v>
      </c>
      <c r="F1254">
        <f t="shared" si="158"/>
        <v>0</v>
      </c>
      <c r="G1254">
        <f t="shared" si="153"/>
        <v>0</v>
      </c>
      <c r="H1254">
        <f t="shared" si="159"/>
        <v>0</v>
      </c>
      <c r="I1254">
        <v>1253</v>
      </c>
      <c r="J1254">
        <f t="shared" si="154"/>
        <v>0.42278065798267817</v>
      </c>
      <c r="K1254">
        <f t="shared" si="155"/>
        <v>-0.9062320427107694</v>
      </c>
      <c r="L1254">
        <f>VLOOKUP(D1254,[1]SOI!$A$1:$C$142,3)</f>
        <v>-7.4</v>
      </c>
      <c r="M1254" s="2">
        <f t="shared" si="156"/>
        <v>529.74416445229576</v>
      </c>
      <c r="N1254">
        <f t="shared" si="157"/>
        <v>-1135.508749516594</v>
      </c>
      <c r="O1254" t="s">
        <v>8</v>
      </c>
    </row>
    <row r="1255" spans="1:15" x14ac:dyDescent="0.35">
      <c r="A1255">
        <v>2003</v>
      </c>
      <c r="B1255">
        <v>6</v>
      </c>
      <c r="C1255">
        <v>7</v>
      </c>
      <c r="D1255" s="1">
        <f t="shared" si="152"/>
        <v>37779</v>
      </c>
      <c r="E1255">
        <v>4.5999999999999996</v>
      </c>
      <c r="F1255">
        <f t="shared" si="158"/>
        <v>0</v>
      </c>
      <c r="G1255">
        <f t="shared" si="153"/>
        <v>1</v>
      </c>
      <c r="H1255">
        <f t="shared" si="159"/>
        <v>0</v>
      </c>
      <c r="I1255">
        <v>1254</v>
      </c>
      <c r="J1255">
        <f t="shared" si="154"/>
        <v>0.40712948535425164</v>
      </c>
      <c r="K1255">
        <f t="shared" si="155"/>
        <v>-0.91337045176378584</v>
      </c>
      <c r="L1255">
        <f>VLOOKUP(D1255,[1]SOI!$A$1:$C$142,3)</f>
        <v>-7.4</v>
      </c>
      <c r="M1255" s="2">
        <f t="shared" si="156"/>
        <v>510.54037463423157</v>
      </c>
      <c r="N1255">
        <f t="shared" si="157"/>
        <v>-1145.3665465117874</v>
      </c>
      <c r="O1255" t="s">
        <v>8</v>
      </c>
    </row>
    <row r="1256" spans="1:15" x14ac:dyDescent="0.35">
      <c r="A1256">
        <v>2003</v>
      </c>
      <c r="B1256">
        <v>6</v>
      </c>
      <c r="C1256">
        <v>8</v>
      </c>
      <c r="D1256" s="1">
        <f t="shared" si="152"/>
        <v>37780</v>
      </c>
      <c r="E1256">
        <v>0</v>
      </c>
      <c r="F1256">
        <f t="shared" si="158"/>
        <v>4.5999999999999996</v>
      </c>
      <c r="G1256">
        <f t="shared" si="153"/>
        <v>0</v>
      </c>
      <c r="H1256">
        <f t="shared" si="159"/>
        <v>1</v>
      </c>
      <c r="I1256">
        <v>1255</v>
      </c>
      <c r="J1256">
        <f t="shared" si="154"/>
        <v>0.39135783656102846</v>
      </c>
      <c r="K1256">
        <f t="shared" si="155"/>
        <v>-0.92023857980540635</v>
      </c>
      <c r="L1256">
        <f>VLOOKUP(D1256,[1]SOI!$A$1:$C$142,3)</f>
        <v>-7.4</v>
      </c>
      <c r="M1256" s="2">
        <f t="shared" si="156"/>
        <v>491.15408488409071</v>
      </c>
      <c r="N1256">
        <f t="shared" si="157"/>
        <v>-1154.8994176557849</v>
      </c>
      <c r="O1256" t="s">
        <v>8</v>
      </c>
    </row>
    <row r="1257" spans="1:15" x14ac:dyDescent="0.35">
      <c r="A1257">
        <v>2003</v>
      </c>
      <c r="B1257">
        <v>6</v>
      </c>
      <c r="C1257">
        <v>9</v>
      </c>
      <c r="D1257" s="1">
        <f t="shared" si="152"/>
        <v>37781</v>
      </c>
      <c r="E1257">
        <v>0.2</v>
      </c>
      <c r="F1257">
        <f t="shared" si="158"/>
        <v>0</v>
      </c>
      <c r="G1257">
        <f t="shared" si="153"/>
        <v>1</v>
      </c>
      <c r="H1257">
        <f t="shared" si="159"/>
        <v>0</v>
      </c>
      <c r="I1257">
        <v>1256</v>
      </c>
      <c r="J1257">
        <f t="shared" si="154"/>
        <v>0.37547037868762145</v>
      </c>
      <c r="K1257">
        <f t="shared" si="155"/>
        <v>-0.92683439444604887</v>
      </c>
      <c r="L1257">
        <f>VLOOKUP(D1257,[1]SOI!$A$1:$C$142,3)</f>
        <v>-7.4</v>
      </c>
      <c r="M1257" s="2">
        <f t="shared" si="156"/>
        <v>471.59079563165255</v>
      </c>
      <c r="N1257">
        <f t="shared" si="157"/>
        <v>-1164.1039994242374</v>
      </c>
      <c r="O1257" t="s">
        <v>8</v>
      </c>
    </row>
    <row r="1258" spans="1:15" x14ac:dyDescent="0.35">
      <c r="A1258">
        <v>2003</v>
      </c>
      <c r="B1258">
        <v>6</v>
      </c>
      <c r="C1258">
        <v>10</v>
      </c>
      <c r="D1258" s="1">
        <f t="shared" si="152"/>
        <v>37782</v>
      </c>
      <c r="E1258">
        <v>0</v>
      </c>
      <c r="F1258">
        <f t="shared" si="158"/>
        <v>0.2</v>
      </c>
      <c r="G1258">
        <f t="shared" si="153"/>
        <v>0</v>
      </c>
      <c r="H1258">
        <f t="shared" si="159"/>
        <v>1</v>
      </c>
      <c r="I1258">
        <v>1257</v>
      </c>
      <c r="J1258">
        <f t="shared" si="154"/>
        <v>0.3594718130884233</v>
      </c>
      <c r="K1258">
        <f t="shared" si="155"/>
        <v>-0.93315594387804313</v>
      </c>
      <c r="L1258">
        <f>VLOOKUP(D1258,[1]SOI!$A$1:$C$142,3)</f>
        <v>-7.4</v>
      </c>
      <c r="M1258" s="2">
        <f t="shared" si="156"/>
        <v>451.85606905214809</v>
      </c>
      <c r="N1258">
        <f t="shared" si="157"/>
        <v>-1172.9770214547002</v>
      </c>
      <c r="O1258" t="s">
        <v>8</v>
      </c>
    </row>
    <row r="1259" spans="1:15" x14ac:dyDescent="0.35">
      <c r="A1259">
        <v>2003</v>
      </c>
      <c r="B1259">
        <v>6</v>
      </c>
      <c r="C1259">
        <v>11</v>
      </c>
      <c r="D1259" s="1">
        <f t="shared" si="152"/>
        <v>37783</v>
      </c>
      <c r="E1259">
        <v>0</v>
      </c>
      <c r="F1259">
        <f t="shared" si="158"/>
        <v>0</v>
      </c>
      <c r="G1259">
        <f t="shared" si="153"/>
        <v>0</v>
      </c>
      <c r="H1259">
        <f t="shared" si="159"/>
        <v>0</v>
      </c>
      <c r="I1259">
        <v>1258</v>
      </c>
      <c r="J1259">
        <f t="shared" si="154"/>
        <v>0.34336687399639021</v>
      </c>
      <c r="K1259">
        <f t="shared" si="155"/>
        <v>-0.93920135745320721</v>
      </c>
      <c r="L1259">
        <f>VLOOKUP(D1259,[1]SOI!$A$1:$C$142,3)</f>
        <v>-7.4</v>
      </c>
      <c r="M1259" s="2">
        <f t="shared" si="156"/>
        <v>431.95552748745888</v>
      </c>
      <c r="N1259">
        <f t="shared" si="157"/>
        <v>-1181.5153076761346</v>
      </c>
      <c r="O1259" t="s">
        <v>8</v>
      </c>
    </row>
    <row r="1260" spans="1:15" x14ac:dyDescent="0.35">
      <c r="A1260">
        <v>2003</v>
      </c>
      <c r="B1260">
        <v>6</v>
      </c>
      <c r="C1260">
        <v>12</v>
      </c>
      <c r="D1260" s="1">
        <f t="shared" si="152"/>
        <v>37784</v>
      </c>
      <c r="E1260">
        <v>0</v>
      </c>
      <c r="F1260">
        <f t="shared" si="158"/>
        <v>0</v>
      </c>
      <c r="G1260">
        <f t="shared" si="153"/>
        <v>0</v>
      </c>
      <c r="H1260">
        <f t="shared" si="159"/>
        <v>0</v>
      </c>
      <c r="I1260">
        <v>1259</v>
      </c>
      <c r="J1260">
        <f t="shared" si="154"/>
        <v>0.32716032712209642</v>
      </c>
      <c r="K1260">
        <f t="shared" si="155"/>
        <v>-0.9449688462364052</v>
      </c>
      <c r="L1260">
        <f>VLOOKUP(D1260,[1]SOI!$A$1:$C$142,3)</f>
        <v>-7.4</v>
      </c>
      <c r="M1260" s="2">
        <f t="shared" si="156"/>
        <v>411.8948518467194</v>
      </c>
      <c r="N1260">
        <f t="shared" si="157"/>
        <v>-1189.7157774116342</v>
      </c>
      <c r="O1260" t="s">
        <v>8</v>
      </c>
    </row>
    <row r="1261" spans="1:15" x14ac:dyDescent="0.35">
      <c r="A1261">
        <v>2003</v>
      </c>
      <c r="B1261">
        <v>6</v>
      </c>
      <c r="C1261">
        <v>13</v>
      </c>
      <c r="D1261" s="1">
        <f t="shared" si="152"/>
        <v>37785</v>
      </c>
      <c r="E1261">
        <v>0</v>
      </c>
      <c r="F1261">
        <f t="shared" si="158"/>
        <v>0</v>
      </c>
      <c r="G1261">
        <f t="shared" si="153"/>
        <v>0</v>
      </c>
      <c r="H1261">
        <f t="shared" si="159"/>
        <v>0</v>
      </c>
      <c r="I1261">
        <v>1260</v>
      </c>
      <c r="J1261">
        <f t="shared" si="154"/>
        <v>0.31085696824350373</v>
      </c>
      <c r="K1261">
        <f t="shared" si="155"/>
        <v>-0.95045670353491496</v>
      </c>
      <c r="L1261">
        <f>VLOOKUP(D1261,[1]SOI!$A$1:$C$142,3)</f>
        <v>-7.4</v>
      </c>
      <c r="M1261" s="2">
        <f t="shared" si="156"/>
        <v>391.67977998681471</v>
      </c>
      <c r="N1261">
        <f t="shared" si="157"/>
        <v>-1197.5754464539928</v>
      </c>
      <c r="O1261" t="s">
        <v>8</v>
      </c>
    </row>
    <row r="1262" spans="1:15" x14ac:dyDescent="0.35">
      <c r="A1262">
        <v>2003</v>
      </c>
      <c r="B1262">
        <v>6</v>
      </c>
      <c r="C1262">
        <v>14</v>
      </c>
      <c r="D1262" s="1">
        <f t="shared" si="152"/>
        <v>37786</v>
      </c>
      <c r="E1262">
        <v>2.4</v>
      </c>
      <c r="F1262">
        <f t="shared" si="158"/>
        <v>0</v>
      </c>
      <c r="G1262">
        <f t="shared" si="153"/>
        <v>1</v>
      </c>
      <c r="H1262">
        <f t="shared" si="159"/>
        <v>0</v>
      </c>
      <c r="I1262">
        <v>1261</v>
      </c>
      <c r="J1262">
        <f t="shared" si="154"/>
        <v>0.29446162178680002</v>
      </c>
      <c r="K1262">
        <f t="shared" si="155"/>
        <v>-0.95566330540347078</v>
      </c>
      <c r="L1262">
        <f>VLOOKUP(D1262,[1]SOI!$A$1:$C$142,3)</f>
        <v>-7.4</v>
      </c>
      <c r="M1262" s="2">
        <f t="shared" si="156"/>
        <v>371.3161050731548</v>
      </c>
      <c r="N1262">
        <f t="shared" si="157"/>
        <v>-1205.0914281137766</v>
      </c>
      <c r="O1262" t="s">
        <v>8</v>
      </c>
    </row>
    <row r="1263" spans="1:15" x14ac:dyDescent="0.35">
      <c r="A1263">
        <v>2003</v>
      </c>
      <c r="B1263">
        <v>6</v>
      </c>
      <c r="C1263">
        <v>15</v>
      </c>
      <c r="D1263" s="1">
        <f t="shared" si="152"/>
        <v>37787</v>
      </c>
      <c r="E1263">
        <v>0.2</v>
      </c>
      <c r="F1263">
        <f t="shared" si="158"/>
        <v>2.4</v>
      </c>
      <c r="G1263">
        <f t="shared" si="153"/>
        <v>1</v>
      </c>
      <c r="H1263">
        <f t="shared" si="159"/>
        <v>1</v>
      </c>
      <c r="I1263">
        <v>1262</v>
      </c>
      <c r="J1263">
        <f t="shared" si="154"/>
        <v>0.27797913939878105</v>
      </c>
      <c r="K1263">
        <f t="shared" si="155"/>
        <v>-0.96058711112481254</v>
      </c>
      <c r="L1263">
        <f>VLOOKUP(D1263,[1]SOI!$A$1:$C$142,3)</f>
        <v>-7.4</v>
      </c>
      <c r="M1263" s="2">
        <f t="shared" si="156"/>
        <v>350.80967392126166</v>
      </c>
      <c r="N1263">
        <f t="shared" si="157"/>
        <v>-1212.2609342395135</v>
      </c>
      <c r="O1263" t="s">
        <v>8</v>
      </c>
    </row>
    <row r="1264" spans="1:15" x14ac:dyDescent="0.35">
      <c r="A1264">
        <v>2003</v>
      </c>
      <c r="B1264">
        <v>6</v>
      </c>
      <c r="C1264">
        <v>16</v>
      </c>
      <c r="D1264" s="1">
        <f t="shared" si="152"/>
        <v>37788</v>
      </c>
      <c r="E1264">
        <v>1.6</v>
      </c>
      <c r="F1264">
        <f t="shared" si="158"/>
        <v>0.2</v>
      </c>
      <c r="G1264">
        <f t="shared" si="153"/>
        <v>1</v>
      </c>
      <c r="H1264">
        <f t="shared" si="159"/>
        <v>1</v>
      </c>
      <c r="I1264">
        <v>1263</v>
      </c>
      <c r="J1264">
        <f t="shared" si="154"/>
        <v>0.26141439851115628</v>
      </c>
      <c r="K1264">
        <f t="shared" si="155"/>
        <v>-0.96522666366561294</v>
      </c>
      <c r="L1264">
        <f>VLOOKUP(D1264,[1]SOI!$A$1:$C$142,3)</f>
        <v>-7.4</v>
      </c>
      <c r="M1264" s="2">
        <f t="shared" si="156"/>
        <v>330.1663853195904</v>
      </c>
      <c r="N1264">
        <f t="shared" si="157"/>
        <v>-1219.0812762096691</v>
      </c>
      <c r="O1264" t="s">
        <v>8</v>
      </c>
    </row>
    <row r="1265" spans="1:15" x14ac:dyDescent="0.35">
      <c r="A1265">
        <v>2003</v>
      </c>
      <c r="B1265">
        <v>6</v>
      </c>
      <c r="C1265">
        <v>17</v>
      </c>
      <c r="D1265" s="1">
        <f t="shared" si="152"/>
        <v>37789</v>
      </c>
      <c r="E1265">
        <v>0.8</v>
      </c>
      <c r="F1265">
        <f t="shared" si="158"/>
        <v>1.6</v>
      </c>
      <c r="G1265">
        <f t="shared" si="153"/>
        <v>1</v>
      </c>
      <c r="H1265">
        <f t="shared" si="159"/>
        <v>1</v>
      </c>
      <c r="I1265">
        <v>1264</v>
      </c>
      <c r="J1265">
        <f t="shared" si="154"/>
        <v>0.24477230089725879</v>
      </c>
      <c r="K1265">
        <f t="shared" si="155"/>
        <v>-0.96958059010763087</v>
      </c>
      <c r="L1265">
        <f>VLOOKUP(D1265,[1]SOI!$A$1:$C$142,3)</f>
        <v>-7.4</v>
      </c>
      <c r="M1265" s="2">
        <f t="shared" si="156"/>
        <v>309.39218833413514</v>
      </c>
      <c r="N1265">
        <f t="shared" si="157"/>
        <v>-1225.5498658960455</v>
      </c>
      <c r="O1265" t="s">
        <v>8</v>
      </c>
    </row>
    <row r="1266" spans="1:15" x14ac:dyDescent="0.35">
      <c r="A1266">
        <v>2003</v>
      </c>
      <c r="B1266">
        <v>6</v>
      </c>
      <c r="C1266">
        <v>18</v>
      </c>
      <c r="D1266" s="1">
        <f t="shared" si="152"/>
        <v>37790</v>
      </c>
      <c r="E1266">
        <v>0</v>
      </c>
      <c r="F1266">
        <f t="shared" si="158"/>
        <v>0.8</v>
      </c>
      <c r="G1266">
        <f t="shared" si="153"/>
        <v>0</v>
      </c>
      <c r="H1266">
        <f t="shared" si="159"/>
        <v>1</v>
      </c>
      <c r="I1266">
        <v>1265</v>
      </c>
      <c r="J1266">
        <f t="shared" si="154"/>
        <v>0.22805777122152163</v>
      </c>
      <c r="K1266">
        <f t="shared" si="155"/>
        <v>-0.97364760205398349</v>
      </c>
      <c r="L1266">
        <f>VLOOKUP(D1266,[1]SOI!$A$1:$C$142,3)</f>
        <v>-7.4</v>
      </c>
      <c r="M1266" s="2">
        <f t="shared" si="156"/>
        <v>288.49308059522485</v>
      </c>
      <c r="N1266">
        <f t="shared" si="157"/>
        <v>-1231.6642165982892</v>
      </c>
      <c r="O1266" t="s">
        <v>8</v>
      </c>
    </row>
    <row r="1267" spans="1:15" x14ac:dyDescent="0.35">
      <c r="A1267">
        <v>2003</v>
      </c>
      <c r="B1267">
        <v>6</v>
      </c>
      <c r="C1267">
        <v>19</v>
      </c>
      <c r="D1267" s="1">
        <f t="shared" si="152"/>
        <v>37791</v>
      </c>
      <c r="E1267">
        <v>2.2000000000000002</v>
      </c>
      <c r="F1267">
        <f t="shared" si="158"/>
        <v>0</v>
      </c>
      <c r="G1267">
        <f t="shared" si="153"/>
        <v>1</v>
      </c>
      <c r="H1267">
        <f t="shared" si="159"/>
        <v>0</v>
      </c>
      <c r="I1267">
        <v>1266</v>
      </c>
      <c r="J1267">
        <f t="shared" si="154"/>
        <v>0.21127575558217981</v>
      </c>
      <c r="K1267">
        <f t="shared" si="155"/>
        <v>-0.97742649601040543</v>
      </c>
      <c r="L1267">
        <f>VLOOKUP(D1267,[1]SOI!$A$1:$C$142,3)</f>
        <v>-7.4</v>
      </c>
      <c r="M1267" s="2">
        <f t="shared" si="156"/>
        <v>267.47510656703963</v>
      </c>
      <c r="N1267">
        <f t="shared" si="157"/>
        <v>-1237.4219439491733</v>
      </c>
      <c r="O1267" t="s">
        <v>8</v>
      </c>
    </row>
    <row r="1268" spans="1:15" x14ac:dyDescent="0.35">
      <c r="A1268">
        <v>2003</v>
      </c>
      <c r="B1268">
        <v>6</v>
      </c>
      <c r="C1268">
        <v>20</v>
      </c>
      <c r="D1268" s="1">
        <f t="shared" si="152"/>
        <v>37792</v>
      </c>
      <c r="E1268">
        <v>1.4</v>
      </c>
      <c r="F1268">
        <f t="shared" si="158"/>
        <v>2.2000000000000002</v>
      </c>
      <c r="G1268">
        <f t="shared" si="153"/>
        <v>1</v>
      </c>
      <c r="H1268">
        <f t="shared" si="159"/>
        <v>1</v>
      </c>
      <c r="I1268">
        <v>1267</v>
      </c>
      <c r="J1268">
        <f t="shared" si="154"/>
        <v>0.19443122004766467</v>
      </c>
      <c r="K1268">
        <f t="shared" si="155"/>
        <v>-0.98091615374137697</v>
      </c>
      <c r="L1268">
        <f>VLOOKUP(D1268,[1]SOI!$A$1:$C$142,3)</f>
        <v>-7.4</v>
      </c>
      <c r="M1268" s="2">
        <f t="shared" si="156"/>
        <v>246.34435580039113</v>
      </c>
      <c r="N1268">
        <f t="shared" si="157"/>
        <v>-1242.8207667903246</v>
      </c>
      <c r="O1268" t="s">
        <v>8</v>
      </c>
    </row>
    <row r="1269" spans="1:15" x14ac:dyDescent="0.35">
      <c r="A1269">
        <v>2003</v>
      </c>
      <c r="B1269">
        <v>6</v>
      </c>
      <c r="C1269">
        <v>21</v>
      </c>
      <c r="D1269" s="1">
        <f t="shared" si="152"/>
        <v>37793</v>
      </c>
      <c r="E1269">
        <v>0</v>
      </c>
      <c r="F1269">
        <f t="shared" si="158"/>
        <v>1.4</v>
      </c>
      <c r="G1269">
        <f t="shared" si="153"/>
        <v>0</v>
      </c>
      <c r="H1269">
        <f t="shared" si="159"/>
        <v>1</v>
      </c>
      <c r="I1269">
        <v>1268</v>
      </c>
      <c r="J1269">
        <f t="shared" si="154"/>
        <v>0.17752914918703638</v>
      </c>
      <c r="K1269">
        <f t="shared" si="155"/>
        <v>-0.98411554260103373</v>
      </c>
      <c r="L1269">
        <f>VLOOKUP(D1269,[1]SOI!$A$1:$C$142,3)</f>
        <v>-7.4</v>
      </c>
      <c r="M1269" s="2">
        <f t="shared" si="156"/>
        <v>225.10696116916213</v>
      </c>
      <c r="N1269">
        <f t="shared" si="157"/>
        <v>-1247.8585080181108</v>
      </c>
      <c r="O1269" t="s">
        <v>8</v>
      </c>
    </row>
    <row r="1270" spans="1:15" x14ac:dyDescent="0.35">
      <c r="A1270">
        <v>2003</v>
      </c>
      <c r="B1270">
        <v>6</v>
      </c>
      <c r="C1270">
        <v>22</v>
      </c>
      <c r="D1270" s="1">
        <f t="shared" si="152"/>
        <v>37794</v>
      </c>
      <c r="E1270">
        <v>1</v>
      </c>
      <c r="F1270">
        <f t="shared" si="158"/>
        <v>0</v>
      </c>
      <c r="G1270">
        <f t="shared" si="153"/>
        <v>1</v>
      </c>
      <c r="H1270">
        <f t="shared" si="159"/>
        <v>0</v>
      </c>
      <c r="I1270">
        <v>1269</v>
      </c>
      <c r="J1270">
        <f t="shared" si="154"/>
        <v>0.16057454459499429</v>
      </c>
      <c r="K1270">
        <f t="shared" si="155"/>
        <v>-0.98702371583873816</v>
      </c>
      <c r="L1270">
        <f>VLOOKUP(D1270,[1]SOI!$A$1:$C$142,3)</f>
        <v>-7.4</v>
      </c>
      <c r="M1270" s="2">
        <f t="shared" si="156"/>
        <v>203.76909709104774</v>
      </c>
      <c r="N1270">
        <f t="shared" si="157"/>
        <v>-1252.5330953993587</v>
      </c>
      <c r="O1270" t="s">
        <v>8</v>
      </c>
    </row>
    <row r="1271" spans="1:15" x14ac:dyDescent="0.35">
      <c r="A1271">
        <v>2003</v>
      </c>
      <c r="B1271">
        <v>6</v>
      </c>
      <c r="C1271">
        <v>23</v>
      </c>
      <c r="D1271" s="1">
        <f t="shared" si="152"/>
        <v>37795</v>
      </c>
      <c r="E1271">
        <v>0.4</v>
      </c>
      <c r="F1271">
        <f t="shared" si="158"/>
        <v>1</v>
      </c>
      <c r="G1271">
        <f t="shared" si="153"/>
        <v>1</v>
      </c>
      <c r="H1271">
        <f t="shared" si="159"/>
        <v>1</v>
      </c>
      <c r="I1271">
        <v>1270</v>
      </c>
      <c r="J1271">
        <f t="shared" si="154"/>
        <v>0.14357242341181403</v>
      </c>
      <c r="K1271">
        <f t="shared" si="155"/>
        <v>-0.98963981287924085</v>
      </c>
      <c r="L1271">
        <f>VLOOKUP(D1271,[1]SOI!$A$1:$C$142,3)</f>
        <v>-7.4</v>
      </c>
      <c r="M1271" s="2">
        <f t="shared" si="156"/>
        <v>182.33697773300383</v>
      </c>
      <c r="N1271">
        <f t="shared" si="157"/>
        <v>-1256.8425623566359</v>
      </c>
      <c r="O1271" t="s">
        <v>8</v>
      </c>
    </row>
    <row r="1272" spans="1:15" x14ac:dyDescent="0.35">
      <c r="A1272">
        <v>2003</v>
      </c>
      <c r="B1272">
        <v>6</v>
      </c>
      <c r="C1272">
        <v>24</v>
      </c>
      <c r="D1272" s="1">
        <f t="shared" si="152"/>
        <v>37796</v>
      </c>
      <c r="E1272">
        <v>1.4</v>
      </c>
      <c r="F1272">
        <f t="shared" si="158"/>
        <v>0.4</v>
      </c>
      <c r="G1272">
        <f t="shared" si="153"/>
        <v>1</v>
      </c>
      <c r="H1272">
        <f t="shared" si="159"/>
        <v>1</v>
      </c>
      <c r="I1272">
        <v>1271</v>
      </c>
      <c r="J1272">
        <f t="shared" si="154"/>
        <v>0.12652781683868455</v>
      </c>
      <c r="K1272">
        <f t="shared" si="155"/>
        <v>-0.99196305957733943</v>
      </c>
      <c r="L1272">
        <f>VLOOKUP(D1272,[1]SOI!$A$1:$C$142,3)</f>
        <v>-7.4</v>
      </c>
      <c r="M1272" s="2">
        <f t="shared" si="156"/>
        <v>160.81685520196808</v>
      </c>
      <c r="N1272">
        <f t="shared" si="157"/>
        <v>-1260.7850487227984</v>
      </c>
      <c r="O1272" t="s">
        <v>8</v>
      </c>
    </row>
    <row r="1273" spans="1:15" x14ac:dyDescent="0.35">
      <c r="A1273">
        <v>2003</v>
      </c>
      <c r="B1273">
        <v>6</v>
      </c>
      <c r="C1273">
        <v>25</v>
      </c>
      <c r="D1273" s="1">
        <f t="shared" si="152"/>
        <v>37797</v>
      </c>
      <c r="E1273">
        <v>0</v>
      </c>
      <c r="F1273">
        <f t="shared" si="158"/>
        <v>1.4</v>
      </c>
      <c r="G1273">
        <f t="shared" si="153"/>
        <v>0</v>
      </c>
      <c r="H1273">
        <f t="shared" si="159"/>
        <v>1</v>
      </c>
      <c r="I1273">
        <v>1272</v>
      </c>
      <c r="J1273">
        <f t="shared" si="154"/>
        <v>0.10944576864891564</v>
      </c>
      <c r="K1273">
        <f t="shared" si="155"/>
        <v>-0.99399276844695805</v>
      </c>
      <c r="L1273">
        <f>VLOOKUP(D1273,[1]SOI!$A$1:$C$142,3)</f>
        <v>-7.4</v>
      </c>
      <c r="M1273" s="2">
        <f t="shared" si="156"/>
        <v>139.21501772142071</v>
      </c>
      <c r="N1273">
        <f t="shared" si="157"/>
        <v>-1264.3588014645306</v>
      </c>
      <c r="O1273" t="s">
        <v>8</v>
      </c>
    </row>
    <row r="1274" spans="1:15" x14ac:dyDescent="0.35">
      <c r="A1274">
        <v>2003</v>
      </c>
      <c r="B1274">
        <v>6</v>
      </c>
      <c r="C1274">
        <v>26</v>
      </c>
      <c r="D1274" s="1">
        <f t="shared" si="152"/>
        <v>37798</v>
      </c>
      <c r="E1274">
        <v>0</v>
      </c>
      <c r="F1274">
        <f t="shared" si="158"/>
        <v>0</v>
      </c>
      <c r="G1274">
        <f t="shared" si="153"/>
        <v>0</v>
      </c>
      <c r="H1274">
        <f t="shared" si="159"/>
        <v>0</v>
      </c>
      <c r="I1274">
        <v>1273</v>
      </c>
      <c r="J1274">
        <f t="shared" si="154"/>
        <v>9.2331333695393966E-2</v>
      </c>
      <c r="K1274">
        <f t="shared" si="155"/>
        <v>-0.995728338864587</v>
      </c>
      <c r="L1274">
        <f>VLOOKUP(D1274,[1]SOI!$A$1:$C$142,3)</f>
        <v>-7.4</v>
      </c>
      <c r="M1274" s="2">
        <f t="shared" si="156"/>
        <v>117.53778779423652</v>
      </c>
      <c r="N1274">
        <f t="shared" si="157"/>
        <v>-1267.5621753746193</v>
      </c>
      <c r="O1274" t="s">
        <v>8</v>
      </c>
    </row>
    <row r="1275" spans="1:15" x14ac:dyDescent="0.35">
      <c r="A1275">
        <v>2003</v>
      </c>
      <c r="B1275">
        <v>6</v>
      </c>
      <c r="C1275">
        <v>27</v>
      </c>
      <c r="D1275" s="1">
        <f t="shared" si="152"/>
        <v>37799</v>
      </c>
      <c r="E1275">
        <v>0</v>
      </c>
      <c r="F1275">
        <f t="shared" si="158"/>
        <v>0</v>
      </c>
      <c r="G1275">
        <f t="shared" si="153"/>
        <v>0</v>
      </c>
      <c r="H1275">
        <f t="shared" si="159"/>
        <v>0</v>
      </c>
      <c r="I1275">
        <v>1274</v>
      </c>
      <c r="J1275">
        <f t="shared" si="154"/>
        <v>7.518957641475997E-2</v>
      </c>
      <c r="K1275">
        <f t="shared" si="155"/>
        <v>-0.99716925724701766</v>
      </c>
      <c r="L1275">
        <f>VLOOKUP(D1275,[1]SOI!$A$1:$C$142,3)</f>
        <v>-7.4</v>
      </c>
      <c r="M1275" s="2">
        <f t="shared" si="156"/>
        <v>95.791520352404206</v>
      </c>
      <c r="N1275">
        <f t="shared" si="157"/>
        <v>-1270.3936337327004</v>
      </c>
      <c r="O1275" t="s">
        <v>8</v>
      </c>
    </row>
    <row r="1276" spans="1:15" x14ac:dyDescent="0.35">
      <c r="A1276">
        <v>2003</v>
      </c>
      <c r="B1276">
        <v>6</v>
      </c>
      <c r="C1276">
        <v>28</v>
      </c>
      <c r="D1276" s="1">
        <f t="shared" si="152"/>
        <v>37800</v>
      </c>
      <c r="E1276">
        <v>4</v>
      </c>
      <c r="F1276">
        <f t="shared" si="158"/>
        <v>0</v>
      </c>
      <c r="G1276">
        <f t="shared" si="153"/>
        <v>1</v>
      </c>
      <c r="H1276">
        <f t="shared" si="159"/>
        <v>0</v>
      </c>
      <c r="I1276">
        <v>1275</v>
      </c>
      <c r="J1276">
        <f t="shared" si="154"/>
        <v>5.8025569328780884E-2</v>
      </c>
      <c r="K1276">
        <f t="shared" si="155"/>
        <v>-0.99831509720331824</v>
      </c>
      <c r="L1276">
        <f>VLOOKUP(D1276,[1]SOI!$A$1:$C$142,3)</f>
        <v>-7.4</v>
      </c>
      <c r="M1276" s="2">
        <f t="shared" si="156"/>
        <v>73.982600894195627</v>
      </c>
      <c r="N1276">
        <f t="shared" si="157"/>
        <v>-1272.8517489342307</v>
      </c>
      <c r="O1276" t="s">
        <v>8</v>
      </c>
    </row>
    <row r="1277" spans="1:15" x14ac:dyDescent="0.35">
      <c r="A1277">
        <v>2003</v>
      </c>
      <c r="B1277">
        <v>6</v>
      </c>
      <c r="C1277">
        <v>29</v>
      </c>
      <c r="D1277" s="1">
        <f t="shared" si="152"/>
        <v>37801</v>
      </c>
      <c r="E1277">
        <v>6.6</v>
      </c>
      <c r="F1277">
        <f t="shared" si="158"/>
        <v>4</v>
      </c>
      <c r="G1277">
        <f t="shared" si="153"/>
        <v>1</v>
      </c>
      <c r="H1277">
        <f t="shared" si="159"/>
        <v>1</v>
      </c>
      <c r="I1277">
        <v>1276</v>
      </c>
      <c r="J1277">
        <f t="shared" si="154"/>
        <v>4.0844391543295756E-2</v>
      </c>
      <c r="K1277">
        <f t="shared" si="155"/>
        <v>-0.99916551966101086</v>
      </c>
      <c r="L1277">
        <f>VLOOKUP(D1277,[1]SOI!$A$1:$C$142,3)</f>
        <v>-7.4</v>
      </c>
      <c r="M1277" s="2">
        <f t="shared" si="156"/>
        <v>52.117443609245385</v>
      </c>
      <c r="N1277">
        <f t="shared" si="157"/>
        <v>-1274.93520308745</v>
      </c>
      <c r="O1277" t="s">
        <v>8</v>
      </c>
    </row>
    <row r="1278" spans="1:15" x14ac:dyDescent="0.35">
      <c r="A1278">
        <v>2003</v>
      </c>
      <c r="B1278">
        <v>6</v>
      </c>
      <c r="C1278">
        <v>30</v>
      </c>
      <c r="D1278" s="1">
        <f t="shared" si="152"/>
        <v>37802</v>
      </c>
      <c r="E1278">
        <v>6.2</v>
      </c>
      <c r="F1278">
        <f t="shared" si="158"/>
        <v>6.6</v>
      </c>
      <c r="G1278">
        <f t="shared" si="153"/>
        <v>1</v>
      </c>
      <c r="H1278">
        <f t="shared" si="159"/>
        <v>1</v>
      </c>
      <c r="I1278">
        <v>1277</v>
      </c>
      <c r="J1278">
        <f t="shared" si="154"/>
        <v>2.3651127245233456E-2</v>
      </c>
      <c r="K1278">
        <f t="shared" si="155"/>
        <v>-0.9997202729664082</v>
      </c>
      <c r="L1278">
        <f>VLOOKUP(D1278,[1]SOI!$A$1:$C$142,3)</f>
        <v>-7.4</v>
      </c>
      <c r="M1278" s="2">
        <f t="shared" si="156"/>
        <v>30.202489492163124</v>
      </c>
      <c r="N1278">
        <f t="shared" si="157"/>
        <v>-1276.6427885781034</v>
      </c>
      <c r="O1278" t="s">
        <v>8</v>
      </c>
    </row>
    <row r="1279" spans="1:15" x14ac:dyDescent="0.35">
      <c r="A1279">
        <v>2003</v>
      </c>
      <c r="B1279">
        <v>7</v>
      </c>
      <c r="C1279">
        <v>1</v>
      </c>
      <c r="D1279" s="1">
        <f t="shared" si="152"/>
        <v>37803</v>
      </c>
      <c r="E1279">
        <v>0.8</v>
      </c>
      <c r="F1279">
        <f t="shared" si="158"/>
        <v>6.2</v>
      </c>
      <c r="G1279">
        <f t="shared" si="153"/>
        <v>1</v>
      </c>
      <c r="H1279">
        <f t="shared" si="159"/>
        <v>1</v>
      </c>
      <c r="I1279">
        <v>1278</v>
      </c>
      <c r="J1279">
        <f t="shared" si="154"/>
        <v>6.4508641981056861E-3</v>
      </c>
      <c r="K1279">
        <f t="shared" si="155"/>
        <v>-0.99997919295908233</v>
      </c>
      <c r="L1279">
        <f>VLOOKUP(D1279,[1]SOI!$A$1:$C$142,3)</f>
        <v>-12</v>
      </c>
      <c r="M1279" s="2">
        <f t="shared" si="156"/>
        <v>8.2442044451790668</v>
      </c>
      <c r="N1279">
        <f t="shared" si="157"/>
        <v>-1277.9734086017072</v>
      </c>
      <c r="O1279" t="s">
        <v>8</v>
      </c>
    </row>
    <row r="1280" spans="1:15" x14ac:dyDescent="0.35">
      <c r="A1280">
        <v>2003</v>
      </c>
      <c r="B1280">
        <v>7</v>
      </c>
      <c r="C1280">
        <v>2</v>
      </c>
      <c r="D1280" s="1">
        <f t="shared" si="152"/>
        <v>37804</v>
      </c>
      <c r="E1280">
        <v>0</v>
      </c>
      <c r="F1280">
        <f t="shared" si="158"/>
        <v>0.8</v>
      </c>
      <c r="G1280">
        <f t="shared" si="153"/>
        <v>0</v>
      </c>
      <c r="H1280">
        <f t="shared" si="159"/>
        <v>1</v>
      </c>
      <c r="I1280">
        <v>1279</v>
      </c>
      <c r="J1280">
        <f t="shared" si="154"/>
        <v>-1.0751307763522726E-2</v>
      </c>
      <c r="K1280">
        <f t="shared" si="155"/>
        <v>-0.99994220302044157</v>
      </c>
      <c r="L1280">
        <f>VLOOKUP(D1280,[1]SOI!$A$1:$C$142,3)</f>
        <v>-12</v>
      </c>
      <c r="M1280" s="2">
        <f t="shared" si="156"/>
        <v>-13.750922629545567</v>
      </c>
      <c r="N1280">
        <f t="shared" si="157"/>
        <v>-1278.9260776631447</v>
      </c>
      <c r="O1280" t="s">
        <v>8</v>
      </c>
    </row>
    <row r="1281" spans="1:15" x14ac:dyDescent="0.35">
      <c r="A1281">
        <v>2003</v>
      </c>
      <c r="B1281">
        <v>7</v>
      </c>
      <c r="C1281">
        <v>3</v>
      </c>
      <c r="D1281" s="1">
        <f t="shared" si="152"/>
        <v>37805</v>
      </c>
      <c r="E1281">
        <v>0</v>
      </c>
      <c r="F1281">
        <f t="shared" si="158"/>
        <v>0</v>
      </c>
      <c r="G1281">
        <f t="shared" si="153"/>
        <v>0</v>
      </c>
      <c r="H1281">
        <f t="shared" si="159"/>
        <v>0</v>
      </c>
      <c r="I1281">
        <v>1280</v>
      </c>
      <c r="J1281">
        <f t="shared" si="154"/>
        <v>-2.7950298240208452E-2</v>
      </c>
      <c r="K1281">
        <f t="shared" si="155"/>
        <v>-0.99960931409640408</v>
      </c>
      <c r="L1281">
        <f>VLOOKUP(D1281,[1]SOI!$A$1:$C$142,3)</f>
        <v>-12</v>
      </c>
      <c r="M1281" s="2">
        <f t="shared" si="156"/>
        <v>-35.776381747466822</v>
      </c>
      <c r="N1281">
        <f t="shared" si="157"/>
        <v>-1279.4999220433972</v>
      </c>
      <c r="O1281" t="s">
        <v>8</v>
      </c>
    </row>
    <row r="1282" spans="1:15" x14ac:dyDescent="0.35">
      <c r="A1282">
        <v>2003</v>
      </c>
      <c r="B1282">
        <v>7</v>
      </c>
      <c r="C1282">
        <v>4</v>
      </c>
      <c r="D1282" s="1">
        <f t="shared" si="152"/>
        <v>37806</v>
      </c>
      <c r="E1282">
        <v>0</v>
      </c>
      <c r="F1282">
        <f t="shared" si="158"/>
        <v>0</v>
      </c>
      <c r="G1282">
        <f t="shared" si="153"/>
        <v>0</v>
      </c>
      <c r="H1282">
        <f t="shared" si="159"/>
        <v>0</v>
      </c>
      <c r="I1282">
        <v>1281</v>
      </c>
      <c r="J1282">
        <f t="shared" si="154"/>
        <v>-4.5141017773971392E-2</v>
      </c>
      <c r="K1282">
        <f t="shared" si="155"/>
        <v>-0.99898062469415794</v>
      </c>
      <c r="L1282">
        <f>VLOOKUP(D1282,[1]SOI!$A$1:$C$142,3)</f>
        <v>-12</v>
      </c>
      <c r="M1282" s="2">
        <f t="shared" si="156"/>
        <v>-57.825643768457354</v>
      </c>
      <c r="N1282">
        <f t="shared" si="157"/>
        <v>-1279.6941802332162</v>
      </c>
      <c r="O1282" t="s">
        <v>8</v>
      </c>
    </row>
    <row r="1283" spans="1:15" x14ac:dyDescent="0.35">
      <c r="A1283">
        <v>2003</v>
      </c>
      <c r="B1283">
        <v>7</v>
      </c>
      <c r="C1283">
        <v>5</v>
      </c>
      <c r="D1283" s="1">
        <f t="shared" ref="D1283:D1346" si="160">DATE(A1283,B1283,C1283)</f>
        <v>37807</v>
      </c>
      <c r="E1283">
        <v>0</v>
      </c>
      <c r="F1283">
        <f t="shared" si="158"/>
        <v>0</v>
      </c>
      <c r="G1283">
        <f t="shared" ref="G1283:G1346" si="161">IF(E1283=0,0,1)</f>
        <v>0</v>
      </c>
      <c r="H1283">
        <f t="shared" si="159"/>
        <v>0</v>
      </c>
      <c r="I1283">
        <v>1282</v>
      </c>
      <c r="J1283">
        <f t="shared" ref="J1283:J1346" si="162">SIN(2*PI()*I1283/365.25)</f>
        <v>-6.2318379354325874E-2</v>
      </c>
      <c r="K1283">
        <f t="shared" ref="K1283:K1346" si="163">COS(2*PI()*I1283/365.25)</f>
        <v>-0.99805632085301199</v>
      </c>
      <c r="L1283">
        <f>VLOOKUP(D1283,[1]SOI!$A$1:$C$142,3)</f>
        <v>-12</v>
      </c>
      <c r="M1283" s="2">
        <f t="shared" ref="M1283:M1346" si="164">I1283*J1283</f>
        <v>-79.892162332245775</v>
      </c>
      <c r="N1283">
        <f t="shared" ref="N1283:N1346" si="165">I1283*K1283</f>
        <v>-1279.5082033335614</v>
      </c>
      <c r="O1283" t="s">
        <v>8</v>
      </c>
    </row>
    <row r="1284" spans="1:15" x14ac:dyDescent="0.35">
      <c r="A1284">
        <v>2003</v>
      </c>
      <c r="B1284">
        <v>7</v>
      </c>
      <c r="C1284">
        <v>6</v>
      </c>
      <c r="D1284" s="1">
        <f t="shared" si="160"/>
        <v>37808</v>
      </c>
      <c r="E1284">
        <v>0</v>
      </c>
      <c r="F1284">
        <f t="shared" ref="F1284:F1347" si="166">E1283</f>
        <v>0</v>
      </c>
      <c r="G1284">
        <f t="shared" si="161"/>
        <v>0</v>
      </c>
      <c r="H1284">
        <f t="shared" ref="H1284:H1347" si="167">G1283</f>
        <v>0</v>
      </c>
      <c r="I1284">
        <v>1283</v>
      </c>
      <c r="J1284">
        <f t="shared" si="162"/>
        <v>-7.9477299923619557E-2</v>
      </c>
      <c r="K1284">
        <f t="shared" si="163"/>
        <v>-0.99683667608934368</v>
      </c>
      <c r="L1284">
        <f>VLOOKUP(D1284,[1]SOI!$A$1:$C$142,3)</f>
        <v>-12</v>
      </c>
      <c r="M1284" s="2">
        <f t="shared" si="164"/>
        <v>-101.9693758020039</v>
      </c>
      <c r="N1284">
        <f t="shared" si="165"/>
        <v>-1278.941455422628</v>
      </c>
      <c r="O1284" t="s">
        <v>8</v>
      </c>
    </row>
    <row r="1285" spans="1:15" x14ac:dyDescent="0.35">
      <c r="A1285">
        <v>2003</v>
      </c>
      <c r="B1285">
        <v>7</v>
      </c>
      <c r="C1285">
        <v>7</v>
      </c>
      <c r="D1285" s="1">
        <f t="shared" si="160"/>
        <v>37809</v>
      </c>
      <c r="E1285">
        <v>0</v>
      </c>
      <c r="F1285">
        <f t="shared" si="166"/>
        <v>0</v>
      </c>
      <c r="G1285">
        <f t="shared" si="161"/>
        <v>0</v>
      </c>
      <c r="H1285">
        <f t="shared" si="167"/>
        <v>0</v>
      </c>
      <c r="I1285">
        <v>1284</v>
      </c>
      <c r="J1285">
        <f t="shared" si="162"/>
        <v>-9.6612701881202565E-2</v>
      </c>
      <c r="K1285">
        <f t="shared" si="163"/>
        <v>-0.99532205131566032</v>
      </c>
      <c r="L1285">
        <f>VLOOKUP(D1285,[1]SOI!$A$1:$C$142,3)</f>
        <v>-12</v>
      </c>
      <c r="M1285" s="2">
        <f t="shared" si="164"/>
        <v>-124.0507092154641</v>
      </c>
      <c r="N1285">
        <f t="shared" si="165"/>
        <v>-1277.9935138893079</v>
      </c>
      <c r="O1285" t="s">
        <v>8</v>
      </c>
    </row>
    <row r="1286" spans="1:15" x14ac:dyDescent="0.35">
      <c r="A1286">
        <v>2003</v>
      </c>
      <c r="B1286">
        <v>7</v>
      </c>
      <c r="C1286">
        <v>8</v>
      </c>
      <c r="D1286" s="1">
        <f t="shared" si="160"/>
        <v>37810</v>
      </c>
      <c r="E1286">
        <v>0.8</v>
      </c>
      <c r="F1286">
        <f t="shared" si="166"/>
        <v>0</v>
      </c>
      <c r="G1286">
        <f t="shared" si="161"/>
        <v>1</v>
      </c>
      <c r="H1286">
        <f t="shared" si="167"/>
        <v>0</v>
      </c>
      <c r="I1286">
        <v>1285</v>
      </c>
      <c r="J1286">
        <f t="shared" si="162"/>
        <v>-0.11371951458594649</v>
      </c>
      <c r="K1286">
        <f t="shared" si="163"/>
        <v>-0.993512894733801</v>
      </c>
      <c r="L1286">
        <f>VLOOKUP(D1286,[1]SOI!$A$1:$C$142,3)</f>
        <v>-12</v>
      </c>
      <c r="M1286" s="2">
        <f t="shared" si="164"/>
        <v>-146.12957624294125</v>
      </c>
      <c r="N1286">
        <f t="shared" si="165"/>
        <v>-1276.6640697329342</v>
      </c>
      <c r="O1286" t="s">
        <v>8</v>
      </c>
    </row>
    <row r="1287" spans="1:15" x14ac:dyDescent="0.35">
      <c r="A1287">
        <v>2003</v>
      </c>
      <c r="B1287">
        <v>7</v>
      </c>
      <c r="C1287">
        <v>9</v>
      </c>
      <c r="D1287" s="1">
        <f t="shared" si="160"/>
        <v>37811</v>
      </c>
      <c r="E1287">
        <v>0</v>
      </c>
      <c r="F1287">
        <f t="shared" si="166"/>
        <v>0.8</v>
      </c>
      <c r="G1287">
        <f t="shared" si="161"/>
        <v>0</v>
      </c>
      <c r="H1287">
        <f t="shared" si="167"/>
        <v>1</v>
      </c>
      <c r="I1287">
        <v>1286</v>
      </c>
      <c r="J1287">
        <f t="shared" si="162"/>
        <v>-0.13079267585676044</v>
      </c>
      <c r="K1287">
        <f t="shared" si="163"/>
        <v>-0.99140974170230367</v>
      </c>
      <c r="L1287">
        <f>VLOOKUP(D1287,[1]SOI!$A$1:$C$142,3)</f>
        <v>-12</v>
      </c>
      <c r="M1287" s="2">
        <f t="shared" si="164"/>
        <v>-168.19938115179392</v>
      </c>
      <c r="N1287">
        <f t="shared" si="165"/>
        <v>-1274.9529278291625</v>
      </c>
      <c r="O1287" t="s">
        <v>8</v>
      </c>
    </row>
    <row r="1288" spans="1:15" x14ac:dyDescent="0.35">
      <c r="A1288">
        <v>2003</v>
      </c>
      <c r="B1288">
        <v>7</v>
      </c>
      <c r="C1288">
        <v>10</v>
      </c>
      <c r="D1288" s="1">
        <f t="shared" si="160"/>
        <v>37812</v>
      </c>
      <c r="E1288">
        <v>0</v>
      </c>
      <c r="F1288">
        <f t="shared" si="166"/>
        <v>0</v>
      </c>
      <c r="G1288">
        <f t="shared" si="161"/>
        <v>0</v>
      </c>
      <c r="H1288">
        <f t="shared" si="167"/>
        <v>0</v>
      </c>
      <c r="I1288">
        <v>1287</v>
      </c>
      <c r="J1288">
        <f t="shared" si="162"/>
        <v>-0.1478271334705295</v>
      </c>
      <c r="K1288">
        <f t="shared" si="163"/>
        <v>-0.98901321457798852</v>
      </c>
      <c r="L1288">
        <f>VLOOKUP(D1288,[1]SOI!$A$1:$C$142,3)</f>
        <v>-12</v>
      </c>
      <c r="M1288" s="2">
        <f t="shared" si="164"/>
        <v>-190.25352077657146</v>
      </c>
      <c r="N1288">
        <f t="shared" si="165"/>
        <v>-1272.8600071618712</v>
      </c>
      <c r="O1288" t="s">
        <v>8</v>
      </c>
    </row>
    <row r="1289" spans="1:15" x14ac:dyDescent="0.35">
      <c r="A1289">
        <v>2003</v>
      </c>
      <c r="B1289">
        <v>7</v>
      </c>
      <c r="C1289">
        <v>11</v>
      </c>
      <c r="D1289" s="1">
        <f t="shared" si="160"/>
        <v>37813</v>
      </c>
      <c r="E1289">
        <v>0</v>
      </c>
      <c r="F1289">
        <f t="shared" si="166"/>
        <v>0</v>
      </c>
      <c r="G1289">
        <f t="shared" si="161"/>
        <v>0</v>
      </c>
      <c r="H1289">
        <f t="shared" si="167"/>
        <v>0</v>
      </c>
      <c r="I1289">
        <v>1288</v>
      </c>
      <c r="J1289">
        <f t="shared" si="162"/>
        <v>-0.16481784665719476</v>
      </c>
      <c r="K1289">
        <f t="shared" si="163"/>
        <v>-0.98632402253178719</v>
      </c>
      <c r="L1289">
        <f>VLOOKUP(D1289,[1]SOI!$A$1:$C$142,3)</f>
        <v>-12</v>
      </c>
      <c r="M1289" s="2">
        <f t="shared" si="164"/>
        <v>-212.28538649446685</v>
      </c>
      <c r="N1289">
        <f t="shared" si="165"/>
        <v>-1270.385341020942</v>
      </c>
      <c r="O1289" t="s">
        <v>8</v>
      </c>
    </row>
    <row r="1290" spans="1:15" x14ac:dyDescent="0.35">
      <c r="A1290">
        <v>2003</v>
      </c>
      <c r="B1290">
        <v>7</v>
      </c>
      <c r="C1290">
        <v>12</v>
      </c>
      <c r="D1290" s="1">
        <f t="shared" si="160"/>
        <v>37814</v>
      </c>
      <c r="E1290">
        <v>0</v>
      </c>
      <c r="F1290">
        <f t="shared" si="166"/>
        <v>0</v>
      </c>
      <c r="G1290">
        <f t="shared" si="161"/>
        <v>0</v>
      </c>
      <c r="H1290">
        <f t="shared" si="167"/>
        <v>0</v>
      </c>
      <c r="I1290">
        <v>1289</v>
      </c>
      <c r="J1290">
        <f t="shared" si="162"/>
        <v>-0.18175978759137351</v>
      </c>
      <c r="K1290">
        <f t="shared" si="163"/>
        <v>-0.98334296133889054</v>
      </c>
      <c r="L1290">
        <f>VLOOKUP(D1290,[1]SOI!$A$1:$C$142,3)</f>
        <v>-12</v>
      </c>
      <c r="M1290" s="2">
        <f t="shared" si="164"/>
        <v>-234.28836620528045</v>
      </c>
      <c r="N1290">
        <f t="shared" si="165"/>
        <v>-1267.5290771658299</v>
      </c>
      <c r="O1290" t="s">
        <v>8</v>
      </c>
    </row>
    <row r="1291" spans="1:15" x14ac:dyDescent="0.35">
      <c r="A1291">
        <v>2003</v>
      </c>
      <c r="B1291">
        <v>7</v>
      </c>
      <c r="C1291">
        <v>13</v>
      </c>
      <c r="D1291" s="1">
        <f t="shared" si="160"/>
        <v>37815</v>
      </c>
      <c r="E1291">
        <v>0</v>
      </c>
      <c r="F1291">
        <f t="shared" si="166"/>
        <v>0</v>
      </c>
      <c r="G1291">
        <f t="shared" si="161"/>
        <v>0</v>
      </c>
      <c r="H1291">
        <f t="shared" si="167"/>
        <v>0</v>
      </c>
      <c r="I1291">
        <v>1290</v>
      </c>
      <c r="J1291">
        <f t="shared" si="162"/>
        <v>-0.19864794288017015</v>
      </c>
      <c r="K1291">
        <f t="shared" si="163"/>
        <v>-0.98007091314326666</v>
      </c>
      <c r="L1291">
        <f>VLOOKUP(D1291,[1]SOI!$A$1:$C$142,3)</f>
        <v>-12</v>
      </c>
      <c r="M1291" s="2">
        <f t="shared" si="164"/>
        <v>-256.25584631541949</v>
      </c>
      <c r="N1291">
        <f t="shared" si="165"/>
        <v>-1264.2914779548139</v>
      </c>
      <c r="O1291" t="s">
        <v>8</v>
      </c>
    </row>
    <row r="1292" spans="1:15" x14ac:dyDescent="0.35">
      <c r="A1292">
        <v>2003</v>
      </c>
      <c r="B1292">
        <v>7</v>
      </c>
      <c r="C1292">
        <v>14</v>
      </c>
      <c r="D1292" s="1">
        <f t="shared" si="160"/>
        <v>37816</v>
      </c>
      <c r="E1292">
        <v>0.2</v>
      </c>
      <c r="F1292">
        <f t="shared" si="166"/>
        <v>0</v>
      </c>
      <c r="G1292">
        <f t="shared" si="161"/>
        <v>1</v>
      </c>
      <c r="H1292">
        <f t="shared" si="167"/>
        <v>0</v>
      </c>
      <c r="I1292">
        <v>1291</v>
      </c>
      <c r="J1292">
        <f t="shared" si="162"/>
        <v>-0.21547731504673046</v>
      </c>
      <c r="K1292">
        <f t="shared" si="163"/>
        <v>-0.97650884619661893</v>
      </c>
      <c r="L1292">
        <f>VLOOKUP(D1292,[1]SOI!$A$1:$C$142,3)</f>
        <v>-12</v>
      </c>
      <c r="M1292" s="2">
        <f t="shared" si="164"/>
        <v>-278.18121372532903</v>
      </c>
      <c r="N1292">
        <f t="shared" si="165"/>
        <v>-1260.672920439835</v>
      </c>
      <c r="O1292" t="s">
        <v>8</v>
      </c>
    </row>
    <row r="1293" spans="1:15" x14ac:dyDescent="0.35">
      <c r="A1293">
        <v>2003</v>
      </c>
      <c r="B1293">
        <v>7</v>
      </c>
      <c r="C1293">
        <v>15</v>
      </c>
      <c r="D1293" s="1">
        <f t="shared" si="160"/>
        <v>37817</v>
      </c>
      <c r="E1293">
        <v>0</v>
      </c>
      <c r="F1293">
        <f t="shared" si="166"/>
        <v>0.2</v>
      </c>
      <c r="G1293">
        <f t="shared" si="161"/>
        <v>0</v>
      </c>
      <c r="H1293">
        <f t="shared" si="167"/>
        <v>1</v>
      </c>
      <c r="I1293">
        <v>1292</v>
      </c>
      <c r="J1293">
        <f t="shared" si="162"/>
        <v>-0.23224292400906835</v>
      </c>
      <c r="K1293">
        <f t="shared" si="163"/>
        <v>-0.97265781457186584</v>
      </c>
      <c r="L1293">
        <f>VLOOKUP(D1293,[1]SOI!$A$1:$C$142,3)</f>
        <v>-12</v>
      </c>
      <c r="M1293" s="2">
        <f t="shared" si="164"/>
        <v>-300.05785781971628</v>
      </c>
      <c r="N1293">
        <f t="shared" si="165"/>
        <v>-1256.6738964268507</v>
      </c>
      <c r="O1293" t="s">
        <v>8</v>
      </c>
    </row>
    <row r="1294" spans="1:15" x14ac:dyDescent="0.35">
      <c r="A1294">
        <v>2003</v>
      </c>
      <c r="B1294">
        <v>7</v>
      </c>
      <c r="C1294">
        <v>16</v>
      </c>
      <c r="D1294" s="1">
        <f t="shared" si="160"/>
        <v>37818</v>
      </c>
      <c r="E1294">
        <v>8.8000000000000007</v>
      </c>
      <c r="F1294">
        <f t="shared" si="166"/>
        <v>0</v>
      </c>
      <c r="G1294">
        <f t="shared" si="161"/>
        <v>1</v>
      </c>
      <c r="H1294">
        <f t="shared" si="167"/>
        <v>0</v>
      </c>
      <c r="I1294">
        <v>1293</v>
      </c>
      <c r="J1294">
        <f t="shared" si="162"/>
        <v>-0.24893980855376605</v>
      </c>
      <c r="K1294">
        <f t="shared" si="163"/>
        <v>-0.96851895785122055</v>
      </c>
      <c r="L1294">
        <f>VLOOKUP(D1294,[1]SOI!$A$1:$C$142,3)</f>
        <v>-12</v>
      </c>
      <c r="M1294" s="2">
        <f t="shared" si="164"/>
        <v>-321.8791724600195</v>
      </c>
      <c r="N1294">
        <f t="shared" si="165"/>
        <v>-1252.2950125016282</v>
      </c>
      <c r="O1294" t="s">
        <v>8</v>
      </c>
    </row>
    <row r="1295" spans="1:15" x14ac:dyDescent="0.35">
      <c r="A1295">
        <v>2003</v>
      </c>
      <c r="B1295">
        <v>7</v>
      </c>
      <c r="C1295">
        <v>17</v>
      </c>
      <c r="D1295" s="1">
        <f t="shared" si="160"/>
        <v>37819</v>
      </c>
      <c r="E1295">
        <v>0</v>
      </c>
      <c r="F1295">
        <f t="shared" si="166"/>
        <v>8.8000000000000007</v>
      </c>
      <c r="G1295">
        <f t="shared" si="161"/>
        <v>0</v>
      </c>
      <c r="H1295">
        <f t="shared" si="167"/>
        <v>1</v>
      </c>
      <c r="I1295">
        <v>1294</v>
      </c>
      <c r="J1295">
        <f t="shared" si="162"/>
        <v>-0.26556302780405627</v>
      </c>
      <c r="K1295">
        <f t="shared" si="163"/>
        <v>-0.96409350078897538</v>
      </c>
      <c r="L1295">
        <f>VLOOKUP(D1295,[1]SOI!$A$1:$C$142,3)</f>
        <v>-12</v>
      </c>
      <c r="M1295" s="2">
        <f t="shared" si="164"/>
        <v>-343.63855797844883</v>
      </c>
      <c r="N1295">
        <f t="shared" si="165"/>
        <v>-1247.5369900209341</v>
      </c>
      <c r="O1295" t="s">
        <v>8</v>
      </c>
    </row>
    <row r="1296" spans="1:15" x14ac:dyDescent="0.35">
      <c r="A1296">
        <v>2003</v>
      </c>
      <c r="B1296">
        <v>7</v>
      </c>
      <c r="C1296">
        <v>18</v>
      </c>
      <c r="D1296" s="1">
        <f t="shared" si="160"/>
        <v>37820</v>
      </c>
      <c r="E1296">
        <v>0</v>
      </c>
      <c r="F1296">
        <f t="shared" si="166"/>
        <v>0</v>
      </c>
      <c r="G1296">
        <f t="shared" si="161"/>
        <v>0</v>
      </c>
      <c r="H1296">
        <f t="shared" si="167"/>
        <v>0</v>
      </c>
      <c r="I1296">
        <v>1295</v>
      </c>
      <c r="J1296">
        <f t="shared" si="162"/>
        <v>-0.28210766268191756</v>
      </c>
      <c r="K1296">
        <f t="shared" si="163"/>
        <v>-0.95938275294907471</v>
      </c>
      <c r="L1296">
        <f>VLOOKUP(D1296,[1]SOI!$A$1:$C$142,3)</f>
        <v>-12</v>
      </c>
      <c r="M1296" s="2">
        <f t="shared" si="164"/>
        <v>-365.32942317308323</v>
      </c>
      <c r="N1296">
        <f t="shared" si="165"/>
        <v>-1242.4006650690517</v>
      </c>
      <c r="O1296" t="s">
        <v>8</v>
      </c>
    </row>
    <row r="1297" spans="1:15" x14ac:dyDescent="0.35">
      <c r="A1297">
        <v>2003</v>
      </c>
      <c r="B1297">
        <v>7</v>
      </c>
      <c r="C1297">
        <v>19</v>
      </c>
      <c r="D1297" s="1">
        <f t="shared" si="160"/>
        <v>37821</v>
      </c>
      <c r="E1297">
        <v>0</v>
      </c>
      <c r="F1297">
        <f t="shared" si="166"/>
        <v>0</v>
      </c>
      <c r="G1297">
        <f t="shared" si="161"/>
        <v>0</v>
      </c>
      <c r="H1297">
        <f t="shared" si="167"/>
        <v>0</v>
      </c>
      <c r="I1297">
        <v>1296</v>
      </c>
      <c r="J1297">
        <f t="shared" si="162"/>
        <v>-0.29856881736371887</v>
      </c>
      <c r="K1297">
        <f t="shared" si="163"/>
        <v>-0.95438810831759124</v>
      </c>
      <c r="L1297">
        <f>VLOOKUP(D1297,[1]SOI!$A$1:$C$142,3)</f>
        <v>-12</v>
      </c>
      <c r="M1297" s="2">
        <f t="shared" si="164"/>
        <v>-386.94518730337967</v>
      </c>
      <c r="N1297">
        <f t="shared" si="165"/>
        <v>-1236.8869883795983</v>
      </c>
      <c r="O1297" t="s">
        <v>8</v>
      </c>
    </row>
    <row r="1298" spans="1:15" x14ac:dyDescent="0.35">
      <c r="A1298">
        <v>2003</v>
      </c>
      <c r="B1298">
        <v>7</v>
      </c>
      <c r="C1298">
        <v>20</v>
      </c>
      <c r="D1298" s="1">
        <f t="shared" si="160"/>
        <v>37822</v>
      </c>
      <c r="E1298">
        <v>0</v>
      </c>
      <c r="F1298">
        <f t="shared" si="166"/>
        <v>0</v>
      </c>
      <c r="G1298">
        <f t="shared" si="161"/>
        <v>0</v>
      </c>
      <c r="H1298">
        <f t="shared" si="167"/>
        <v>0</v>
      </c>
      <c r="I1298">
        <v>1297</v>
      </c>
      <c r="J1298">
        <f t="shared" si="162"/>
        <v>-0.31494162072895182</v>
      </c>
      <c r="K1298">
        <f t="shared" si="163"/>
        <v>-0.94911104489022835</v>
      </c>
      <c r="L1298">
        <f>VLOOKUP(D1298,[1]SOI!$A$1:$C$142,3)</f>
        <v>-12</v>
      </c>
      <c r="M1298" s="2">
        <f t="shared" si="164"/>
        <v>-408.47928208545051</v>
      </c>
      <c r="N1298">
        <f t="shared" si="165"/>
        <v>-1230.9970252226262</v>
      </c>
      <c r="O1298" t="s">
        <v>8</v>
      </c>
    </row>
    <row r="1299" spans="1:15" x14ac:dyDescent="0.35">
      <c r="A1299">
        <v>2003</v>
      </c>
      <c r="B1299">
        <v>7</v>
      </c>
      <c r="C1299">
        <v>21</v>
      </c>
      <c r="D1299" s="1">
        <f t="shared" si="160"/>
        <v>37823</v>
      </c>
      <c r="E1299">
        <v>0</v>
      </c>
      <c r="F1299">
        <f t="shared" si="166"/>
        <v>0</v>
      </c>
      <c r="G1299">
        <f t="shared" si="161"/>
        <v>0</v>
      </c>
      <c r="H1299">
        <f t="shared" si="167"/>
        <v>0</v>
      </c>
      <c r="I1299">
        <v>1298</v>
      </c>
      <c r="J1299">
        <f t="shared" si="162"/>
        <v>-0.33122122780168428</v>
      </c>
      <c r="K1299">
        <f t="shared" si="163"/>
        <v>-0.94355312423495519</v>
      </c>
      <c r="L1299">
        <f>VLOOKUP(D1299,[1]SOI!$A$1:$C$142,3)</f>
        <v>-12</v>
      </c>
      <c r="M1299" s="2">
        <f t="shared" si="164"/>
        <v>-429.92515368658621</v>
      </c>
      <c r="N1299">
        <f t="shared" si="165"/>
        <v>-1224.7319552569718</v>
      </c>
      <c r="O1299" t="s">
        <v>8</v>
      </c>
    </row>
    <row r="1300" spans="1:15" x14ac:dyDescent="0.35">
      <c r="A1300">
        <v>2003</v>
      </c>
      <c r="B1300">
        <v>7</v>
      </c>
      <c r="C1300">
        <v>22</v>
      </c>
      <c r="D1300" s="1">
        <f t="shared" si="160"/>
        <v>37824</v>
      </c>
      <c r="E1300">
        <v>1.2</v>
      </c>
      <c r="F1300">
        <f t="shared" si="166"/>
        <v>0</v>
      </c>
      <c r="G1300">
        <f t="shared" si="161"/>
        <v>1</v>
      </c>
      <c r="H1300">
        <f t="shared" si="167"/>
        <v>0</v>
      </c>
      <c r="I1300">
        <v>1299</v>
      </c>
      <c r="J1300">
        <f t="shared" si="162"/>
        <v>-0.34740282118427646</v>
      </c>
      <c r="K1300">
        <f t="shared" si="163"/>
        <v>-0.93771599102990966</v>
      </c>
      <c r="L1300">
        <f>VLOOKUP(D1300,[1]SOI!$A$1:$C$142,3)</f>
        <v>-12</v>
      </c>
      <c r="M1300" s="2">
        <f t="shared" si="164"/>
        <v>-451.2762647183751</v>
      </c>
      <c r="N1300">
        <f t="shared" si="165"/>
        <v>-1218.0930723478527</v>
      </c>
      <c r="O1300" t="s">
        <v>8</v>
      </c>
    </row>
    <row r="1301" spans="1:15" x14ac:dyDescent="0.35">
      <c r="A1301">
        <v>2003</v>
      </c>
      <c r="B1301">
        <v>7</v>
      </c>
      <c r="C1301">
        <v>23</v>
      </c>
      <c r="D1301" s="1">
        <f t="shared" si="160"/>
        <v>37825</v>
      </c>
      <c r="E1301">
        <v>0.6</v>
      </c>
      <c r="F1301">
        <f t="shared" si="166"/>
        <v>1.2</v>
      </c>
      <c r="G1301">
        <f t="shared" si="161"/>
        <v>1</v>
      </c>
      <c r="H1301">
        <f t="shared" si="167"/>
        <v>1</v>
      </c>
      <c r="I1301">
        <v>1300</v>
      </c>
      <c r="J1301">
        <f t="shared" si="162"/>
        <v>-0.36348161248290295</v>
      </c>
      <c r="K1301">
        <f t="shared" si="163"/>
        <v>-0.93160137257672004</v>
      </c>
      <c r="L1301">
        <f>VLOOKUP(D1301,[1]SOI!$A$1:$C$142,3)</f>
        <v>-12</v>
      </c>
      <c r="M1301" s="2">
        <f t="shared" si="164"/>
        <v>-472.52609622777385</v>
      </c>
      <c r="N1301">
        <f t="shared" si="165"/>
        <v>-1211.0817843497362</v>
      </c>
      <c r="O1301" t="s">
        <v>8</v>
      </c>
    </row>
    <row r="1302" spans="1:15" x14ac:dyDescent="0.35">
      <c r="A1302">
        <v>2003</v>
      </c>
      <c r="B1302">
        <v>7</v>
      </c>
      <c r="C1302">
        <v>24</v>
      </c>
      <c r="D1302" s="1">
        <f t="shared" si="160"/>
        <v>37826</v>
      </c>
      <c r="E1302">
        <v>24.8</v>
      </c>
      <c r="F1302">
        <f t="shared" si="166"/>
        <v>0.6</v>
      </c>
      <c r="G1302">
        <f t="shared" si="161"/>
        <v>1</v>
      </c>
      <c r="H1302">
        <f t="shared" si="167"/>
        <v>1</v>
      </c>
      <c r="I1302">
        <v>1301</v>
      </c>
      <c r="J1302">
        <f t="shared" si="162"/>
        <v>-0.37945284372454552</v>
      </c>
      <c r="K1302">
        <f t="shared" si="163"/>
        <v>-0.92521107828935756</v>
      </c>
      <c r="L1302">
        <f>VLOOKUP(D1302,[1]SOI!$A$1:$C$142,3)</f>
        <v>-12</v>
      </c>
      <c r="M1302" s="2">
        <f t="shared" si="164"/>
        <v>-493.66814968563369</v>
      </c>
      <c r="N1302">
        <f t="shared" si="165"/>
        <v>-1203.6996128544542</v>
      </c>
      <c r="O1302" t="s">
        <v>8</v>
      </c>
    </row>
    <row r="1303" spans="1:15" x14ac:dyDescent="0.35">
      <c r="A1303">
        <v>2003</v>
      </c>
      <c r="B1303">
        <v>7</v>
      </c>
      <c r="C1303">
        <v>25</v>
      </c>
      <c r="D1303" s="1">
        <f t="shared" si="160"/>
        <v>37827</v>
      </c>
      <c r="E1303">
        <v>3.8</v>
      </c>
      <c r="F1303">
        <f t="shared" si="166"/>
        <v>24.8</v>
      </c>
      <c r="G1303">
        <f t="shared" si="161"/>
        <v>1</v>
      </c>
      <c r="H1303">
        <f t="shared" si="167"/>
        <v>1</v>
      </c>
      <c r="I1303">
        <v>1302</v>
      </c>
      <c r="J1303">
        <f t="shared" si="162"/>
        <v>-0.39531178876491413</v>
      </c>
      <c r="K1303">
        <f t="shared" si="163"/>
        <v>-0.91854699915871696</v>
      </c>
      <c r="L1303">
        <f>VLOOKUP(D1303,[1]SOI!$A$1:$C$142,3)</f>
        <v>-12</v>
      </c>
      <c r="M1303" s="2">
        <f t="shared" si="164"/>
        <v>-514.69594897191814</v>
      </c>
      <c r="N1303">
        <f t="shared" si="165"/>
        <v>-1195.9481929046494</v>
      </c>
      <c r="O1303" t="s">
        <v>8</v>
      </c>
    </row>
    <row r="1304" spans="1:15" x14ac:dyDescent="0.35">
      <c r="A1304">
        <v>2003</v>
      </c>
      <c r="B1304">
        <v>7</v>
      </c>
      <c r="C1304">
        <v>26</v>
      </c>
      <c r="D1304" s="1">
        <f t="shared" si="160"/>
        <v>37828</v>
      </c>
      <c r="E1304">
        <v>3.6</v>
      </c>
      <c r="F1304">
        <f t="shared" si="166"/>
        <v>3.8</v>
      </c>
      <c r="G1304">
        <f t="shared" si="161"/>
        <v>1</v>
      </c>
      <c r="H1304">
        <f t="shared" si="167"/>
        <v>1</v>
      </c>
      <c r="I1304">
        <v>1303</v>
      </c>
      <c r="J1304">
        <f t="shared" si="162"/>
        <v>-0.4110537546870322</v>
      </c>
      <c r="K1304">
        <f t="shared" si="163"/>
        <v>-0.91161110719302518</v>
      </c>
      <c r="L1304">
        <f>VLOOKUP(D1304,[1]SOI!$A$1:$C$142,3)</f>
        <v>-12</v>
      </c>
      <c r="M1304" s="2">
        <f t="shared" si="164"/>
        <v>-535.60304235720298</v>
      </c>
      <c r="N1304">
        <f t="shared" si="165"/>
        <v>-1187.8292726725117</v>
      </c>
      <c r="O1304" t="s">
        <v>8</v>
      </c>
    </row>
    <row r="1305" spans="1:15" x14ac:dyDescent="0.35">
      <c r="A1305">
        <v>2003</v>
      </c>
      <c r="B1305">
        <v>7</v>
      </c>
      <c r="C1305">
        <v>27</v>
      </c>
      <c r="D1305" s="1">
        <f t="shared" si="160"/>
        <v>37829</v>
      </c>
      <c r="E1305">
        <v>0.6</v>
      </c>
      <c r="F1305">
        <f t="shared" si="166"/>
        <v>3.6</v>
      </c>
      <c r="G1305">
        <f t="shared" si="161"/>
        <v>1</v>
      </c>
      <c r="H1305">
        <f t="shared" si="167"/>
        <v>1</v>
      </c>
      <c r="I1305">
        <v>1304</v>
      </c>
      <c r="J1305">
        <f t="shared" si="162"/>
        <v>-0.42667408318992256</v>
      </c>
      <c r="K1305">
        <f t="shared" si="163"/>
        <v>-0.90440545483430113</v>
      </c>
      <c r="L1305">
        <f>VLOOKUP(D1305,[1]SOI!$A$1:$C$142,3)</f>
        <v>-12</v>
      </c>
      <c r="M1305" s="2">
        <f t="shared" si="164"/>
        <v>-556.38300447965901</v>
      </c>
      <c r="N1305">
        <f t="shared" si="165"/>
        <v>-1179.3447131039286</v>
      </c>
      <c r="O1305" t="s">
        <v>8</v>
      </c>
    </row>
    <row r="1306" spans="1:15" x14ac:dyDescent="0.35">
      <c r="A1306">
        <v>2003</v>
      </c>
      <c r="B1306">
        <v>7</v>
      </c>
      <c r="C1306">
        <v>28</v>
      </c>
      <c r="D1306" s="1">
        <f t="shared" si="160"/>
        <v>37830</v>
      </c>
      <c r="E1306">
        <v>0</v>
      </c>
      <c r="F1306">
        <f t="shared" si="166"/>
        <v>0.6</v>
      </c>
      <c r="G1306">
        <f t="shared" si="161"/>
        <v>0</v>
      </c>
      <c r="H1306">
        <f t="shared" si="167"/>
        <v>1</v>
      </c>
      <c r="I1306">
        <v>1305</v>
      </c>
      <c r="J1306">
        <f t="shared" si="162"/>
        <v>-0.44216815196707115</v>
      </c>
      <c r="K1306">
        <f t="shared" si="163"/>
        <v>-0.89693217435100692</v>
      </c>
      <c r="L1306">
        <f>VLOOKUP(D1306,[1]SOI!$A$1:$C$142,3)</f>
        <v>-12</v>
      </c>
      <c r="M1306" s="2">
        <f t="shared" si="164"/>
        <v>-577.02943831702783</v>
      </c>
      <c r="N1306">
        <f t="shared" si="165"/>
        <v>-1170.4964875280641</v>
      </c>
      <c r="O1306" t="s">
        <v>8</v>
      </c>
    </row>
    <row r="1307" spans="1:15" x14ac:dyDescent="0.35">
      <c r="A1307">
        <v>2003</v>
      </c>
      <c r="B1307">
        <v>7</v>
      </c>
      <c r="C1307">
        <v>29</v>
      </c>
      <c r="D1307" s="1">
        <f t="shared" si="160"/>
        <v>37831</v>
      </c>
      <c r="E1307">
        <v>10.6</v>
      </c>
      <c r="F1307">
        <f t="shared" si="166"/>
        <v>0</v>
      </c>
      <c r="G1307">
        <f t="shared" si="161"/>
        <v>1</v>
      </c>
      <c r="H1307">
        <f t="shared" si="167"/>
        <v>0</v>
      </c>
      <c r="I1307">
        <v>1306</v>
      </c>
      <c r="J1307">
        <f t="shared" si="162"/>
        <v>-0.45753137607425109</v>
      </c>
      <c r="K1307">
        <f t="shared" si="163"/>
        <v>-0.8891934772070712</v>
      </c>
      <c r="L1307">
        <f>VLOOKUP(D1307,[1]SOI!$A$1:$C$142,3)</f>
        <v>-12</v>
      </c>
      <c r="M1307" s="2">
        <f t="shared" si="164"/>
        <v>-597.5359771529719</v>
      </c>
      <c r="N1307">
        <f t="shared" si="165"/>
        <v>-1161.2866812324351</v>
      </c>
      <c r="O1307" t="s">
        <v>8</v>
      </c>
    </row>
    <row r="1308" spans="1:15" x14ac:dyDescent="0.35">
      <c r="A1308">
        <v>2003</v>
      </c>
      <c r="B1308">
        <v>7</v>
      </c>
      <c r="C1308">
        <v>30</v>
      </c>
      <c r="D1308" s="1">
        <f t="shared" si="160"/>
        <v>37832</v>
      </c>
      <c r="E1308">
        <v>7.8</v>
      </c>
      <c r="F1308">
        <f t="shared" si="166"/>
        <v>10.6</v>
      </c>
      <c r="G1308">
        <f t="shared" si="161"/>
        <v>1</v>
      </c>
      <c r="H1308">
        <f t="shared" si="167"/>
        <v>1</v>
      </c>
      <c r="I1308">
        <v>1307</v>
      </c>
      <c r="J1308">
        <f t="shared" si="162"/>
        <v>-0.47275920928627557</v>
      </c>
      <c r="K1308">
        <f t="shared" si="163"/>
        <v>-0.88119165340748407</v>
      </c>
      <c r="L1308">
        <f>VLOOKUP(D1308,[1]SOI!$A$1:$C$142,3)</f>
        <v>-12</v>
      </c>
      <c r="M1308" s="2">
        <f t="shared" si="164"/>
        <v>-617.89628653716215</v>
      </c>
      <c r="N1308">
        <f t="shared" si="165"/>
        <v>-1151.7174910035817</v>
      </c>
      <c r="O1308" t="s">
        <v>8</v>
      </c>
    </row>
    <row r="1309" spans="1:15" x14ac:dyDescent="0.35">
      <c r="A1309">
        <v>2003</v>
      </c>
      <c r="B1309">
        <v>7</v>
      </c>
      <c r="C1309">
        <v>31</v>
      </c>
      <c r="D1309" s="1">
        <f t="shared" si="160"/>
        <v>37833</v>
      </c>
      <c r="E1309">
        <v>4.4000000000000004</v>
      </c>
      <c r="F1309">
        <f t="shared" si="166"/>
        <v>7.8</v>
      </c>
      <c r="G1309">
        <f t="shared" si="161"/>
        <v>1</v>
      </c>
      <c r="H1309">
        <f t="shared" si="167"/>
        <v>1</v>
      </c>
      <c r="I1309">
        <v>1308</v>
      </c>
      <c r="J1309">
        <f t="shared" si="162"/>
        <v>-0.487847145442311</v>
      </c>
      <c r="K1309">
        <f t="shared" si="163"/>
        <v>-0.87292907082064153</v>
      </c>
      <c r="L1309">
        <f>VLOOKUP(D1309,[1]SOI!$A$1:$C$142,3)</f>
        <v>-12</v>
      </c>
      <c r="M1309" s="2">
        <f t="shared" si="164"/>
        <v>-638.10406623854283</v>
      </c>
      <c r="N1309">
        <f t="shared" si="165"/>
        <v>-1141.7912246333992</v>
      </c>
      <c r="O1309" t="s">
        <v>8</v>
      </c>
    </row>
    <row r="1310" spans="1:15" x14ac:dyDescent="0.35">
      <c r="A1310">
        <v>2003</v>
      </c>
      <c r="B1310">
        <v>8</v>
      </c>
      <c r="C1310">
        <v>1</v>
      </c>
      <c r="D1310" s="1">
        <f t="shared" si="160"/>
        <v>37834</v>
      </c>
      <c r="E1310">
        <v>0</v>
      </c>
      <c r="F1310">
        <f t="shared" si="166"/>
        <v>4.4000000000000004</v>
      </c>
      <c r="G1310">
        <f t="shared" si="161"/>
        <v>0</v>
      </c>
      <c r="H1310">
        <f t="shared" si="167"/>
        <v>1</v>
      </c>
      <c r="I1310">
        <v>1309</v>
      </c>
      <c r="J1310">
        <f t="shared" si="162"/>
        <v>-0.50279071977930112</v>
      </c>
      <c r="K1310">
        <f t="shared" si="163"/>
        <v>-0.86440817447766671</v>
      </c>
      <c r="L1310">
        <f>VLOOKUP(D1310,[1]SOI!$A$1:$C$142,3)</f>
        <v>2.9</v>
      </c>
      <c r="M1310" s="2">
        <f t="shared" si="164"/>
        <v>-658.15305219110519</v>
      </c>
      <c r="N1310">
        <f t="shared" si="165"/>
        <v>-1131.5103003912657</v>
      </c>
      <c r="O1310" t="s">
        <v>8</v>
      </c>
    </row>
    <row r="1311" spans="1:15" x14ac:dyDescent="0.35">
      <c r="A1311">
        <v>2003</v>
      </c>
      <c r="B1311">
        <v>8</v>
      </c>
      <c r="C1311">
        <v>2</v>
      </c>
      <c r="D1311" s="1">
        <f t="shared" si="160"/>
        <v>37835</v>
      </c>
      <c r="E1311">
        <v>0</v>
      </c>
      <c r="F1311">
        <f t="shared" si="166"/>
        <v>0</v>
      </c>
      <c r="G1311">
        <f t="shared" si="161"/>
        <v>0</v>
      </c>
      <c r="H1311">
        <f t="shared" si="167"/>
        <v>0</v>
      </c>
      <c r="I1311">
        <v>1310</v>
      </c>
      <c r="J1311">
        <f t="shared" si="162"/>
        <v>-0.51758551025318689</v>
      </c>
      <c r="K1311">
        <f t="shared" si="163"/>
        <v>-0.85563148584887183</v>
      </c>
      <c r="L1311">
        <f>VLOOKUP(D1311,[1]SOI!$A$1:$C$142,3)</f>
        <v>2.9</v>
      </c>
      <c r="M1311" s="2">
        <f t="shared" si="164"/>
        <v>-678.03701843167482</v>
      </c>
      <c r="N1311">
        <f t="shared" si="165"/>
        <v>-1120.8772464620222</v>
      </c>
      <c r="O1311" t="s">
        <v>8</v>
      </c>
    </row>
    <row r="1312" spans="1:15" x14ac:dyDescent="0.35">
      <c r="A1312">
        <v>2003</v>
      </c>
      <c r="B1312">
        <v>8</v>
      </c>
      <c r="C1312">
        <v>3</v>
      </c>
      <c r="D1312" s="1">
        <f t="shared" si="160"/>
        <v>37836</v>
      </c>
      <c r="E1312">
        <v>0</v>
      </c>
      <c r="F1312">
        <f t="shared" si="166"/>
        <v>0</v>
      </c>
      <c r="G1312">
        <f t="shared" si="161"/>
        <v>0</v>
      </c>
      <c r="H1312">
        <f t="shared" si="167"/>
        <v>0</v>
      </c>
      <c r="I1312">
        <v>1311</v>
      </c>
      <c r="J1312">
        <f t="shared" si="162"/>
        <v>-0.53222713884743844</v>
      </c>
      <c r="K1312">
        <f t="shared" si="163"/>
        <v>-0.84660160209762736</v>
      </c>
      <c r="L1312">
        <f>VLOOKUP(D1312,[1]SOI!$A$1:$C$142,3)</f>
        <v>2.9</v>
      </c>
      <c r="M1312" s="2">
        <f t="shared" si="164"/>
        <v>-697.74977902899184</v>
      </c>
      <c r="N1312">
        <f t="shared" si="165"/>
        <v>-1109.8947003499895</v>
      </c>
      <c r="O1312" t="s">
        <v>8</v>
      </c>
    </row>
    <row r="1313" spans="1:15" x14ac:dyDescent="0.35">
      <c r="A1313">
        <v>2003</v>
      </c>
      <c r="B1313">
        <v>8</v>
      </c>
      <c r="C1313">
        <v>4</v>
      </c>
      <c r="D1313" s="1">
        <f t="shared" si="160"/>
        <v>37837</v>
      </c>
      <c r="E1313">
        <v>0</v>
      </c>
      <c r="F1313">
        <f t="shared" si="166"/>
        <v>0</v>
      </c>
      <c r="G1313">
        <f t="shared" si="161"/>
        <v>0</v>
      </c>
      <c r="H1313">
        <f t="shared" si="167"/>
        <v>0</v>
      </c>
      <c r="I1313">
        <v>1312</v>
      </c>
      <c r="J1313">
        <f t="shared" si="162"/>
        <v>-0.54671127286859089</v>
      </c>
      <c r="K1313">
        <f t="shared" si="163"/>
        <v>-0.83732119531181415</v>
      </c>
      <c r="L1313">
        <f>VLOOKUP(D1313,[1]SOI!$A$1:$C$142,3)</f>
        <v>2.9</v>
      </c>
      <c r="M1313" s="2">
        <f t="shared" si="164"/>
        <v>-717.2851900035912</v>
      </c>
      <c r="N1313">
        <f t="shared" si="165"/>
        <v>-1098.5654082491001</v>
      </c>
      <c r="O1313" t="s">
        <v>8</v>
      </c>
    </row>
    <row r="1314" spans="1:15" x14ac:dyDescent="0.35">
      <c r="A1314">
        <v>2003</v>
      </c>
      <c r="B1314">
        <v>8</v>
      </c>
      <c r="C1314">
        <v>5</v>
      </c>
      <c r="D1314" s="1">
        <f t="shared" si="160"/>
        <v>37838</v>
      </c>
      <c r="E1314">
        <v>0</v>
      </c>
      <c r="F1314">
        <f t="shared" si="166"/>
        <v>0</v>
      </c>
      <c r="G1314">
        <f t="shared" si="161"/>
        <v>0</v>
      </c>
      <c r="H1314">
        <f t="shared" si="167"/>
        <v>0</v>
      </c>
      <c r="I1314">
        <v>1313</v>
      </c>
      <c r="J1314">
        <f t="shared" si="162"/>
        <v>-0.56103362622836583</v>
      </c>
      <c r="K1314">
        <f t="shared" si="163"/>
        <v>-0.82779301171310349</v>
      </c>
      <c r="L1314">
        <f>VLOOKUP(D1314,[1]SOI!$A$1:$C$142,3)</f>
        <v>2.9</v>
      </c>
      <c r="M1314" s="2">
        <f t="shared" si="164"/>
        <v>-736.63715123784436</v>
      </c>
      <c r="N1314">
        <f t="shared" si="165"/>
        <v>-1086.8922243793049</v>
      </c>
      <c r="O1314" t="s">
        <v>8</v>
      </c>
    </row>
    <row r="1315" spans="1:15" x14ac:dyDescent="0.35">
      <c r="A1315">
        <v>2003</v>
      </c>
      <c r="B1315">
        <v>8</v>
      </c>
      <c r="C1315">
        <v>6</v>
      </c>
      <c r="D1315" s="1">
        <f t="shared" si="160"/>
        <v>37839</v>
      </c>
      <c r="E1315">
        <v>0.2</v>
      </c>
      <c r="F1315">
        <f t="shared" si="166"/>
        <v>0</v>
      </c>
      <c r="G1315">
        <f t="shared" si="161"/>
        <v>1</v>
      </c>
      <c r="H1315">
        <f t="shared" si="167"/>
        <v>0</v>
      </c>
      <c r="I1315">
        <v>1314</v>
      </c>
      <c r="J1315">
        <f t="shared" si="162"/>
        <v>-0.57518996071197959</v>
      </c>
      <c r="K1315">
        <f t="shared" si="163"/>
        <v>-0.81801987084431593</v>
      </c>
      <c r="L1315">
        <f>VLOOKUP(D1315,[1]SOI!$A$1:$C$142,3)</f>
        <v>2.9</v>
      </c>
      <c r="M1315" s="2">
        <f t="shared" si="164"/>
        <v>-755.7996083755412</v>
      </c>
      <c r="N1315">
        <f t="shared" si="165"/>
        <v>-1074.8781102894311</v>
      </c>
      <c r="O1315" t="s">
        <v>8</v>
      </c>
    </row>
    <row r="1316" spans="1:15" x14ac:dyDescent="0.35">
      <c r="A1316">
        <v>2003</v>
      </c>
      <c r="B1316">
        <v>8</v>
      </c>
      <c r="C1316">
        <v>7</v>
      </c>
      <c r="D1316" s="1">
        <f t="shared" si="160"/>
        <v>37840</v>
      </c>
      <c r="E1316">
        <v>0.2</v>
      </c>
      <c r="F1316">
        <f t="shared" si="166"/>
        <v>0.2</v>
      </c>
      <c r="G1316">
        <f t="shared" si="161"/>
        <v>1</v>
      </c>
      <c r="H1316">
        <f t="shared" si="167"/>
        <v>1</v>
      </c>
      <c r="I1316">
        <v>1315</v>
      </c>
      <c r="J1316">
        <f t="shared" si="162"/>
        <v>-0.58917608723229342</v>
      </c>
      <c r="K1316">
        <f t="shared" si="163"/>
        <v>-0.80800466473507748</v>
      </c>
      <c r="L1316">
        <f>VLOOKUP(D1316,[1]SOI!$A$1:$C$142,3)</f>
        <v>2.9</v>
      </c>
      <c r="M1316" s="2">
        <f t="shared" si="164"/>
        <v>-774.76655471046581</v>
      </c>
      <c r="N1316">
        <f t="shared" si="165"/>
        <v>-1062.5261341266269</v>
      </c>
      <c r="O1316" t="s">
        <v>8</v>
      </c>
    </row>
    <row r="1317" spans="1:15" x14ac:dyDescent="0.35">
      <c r="A1317">
        <v>2003</v>
      </c>
      <c r="B1317">
        <v>8</v>
      </c>
      <c r="C1317">
        <v>8</v>
      </c>
      <c r="D1317" s="1">
        <f t="shared" si="160"/>
        <v>37841</v>
      </c>
      <c r="E1317">
        <v>0</v>
      </c>
      <c r="F1317">
        <f t="shared" si="166"/>
        <v>0.2</v>
      </c>
      <c r="G1317">
        <f t="shared" si="161"/>
        <v>0</v>
      </c>
      <c r="H1317">
        <f t="shared" si="167"/>
        <v>1</v>
      </c>
      <c r="I1317">
        <v>1316</v>
      </c>
      <c r="J1317">
        <f t="shared" si="162"/>
        <v>-0.60298786706947194</v>
      </c>
      <c r="K1317">
        <f t="shared" si="163"/>
        <v>-0.79775035704599273</v>
      </c>
      <c r="L1317">
        <f>VLOOKUP(D1317,[1]SOI!$A$1:$C$142,3)</f>
        <v>2.9</v>
      </c>
      <c r="M1317" s="2">
        <f t="shared" si="164"/>
        <v>-793.53203306342505</v>
      </c>
      <c r="N1317">
        <f t="shared" si="165"/>
        <v>-1049.8394698725265</v>
      </c>
      <c r="O1317" t="s">
        <v>8</v>
      </c>
    </row>
    <row r="1318" spans="1:15" x14ac:dyDescent="0.35">
      <c r="A1318">
        <v>2003</v>
      </c>
      <c r="B1318">
        <v>8</v>
      </c>
      <c r="C1318">
        <v>9</v>
      </c>
      <c r="D1318" s="1">
        <f t="shared" si="160"/>
        <v>37842</v>
      </c>
      <c r="E1318">
        <v>5.8</v>
      </c>
      <c r="F1318">
        <f t="shared" si="166"/>
        <v>0</v>
      </c>
      <c r="G1318">
        <f t="shared" si="161"/>
        <v>1</v>
      </c>
      <c r="H1318">
        <f t="shared" si="167"/>
        <v>0</v>
      </c>
      <c r="I1318">
        <v>1317</v>
      </c>
      <c r="J1318">
        <f t="shared" si="162"/>
        <v>-0.61662121309563989</v>
      </c>
      <c r="K1318">
        <f t="shared" si="163"/>
        <v>-0.78725998219169091</v>
      </c>
      <c r="L1318">
        <f>VLOOKUP(D1318,[1]SOI!$A$1:$C$142,3)</f>
        <v>2.9</v>
      </c>
      <c r="M1318" s="2">
        <f t="shared" si="164"/>
        <v>-812.09013764695771</v>
      </c>
      <c r="N1318">
        <f t="shared" si="165"/>
        <v>-1036.821396546457</v>
      </c>
      <c r="O1318" t="s">
        <v>8</v>
      </c>
    </row>
    <row r="1319" spans="1:15" x14ac:dyDescent="0.35">
      <c r="A1319">
        <v>2003</v>
      </c>
      <c r="B1319">
        <v>8</v>
      </c>
      <c r="C1319">
        <v>10</v>
      </c>
      <c r="D1319" s="1">
        <f t="shared" si="160"/>
        <v>37843</v>
      </c>
      <c r="E1319">
        <v>0</v>
      </c>
      <c r="F1319">
        <f t="shared" si="166"/>
        <v>5.8</v>
      </c>
      <c r="G1319">
        <f t="shared" si="161"/>
        <v>0</v>
      </c>
      <c r="H1319">
        <f t="shared" si="167"/>
        <v>1</v>
      </c>
      <c r="I1319">
        <v>1318</v>
      </c>
      <c r="J1319">
        <f t="shared" si="162"/>
        <v>-0.63007209098436867</v>
      </c>
      <c r="K1319">
        <f t="shared" si="163"/>
        <v>-0.77653664444286563</v>
      </c>
      <c r="L1319">
        <f>VLOOKUP(D1319,[1]SOI!$A$1:$C$142,3)</f>
        <v>2.9</v>
      </c>
      <c r="M1319" s="2">
        <f t="shared" si="164"/>
        <v>-830.43501591739789</v>
      </c>
      <c r="N1319">
        <f t="shared" si="165"/>
        <v>-1023.4752973756969</v>
      </c>
      <c r="O1319" t="s">
        <v>8</v>
      </c>
    </row>
    <row r="1320" spans="1:15" x14ac:dyDescent="0.35">
      <c r="A1320">
        <v>2003</v>
      </c>
      <c r="B1320">
        <v>8</v>
      </c>
      <c r="C1320">
        <v>11</v>
      </c>
      <c r="D1320" s="1">
        <f t="shared" si="160"/>
        <v>37844</v>
      </c>
      <c r="E1320">
        <v>0</v>
      </c>
      <c r="F1320">
        <f t="shared" si="166"/>
        <v>0</v>
      </c>
      <c r="G1320">
        <f t="shared" si="161"/>
        <v>0</v>
      </c>
      <c r="H1320">
        <f t="shared" si="167"/>
        <v>0</v>
      </c>
      <c r="I1320">
        <v>1319</v>
      </c>
      <c r="J1320">
        <f t="shared" si="162"/>
        <v>-0.64333652040449263</v>
      </c>
      <c r="K1320">
        <f t="shared" si="163"/>
        <v>-0.76558351700767424</v>
      </c>
      <c r="L1320">
        <f>VLOOKUP(D1320,[1]SOI!$A$1:$C$142,3)</f>
        <v>2.9</v>
      </c>
      <c r="M1320" s="2">
        <f t="shared" si="164"/>
        <v>-848.56087041352578</v>
      </c>
      <c r="N1320">
        <f t="shared" si="165"/>
        <v>-1009.8046589331224</v>
      </c>
      <c r="O1320" t="s">
        <v>8</v>
      </c>
    </row>
    <row r="1321" spans="1:15" x14ac:dyDescent="0.35">
      <c r="A1321">
        <v>2003</v>
      </c>
      <c r="B1321">
        <v>8</v>
      </c>
      <c r="C1321">
        <v>12</v>
      </c>
      <c r="D1321" s="1">
        <f t="shared" si="160"/>
        <v>37845</v>
      </c>
      <c r="E1321">
        <v>0</v>
      </c>
      <c r="F1321">
        <f t="shared" si="166"/>
        <v>0</v>
      </c>
      <c r="G1321">
        <f t="shared" si="161"/>
        <v>0</v>
      </c>
      <c r="H1321">
        <f t="shared" si="167"/>
        <v>0</v>
      </c>
      <c r="I1321">
        <v>1320</v>
      </c>
      <c r="J1321">
        <f t="shared" si="162"/>
        <v>-0.6564105761979343</v>
      </c>
      <c r="K1321">
        <f t="shared" si="163"/>
        <v>-0.75440384109275049</v>
      </c>
      <c r="L1321">
        <f>VLOOKUP(D1321,[1]SOI!$A$1:$C$142,3)</f>
        <v>2.9</v>
      </c>
      <c r="M1321" s="2">
        <f t="shared" si="164"/>
        <v>-866.46196058127327</v>
      </c>
      <c r="N1321">
        <f t="shared" si="165"/>
        <v>-995.81307024243063</v>
      </c>
      <c r="O1321" t="s">
        <v>8</v>
      </c>
    </row>
    <row r="1322" spans="1:15" x14ac:dyDescent="0.35">
      <c r="A1322">
        <v>2003</v>
      </c>
      <c r="B1322">
        <v>8</v>
      </c>
      <c r="C1322">
        <v>13</v>
      </c>
      <c r="D1322" s="1">
        <f t="shared" si="160"/>
        <v>37846</v>
      </c>
      <c r="E1322">
        <v>8.1999999999999993</v>
      </c>
      <c r="F1322">
        <f t="shared" si="166"/>
        <v>0</v>
      </c>
      <c r="G1322">
        <f t="shared" si="161"/>
        <v>1</v>
      </c>
      <c r="H1322">
        <f t="shared" si="167"/>
        <v>0</v>
      </c>
      <c r="I1322">
        <v>1321</v>
      </c>
      <c r="J1322">
        <f t="shared" si="162"/>
        <v>-0.6692903895412563</v>
      </c>
      <c r="K1322">
        <f t="shared" si="163"/>
        <v>-0.74300092494404968</v>
      </c>
      <c r="L1322">
        <f>VLOOKUP(D1322,[1]SOI!$A$1:$C$142,3)</f>
        <v>2.9</v>
      </c>
      <c r="M1322" s="2">
        <f t="shared" si="164"/>
        <v>-884.13260458399952</v>
      </c>
      <c r="N1322">
        <f t="shared" si="165"/>
        <v>-981.5042218510896</v>
      </c>
      <c r="O1322" t="s">
        <v>8</v>
      </c>
    </row>
    <row r="1323" spans="1:15" x14ac:dyDescent="0.35">
      <c r="A1323">
        <v>2003</v>
      </c>
      <c r="B1323">
        <v>8</v>
      </c>
      <c r="C1323">
        <v>14</v>
      </c>
      <c r="D1323" s="1">
        <f t="shared" si="160"/>
        <v>37847</v>
      </c>
      <c r="E1323">
        <v>3.4</v>
      </c>
      <c r="F1323">
        <f t="shared" si="166"/>
        <v>8.1999999999999993</v>
      </c>
      <c r="G1323">
        <f t="shared" si="161"/>
        <v>1</v>
      </c>
      <c r="H1323">
        <f t="shared" si="167"/>
        <v>1</v>
      </c>
      <c r="I1323">
        <v>1322</v>
      </c>
      <c r="J1323">
        <f t="shared" si="162"/>
        <v>-0.68197214909046344</v>
      </c>
      <c r="K1323">
        <f t="shared" si="163"/>
        <v>-0.7313781428679248</v>
      </c>
      <c r="L1323">
        <f>VLOOKUP(D1323,[1]SOI!$A$1:$C$142,3)</f>
        <v>2.9</v>
      </c>
      <c r="M1323" s="2">
        <f t="shared" si="164"/>
        <v>-901.56718109759265</v>
      </c>
      <c r="N1323">
        <f t="shared" si="165"/>
        <v>-966.88190487139661</v>
      </c>
      <c r="O1323" t="s">
        <v>8</v>
      </c>
    </row>
    <row r="1324" spans="1:15" x14ac:dyDescent="0.35">
      <c r="A1324">
        <v>2003</v>
      </c>
      <c r="B1324">
        <v>8</v>
      </c>
      <c r="C1324">
        <v>15</v>
      </c>
      <c r="D1324" s="1">
        <f t="shared" si="160"/>
        <v>37848</v>
      </c>
      <c r="E1324">
        <v>0</v>
      </c>
      <c r="F1324">
        <f t="shared" si="166"/>
        <v>3.4</v>
      </c>
      <c r="G1324">
        <f t="shared" si="161"/>
        <v>0</v>
      </c>
      <c r="H1324">
        <f t="shared" si="167"/>
        <v>1</v>
      </c>
      <c r="I1324">
        <v>1323</v>
      </c>
      <c r="J1324">
        <f t="shared" si="162"/>
        <v>-0.69445210210887531</v>
      </c>
      <c r="K1324">
        <f t="shared" si="163"/>
        <v>-0.71953893423258497</v>
      </c>
      <c r="L1324">
        <f>VLOOKUP(D1324,[1]SOI!$A$1:$C$142,3)</f>
        <v>2.9</v>
      </c>
      <c r="M1324" s="2">
        <f t="shared" si="164"/>
        <v>-918.76013109004202</v>
      </c>
      <c r="N1324">
        <f t="shared" si="165"/>
        <v>-951.95000998970988</v>
      </c>
      <c r="O1324" t="s">
        <v>8</v>
      </c>
    </row>
    <row r="1325" spans="1:15" x14ac:dyDescent="0.35">
      <c r="A1325">
        <v>2003</v>
      </c>
      <c r="B1325">
        <v>8</v>
      </c>
      <c r="C1325">
        <v>16</v>
      </c>
      <c r="D1325" s="1">
        <f t="shared" si="160"/>
        <v>37849</v>
      </c>
      <c r="E1325">
        <v>0</v>
      </c>
      <c r="F1325">
        <f t="shared" si="166"/>
        <v>0</v>
      </c>
      <c r="G1325">
        <f t="shared" si="161"/>
        <v>0</v>
      </c>
      <c r="H1325">
        <f t="shared" si="167"/>
        <v>0</v>
      </c>
      <c r="I1325">
        <v>1324</v>
      </c>
      <c r="J1325">
        <f t="shared" si="162"/>
        <v>-0.70672655557761577</v>
      </c>
      <c r="K1325">
        <f t="shared" si="163"/>
        <v>-0.70748680245033491</v>
      </c>
      <c r="L1325">
        <f>VLOOKUP(D1325,[1]SOI!$A$1:$C$142,3)</f>
        <v>2.9</v>
      </c>
      <c r="M1325" s="2">
        <f t="shared" si="164"/>
        <v>-935.70595958476326</v>
      </c>
      <c r="N1325">
        <f t="shared" si="165"/>
        <v>-936.71252644424339</v>
      </c>
      <c r="O1325" t="s">
        <v>8</v>
      </c>
    </row>
    <row r="1326" spans="1:15" x14ac:dyDescent="0.35">
      <c r="A1326">
        <v>2003</v>
      </c>
      <c r="B1326">
        <v>8</v>
      </c>
      <c r="C1326">
        <v>17</v>
      </c>
      <c r="D1326" s="1">
        <f t="shared" si="160"/>
        <v>37850</v>
      </c>
      <c r="E1326">
        <v>0</v>
      </c>
      <c r="F1326">
        <f t="shared" si="166"/>
        <v>0</v>
      </c>
      <c r="G1326">
        <f t="shared" si="161"/>
        <v>0</v>
      </c>
      <c r="H1326">
        <f t="shared" si="167"/>
        <v>0</v>
      </c>
      <c r="I1326">
        <v>1325</v>
      </c>
      <c r="J1326">
        <f t="shared" si="162"/>
        <v>-0.71879187728842375</v>
      </c>
      <c r="K1326">
        <f t="shared" si="163"/>
        <v>-0.69522531394087161</v>
      </c>
      <c r="L1326">
        <f>VLOOKUP(D1326,[1]SOI!$A$1:$C$142,3)</f>
        <v>2.9</v>
      </c>
      <c r="M1326" s="2">
        <f t="shared" si="164"/>
        <v>-952.39923740716142</v>
      </c>
      <c r="N1326">
        <f t="shared" si="165"/>
        <v>-921.17354097165492</v>
      </c>
      <c r="O1326" t="s">
        <v>8</v>
      </c>
    </row>
    <row r="1327" spans="1:15" x14ac:dyDescent="0.35">
      <c r="A1327">
        <v>2003</v>
      </c>
      <c r="B1327">
        <v>8</v>
      </c>
      <c r="C1327">
        <v>18</v>
      </c>
      <c r="D1327" s="1">
        <f t="shared" si="160"/>
        <v>37851</v>
      </c>
      <c r="E1327">
        <v>9</v>
      </c>
      <c r="F1327">
        <f t="shared" si="166"/>
        <v>0</v>
      </c>
      <c r="G1327">
        <f t="shared" si="161"/>
        <v>1</v>
      </c>
      <c r="H1327">
        <f t="shared" si="167"/>
        <v>0</v>
      </c>
      <c r="I1327">
        <v>1326</v>
      </c>
      <c r="J1327">
        <f t="shared" si="162"/>
        <v>-0.73064449691849043</v>
      </c>
      <c r="K1327">
        <f t="shared" si="163"/>
        <v>-0.68275809707591606</v>
      </c>
      <c r="L1327">
        <f>VLOOKUP(D1327,[1]SOI!$A$1:$C$142,3)</f>
        <v>2.9</v>
      </c>
      <c r="M1327" s="2">
        <f t="shared" si="164"/>
        <v>-968.83460291391827</v>
      </c>
      <c r="N1327">
        <f t="shared" si="165"/>
        <v>-905.33723672266467</v>
      </c>
      <c r="O1327" t="s">
        <v>8</v>
      </c>
    </row>
    <row r="1328" spans="1:15" x14ac:dyDescent="0.35">
      <c r="A1328">
        <v>2003</v>
      </c>
      <c r="B1328">
        <v>8</v>
      </c>
      <c r="C1328">
        <v>19</v>
      </c>
      <c r="D1328" s="1">
        <f t="shared" si="160"/>
        <v>37852</v>
      </c>
      <c r="E1328">
        <v>0.6</v>
      </c>
      <c r="F1328">
        <f t="shared" si="166"/>
        <v>9</v>
      </c>
      <c r="G1328">
        <f t="shared" si="161"/>
        <v>1</v>
      </c>
      <c r="H1328">
        <f t="shared" si="167"/>
        <v>1</v>
      </c>
      <c r="I1328">
        <v>1327</v>
      </c>
      <c r="J1328">
        <f t="shared" si="162"/>
        <v>-0.74228090708698169</v>
      </c>
      <c r="K1328">
        <f t="shared" si="163"/>
        <v>-0.6700888411055117</v>
      </c>
      <c r="L1328">
        <f>VLOOKUP(D1328,[1]SOI!$A$1:$C$142,3)</f>
        <v>2.9</v>
      </c>
      <c r="M1328" s="2">
        <f t="shared" si="164"/>
        <v>-985.00676370442466</v>
      </c>
      <c r="N1328">
        <f t="shared" si="165"/>
        <v>-889.20789214701404</v>
      </c>
      <c r="O1328" t="s">
        <v>8</v>
      </c>
    </row>
    <row r="1329" spans="1:15" x14ac:dyDescent="0.35">
      <c r="A1329">
        <v>2003</v>
      </c>
      <c r="B1329">
        <v>8</v>
      </c>
      <c r="C1329">
        <v>20</v>
      </c>
      <c r="D1329" s="1">
        <f t="shared" si="160"/>
        <v>37853</v>
      </c>
      <c r="E1329">
        <v>0</v>
      </c>
      <c r="F1329">
        <f t="shared" si="166"/>
        <v>0.6</v>
      </c>
      <c r="G1329">
        <f t="shared" si="161"/>
        <v>0</v>
      </c>
      <c r="H1329">
        <f t="shared" si="167"/>
        <v>1</v>
      </c>
      <c r="I1329">
        <v>1328</v>
      </c>
      <c r="J1329">
        <f t="shared" si="162"/>
        <v>-0.75369766439291441</v>
      </c>
      <c r="K1329">
        <f t="shared" si="163"/>
        <v>-0.65722129506633131</v>
      </c>
      <c r="L1329">
        <f>VLOOKUP(D1329,[1]SOI!$A$1:$C$142,3)</f>
        <v>2.9</v>
      </c>
      <c r="M1329" s="2">
        <f t="shared" si="164"/>
        <v>-1000.9104983137903</v>
      </c>
      <c r="N1329">
        <f t="shared" si="165"/>
        <v>-872.78987984808793</v>
      </c>
      <c r="O1329" t="s">
        <v>8</v>
      </c>
    </row>
    <row r="1330" spans="1:15" x14ac:dyDescent="0.35">
      <c r="A1330">
        <v>2003</v>
      </c>
      <c r="B1330">
        <v>8</v>
      </c>
      <c r="C1330">
        <v>21</v>
      </c>
      <c r="D1330" s="1">
        <f t="shared" si="160"/>
        <v>37854</v>
      </c>
      <c r="E1330">
        <v>0</v>
      </c>
      <c r="F1330">
        <f t="shared" si="166"/>
        <v>0</v>
      </c>
      <c r="G1330">
        <f t="shared" si="161"/>
        <v>0</v>
      </c>
      <c r="H1330">
        <f t="shared" si="167"/>
        <v>0</v>
      </c>
      <c r="I1330">
        <v>1329</v>
      </c>
      <c r="J1330">
        <f t="shared" si="162"/>
        <v>-0.76489139043412158</v>
      </c>
      <c r="K1330">
        <f t="shared" si="163"/>
        <v>-0.64415926667226964</v>
      </c>
      <c r="L1330">
        <f>VLOOKUP(D1330,[1]SOI!$A$1:$C$142,3)</f>
        <v>2.9</v>
      </c>
      <c r="M1330" s="2">
        <f t="shared" si="164"/>
        <v>-1016.5406578869475</v>
      </c>
      <c r="N1330">
        <f t="shared" si="165"/>
        <v>-856.08766540744637</v>
      </c>
      <c r="O1330" t="s">
        <v>8</v>
      </c>
    </row>
    <row r="1331" spans="1:15" x14ac:dyDescent="0.35">
      <c r="A1331">
        <v>2003</v>
      </c>
      <c r="B1331">
        <v>8</v>
      </c>
      <c r="C1331">
        <v>22</v>
      </c>
      <c r="D1331" s="1">
        <f t="shared" si="160"/>
        <v>37855</v>
      </c>
      <c r="E1331">
        <v>0</v>
      </c>
      <c r="F1331">
        <f t="shared" si="166"/>
        <v>0</v>
      </c>
      <c r="G1331">
        <f t="shared" si="161"/>
        <v>0</v>
      </c>
      <c r="H1331">
        <f t="shared" si="167"/>
        <v>0</v>
      </c>
      <c r="I1331">
        <v>1330</v>
      </c>
      <c r="J1331">
        <f t="shared" si="162"/>
        <v>-0.77585877280698246</v>
      </c>
      <c r="K1331">
        <f t="shared" si="163"/>
        <v>-0.63090662118767082</v>
      </c>
      <c r="L1331">
        <f>VLOOKUP(D1331,[1]SOI!$A$1:$C$142,3)</f>
        <v>2.9</v>
      </c>
      <c r="M1331" s="2">
        <f t="shared" si="164"/>
        <v>-1031.8921678332867</v>
      </c>
      <c r="N1331">
        <f t="shared" si="165"/>
        <v>-839.10580617960215</v>
      </c>
      <c r="O1331" t="s">
        <v>8</v>
      </c>
    </row>
    <row r="1332" spans="1:15" x14ac:dyDescent="0.35">
      <c r="A1332">
        <v>2003</v>
      </c>
      <c r="B1332">
        <v>8</v>
      </c>
      <c r="C1332">
        <v>23</v>
      </c>
      <c r="D1332" s="1">
        <f t="shared" si="160"/>
        <v>37856</v>
      </c>
      <c r="E1332">
        <v>0</v>
      </c>
      <c r="F1332">
        <f t="shared" si="166"/>
        <v>0</v>
      </c>
      <c r="G1332">
        <f t="shared" si="161"/>
        <v>0</v>
      </c>
      <c r="H1332">
        <f t="shared" si="167"/>
        <v>0</v>
      </c>
      <c r="I1332">
        <v>1331</v>
      </c>
      <c r="J1332">
        <f t="shared" si="162"/>
        <v>-0.78659656608660011</v>
      </c>
      <c r="K1332">
        <f t="shared" si="163"/>
        <v>-0.61746728028355391</v>
      </c>
      <c r="L1332">
        <f>VLOOKUP(D1332,[1]SOI!$A$1:$C$142,3)</f>
        <v>2.9</v>
      </c>
      <c r="M1332" s="2">
        <f t="shared" si="164"/>
        <v>-1046.9600294612646</v>
      </c>
      <c r="N1332">
        <f t="shared" si="165"/>
        <v>-821.84895005741021</v>
      </c>
      <c r="O1332" t="s">
        <v>8</v>
      </c>
    </row>
    <row r="1333" spans="1:15" x14ac:dyDescent="0.35">
      <c r="A1333">
        <v>2003</v>
      </c>
      <c r="B1333">
        <v>8</v>
      </c>
      <c r="C1333">
        <v>24</v>
      </c>
      <c r="D1333" s="1">
        <f t="shared" si="160"/>
        <v>37857</v>
      </c>
      <c r="E1333">
        <v>10.8</v>
      </c>
      <c r="F1333">
        <f t="shared" si="166"/>
        <v>0</v>
      </c>
      <c r="G1333">
        <f t="shared" si="161"/>
        <v>1</v>
      </c>
      <c r="H1333">
        <f t="shared" si="167"/>
        <v>0</v>
      </c>
      <c r="I1333">
        <v>1332</v>
      </c>
      <c r="J1333">
        <f t="shared" si="162"/>
        <v>-0.79710159278719317</v>
      </c>
      <c r="K1333">
        <f t="shared" si="163"/>
        <v>-0.60384522087710502</v>
      </c>
      <c r="L1333">
        <f>VLOOKUP(D1333,[1]SOI!$A$1:$C$142,3)</f>
        <v>2.9</v>
      </c>
      <c r="M1333" s="2">
        <f t="shared" si="164"/>
        <v>-1061.7393215925413</v>
      </c>
      <c r="N1333">
        <f t="shared" si="165"/>
        <v>-804.32183420830393</v>
      </c>
      <c r="O1333" t="s">
        <v>8</v>
      </c>
    </row>
    <row r="1334" spans="1:15" x14ac:dyDescent="0.35">
      <c r="A1334">
        <v>2003</v>
      </c>
      <c r="B1334">
        <v>8</v>
      </c>
      <c r="C1334">
        <v>25</v>
      </c>
      <c r="D1334" s="1">
        <f t="shared" si="160"/>
        <v>37858</v>
      </c>
      <c r="E1334">
        <v>7.6</v>
      </c>
      <c r="F1334">
        <f t="shared" si="166"/>
        <v>10.8</v>
      </c>
      <c r="G1334">
        <f t="shared" si="161"/>
        <v>1</v>
      </c>
      <c r="H1334">
        <f t="shared" si="167"/>
        <v>1</v>
      </c>
      <c r="I1334">
        <v>1333</v>
      </c>
      <c r="J1334">
        <f t="shared" si="162"/>
        <v>-0.8073707443023489</v>
      </c>
      <c r="K1334">
        <f t="shared" si="163"/>
        <v>-0.59004447395486304</v>
      </c>
      <c r="L1334">
        <f>VLOOKUP(D1334,[1]SOI!$A$1:$C$142,3)</f>
        <v>2.9</v>
      </c>
      <c r="M1334" s="2">
        <f t="shared" si="164"/>
        <v>-1076.2252021550312</v>
      </c>
      <c r="N1334">
        <f t="shared" si="165"/>
        <v>-786.52928378183242</v>
      </c>
      <c r="O1334" t="s">
        <v>8</v>
      </c>
    </row>
    <row r="1335" spans="1:15" x14ac:dyDescent="0.35">
      <c r="A1335">
        <v>2003</v>
      </c>
      <c r="B1335">
        <v>8</v>
      </c>
      <c r="C1335">
        <v>26</v>
      </c>
      <c r="D1335" s="1">
        <f t="shared" si="160"/>
        <v>37859</v>
      </c>
      <c r="E1335">
        <v>0.2</v>
      </c>
      <c r="F1335">
        <f t="shared" si="166"/>
        <v>7.6</v>
      </c>
      <c r="G1335">
        <f t="shared" si="161"/>
        <v>1</v>
      </c>
      <c r="H1335">
        <f t="shared" si="167"/>
        <v>1</v>
      </c>
      <c r="I1335">
        <v>1334</v>
      </c>
      <c r="J1335">
        <f t="shared" si="162"/>
        <v>-0.81740098182491738</v>
      </c>
      <c r="K1335">
        <f t="shared" si="163"/>
        <v>-0.57606912337987803</v>
      </c>
      <c r="L1335">
        <f>VLOOKUP(D1335,[1]SOI!$A$1:$C$142,3)</f>
        <v>2.9</v>
      </c>
      <c r="M1335" s="2">
        <f t="shared" si="164"/>
        <v>-1090.4129097544399</v>
      </c>
      <c r="N1335">
        <f t="shared" si="165"/>
        <v>-768.47621058875734</v>
      </c>
      <c r="O1335" t="s">
        <v>8</v>
      </c>
    </row>
    <row r="1336" spans="1:15" x14ac:dyDescent="0.35">
      <c r="A1336">
        <v>2003</v>
      </c>
      <c r="B1336">
        <v>8</v>
      </c>
      <c r="C1336">
        <v>27</v>
      </c>
      <c r="D1336" s="1">
        <f t="shared" si="160"/>
        <v>37860</v>
      </c>
      <c r="E1336">
        <v>0.8</v>
      </c>
      <c r="F1336">
        <f t="shared" si="166"/>
        <v>0.2</v>
      </c>
      <c r="G1336">
        <f t="shared" si="161"/>
        <v>1</v>
      </c>
      <c r="H1336">
        <f t="shared" si="167"/>
        <v>1</v>
      </c>
      <c r="I1336">
        <v>1335</v>
      </c>
      <c r="J1336">
        <f t="shared" si="162"/>
        <v>-0.82718933724624855</v>
      </c>
      <c r="K1336">
        <f t="shared" si="163"/>
        <v>-0.56192330468322105</v>
      </c>
      <c r="L1336">
        <f>VLOOKUP(D1336,[1]SOI!$A$1:$C$142,3)</f>
        <v>2.9</v>
      </c>
      <c r="M1336" s="2">
        <f t="shared" si="164"/>
        <v>-1104.2977652237419</v>
      </c>
      <c r="N1336">
        <f t="shared" si="165"/>
        <v>-750.16761175210013</v>
      </c>
      <c r="O1336" t="s">
        <v>8</v>
      </c>
    </row>
    <row r="1337" spans="1:15" x14ac:dyDescent="0.35">
      <c r="A1337">
        <v>2003</v>
      </c>
      <c r="B1337">
        <v>8</v>
      </c>
      <c r="C1337">
        <v>28</v>
      </c>
      <c r="D1337" s="1">
        <f t="shared" si="160"/>
        <v>37861</v>
      </c>
      <c r="E1337">
        <v>0</v>
      </c>
      <c r="F1337">
        <f t="shared" si="166"/>
        <v>0.8</v>
      </c>
      <c r="G1337">
        <f t="shared" si="161"/>
        <v>0</v>
      </c>
      <c r="H1337">
        <f t="shared" si="167"/>
        <v>1</v>
      </c>
      <c r="I1337">
        <v>1336</v>
      </c>
      <c r="J1337">
        <f t="shared" si="162"/>
        <v>-0.83673291403449179</v>
      </c>
      <c r="K1337">
        <f t="shared" si="163"/>
        <v>-0.54761120384023165</v>
      </c>
      <c r="L1337">
        <f>VLOOKUP(D1337,[1]SOI!$A$1:$C$142,3)</f>
        <v>2.9</v>
      </c>
      <c r="M1337" s="2">
        <f t="shared" si="164"/>
        <v>-1117.8751731500811</v>
      </c>
      <c r="N1337">
        <f t="shared" si="165"/>
        <v>-731.60856833054947</v>
      </c>
      <c r="O1337" t="s">
        <v>8</v>
      </c>
    </row>
    <row r="1338" spans="1:15" x14ac:dyDescent="0.35">
      <c r="A1338">
        <v>2003</v>
      </c>
      <c r="B1338">
        <v>8</v>
      </c>
      <c r="C1338">
        <v>29</v>
      </c>
      <c r="D1338" s="1">
        <f t="shared" si="160"/>
        <v>37862</v>
      </c>
      <c r="E1338">
        <v>0</v>
      </c>
      <c r="F1338">
        <f t="shared" si="166"/>
        <v>0</v>
      </c>
      <c r="G1338">
        <f t="shared" si="161"/>
        <v>0</v>
      </c>
      <c r="H1338">
        <f t="shared" si="167"/>
        <v>0</v>
      </c>
      <c r="I1338">
        <v>1337</v>
      </c>
      <c r="J1338">
        <f t="shared" si="162"/>
        <v>-0.84602888809173227</v>
      </c>
      <c r="K1338">
        <f t="shared" si="163"/>
        <v>-0.53313705603181172</v>
      </c>
      <c r="L1338">
        <f>VLOOKUP(D1338,[1]SOI!$A$1:$C$142,3)</f>
        <v>2.9</v>
      </c>
      <c r="M1338" s="2">
        <f t="shared" si="164"/>
        <v>-1131.1406233786461</v>
      </c>
      <c r="N1338">
        <f t="shared" si="165"/>
        <v>-712.80424391453232</v>
      </c>
      <c r="O1338" t="s">
        <v>8</v>
      </c>
    </row>
    <row r="1339" spans="1:15" x14ac:dyDescent="0.35">
      <c r="A1339">
        <v>2003</v>
      </c>
      <c r="B1339">
        <v>8</v>
      </c>
      <c r="C1339">
        <v>30</v>
      </c>
      <c r="D1339" s="1">
        <f t="shared" si="160"/>
        <v>37863</v>
      </c>
      <c r="E1339">
        <v>2.6</v>
      </c>
      <c r="F1339">
        <f t="shared" si="166"/>
        <v>0</v>
      </c>
      <c r="G1339">
        <f t="shared" si="161"/>
        <v>1</v>
      </c>
      <c r="H1339">
        <f t="shared" si="167"/>
        <v>0</v>
      </c>
      <c r="I1339">
        <v>1338</v>
      </c>
      <c r="J1339">
        <f t="shared" si="162"/>
        <v>-0.85507450858969225</v>
      </c>
      <c r="K1339">
        <f t="shared" si="163"/>
        <v>-0.51850514439115858</v>
      </c>
      <c r="L1339">
        <f>VLOOKUP(D1339,[1]SOI!$A$1:$C$142,3)</f>
        <v>2.9</v>
      </c>
      <c r="M1339" s="2">
        <f t="shared" si="164"/>
        <v>-1144.0896924930082</v>
      </c>
      <c r="N1339">
        <f t="shared" si="165"/>
        <v>-693.75988319537021</v>
      </c>
      <c r="O1339" t="s">
        <v>8</v>
      </c>
    </row>
    <row r="1340" spans="1:15" x14ac:dyDescent="0.35">
      <c r="A1340">
        <v>2003</v>
      </c>
      <c r="B1340">
        <v>8</v>
      </c>
      <c r="C1340">
        <v>31</v>
      </c>
      <c r="D1340" s="1">
        <f t="shared" si="160"/>
        <v>37864</v>
      </c>
      <c r="E1340">
        <v>0</v>
      </c>
      <c r="F1340">
        <f t="shared" si="166"/>
        <v>2.6</v>
      </c>
      <c r="G1340">
        <f t="shared" si="161"/>
        <v>0</v>
      </c>
      <c r="H1340">
        <f t="shared" si="167"/>
        <v>1</v>
      </c>
      <c r="I1340">
        <v>1339</v>
      </c>
      <c r="J1340">
        <f t="shared" si="162"/>
        <v>-0.86386709878373635</v>
      </c>
      <c r="K1340">
        <f t="shared" si="163"/>
        <v>-0.50371979873633144</v>
      </c>
      <c r="L1340">
        <f>VLOOKUP(D1340,[1]SOI!$A$1:$C$142,3)</f>
        <v>2.9</v>
      </c>
      <c r="M1340" s="2">
        <f t="shared" si="164"/>
        <v>-1156.7180452714231</v>
      </c>
      <c r="N1340">
        <f t="shared" si="165"/>
        <v>-674.48081050794781</v>
      </c>
      <c r="O1340" t="s">
        <v>8</v>
      </c>
    </row>
    <row r="1341" spans="1:15" x14ac:dyDescent="0.35">
      <c r="A1341">
        <v>2003</v>
      </c>
      <c r="B1341">
        <v>9</v>
      </c>
      <c r="C1341">
        <v>1</v>
      </c>
      <c r="D1341" s="1">
        <f t="shared" si="160"/>
        <v>37865</v>
      </c>
      <c r="E1341">
        <v>4</v>
      </c>
      <c r="F1341">
        <f t="shared" si="166"/>
        <v>0</v>
      </c>
      <c r="G1341">
        <f t="shared" si="161"/>
        <v>1</v>
      </c>
      <c r="H1341">
        <f t="shared" si="167"/>
        <v>0</v>
      </c>
      <c r="I1341">
        <v>1340</v>
      </c>
      <c r="J1341">
        <f t="shared" si="162"/>
        <v>-0.8724040568049598</v>
      </c>
      <c r="K1341">
        <f t="shared" si="163"/>
        <v>-0.48878539428899509</v>
      </c>
      <c r="L1341">
        <f>VLOOKUP(D1341,[1]SOI!$A$1:$C$142,3)</f>
        <v>-1.8</v>
      </c>
      <c r="M1341" s="2">
        <f t="shared" si="164"/>
        <v>-1169.0214361186461</v>
      </c>
      <c r="N1341">
        <f t="shared" si="165"/>
        <v>-654.97242834725341</v>
      </c>
      <c r="O1341" t="s">
        <v>8</v>
      </c>
    </row>
    <row r="1342" spans="1:15" x14ac:dyDescent="0.35">
      <c r="A1342">
        <v>2003</v>
      </c>
      <c r="B1342">
        <v>9</v>
      </c>
      <c r="C1342">
        <v>2</v>
      </c>
      <c r="D1342" s="1">
        <f t="shared" si="160"/>
        <v>37866</v>
      </c>
      <c r="E1342">
        <v>0.2</v>
      </c>
      <c r="F1342">
        <f t="shared" si="166"/>
        <v>4</v>
      </c>
      <c r="G1342">
        <f t="shared" si="161"/>
        <v>1</v>
      </c>
      <c r="H1342">
        <f t="shared" si="167"/>
        <v>1</v>
      </c>
      <c r="I1342">
        <v>1341</v>
      </c>
      <c r="J1342">
        <f t="shared" si="162"/>
        <v>-0.88068285643014665</v>
      </c>
      <c r="K1342">
        <f t="shared" si="163"/>
        <v>-0.47370635037968162</v>
      </c>
      <c r="L1342">
        <f>VLOOKUP(D1342,[1]SOI!$A$1:$C$142,3)</f>
        <v>-1.8</v>
      </c>
      <c r="M1342" s="2">
        <f t="shared" si="164"/>
        <v>-1180.9957104728267</v>
      </c>
      <c r="N1342">
        <f t="shared" si="165"/>
        <v>-635.24021585915307</v>
      </c>
      <c r="O1342" t="s">
        <v>8</v>
      </c>
    </row>
    <row r="1343" spans="1:15" x14ac:dyDescent="0.35">
      <c r="A1343">
        <v>2003</v>
      </c>
      <c r="B1343">
        <v>9</v>
      </c>
      <c r="C1343">
        <v>3</v>
      </c>
      <c r="D1343" s="1">
        <f t="shared" si="160"/>
        <v>37867</v>
      </c>
      <c r="E1343">
        <v>0</v>
      </c>
      <c r="F1343">
        <f t="shared" si="166"/>
        <v>0.2</v>
      </c>
      <c r="G1343">
        <f t="shared" si="161"/>
        <v>0</v>
      </c>
      <c r="H1343">
        <f t="shared" si="167"/>
        <v>1</v>
      </c>
      <c r="I1343">
        <v>1342</v>
      </c>
      <c r="J1343">
        <f t="shared" si="162"/>
        <v>-0.88870104782928938</v>
      </c>
      <c r="K1343">
        <f t="shared" si="163"/>
        <v>-0.45848712914009165</v>
      </c>
      <c r="L1343">
        <f>VLOOKUP(D1343,[1]SOI!$A$1:$C$142,3)</f>
        <v>-1.8</v>
      </c>
      <c r="M1343" s="2">
        <f t="shared" si="164"/>
        <v>-1192.6368061869064</v>
      </c>
      <c r="N1343">
        <f t="shared" si="165"/>
        <v>-615.28972730600299</v>
      </c>
      <c r="O1343" t="s">
        <v>8</v>
      </c>
    </row>
    <row r="1344" spans="1:15" x14ac:dyDescent="0.35">
      <c r="A1344">
        <v>2003</v>
      </c>
      <c r="B1344">
        <v>9</v>
      </c>
      <c r="C1344">
        <v>4</v>
      </c>
      <c r="D1344" s="1">
        <f t="shared" si="160"/>
        <v>37868</v>
      </c>
      <c r="E1344">
        <v>0</v>
      </c>
      <c r="F1344">
        <f t="shared" si="166"/>
        <v>0</v>
      </c>
      <c r="G1344">
        <f t="shared" si="161"/>
        <v>0</v>
      </c>
      <c r="H1344">
        <f t="shared" si="167"/>
        <v>0</v>
      </c>
      <c r="I1344">
        <v>1343</v>
      </c>
      <c r="J1344">
        <f t="shared" si="162"/>
        <v>-0.89645625829055609</v>
      </c>
      <c r="K1344">
        <f t="shared" si="163"/>
        <v>-0.44313223418263736</v>
      </c>
      <c r="L1344">
        <f>VLOOKUP(D1344,[1]SOI!$A$1:$C$142,3)</f>
        <v>-1.8</v>
      </c>
      <c r="M1344" s="2">
        <f t="shared" si="164"/>
        <v>-1203.9407548842169</v>
      </c>
      <c r="N1344">
        <f t="shared" si="165"/>
        <v>-595.126590507282</v>
      </c>
      <c r="O1344" t="s">
        <v>8</v>
      </c>
    </row>
    <row r="1345" spans="1:15" x14ac:dyDescent="0.35">
      <c r="A1345">
        <v>2003</v>
      </c>
      <c r="B1345">
        <v>9</v>
      </c>
      <c r="C1345">
        <v>5</v>
      </c>
      <c r="D1345" s="1">
        <f t="shared" si="160"/>
        <v>37869</v>
      </c>
      <c r="E1345">
        <v>0</v>
      </c>
      <c r="F1345">
        <f t="shared" si="166"/>
        <v>0</v>
      </c>
      <c r="G1345">
        <f t="shared" si="161"/>
        <v>0</v>
      </c>
      <c r="H1345">
        <f t="shared" si="167"/>
        <v>0</v>
      </c>
      <c r="I1345">
        <v>1344</v>
      </c>
      <c r="J1345">
        <f t="shared" si="162"/>
        <v>-0.90394619292240175</v>
      </c>
      <c r="K1345">
        <f t="shared" si="163"/>
        <v>-0.42764620926777314</v>
      </c>
      <c r="L1345">
        <f>VLOOKUP(D1345,[1]SOI!$A$1:$C$142,3)</f>
        <v>-1.8</v>
      </c>
      <c r="M1345" s="2">
        <f t="shared" si="164"/>
        <v>-1214.903683287708</v>
      </c>
      <c r="N1345">
        <f t="shared" si="165"/>
        <v>-574.75650525588708</v>
      </c>
      <c r="O1345" t="s">
        <v>8</v>
      </c>
    </row>
    <row r="1346" spans="1:15" x14ac:dyDescent="0.35">
      <c r="A1346">
        <v>2003</v>
      </c>
      <c r="B1346">
        <v>9</v>
      </c>
      <c r="C1346">
        <v>6</v>
      </c>
      <c r="D1346" s="1">
        <f t="shared" si="160"/>
        <v>37870</v>
      </c>
      <c r="E1346">
        <v>0</v>
      </c>
      <c r="F1346">
        <f t="shared" si="166"/>
        <v>0</v>
      </c>
      <c r="G1346">
        <f t="shared" si="161"/>
        <v>0</v>
      </c>
      <c r="H1346">
        <f t="shared" si="167"/>
        <v>0</v>
      </c>
      <c r="I1346">
        <v>1345</v>
      </c>
      <c r="J1346">
        <f t="shared" si="162"/>
        <v>-0.91116863533266135</v>
      </c>
      <c r="K1346">
        <f t="shared" si="163"/>
        <v>-0.41203363695943024</v>
      </c>
      <c r="L1346">
        <f>VLOOKUP(D1346,[1]SOI!$A$1:$C$142,3)</f>
        <v>-1.8</v>
      </c>
      <c r="M1346" s="2">
        <f t="shared" si="164"/>
        <v>-1225.5218145224296</v>
      </c>
      <c r="N1346">
        <f t="shared" si="165"/>
        <v>-554.18524171043362</v>
      </c>
      <c r="O1346" t="s">
        <v>8</v>
      </c>
    </row>
    <row r="1347" spans="1:15" x14ac:dyDescent="0.35">
      <c r="A1347">
        <v>2003</v>
      </c>
      <c r="B1347">
        <v>9</v>
      </c>
      <c r="C1347">
        <v>7</v>
      </c>
      <c r="D1347" s="1">
        <f t="shared" ref="D1347:D1410" si="168">DATE(A1347,B1347,C1347)</f>
        <v>37871</v>
      </c>
      <c r="E1347">
        <v>0</v>
      </c>
      <c r="F1347">
        <f t="shared" si="166"/>
        <v>0</v>
      </c>
      <c r="G1347">
        <f t="shared" ref="G1347:G1410" si="169">IF(E1347=0,0,1)</f>
        <v>0</v>
      </c>
      <c r="H1347">
        <f t="shared" si="167"/>
        <v>0</v>
      </c>
      <c r="I1347">
        <v>1346</v>
      </c>
      <c r="J1347">
        <f t="shared" ref="J1347:J1410" si="170">SIN(2*PI()*I1347/365.25)</f>
        <v>-0.91812144828443676</v>
      </c>
      <c r="K1347">
        <f t="shared" ref="K1347:K1410" si="171">COS(2*PI()*I1347/365.25)</f>
        <v>-0.39629913726891763</v>
      </c>
      <c r="L1347">
        <f>VLOOKUP(D1347,[1]SOI!$A$1:$C$142,3)</f>
        <v>-1.8</v>
      </c>
      <c r="M1347" s="2">
        <f t="shared" ref="M1347:M1410" si="172">I1347*J1347</f>
        <v>-1235.7914693908519</v>
      </c>
      <c r="N1347">
        <f t="shared" ref="N1347:N1410" si="173">I1347*K1347</f>
        <v>-533.41863876396314</v>
      </c>
      <c r="O1347" t="s">
        <v>8</v>
      </c>
    </row>
    <row r="1348" spans="1:15" x14ac:dyDescent="0.35">
      <c r="A1348">
        <v>2003</v>
      </c>
      <c r="B1348">
        <v>9</v>
      </c>
      <c r="C1348">
        <v>8</v>
      </c>
      <c r="D1348" s="1">
        <f t="shared" si="168"/>
        <v>37872</v>
      </c>
      <c r="E1348">
        <v>0</v>
      </c>
      <c r="F1348">
        <f t="shared" ref="F1348:F1411" si="174">E1347</f>
        <v>0</v>
      </c>
      <c r="G1348">
        <f t="shared" si="169"/>
        <v>0</v>
      </c>
      <c r="H1348">
        <f t="shared" ref="H1348:H1411" si="175">G1347</f>
        <v>0</v>
      </c>
      <c r="I1348">
        <v>1347</v>
      </c>
      <c r="J1348">
        <f t="shared" si="170"/>
        <v>-0.92480257432850943</v>
      </c>
      <c r="K1348">
        <f t="shared" si="171"/>
        <v>-0.38044736628785031</v>
      </c>
      <c r="L1348">
        <f>VLOOKUP(D1348,[1]SOI!$A$1:$C$142,3)</f>
        <v>-1.8</v>
      </c>
      <c r="M1348" s="2">
        <f t="shared" si="172"/>
        <v>-1245.7090676205023</v>
      </c>
      <c r="N1348">
        <f t="shared" si="173"/>
        <v>-512.46260238973434</v>
      </c>
      <c r="O1348" t="s">
        <v>8</v>
      </c>
    </row>
    <row r="1349" spans="1:15" x14ac:dyDescent="0.35">
      <c r="A1349">
        <v>2003</v>
      </c>
      <c r="B1349">
        <v>9</v>
      </c>
      <c r="C1349">
        <v>9</v>
      </c>
      <c r="D1349" s="1">
        <f t="shared" si="168"/>
        <v>37873</v>
      </c>
      <c r="E1349">
        <v>0</v>
      </c>
      <c r="F1349">
        <f t="shared" si="174"/>
        <v>0</v>
      </c>
      <c r="G1349">
        <f t="shared" si="169"/>
        <v>0</v>
      </c>
      <c r="H1349">
        <f t="shared" si="175"/>
        <v>0</v>
      </c>
      <c r="I1349">
        <v>1348</v>
      </c>
      <c r="J1349">
        <f t="shared" si="170"/>
        <v>-0.93121003641219435</v>
      </c>
      <c r="K1349">
        <f t="shared" si="171"/>
        <v>-0.36448301481029216</v>
      </c>
      <c r="L1349">
        <f>VLOOKUP(D1349,[1]SOI!$A$1:$C$142,3)</f>
        <v>-1.8</v>
      </c>
      <c r="M1349" s="2">
        <f t="shared" si="172"/>
        <v>-1255.271129083638</v>
      </c>
      <c r="N1349">
        <f t="shared" si="173"/>
        <v>-491.32310396427386</v>
      </c>
      <c r="O1349" t="s">
        <v>8</v>
      </c>
    </row>
    <row r="1350" spans="1:15" x14ac:dyDescent="0.35">
      <c r="A1350">
        <v>2003</v>
      </c>
      <c r="B1350">
        <v>9</v>
      </c>
      <c r="C1350">
        <v>10</v>
      </c>
      <c r="D1350" s="1">
        <f t="shared" si="168"/>
        <v>37874</v>
      </c>
      <c r="E1350">
        <v>0.2</v>
      </c>
      <c r="F1350">
        <f t="shared" si="174"/>
        <v>0</v>
      </c>
      <c r="G1350">
        <f t="shared" si="169"/>
        <v>1</v>
      </c>
      <c r="H1350">
        <f t="shared" si="175"/>
        <v>0</v>
      </c>
      <c r="I1350">
        <v>1349</v>
      </c>
      <c r="J1350">
        <f t="shared" si="170"/>
        <v>-0.93734193846437741</v>
      </c>
      <c r="K1350">
        <f t="shared" si="171"/>
        <v>-0.34841080694468046</v>
      </c>
      <c r="L1350">
        <f>VLOOKUP(D1350,[1]SOI!$A$1:$C$142,3)</f>
        <v>-1.8</v>
      </c>
      <c r="M1350" s="2">
        <f t="shared" si="172"/>
        <v>-1264.4742749884451</v>
      </c>
      <c r="N1350">
        <f t="shared" si="173"/>
        <v>-470.00617856837397</v>
      </c>
      <c r="O1350" t="s">
        <v>8</v>
      </c>
    </row>
    <row r="1351" spans="1:15" x14ac:dyDescent="0.35">
      <c r="A1351">
        <v>2003</v>
      </c>
      <c r="B1351">
        <v>9</v>
      </c>
      <c r="C1351">
        <v>11</v>
      </c>
      <c r="D1351" s="1">
        <f t="shared" si="168"/>
        <v>37875</v>
      </c>
      <c r="E1351">
        <v>0.8</v>
      </c>
      <c r="F1351">
        <f t="shared" si="174"/>
        <v>0.2</v>
      </c>
      <c r="G1351">
        <f t="shared" si="169"/>
        <v>1</v>
      </c>
      <c r="H1351">
        <f t="shared" si="175"/>
        <v>1</v>
      </c>
      <c r="I1351">
        <v>1350</v>
      </c>
      <c r="J1351">
        <f t="shared" si="170"/>
        <v>-0.94319646595658702</v>
      </c>
      <c r="K1351">
        <f t="shared" si="171"/>
        <v>-0.33223549871590297</v>
      </c>
      <c r="L1351">
        <f>VLOOKUP(D1351,[1]SOI!$A$1:$C$142,3)</f>
        <v>-1.8</v>
      </c>
      <c r="M1351" s="2">
        <f t="shared" si="172"/>
        <v>-1273.3152290413925</v>
      </c>
      <c r="N1351">
        <f t="shared" si="173"/>
        <v>-448.51792326646898</v>
      </c>
      <c r="O1351" t="s">
        <v>8</v>
      </c>
    </row>
    <row r="1352" spans="1:15" x14ac:dyDescent="0.35">
      <c r="A1352">
        <v>2003</v>
      </c>
      <c r="B1352">
        <v>9</v>
      </c>
      <c r="C1352">
        <v>12</v>
      </c>
      <c r="D1352" s="1">
        <f t="shared" si="168"/>
        <v>37876</v>
      </c>
      <c r="E1352">
        <v>0</v>
      </c>
      <c r="F1352">
        <f t="shared" si="174"/>
        <v>0.8</v>
      </c>
      <c r="G1352">
        <f t="shared" si="169"/>
        <v>0</v>
      </c>
      <c r="H1352">
        <f t="shared" si="175"/>
        <v>1</v>
      </c>
      <c r="I1352">
        <v>1351</v>
      </c>
      <c r="J1352">
        <f t="shared" si="170"/>
        <v>-0.94877188643994703</v>
      </c>
      <c r="K1352">
        <f t="shared" si="171"/>
        <v>-0.31596187665790365</v>
      </c>
      <c r="L1352">
        <f>VLOOKUP(D1352,[1]SOI!$A$1:$C$142,3)</f>
        <v>-1.8</v>
      </c>
      <c r="M1352" s="2">
        <f t="shared" si="172"/>
        <v>-1281.7908185803685</v>
      </c>
      <c r="N1352">
        <f t="shared" si="173"/>
        <v>-426.86449536482786</v>
      </c>
      <c r="O1352" t="s">
        <v>8</v>
      </c>
    </row>
    <row r="1353" spans="1:15" x14ac:dyDescent="0.35">
      <c r="A1353">
        <v>2003</v>
      </c>
      <c r="B1353">
        <v>9</v>
      </c>
      <c r="C1353">
        <v>13</v>
      </c>
      <c r="D1353" s="1">
        <f t="shared" si="168"/>
        <v>37877</v>
      </c>
      <c r="E1353">
        <v>0</v>
      </c>
      <c r="F1353">
        <f t="shared" si="174"/>
        <v>0</v>
      </c>
      <c r="G1353">
        <f t="shared" si="169"/>
        <v>0</v>
      </c>
      <c r="H1353">
        <f t="shared" si="175"/>
        <v>0</v>
      </c>
      <c r="I1353">
        <v>1352</v>
      </c>
      <c r="J1353">
        <f t="shared" si="170"/>
        <v>-0.95406655005783869</v>
      </c>
      <c r="K1353">
        <f t="shared" si="171"/>
        <v>-0.29959475639726008</v>
      </c>
      <c r="L1353">
        <f>VLOOKUP(D1353,[1]SOI!$A$1:$C$142,3)</f>
        <v>-1.8</v>
      </c>
      <c r="M1353" s="2">
        <f t="shared" si="172"/>
        <v>-1289.897975678198</v>
      </c>
      <c r="N1353">
        <f t="shared" si="173"/>
        <v>-405.0521106490956</v>
      </c>
      <c r="O1353" t="s">
        <v>8</v>
      </c>
    </row>
    <row r="1354" spans="1:15" x14ac:dyDescent="0.35">
      <c r="A1354">
        <v>2003</v>
      </c>
      <c r="B1354">
        <v>9</v>
      </c>
      <c r="C1354">
        <v>14</v>
      </c>
      <c r="D1354" s="1">
        <f t="shared" si="168"/>
        <v>37878</v>
      </c>
      <c r="E1354">
        <v>3</v>
      </c>
      <c r="F1354">
        <f t="shared" si="174"/>
        <v>0</v>
      </c>
      <c r="G1354">
        <f t="shared" si="169"/>
        <v>1</v>
      </c>
      <c r="H1354">
        <f t="shared" si="175"/>
        <v>0</v>
      </c>
      <c r="I1354">
        <v>1353</v>
      </c>
      <c r="J1354">
        <f t="shared" si="170"/>
        <v>-0.9590788900341124</v>
      </c>
      <c r="K1354">
        <f t="shared" si="171"/>
        <v>-0.28313898122818576</v>
      </c>
      <c r="L1354">
        <f>VLOOKUP(D1354,[1]SOI!$A$1:$C$142,3)</f>
        <v>-1.8</v>
      </c>
      <c r="M1354" s="2">
        <f t="shared" si="172"/>
        <v>-1297.6337382161541</v>
      </c>
      <c r="N1354">
        <f t="shared" si="173"/>
        <v>-383.08704160173534</v>
      </c>
      <c r="O1354" t="s">
        <v>8</v>
      </c>
    </row>
    <row r="1355" spans="1:15" x14ac:dyDescent="0.35">
      <c r="A1355">
        <v>2003</v>
      </c>
      <c r="B1355">
        <v>9</v>
      </c>
      <c r="C1355">
        <v>15</v>
      </c>
      <c r="D1355" s="1">
        <f t="shared" si="168"/>
        <v>37879</v>
      </c>
      <c r="E1355">
        <v>0.4</v>
      </c>
      <c r="F1355">
        <f t="shared" si="174"/>
        <v>3</v>
      </c>
      <c r="G1355">
        <f t="shared" si="169"/>
        <v>1</v>
      </c>
      <c r="H1355">
        <f t="shared" si="175"/>
        <v>1</v>
      </c>
      <c r="I1355">
        <v>1354</v>
      </c>
      <c r="J1355">
        <f t="shared" si="170"/>
        <v>-0.9638074231367304</v>
      </c>
      <c r="K1355">
        <f t="shared" si="171"/>
        <v>-0.26659942067929449</v>
      </c>
      <c r="L1355">
        <f>VLOOKUP(D1355,[1]SOI!$A$1:$C$142,3)</f>
        <v>-1.8</v>
      </c>
      <c r="M1355" s="2">
        <f t="shared" si="172"/>
        <v>-1304.9952509271329</v>
      </c>
      <c r="N1355">
        <f t="shared" si="173"/>
        <v>-360.97561559976475</v>
      </c>
      <c r="O1355" t="s">
        <v>8</v>
      </c>
    </row>
    <row r="1356" spans="1:15" x14ac:dyDescent="0.35">
      <c r="A1356">
        <v>2003</v>
      </c>
      <c r="B1356">
        <v>9</v>
      </c>
      <c r="C1356">
        <v>16</v>
      </c>
      <c r="D1356" s="1">
        <f t="shared" si="168"/>
        <v>37880</v>
      </c>
      <c r="E1356">
        <v>2.8</v>
      </c>
      <c r="F1356">
        <f t="shared" si="174"/>
        <v>0.4</v>
      </c>
      <c r="G1356">
        <f t="shared" si="169"/>
        <v>1</v>
      </c>
      <c r="H1356">
        <f t="shared" si="175"/>
        <v>1</v>
      </c>
      <c r="I1356">
        <v>1355</v>
      </c>
      <c r="J1356">
        <f t="shared" si="170"/>
        <v>-0.96825075011667194</v>
      </c>
      <c r="K1356">
        <f t="shared" si="171"/>
        <v>-0.24998096907265197</v>
      </c>
      <c r="L1356">
        <f>VLOOKUP(D1356,[1]SOI!$A$1:$C$142,3)</f>
        <v>-1.8</v>
      </c>
      <c r="M1356" s="2">
        <f t="shared" si="172"/>
        <v>-1311.9797664080904</v>
      </c>
      <c r="N1356">
        <f t="shared" si="173"/>
        <v>-338.72421309344344</v>
      </c>
      <c r="O1356" t="s">
        <v>8</v>
      </c>
    </row>
    <row r="1357" spans="1:15" x14ac:dyDescent="0.35">
      <c r="A1357">
        <v>2003</v>
      </c>
      <c r="B1357">
        <v>9</v>
      </c>
      <c r="C1357">
        <v>17</v>
      </c>
      <c r="D1357" s="1">
        <f t="shared" si="168"/>
        <v>37881</v>
      </c>
      <c r="E1357">
        <v>0.8</v>
      </c>
      <c r="F1357">
        <f t="shared" si="174"/>
        <v>2.8</v>
      </c>
      <c r="G1357">
        <f t="shared" si="169"/>
        <v>1</v>
      </c>
      <c r="H1357">
        <f t="shared" si="175"/>
        <v>1</v>
      </c>
      <c r="I1357">
        <v>1356</v>
      </c>
      <c r="J1357">
        <f t="shared" si="170"/>
        <v>-0.97240755612199636</v>
      </c>
      <c r="K1357">
        <f t="shared" si="171"/>
        <v>-0.23328854407545724</v>
      </c>
      <c r="L1357">
        <f>VLOOKUP(D1357,[1]SOI!$A$1:$C$142,3)</f>
        <v>-1.8</v>
      </c>
      <c r="M1357" s="2">
        <f t="shared" si="172"/>
        <v>-1318.5846461014271</v>
      </c>
      <c r="N1357">
        <f t="shared" si="173"/>
        <v>-316.33926576632001</v>
      </c>
      <c r="O1357" t="s">
        <v>8</v>
      </c>
    </row>
    <row r="1358" spans="1:15" x14ac:dyDescent="0.35">
      <c r="A1358">
        <v>2003</v>
      </c>
      <c r="B1358">
        <v>9</v>
      </c>
      <c r="C1358">
        <v>18</v>
      </c>
      <c r="D1358" s="1">
        <f t="shared" si="168"/>
        <v>37882</v>
      </c>
      <c r="E1358">
        <v>1.6</v>
      </c>
      <c r="F1358">
        <f t="shared" si="174"/>
        <v>0.8</v>
      </c>
      <c r="G1358">
        <f t="shared" si="169"/>
        <v>1</v>
      </c>
      <c r="H1358">
        <f t="shared" si="175"/>
        <v>1</v>
      </c>
      <c r="I1358">
        <v>1357</v>
      </c>
      <c r="J1358">
        <f t="shared" si="170"/>
        <v>-0.97627661108693187</v>
      </c>
      <c r="K1358">
        <f t="shared" si="171"/>
        <v>-0.21652708524481534</v>
      </c>
      <c r="L1358">
        <f>VLOOKUP(D1358,[1]SOI!$A$1:$C$142,3)</f>
        <v>-1.8</v>
      </c>
      <c r="M1358" s="2">
        <f t="shared" si="172"/>
        <v>-1324.8073612449666</v>
      </c>
      <c r="N1358">
        <f t="shared" si="173"/>
        <v>-293.8272546772144</v>
      </c>
      <c r="O1358" t="s">
        <v>8</v>
      </c>
    </row>
    <row r="1359" spans="1:15" x14ac:dyDescent="0.35">
      <c r="A1359">
        <v>2003</v>
      </c>
      <c r="B1359">
        <v>9</v>
      </c>
      <c r="C1359">
        <v>19</v>
      </c>
      <c r="D1359" s="1">
        <f t="shared" si="168"/>
        <v>37883</v>
      </c>
      <c r="E1359">
        <v>0</v>
      </c>
      <c r="F1359">
        <f t="shared" si="174"/>
        <v>1.6</v>
      </c>
      <c r="G1359">
        <f t="shared" si="169"/>
        <v>0</v>
      </c>
      <c r="H1359">
        <f t="shared" si="175"/>
        <v>1</v>
      </c>
      <c r="I1359">
        <v>1358</v>
      </c>
      <c r="J1359">
        <f t="shared" si="170"/>
        <v>-0.97985677009586647</v>
      </c>
      <c r="K1359">
        <f t="shared" si="171"/>
        <v>-0.19970155256606367</v>
      </c>
      <c r="L1359">
        <f>VLOOKUP(D1359,[1]SOI!$A$1:$C$142,3)</f>
        <v>-1.8</v>
      </c>
      <c r="M1359" s="2">
        <f t="shared" si="172"/>
        <v>-1330.6454937901867</v>
      </c>
      <c r="N1359">
        <f t="shared" si="173"/>
        <v>-271.19470838471449</v>
      </c>
      <c r="O1359" t="s">
        <v>8</v>
      </c>
    </row>
    <row r="1360" spans="1:15" x14ac:dyDescent="0.35">
      <c r="A1360">
        <v>2003</v>
      </c>
      <c r="B1360">
        <v>9</v>
      </c>
      <c r="C1360">
        <v>20</v>
      </c>
      <c r="D1360" s="1">
        <f t="shared" si="168"/>
        <v>37884</v>
      </c>
      <c r="E1360">
        <v>0.4</v>
      </c>
      <c r="F1360">
        <f t="shared" si="174"/>
        <v>0</v>
      </c>
      <c r="G1360">
        <f t="shared" si="169"/>
        <v>1</v>
      </c>
      <c r="H1360">
        <f t="shared" si="175"/>
        <v>0</v>
      </c>
      <c r="I1360">
        <v>1359</v>
      </c>
      <c r="J1360">
        <f t="shared" si="170"/>
        <v>-0.98314697372214943</v>
      </c>
      <c r="K1360">
        <f t="shared" si="171"/>
        <v>-0.18281692498502217</v>
      </c>
      <c r="L1360">
        <f>VLOOKUP(D1360,[1]SOI!$A$1:$C$142,3)</f>
        <v>-1.8</v>
      </c>
      <c r="M1360" s="2">
        <f t="shared" si="172"/>
        <v>-1336.0967372884011</v>
      </c>
      <c r="N1360">
        <f t="shared" si="173"/>
        <v>-248.44820105464512</v>
      </c>
      <c r="O1360" t="s">
        <v>8</v>
      </c>
    </row>
    <row r="1361" spans="1:15" x14ac:dyDescent="0.35">
      <c r="A1361">
        <v>2003</v>
      </c>
      <c r="B1361">
        <v>9</v>
      </c>
      <c r="C1361">
        <v>21</v>
      </c>
      <c r="D1361" s="1">
        <f t="shared" si="168"/>
        <v>37885</v>
      </c>
      <c r="E1361">
        <v>0</v>
      </c>
      <c r="F1361">
        <f t="shared" si="174"/>
        <v>0.4</v>
      </c>
      <c r="G1361">
        <f t="shared" si="169"/>
        <v>0</v>
      </c>
      <c r="H1361">
        <f t="shared" si="175"/>
        <v>1</v>
      </c>
      <c r="I1361">
        <v>1360</v>
      </c>
      <c r="J1361">
        <f t="shared" si="170"/>
        <v>-0.98614624834159481</v>
      </c>
      <c r="K1361">
        <f t="shared" si="171"/>
        <v>-0.1658781989346326</v>
      </c>
      <c r="L1361">
        <f>VLOOKUP(D1361,[1]SOI!$A$1:$C$142,3)</f>
        <v>-1.8</v>
      </c>
      <c r="M1361" s="2">
        <f t="shared" si="172"/>
        <v>-1341.158897744569</v>
      </c>
      <c r="N1361">
        <f t="shared" si="173"/>
        <v>-225.59435055110032</v>
      </c>
      <c r="O1361" t="s">
        <v>8</v>
      </c>
    </row>
    <row r="1362" spans="1:15" x14ac:dyDescent="0.35">
      <c r="A1362">
        <v>2003</v>
      </c>
      <c r="B1362">
        <v>9</v>
      </c>
      <c r="C1362">
        <v>22</v>
      </c>
      <c r="D1362" s="1">
        <f t="shared" si="168"/>
        <v>37886</v>
      </c>
      <c r="E1362">
        <v>0</v>
      </c>
      <c r="F1362">
        <f t="shared" si="174"/>
        <v>0</v>
      </c>
      <c r="G1362">
        <f t="shared" si="169"/>
        <v>0</v>
      </c>
      <c r="H1362">
        <f t="shared" si="175"/>
        <v>0</v>
      </c>
      <c r="I1362">
        <v>1361</v>
      </c>
      <c r="J1362">
        <f t="shared" si="170"/>
        <v>-0.98885370642058845</v>
      </c>
      <c r="K1362">
        <f t="shared" si="171"/>
        <v>-0.1488903868564547</v>
      </c>
      <c r="L1362">
        <f>VLOOKUP(D1362,[1]SOI!$A$1:$C$142,3)</f>
        <v>-1.8</v>
      </c>
      <c r="M1362" s="2">
        <f t="shared" si="172"/>
        <v>-1345.829894438421</v>
      </c>
      <c r="N1362">
        <f t="shared" si="173"/>
        <v>-202.63981651163485</v>
      </c>
      <c r="O1362" t="s">
        <v>8</v>
      </c>
    </row>
    <row r="1363" spans="1:15" x14ac:dyDescent="0.35">
      <c r="A1363">
        <v>2003</v>
      </c>
      <c r="B1363">
        <v>9</v>
      </c>
      <c r="C1363">
        <v>23</v>
      </c>
      <c r="D1363" s="1">
        <f t="shared" si="168"/>
        <v>37887</v>
      </c>
      <c r="E1363">
        <v>0.6</v>
      </c>
      <c r="F1363">
        <f t="shared" si="174"/>
        <v>0</v>
      </c>
      <c r="G1363">
        <f t="shared" si="169"/>
        <v>1</v>
      </c>
      <c r="H1363">
        <f t="shared" si="175"/>
        <v>0</v>
      </c>
      <c r="I1363">
        <v>1362</v>
      </c>
      <c r="J1363">
        <f t="shared" si="170"/>
        <v>-0.99126854677872533</v>
      </c>
      <c r="K1363">
        <f t="shared" si="171"/>
        <v>-0.13185851571739346</v>
      </c>
      <c r="L1363">
        <f>VLOOKUP(D1363,[1]SOI!$A$1:$C$142,3)</f>
        <v>-1.8</v>
      </c>
      <c r="M1363" s="2">
        <f t="shared" si="172"/>
        <v>-1350.107760712624</v>
      </c>
      <c r="N1363">
        <f t="shared" si="173"/>
        <v>-179.59129840708988</v>
      </c>
      <c r="O1363" t="s">
        <v>8</v>
      </c>
    </row>
    <row r="1364" spans="1:15" x14ac:dyDescent="0.35">
      <c r="A1364">
        <v>2003</v>
      </c>
      <c r="B1364">
        <v>9</v>
      </c>
      <c r="C1364">
        <v>24</v>
      </c>
      <c r="D1364" s="1">
        <f t="shared" si="168"/>
        <v>37888</v>
      </c>
      <c r="E1364">
        <v>3.4</v>
      </c>
      <c r="F1364">
        <f t="shared" si="174"/>
        <v>0.6</v>
      </c>
      <c r="G1364">
        <f t="shared" si="169"/>
        <v>1</v>
      </c>
      <c r="H1364">
        <f t="shared" si="175"/>
        <v>1</v>
      </c>
      <c r="I1364">
        <v>1363</v>
      </c>
      <c r="J1364">
        <f t="shared" si="170"/>
        <v>-0.99339005482589349</v>
      </c>
      <c r="K1364">
        <f t="shared" si="171"/>
        <v>-0.11478762552212843</v>
      </c>
      <c r="L1364">
        <f>VLOOKUP(D1364,[1]SOI!$A$1:$C$142,3)</f>
        <v>-1.8</v>
      </c>
      <c r="M1364" s="2">
        <f t="shared" si="172"/>
        <v>-1353.9906447276928</v>
      </c>
      <c r="N1364">
        <f t="shared" si="173"/>
        <v>-156.45553358666103</v>
      </c>
      <c r="O1364" t="s">
        <v>8</v>
      </c>
    </row>
    <row r="1365" spans="1:15" x14ac:dyDescent="0.35">
      <c r="A1365">
        <v>2003</v>
      </c>
      <c r="B1365">
        <v>9</v>
      </c>
      <c r="C1365">
        <v>25</v>
      </c>
      <c r="D1365" s="1">
        <f t="shared" si="168"/>
        <v>37889</v>
      </c>
      <c r="E1365">
        <v>0</v>
      </c>
      <c r="F1365">
        <f t="shared" si="174"/>
        <v>3.4</v>
      </c>
      <c r="G1365">
        <f t="shared" si="169"/>
        <v>0</v>
      </c>
      <c r="H1365">
        <f t="shared" si="175"/>
        <v>1</v>
      </c>
      <c r="I1365">
        <v>1364</v>
      </c>
      <c r="J1365">
        <f t="shared" si="170"/>
        <v>-0.99521760277372906</v>
      </c>
      <c r="K1365">
        <f t="shared" si="171"/>
        <v>-9.7682767821719613E-2</v>
      </c>
      <c r="L1365">
        <f>VLOOKUP(D1365,[1]SOI!$A$1:$C$142,3)</f>
        <v>-1.8</v>
      </c>
      <c r="M1365" s="2">
        <f t="shared" si="172"/>
        <v>-1357.4768101833665</v>
      </c>
      <c r="N1365">
        <f t="shared" si="173"/>
        <v>-133.23929530882555</v>
      </c>
      <c r="O1365" t="s">
        <v>8</v>
      </c>
    </row>
    <row r="1366" spans="1:15" x14ac:dyDescent="0.35">
      <c r="A1366">
        <v>2003</v>
      </c>
      <c r="B1366">
        <v>9</v>
      </c>
      <c r="C1366">
        <v>26</v>
      </c>
      <c r="D1366" s="1">
        <f t="shared" si="168"/>
        <v>37890</v>
      </c>
      <c r="E1366">
        <v>0.2</v>
      </c>
      <c r="F1366">
        <f t="shared" si="174"/>
        <v>0</v>
      </c>
      <c r="G1366">
        <f t="shared" si="169"/>
        <v>1</v>
      </c>
      <c r="H1366">
        <f t="shared" si="175"/>
        <v>0</v>
      </c>
      <c r="I1366">
        <v>1365</v>
      </c>
      <c r="J1366">
        <f t="shared" si="170"/>
        <v>-0.99675064982139272</v>
      </c>
      <c r="K1366">
        <f t="shared" si="171"/>
        <v>-8.0549004218744197E-2</v>
      </c>
      <c r="L1366">
        <f>VLOOKUP(D1366,[1]SOI!$A$1:$C$142,3)</f>
        <v>-1.8</v>
      </c>
      <c r="M1366" s="2">
        <f t="shared" si="172"/>
        <v>-1360.5646370062011</v>
      </c>
      <c r="N1366">
        <f t="shared" si="173"/>
        <v>-109.94939075858584</v>
      </c>
      <c r="O1366" t="s">
        <v>8</v>
      </c>
    </row>
    <row r="1367" spans="1:15" x14ac:dyDescent="0.35">
      <c r="A1367">
        <v>2003</v>
      </c>
      <c r="B1367">
        <v>9</v>
      </c>
      <c r="C1367">
        <v>27</v>
      </c>
      <c r="D1367" s="1">
        <f t="shared" si="168"/>
        <v>37891</v>
      </c>
      <c r="E1367">
        <v>5.6</v>
      </c>
      <c r="F1367">
        <f t="shared" si="174"/>
        <v>0.2</v>
      </c>
      <c r="G1367">
        <f t="shared" si="169"/>
        <v>1</v>
      </c>
      <c r="H1367">
        <f t="shared" si="175"/>
        <v>1</v>
      </c>
      <c r="I1367">
        <v>1366</v>
      </c>
      <c r="J1367">
        <f t="shared" si="170"/>
        <v>-0.99798874231559831</v>
      </c>
      <c r="K1367">
        <f t="shared" si="171"/>
        <v>-6.3391404869511586E-2</v>
      </c>
      <c r="L1367">
        <f>VLOOKUP(D1367,[1]SOI!$A$1:$C$142,3)</f>
        <v>-1.8</v>
      </c>
      <c r="M1367" s="2">
        <f t="shared" si="172"/>
        <v>-1363.2526220031073</v>
      </c>
      <c r="N1367">
        <f t="shared" si="173"/>
        <v>-86.592659051752833</v>
      </c>
      <c r="O1367" t="s">
        <v>8</v>
      </c>
    </row>
    <row r="1368" spans="1:15" x14ac:dyDescent="0.35">
      <c r="A1368">
        <v>2003</v>
      </c>
      <c r="B1368">
        <v>9</v>
      </c>
      <c r="C1368">
        <v>28</v>
      </c>
      <c r="D1368" s="1">
        <f t="shared" si="168"/>
        <v>37892</v>
      </c>
      <c r="E1368">
        <v>3.4</v>
      </c>
      <c r="F1368">
        <f t="shared" si="174"/>
        <v>5.6</v>
      </c>
      <c r="G1368">
        <f t="shared" si="169"/>
        <v>1</v>
      </c>
      <c r="H1368">
        <f t="shared" si="175"/>
        <v>1</v>
      </c>
      <c r="I1368">
        <v>1367</v>
      </c>
      <c r="J1368">
        <f t="shared" si="170"/>
        <v>-0.99893151388485757</v>
      </c>
      <c r="K1368">
        <f t="shared" si="171"/>
        <v>-4.6215046983711996E-2</v>
      </c>
      <c r="L1368">
        <f>VLOOKUP(D1368,[1]SOI!$A$1:$C$142,3)</f>
        <v>-1.8</v>
      </c>
      <c r="M1368" s="2">
        <f t="shared" si="172"/>
        <v>-1365.5393794806002</v>
      </c>
      <c r="N1368">
        <f t="shared" si="173"/>
        <v>-63.175969226734303</v>
      </c>
      <c r="O1368" t="s">
        <v>8</v>
      </c>
    </row>
    <row r="1369" spans="1:15" x14ac:dyDescent="0.35">
      <c r="A1369">
        <v>2003</v>
      </c>
      <c r="B1369">
        <v>9</v>
      </c>
      <c r="C1369">
        <v>29</v>
      </c>
      <c r="D1369" s="1">
        <f t="shared" si="168"/>
        <v>37893</v>
      </c>
      <c r="E1369">
        <v>0.6</v>
      </c>
      <c r="F1369">
        <f t="shared" si="174"/>
        <v>3.4</v>
      </c>
      <c r="G1369">
        <f t="shared" si="169"/>
        <v>1</v>
      </c>
      <c r="H1369">
        <f t="shared" si="175"/>
        <v>1</v>
      </c>
      <c r="I1369">
        <v>1368</v>
      </c>
      <c r="J1369">
        <f t="shared" si="170"/>
        <v>-0.99957868554789575</v>
      </c>
      <c r="K1369">
        <f t="shared" si="171"/>
        <v>-2.9025013321977773E-2</v>
      </c>
      <c r="L1369">
        <f>VLOOKUP(D1369,[1]SOI!$A$1:$C$142,3)</f>
        <v>-1.8</v>
      </c>
      <c r="M1369" s="2">
        <f t="shared" si="172"/>
        <v>-1367.4236418295213</v>
      </c>
      <c r="N1369">
        <f t="shared" si="173"/>
        <v>-39.706218224465594</v>
      </c>
      <c r="O1369" t="s">
        <v>8</v>
      </c>
    </row>
    <row r="1370" spans="1:15" x14ac:dyDescent="0.35">
      <c r="A1370">
        <v>2003</v>
      </c>
      <c r="B1370">
        <v>9</v>
      </c>
      <c r="C1370">
        <v>30</v>
      </c>
      <c r="D1370" s="1">
        <f t="shared" si="168"/>
        <v>37894</v>
      </c>
      <c r="E1370">
        <v>1.2</v>
      </c>
      <c r="F1370">
        <f t="shared" si="174"/>
        <v>0.6</v>
      </c>
      <c r="G1370">
        <f t="shared" si="169"/>
        <v>1</v>
      </c>
      <c r="H1370">
        <f t="shared" si="175"/>
        <v>1</v>
      </c>
      <c r="I1370">
        <v>1369</v>
      </c>
      <c r="J1370">
        <f t="shared" si="170"/>
        <v>-0.99993006579620569</v>
      </c>
      <c r="K1370">
        <f t="shared" si="171"/>
        <v>-1.182639069183046E-2</v>
      </c>
      <c r="L1370">
        <f>VLOOKUP(D1370,[1]SOI!$A$1:$C$142,3)</f>
        <v>-1.8</v>
      </c>
      <c r="M1370" s="2">
        <f t="shared" si="172"/>
        <v>-1368.9042600750056</v>
      </c>
      <c r="N1370">
        <f t="shared" si="173"/>
        <v>-16.190328857115901</v>
      </c>
      <c r="O1370" t="s">
        <v>8</v>
      </c>
    </row>
    <row r="1371" spans="1:15" x14ac:dyDescent="0.35">
      <c r="A1371">
        <v>2003</v>
      </c>
      <c r="B1371">
        <v>10</v>
      </c>
      <c r="C1371">
        <v>1</v>
      </c>
      <c r="D1371" s="1">
        <f t="shared" si="168"/>
        <v>37895</v>
      </c>
      <c r="E1371">
        <v>0</v>
      </c>
      <c r="F1371">
        <f t="shared" si="174"/>
        <v>1.2</v>
      </c>
      <c r="G1371">
        <f t="shared" si="169"/>
        <v>0</v>
      </c>
      <c r="H1371">
        <f t="shared" si="175"/>
        <v>1</v>
      </c>
      <c r="I1371">
        <v>1370</v>
      </c>
      <c r="J1371">
        <f t="shared" si="170"/>
        <v>-0.99998555065071859</v>
      </c>
      <c r="K1371">
        <f t="shared" si="171"/>
        <v>5.3757315575802397E-3</v>
      </c>
      <c r="L1371">
        <f>VLOOKUP(D1371,[1]SOI!$A$1:$C$142,3)</f>
        <v>-2.2000000000000002</v>
      </c>
      <c r="M1371" s="2">
        <f t="shared" si="172"/>
        <v>-1369.9802043914844</v>
      </c>
      <c r="N1371">
        <f t="shared" si="173"/>
        <v>7.3647522338849285</v>
      </c>
      <c r="O1371" t="s">
        <v>8</v>
      </c>
    </row>
    <row r="1372" spans="1:15" x14ac:dyDescent="0.35">
      <c r="A1372">
        <v>2003</v>
      </c>
      <c r="B1372">
        <v>10</v>
      </c>
      <c r="C1372">
        <v>2</v>
      </c>
      <c r="D1372" s="1">
        <f t="shared" si="168"/>
        <v>37896</v>
      </c>
      <c r="E1372">
        <v>8.6</v>
      </c>
      <c r="F1372">
        <f t="shared" si="174"/>
        <v>0</v>
      </c>
      <c r="G1372">
        <f t="shared" si="169"/>
        <v>1</v>
      </c>
      <c r="H1372">
        <f t="shared" si="175"/>
        <v>0</v>
      </c>
      <c r="I1372">
        <v>1371</v>
      </c>
      <c r="J1372">
        <f t="shared" si="170"/>
        <v>-0.9997451236925734</v>
      </c>
      <c r="K1372">
        <f t="shared" si="171"/>
        <v>2.2576263041546502E-2</v>
      </c>
      <c r="L1372">
        <f>VLOOKUP(D1372,[1]SOI!$A$1:$C$142,3)</f>
        <v>-2.2000000000000002</v>
      </c>
      <c r="M1372" s="2">
        <f t="shared" si="172"/>
        <v>-1370.6505645825182</v>
      </c>
      <c r="N1372">
        <f t="shared" si="173"/>
        <v>30.952056629960254</v>
      </c>
      <c r="O1372" t="s">
        <v>8</v>
      </c>
    </row>
    <row r="1373" spans="1:15" x14ac:dyDescent="0.35">
      <c r="A1373">
        <v>2003</v>
      </c>
      <c r="B1373">
        <v>10</v>
      </c>
      <c r="C1373">
        <v>3</v>
      </c>
      <c r="D1373" s="1">
        <f t="shared" si="168"/>
        <v>37897</v>
      </c>
      <c r="E1373">
        <v>2.4</v>
      </c>
      <c r="F1373">
        <f t="shared" si="174"/>
        <v>8.6</v>
      </c>
      <c r="G1373">
        <f t="shared" si="169"/>
        <v>1</v>
      </c>
      <c r="H1373">
        <f t="shared" si="175"/>
        <v>1</v>
      </c>
      <c r="I1373">
        <v>1372</v>
      </c>
      <c r="J1373">
        <f t="shared" si="170"/>
        <v>-0.99920885606797516</v>
      </c>
      <c r="K1373">
        <f t="shared" si="171"/>
        <v>3.9770113846058074E-2</v>
      </c>
      <c r="L1373">
        <f>VLOOKUP(D1373,[1]SOI!$A$1:$C$142,3)</f>
        <v>-2.2000000000000002</v>
      </c>
      <c r="M1373" s="2">
        <f t="shared" si="172"/>
        <v>-1370.914550525262</v>
      </c>
      <c r="N1373">
        <f t="shared" si="173"/>
        <v>54.564596196791676</v>
      </c>
      <c r="O1373" t="s">
        <v>8</v>
      </c>
    </row>
    <row r="1374" spans="1:15" x14ac:dyDescent="0.35">
      <c r="A1374">
        <v>2003</v>
      </c>
      <c r="B1374">
        <v>10</v>
      </c>
      <c r="C1374">
        <v>4</v>
      </c>
      <c r="D1374" s="1">
        <f t="shared" si="168"/>
        <v>37898</v>
      </c>
      <c r="E1374">
        <v>0</v>
      </c>
      <c r="F1374">
        <f t="shared" si="174"/>
        <v>2.4</v>
      </c>
      <c r="G1374">
        <f t="shared" si="169"/>
        <v>0</v>
      </c>
      <c r="H1374">
        <f t="shared" si="175"/>
        <v>1</v>
      </c>
      <c r="I1374">
        <v>1373</v>
      </c>
      <c r="J1374">
        <f t="shared" si="170"/>
        <v>-0.99837690646714217</v>
      </c>
      <c r="K1374">
        <f t="shared" si="171"/>
        <v>5.6952196034035896E-2</v>
      </c>
      <c r="L1374">
        <f>VLOOKUP(D1374,[1]SOI!$A$1:$C$142,3)</f>
        <v>-2.2000000000000002</v>
      </c>
      <c r="M1374" s="2">
        <f t="shared" si="172"/>
        <v>-1370.7714925793862</v>
      </c>
      <c r="N1374">
        <f t="shared" si="173"/>
        <v>78.195365154731292</v>
      </c>
      <c r="O1374" t="s">
        <v>8</v>
      </c>
    </row>
    <row r="1375" spans="1:15" x14ac:dyDescent="0.35">
      <c r="A1375">
        <v>2003</v>
      </c>
      <c r="B1375">
        <v>10</v>
      </c>
      <c r="C1375">
        <v>5</v>
      </c>
      <c r="D1375" s="1">
        <f t="shared" si="168"/>
        <v>37899</v>
      </c>
      <c r="E1375">
        <v>0</v>
      </c>
      <c r="F1375">
        <f t="shared" si="174"/>
        <v>0</v>
      </c>
      <c r="G1375">
        <f t="shared" si="169"/>
        <v>0</v>
      </c>
      <c r="H1375">
        <f t="shared" si="175"/>
        <v>0</v>
      </c>
      <c r="I1375">
        <v>1374</v>
      </c>
      <c r="J1375">
        <f t="shared" si="170"/>
        <v>-0.99724952107734499</v>
      </c>
      <c r="K1375">
        <f t="shared" si="171"/>
        <v>7.411742515094516E-2</v>
      </c>
      <c r="L1375">
        <f>VLOOKUP(D1375,[1]SOI!$A$1:$C$142,3)</f>
        <v>-2.2000000000000002</v>
      </c>
      <c r="M1375" s="2">
        <f t="shared" si="172"/>
        <v>-1370.2208419602721</v>
      </c>
      <c r="N1375">
        <f t="shared" si="173"/>
        <v>101.83734215739865</v>
      </c>
      <c r="O1375" t="s">
        <v>8</v>
      </c>
    </row>
    <row r="1376" spans="1:15" x14ac:dyDescent="0.35">
      <c r="A1376">
        <v>2003</v>
      </c>
      <c r="B1376">
        <v>10</v>
      </c>
      <c r="C1376">
        <v>6</v>
      </c>
      <c r="D1376" s="1">
        <f t="shared" si="168"/>
        <v>37900</v>
      </c>
      <c r="E1376">
        <v>0</v>
      </c>
      <c r="F1376">
        <f t="shared" si="174"/>
        <v>0</v>
      </c>
      <c r="G1376">
        <f t="shared" si="169"/>
        <v>0</v>
      </c>
      <c r="H1376">
        <f t="shared" si="175"/>
        <v>0</v>
      </c>
      <c r="I1376">
        <v>1375</v>
      </c>
      <c r="J1376">
        <f t="shared" si="170"/>
        <v>-0.99582703351005997</v>
      </c>
      <c r="K1376">
        <f t="shared" si="171"/>
        <v>9.1260721729306923E-2</v>
      </c>
      <c r="L1376">
        <f>VLOOKUP(D1376,[1]SOI!$A$1:$C$142,3)</f>
        <v>-2.2000000000000002</v>
      </c>
      <c r="M1376" s="2">
        <f t="shared" si="172"/>
        <v>-1369.2621710763324</v>
      </c>
      <c r="N1376">
        <f t="shared" si="173"/>
        <v>125.48349237779702</v>
      </c>
      <c r="O1376" t="s">
        <v>8</v>
      </c>
    </row>
    <row r="1377" spans="1:15" x14ac:dyDescent="0.35">
      <c r="A1377">
        <v>2003</v>
      </c>
      <c r="B1377">
        <v>10</v>
      </c>
      <c r="C1377">
        <v>7</v>
      </c>
      <c r="D1377" s="1">
        <f t="shared" si="168"/>
        <v>37901</v>
      </c>
      <c r="E1377">
        <v>0</v>
      </c>
      <c r="F1377">
        <f t="shared" si="174"/>
        <v>0</v>
      </c>
      <c r="G1377">
        <f t="shared" si="169"/>
        <v>0</v>
      </c>
      <c r="H1377">
        <f t="shared" si="175"/>
        <v>0</v>
      </c>
      <c r="I1377">
        <v>1376</v>
      </c>
      <c r="J1377">
        <f t="shared" si="170"/>
        <v>-0.99410986470224183</v>
      </c>
      <c r="K1377">
        <f t="shared" si="171"/>
        <v>0.10837701279187577</v>
      </c>
      <c r="L1377">
        <f>VLOOKUP(D1377,[1]SOI!$A$1:$C$142,3)</f>
        <v>-2.2000000000000002</v>
      </c>
      <c r="M1377" s="2">
        <f t="shared" si="172"/>
        <v>-1367.8951738302846</v>
      </c>
      <c r="N1377">
        <f t="shared" si="173"/>
        <v>149.12676960162105</v>
      </c>
      <c r="O1377" t="s">
        <v>8</v>
      </c>
    </row>
    <row r="1378" spans="1:15" x14ac:dyDescent="0.35">
      <c r="A1378">
        <v>2003</v>
      </c>
      <c r="B1378">
        <v>10</v>
      </c>
      <c r="C1378">
        <v>8</v>
      </c>
      <c r="D1378" s="1">
        <f t="shared" si="168"/>
        <v>37902</v>
      </c>
      <c r="E1378">
        <v>0.2</v>
      </c>
      <c r="F1378">
        <f t="shared" si="174"/>
        <v>0</v>
      </c>
      <c r="G1378">
        <f t="shared" si="169"/>
        <v>1</v>
      </c>
      <c r="H1378">
        <f t="shared" si="175"/>
        <v>0</v>
      </c>
      <c r="I1378">
        <v>1377</v>
      </c>
      <c r="J1378">
        <f t="shared" si="170"/>
        <v>-0.99209852279176891</v>
      </c>
      <c r="K1378">
        <f t="shared" si="171"/>
        <v>0.12546123335273748</v>
      </c>
      <c r="L1378">
        <f>VLOOKUP(D1378,[1]SOI!$A$1:$C$142,3)</f>
        <v>-2.2000000000000002</v>
      </c>
      <c r="M1378" s="2">
        <f t="shared" si="172"/>
        <v>-1366.1196658842657</v>
      </c>
      <c r="N1378">
        <f t="shared" si="173"/>
        <v>172.76011832671952</v>
      </c>
      <c r="O1378" t="s">
        <v>8</v>
      </c>
    </row>
    <row r="1379" spans="1:15" x14ac:dyDescent="0.35">
      <c r="A1379">
        <v>2003</v>
      </c>
      <c r="B1379">
        <v>10</v>
      </c>
      <c r="C1379">
        <v>9</v>
      </c>
      <c r="D1379" s="1">
        <f t="shared" si="168"/>
        <v>37903</v>
      </c>
      <c r="E1379">
        <v>0.6</v>
      </c>
      <c r="F1379">
        <f t="shared" si="174"/>
        <v>0.2</v>
      </c>
      <c r="G1379">
        <f t="shared" si="169"/>
        <v>1</v>
      </c>
      <c r="H1379">
        <f t="shared" si="175"/>
        <v>1</v>
      </c>
      <c r="I1379">
        <v>1378</v>
      </c>
      <c r="J1379">
        <f t="shared" si="170"/>
        <v>-0.98979360296707186</v>
      </c>
      <c r="K1379">
        <f t="shared" si="171"/>
        <v>0.14250832791616946</v>
      </c>
      <c r="L1379">
        <f>VLOOKUP(D1379,[1]SOI!$A$1:$C$142,3)</f>
        <v>-2.2000000000000002</v>
      </c>
      <c r="M1379" s="2">
        <f t="shared" si="172"/>
        <v>-1363.935584888625</v>
      </c>
      <c r="N1379">
        <f t="shared" si="173"/>
        <v>196.37647586848152</v>
      </c>
      <c r="O1379" t="s">
        <v>8</v>
      </c>
    </row>
    <row r="1380" spans="1:15" x14ac:dyDescent="0.35">
      <c r="A1380">
        <v>2003</v>
      </c>
      <c r="B1380">
        <v>10</v>
      </c>
      <c r="C1380">
        <v>10</v>
      </c>
      <c r="D1380" s="1">
        <f t="shared" si="168"/>
        <v>37904</v>
      </c>
      <c r="E1380">
        <v>0.8</v>
      </c>
      <c r="F1380">
        <f t="shared" si="174"/>
        <v>0.6</v>
      </c>
      <c r="G1380">
        <f t="shared" si="169"/>
        <v>1</v>
      </c>
      <c r="H1380">
        <f t="shared" si="175"/>
        <v>1</v>
      </c>
      <c r="I1380">
        <v>1379</v>
      </c>
      <c r="J1380">
        <f t="shared" si="170"/>
        <v>-0.98719578729100865</v>
      </c>
      <c r="K1380">
        <f t="shared" si="171"/>
        <v>0.15951325197263602</v>
      </c>
      <c r="L1380">
        <f>VLOOKUP(D1380,[1]SOI!$A$1:$C$142,3)</f>
        <v>-2.2000000000000002</v>
      </c>
      <c r="M1380" s="2">
        <f t="shared" si="172"/>
        <v>-1361.3429906743008</v>
      </c>
      <c r="N1380">
        <f t="shared" si="173"/>
        <v>219.96877447026506</v>
      </c>
      <c r="O1380" t="s">
        <v>8</v>
      </c>
    </row>
    <row r="1381" spans="1:15" x14ac:dyDescent="0.35">
      <c r="A1381">
        <v>2003</v>
      </c>
      <c r="B1381">
        <v>10</v>
      </c>
      <c r="C1381">
        <v>11</v>
      </c>
      <c r="D1381" s="1">
        <f t="shared" si="168"/>
        <v>37905</v>
      </c>
      <c r="E1381">
        <v>2.2000000000000002</v>
      </c>
      <c r="F1381">
        <f t="shared" si="174"/>
        <v>0.8</v>
      </c>
      <c r="G1381">
        <f t="shared" si="169"/>
        <v>1</v>
      </c>
      <c r="H1381">
        <f t="shared" si="175"/>
        <v>1</v>
      </c>
      <c r="I1381">
        <v>1380</v>
      </c>
      <c r="J1381">
        <f t="shared" si="170"/>
        <v>-0.98430584449903291</v>
      </c>
      <c r="K1381">
        <f t="shared" si="171"/>
        <v>0.17647097349152244</v>
      </c>
      <c r="L1381">
        <f>VLOOKUP(D1381,[1]SOI!$A$1:$C$142,3)</f>
        <v>-2.2000000000000002</v>
      </c>
      <c r="M1381" s="2">
        <f t="shared" si="172"/>
        <v>-1358.3420654086653</v>
      </c>
      <c r="N1381">
        <f t="shared" si="173"/>
        <v>243.52994341830097</v>
      </c>
      <c r="O1381" t="s">
        <v>8</v>
      </c>
    </row>
    <row r="1382" spans="1:15" x14ac:dyDescent="0.35">
      <c r="A1382">
        <v>2003</v>
      </c>
      <c r="B1382">
        <v>10</v>
      </c>
      <c r="C1382">
        <v>12</v>
      </c>
      <c r="D1382" s="1">
        <f t="shared" si="168"/>
        <v>37906</v>
      </c>
      <c r="E1382">
        <v>0.4</v>
      </c>
      <c r="F1382">
        <f t="shared" si="174"/>
        <v>2.2000000000000002</v>
      </c>
      <c r="G1382">
        <f t="shared" si="169"/>
        <v>1</v>
      </c>
      <c r="H1382">
        <f t="shared" si="175"/>
        <v>1</v>
      </c>
      <c r="I1382">
        <v>1381</v>
      </c>
      <c r="J1382">
        <f t="shared" si="170"/>
        <v>-0.98112462977171233</v>
      </c>
      <c r="K1382">
        <f t="shared" si="171"/>
        <v>0.19337647441020425</v>
      </c>
      <c r="L1382">
        <f>VLOOKUP(D1382,[1]SOI!$A$1:$C$142,3)</f>
        <v>-2.2000000000000002</v>
      </c>
      <c r="M1382" s="2">
        <f t="shared" si="172"/>
        <v>-1354.9331137147346</v>
      </c>
      <c r="N1382">
        <f t="shared" si="173"/>
        <v>267.05291116049204</v>
      </c>
      <c r="O1382" t="s">
        <v>8</v>
      </c>
    </row>
    <row r="1383" spans="1:15" x14ac:dyDescent="0.35">
      <c r="A1383">
        <v>2003</v>
      </c>
      <c r="B1383">
        <v>10</v>
      </c>
      <c r="C1383">
        <v>13</v>
      </c>
      <c r="D1383" s="1">
        <f t="shared" si="168"/>
        <v>37907</v>
      </c>
      <c r="E1383">
        <v>0</v>
      </c>
      <c r="F1383">
        <f t="shared" si="174"/>
        <v>0.4</v>
      </c>
      <c r="G1383">
        <f t="shared" si="169"/>
        <v>0</v>
      </c>
      <c r="H1383">
        <f t="shared" si="175"/>
        <v>1</v>
      </c>
      <c r="I1383">
        <v>1382</v>
      </c>
      <c r="J1383">
        <f t="shared" si="170"/>
        <v>-0.97765308448166421</v>
      </c>
      <c r="K1383">
        <f t="shared" si="171"/>
        <v>0.21022475211898328</v>
      </c>
      <c r="L1383">
        <f>VLOOKUP(D1383,[1]SOI!$A$1:$C$142,3)</f>
        <v>-2.2000000000000002</v>
      </c>
      <c r="M1383" s="2">
        <f t="shared" si="172"/>
        <v>-1351.11656275366</v>
      </c>
      <c r="N1383">
        <f t="shared" si="173"/>
        <v>290.53060742843491</v>
      </c>
      <c r="O1383" t="s">
        <v>8</v>
      </c>
    </row>
    <row r="1384" spans="1:15" x14ac:dyDescent="0.35">
      <c r="A1384">
        <v>2003</v>
      </c>
      <c r="B1384">
        <v>10</v>
      </c>
      <c r="C1384">
        <v>14</v>
      </c>
      <c r="D1384" s="1">
        <f t="shared" si="168"/>
        <v>37908</v>
      </c>
      <c r="E1384">
        <v>0</v>
      </c>
      <c r="F1384">
        <f t="shared" si="174"/>
        <v>0</v>
      </c>
      <c r="G1384">
        <f t="shared" si="169"/>
        <v>0</v>
      </c>
      <c r="H1384">
        <f t="shared" si="175"/>
        <v>0</v>
      </c>
      <c r="I1384">
        <v>1383</v>
      </c>
      <c r="J1384">
        <f t="shared" si="170"/>
        <v>-0.97389223591499219</v>
      </c>
      <c r="K1384">
        <f t="shared" si="171"/>
        <v>0.22701082094141922</v>
      </c>
      <c r="L1384">
        <f>VLOOKUP(D1384,[1]SOI!$A$1:$C$142,3)</f>
        <v>-2.2000000000000002</v>
      </c>
      <c r="M1384" s="2">
        <f t="shared" si="172"/>
        <v>-1346.8929622704343</v>
      </c>
      <c r="N1384">
        <f t="shared" si="173"/>
        <v>313.95596536198281</v>
      </c>
      <c r="O1384" t="s">
        <v>8</v>
      </c>
    </row>
    <row r="1385" spans="1:15" x14ac:dyDescent="0.35">
      <c r="A1385">
        <v>2003</v>
      </c>
      <c r="B1385">
        <v>10</v>
      </c>
      <c r="C1385">
        <v>15</v>
      </c>
      <c r="D1385" s="1">
        <f t="shared" si="168"/>
        <v>37909</v>
      </c>
      <c r="E1385">
        <v>0</v>
      </c>
      <c r="F1385">
        <f t="shared" si="174"/>
        <v>0</v>
      </c>
      <c r="G1385">
        <f t="shared" si="169"/>
        <v>0</v>
      </c>
      <c r="H1385">
        <f t="shared" si="175"/>
        <v>0</v>
      </c>
      <c r="I1385">
        <v>1384</v>
      </c>
      <c r="J1385">
        <f t="shared" si="170"/>
        <v>-0.96984319696729449</v>
      </c>
      <c r="K1385">
        <f t="shared" si="171"/>
        <v>0.24372971360968226</v>
      </c>
      <c r="L1385">
        <f>VLOOKUP(D1385,[1]SOI!$A$1:$C$142,3)</f>
        <v>-2.2000000000000002</v>
      </c>
      <c r="M1385" s="2">
        <f t="shared" si="172"/>
        <v>-1342.2629846027355</v>
      </c>
      <c r="N1385">
        <f t="shared" si="173"/>
        <v>337.32192363580026</v>
      </c>
      <c r="O1385" t="s">
        <v>8</v>
      </c>
    </row>
    <row r="1386" spans="1:15" x14ac:dyDescent="0.35">
      <c r="A1386">
        <v>2003</v>
      </c>
      <c r="B1386">
        <v>10</v>
      </c>
      <c r="C1386">
        <v>16</v>
      </c>
      <c r="D1386" s="1">
        <f t="shared" si="168"/>
        <v>37910</v>
      </c>
      <c r="E1386">
        <v>7.4</v>
      </c>
      <c r="F1386">
        <f t="shared" si="174"/>
        <v>0</v>
      </c>
      <c r="G1386">
        <f t="shared" si="169"/>
        <v>1</v>
      </c>
      <c r="H1386">
        <f t="shared" si="175"/>
        <v>0</v>
      </c>
      <c r="I1386">
        <v>1385</v>
      </c>
      <c r="J1386">
        <f t="shared" si="170"/>
        <v>-0.96550716581433649</v>
      </c>
      <c r="K1386">
        <f t="shared" si="171"/>
        <v>0.26037648273445763</v>
      </c>
      <c r="L1386">
        <f>VLOOKUP(D1386,[1]SOI!$A$1:$C$142,3)</f>
        <v>-2.2000000000000002</v>
      </c>
      <c r="M1386" s="2">
        <f t="shared" si="172"/>
        <v>-1337.2274246528561</v>
      </c>
      <c r="N1386">
        <f t="shared" si="173"/>
        <v>360.62142858722382</v>
      </c>
      <c r="O1386" t="s">
        <v>8</v>
      </c>
    </row>
    <row r="1387" spans="1:15" x14ac:dyDescent="0.35">
      <c r="A1387">
        <v>2003</v>
      </c>
      <c r="B1387">
        <v>10</v>
      </c>
      <c r="C1387">
        <v>17</v>
      </c>
      <c r="D1387" s="1">
        <f t="shared" si="168"/>
        <v>37911</v>
      </c>
      <c r="E1387">
        <v>0</v>
      </c>
      <c r="F1387">
        <f t="shared" si="174"/>
        <v>7.4</v>
      </c>
      <c r="G1387">
        <f t="shared" si="169"/>
        <v>0</v>
      </c>
      <c r="H1387">
        <f t="shared" si="175"/>
        <v>1</v>
      </c>
      <c r="I1387">
        <v>1386</v>
      </c>
      <c r="J1387">
        <f t="shared" si="170"/>
        <v>-0.96088542555749845</v>
      </c>
      <c r="K1387">
        <f t="shared" si="171"/>
        <v>0.27694620226893363</v>
      </c>
      <c r="L1387">
        <f>VLOOKUP(D1387,[1]SOI!$A$1:$C$142,3)</f>
        <v>-2.2000000000000002</v>
      </c>
      <c r="M1387" s="2">
        <f t="shared" si="172"/>
        <v>-1331.7871998226929</v>
      </c>
      <c r="N1387">
        <f t="shared" si="173"/>
        <v>383.84743634474199</v>
      </c>
      <c r="O1387" t="s">
        <v>8</v>
      </c>
    </row>
    <row r="1388" spans="1:15" x14ac:dyDescent="0.35">
      <c r="A1388">
        <v>2003</v>
      </c>
      <c r="B1388">
        <v>10</v>
      </c>
      <c r="C1388">
        <v>18</v>
      </c>
      <c r="D1388" s="1">
        <f t="shared" si="168"/>
        <v>37912</v>
      </c>
      <c r="E1388">
        <v>0</v>
      </c>
      <c r="F1388">
        <f t="shared" si="174"/>
        <v>0</v>
      </c>
      <c r="G1388">
        <f t="shared" si="169"/>
        <v>0</v>
      </c>
      <c r="H1388">
        <f t="shared" si="175"/>
        <v>0</v>
      </c>
      <c r="I1388">
        <v>1387</v>
      </c>
      <c r="J1388">
        <f t="shared" si="170"/>
        <v>-0.95597934384407701</v>
      </c>
      <c r="K1388">
        <f t="shared" si="171"/>
        <v>0.29343396896652574</v>
      </c>
      <c r="L1388">
        <f>VLOOKUP(D1388,[1]SOI!$A$1:$C$142,3)</f>
        <v>-2.2000000000000002</v>
      </c>
      <c r="M1388" s="2">
        <f t="shared" si="172"/>
        <v>-1325.9433499117349</v>
      </c>
      <c r="N1388">
        <f t="shared" si="173"/>
        <v>406.99291495657121</v>
      </c>
      <c r="O1388" t="s">
        <v>8</v>
      </c>
    </row>
    <row r="1389" spans="1:15" x14ac:dyDescent="0.35">
      <c r="A1389">
        <v>2003</v>
      </c>
      <c r="B1389">
        <v>10</v>
      </c>
      <c r="C1389">
        <v>19</v>
      </c>
      <c r="D1389" s="1">
        <f t="shared" si="168"/>
        <v>37913</v>
      </c>
      <c r="E1389">
        <v>1.8</v>
      </c>
      <c r="F1389">
        <f t="shared" si="174"/>
        <v>0</v>
      </c>
      <c r="G1389">
        <f t="shared" si="169"/>
        <v>1</v>
      </c>
      <c r="H1389">
        <f t="shared" si="175"/>
        <v>0</v>
      </c>
      <c r="I1389">
        <v>1388</v>
      </c>
      <c r="J1389">
        <f t="shared" si="170"/>
        <v>-0.95079037246258336</v>
      </c>
      <c r="K1389">
        <f t="shared" si="171"/>
        <v>0.30983490383180201</v>
      </c>
      <c r="L1389">
        <f>VLOOKUP(D1389,[1]SOI!$A$1:$C$142,3)</f>
        <v>-2.2000000000000002</v>
      </c>
      <c r="M1389" s="2">
        <f t="shared" si="172"/>
        <v>-1319.6970369780656</v>
      </c>
      <c r="N1389">
        <f t="shared" si="173"/>
        <v>430.05084651854116</v>
      </c>
      <c r="O1389" t="s">
        <v>8</v>
      </c>
    </row>
    <row r="1390" spans="1:15" x14ac:dyDescent="0.35">
      <c r="A1390">
        <v>2003</v>
      </c>
      <c r="B1390">
        <v>10</v>
      </c>
      <c r="C1390">
        <v>20</v>
      </c>
      <c r="D1390" s="1">
        <f t="shared" si="168"/>
        <v>37914</v>
      </c>
      <c r="E1390">
        <v>10.6</v>
      </c>
      <c r="F1390">
        <f t="shared" si="174"/>
        <v>1.8</v>
      </c>
      <c r="G1390">
        <f t="shared" si="169"/>
        <v>1</v>
      </c>
      <c r="H1390">
        <f t="shared" si="175"/>
        <v>1</v>
      </c>
      <c r="I1390">
        <v>1389</v>
      </c>
      <c r="J1390">
        <f t="shared" si="170"/>
        <v>-0.94532004691313298</v>
      </c>
      <c r="K1390">
        <f t="shared" si="171"/>
        <v>0.32614415356426679</v>
      </c>
      <c r="L1390">
        <f>VLOOKUP(D1390,[1]SOI!$A$1:$C$142,3)</f>
        <v>-2.2000000000000002</v>
      </c>
      <c r="M1390" s="2">
        <f t="shared" si="172"/>
        <v>-1313.0495451623417</v>
      </c>
      <c r="N1390">
        <f t="shared" si="173"/>
        <v>453.0142293007666</v>
      </c>
      <c r="O1390" t="s">
        <v>8</v>
      </c>
    </row>
    <row r="1391" spans="1:15" x14ac:dyDescent="0.35">
      <c r="A1391">
        <v>2003</v>
      </c>
      <c r="B1391">
        <v>10</v>
      </c>
      <c r="C1391">
        <v>21</v>
      </c>
      <c r="D1391" s="1">
        <f t="shared" si="168"/>
        <v>37915</v>
      </c>
      <c r="E1391">
        <v>0</v>
      </c>
      <c r="F1391">
        <f t="shared" si="174"/>
        <v>10.6</v>
      </c>
      <c r="G1391">
        <f t="shared" si="169"/>
        <v>0</v>
      </c>
      <c r="H1391">
        <f t="shared" si="175"/>
        <v>1</v>
      </c>
      <c r="I1391">
        <v>1390</v>
      </c>
      <c r="J1391">
        <f t="shared" si="170"/>
        <v>-0.93956998595306274</v>
      </c>
      <c r="K1391">
        <f t="shared" si="171"/>
        <v>0.34235689199454045</v>
      </c>
      <c r="L1391">
        <f>VLOOKUP(D1391,[1]SOI!$A$1:$C$142,3)</f>
        <v>-2.2000000000000002</v>
      </c>
      <c r="M1391" s="2">
        <f t="shared" si="172"/>
        <v>-1306.0022804747573</v>
      </c>
      <c r="N1391">
        <f t="shared" si="173"/>
        <v>475.8760798724112</v>
      </c>
      <c r="O1391" t="s">
        <v>8</v>
      </c>
    </row>
    <row r="1392" spans="1:15" x14ac:dyDescent="0.35">
      <c r="A1392">
        <v>2003</v>
      </c>
      <c r="B1392">
        <v>10</v>
      </c>
      <c r="C1392">
        <v>22</v>
      </c>
      <c r="D1392" s="1">
        <f t="shared" si="168"/>
        <v>37916</v>
      </c>
      <c r="E1392">
        <v>17.2</v>
      </c>
      <c r="F1392">
        <f t="shared" si="174"/>
        <v>0</v>
      </c>
      <c r="G1392">
        <f t="shared" si="169"/>
        <v>1</v>
      </c>
      <c r="H1392">
        <f t="shared" si="175"/>
        <v>0</v>
      </c>
      <c r="I1392">
        <v>1391</v>
      </c>
      <c r="J1392">
        <f t="shared" si="170"/>
        <v>-0.93354189111792152</v>
      </c>
      <c r="K1392">
        <f t="shared" si="171"/>
        <v>0.35846832151248015</v>
      </c>
      <c r="L1392">
        <f>VLOOKUP(D1392,[1]SOI!$A$1:$C$142,3)</f>
        <v>-2.2000000000000002</v>
      </c>
      <c r="M1392" s="2">
        <f t="shared" si="172"/>
        <v>-1298.5567705450289</v>
      </c>
      <c r="N1392">
        <f t="shared" si="173"/>
        <v>498.6294352238599</v>
      </c>
      <c r="O1392" t="s">
        <v>8</v>
      </c>
    </row>
    <row r="1393" spans="1:15" x14ac:dyDescent="0.35">
      <c r="A1393">
        <v>2003</v>
      </c>
      <c r="B1393">
        <v>10</v>
      </c>
      <c r="C1393">
        <v>23</v>
      </c>
      <c r="D1393" s="1">
        <f t="shared" si="168"/>
        <v>37917</v>
      </c>
      <c r="E1393">
        <v>0.6</v>
      </c>
      <c r="F1393">
        <f t="shared" si="174"/>
        <v>17.2</v>
      </c>
      <c r="G1393">
        <f t="shared" si="169"/>
        <v>1</v>
      </c>
      <c r="H1393">
        <f t="shared" si="175"/>
        <v>1</v>
      </c>
      <c r="I1393">
        <v>1392</v>
      </c>
      <c r="J1393">
        <f t="shared" si="170"/>
        <v>-0.92723754621795484</v>
      </c>
      <c r="K1393">
        <f t="shared" si="171"/>
        <v>0.37447367448688024</v>
      </c>
      <c r="L1393">
        <f>VLOOKUP(D1393,[1]SOI!$A$1:$C$142,3)</f>
        <v>-2.2000000000000002</v>
      </c>
      <c r="M1393" s="2">
        <f t="shared" si="172"/>
        <v>-1290.7146643353931</v>
      </c>
      <c r="N1393">
        <f t="shared" si="173"/>
        <v>521.26735488573729</v>
      </c>
      <c r="O1393" t="s">
        <v>8</v>
      </c>
    </row>
    <row r="1394" spans="1:15" x14ac:dyDescent="0.35">
      <c r="A1394">
        <v>2003</v>
      </c>
      <c r="B1394">
        <v>10</v>
      </c>
      <c r="C1394">
        <v>24</v>
      </c>
      <c r="D1394" s="1">
        <f t="shared" si="168"/>
        <v>37918</v>
      </c>
      <c r="E1394">
        <v>5</v>
      </c>
      <c r="F1394">
        <f t="shared" si="174"/>
        <v>0.6</v>
      </c>
      <c r="G1394">
        <f t="shared" si="169"/>
        <v>1</v>
      </c>
      <c r="H1394">
        <f t="shared" si="175"/>
        <v>1</v>
      </c>
      <c r="I1394">
        <v>1393</v>
      </c>
      <c r="J1394">
        <f t="shared" si="170"/>
        <v>-0.92065881681024342</v>
      </c>
      <c r="K1394">
        <f t="shared" si="171"/>
        <v>0.3903682146763009</v>
      </c>
      <c r="L1394">
        <f>VLOOKUP(D1394,[1]SOI!$A$1:$C$142,3)</f>
        <v>-2.2000000000000002</v>
      </c>
      <c r="M1394" s="2">
        <f t="shared" si="172"/>
        <v>-1282.4777318166691</v>
      </c>
      <c r="N1394">
        <f t="shared" si="173"/>
        <v>543.78292304408717</v>
      </c>
      <c r="O1394" t="s">
        <v>8</v>
      </c>
    </row>
    <row r="1395" spans="1:15" x14ac:dyDescent="0.35">
      <c r="A1395">
        <v>2003</v>
      </c>
      <c r="B1395">
        <v>10</v>
      </c>
      <c r="C1395">
        <v>25</v>
      </c>
      <c r="D1395" s="1">
        <f t="shared" si="168"/>
        <v>37919</v>
      </c>
      <c r="E1395">
        <v>0</v>
      </c>
      <c r="F1395">
        <f t="shared" si="174"/>
        <v>5</v>
      </c>
      <c r="G1395">
        <f t="shared" si="169"/>
        <v>0</v>
      </c>
      <c r="H1395">
        <f t="shared" si="175"/>
        <v>1</v>
      </c>
      <c r="I1395">
        <v>1394</v>
      </c>
      <c r="J1395">
        <f t="shared" si="170"/>
        <v>-0.91380764964666039</v>
      </c>
      <c r="K1395">
        <f t="shared" si="171"/>
        <v>0.40614723863058139</v>
      </c>
      <c r="L1395">
        <f>VLOOKUP(D1395,[1]SOI!$A$1:$C$142,3)</f>
        <v>-2.2000000000000002</v>
      </c>
      <c r="M1395" s="2">
        <f t="shared" si="172"/>
        <v>-1273.8478636074447</v>
      </c>
      <c r="N1395">
        <f t="shared" si="173"/>
        <v>566.16925065103044</v>
      </c>
      <c r="O1395" t="s">
        <v>8</v>
      </c>
    </row>
    <row r="1396" spans="1:15" x14ac:dyDescent="0.35">
      <c r="A1396">
        <v>2003</v>
      </c>
      <c r="B1396">
        <v>10</v>
      </c>
      <c r="C1396">
        <v>26</v>
      </c>
      <c r="D1396" s="1">
        <f t="shared" si="168"/>
        <v>37920</v>
      </c>
      <c r="E1396">
        <v>3</v>
      </c>
      <c r="F1396">
        <f t="shared" si="174"/>
        <v>0</v>
      </c>
      <c r="G1396">
        <f t="shared" si="169"/>
        <v>1</v>
      </c>
      <c r="H1396">
        <f t="shared" si="175"/>
        <v>0</v>
      </c>
      <c r="I1396">
        <v>1395</v>
      </c>
      <c r="J1396">
        <f t="shared" si="170"/>
        <v>-0.90668607209779972</v>
      </c>
      <c r="K1396">
        <f t="shared" si="171"/>
        <v>0.42180607708266066</v>
      </c>
      <c r="L1396">
        <f>VLOOKUP(D1396,[1]SOI!$A$1:$C$142,3)</f>
        <v>-2.2000000000000002</v>
      </c>
      <c r="M1396" s="2">
        <f t="shared" si="172"/>
        <v>-1264.8270705764305</v>
      </c>
      <c r="N1396">
        <f t="shared" si="173"/>
        <v>588.41947753031161</v>
      </c>
      <c r="O1396" t="s">
        <v>8</v>
      </c>
    </row>
    <row r="1397" spans="1:15" x14ac:dyDescent="0.35">
      <c r="A1397">
        <v>2003</v>
      </c>
      <c r="B1397">
        <v>10</v>
      </c>
      <c r="C1397">
        <v>27</v>
      </c>
      <c r="D1397" s="1">
        <f t="shared" si="168"/>
        <v>37921</v>
      </c>
      <c r="E1397">
        <v>0</v>
      </c>
      <c r="F1397">
        <f t="shared" si="174"/>
        <v>3</v>
      </c>
      <c r="G1397">
        <f t="shared" si="169"/>
        <v>0</v>
      </c>
      <c r="H1397">
        <f t="shared" si="175"/>
        <v>1</v>
      </c>
      <c r="I1397">
        <v>1396</v>
      </c>
      <c r="J1397">
        <f t="shared" si="170"/>
        <v>-0.89929619155302631</v>
      </c>
      <c r="K1397">
        <f t="shared" si="171"/>
        <v>0.43734009633033039</v>
      </c>
      <c r="L1397">
        <f>VLOOKUP(D1397,[1]SOI!$A$1:$C$142,3)</f>
        <v>-2.2000000000000002</v>
      </c>
      <c r="M1397" s="2">
        <f t="shared" si="172"/>
        <v>-1255.4174834080247</v>
      </c>
      <c r="N1397">
        <f t="shared" si="173"/>
        <v>610.5267744771412</v>
      </c>
      <c r="O1397" t="s">
        <v>8</v>
      </c>
    </row>
    <row r="1398" spans="1:15" x14ac:dyDescent="0.35">
      <c r="A1398">
        <v>2003</v>
      </c>
      <c r="B1398">
        <v>10</v>
      </c>
      <c r="C1398">
        <v>28</v>
      </c>
      <c r="D1398" s="1">
        <f t="shared" si="168"/>
        <v>37922</v>
      </c>
      <c r="E1398">
        <v>0</v>
      </c>
      <c r="F1398">
        <f t="shared" si="174"/>
        <v>0</v>
      </c>
      <c r="G1398">
        <f t="shared" si="169"/>
        <v>0</v>
      </c>
      <c r="H1398">
        <f t="shared" si="175"/>
        <v>0</v>
      </c>
      <c r="I1398">
        <v>1397</v>
      </c>
      <c r="J1398">
        <f t="shared" si="170"/>
        <v>-0.89164019479688938</v>
      </c>
      <c r="K1398">
        <f t="shared" si="171"/>
        <v>0.45274469960736724</v>
      </c>
      <c r="L1398">
        <f>VLOOKUP(D1398,[1]SOI!$A$1:$C$142,3)</f>
        <v>-2.2000000000000002</v>
      </c>
      <c r="M1398" s="2">
        <f t="shared" si="172"/>
        <v>-1245.6213521312545</v>
      </c>
      <c r="N1398">
        <f t="shared" si="173"/>
        <v>632.48434535149204</v>
      </c>
      <c r="O1398" t="s">
        <v>8</v>
      </c>
    </row>
    <row r="1399" spans="1:15" x14ac:dyDescent="0.35">
      <c r="A1399">
        <v>2003</v>
      </c>
      <c r="B1399">
        <v>10</v>
      </c>
      <c r="C1399">
        <v>29</v>
      </c>
      <c r="D1399" s="1">
        <f t="shared" si="168"/>
        <v>37923</v>
      </c>
      <c r="E1399">
        <v>7.2</v>
      </c>
      <c r="F1399">
        <f t="shared" si="174"/>
        <v>0</v>
      </c>
      <c r="G1399">
        <f t="shared" si="169"/>
        <v>1</v>
      </c>
      <c r="H1399">
        <f t="shared" si="175"/>
        <v>0</v>
      </c>
      <c r="I1399">
        <v>1398</v>
      </c>
      <c r="J1399">
        <f t="shared" si="170"/>
        <v>-0.88372034736199911</v>
      </c>
      <c r="K1399">
        <f t="shared" si="171"/>
        <v>0.46801532844383165</v>
      </c>
      <c r="L1399">
        <f>VLOOKUP(D1399,[1]SOI!$A$1:$C$142,3)</f>
        <v>-2.2000000000000002</v>
      </c>
      <c r="M1399" s="2">
        <f t="shared" si="172"/>
        <v>-1235.4410456120747</v>
      </c>
      <c r="N1399">
        <f t="shared" si="173"/>
        <v>654.28542916447668</v>
      </c>
      <c r="O1399" t="s">
        <v>8</v>
      </c>
    </row>
    <row r="1400" spans="1:15" x14ac:dyDescent="0.35">
      <c r="A1400">
        <v>2003</v>
      </c>
      <c r="B1400">
        <v>10</v>
      </c>
      <c r="C1400">
        <v>30</v>
      </c>
      <c r="D1400" s="1">
        <f t="shared" si="168"/>
        <v>37924</v>
      </c>
      <c r="E1400">
        <v>0.4</v>
      </c>
      <c r="F1400">
        <f t="shared" si="174"/>
        <v>7.2</v>
      </c>
      <c r="G1400">
        <f t="shared" si="169"/>
        <v>1</v>
      </c>
      <c r="H1400">
        <f t="shared" si="175"/>
        <v>1</v>
      </c>
      <c r="I1400">
        <v>1399</v>
      </c>
      <c r="J1400">
        <f t="shared" si="170"/>
        <v>-0.87553899285862946</v>
      </c>
      <c r="K1400">
        <f t="shared" si="171"/>
        <v>0.48314746401497</v>
      </c>
      <c r="L1400">
        <f>VLOOKUP(D1400,[1]SOI!$A$1:$C$142,3)</f>
        <v>-2.2000000000000002</v>
      </c>
      <c r="M1400" s="2">
        <f t="shared" si="172"/>
        <v>-1224.8790510092226</v>
      </c>
      <c r="N1400">
        <f t="shared" si="173"/>
        <v>675.92330215694301</v>
      </c>
      <c r="O1400" t="s">
        <v>8</v>
      </c>
    </row>
    <row r="1401" spans="1:15" x14ac:dyDescent="0.35">
      <c r="A1401">
        <v>2003</v>
      </c>
      <c r="B1401">
        <v>10</v>
      </c>
      <c r="C1401">
        <v>31</v>
      </c>
      <c r="D1401" s="1">
        <f t="shared" si="168"/>
        <v>37925</v>
      </c>
      <c r="E1401">
        <v>2.4</v>
      </c>
      <c r="F1401">
        <f t="shared" si="174"/>
        <v>0.4</v>
      </c>
      <c r="G1401">
        <f t="shared" si="169"/>
        <v>1</v>
      </c>
      <c r="H1401">
        <f t="shared" si="175"/>
        <v>1</v>
      </c>
      <c r="I1401">
        <v>1400</v>
      </c>
      <c r="J1401">
        <f t="shared" si="170"/>
        <v>-0.86709855228121024</v>
      </c>
      <c r="K1401">
        <f t="shared" si="171"/>
        <v>0.49813662847840179</v>
      </c>
      <c r="L1401">
        <f>VLOOKUP(D1401,[1]SOI!$A$1:$C$142,3)</f>
        <v>-2.2000000000000002</v>
      </c>
      <c r="M1401" s="2">
        <f t="shared" si="172"/>
        <v>-1213.9379731936942</v>
      </c>
      <c r="N1401">
        <f t="shared" si="173"/>
        <v>697.39127986976246</v>
      </c>
      <c r="O1401" t="s">
        <v>8</v>
      </c>
    </row>
    <row r="1402" spans="1:15" x14ac:dyDescent="0.35">
      <c r="A1402">
        <v>2003</v>
      </c>
      <c r="B1402">
        <v>11</v>
      </c>
      <c r="C1402">
        <v>1</v>
      </c>
      <c r="D1402" s="1">
        <f t="shared" si="168"/>
        <v>37926</v>
      </c>
      <c r="E1402">
        <v>1.6</v>
      </c>
      <c r="F1402">
        <f t="shared" si="174"/>
        <v>2.4</v>
      </c>
      <c r="G1402">
        <f t="shared" si="169"/>
        <v>1</v>
      </c>
      <c r="H1402">
        <f t="shared" si="175"/>
        <v>1</v>
      </c>
      <c r="I1402">
        <v>1401</v>
      </c>
      <c r="J1402">
        <f t="shared" si="170"/>
        <v>-0.85840152329189146</v>
      </c>
      <c r="K1402">
        <f t="shared" si="171"/>
        <v>0.51297838629922832</v>
      </c>
      <c r="L1402">
        <f>VLOOKUP(D1402,[1]SOI!$A$1:$C$142,3)</f>
        <v>-1.9</v>
      </c>
      <c r="M1402" s="2">
        <f t="shared" si="172"/>
        <v>-1202.6205341319398</v>
      </c>
      <c r="N1402">
        <f t="shared" si="173"/>
        <v>718.68271920521886</v>
      </c>
      <c r="O1402" t="s">
        <v>8</v>
      </c>
    </row>
    <row r="1403" spans="1:15" x14ac:dyDescent="0.35">
      <c r="A1403">
        <v>2003</v>
      </c>
      <c r="B1403">
        <v>11</v>
      </c>
      <c r="C1403">
        <v>2</v>
      </c>
      <c r="D1403" s="1">
        <f t="shared" si="168"/>
        <v>37927</v>
      </c>
      <c r="E1403">
        <v>5.2</v>
      </c>
      <c r="F1403">
        <f t="shared" si="174"/>
        <v>1.6</v>
      </c>
      <c r="G1403">
        <f t="shared" si="169"/>
        <v>1</v>
      </c>
      <c r="H1403">
        <f t="shared" si="175"/>
        <v>1</v>
      </c>
      <c r="I1403">
        <v>1402</v>
      </c>
      <c r="J1403">
        <f t="shared" si="170"/>
        <v>-0.84945047948147978</v>
      </c>
      <c r="K1403">
        <f t="shared" si="171"/>
        <v>0.52766834556251718</v>
      </c>
      <c r="L1403">
        <f>VLOOKUP(D1403,[1]SOI!$A$1:$C$142,3)</f>
        <v>-1.9</v>
      </c>
      <c r="M1403" s="2">
        <f t="shared" si="172"/>
        <v>-1190.9295722330346</v>
      </c>
      <c r="N1403">
        <f t="shared" si="173"/>
        <v>739.7910204786491</v>
      </c>
      <c r="O1403" t="s">
        <v>8</v>
      </c>
    </row>
    <row r="1404" spans="1:15" x14ac:dyDescent="0.35">
      <c r="A1404">
        <v>2003</v>
      </c>
      <c r="B1404">
        <v>11</v>
      </c>
      <c r="C1404">
        <v>3</v>
      </c>
      <c r="D1404" s="1">
        <f t="shared" si="168"/>
        <v>37928</v>
      </c>
      <c r="E1404">
        <v>2</v>
      </c>
      <c r="F1404">
        <f t="shared" si="174"/>
        <v>5.2</v>
      </c>
      <c r="G1404">
        <f t="shared" si="169"/>
        <v>1</v>
      </c>
      <c r="H1404">
        <f t="shared" si="175"/>
        <v>1</v>
      </c>
      <c r="I1404">
        <v>1403</v>
      </c>
      <c r="J1404">
        <f t="shared" si="170"/>
        <v>-0.84024806960784737</v>
      </c>
      <c r="K1404">
        <f t="shared" si="171"/>
        <v>0.54220215927298376</v>
      </c>
      <c r="L1404">
        <f>VLOOKUP(D1404,[1]SOI!$A$1:$C$142,3)</f>
        <v>-1.9</v>
      </c>
      <c r="M1404" s="2">
        <f t="shared" si="172"/>
        <v>-1178.8680416598099</v>
      </c>
      <c r="N1404">
        <f t="shared" si="173"/>
        <v>760.70962945999622</v>
      </c>
      <c r="O1404" t="s">
        <v>8</v>
      </c>
    </row>
    <row r="1405" spans="1:15" x14ac:dyDescent="0.35">
      <c r="A1405">
        <v>2003</v>
      </c>
      <c r="B1405">
        <v>11</v>
      </c>
      <c r="C1405">
        <v>4</v>
      </c>
      <c r="D1405" s="1">
        <f t="shared" si="168"/>
        <v>37929</v>
      </c>
      <c r="E1405">
        <v>0</v>
      </c>
      <c r="F1405">
        <f t="shared" si="174"/>
        <v>2</v>
      </c>
      <c r="G1405">
        <f t="shared" si="169"/>
        <v>0</v>
      </c>
      <c r="H1405">
        <f t="shared" si="175"/>
        <v>1</v>
      </c>
      <c r="I1405">
        <v>1404</v>
      </c>
      <c r="J1405">
        <f t="shared" si="170"/>
        <v>-0.83079701681212459</v>
      </c>
      <c r="K1405">
        <f t="shared" si="171"/>
        <v>0.55657552664133048</v>
      </c>
      <c r="L1405">
        <f>VLOOKUP(D1405,[1]SOI!$A$1:$C$142,3)</f>
        <v>-1.9</v>
      </c>
      <c r="M1405" s="2">
        <f t="shared" si="172"/>
        <v>-1166.439011604223</v>
      </c>
      <c r="N1405">
        <f t="shared" si="173"/>
        <v>781.432039404428</v>
      </c>
      <c r="O1405" t="s">
        <v>8</v>
      </c>
    </row>
    <row r="1406" spans="1:15" x14ac:dyDescent="0.35">
      <c r="A1406">
        <v>2003</v>
      </c>
      <c r="B1406">
        <v>11</v>
      </c>
      <c r="C1406">
        <v>5</v>
      </c>
      <c r="D1406" s="1">
        <f t="shared" si="168"/>
        <v>37930</v>
      </c>
      <c r="E1406">
        <v>0</v>
      </c>
      <c r="F1406">
        <f t="shared" si="174"/>
        <v>0</v>
      </c>
      <c r="G1406">
        <f t="shared" si="169"/>
        <v>0</v>
      </c>
      <c r="H1406">
        <f t="shared" si="175"/>
        <v>0</v>
      </c>
      <c r="I1406">
        <v>1405</v>
      </c>
      <c r="J1406">
        <f t="shared" si="170"/>
        <v>-0.82110011781288827</v>
      </c>
      <c r="K1406">
        <f t="shared" si="171"/>
        <v>0.57078419435690486</v>
      </c>
      <c r="L1406">
        <f>VLOOKUP(D1406,[1]SOI!$A$1:$C$142,3)</f>
        <v>-1.9</v>
      </c>
      <c r="M1406" s="2">
        <f t="shared" si="172"/>
        <v>-1153.6456655271081</v>
      </c>
      <c r="N1406">
        <f t="shared" si="173"/>
        <v>801.95179307145133</v>
      </c>
      <c r="O1406" t="s">
        <v>8</v>
      </c>
    </row>
    <row r="1407" spans="1:15" x14ac:dyDescent="0.35">
      <c r="A1407">
        <v>2003</v>
      </c>
      <c r="B1407">
        <v>11</v>
      </c>
      <c r="C1407">
        <v>6</v>
      </c>
      <c r="D1407" s="1">
        <f t="shared" si="168"/>
        <v>37931</v>
      </c>
      <c r="E1407">
        <v>0</v>
      </c>
      <c r="F1407">
        <f t="shared" si="174"/>
        <v>0</v>
      </c>
      <c r="G1407">
        <f t="shared" si="169"/>
        <v>0</v>
      </c>
      <c r="H1407">
        <f t="shared" si="175"/>
        <v>0</v>
      </c>
      <c r="I1407">
        <v>1406</v>
      </c>
      <c r="J1407">
        <f t="shared" si="170"/>
        <v>-0.81116024207856263</v>
      </c>
      <c r="K1407">
        <f t="shared" si="171"/>
        <v>0.58482395784633145</v>
      </c>
      <c r="L1407">
        <f>VLOOKUP(D1407,[1]SOI!$A$1:$C$142,3)</f>
        <v>-1.9</v>
      </c>
      <c r="M1407" s="2">
        <f t="shared" si="172"/>
        <v>-1140.491300362459</v>
      </c>
      <c r="N1407">
        <f t="shared" si="173"/>
        <v>822.26248473194198</v>
      </c>
      <c r="O1407" t="s">
        <v>8</v>
      </c>
    </row>
    <row r="1408" spans="1:15" x14ac:dyDescent="0.35">
      <c r="A1408">
        <v>2003</v>
      </c>
      <c r="B1408">
        <v>11</v>
      </c>
      <c r="C1408">
        <v>7</v>
      </c>
      <c r="D1408" s="1">
        <f t="shared" si="168"/>
        <v>37932</v>
      </c>
      <c r="E1408">
        <v>0</v>
      </c>
      <c r="F1408">
        <f t="shared" si="174"/>
        <v>0</v>
      </c>
      <c r="G1408">
        <f t="shared" si="169"/>
        <v>0</v>
      </c>
      <c r="H1408">
        <f t="shared" si="175"/>
        <v>0</v>
      </c>
      <c r="I1408">
        <v>1407</v>
      </c>
      <c r="J1408">
        <f t="shared" si="170"/>
        <v>-0.80098033097829047</v>
      </c>
      <c r="K1408">
        <f t="shared" si="171"/>
        <v>0.59869066251772152</v>
      </c>
      <c r="L1408">
        <f>VLOOKUP(D1408,[1]SOI!$A$1:$C$142,3)</f>
        <v>-1.9</v>
      </c>
      <c r="M1408" s="2">
        <f t="shared" si="172"/>
        <v>-1126.9793256864548</v>
      </c>
      <c r="N1408">
        <f t="shared" si="173"/>
        <v>842.35776216243414</v>
      </c>
      <c r="O1408" t="s">
        <v>8</v>
      </c>
    </row>
    <row r="1409" spans="1:15" x14ac:dyDescent="0.35">
      <c r="A1409">
        <v>2003</v>
      </c>
      <c r="B1409">
        <v>11</v>
      </c>
      <c r="C1409">
        <v>8</v>
      </c>
      <c r="D1409" s="1">
        <f t="shared" si="168"/>
        <v>37933</v>
      </c>
      <c r="E1409">
        <v>0</v>
      </c>
      <c r="F1409">
        <f t="shared" si="174"/>
        <v>0</v>
      </c>
      <c r="G1409">
        <f t="shared" si="169"/>
        <v>0</v>
      </c>
      <c r="H1409">
        <f t="shared" si="175"/>
        <v>0</v>
      </c>
      <c r="I1409">
        <v>1408</v>
      </c>
      <c r="J1409">
        <f t="shared" si="170"/>
        <v>-0.79056339691154953</v>
      </c>
      <c r="K1409">
        <f t="shared" si="171"/>
        <v>0.61238020499006318</v>
      </c>
      <c r="L1409">
        <f>VLOOKUP(D1409,[1]SOI!$A$1:$C$142,3)</f>
        <v>-1.9</v>
      </c>
      <c r="M1409" s="2">
        <f t="shared" si="172"/>
        <v>-1113.1132628514617</v>
      </c>
      <c r="N1409">
        <f t="shared" si="173"/>
        <v>862.23132862600892</v>
      </c>
      <c r="O1409" t="s">
        <v>8</v>
      </c>
    </row>
    <row r="1410" spans="1:15" x14ac:dyDescent="0.35">
      <c r="A1410">
        <v>2003</v>
      </c>
      <c r="B1410">
        <v>11</v>
      </c>
      <c r="C1410">
        <v>9</v>
      </c>
      <c r="D1410" s="1">
        <f t="shared" si="168"/>
        <v>37934</v>
      </c>
      <c r="E1410">
        <v>0</v>
      </c>
      <c r="F1410">
        <f t="shared" si="174"/>
        <v>0</v>
      </c>
      <c r="G1410">
        <f t="shared" si="169"/>
        <v>0</v>
      </c>
      <c r="H1410">
        <f t="shared" si="175"/>
        <v>0</v>
      </c>
      <c r="I1410">
        <v>1409</v>
      </c>
      <c r="J1410">
        <f t="shared" si="170"/>
        <v>-0.77991252241671827</v>
      </c>
      <c r="K1410">
        <f t="shared" si="171"/>
        <v>0.62588853430750102</v>
      </c>
      <c r="L1410">
        <f>VLOOKUP(D1410,[1]SOI!$A$1:$C$142,3)</f>
        <v>-1.9</v>
      </c>
      <c r="M1410" s="2">
        <f t="shared" si="172"/>
        <v>-1098.8967440851561</v>
      </c>
      <c r="N1410">
        <f t="shared" si="173"/>
        <v>881.87694483926896</v>
      </c>
      <c r="O1410" t="s">
        <v>8</v>
      </c>
    </row>
    <row r="1411" spans="1:15" x14ac:dyDescent="0.35">
      <c r="A1411">
        <v>2003</v>
      </c>
      <c r="B1411">
        <v>11</v>
      </c>
      <c r="C1411">
        <v>10</v>
      </c>
      <c r="D1411" s="1">
        <f t="shared" ref="D1411:D1474" si="176">DATE(A1411,B1411,C1411)</f>
        <v>37935</v>
      </c>
      <c r="E1411">
        <v>0</v>
      </c>
      <c r="F1411">
        <f t="shared" si="174"/>
        <v>0</v>
      </c>
      <c r="G1411">
        <f t="shared" ref="G1411:G1474" si="177">IF(E1411=0,0,1)</f>
        <v>0</v>
      </c>
      <c r="H1411">
        <f t="shared" si="175"/>
        <v>0</v>
      </c>
      <c r="I1411">
        <v>1410</v>
      </c>
      <c r="J1411">
        <f t="shared" ref="J1411:J1474" si="178">SIN(2*PI()*I1411/365.25)</f>
        <v>-0.76903085925891801</v>
      </c>
      <c r="K1411">
        <f t="shared" ref="K1411:K1474" si="179">COS(2*PI()*I1411/365.25)</f>
        <v>0.63921165313805894</v>
      </c>
      <c r="L1411">
        <f>VLOOKUP(D1411,[1]SOI!$A$1:$C$142,3)</f>
        <v>-1.9</v>
      </c>
      <c r="M1411" s="2">
        <f t="shared" ref="M1411:M1474" si="180">I1411*J1411</f>
        <v>-1084.3335115550744</v>
      </c>
      <c r="N1411">
        <f t="shared" ref="N1411:N1474" si="181">I1411*K1411</f>
        <v>901.28843092466309</v>
      </c>
      <c r="O1411" t="s">
        <v>8</v>
      </c>
    </row>
    <row r="1412" spans="1:15" x14ac:dyDescent="0.35">
      <c r="A1412">
        <v>2003</v>
      </c>
      <c r="B1412">
        <v>11</v>
      </c>
      <c r="C1412">
        <v>11</v>
      </c>
      <c r="D1412" s="1">
        <f t="shared" si="176"/>
        <v>37936</v>
      </c>
      <c r="E1412">
        <v>0</v>
      </c>
      <c r="F1412">
        <f t="shared" ref="F1412:F1475" si="182">E1411</f>
        <v>0</v>
      </c>
      <c r="G1412">
        <f t="shared" si="177"/>
        <v>0</v>
      </c>
      <c r="H1412">
        <f t="shared" ref="H1412:H1475" si="183">G1411</f>
        <v>0</v>
      </c>
      <c r="I1412">
        <v>1411</v>
      </c>
      <c r="J1412">
        <f t="shared" si="178"/>
        <v>-0.75792162749734859</v>
      </c>
      <c r="K1412">
        <f t="shared" si="179"/>
        <v>0.65234561895652399</v>
      </c>
      <c r="L1412">
        <f>VLOOKUP(D1412,[1]SOI!$A$1:$C$142,3)</f>
        <v>-1.9</v>
      </c>
      <c r="M1412" s="2">
        <f t="shared" si="180"/>
        <v>-1069.4274163987589</v>
      </c>
      <c r="N1412">
        <f t="shared" si="181"/>
        <v>920.45966834765534</v>
      </c>
      <c r="O1412" t="s">
        <v>8</v>
      </c>
    </row>
    <row r="1413" spans="1:15" x14ac:dyDescent="0.35">
      <c r="A1413">
        <v>2003</v>
      </c>
      <c r="B1413">
        <v>11</v>
      </c>
      <c r="C1413">
        <v>12</v>
      </c>
      <c r="D1413" s="1">
        <f t="shared" si="176"/>
        <v>37937</v>
      </c>
      <c r="E1413">
        <v>0</v>
      </c>
      <c r="F1413">
        <f t="shared" si="182"/>
        <v>0</v>
      </c>
      <c r="G1413">
        <f t="shared" si="177"/>
        <v>0</v>
      </c>
      <c r="H1413">
        <f t="shared" si="183"/>
        <v>0</v>
      </c>
      <c r="I1413">
        <v>1412</v>
      </c>
      <c r="J1413">
        <f t="shared" si="178"/>
        <v>-0.7465881145324138</v>
      </c>
      <c r="K1413">
        <f t="shared" si="179"/>
        <v>0.66528654521111075</v>
      </c>
      <c r="L1413">
        <f>VLOOKUP(D1413,[1]SOI!$A$1:$C$142,3)</f>
        <v>-1.9</v>
      </c>
      <c r="M1413" s="2">
        <f t="shared" si="180"/>
        <v>-1054.1824177197682</v>
      </c>
      <c r="N1413">
        <f t="shared" si="181"/>
        <v>939.38460183808843</v>
      </c>
      <c r="O1413" t="s">
        <v>8</v>
      </c>
    </row>
    <row r="1414" spans="1:15" x14ac:dyDescent="0.35">
      <c r="A1414">
        <v>2003</v>
      </c>
      <c r="B1414">
        <v>11</v>
      </c>
      <c r="C1414">
        <v>13</v>
      </c>
      <c r="D1414" s="1">
        <f t="shared" si="176"/>
        <v>37938</v>
      </c>
      <c r="E1414">
        <v>0</v>
      </c>
      <c r="F1414">
        <f t="shared" si="182"/>
        <v>0</v>
      </c>
      <c r="G1414">
        <f t="shared" si="177"/>
        <v>0</v>
      </c>
      <c r="H1414">
        <f t="shared" si="183"/>
        <v>0</v>
      </c>
      <c r="I1414">
        <v>1413</v>
      </c>
      <c r="J1414">
        <f t="shared" si="178"/>
        <v>-0.73503367413294118</v>
      </c>
      <c r="K1414">
        <f t="shared" si="179"/>
        <v>0.67803060247353819</v>
      </c>
      <c r="L1414">
        <f>VLOOKUP(D1414,[1]SOI!$A$1:$C$142,3)</f>
        <v>-1.9</v>
      </c>
      <c r="M1414" s="2">
        <f t="shared" si="180"/>
        <v>-1038.6025815498458</v>
      </c>
      <c r="N1414">
        <f t="shared" si="181"/>
        <v>958.05724129510952</v>
      </c>
      <c r="O1414" t="s">
        <v>8</v>
      </c>
    </row>
    <row r="1415" spans="1:15" x14ac:dyDescent="0.35">
      <c r="A1415">
        <v>2003</v>
      </c>
      <c r="B1415">
        <v>11</v>
      </c>
      <c r="C1415">
        <v>14</v>
      </c>
      <c r="D1415" s="1">
        <f t="shared" si="176"/>
        <v>37939</v>
      </c>
      <c r="E1415">
        <v>0</v>
      </c>
      <c r="F1415">
        <f t="shared" si="182"/>
        <v>0</v>
      </c>
      <c r="G1415">
        <f t="shared" si="177"/>
        <v>0</v>
      </c>
      <c r="H1415">
        <f t="shared" si="183"/>
        <v>0</v>
      </c>
      <c r="I1415">
        <v>1414</v>
      </c>
      <c r="J1415">
        <f t="shared" si="178"/>
        <v>-0.72326172544374034</v>
      </c>
      <c r="K1415">
        <f t="shared" si="179"/>
        <v>0.69057401957222764</v>
      </c>
      <c r="L1415">
        <f>VLOOKUP(D1415,[1]SOI!$A$1:$C$142,3)</f>
        <v>-1.9</v>
      </c>
      <c r="M1415" s="2">
        <f t="shared" si="180"/>
        <v>-1022.6920797774488</v>
      </c>
      <c r="N1415">
        <f t="shared" si="181"/>
        <v>976.47166367512989</v>
      </c>
      <c r="O1415" t="s">
        <v>8</v>
      </c>
    </row>
    <row r="1416" spans="1:15" x14ac:dyDescent="0.35">
      <c r="A1416">
        <v>2003</v>
      </c>
      <c r="B1416">
        <v>11</v>
      </c>
      <c r="C1416">
        <v>15</v>
      </c>
      <c r="D1416" s="1">
        <f t="shared" si="176"/>
        <v>37940</v>
      </c>
      <c r="E1416">
        <v>0</v>
      </c>
      <c r="F1416">
        <f t="shared" si="182"/>
        <v>0</v>
      </c>
      <c r="G1416">
        <f t="shared" si="177"/>
        <v>0</v>
      </c>
      <c r="H1416">
        <f t="shared" si="183"/>
        <v>0</v>
      </c>
      <c r="I1416">
        <v>1415</v>
      </c>
      <c r="J1416">
        <f t="shared" si="178"/>
        <v>-0.71127575197381609</v>
      </c>
      <c r="K1416">
        <f t="shared" si="179"/>
        <v>0.70291308470826075</v>
      </c>
      <c r="L1416">
        <f>VLOOKUP(D1416,[1]SOI!$A$1:$C$142,3)</f>
        <v>-1.9</v>
      </c>
      <c r="M1416" s="2">
        <f t="shared" si="180"/>
        <v>-1006.4551890429498</v>
      </c>
      <c r="N1416">
        <f t="shared" si="181"/>
        <v>994.62201486218896</v>
      </c>
      <c r="O1416" t="s">
        <v>8</v>
      </c>
    </row>
    <row r="1417" spans="1:15" x14ac:dyDescent="0.35">
      <c r="A1417">
        <v>2003</v>
      </c>
      <c r="B1417">
        <v>11</v>
      </c>
      <c r="C1417">
        <v>16</v>
      </c>
      <c r="D1417" s="1">
        <f t="shared" si="176"/>
        <v>37941</v>
      </c>
      <c r="E1417">
        <v>0</v>
      </c>
      <c r="F1417">
        <f t="shared" si="182"/>
        <v>0</v>
      </c>
      <c r="G1417">
        <f t="shared" si="177"/>
        <v>0</v>
      </c>
      <c r="H1417">
        <f t="shared" si="183"/>
        <v>0</v>
      </c>
      <c r="I1417">
        <v>1416</v>
      </c>
      <c r="J1417">
        <f t="shared" si="178"/>
        <v>-0.69907930056555623</v>
      </c>
      <c r="K1417">
        <f t="shared" si="179"/>
        <v>0.71504414655374449</v>
      </c>
      <c r="L1417">
        <f>VLOOKUP(D1417,[1]SOI!$A$1:$C$142,3)</f>
        <v>-1.9</v>
      </c>
      <c r="M1417" s="2">
        <f t="shared" si="180"/>
        <v>-989.89628960082757</v>
      </c>
      <c r="N1417">
        <f t="shared" si="181"/>
        <v>1012.5025115201022</v>
      </c>
      <c r="O1417" t="s">
        <v>8</v>
      </c>
    </row>
    <row r="1418" spans="1:15" x14ac:dyDescent="0.35">
      <c r="A1418">
        <v>2003</v>
      </c>
      <c r="B1418">
        <v>11</v>
      </c>
      <c r="C1418">
        <v>17</v>
      </c>
      <c r="D1418" s="1">
        <f t="shared" si="176"/>
        <v>37942</v>
      </c>
      <c r="E1418">
        <v>0</v>
      </c>
      <c r="F1418">
        <f t="shared" si="182"/>
        <v>0</v>
      </c>
      <c r="G1418">
        <f t="shared" si="177"/>
        <v>0</v>
      </c>
      <c r="H1418">
        <f t="shared" si="183"/>
        <v>0</v>
      </c>
      <c r="I1418">
        <v>1417</v>
      </c>
      <c r="J1418">
        <f t="shared" si="178"/>
        <v>-0.68667598034515709</v>
      </c>
      <c r="K1418">
        <f t="shared" si="179"/>
        <v>0.72696361533230636</v>
      </c>
      <c r="L1418">
        <f>VLOOKUP(D1418,[1]SOI!$A$1:$C$142,3)</f>
        <v>-1.9</v>
      </c>
      <c r="M1418" s="2">
        <f t="shared" si="180"/>
        <v>-973.01986414908754</v>
      </c>
      <c r="N1418">
        <f t="shared" si="181"/>
        <v>1030.1074429258781</v>
      </c>
      <c r="O1418" t="s">
        <v>8</v>
      </c>
    </row>
    <row r="1419" spans="1:15" x14ac:dyDescent="0.35">
      <c r="A1419">
        <v>2003</v>
      </c>
      <c r="B1419">
        <v>11</v>
      </c>
      <c r="C1419">
        <v>18</v>
      </c>
      <c r="D1419" s="1">
        <f t="shared" si="176"/>
        <v>37943</v>
      </c>
      <c r="E1419">
        <v>0</v>
      </c>
      <c r="F1419">
        <f t="shared" si="182"/>
        <v>0</v>
      </c>
      <c r="G1419">
        <f t="shared" si="177"/>
        <v>0</v>
      </c>
      <c r="H1419">
        <f t="shared" si="183"/>
        <v>0</v>
      </c>
      <c r="I1419">
        <v>1418</v>
      </c>
      <c r="J1419">
        <f t="shared" si="178"/>
        <v>-0.67406946165461701</v>
      </c>
      <c r="K1419">
        <f t="shared" si="179"/>
        <v>0.7386679638813739</v>
      </c>
      <c r="L1419">
        <f>VLOOKUP(D1419,[1]SOI!$A$1:$C$142,3)</f>
        <v>-1.9</v>
      </c>
      <c r="M1419" s="2">
        <f t="shared" si="180"/>
        <v>-955.83049662624694</v>
      </c>
      <c r="N1419">
        <f t="shared" si="181"/>
        <v>1047.4311727837883</v>
      </c>
      <c r="O1419" t="s">
        <v>8</v>
      </c>
    </row>
    <row r="1420" spans="1:15" x14ac:dyDescent="0.35">
      <c r="A1420">
        <v>2003</v>
      </c>
      <c r="B1420">
        <v>11</v>
      </c>
      <c r="C1420">
        <v>19</v>
      </c>
      <c r="D1420" s="1">
        <f t="shared" si="176"/>
        <v>37944</v>
      </c>
      <c r="E1420">
        <v>0</v>
      </c>
      <c r="F1420">
        <f t="shared" si="182"/>
        <v>0</v>
      </c>
      <c r="G1420">
        <f t="shared" si="177"/>
        <v>0</v>
      </c>
      <c r="H1420">
        <f t="shared" si="183"/>
        <v>0</v>
      </c>
      <c r="I1420">
        <v>1419</v>
      </c>
      <c r="J1420">
        <f t="shared" si="178"/>
        <v>-0.66126347496563864</v>
      </c>
      <c r="K1420">
        <f t="shared" si="179"/>
        <v>0.75015372869590424</v>
      </c>
      <c r="L1420">
        <f>VLOOKUP(D1420,[1]SOI!$A$1:$C$142,3)</f>
        <v>-1.9</v>
      </c>
      <c r="M1420" s="2">
        <f t="shared" si="180"/>
        <v>-938.33287097624122</v>
      </c>
      <c r="N1420">
        <f t="shared" si="181"/>
        <v>1064.468141019488</v>
      </c>
      <c r="O1420" t="s">
        <v>8</v>
      </c>
    </row>
    <row r="1421" spans="1:15" x14ac:dyDescent="0.35">
      <c r="A1421">
        <v>2003</v>
      </c>
      <c r="B1421">
        <v>11</v>
      </c>
      <c r="C1421">
        <v>20</v>
      </c>
      <c r="D1421" s="1">
        <f t="shared" si="176"/>
        <v>37945</v>
      </c>
      <c r="E1421">
        <v>1.2</v>
      </c>
      <c r="F1421">
        <f t="shared" si="182"/>
        <v>0</v>
      </c>
      <c r="G1421">
        <f t="shared" si="177"/>
        <v>1</v>
      </c>
      <c r="H1421">
        <f t="shared" si="183"/>
        <v>0</v>
      </c>
      <c r="I1421">
        <v>1420</v>
      </c>
      <c r="J1421">
        <f t="shared" si="178"/>
        <v>-0.64826180977571413</v>
      </c>
      <c r="K1421">
        <f t="shared" si="179"/>
        <v>0.76141751095329802</v>
      </c>
      <c r="L1421">
        <f>VLOOKUP(D1421,[1]SOI!$A$1:$C$142,3)</f>
        <v>-1.9</v>
      </c>
      <c r="M1421" s="2">
        <f t="shared" si="180"/>
        <v>-920.53176988151404</v>
      </c>
      <c r="N1421">
        <f t="shared" si="181"/>
        <v>1081.2128655536833</v>
      </c>
      <c r="O1421" t="s">
        <v>8</v>
      </c>
    </row>
    <row r="1422" spans="1:15" x14ac:dyDescent="0.35">
      <c r="A1422">
        <v>2003</v>
      </c>
      <c r="B1422">
        <v>11</v>
      </c>
      <c r="C1422">
        <v>21</v>
      </c>
      <c r="D1422" s="1">
        <f t="shared" si="176"/>
        <v>37946</v>
      </c>
      <c r="E1422">
        <v>4.4000000000000004</v>
      </c>
      <c r="F1422">
        <f t="shared" si="182"/>
        <v>1.2</v>
      </c>
      <c r="G1422">
        <f t="shared" si="177"/>
        <v>1</v>
      </c>
      <c r="H1422">
        <f t="shared" si="183"/>
        <v>1</v>
      </c>
      <c r="I1422">
        <v>1421</v>
      </c>
      <c r="J1422">
        <f t="shared" si="178"/>
        <v>-0.63506831348674475</v>
      </c>
      <c r="K1422">
        <f t="shared" si="179"/>
        <v>0.77245597751917339</v>
      </c>
      <c r="L1422">
        <f>VLOOKUP(D1422,[1]SOI!$A$1:$C$142,3)</f>
        <v>-1.9</v>
      </c>
      <c r="M1422" s="2">
        <f t="shared" si="180"/>
        <v>-902.43207346466431</v>
      </c>
      <c r="N1422">
        <f t="shared" si="181"/>
        <v>1097.6599440547454</v>
      </c>
      <c r="O1422" t="s">
        <v>8</v>
      </c>
    </row>
    <row r="1423" spans="1:15" x14ac:dyDescent="0.35">
      <c r="A1423">
        <v>2003</v>
      </c>
      <c r="B1423">
        <v>11</v>
      </c>
      <c r="C1423">
        <v>22</v>
      </c>
      <c r="D1423" s="1">
        <f t="shared" si="176"/>
        <v>37947</v>
      </c>
      <c r="E1423">
        <v>0.2</v>
      </c>
      <c r="F1423">
        <f t="shared" si="182"/>
        <v>4.4000000000000004</v>
      </c>
      <c r="G1423">
        <f t="shared" si="177"/>
        <v>1</v>
      </c>
      <c r="H1423">
        <f t="shared" si="183"/>
        <v>1</v>
      </c>
      <c r="I1423">
        <v>1422</v>
      </c>
      <c r="J1423">
        <f t="shared" si="178"/>
        <v>-0.62168689026655077</v>
      </c>
      <c r="K1423">
        <f t="shared" si="179"/>
        <v>0.78326586193367687</v>
      </c>
      <c r="L1423">
        <f>VLOOKUP(D1423,[1]SOI!$A$1:$C$142,3)</f>
        <v>-1.9</v>
      </c>
      <c r="M1423" s="2">
        <f t="shared" si="180"/>
        <v>-884.03875795903525</v>
      </c>
      <c r="N1423">
        <f t="shared" si="181"/>
        <v>1113.8040556696885</v>
      </c>
      <c r="O1423" t="s">
        <v>8</v>
      </c>
    </row>
    <row r="1424" spans="1:15" x14ac:dyDescent="0.35">
      <c r="A1424">
        <v>2003</v>
      </c>
      <c r="B1424">
        <v>11</v>
      </c>
      <c r="C1424">
        <v>23</v>
      </c>
      <c r="D1424" s="1">
        <f t="shared" si="176"/>
        <v>37948</v>
      </c>
      <c r="E1424">
        <v>4.4000000000000004</v>
      </c>
      <c r="F1424">
        <f t="shared" si="182"/>
        <v>0.2</v>
      </c>
      <c r="G1424">
        <f t="shared" si="177"/>
        <v>1</v>
      </c>
      <c r="H1424">
        <f t="shared" si="183"/>
        <v>1</v>
      </c>
      <c r="I1424">
        <v>1423</v>
      </c>
      <c r="J1424">
        <f t="shared" si="178"/>
        <v>-0.6081214998935438</v>
      </c>
      <c r="K1424">
        <f t="shared" si="179"/>
        <v>0.79384396537810042</v>
      </c>
      <c r="L1424">
        <f>VLOOKUP(D1424,[1]SOI!$A$1:$C$142,3)</f>
        <v>-1.9</v>
      </c>
      <c r="M1424" s="2">
        <f t="shared" si="180"/>
        <v>-865.35689434851281</v>
      </c>
      <c r="N1424">
        <f t="shared" si="181"/>
        <v>1129.639962733037</v>
      </c>
      <c r="O1424" t="s">
        <v>8</v>
      </c>
    </row>
    <row r="1425" spans="1:15" x14ac:dyDescent="0.35">
      <c r="A1425">
        <v>2003</v>
      </c>
      <c r="B1425">
        <v>11</v>
      </c>
      <c r="C1425">
        <v>24</v>
      </c>
      <c r="D1425" s="1">
        <f t="shared" si="176"/>
        <v>37949</v>
      </c>
      <c r="E1425">
        <v>0</v>
      </c>
      <c r="F1425">
        <f t="shared" si="182"/>
        <v>4.4000000000000004</v>
      </c>
      <c r="G1425">
        <f t="shared" si="177"/>
        <v>0</v>
      </c>
      <c r="H1425">
        <f t="shared" si="183"/>
        <v>1</v>
      </c>
      <c r="I1425">
        <v>1424</v>
      </c>
      <c r="J1425">
        <f t="shared" si="178"/>
        <v>-0.59437615658498133</v>
      </c>
      <c r="K1425">
        <f t="shared" si="179"/>
        <v>0.80418715762144932</v>
      </c>
      <c r="L1425">
        <f>VLOOKUP(D1425,[1]SOI!$A$1:$C$142,3)</f>
        <v>-1.9</v>
      </c>
      <c r="M1425" s="2">
        <f t="shared" si="180"/>
        <v>-846.39164697701347</v>
      </c>
      <c r="N1425">
        <f t="shared" si="181"/>
        <v>1145.1625124529439</v>
      </c>
      <c r="O1425" t="s">
        <v>8</v>
      </c>
    </row>
    <row r="1426" spans="1:15" x14ac:dyDescent="0.35">
      <c r="A1426">
        <v>2003</v>
      </c>
      <c r="B1426">
        <v>11</v>
      </c>
      <c r="C1426">
        <v>25</v>
      </c>
      <c r="D1426" s="1">
        <f t="shared" si="176"/>
        <v>37950</v>
      </c>
      <c r="E1426">
        <v>0.2</v>
      </c>
      <c r="F1426">
        <f t="shared" si="182"/>
        <v>0</v>
      </c>
      <c r="G1426">
        <f t="shared" si="177"/>
        <v>1</v>
      </c>
      <c r="H1426">
        <f t="shared" si="183"/>
        <v>0</v>
      </c>
      <c r="I1426">
        <v>1425</v>
      </c>
      <c r="J1426">
        <f t="shared" si="178"/>
        <v>-0.58045492780910102</v>
      </c>
      <c r="K1426">
        <f t="shared" si="179"/>
        <v>0.81429237794672449</v>
      </c>
      <c r="L1426">
        <f>VLOOKUP(D1426,[1]SOI!$A$1:$C$142,3)</f>
        <v>-1.9</v>
      </c>
      <c r="M1426" s="2">
        <f t="shared" si="180"/>
        <v>-827.14827212796899</v>
      </c>
      <c r="N1426">
        <f t="shared" si="181"/>
        <v>1160.3666385740823</v>
      </c>
      <c r="O1426" t="s">
        <v>8</v>
      </c>
    </row>
    <row r="1427" spans="1:15" x14ac:dyDescent="0.35">
      <c r="A1427">
        <v>2003</v>
      </c>
      <c r="B1427">
        <v>11</v>
      </c>
      <c r="C1427">
        <v>26</v>
      </c>
      <c r="D1427" s="1">
        <f t="shared" si="176"/>
        <v>37951</v>
      </c>
      <c r="E1427">
        <v>0</v>
      </c>
      <c r="F1427">
        <f t="shared" si="182"/>
        <v>0.2</v>
      </c>
      <c r="G1427">
        <f t="shared" si="177"/>
        <v>0</v>
      </c>
      <c r="H1427">
        <f t="shared" si="183"/>
        <v>1</v>
      </c>
      <c r="I1427">
        <v>1426</v>
      </c>
      <c r="J1427">
        <f t="shared" si="178"/>
        <v>-0.56636193308145166</v>
      </c>
      <c r="K1427">
        <f t="shared" si="179"/>
        <v>0.82415663605666689</v>
      </c>
      <c r="L1427">
        <f>VLOOKUP(D1427,[1]SOI!$A$1:$C$142,3)</f>
        <v>-1.9</v>
      </c>
      <c r="M1427" s="2">
        <f t="shared" si="180"/>
        <v>-807.63211657415002</v>
      </c>
      <c r="N1427">
        <f t="shared" si="181"/>
        <v>1175.247363016807</v>
      </c>
      <c r="O1427" t="s">
        <v>8</v>
      </c>
    </row>
    <row r="1428" spans="1:15" x14ac:dyDescent="0.35">
      <c r="A1428">
        <v>2003</v>
      </c>
      <c r="B1428">
        <v>11</v>
      </c>
      <c r="C1428">
        <v>27</v>
      </c>
      <c r="D1428" s="1">
        <f t="shared" si="176"/>
        <v>37952</v>
      </c>
      <c r="E1428">
        <v>0</v>
      </c>
      <c r="F1428">
        <f t="shared" si="182"/>
        <v>0</v>
      </c>
      <c r="G1428">
        <f t="shared" si="177"/>
        <v>0</v>
      </c>
      <c r="H1428">
        <f t="shared" si="183"/>
        <v>0</v>
      </c>
      <c r="I1428">
        <v>1427</v>
      </c>
      <c r="J1428">
        <f t="shared" si="178"/>
        <v>-0.55210134274591904</v>
      </c>
      <c r="K1428">
        <f t="shared" si="179"/>
        <v>0.83377701295859274</v>
      </c>
      <c r="L1428">
        <f>VLOOKUP(D1428,[1]SOI!$A$1:$C$142,3)</f>
        <v>-1.9</v>
      </c>
      <c r="M1428" s="2">
        <f t="shared" si="180"/>
        <v>-787.84861609842642</v>
      </c>
      <c r="N1428">
        <f t="shared" si="181"/>
        <v>1189.7997974919119</v>
      </c>
      <c r="O1428" t="s">
        <v>8</v>
      </c>
    </row>
    <row r="1429" spans="1:15" x14ac:dyDescent="0.35">
      <c r="A1429">
        <v>2003</v>
      </c>
      <c r="B1429">
        <v>11</v>
      </c>
      <c r="C1429">
        <v>28</v>
      </c>
      <c r="D1429" s="1">
        <f t="shared" si="176"/>
        <v>37953</v>
      </c>
      <c r="E1429">
        <v>0</v>
      </c>
      <c r="F1429">
        <f t="shared" si="182"/>
        <v>0</v>
      </c>
      <c r="G1429">
        <f t="shared" si="177"/>
        <v>0</v>
      </c>
      <c r="H1429">
        <f t="shared" si="183"/>
        <v>0</v>
      </c>
      <c r="I1429">
        <v>1428</v>
      </c>
      <c r="J1429">
        <f t="shared" si="178"/>
        <v>-0.53767737674061733</v>
      </c>
      <c r="K1429">
        <f t="shared" si="179"/>
        <v>0.84315066182819798</v>
      </c>
      <c r="L1429">
        <f>VLOOKUP(D1429,[1]SOI!$A$1:$C$142,3)</f>
        <v>-1.9</v>
      </c>
      <c r="M1429" s="2">
        <f t="shared" si="180"/>
        <v>-767.8032939856015</v>
      </c>
      <c r="N1429">
        <f t="shared" si="181"/>
        <v>1204.0191450906668</v>
      </c>
      <c r="O1429" t="s">
        <v>8</v>
      </c>
    </row>
    <row r="1430" spans="1:15" x14ac:dyDescent="0.35">
      <c r="A1430">
        <v>2003</v>
      </c>
      <c r="B1430">
        <v>11</v>
      </c>
      <c r="C1430">
        <v>29</v>
      </c>
      <c r="D1430" s="1">
        <f t="shared" si="176"/>
        <v>37954</v>
      </c>
      <c r="E1430">
        <v>0</v>
      </c>
      <c r="F1430">
        <f t="shared" si="182"/>
        <v>0</v>
      </c>
      <c r="G1430">
        <f t="shared" si="177"/>
        <v>0</v>
      </c>
      <c r="H1430">
        <f t="shared" si="183"/>
        <v>0</v>
      </c>
      <c r="I1430">
        <v>1429</v>
      </c>
      <c r="J1430">
        <f t="shared" si="178"/>
        <v>-0.52309430334913187</v>
      </c>
      <c r="K1430">
        <f t="shared" si="179"/>
        <v>0.85227480885198426</v>
      </c>
      <c r="L1430">
        <f>VLOOKUP(D1430,[1]SOI!$A$1:$C$142,3)</f>
        <v>-1.9</v>
      </c>
      <c r="M1430" s="2">
        <f t="shared" si="180"/>
        <v>-747.50175948590947</v>
      </c>
      <c r="N1430">
        <f t="shared" si="181"/>
        <v>1217.9007018494856</v>
      </c>
      <c r="O1430" t="s">
        <v>8</v>
      </c>
    </row>
    <row r="1431" spans="1:15" x14ac:dyDescent="0.35">
      <c r="A1431">
        <v>2003</v>
      </c>
      <c r="B1431">
        <v>11</v>
      </c>
      <c r="C1431">
        <v>30</v>
      </c>
      <c r="D1431" s="1">
        <f t="shared" si="176"/>
        <v>37955</v>
      </c>
      <c r="E1431">
        <v>0</v>
      </c>
      <c r="F1431">
        <f t="shared" si="182"/>
        <v>0</v>
      </c>
      <c r="G1431">
        <f t="shared" si="177"/>
        <v>0</v>
      </c>
      <c r="H1431">
        <f t="shared" si="183"/>
        <v>0</v>
      </c>
      <c r="I1431">
        <v>1430</v>
      </c>
      <c r="J1431">
        <f t="shared" si="178"/>
        <v>-0.5083564379375104</v>
      </c>
      <c r="K1431">
        <f t="shared" si="179"/>
        <v>0.86114675404804619</v>
      </c>
      <c r="L1431">
        <f>VLOOKUP(D1431,[1]SOI!$A$1:$C$142,3)</f>
        <v>-1.9</v>
      </c>
      <c r="M1431" s="2">
        <f t="shared" si="180"/>
        <v>-726.94970625063991</v>
      </c>
      <c r="N1431">
        <f t="shared" si="181"/>
        <v>1231.4398582887061</v>
      </c>
      <c r="O1431" t="s">
        <v>8</v>
      </c>
    </row>
    <row r="1432" spans="1:15" x14ac:dyDescent="0.35">
      <c r="A1432">
        <v>2003</v>
      </c>
      <c r="B1432">
        <v>12</v>
      </c>
      <c r="C1432">
        <v>1</v>
      </c>
      <c r="D1432" s="1">
        <f t="shared" si="176"/>
        <v>37956</v>
      </c>
      <c r="E1432">
        <v>1.6</v>
      </c>
      <c r="F1432">
        <f t="shared" si="182"/>
        <v>0</v>
      </c>
      <c r="G1432">
        <f t="shared" si="177"/>
        <v>1</v>
      </c>
      <c r="H1432">
        <f t="shared" si="183"/>
        <v>0</v>
      </c>
      <c r="I1432">
        <v>1431</v>
      </c>
      <c r="J1432">
        <f t="shared" si="178"/>
        <v>-0.49346814167723763</v>
      </c>
      <c r="K1432">
        <f t="shared" si="179"/>
        <v>0.86976387206506445</v>
      </c>
      <c r="L1432">
        <f>VLOOKUP(D1432,[1]SOI!$A$1:$C$142,3)</f>
        <v>-3.4</v>
      </c>
      <c r="M1432" s="2">
        <f t="shared" si="180"/>
        <v>-706.15291074012703</v>
      </c>
      <c r="N1432">
        <f t="shared" si="181"/>
        <v>1244.6321009251071</v>
      </c>
      <c r="O1432" t="s">
        <v>8</v>
      </c>
    </row>
    <row r="1433" spans="1:15" x14ac:dyDescent="0.35">
      <c r="A1433">
        <v>2003</v>
      </c>
      <c r="B1433">
        <v>12</v>
      </c>
      <c r="C1433">
        <v>2</v>
      </c>
      <c r="D1433" s="1">
        <f t="shared" si="176"/>
        <v>37957</v>
      </c>
      <c r="E1433">
        <v>0</v>
      </c>
      <c r="F1433">
        <f t="shared" si="182"/>
        <v>1.6</v>
      </c>
      <c r="G1433">
        <f t="shared" si="177"/>
        <v>0</v>
      </c>
      <c r="H1433">
        <f t="shared" si="183"/>
        <v>1</v>
      </c>
      <c r="I1433">
        <v>1432</v>
      </c>
      <c r="J1433">
        <f t="shared" si="178"/>
        <v>-0.47843382025470049</v>
      </c>
      <c r="K1433">
        <f t="shared" si="179"/>
        <v>0.87812361295918528</v>
      </c>
      <c r="L1433">
        <f>VLOOKUP(D1433,[1]SOI!$A$1:$C$142,3)</f>
        <v>-3.4</v>
      </c>
      <c r="M1433" s="2">
        <f t="shared" si="180"/>
        <v>-685.11723060473105</v>
      </c>
      <c r="N1433">
        <f t="shared" si="181"/>
        <v>1257.4730137575534</v>
      </c>
      <c r="O1433" t="s">
        <v>8</v>
      </c>
    </row>
    <row r="1434" spans="1:15" x14ac:dyDescent="0.35">
      <c r="A1434">
        <v>2003</v>
      </c>
      <c r="B1434">
        <v>12</v>
      </c>
      <c r="C1434">
        <v>3</v>
      </c>
      <c r="D1434" s="1">
        <f t="shared" si="176"/>
        <v>37958</v>
      </c>
      <c r="E1434">
        <v>37.799999999999997</v>
      </c>
      <c r="F1434">
        <f t="shared" si="182"/>
        <v>0</v>
      </c>
      <c r="G1434">
        <f t="shared" si="177"/>
        <v>1</v>
      </c>
      <c r="H1434">
        <f t="shared" si="183"/>
        <v>0</v>
      </c>
      <c r="I1434">
        <v>1433</v>
      </c>
      <c r="J1434">
        <f t="shared" si="178"/>
        <v>-0.4632579225674931</v>
      </c>
      <c r="K1434">
        <f t="shared" si="179"/>
        <v>0.88622350294857932</v>
      </c>
      <c r="L1434">
        <f>VLOOKUP(D1434,[1]SOI!$A$1:$C$142,3)</f>
        <v>-3.4</v>
      </c>
      <c r="M1434" s="2">
        <f t="shared" si="180"/>
        <v>-663.84860303921755</v>
      </c>
      <c r="N1434">
        <f t="shared" si="181"/>
        <v>1269.9582797253142</v>
      </c>
      <c r="O1434" t="s">
        <v>8</v>
      </c>
    </row>
    <row r="1435" spans="1:15" x14ac:dyDescent="0.35">
      <c r="A1435">
        <v>2003</v>
      </c>
      <c r="B1435">
        <v>12</v>
      </c>
      <c r="C1435">
        <v>4</v>
      </c>
      <c r="D1435" s="1">
        <f t="shared" si="176"/>
        <v>37959</v>
      </c>
      <c r="E1435">
        <v>0</v>
      </c>
      <c r="F1435">
        <f t="shared" si="182"/>
        <v>37.799999999999997</v>
      </c>
      <c r="G1435">
        <f t="shared" si="177"/>
        <v>0</v>
      </c>
      <c r="H1435">
        <f t="shared" si="183"/>
        <v>1</v>
      </c>
      <c r="I1435">
        <v>1434</v>
      </c>
      <c r="J1435">
        <f t="shared" si="178"/>
        <v>-0.44794493940789154</v>
      </c>
      <c r="K1435">
        <f t="shared" si="179"/>
        <v>0.8940611451454874</v>
      </c>
      <c r="L1435">
        <f>VLOOKUP(D1435,[1]SOI!$A$1:$C$142,3)</f>
        <v>-3.4</v>
      </c>
      <c r="M1435" s="2">
        <f t="shared" si="180"/>
        <v>-642.35304311091647</v>
      </c>
      <c r="N1435">
        <f t="shared" si="181"/>
        <v>1282.083682138629</v>
      </c>
      <c r="O1435" t="s">
        <v>8</v>
      </c>
    </row>
    <row r="1436" spans="1:15" x14ac:dyDescent="0.35">
      <c r="A1436">
        <v>2003</v>
      </c>
      <c r="B1436">
        <v>12</v>
      </c>
      <c r="C1436">
        <v>5</v>
      </c>
      <c r="D1436" s="1">
        <f t="shared" si="176"/>
        <v>37960</v>
      </c>
      <c r="E1436">
        <v>1.4</v>
      </c>
      <c r="F1436">
        <f t="shared" si="182"/>
        <v>0</v>
      </c>
      <c r="G1436">
        <f t="shared" si="177"/>
        <v>1</v>
      </c>
      <c r="H1436">
        <f t="shared" si="183"/>
        <v>0</v>
      </c>
      <c r="I1436">
        <v>1435</v>
      </c>
      <c r="J1436">
        <f t="shared" si="178"/>
        <v>-0.43249940213397808</v>
      </c>
      <c r="K1436">
        <f t="shared" si="179"/>
        <v>0.90163422026548634</v>
      </c>
      <c r="L1436">
        <f>VLOOKUP(D1436,[1]SOI!$A$1:$C$142,3)</f>
        <v>-3.4</v>
      </c>
      <c r="M1436" s="2">
        <f t="shared" si="180"/>
        <v>-620.6366420622586</v>
      </c>
      <c r="N1436">
        <f t="shared" si="181"/>
        <v>1293.845106080973</v>
      </c>
      <c r="O1436" t="s">
        <v>8</v>
      </c>
    </row>
    <row r="1437" spans="1:15" x14ac:dyDescent="0.35">
      <c r="A1437">
        <v>2003</v>
      </c>
      <c r="B1437">
        <v>12</v>
      </c>
      <c r="C1437">
        <v>6</v>
      </c>
      <c r="D1437" s="1">
        <f t="shared" si="176"/>
        <v>37961</v>
      </c>
      <c r="E1437">
        <v>0</v>
      </c>
      <c r="F1437">
        <f t="shared" si="182"/>
        <v>1.4</v>
      </c>
      <c r="G1437">
        <f t="shared" si="177"/>
        <v>0</v>
      </c>
      <c r="H1437">
        <f t="shared" si="183"/>
        <v>1</v>
      </c>
      <c r="I1437">
        <v>1436</v>
      </c>
      <c r="J1437">
        <f t="shared" si="178"/>
        <v>-0.41692588132873015</v>
      </c>
      <c r="K1437">
        <f t="shared" si="179"/>
        <v>0.90894048731380739</v>
      </c>
      <c r="L1437">
        <f>VLOOKUP(D1437,[1]SOI!$A$1:$C$142,3)</f>
        <v>-3.4</v>
      </c>
      <c r="M1437" s="2">
        <f t="shared" si="180"/>
        <v>-598.70556558805652</v>
      </c>
      <c r="N1437">
        <f t="shared" si="181"/>
        <v>1305.2385397826274</v>
      </c>
      <c r="O1437" t="s">
        <v>8</v>
      </c>
    </row>
    <row r="1438" spans="1:15" x14ac:dyDescent="0.35">
      <c r="A1438">
        <v>2003</v>
      </c>
      <c r="B1438">
        <v>12</v>
      </c>
      <c r="C1438">
        <v>7</v>
      </c>
      <c r="D1438" s="1">
        <f t="shared" si="176"/>
        <v>37962</v>
      </c>
      <c r="E1438">
        <v>0</v>
      </c>
      <c r="F1438">
        <f t="shared" si="182"/>
        <v>0</v>
      </c>
      <c r="G1438">
        <f t="shared" si="177"/>
        <v>0</v>
      </c>
      <c r="H1438">
        <f t="shared" si="183"/>
        <v>0</v>
      </c>
      <c r="I1438">
        <v>1437</v>
      </c>
      <c r="J1438">
        <f t="shared" si="178"/>
        <v>-0.40122898544750135</v>
      </c>
      <c r="K1438">
        <f t="shared" si="179"/>
        <v>0.91597778424848753</v>
      </c>
      <c r="L1438">
        <f>VLOOKUP(D1438,[1]SOI!$A$1:$C$142,3)</f>
        <v>-3.4</v>
      </c>
      <c r="M1438" s="2">
        <f t="shared" si="180"/>
        <v>-576.56605208805945</v>
      </c>
      <c r="N1438">
        <f t="shared" si="181"/>
        <v>1316.2600759650766</v>
      </c>
      <c r="O1438" t="s">
        <v>8</v>
      </c>
    </row>
    <row r="1439" spans="1:15" x14ac:dyDescent="0.35">
      <c r="A1439">
        <v>2003</v>
      </c>
      <c r="B1439">
        <v>12</v>
      </c>
      <c r="C1439">
        <v>8</v>
      </c>
      <c r="D1439" s="1">
        <f t="shared" si="176"/>
        <v>37963</v>
      </c>
      <c r="E1439">
        <v>0</v>
      </c>
      <c r="F1439">
        <f t="shared" si="182"/>
        <v>0</v>
      </c>
      <c r="G1439">
        <f t="shared" si="177"/>
        <v>0</v>
      </c>
      <c r="H1439">
        <f t="shared" si="183"/>
        <v>0</v>
      </c>
      <c r="I1439">
        <v>1438</v>
      </c>
      <c r="J1439">
        <f t="shared" si="178"/>
        <v>-0.38541335945432498</v>
      </c>
      <c r="K1439">
        <f t="shared" si="179"/>
        <v>0.92274402862014304</v>
      </c>
      <c r="L1439">
        <f>VLOOKUP(D1439,[1]SOI!$A$1:$C$142,3)</f>
        <v>-3.4</v>
      </c>
      <c r="M1439" s="2">
        <f t="shared" si="180"/>
        <v>-554.22441089531935</v>
      </c>
      <c r="N1439">
        <f t="shared" si="181"/>
        <v>1326.9059131557658</v>
      </c>
      <c r="O1439" t="s">
        <v>8</v>
      </c>
    </row>
    <row r="1440" spans="1:15" x14ac:dyDescent="0.35">
      <c r="A1440">
        <v>2003</v>
      </c>
      <c r="B1440">
        <v>12</v>
      </c>
      <c r="C1440">
        <v>9</v>
      </c>
      <c r="D1440" s="1">
        <f t="shared" si="176"/>
        <v>37964</v>
      </c>
      <c r="E1440">
        <v>0</v>
      </c>
      <c r="F1440">
        <f t="shared" si="182"/>
        <v>0</v>
      </c>
      <c r="G1440">
        <f t="shared" si="177"/>
        <v>0</v>
      </c>
      <c r="H1440">
        <f t="shared" si="183"/>
        <v>0</v>
      </c>
      <c r="I1440">
        <v>1439</v>
      </c>
      <c r="J1440">
        <f t="shared" si="178"/>
        <v>-0.36948368344738469</v>
      </c>
      <c r="K1440">
        <f t="shared" si="179"/>
        <v>0.92923721818820448</v>
      </c>
      <c r="L1440">
        <f>VLOOKUP(D1440,[1]SOI!$A$1:$C$142,3)</f>
        <v>-3.4</v>
      </c>
      <c r="M1440" s="2">
        <f t="shared" si="180"/>
        <v>-531.6870204807866</v>
      </c>
      <c r="N1440">
        <f t="shared" si="181"/>
        <v>1337.1723569728263</v>
      </c>
      <c r="O1440" t="s">
        <v>8</v>
      </c>
    </row>
    <row r="1441" spans="1:15" x14ac:dyDescent="0.35">
      <c r="A1441">
        <v>2003</v>
      </c>
      <c r="B1441">
        <v>12</v>
      </c>
      <c r="C1441">
        <v>10</v>
      </c>
      <c r="D1441" s="1">
        <f t="shared" si="176"/>
        <v>37965</v>
      </c>
      <c r="E1441">
        <v>0</v>
      </c>
      <c r="F1441">
        <f t="shared" si="182"/>
        <v>0</v>
      </c>
      <c r="G1441">
        <f t="shared" si="177"/>
        <v>0</v>
      </c>
      <c r="H1441">
        <f t="shared" si="183"/>
        <v>0</v>
      </c>
      <c r="I1441">
        <v>1440</v>
      </c>
      <c r="J1441">
        <f t="shared" si="178"/>
        <v>-0.35344467127408813</v>
      </c>
      <c r="K1441">
        <f t="shared" si="179"/>
        <v>0.93545543151341626</v>
      </c>
      <c r="L1441">
        <f>VLOOKUP(D1441,[1]SOI!$A$1:$C$142,3)</f>
        <v>-3.4</v>
      </c>
      <c r="M1441" s="2">
        <f t="shared" si="180"/>
        <v>-508.96032663468691</v>
      </c>
      <c r="N1441">
        <f t="shared" si="181"/>
        <v>1347.0558213793195</v>
      </c>
      <c r="O1441" t="s">
        <v>8</v>
      </c>
    </row>
    <row r="1442" spans="1:15" x14ac:dyDescent="0.35">
      <c r="A1442">
        <v>2003</v>
      </c>
      <c r="B1442">
        <v>12</v>
      </c>
      <c r="C1442">
        <v>11</v>
      </c>
      <c r="D1442" s="1">
        <f t="shared" si="176"/>
        <v>37966</v>
      </c>
      <c r="E1442">
        <v>0.2</v>
      </c>
      <c r="F1442">
        <f t="shared" si="182"/>
        <v>0</v>
      </c>
      <c r="G1442">
        <f t="shared" si="177"/>
        <v>1</v>
      </c>
      <c r="H1442">
        <f t="shared" si="183"/>
        <v>0</v>
      </c>
      <c r="I1442">
        <v>1441</v>
      </c>
      <c r="J1442">
        <f t="shared" si="178"/>
        <v>-0.33730106913618357</v>
      </c>
      <c r="K1442">
        <f t="shared" si="179"/>
        <v>0.94139682852641238</v>
      </c>
      <c r="L1442">
        <f>VLOOKUP(D1442,[1]SOI!$A$1:$C$142,3)</f>
        <v>-3.4</v>
      </c>
      <c r="M1442" s="2">
        <f t="shared" si="180"/>
        <v>-486.05084062524054</v>
      </c>
      <c r="N1442">
        <f t="shared" si="181"/>
        <v>1356.5528299065602</v>
      </c>
      <c r="O1442" t="s">
        <v>8</v>
      </c>
    </row>
    <row r="1443" spans="1:15" x14ac:dyDescent="0.35">
      <c r="A1443">
        <v>2003</v>
      </c>
      <c r="B1443">
        <v>12</v>
      </c>
      <c r="C1443">
        <v>12</v>
      </c>
      <c r="D1443" s="1">
        <f t="shared" si="176"/>
        <v>37967</v>
      </c>
      <c r="E1443">
        <v>0</v>
      </c>
      <c r="F1443">
        <f t="shared" si="182"/>
        <v>0.2</v>
      </c>
      <c r="G1443">
        <f t="shared" si="177"/>
        <v>0</v>
      </c>
      <c r="H1443">
        <f t="shared" si="183"/>
        <v>1</v>
      </c>
      <c r="I1443">
        <v>1442</v>
      </c>
      <c r="J1443">
        <f t="shared" si="178"/>
        <v>-0.32105765418527266</v>
      </c>
      <c r="K1443">
        <f t="shared" si="179"/>
        <v>0.94705965107222778</v>
      </c>
      <c r="L1443">
        <f>VLOOKUP(D1443,[1]SOI!$A$1:$C$142,3)</f>
        <v>-3.4</v>
      </c>
      <c r="M1443" s="2">
        <f t="shared" si="180"/>
        <v>-462.96513733516315</v>
      </c>
      <c r="N1443">
        <f t="shared" si="181"/>
        <v>1365.6600168461525</v>
      </c>
      <c r="O1443" t="s">
        <v>8</v>
      </c>
    </row>
    <row r="1444" spans="1:15" x14ac:dyDescent="0.35">
      <c r="A1444">
        <v>2003</v>
      </c>
      <c r="B1444">
        <v>12</v>
      </c>
      <c r="C1444">
        <v>13</v>
      </c>
      <c r="D1444" s="1">
        <f t="shared" si="176"/>
        <v>37968</v>
      </c>
      <c r="E1444">
        <v>1.8</v>
      </c>
      <c r="F1444">
        <f t="shared" si="182"/>
        <v>0</v>
      </c>
      <c r="G1444">
        <f t="shared" si="177"/>
        <v>1</v>
      </c>
      <c r="H1444">
        <f t="shared" si="183"/>
        <v>0</v>
      </c>
      <c r="I1444">
        <v>1443</v>
      </c>
      <c r="J1444">
        <f t="shared" si="178"/>
        <v>-0.30471923310916393</v>
      </c>
      <c r="K1444">
        <f t="shared" si="179"/>
        <v>0.9524422234305675</v>
      </c>
      <c r="L1444">
        <f>VLOOKUP(D1444,[1]SOI!$A$1:$C$142,3)</f>
        <v>-3.4</v>
      </c>
      <c r="M1444" s="2">
        <f t="shared" si="180"/>
        <v>-439.70985337652354</v>
      </c>
      <c r="N1444">
        <f t="shared" si="181"/>
        <v>1374.3741284103089</v>
      </c>
      <c r="O1444" t="s">
        <v>8</v>
      </c>
    </row>
    <row r="1445" spans="1:15" x14ac:dyDescent="0.35">
      <c r="A1445">
        <v>2003</v>
      </c>
      <c r="B1445">
        <v>12</v>
      </c>
      <c r="C1445">
        <v>14</v>
      </c>
      <c r="D1445" s="1">
        <f t="shared" si="176"/>
        <v>37969</v>
      </c>
      <c r="E1445">
        <v>0</v>
      </c>
      <c r="F1445">
        <f t="shared" si="182"/>
        <v>1.8</v>
      </c>
      <c r="G1445">
        <f t="shared" si="177"/>
        <v>0</v>
      </c>
      <c r="H1445">
        <f t="shared" si="183"/>
        <v>1</v>
      </c>
      <c r="I1445">
        <v>1444</v>
      </c>
      <c r="J1445">
        <f t="shared" si="178"/>
        <v>-0.2882906407095206</v>
      </c>
      <c r="K1445">
        <f t="shared" si="179"/>
        <v>0.95754295281167101</v>
      </c>
      <c r="L1445">
        <f>VLOOKUP(D1445,[1]SOI!$A$1:$C$142,3)</f>
        <v>-3.4</v>
      </c>
      <c r="M1445" s="2">
        <f t="shared" si="180"/>
        <v>-416.29168518454776</v>
      </c>
      <c r="N1445">
        <f t="shared" si="181"/>
        <v>1382.692023860053</v>
      </c>
      <c r="O1445" t="s">
        <v>8</v>
      </c>
    </row>
    <row r="1446" spans="1:15" x14ac:dyDescent="0.35">
      <c r="A1446">
        <v>2003</v>
      </c>
      <c r="B1446">
        <v>12</v>
      </c>
      <c r="C1446">
        <v>15</v>
      </c>
      <c r="D1446" s="1">
        <f t="shared" si="176"/>
        <v>37970</v>
      </c>
      <c r="E1446">
        <v>0</v>
      </c>
      <c r="F1446">
        <f t="shared" si="182"/>
        <v>0</v>
      </c>
      <c r="G1446">
        <f t="shared" si="177"/>
        <v>0</v>
      </c>
      <c r="H1446">
        <f t="shared" si="183"/>
        <v>0</v>
      </c>
      <c r="I1446">
        <v>1445</v>
      </c>
      <c r="J1446">
        <f t="shared" si="178"/>
        <v>-0.27177673847113742</v>
      </c>
      <c r="K1446">
        <f t="shared" si="179"/>
        <v>0.96236032982765396</v>
      </c>
      <c r="L1446">
        <f>VLOOKUP(D1446,[1]SOI!$A$1:$C$142,3)</f>
        <v>-3.4</v>
      </c>
      <c r="M1446" s="2">
        <f t="shared" si="180"/>
        <v>-392.71738709079358</v>
      </c>
      <c r="N1446">
        <f t="shared" si="181"/>
        <v>1390.61067660096</v>
      </c>
      <c r="O1446" t="s">
        <v>8</v>
      </c>
    </row>
    <row r="1447" spans="1:15" x14ac:dyDescent="0.35">
      <c r="A1447">
        <v>2003</v>
      </c>
      <c r="B1447">
        <v>12</v>
      </c>
      <c r="C1447">
        <v>16</v>
      </c>
      <c r="D1447" s="1">
        <f t="shared" si="176"/>
        <v>37971</v>
      </c>
      <c r="E1447">
        <v>0</v>
      </c>
      <c r="F1447">
        <f t="shared" si="182"/>
        <v>0</v>
      </c>
      <c r="G1447">
        <f t="shared" si="177"/>
        <v>0</v>
      </c>
      <c r="H1447">
        <f t="shared" si="183"/>
        <v>0</v>
      </c>
      <c r="I1447">
        <v>1446</v>
      </c>
      <c r="J1447">
        <f t="shared" si="178"/>
        <v>-0.25518241312337342</v>
      </c>
      <c r="K1447">
        <f t="shared" si="179"/>
        <v>0.96689292893915191</v>
      </c>
      <c r="L1447">
        <f>VLOOKUP(D1447,[1]SOI!$A$1:$C$142,3)</f>
        <v>-3.4</v>
      </c>
      <c r="M1447" s="2">
        <f t="shared" si="180"/>
        <v>-368.99376937639795</v>
      </c>
      <c r="N1447">
        <f t="shared" si="181"/>
        <v>1398.1271752460136</v>
      </c>
      <c r="O1447" t="s">
        <v>8</v>
      </c>
    </row>
    <row r="1448" spans="1:15" x14ac:dyDescent="0.35">
      <c r="A1448">
        <v>2003</v>
      </c>
      <c r="B1448">
        <v>12</v>
      </c>
      <c r="C1448">
        <v>17</v>
      </c>
      <c r="D1448" s="1">
        <f t="shared" si="176"/>
        <v>37972</v>
      </c>
      <c r="E1448">
        <v>0</v>
      </c>
      <c r="F1448">
        <f t="shared" si="182"/>
        <v>0</v>
      </c>
      <c r="G1448">
        <f t="shared" si="177"/>
        <v>0</v>
      </c>
      <c r="H1448">
        <f t="shared" si="183"/>
        <v>0</v>
      </c>
      <c r="I1448">
        <v>1447</v>
      </c>
      <c r="J1448">
        <f t="shared" si="178"/>
        <v>-0.23851257519407942</v>
      </c>
      <c r="K1448">
        <f t="shared" si="179"/>
        <v>0.97113940887716454</v>
      </c>
      <c r="L1448">
        <f>VLOOKUP(D1448,[1]SOI!$A$1:$C$142,3)</f>
        <v>-3.4</v>
      </c>
      <c r="M1448" s="2">
        <f t="shared" si="180"/>
        <v>-345.1276963058329</v>
      </c>
      <c r="N1448">
        <f t="shared" si="181"/>
        <v>1405.2387246452572</v>
      </c>
      <c r="O1448" t="s">
        <v>8</v>
      </c>
    </row>
    <row r="1449" spans="1:15" x14ac:dyDescent="0.35">
      <c r="A1449">
        <v>2003</v>
      </c>
      <c r="B1449">
        <v>12</v>
      </c>
      <c r="C1449">
        <v>18</v>
      </c>
      <c r="D1449" s="1">
        <f t="shared" si="176"/>
        <v>37973</v>
      </c>
      <c r="E1449">
        <v>0</v>
      </c>
      <c r="F1449">
        <f t="shared" si="182"/>
        <v>0</v>
      </c>
      <c r="G1449">
        <f t="shared" si="177"/>
        <v>0</v>
      </c>
      <c r="H1449">
        <f t="shared" si="183"/>
        <v>0</v>
      </c>
      <c r="I1449">
        <v>1448</v>
      </c>
      <c r="J1449">
        <f t="shared" si="178"/>
        <v>-0.22177215755648369</v>
      </c>
      <c r="K1449">
        <f t="shared" si="179"/>
        <v>0.97509851303996053</v>
      </c>
      <c r="L1449">
        <f>VLOOKUP(D1449,[1]SOI!$A$1:$C$142,3)</f>
        <v>-3.4</v>
      </c>
      <c r="M1449" s="2">
        <f t="shared" si="180"/>
        <v>-321.1260841417884</v>
      </c>
      <c r="N1449">
        <f t="shared" si="181"/>
        <v>1411.9426468818629</v>
      </c>
      <c r="O1449" t="s">
        <v>8</v>
      </c>
    </row>
    <row r="1450" spans="1:15" x14ac:dyDescent="0.35">
      <c r="A1450">
        <v>2003</v>
      </c>
      <c r="B1450">
        <v>12</v>
      </c>
      <c r="C1450">
        <v>19</v>
      </c>
      <c r="D1450" s="1">
        <f t="shared" si="176"/>
        <v>37974</v>
      </c>
      <c r="E1450">
        <v>14.2</v>
      </c>
      <c r="F1450">
        <f t="shared" si="182"/>
        <v>0</v>
      </c>
      <c r="G1450">
        <f t="shared" si="177"/>
        <v>1</v>
      </c>
      <c r="H1450">
        <f t="shared" si="183"/>
        <v>0</v>
      </c>
      <c r="I1450">
        <v>1449</v>
      </c>
      <c r="J1450">
        <f t="shared" si="178"/>
        <v>-0.20496611396949604</v>
      </c>
      <c r="K1450">
        <f t="shared" si="179"/>
        <v>0.97876906986492151</v>
      </c>
      <c r="L1450">
        <f>VLOOKUP(D1450,[1]SOI!$A$1:$C$142,3)</f>
        <v>-3.4</v>
      </c>
      <c r="M1450" s="2">
        <f t="shared" si="180"/>
        <v>-296.99589914179978</v>
      </c>
      <c r="N1450">
        <f t="shared" si="181"/>
        <v>1418.2363822342713</v>
      </c>
      <c r="O1450" t="s">
        <v>8</v>
      </c>
    </row>
    <row r="1451" spans="1:15" x14ac:dyDescent="0.35">
      <c r="A1451">
        <v>2003</v>
      </c>
      <c r="B1451">
        <v>12</v>
      </c>
      <c r="C1451">
        <v>20</v>
      </c>
      <c r="D1451" s="1">
        <f t="shared" si="176"/>
        <v>37975</v>
      </c>
      <c r="E1451">
        <v>0</v>
      </c>
      <c r="F1451">
        <f t="shared" si="182"/>
        <v>14.2</v>
      </c>
      <c r="G1451">
        <f t="shared" si="177"/>
        <v>0</v>
      </c>
      <c r="H1451">
        <f t="shared" si="183"/>
        <v>1</v>
      </c>
      <c r="I1451">
        <v>1450</v>
      </c>
      <c r="J1451">
        <f t="shared" si="178"/>
        <v>-0.18809941761180063</v>
      </c>
      <c r="K1451">
        <f t="shared" si="179"/>
        <v>0.98214999317522855</v>
      </c>
      <c r="L1451">
        <f>VLOOKUP(D1451,[1]SOI!$A$1:$C$142,3)</f>
        <v>-3.4</v>
      </c>
      <c r="M1451" s="2">
        <f t="shared" si="180"/>
        <v>-272.74415553711088</v>
      </c>
      <c r="N1451">
        <f t="shared" si="181"/>
        <v>1424.1174901040813</v>
      </c>
      <c r="O1451" t="s">
        <v>8</v>
      </c>
    </row>
    <row r="1452" spans="1:15" x14ac:dyDescent="0.35">
      <c r="A1452">
        <v>2003</v>
      </c>
      <c r="B1452">
        <v>12</v>
      </c>
      <c r="C1452">
        <v>21</v>
      </c>
      <c r="D1452" s="1">
        <f t="shared" si="176"/>
        <v>37976</v>
      </c>
      <c r="E1452">
        <v>2.4</v>
      </c>
      <c r="F1452">
        <f t="shared" si="182"/>
        <v>0</v>
      </c>
      <c r="G1452">
        <f t="shared" si="177"/>
        <v>1</v>
      </c>
      <c r="H1452">
        <f t="shared" si="183"/>
        <v>0</v>
      </c>
      <c r="I1452">
        <v>1451</v>
      </c>
      <c r="J1452">
        <f t="shared" si="178"/>
        <v>-0.17117705961020177</v>
      </c>
      <c r="K1452">
        <f t="shared" si="179"/>
        <v>0.98524028250128171</v>
      </c>
      <c r="L1452">
        <f>VLOOKUP(D1452,[1]SOI!$A$1:$C$142,3)</f>
        <v>-3.4</v>
      </c>
      <c r="M1452" s="2">
        <f t="shared" si="180"/>
        <v>-248.37791349440278</v>
      </c>
      <c r="N1452">
        <f t="shared" si="181"/>
        <v>1429.5836499093598</v>
      </c>
      <c r="O1452" t="s">
        <v>8</v>
      </c>
    </row>
    <row r="1453" spans="1:15" x14ac:dyDescent="0.35">
      <c r="A1453">
        <v>2003</v>
      </c>
      <c r="B1453">
        <v>12</v>
      </c>
      <c r="C1453">
        <v>22</v>
      </c>
      <c r="D1453" s="1">
        <f t="shared" si="176"/>
        <v>37977</v>
      </c>
      <c r="E1453">
        <v>6.4</v>
      </c>
      <c r="F1453">
        <f t="shared" si="182"/>
        <v>2.4</v>
      </c>
      <c r="G1453">
        <f t="shared" si="177"/>
        <v>1</v>
      </c>
      <c r="H1453">
        <f t="shared" si="183"/>
        <v>1</v>
      </c>
      <c r="I1453">
        <v>1452</v>
      </c>
      <c r="J1453">
        <f t="shared" si="178"/>
        <v>-0.15420404756268666</v>
      </c>
      <c r="K1453">
        <f t="shared" si="179"/>
        <v>0.98803902337675142</v>
      </c>
      <c r="L1453">
        <f>VLOOKUP(D1453,[1]SOI!$A$1:$C$142,3)</f>
        <v>-3.4</v>
      </c>
      <c r="M1453" s="2">
        <f t="shared" si="180"/>
        <v>-223.90427706102102</v>
      </c>
      <c r="N1453">
        <f t="shared" si="181"/>
        <v>1434.6326619430431</v>
      </c>
      <c r="O1453" t="s">
        <v>8</v>
      </c>
    </row>
    <row r="1454" spans="1:15" x14ac:dyDescent="0.35">
      <c r="A1454">
        <v>2003</v>
      </c>
      <c r="B1454">
        <v>12</v>
      </c>
      <c r="C1454">
        <v>23</v>
      </c>
      <c r="D1454" s="1">
        <f t="shared" si="176"/>
        <v>37978</v>
      </c>
      <c r="E1454">
        <v>5.4</v>
      </c>
      <c r="F1454">
        <f t="shared" si="182"/>
        <v>6.4</v>
      </c>
      <c r="G1454">
        <f t="shared" si="177"/>
        <v>1</v>
      </c>
      <c r="H1454">
        <f t="shared" si="183"/>
        <v>1</v>
      </c>
      <c r="I1454">
        <v>1453</v>
      </c>
      <c r="J1454">
        <f t="shared" si="178"/>
        <v>-0.13718540405660373</v>
      </c>
      <c r="K1454">
        <f t="shared" si="179"/>
        <v>0.99054538760918287</v>
      </c>
      <c r="L1454">
        <f>VLOOKUP(D1454,[1]SOI!$A$1:$C$142,3)</f>
        <v>-3.4</v>
      </c>
      <c r="M1454" s="2">
        <f t="shared" si="180"/>
        <v>-199.33039209424521</v>
      </c>
      <c r="N1454">
        <f t="shared" si="181"/>
        <v>1439.2624481961427</v>
      </c>
      <c r="O1454" t="s">
        <v>8</v>
      </c>
    </row>
    <row r="1455" spans="1:15" x14ac:dyDescent="0.35">
      <c r="A1455">
        <v>2003</v>
      </c>
      <c r="B1455">
        <v>12</v>
      </c>
      <c r="C1455">
        <v>24</v>
      </c>
      <c r="D1455" s="1">
        <f t="shared" si="176"/>
        <v>37979</v>
      </c>
      <c r="E1455">
        <v>0</v>
      </c>
      <c r="F1455">
        <f t="shared" si="182"/>
        <v>5.4</v>
      </c>
      <c r="G1455">
        <f t="shared" si="177"/>
        <v>0</v>
      </c>
      <c r="H1455">
        <f t="shared" si="183"/>
        <v>1</v>
      </c>
      <c r="I1455">
        <v>1454</v>
      </c>
      <c r="J1455">
        <f t="shared" si="178"/>
        <v>-0.12012616518234896</v>
      </c>
      <c r="K1455">
        <f t="shared" si="179"/>
        <v>0.99275863352507943</v>
      </c>
      <c r="L1455">
        <f>VLOOKUP(D1455,[1]SOI!$A$1:$C$142,3)</f>
        <v>-3.4</v>
      </c>
      <c r="M1455" s="2">
        <f t="shared" si="180"/>
        <v>-174.6634441751354</v>
      </c>
      <c r="N1455">
        <f t="shared" si="181"/>
        <v>1443.4710531454655</v>
      </c>
      <c r="O1455" t="s">
        <v>8</v>
      </c>
    </row>
    <row r="1456" spans="1:15" x14ac:dyDescent="0.35">
      <c r="A1456">
        <v>2003</v>
      </c>
      <c r="B1456">
        <v>12</v>
      </c>
      <c r="C1456">
        <v>25</v>
      </c>
      <c r="D1456" s="1">
        <f t="shared" si="176"/>
        <v>37980</v>
      </c>
      <c r="E1456">
        <v>0</v>
      </c>
      <c r="F1456">
        <f t="shared" si="182"/>
        <v>0</v>
      </c>
      <c r="G1456">
        <f t="shared" si="177"/>
        <v>0</v>
      </c>
      <c r="H1456">
        <f t="shared" si="183"/>
        <v>0</v>
      </c>
      <c r="I1456">
        <v>1455</v>
      </c>
      <c r="J1456">
        <f t="shared" si="178"/>
        <v>-0.10303137904318317</v>
      </c>
      <c r="K1456">
        <f t="shared" si="179"/>
        <v>0.99467810618936414</v>
      </c>
      <c r="L1456">
        <f>VLOOKUP(D1456,[1]SOI!$A$1:$C$142,3)</f>
        <v>-3.4</v>
      </c>
      <c r="M1456" s="2">
        <f t="shared" si="180"/>
        <v>-149.9106565078315</v>
      </c>
      <c r="N1456">
        <f t="shared" si="181"/>
        <v>1447.2566445055247</v>
      </c>
      <c r="O1456" t="s">
        <v>8</v>
      </c>
    </row>
    <row r="1457" spans="1:15" x14ac:dyDescent="0.35">
      <c r="A1457">
        <v>2003</v>
      </c>
      <c r="B1457">
        <v>12</v>
      </c>
      <c r="C1457">
        <v>26</v>
      </c>
      <c r="D1457" s="1">
        <f t="shared" si="176"/>
        <v>37981</v>
      </c>
      <c r="E1457">
        <v>0</v>
      </c>
      <c r="F1457">
        <f t="shared" si="182"/>
        <v>0</v>
      </c>
      <c r="G1457">
        <f t="shared" si="177"/>
        <v>0</v>
      </c>
      <c r="H1457">
        <f t="shared" si="183"/>
        <v>0</v>
      </c>
      <c r="I1457">
        <v>1456</v>
      </c>
      <c r="J1457">
        <f t="shared" si="178"/>
        <v>-8.5906104261332411E-2</v>
      </c>
      <c r="K1457">
        <f t="shared" si="179"/>
        <v>0.99630323759919659</v>
      </c>
      <c r="L1457">
        <f>VLOOKUP(D1457,[1]SOI!$A$1:$C$142,3)</f>
        <v>-3.4</v>
      </c>
      <c r="M1457" s="2">
        <f t="shared" si="180"/>
        <v>-125.07928780449998</v>
      </c>
      <c r="N1457">
        <f t="shared" si="181"/>
        <v>1450.6175139444301</v>
      </c>
      <c r="O1457" t="s">
        <v>8</v>
      </c>
    </row>
    <row r="1458" spans="1:15" x14ac:dyDescent="0.35">
      <c r="A1458">
        <v>2003</v>
      </c>
      <c r="B1458">
        <v>12</v>
      </c>
      <c r="C1458">
        <v>27</v>
      </c>
      <c r="D1458" s="1">
        <f t="shared" si="176"/>
        <v>37982</v>
      </c>
      <c r="E1458">
        <v>0</v>
      </c>
      <c r="F1458">
        <f t="shared" si="182"/>
        <v>0</v>
      </c>
      <c r="G1458">
        <f t="shared" si="177"/>
        <v>0</v>
      </c>
      <c r="H1458">
        <f t="shared" si="183"/>
        <v>0</v>
      </c>
      <c r="I1458">
        <v>1457</v>
      </c>
      <c r="J1458">
        <f t="shared" si="178"/>
        <v>-6.8755408481137939E-2</v>
      </c>
      <c r="K1458">
        <f t="shared" si="179"/>
        <v>0.99763354685204519</v>
      </c>
      <c r="L1458">
        <f>VLOOKUP(D1458,[1]SOI!$A$1:$C$142,3)</f>
        <v>-3.4</v>
      </c>
      <c r="M1458" s="2">
        <f t="shared" si="180"/>
        <v>-100.17663015701798</v>
      </c>
      <c r="N1458">
        <f t="shared" si="181"/>
        <v>1453.5520777634299</v>
      </c>
      <c r="O1458" t="s">
        <v>8</v>
      </c>
    </row>
    <row r="1459" spans="1:15" x14ac:dyDescent="0.35">
      <c r="A1459">
        <v>2003</v>
      </c>
      <c r="B1459">
        <v>12</v>
      </c>
      <c r="C1459">
        <v>28</v>
      </c>
      <c r="D1459" s="1">
        <f t="shared" si="176"/>
        <v>37983</v>
      </c>
      <c r="E1459">
        <v>0</v>
      </c>
      <c r="F1459">
        <f t="shared" si="182"/>
        <v>0</v>
      </c>
      <c r="G1459">
        <f t="shared" si="177"/>
        <v>0</v>
      </c>
      <c r="H1459">
        <f t="shared" si="183"/>
        <v>0</v>
      </c>
      <c r="I1459">
        <v>1458</v>
      </c>
      <c r="J1459">
        <f t="shared" si="178"/>
        <v>-5.158436686940928E-2</v>
      </c>
      <c r="K1459">
        <f t="shared" si="179"/>
        <v>0.99866864028799973</v>
      </c>
      <c r="L1459">
        <f>VLOOKUP(D1459,[1]SOI!$A$1:$C$142,3)</f>
        <v>-3.4</v>
      </c>
      <c r="M1459" s="2">
        <f t="shared" si="180"/>
        <v>-75.210006895598724</v>
      </c>
      <c r="N1459">
        <f t="shared" si="181"/>
        <v>1456.0588775399035</v>
      </c>
      <c r="O1459" t="s">
        <v>8</v>
      </c>
    </row>
    <row r="1460" spans="1:15" x14ac:dyDescent="0.35">
      <c r="A1460">
        <v>2003</v>
      </c>
      <c r="B1460">
        <v>12</v>
      </c>
      <c r="C1460">
        <v>29</v>
      </c>
      <c r="D1460" s="1">
        <f t="shared" si="176"/>
        <v>37984</v>
      </c>
      <c r="E1460">
        <v>0</v>
      </c>
      <c r="F1460">
        <f t="shared" si="182"/>
        <v>0</v>
      </c>
      <c r="G1460">
        <f t="shared" si="177"/>
        <v>0</v>
      </c>
      <c r="H1460">
        <f t="shared" si="183"/>
        <v>0</v>
      </c>
      <c r="I1460">
        <v>1459</v>
      </c>
      <c r="J1460">
        <f t="shared" si="178"/>
        <v>-3.4398060613607763E-2</v>
      </c>
      <c r="K1460">
        <f t="shared" si="179"/>
        <v>0.99940821160625981</v>
      </c>
      <c r="L1460">
        <f>VLOOKUP(D1460,[1]SOI!$A$1:$C$142,3)</f>
        <v>-3.4</v>
      </c>
      <c r="M1460" s="2">
        <f t="shared" si="180"/>
        <v>-50.186770435253727</v>
      </c>
      <c r="N1460">
        <f t="shared" si="181"/>
        <v>1458.136580733533</v>
      </c>
      <c r="O1460" t="s">
        <v>8</v>
      </c>
    </row>
    <row r="1461" spans="1:15" x14ac:dyDescent="0.35">
      <c r="A1461">
        <v>2003</v>
      </c>
      <c r="B1461">
        <v>12</v>
      </c>
      <c r="C1461">
        <v>30</v>
      </c>
      <c r="D1461" s="1">
        <f t="shared" si="176"/>
        <v>37985</v>
      </c>
      <c r="E1461">
        <v>0</v>
      </c>
      <c r="F1461">
        <f t="shared" si="182"/>
        <v>0</v>
      </c>
      <c r="G1461">
        <f t="shared" si="177"/>
        <v>0</v>
      </c>
      <c r="H1461">
        <f t="shared" si="183"/>
        <v>0</v>
      </c>
      <c r="I1461">
        <v>1460</v>
      </c>
      <c r="J1461">
        <f t="shared" si="178"/>
        <v>-1.7201575418259094E-2</v>
      </c>
      <c r="K1461">
        <f t="shared" si="179"/>
        <v>0.9998520419557736</v>
      </c>
      <c r="L1461">
        <f>VLOOKUP(D1461,[1]SOI!$A$1:$C$142,3)</f>
        <v>-3.4</v>
      </c>
      <c r="M1461" s="2">
        <f t="shared" si="180"/>
        <v>-25.114300110658277</v>
      </c>
      <c r="N1461">
        <f t="shared" si="181"/>
        <v>1459.7839812554294</v>
      </c>
      <c r="O1461" t="s">
        <v>8</v>
      </c>
    </row>
    <row r="1462" spans="1:15" x14ac:dyDescent="0.35">
      <c r="A1462">
        <v>2003</v>
      </c>
      <c r="B1462">
        <v>12</v>
      </c>
      <c r="C1462">
        <v>31</v>
      </c>
      <c r="D1462" s="1">
        <f t="shared" si="176"/>
        <v>37986</v>
      </c>
      <c r="E1462">
        <v>0</v>
      </c>
      <c r="F1462">
        <f t="shared" si="182"/>
        <v>0</v>
      </c>
      <c r="G1462">
        <f t="shared" si="177"/>
        <v>0</v>
      </c>
      <c r="H1462">
        <f t="shared" si="183"/>
        <v>0</v>
      </c>
      <c r="I1462">
        <v>1461</v>
      </c>
      <c r="J1462">
        <f t="shared" si="178"/>
        <v>-9.8011876392689601E-16</v>
      </c>
      <c r="K1462">
        <f t="shared" si="179"/>
        <v>1</v>
      </c>
      <c r="L1462">
        <f>VLOOKUP(D1462,[1]SOI!$A$1:$C$142,3)</f>
        <v>-3.4</v>
      </c>
      <c r="M1462" s="2">
        <f t="shared" si="180"/>
        <v>-1.4319535140971951E-12</v>
      </c>
      <c r="N1462">
        <f t="shared" si="181"/>
        <v>1461</v>
      </c>
      <c r="O1462" t="s">
        <v>8</v>
      </c>
    </row>
    <row r="1463" spans="1:15" x14ac:dyDescent="0.35">
      <c r="A1463">
        <v>2004</v>
      </c>
      <c r="B1463">
        <v>1</v>
      </c>
      <c r="C1463">
        <v>1</v>
      </c>
      <c r="D1463" s="1">
        <f t="shared" si="176"/>
        <v>37987</v>
      </c>
      <c r="E1463">
        <v>0</v>
      </c>
      <c r="F1463">
        <f t="shared" si="182"/>
        <v>0</v>
      </c>
      <c r="G1463">
        <f t="shared" si="177"/>
        <v>0</v>
      </c>
      <c r="H1463">
        <f t="shared" si="183"/>
        <v>0</v>
      </c>
      <c r="I1463">
        <v>1462</v>
      </c>
      <c r="J1463">
        <f t="shared" si="178"/>
        <v>1.7201575418260687E-2</v>
      </c>
      <c r="K1463">
        <f t="shared" si="179"/>
        <v>0.99985204195577349</v>
      </c>
      <c r="L1463">
        <f>VLOOKUP(D1463,[1]SOI!$A$1:$C$142,3)</f>
        <v>9.8000000000000007</v>
      </c>
      <c r="M1463" s="2">
        <f t="shared" si="180"/>
        <v>25.148703261497126</v>
      </c>
      <c r="N1463">
        <f t="shared" si="181"/>
        <v>1461.7836853393408</v>
      </c>
      <c r="O1463" t="s">
        <v>8</v>
      </c>
    </row>
    <row r="1464" spans="1:15" x14ac:dyDescent="0.35">
      <c r="A1464">
        <v>2004</v>
      </c>
      <c r="B1464">
        <v>1</v>
      </c>
      <c r="C1464">
        <v>2</v>
      </c>
      <c r="D1464" s="1">
        <f t="shared" si="176"/>
        <v>37988</v>
      </c>
      <c r="E1464">
        <v>0</v>
      </c>
      <c r="F1464">
        <f t="shared" si="182"/>
        <v>0</v>
      </c>
      <c r="G1464">
        <f t="shared" si="177"/>
        <v>0</v>
      </c>
      <c r="H1464">
        <f t="shared" si="183"/>
        <v>0</v>
      </c>
      <c r="I1464">
        <v>1463</v>
      </c>
      <c r="J1464">
        <f t="shared" si="178"/>
        <v>3.4398060613609352E-2</v>
      </c>
      <c r="K1464">
        <f t="shared" si="179"/>
        <v>0.9994082116062597</v>
      </c>
      <c r="L1464">
        <f>VLOOKUP(D1464,[1]SOI!$A$1:$C$142,3)</f>
        <v>9.8000000000000007</v>
      </c>
      <c r="M1464" s="2">
        <f t="shared" si="180"/>
        <v>50.324362677710482</v>
      </c>
      <c r="N1464">
        <f t="shared" si="181"/>
        <v>1462.134213579958</v>
      </c>
      <c r="O1464" t="s">
        <v>8</v>
      </c>
    </row>
    <row r="1465" spans="1:15" x14ac:dyDescent="0.35">
      <c r="A1465">
        <v>2004</v>
      </c>
      <c r="B1465">
        <v>1</v>
      </c>
      <c r="C1465">
        <v>3</v>
      </c>
      <c r="D1465" s="1">
        <f t="shared" si="176"/>
        <v>37989</v>
      </c>
      <c r="E1465">
        <v>0</v>
      </c>
      <c r="F1465">
        <f t="shared" si="182"/>
        <v>0</v>
      </c>
      <c r="G1465">
        <f t="shared" si="177"/>
        <v>0</v>
      </c>
      <c r="H1465">
        <f t="shared" si="183"/>
        <v>0</v>
      </c>
      <c r="I1465">
        <v>1464</v>
      </c>
      <c r="J1465">
        <f t="shared" si="178"/>
        <v>5.1584366869407323E-2</v>
      </c>
      <c r="K1465">
        <f t="shared" si="179"/>
        <v>0.99866864028799984</v>
      </c>
      <c r="L1465">
        <f>VLOOKUP(D1465,[1]SOI!$A$1:$C$142,3)</f>
        <v>9.8000000000000007</v>
      </c>
      <c r="M1465" s="2">
        <f t="shared" si="180"/>
        <v>75.519513096812318</v>
      </c>
      <c r="N1465">
        <f t="shared" si="181"/>
        <v>1462.0508893816318</v>
      </c>
      <c r="O1465" t="s">
        <v>8</v>
      </c>
    </row>
    <row r="1466" spans="1:15" x14ac:dyDescent="0.35">
      <c r="A1466">
        <v>2004</v>
      </c>
      <c r="B1466">
        <v>1</v>
      </c>
      <c r="C1466">
        <v>4</v>
      </c>
      <c r="D1466" s="1">
        <f t="shared" si="176"/>
        <v>37990</v>
      </c>
      <c r="E1466">
        <v>0</v>
      </c>
      <c r="F1466">
        <f t="shared" si="182"/>
        <v>0</v>
      </c>
      <c r="G1466">
        <f t="shared" si="177"/>
        <v>0</v>
      </c>
      <c r="H1466">
        <f t="shared" si="183"/>
        <v>0</v>
      </c>
      <c r="I1466">
        <v>1465</v>
      </c>
      <c r="J1466">
        <f t="shared" si="178"/>
        <v>6.8755408481139521E-2</v>
      </c>
      <c r="K1466">
        <f t="shared" si="179"/>
        <v>0.99763354685204508</v>
      </c>
      <c r="L1466">
        <f>VLOOKUP(D1466,[1]SOI!$A$1:$C$142,3)</f>
        <v>9.8000000000000007</v>
      </c>
      <c r="M1466" s="2">
        <f t="shared" si="180"/>
        <v>100.7266734248694</v>
      </c>
      <c r="N1466">
        <f t="shared" si="181"/>
        <v>1461.5331461382461</v>
      </c>
      <c r="O1466" t="s">
        <v>8</v>
      </c>
    </row>
    <row r="1467" spans="1:15" x14ac:dyDescent="0.35">
      <c r="A1467">
        <v>2004</v>
      </c>
      <c r="B1467">
        <v>1</v>
      </c>
      <c r="C1467">
        <v>5</v>
      </c>
      <c r="D1467" s="1">
        <f t="shared" si="176"/>
        <v>37991</v>
      </c>
      <c r="E1467">
        <v>8.4</v>
      </c>
      <c r="F1467">
        <f t="shared" si="182"/>
        <v>0</v>
      </c>
      <c r="G1467">
        <f t="shared" si="177"/>
        <v>1</v>
      </c>
      <c r="H1467">
        <f t="shared" si="183"/>
        <v>0</v>
      </c>
      <c r="I1467">
        <v>1466</v>
      </c>
      <c r="J1467">
        <f t="shared" si="178"/>
        <v>8.5906104261330454E-2</v>
      </c>
      <c r="K1467">
        <f t="shared" si="179"/>
        <v>0.9963032375991967</v>
      </c>
      <c r="L1467">
        <f>VLOOKUP(D1467,[1]SOI!$A$1:$C$142,3)</f>
        <v>9.8000000000000007</v>
      </c>
      <c r="M1467" s="2">
        <f t="shared" si="180"/>
        <v>125.93834884711045</v>
      </c>
      <c r="N1467">
        <f t="shared" si="181"/>
        <v>1460.5805463204224</v>
      </c>
      <c r="O1467" t="s">
        <v>8</v>
      </c>
    </row>
    <row r="1468" spans="1:15" x14ac:dyDescent="0.35">
      <c r="A1468">
        <v>2004</v>
      </c>
      <c r="B1468">
        <v>1</v>
      </c>
      <c r="C1468">
        <v>6</v>
      </c>
      <c r="D1468" s="1">
        <f t="shared" si="176"/>
        <v>37992</v>
      </c>
      <c r="E1468">
        <v>0</v>
      </c>
      <c r="F1468">
        <f t="shared" si="182"/>
        <v>8.4</v>
      </c>
      <c r="G1468">
        <f t="shared" si="177"/>
        <v>0</v>
      </c>
      <c r="H1468">
        <f t="shared" si="183"/>
        <v>1</v>
      </c>
      <c r="I1468">
        <v>1467</v>
      </c>
      <c r="J1468">
        <f t="shared" si="178"/>
        <v>0.10303137904317769</v>
      </c>
      <c r="K1468">
        <f t="shared" si="179"/>
        <v>0.9946781061893647</v>
      </c>
      <c r="L1468">
        <f>VLOOKUP(D1468,[1]SOI!$A$1:$C$142,3)</f>
        <v>9.8000000000000007</v>
      </c>
      <c r="M1468" s="2">
        <f t="shared" si="180"/>
        <v>151.14703305634168</v>
      </c>
      <c r="N1468">
        <f t="shared" si="181"/>
        <v>1459.192781779798</v>
      </c>
      <c r="O1468" t="s">
        <v>8</v>
      </c>
    </row>
    <row r="1469" spans="1:15" x14ac:dyDescent="0.35">
      <c r="A1469">
        <v>2004</v>
      </c>
      <c r="B1469">
        <v>1</v>
      </c>
      <c r="C1469">
        <v>7</v>
      </c>
      <c r="D1469" s="1">
        <f t="shared" si="176"/>
        <v>37993</v>
      </c>
      <c r="E1469">
        <v>0</v>
      </c>
      <c r="F1469">
        <f t="shared" si="182"/>
        <v>0</v>
      </c>
      <c r="G1469">
        <f t="shared" si="177"/>
        <v>0</v>
      </c>
      <c r="H1469">
        <f t="shared" si="183"/>
        <v>0</v>
      </c>
      <c r="I1469">
        <v>1468</v>
      </c>
      <c r="J1469">
        <f t="shared" si="178"/>
        <v>0.12012616518235054</v>
      </c>
      <c r="K1469">
        <f t="shared" si="179"/>
        <v>0.99275863352507931</v>
      </c>
      <c r="L1469">
        <f>VLOOKUP(D1469,[1]SOI!$A$1:$C$142,3)</f>
        <v>9.8000000000000007</v>
      </c>
      <c r="M1469" s="2">
        <f t="shared" si="180"/>
        <v>176.34521048769059</v>
      </c>
      <c r="N1469">
        <f t="shared" si="181"/>
        <v>1457.3696740148164</v>
      </c>
      <c r="O1469" t="s">
        <v>8</v>
      </c>
    </row>
    <row r="1470" spans="1:15" x14ac:dyDescent="0.35">
      <c r="A1470">
        <v>2004</v>
      </c>
      <c r="B1470">
        <v>1</v>
      </c>
      <c r="C1470">
        <v>8</v>
      </c>
      <c r="D1470" s="1">
        <f t="shared" si="176"/>
        <v>37994</v>
      </c>
      <c r="E1470">
        <v>3.2</v>
      </c>
      <c r="F1470">
        <f t="shared" si="182"/>
        <v>0</v>
      </c>
      <c r="G1470">
        <f t="shared" si="177"/>
        <v>1</v>
      </c>
      <c r="H1470">
        <f t="shared" si="183"/>
        <v>0</v>
      </c>
      <c r="I1470">
        <v>1469</v>
      </c>
      <c r="J1470">
        <f t="shared" si="178"/>
        <v>0.13718540405659826</v>
      </c>
      <c r="K1470">
        <f t="shared" si="179"/>
        <v>0.99054538760918365</v>
      </c>
      <c r="L1470">
        <f>VLOOKUP(D1470,[1]SOI!$A$1:$C$142,3)</f>
        <v>9.8000000000000007</v>
      </c>
      <c r="M1470" s="2">
        <f t="shared" si="180"/>
        <v>201.52535855914286</v>
      </c>
      <c r="N1470">
        <f t="shared" si="181"/>
        <v>1455.1111743978909</v>
      </c>
      <c r="O1470" t="s">
        <v>8</v>
      </c>
    </row>
    <row r="1471" spans="1:15" x14ac:dyDescent="0.35">
      <c r="A1471">
        <v>2004</v>
      </c>
      <c r="B1471">
        <v>1</v>
      </c>
      <c r="C1471">
        <v>9</v>
      </c>
      <c r="D1471" s="1">
        <f t="shared" si="176"/>
        <v>37995</v>
      </c>
      <c r="E1471">
        <v>0.2</v>
      </c>
      <c r="F1471">
        <f t="shared" si="182"/>
        <v>3.2</v>
      </c>
      <c r="G1471">
        <f t="shared" si="177"/>
        <v>1</v>
      </c>
      <c r="H1471">
        <f t="shared" si="183"/>
        <v>1</v>
      </c>
      <c r="I1471">
        <v>1470</v>
      </c>
      <c r="J1471">
        <f t="shared" si="178"/>
        <v>0.15420404756268824</v>
      </c>
      <c r="K1471">
        <f t="shared" si="179"/>
        <v>0.98803902337675109</v>
      </c>
      <c r="L1471">
        <f>VLOOKUP(D1471,[1]SOI!$A$1:$C$142,3)</f>
        <v>9.8000000000000007</v>
      </c>
      <c r="M1471" s="2">
        <f t="shared" si="180"/>
        <v>226.6799499171517</v>
      </c>
      <c r="N1471">
        <f t="shared" si="181"/>
        <v>1452.4173643638242</v>
      </c>
      <c r="O1471" t="s">
        <v>8</v>
      </c>
    </row>
    <row r="1472" spans="1:15" x14ac:dyDescent="0.35">
      <c r="A1472">
        <v>2004</v>
      </c>
      <c r="B1472">
        <v>1</v>
      </c>
      <c r="C1472">
        <v>10</v>
      </c>
      <c r="D1472" s="1">
        <f t="shared" si="176"/>
        <v>37996</v>
      </c>
      <c r="E1472">
        <v>0</v>
      </c>
      <c r="F1472">
        <f t="shared" si="182"/>
        <v>0.2</v>
      </c>
      <c r="G1472">
        <f t="shared" si="177"/>
        <v>0</v>
      </c>
      <c r="H1472">
        <f t="shared" si="183"/>
        <v>1</v>
      </c>
      <c r="I1472">
        <v>1471</v>
      </c>
      <c r="J1472">
        <f t="shared" si="178"/>
        <v>0.17117705961019983</v>
      </c>
      <c r="K1472">
        <f t="shared" si="179"/>
        <v>0.98524028250128204</v>
      </c>
      <c r="L1472">
        <f>VLOOKUP(D1472,[1]SOI!$A$1:$C$142,3)</f>
        <v>9.8000000000000007</v>
      </c>
      <c r="M1472" s="2">
        <f t="shared" si="180"/>
        <v>251.80145468660393</v>
      </c>
      <c r="N1472">
        <f t="shared" si="181"/>
        <v>1449.288455559386</v>
      </c>
      <c r="O1472" t="s">
        <v>8</v>
      </c>
    </row>
    <row r="1473" spans="1:15" x14ac:dyDescent="0.35">
      <c r="A1473">
        <v>2004</v>
      </c>
      <c r="B1473">
        <v>1</v>
      </c>
      <c r="C1473">
        <v>11</v>
      </c>
      <c r="D1473" s="1">
        <f t="shared" si="176"/>
        <v>37997</v>
      </c>
      <c r="E1473">
        <v>0</v>
      </c>
      <c r="F1473">
        <f t="shared" si="182"/>
        <v>0</v>
      </c>
      <c r="G1473">
        <f t="shared" si="177"/>
        <v>0</v>
      </c>
      <c r="H1473">
        <f t="shared" si="183"/>
        <v>0</v>
      </c>
      <c r="I1473">
        <v>1472</v>
      </c>
      <c r="J1473">
        <f t="shared" si="178"/>
        <v>0.18809941761179522</v>
      </c>
      <c r="K1473">
        <f t="shared" si="179"/>
        <v>0.98214999317522955</v>
      </c>
      <c r="L1473">
        <f>VLOOKUP(D1473,[1]SOI!$A$1:$C$142,3)</f>
        <v>9.8000000000000007</v>
      </c>
      <c r="M1473" s="2">
        <f t="shared" si="180"/>
        <v>276.88234272456253</v>
      </c>
      <c r="N1473">
        <f t="shared" si="181"/>
        <v>1445.7247899539379</v>
      </c>
      <c r="O1473" t="s">
        <v>8</v>
      </c>
    </row>
    <row r="1474" spans="1:15" x14ac:dyDescent="0.35">
      <c r="A1474">
        <v>2004</v>
      </c>
      <c r="B1474">
        <v>1</v>
      </c>
      <c r="C1474">
        <v>12</v>
      </c>
      <c r="D1474" s="1">
        <f t="shared" si="176"/>
        <v>37998</v>
      </c>
      <c r="E1474">
        <v>0</v>
      </c>
      <c r="F1474">
        <f t="shared" si="182"/>
        <v>0</v>
      </c>
      <c r="G1474">
        <f t="shared" si="177"/>
        <v>0</v>
      </c>
      <c r="H1474">
        <f t="shared" si="183"/>
        <v>0</v>
      </c>
      <c r="I1474">
        <v>1473</v>
      </c>
      <c r="J1474">
        <f t="shared" si="178"/>
        <v>0.20496611396949413</v>
      </c>
      <c r="K1474">
        <f t="shared" si="179"/>
        <v>0.97876906986492185</v>
      </c>
      <c r="L1474">
        <f>VLOOKUP(D1474,[1]SOI!$A$1:$C$142,3)</f>
        <v>9.8000000000000007</v>
      </c>
      <c r="M1474" s="2">
        <f t="shared" si="180"/>
        <v>301.91508587706483</v>
      </c>
      <c r="N1474">
        <f t="shared" si="181"/>
        <v>1441.7268399110299</v>
      </c>
      <c r="O1474" t="s">
        <v>8</v>
      </c>
    </row>
    <row r="1475" spans="1:15" x14ac:dyDescent="0.35">
      <c r="A1475">
        <v>2004</v>
      </c>
      <c r="B1475">
        <v>1</v>
      </c>
      <c r="C1475">
        <v>13</v>
      </c>
      <c r="D1475" s="1">
        <f t="shared" ref="D1475:D1538" si="184">DATE(A1475,B1475,C1475)</f>
        <v>37999</v>
      </c>
      <c r="E1475">
        <v>0</v>
      </c>
      <c r="F1475">
        <f t="shared" si="182"/>
        <v>0</v>
      </c>
      <c r="G1475">
        <f t="shared" ref="G1475:G1538" si="185">IF(E1475=0,0,1)</f>
        <v>0</v>
      </c>
      <c r="H1475">
        <f t="shared" si="183"/>
        <v>0</v>
      </c>
      <c r="I1475">
        <v>1474</v>
      </c>
      <c r="J1475">
        <f t="shared" ref="J1475:J1538" si="186">SIN(2*PI()*I1475/365.25)</f>
        <v>0.22177215755648177</v>
      </c>
      <c r="K1475">
        <f t="shared" ref="K1475:K1538" si="187">COS(2*PI()*I1475/365.25)</f>
        <v>0.97509851303996098</v>
      </c>
      <c r="L1475">
        <f>VLOOKUP(D1475,[1]SOI!$A$1:$C$142,3)</f>
        <v>9.8000000000000007</v>
      </c>
      <c r="M1475" s="2">
        <f t="shared" ref="M1475:M1538" si="188">I1475*J1475</f>
        <v>326.89216023825412</v>
      </c>
      <c r="N1475">
        <f t="shared" ref="N1475:N1538" si="189">I1475*K1475</f>
        <v>1437.2952082209024</v>
      </c>
      <c r="O1475" t="s">
        <v>8</v>
      </c>
    </row>
    <row r="1476" spans="1:15" x14ac:dyDescent="0.35">
      <c r="A1476">
        <v>2004</v>
      </c>
      <c r="B1476">
        <v>1</v>
      </c>
      <c r="C1476">
        <v>14</v>
      </c>
      <c r="D1476" s="1">
        <f t="shared" si="184"/>
        <v>38000</v>
      </c>
      <c r="E1476">
        <v>0</v>
      </c>
      <c r="F1476">
        <f t="shared" ref="F1476:F1539" si="190">E1475</f>
        <v>0</v>
      </c>
      <c r="G1476">
        <f t="shared" si="185"/>
        <v>0</v>
      </c>
      <c r="H1476">
        <f t="shared" ref="H1476:H1539" si="191">G1475</f>
        <v>0</v>
      </c>
      <c r="I1476">
        <v>1475</v>
      </c>
      <c r="J1476">
        <f t="shared" si="186"/>
        <v>0.23851257519407407</v>
      </c>
      <c r="K1476">
        <f t="shared" si="187"/>
        <v>0.97113940887716588</v>
      </c>
      <c r="L1476">
        <f>VLOOKUP(D1476,[1]SOI!$A$1:$C$142,3)</f>
        <v>9.8000000000000007</v>
      </c>
      <c r="M1476" s="2">
        <f t="shared" si="188"/>
        <v>351.80604841125927</v>
      </c>
      <c r="N1476">
        <f t="shared" si="189"/>
        <v>1432.4306280938197</v>
      </c>
      <c r="O1476" t="s">
        <v>8</v>
      </c>
    </row>
    <row r="1477" spans="1:15" x14ac:dyDescent="0.35">
      <c r="A1477">
        <v>2004</v>
      </c>
      <c r="B1477">
        <v>1</v>
      </c>
      <c r="C1477">
        <v>15</v>
      </c>
      <c r="D1477" s="1">
        <f t="shared" si="184"/>
        <v>38001</v>
      </c>
      <c r="E1477">
        <v>0</v>
      </c>
      <c r="F1477">
        <f t="shared" si="190"/>
        <v>0</v>
      </c>
      <c r="G1477">
        <f t="shared" si="185"/>
        <v>0</v>
      </c>
      <c r="H1477">
        <f t="shared" si="191"/>
        <v>0</v>
      </c>
      <c r="I1477">
        <v>1476</v>
      </c>
      <c r="J1477">
        <f t="shared" si="186"/>
        <v>0.25518241312337153</v>
      </c>
      <c r="K1477">
        <f t="shared" si="187"/>
        <v>0.96689292893915246</v>
      </c>
      <c r="L1477">
        <f>VLOOKUP(D1477,[1]SOI!$A$1:$C$142,3)</f>
        <v>9.8000000000000007</v>
      </c>
      <c r="M1477" s="2">
        <f t="shared" si="188"/>
        <v>376.64924177009641</v>
      </c>
      <c r="N1477">
        <f t="shared" si="189"/>
        <v>1427.1339631141891</v>
      </c>
      <c r="O1477" t="s">
        <v>8</v>
      </c>
    </row>
    <row r="1478" spans="1:15" x14ac:dyDescent="0.35">
      <c r="A1478">
        <v>2004</v>
      </c>
      <c r="B1478">
        <v>1</v>
      </c>
      <c r="C1478">
        <v>16</v>
      </c>
      <c r="D1478" s="1">
        <f t="shared" si="184"/>
        <v>38002</v>
      </c>
      <c r="E1478">
        <v>0</v>
      </c>
      <c r="F1478">
        <f t="shared" si="190"/>
        <v>0</v>
      </c>
      <c r="G1478">
        <f t="shared" si="185"/>
        <v>0</v>
      </c>
      <c r="H1478">
        <f t="shared" si="191"/>
        <v>0</v>
      </c>
      <c r="I1478">
        <v>1477</v>
      </c>
      <c r="J1478">
        <f t="shared" si="186"/>
        <v>0.27177673847113215</v>
      </c>
      <c r="K1478">
        <f t="shared" si="187"/>
        <v>0.96236032982765551</v>
      </c>
      <c r="L1478">
        <f>VLOOKUP(D1478,[1]SOI!$A$1:$C$142,3)</f>
        <v>9.8000000000000007</v>
      </c>
      <c r="M1478" s="2">
        <f t="shared" si="188"/>
        <v>401.41424272186219</v>
      </c>
      <c r="N1478">
        <f t="shared" si="189"/>
        <v>1421.4062071554472</v>
      </c>
      <c r="O1478" t="s">
        <v>8</v>
      </c>
    </row>
    <row r="1479" spans="1:15" x14ac:dyDescent="0.35">
      <c r="A1479">
        <v>2004</v>
      </c>
      <c r="B1479">
        <v>1</v>
      </c>
      <c r="C1479">
        <v>17</v>
      </c>
      <c r="D1479" s="1">
        <f t="shared" si="184"/>
        <v>38003</v>
      </c>
      <c r="E1479">
        <v>1.2</v>
      </c>
      <c r="F1479">
        <f t="shared" si="190"/>
        <v>0</v>
      </c>
      <c r="G1479">
        <f t="shared" si="185"/>
        <v>1</v>
      </c>
      <c r="H1479">
        <f t="shared" si="191"/>
        <v>0</v>
      </c>
      <c r="I1479">
        <v>1478</v>
      </c>
      <c r="J1479">
        <f t="shared" si="186"/>
        <v>0.28829064070951527</v>
      </c>
      <c r="K1479">
        <f t="shared" si="187"/>
        <v>0.95754295281167268</v>
      </c>
      <c r="L1479">
        <f>VLOOKUP(D1479,[1]SOI!$A$1:$C$142,3)</f>
        <v>9.8000000000000007</v>
      </c>
      <c r="M1479" s="2">
        <f t="shared" si="188"/>
        <v>426.09356696866354</v>
      </c>
      <c r="N1479">
        <f t="shared" si="189"/>
        <v>1415.2484842556523</v>
      </c>
      <c r="O1479" t="s">
        <v>8</v>
      </c>
    </row>
    <row r="1480" spans="1:15" x14ac:dyDescent="0.35">
      <c r="A1480">
        <v>2004</v>
      </c>
      <c r="B1480">
        <v>1</v>
      </c>
      <c r="C1480">
        <v>18</v>
      </c>
      <c r="D1480" s="1">
        <f t="shared" si="184"/>
        <v>38004</v>
      </c>
      <c r="E1480">
        <v>0</v>
      </c>
      <c r="F1480">
        <f t="shared" si="190"/>
        <v>1.2</v>
      </c>
      <c r="G1480">
        <f t="shared" si="185"/>
        <v>0</v>
      </c>
      <c r="H1480">
        <f t="shared" si="191"/>
        <v>1</v>
      </c>
      <c r="I1480">
        <v>1479</v>
      </c>
      <c r="J1480">
        <f t="shared" si="186"/>
        <v>0.30471923310916543</v>
      </c>
      <c r="K1480">
        <f t="shared" si="187"/>
        <v>0.95244222343056695</v>
      </c>
      <c r="L1480">
        <f>VLOOKUP(D1480,[1]SOI!$A$1:$C$142,3)</f>
        <v>9.8000000000000007</v>
      </c>
      <c r="M1480" s="2">
        <f t="shared" si="188"/>
        <v>450.67974576845569</v>
      </c>
      <c r="N1480">
        <f t="shared" si="189"/>
        <v>1408.6620484538084</v>
      </c>
      <c r="O1480" t="s">
        <v>8</v>
      </c>
    </row>
    <row r="1481" spans="1:15" x14ac:dyDescent="0.35">
      <c r="A1481">
        <v>2004</v>
      </c>
      <c r="B1481">
        <v>1</v>
      </c>
      <c r="C1481">
        <v>19</v>
      </c>
      <c r="D1481" s="1">
        <f t="shared" si="184"/>
        <v>38005</v>
      </c>
      <c r="E1481">
        <v>0</v>
      </c>
      <c r="F1481">
        <f t="shared" si="190"/>
        <v>0</v>
      </c>
      <c r="G1481">
        <f t="shared" si="185"/>
        <v>0</v>
      </c>
      <c r="H1481">
        <f t="shared" si="191"/>
        <v>0</v>
      </c>
      <c r="I1481">
        <v>1480</v>
      </c>
      <c r="J1481">
        <f t="shared" si="186"/>
        <v>0.32105765418526744</v>
      </c>
      <c r="K1481">
        <f t="shared" si="187"/>
        <v>0.94705965107222956</v>
      </c>
      <c r="L1481">
        <f>VLOOKUP(D1481,[1]SOI!$A$1:$C$142,3)</f>
        <v>9.8000000000000007</v>
      </c>
      <c r="M1481" s="2">
        <f t="shared" si="188"/>
        <v>475.16532819419581</v>
      </c>
      <c r="N1481">
        <f t="shared" si="189"/>
        <v>1401.6482835868997</v>
      </c>
      <c r="O1481" t="s">
        <v>8</v>
      </c>
    </row>
    <row r="1482" spans="1:15" x14ac:dyDescent="0.35">
      <c r="A1482">
        <v>2004</v>
      </c>
      <c r="B1482">
        <v>1</v>
      </c>
      <c r="C1482">
        <v>20</v>
      </c>
      <c r="D1482" s="1">
        <f t="shared" si="184"/>
        <v>38006</v>
      </c>
      <c r="E1482">
        <v>0</v>
      </c>
      <c r="F1482">
        <f t="shared" si="190"/>
        <v>0</v>
      </c>
      <c r="G1482">
        <f t="shared" si="185"/>
        <v>0</v>
      </c>
      <c r="H1482">
        <f t="shared" si="191"/>
        <v>0</v>
      </c>
      <c r="I1482">
        <v>1481</v>
      </c>
      <c r="J1482">
        <f t="shared" si="186"/>
        <v>0.33730106913618174</v>
      </c>
      <c r="K1482">
        <f t="shared" si="187"/>
        <v>0.94139682852641304</v>
      </c>
      <c r="L1482">
        <f>VLOOKUP(D1482,[1]SOI!$A$1:$C$142,3)</f>
        <v>9.8000000000000007</v>
      </c>
      <c r="M1482" s="2">
        <f t="shared" si="188"/>
        <v>499.54288339068518</v>
      </c>
      <c r="N1482">
        <f t="shared" si="189"/>
        <v>1394.2087030476177</v>
      </c>
      <c r="O1482" t="s">
        <v>8</v>
      </c>
    </row>
    <row r="1483" spans="1:15" x14ac:dyDescent="0.35">
      <c r="A1483">
        <v>2004</v>
      </c>
      <c r="B1483">
        <v>1</v>
      </c>
      <c r="C1483">
        <v>21</v>
      </c>
      <c r="D1483" s="1">
        <f t="shared" si="184"/>
        <v>38007</v>
      </c>
      <c r="E1483">
        <v>0</v>
      </c>
      <c r="F1483">
        <f t="shared" si="190"/>
        <v>0</v>
      </c>
      <c r="G1483">
        <f t="shared" si="185"/>
        <v>0</v>
      </c>
      <c r="H1483">
        <f t="shared" si="191"/>
        <v>0</v>
      </c>
      <c r="I1483">
        <v>1482</v>
      </c>
      <c r="J1483">
        <f t="shared" si="186"/>
        <v>0.35344467127408963</v>
      </c>
      <c r="K1483">
        <f t="shared" si="187"/>
        <v>0.9354554315134157</v>
      </c>
      <c r="L1483">
        <f>VLOOKUP(D1483,[1]SOI!$A$1:$C$142,3)</f>
        <v>9.8000000000000007</v>
      </c>
      <c r="M1483" s="2">
        <f t="shared" si="188"/>
        <v>523.80500282820083</v>
      </c>
      <c r="N1483">
        <f t="shared" si="189"/>
        <v>1386.3449495028822</v>
      </c>
      <c r="O1483" t="s">
        <v>8</v>
      </c>
    </row>
    <row r="1484" spans="1:15" x14ac:dyDescent="0.35">
      <c r="A1484">
        <v>2004</v>
      </c>
      <c r="B1484">
        <v>1</v>
      </c>
      <c r="C1484">
        <v>22</v>
      </c>
      <c r="D1484" s="1">
        <f t="shared" si="184"/>
        <v>38008</v>
      </c>
      <c r="E1484">
        <v>0</v>
      </c>
      <c r="F1484">
        <f t="shared" si="190"/>
        <v>0</v>
      </c>
      <c r="G1484">
        <f t="shared" si="185"/>
        <v>0</v>
      </c>
      <c r="H1484">
        <f t="shared" si="191"/>
        <v>0</v>
      </c>
      <c r="I1484">
        <v>1483</v>
      </c>
      <c r="J1484">
        <f t="shared" si="186"/>
        <v>0.36948368344737959</v>
      </c>
      <c r="K1484">
        <f t="shared" si="187"/>
        <v>0.92923721818820659</v>
      </c>
      <c r="L1484">
        <f>VLOOKUP(D1484,[1]SOI!$A$1:$C$142,3)</f>
        <v>9.8000000000000007</v>
      </c>
      <c r="M1484" s="2">
        <f t="shared" si="188"/>
        <v>547.94430255246391</v>
      </c>
      <c r="N1484">
        <f t="shared" si="189"/>
        <v>1378.0587945731104</v>
      </c>
      <c r="O1484" t="s">
        <v>8</v>
      </c>
    </row>
    <row r="1485" spans="1:15" x14ac:dyDescent="0.35">
      <c r="A1485">
        <v>2004</v>
      </c>
      <c r="B1485">
        <v>1</v>
      </c>
      <c r="C1485">
        <v>23</v>
      </c>
      <c r="D1485" s="1">
        <f t="shared" si="184"/>
        <v>38009</v>
      </c>
      <c r="E1485">
        <v>0</v>
      </c>
      <c r="F1485">
        <f t="shared" si="190"/>
        <v>0</v>
      </c>
      <c r="G1485">
        <f t="shared" si="185"/>
        <v>0</v>
      </c>
      <c r="H1485">
        <f t="shared" si="191"/>
        <v>0</v>
      </c>
      <c r="I1485">
        <v>1484</v>
      </c>
      <c r="J1485">
        <f t="shared" si="186"/>
        <v>0.38541335945432648</v>
      </c>
      <c r="K1485">
        <f t="shared" si="187"/>
        <v>0.92274402862014238</v>
      </c>
      <c r="L1485">
        <f>VLOOKUP(D1485,[1]SOI!$A$1:$C$142,3)</f>
        <v>9.8000000000000007</v>
      </c>
      <c r="M1485" s="2">
        <f t="shared" si="188"/>
        <v>571.95342543022048</v>
      </c>
      <c r="N1485">
        <f t="shared" si="189"/>
        <v>1369.3521384722912</v>
      </c>
      <c r="O1485" t="s">
        <v>8</v>
      </c>
    </row>
    <row r="1486" spans="1:15" x14ac:dyDescent="0.35">
      <c r="A1486">
        <v>2004</v>
      </c>
      <c r="B1486">
        <v>1</v>
      </c>
      <c r="C1486">
        <v>24</v>
      </c>
      <c r="D1486" s="1">
        <f t="shared" si="184"/>
        <v>38010</v>
      </c>
      <c r="E1486">
        <v>0</v>
      </c>
      <c r="F1486">
        <f t="shared" si="190"/>
        <v>0</v>
      </c>
      <c r="G1486">
        <f t="shared" si="185"/>
        <v>0</v>
      </c>
      <c r="H1486">
        <f t="shared" si="191"/>
        <v>0</v>
      </c>
      <c r="I1486">
        <v>1485</v>
      </c>
      <c r="J1486">
        <f t="shared" si="186"/>
        <v>0.4012289854475028</v>
      </c>
      <c r="K1486">
        <f t="shared" si="187"/>
        <v>0.91597778424848686</v>
      </c>
      <c r="L1486">
        <f>VLOOKUP(D1486,[1]SOI!$A$1:$C$142,3)</f>
        <v>9.8000000000000007</v>
      </c>
      <c r="M1486" s="2">
        <f t="shared" si="188"/>
        <v>595.82504338954163</v>
      </c>
      <c r="N1486">
        <f t="shared" si="189"/>
        <v>1360.2270096090031</v>
      </c>
      <c r="O1486" t="s">
        <v>8</v>
      </c>
    </row>
    <row r="1487" spans="1:15" x14ac:dyDescent="0.35">
      <c r="A1487">
        <v>2004</v>
      </c>
      <c r="B1487">
        <v>1</v>
      </c>
      <c r="C1487">
        <v>25</v>
      </c>
      <c r="D1487" s="1">
        <f t="shared" si="184"/>
        <v>38011</v>
      </c>
      <c r="E1487">
        <v>0</v>
      </c>
      <c r="F1487">
        <f t="shared" si="190"/>
        <v>0</v>
      </c>
      <c r="G1487">
        <f t="shared" si="185"/>
        <v>0</v>
      </c>
      <c r="H1487">
        <f t="shared" si="191"/>
        <v>0</v>
      </c>
      <c r="I1487">
        <v>1486</v>
      </c>
      <c r="J1487">
        <f t="shared" si="186"/>
        <v>0.41692588132872838</v>
      </c>
      <c r="K1487">
        <f t="shared" si="187"/>
        <v>0.90894048731380817</v>
      </c>
      <c r="L1487">
        <f>VLOOKUP(D1487,[1]SOI!$A$1:$C$142,3)</f>
        <v>9.8000000000000007</v>
      </c>
      <c r="M1487" s="2">
        <f t="shared" si="188"/>
        <v>619.55185965449039</v>
      </c>
      <c r="N1487">
        <f t="shared" si="189"/>
        <v>1350.6855641483189</v>
      </c>
      <c r="O1487" t="s">
        <v>8</v>
      </c>
    </row>
    <row r="1488" spans="1:15" x14ac:dyDescent="0.35">
      <c r="A1488">
        <v>2004</v>
      </c>
      <c r="B1488">
        <v>1</v>
      </c>
      <c r="C1488">
        <v>26</v>
      </c>
      <c r="D1488" s="1">
        <f t="shared" si="184"/>
        <v>38012</v>
      </c>
      <c r="E1488">
        <v>0</v>
      </c>
      <c r="F1488">
        <f t="shared" si="190"/>
        <v>0</v>
      </c>
      <c r="G1488">
        <f t="shared" si="185"/>
        <v>0</v>
      </c>
      <c r="H1488">
        <f t="shared" si="191"/>
        <v>0</v>
      </c>
      <c r="I1488">
        <v>1487</v>
      </c>
      <c r="J1488">
        <f t="shared" si="186"/>
        <v>0.43249940213397953</v>
      </c>
      <c r="K1488">
        <f t="shared" si="187"/>
        <v>0.90163422026548568</v>
      </c>
      <c r="L1488">
        <f>VLOOKUP(D1488,[1]SOI!$A$1:$C$142,3)</f>
        <v>9.8000000000000007</v>
      </c>
      <c r="M1488" s="2">
        <f t="shared" si="188"/>
        <v>643.12661097322757</v>
      </c>
      <c r="N1488">
        <f t="shared" si="189"/>
        <v>1340.7300855347771</v>
      </c>
      <c r="O1488" t="s">
        <v>8</v>
      </c>
    </row>
    <row r="1489" spans="1:15" x14ac:dyDescent="0.35">
      <c r="A1489">
        <v>2004</v>
      </c>
      <c r="B1489">
        <v>1</v>
      </c>
      <c r="C1489">
        <v>27</v>
      </c>
      <c r="D1489" s="1">
        <f t="shared" si="184"/>
        <v>38013</v>
      </c>
      <c r="E1489">
        <v>0</v>
      </c>
      <c r="F1489">
        <f t="shared" si="190"/>
        <v>0</v>
      </c>
      <c r="G1489">
        <f t="shared" si="185"/>
        <v>0</v>
      </c>
      <c r="H1489">
        <f t="shared" si="191"/>
        <v>0</v>
      </c>
      <c r="I1489">
        <v>1488</v>
      </c>
      <c r="J1489">
        <f t="shared" si="186"/>
        <v>0.44794493940788976</v>
      </c>
      <c r="K1489">
        <f t="shared" si="187"/>
        <v>0.89406114514548829</v>
      </c>
      <c r="L1489">
        <f>VLOOKUP(D1489,[1]SOI!$A$1:$C$142,3)</f>
        <v>9.8000000000000007</v>
      </c>
      <c r="M1489" s="2">
        <f t="shared" si="188"/>
        <v>666.54206983893994</v>
      </c>
      <c r="N1489">
        <f t="shared" si="189"/>
        <v>1330.3629839764865</v>
      </c>
      <c r="O1489" t="s">
        <v>8</v>
      </c>
    </row>
    <row r="1490" spans="1:15" x14ac:dyDescent="0.35">
      <c r="A1490">
        <v>2004</v>
      </c>
      <c r="B1490">
        <v>1</v>
      </c>
      <c r="C1490">
        <v>28</v>
      </c>
      <c r="D1490" s="1">
        <f t="shared" si="184"/>
        <v>38014</v>
      </c>
      <c r="E1490">
        <v>0</v>
      </c>
      <c r="F1490">
        <f t="shared" si="190"/>
        <v>0</v>
      </c>
      <c r="G1490">
        <f t="shared" si="185"/>
        <v>0</v>
      </c>
      <c r="H1490">
        <f t="shared" si="191"/>
        <v>0</v>
      </c>
      <c r="I1490">
        <v>1489</v>
      </c>
      <c r="J1490">
        <f t="shared" si="186"/>
        <v>0.46325792256749132</v>
      </c>
      <c r="K1490">
        <f t="shared" si="187"/>
        <v>0.88622350294858021</v>
      </c>
      <c r="L1490">
        <f>VLOOKUP(D1490,[1]SOI!$A$1:$C$142,3)</f>
        <v>9.8000000000000007</v>
      </c>
      <c r="M1490" s="2">
        <f t="shared" si="188"/>
        <v>689.79104670299455</v>
      </c>
      <c r="N1490">
        <f t="shared" si="189"/>
        <v>1319.586795890436</v>
      </c>
      <c r="O1490" t="s">
        <v>8</v>
      </c>
    </row>
    <row r="1491" spans="1:15" x14ac:dyDescent="0.35">
      <c r="A1491">
        <v>2004</v>
      </c>
      <c r="B1491">
        <v>1</v>
      </c>
      <c r="C1491">
        <v>29</v>
      </c>
      <c r="D1491" s="1">
        <f t="shared" si="184"/>
        <v>38015</v>
      </c>
      <c r="E1491">
        <v>2.6</v>
      </c>
      <c r="F1491">
        <f t="shared" si="190"/>
        <v>0</v>
      </c>
      <c r="G1491">
        <f t="shared" si="185"/>
        <v>1</v>
      </c>
      <c r="H1491">
        <f t="shared" si="191"/>
        <v>0</v>
      </c>
      <c r="I1491">
        <v>1490</v>
      </c>
      <c r="J1491">
        <f t="shared" si="186"/>
        <v>0.47843382025470188</v>
      </c>
      <c r="K1491">
        <f t="shared" si="187"/>
        <v>0.87812361295918451</v>
      </c>
      <c r="L1491">
        <f>VLOOKUP(D1491,[1]SOI!$A$1:$C$142,3)</f>
        <v>9.8000000000000007</v>
      </c>
      <c r="M1491" s="2">
        <f t="shared" si="188"/>
        <v>712.86639217950585</v>
      </c>
      <c r="N1491">
        <f t="shared" si="189"/>
        <v>1308.4041833091849</v>
      </c>
      <c r="O1491" t="s">
        <v>8</v>
      </c>
    </row>
    <row r="1492" spans="1:15" x14ac:dyDescent="0.35">
      <c r="A1492">
        <v>2004</v>
      </c>
      <c r="B1492">
        <v>1</v>
      </c>
      <c r="C1492">
        <v>30</v>
      </c>
      <c r="D1492" s="1">
        <f t="shared" si="184"/>
        <v>38016</v>
      </c>
      <c r="E1492">
        <v>45.4</v>
      </c>
      <c r="F1492">
        <f t="shared" si="190"/>
        <v>2.6</v>
      </c>
      <c r="G1492">
        <f t="shared" si="185"/>
        <v>1</v>
      </c>
      <c r="H1492">
        <f t="shared" si="191"/>
        <v>1</v>
      </c>
      <c r="I1492">
        <v>1491</v>
      </c>
      <c r="J1492">
        <f t="shared" si="186"/>
        <v>0.49346814167723591</v>
      </c>
      <c r="K1492">
        <f t="shared" si="187"/>
        <v>0.86976387206506534</v>
      </c>
      <c r="L1492">
        <f>VLOOKUP(D1492,[1]SOI!$A$1:$C$142,3)</f>
        <v>9.8000000000000007</v>
      </c>
      <c r="M1492" s="2">
        <f t="shared" si="188"/>
        <v>735.76099924075868</v>
      </c>
      <c r="N1492">
        <f t="shared" si="189"/>
        <v>1296.8179332490124</v>
      </c>
      <c r="O1492" t="s">
        <v>8</v>
      </c>
    </row>
    <row r="1493" spans="1:15" x14ac:dyDescent="0.35">
      <c r="A1493">
        <v>2004</v>
      </c>
      <c r="B1493">
        <v>1</v>
      </c>
      <c r="C1493">
        <v>31</v>
      </c>
      <c r="D1493" s="1">
        <f t="shared" si="184"/>
        <v>38017</v>
      </c>
      <c r="E1493">
        <v>2.2000000000000002</v>
      </c>
      <c r="F1493">
        <f t="shared" si="190"/>
        <v>45.4</v>
      </c>
      <c r="G1493">
        <f t="shared" si="185"/>
        <v>1</v>
      </c>
      <c r="H1493">
        <f t="shared" si="191"/>
        <v>1</v>
      </c>
      <c r="I1493">
        <v>1492</v>
      </c>
      <c r="J1493">
        <f t="shared" si="186"/>
        <v>0.50835643793751173</v>
      </c>
      <c r="K1493">
        <f t="shared" si="187"/>
        <v>0.86114675404804542</v>
      </c>
      <c r="L1493">
        <f>VLOOKUP(D1493,[1]SOI!$A$1:$C$142,3)</f>
        <v>9.8000000000000007</v>
      </c>
      <c r="M1493" s="2">
        <f t="shared" si="188"/>
        <v>758.46780540276745</v>
      </c>
      <c r="N1493">
        <f t="shared" si="189"/>
        <v>1284.8309570396837</v>
      </c>
      <c r="O1493" t="s">
        <v>8</v>
      </c>
    </row>
    <row r="1494" spans="1:15" x14ac:dyDescent="0.35">
      <c r="A1494">
        <v>2004</v>
      </c>
      <c r="B1494">
        <v>2</v>
      </c>
      <c r="C1494">
        <v>1</v>
      </c>
      <c r="D1494" s="1">
        <f t="shared" si="184"/>
        <v>38018</v>
      </c>
      <c r="E1494">
        <v>0.2</v>
      </c>
      <c r="F1494">
        <f t="shared" si="190"/>
        <v>2.2000000000000002</v>
      </c>
      <c r="G1494">
        <f t="shared" si="185"/>
        <v>1</v>
      </c>
      <c r="H1494">
        <f t="shared" si="191"/>
        <v>1</v>
      </c>
      <c r="I1494">
        <v>1493</v>
      </c>
      <c r="J1494">
        <f t="shared" si="186"/>
        <v>0.52309430334913332</v>
      </c>
      <c r="K1494">
        <f t="shared" si="187"/>
        <v>0.85227480885198348</v>
      </c>
      <c r="L1494">
        <f>VLOOKUP(D1494,[1]SOI!$A$1:$C$142,3)</f>
        <v>-11.6</v>
      </c>
      <c r="M1494" s="2">
        <f t="shared" si="188"/>
        <v>780.97979490025602</v>
      </c>
      <c r="N1494">
        <f t="shared" si="189"/>
        <v>1272.4462896160114</v>
      </c>
      <c r="O1494" t="s">
        <v>8</v>
      </c>
    </row>
    <row r="1495" spans="1:15" x14ac:dyDescent="0.35">
      <c r="A1495">
        <v>2004</v>
      </c>
      <c r="B1495">
        <v>2</v>
      </c>
      <c r="C1495">
        <v>2</v>
      </c>
      <c r="D1495" s="1">
        <f t="shared" si="184"/>
        <v>38019</v>
      </c>
      <c r="E1495">
        <v>1.2</v>
      </c>
      <c r="F1495">
        <f t="shared" si="190"/>
        <v>0.2</v>
      </c>
      <c r="G1495">
        <f t="shared" si="185"/>
        <v>1</v>
      </c>
      <c r="H1495">
        <f t="shared" si="191"/>
        <v>1</v>
      </c>
      <c r="I1495">
        <v>1494</v>
      </c>
      <c r="J1495">
        <f t="shared" si="186"/>
        <v>0.53767737674061267</v>
      </c>
      <c r="K1495">
        <f t="shared" si="187"/>
        <v>0.84315066182820098</v>
      </c>
      <c r="L1495">
        <f>VLOOKUP(D1495,[1]SOI!$A$1:$C$142,3)</f>
        <v>-11.6</v>
      </c>
      <c r="M1495" s="2">
        <f t="shared" si="188"/>
        <v>803.29000085047528</v>
      </c>
      <c r="N1495">
        <f t="shared" si="189"/>
        <v>1259.6670887713321</v>
      </c>
      <c r="O1495" t="s">
        <v>8</v>
      </c>
    </row>
    <row r="1496" spans="1:15" x14ac:dyDescent="0.35">
      <c r="A1496">
        <v>2004</v>
      </c>
      <c r="B1496">
        <v>2</v>
      </c>
      <c r="C1496">
        <v>3</v>
      </c>
      <c r="D1496" s="1">
        <f t="shared" si="184"/>
        <v>38020</v>
      </c>
      <c r="E1496">
        <v>0</v>
      </c>
      <c r="F1496">
        <f t="shared" si="190"/>
        <v>1.2</v>
      </c>
      <c r="G1496">
        <f t="shared" si="185"/>
        <v>0</v>
      </c>
      <c r="H1496">
        <f t="shared" si="191"/>
        <v>1</v>
      </c>
      <c r="I1496">
        <v>1495</v>
      </c>
      <c r="J1496">
        <f t="shared" si="186"/>
        <v>0.55210134274592038</v>
      </c>
      <c r="K1496">
        <f t="shared" si="187"/>
        <v>0.83377701295859186</v>
      </c>
      <c r="L1496">
        <f>VLOOKUP(D1496,[1]SOI!$A$1:$C$142,3)</f>
        <v>-11.6</v>
      </c>
      <c r="M1496" s="2">
        <f t="shared" si="188"/>
        <v>825.39150740515095</v>
      </c>
      <c r="N1496">
        <f t="shared" si="189"/>
        <v>1246.4966343730948</v>
      </c>
      <c r="O1496" t="s">
        <v>8</v>
      </c>
    </row>
    <row r="1497" spans="1:15" x14ac:dyDescent="0.35">
      <c r="A1497">
        <v>2004</v>
      </c>
      <c r="B1497">
        <v>2</v>
      </c>
      <c r="C1497">
        <v>4</v>
      </c>
      <c r="D1497" s="1">
        <f t="shared" si="184"/>
        <v>38021</v>
      </c>
      <c r="E1497">
        <v>0</v>
      </c>
      <c r="F1497">
        <f t="shared" si="190"/>
        <v>0</v>
      </c>
      <c r="G1497">
        <f t="shared" si="185"/>
        <v>0</v>
      </c>
      <c r="H1497">
        <f t="shared" si="191"/>
        <v>0</v>
      </c>
      <c r="I1497">
        <v>1496</v>
      </c>
      <c r="J1497">
        <f t="shared" si="186"/>
        <v>0.566361933081453</v>
      </c>
      <c r="K1497">
        <f t="shared" si="187"/>
        <v>0.824156636056666</v>
      </c>
      <c r="L1497">
        <f>VLOOKUP(D1497,[1]SOI!$A$1:$C$142,3)</f>
        <v>-11.6</v>
      </c>
      <c r="M1497" s="2">
        <f t="shared" si="188"/>
        <v>847.27745188985364</v>
      </c>
      <c r="N1497">
        <f t="shared" si="189"/>
        <v>1232.9383275407724</v>
      </c>
      <c r="O1497" t="s">
        <v>8</v>
      </c>
    </row>
    <row r="1498" spans="1:15" x14ac:dyDescent="0.35">
      <c r="A1498">
        <v>2004</v>
      </c>
      <c r="B1498">
        <v>2</v>
      </c>
      <c r="C1498">
        <v>5</v>
      </c>
      <c r="D1498" s="1">
        <f t="shared" si="184"/>
        <v>38022</v>
      </c>
      <c r="E1498">
        <v>0</v>
      </c>
      <c r="F1498">
        <f t="shared" si="190"/>
        <v>0</v>
      </c>
      <c r="G1498">
        <f t="shared" si="185"/>
        <v>0</v>
      </c>
      <c r="H1498">
        <f t="shared" si="191"/>
        <v>0</v>
      </c>
      <c r="I1498">
        <v>1497</v>
      </c>
      <c r="J1498">
        <f t="shared" si="186"/>
        <v>0.58045492780909658</v>
      </c>
      <c r="K1498">
        <f t="shared" si="187"/>
        <v>0.81429237794672771</v>
      </c>
      <c r="L1498">
        <f>VLOOKUP(D1498,[1]SOI!$A$1:$C$142,3)</f>
        <v>-11.6</v>
      </c>
      <c r="M1498" s="2">
        <f t="shared" si="188"/>
        <v>868.94102693021762</v>
      </c>
      <c r="N1498">
        <f t="shared" si="189"/>
        <v>1218.9956897862514</v>
      </c>
      <c r="O1498" t="s">
        <v>8</v>
      </c>
    </row>
    <row r="1499" spans="1:15" x14ac:dyDescent="0.35">
      <c r="A1499">
        <v>2004</v>
      </c>
      <c r="B1499">
        <v>2</v>
      </c>
      <c r="C1499">
        <v>6</v>
      </c>
      <c r="D1499" s="1">
        <f t="shared" si="184"/>
        <v>38023</v>
      </c>
      <c r="E1499">
        <v>0</v>
      </c>
      <c r="F1499">
        <f t="shared" si="190"/>
        <v>0</v>
      </c>
      <c r="G1499">
        <f t="shared" si="185"/>
        <v>0</v>
      </c>
      <c r="H1499">
        <f t="shared" si="191"/>
        <v>0</v>
      </c>
      <c r="I1499">
        <v>1498</v>
      </c>
      <c r="J1499">
        <f t="shared" si="186"/>
        <v>0.59437615658498255</v>
      </c>
      <c r="K1499">
        <f t="shared" si="187"/>
        <v>0.80418715762144843</v>
      </c>
      <c r="L1499">
        <f>VLOOKUP(D1499,[1]SOI!$A$1:$C$142,3)</f>
        <v>-11.6</v>
      </c>
      <c r="M1499" s="2">
        <f t="shared" si="188"/>
        <v>890.37548256430387</v>
      </c>
      <c r="N1499">
        <f t="shared" si="189"/>
        <v>1204.6723621169297</v>
      </c>
      <c r="O1499" t="s">
        <v>8</v>
      </c>
    </row>
    <row r="1500" spans="1:15" x14ac:dyDescent="0.35">
      <c r="A1500">
        <v>2004</v>
      </c>
      <c r="B1500">
        <v>2</v>
      </c>
      <c r="C1500">
        <v>7</v>
      </c>
      <c r="D1500" s="1">
        <f t="shared" si="184"/>
        <v>38024</v>
      </c>
      <c r="E1500">
        <v>0</v>
      </c>
      <c r="F1500">
        <f t="shared" si="190"/>
        <v>0</v>
      </c>
      <c r="G1500">
        <f t="shared" si="185"/>
        <v>0</v>
      </c>
      <c r="H1500">
        <f t="shared" si="191"/>
        <v>0</v>
      </c>
      <c r="I1500">
        <v>1499</v>
      </c>
      <c r="J1500">
        <f t="shared" si="186"/>
        <v>0.60812149989353936</v>
      </c>
      <c r="K1500">
        <f t="shared" si="187"/>
        <v>0.79384396537810376</v>
      </c>
      <c r="L1500">
        <f>VLOOKUP(D1500,[1]SOI!$A$1:$C$142,3)</f>
        <v>-11.6</v>
      </c>
      <c r="M1500" s="2">
        <f t="shared" si="188"/>
        <v>911.57412834041554</v>
      </c>
      <c r="N1500">
        <f t="shared" si="189"/>
        <v>1189.9721041017776</v>
      </c>
      <c r="O1500" t="s">
        <v>8</v>
      </c>
    </row>
    <row r="1501" spans="1:15" x14ac:dyDescent="0.35">
      <c r="A1501">
        <v>2004</v>
      </c>
      <c r="B1501">
        <v>2</v>
      </c>
      <c r="C1501">
        <v>8</v>
      </c>
      <c r="D1501" s="1">
        <f t="shared" si="184"/>
        <v>38025</v>
      </c>
      <c r="E1501">
        <v>0</v>
      </c>
      <c r="F1501">
        <f t="shared" si="190"/>
        <v>0</v>
      </c>
      <c r="G1501">
        <f t="shared" si="185"/>
        <v>0</v>
      </c>
      <c r="H1501">
        <f t="shared" si="191"/>
        <v>0</v>
      </c>
      <c r="I1501">
        <v>1500</v>
      </c>
      <c r="J1501">
        <f t="shared" si="186"/>
        <v>0.62168689026654644</v>
      </c>
      <c r="K1501">
        <f t="shared" si="187"/>
        <v>0.7832658619336802</v>
      </c>
      <c r="L1501">
        <f>VLOOKUP(D1501,[1]SOI!$A$1:$C$142,3)</f>
        <v>-11.6</v>
      </c>
      <c r="M1501" s="2">
        <f t="shared" si="188"/>
        <v>932.53033539981971</v>
      </c>
      <c r="N1501">
        <f t="shared" si="189"/>
        <v>1174.8987929005202</v>
      </c>
      <c r="O1501" t="s">
        <v>8</v>
      </c>
    </row>
    <row r="1502" spans="1:15" x14ac:dyDescent="0.35">
      <c r="A1502">
        <v>2004</v>
      </c>
      <c r="B1502">
        <v>2</v>
      </c>
      <c r="C1502">
        <v>9</v>
      </c>
      <c r="D1502" s="1">
        <f t="shared" si="184"/>
        <v>38026</v>
      </c>
      <c r="E1502">
        <v>0</v>
      </c>
      <c r="F1502">
        <f t="shared" si="190"/>
        <v>0</v>
      </c>
      <c r="G1502">
        <f t="shared" si="185"/>
        <v>0</v>
      </c>
      <c r="H1502">
        <f t="shared" si="191"/>
        <v>0</v>
      </c>
      <c r="I1502">
        <v>1501</v>
      </c>
      <c r="J1502">
        <f t="shared" si="186"/>
        <v>0.63506831348674331</v>
      </c>
      <c r="K1502">
        <f t="shared" si="187"/>
        <v>0.77245597751917461</v>
      </c>
      <c r="L1502">
        <f>VLOOKUP(D1502,[1]SOI!$A$1:$C$142,3)</f>
        <v>-11.6</v>
      </c>
      <c r="M1502" s="2">
        <f t="shared" si="188"/>
        <v>953.23753854360166</v>
      </c>
      <c r="N1502">
        <f t="shared" si="189"/>
        <v>1159.456422256281</v>
      </c>
      <c r="O1502" t="s">
        <v>8</v>
      </c>
    </row>
    <row r="1503" spans="1:15" x14ac:dyDescent="0.35">
      <c r="A1503">
        <v>2004</v>
      </c>
      <c r="B1503">
        <v>2</v>
      </c>
      <c r="C1503">
        <v>10</v>
      </c>
      <c r="D1503" s="1">
        <f t="shared" si="184"/>
        <v>38027</v>
      </c>
      <c r="E1503">
        <v>0</v>
      </c>
      <c r="F1503">
        <f t="shared" si="190"/>
        <v>0</v>
      </c>
      <c r="G1503">
        <f t="shared" si="185"/>
        <v>0</v>
      </c>
      <c r="H1503">
        <f t="shared" si="191"/>
        <v>0</v>
      </c>
      <c r="I1503">
        <v>1502</v>
      </c>
      <c r="J1503">
        <f t="shared" si="186"/>
        <v>0.64826180977571002</v>
      </c>
      <c r="K1503">
        <f t="shared" si="187"/>
        <v>0.76141751095330168</v>
      </c>
      <c r="L1503">
        <f>VLOOKUP(D1503,[1]SOI!$A$1:$C$142,3)</f>
        <v>-11.6</v>
      </c>
      <c r="M1503" s="2">
        <f t="shared" si="188"/>
        <v>973.68923828311642</v>
      </c>
      <c r="N1503">
        <f t="shared" si="189"/>
        <v>1143.6491014518592</v>
      </c>
      <c r="O1503" t="s">
        <v>8</v>
      </c>
    </row>
    <row r="1504" spans="1:15" x14ac:dyDescent="0.35">
      <c r="A1504">
        <v>2004</v>
      </c>
      <c r="B1504">
        <v>2</v>
      </c>
      <c r="C1504">
        <v>11</v>
      </c>
      <c r="D1504" s="1">
        <f t="shared" si="184"/>
        <v>38028</v>
      </c>
      <c r="E1504">
        <v>4.2</v>
      </c>
      <c r="F1504">
        <f t="shared" si="190"/>
        <v>0</v>
      </c>
      <c r="G1504">
        <f t="shared" si="185"/>
        <v>1</v>
      </c>
      <c r="H1504">
        <f t="shared" si="191"/>
        <v>0</v>
      </c>
      <c r="I1504">
        <v>1503</v>
      </c>
      <c r="J1504">
        <f t="shared" si="186"/>
        <v>0.66126347496563709</v>
      </c>
      <c r="K1504">
        <f t="shared" si="187"/>
        <v>0.75015372869590546</v>
      </c>
      <c r="L1504">
        <f>VLOOKUP(D1504,[1]SOI!$A$1:$C$142,3)</f>
        <v>-11.6</v>
      </c>
      <c r="M1504" s="2">
        <f t="shared" si="188"/>
        <v>993.87900287335253</v>
      </c>
      <c r="N1504">
        <f t="shared" si="189"/>
        <v>1127.4810542299458</v>
      </c>
      <c r="O1504" t="s">
        <v>8</v>
      </c>
    </row>
    <row r="1505" spans="1:15" x14ac:dyDescent="0.35">
      <c r="A1505">
        <v>2004</v>
      </c>
      <c r="B1505">
        <v>2</v>
      </c>
      <c r="C1505">
        <v>12</v>
      </c>
      <c r="D1505" s="1">
        <f t="shared" si="184"/>
        <v>38029</v>
      </c>
      <c r="E1505">
        <v>3</v>
      </c>
      <c r="F1505">
        <f t="shared" si="190"/>
        <v>4.2</v>
      </c>
      <c r="G1505">
        <f t="shared" si="185"/>
        <v>1</v>
      </c>
      <c r="H1505">
        <f t="shared" si="191"/>
        <v>1</v>
      </c>
      <c r="I1505">
        <v>1504</v>
      </c>
      <c r="J1505">
        <f t="shared" si="186"/>
        <v>0.67406946165461556</v>
      </c>
      <c r="K1505">
        <f t="shared" si="187"/>
        <v>0.73866796388137523</v>
      </c>
      <c r="L1505">
        <f>VLOOKUP(D1505,[1]SOI!$A$1:$C$142,3)</f>
        <v>-11.6</v>
      </c>
      <c r="M1505" s="2">
        <f t="shared" si="188"/>
        <v>1013.8004703285418</v>
      </c>
      <c r="N1505">
        <f t="shared" si="189"/>
        <v>1110.9566176775884</v>
      </c>
      <c r="O1505" t="s">
        <v>8</v>
      </c>
    </row>
    <row r="1506" spans="1:15" x14ac:dyDescent="0.35">
      <c r="A1506">
        <v>2004</v>
      </c>
      <c r="B1506">
        <v>2</v>
      </c>
      <c r="C1506">
        <v>13</v>
      </c>
      <c r="D1506" s="1">
        <f t="shared" si="184"/>
        <v>38030</v>
      </c>
      <c r="E1506">
        <v>0</v>
      </c>
      <c r="F1506">
        <f t="shared" si="190"/>
        <v>3</v>
      </c>
      <c r="G1506">
        <f t="shared" si="185"/>
        <v>0</v>
      </c>
      <c r="H1506">
        <f t="shared" si="191"/>
        <v>1</v>
      </c>
      <c r="I1506">
        <v>1505</v>
      </c>
      <c r="J1506">
        <f t="shared" si="186"/>
        <v>0.68667598034515309</v>
      </c>
      <c r="K1506">
        <f t="shared" si="187"/>
        <v>0.72696361533231013</v>
      </c>
      <c r="L1506">
        <f>VLOOKUP(D1506,[1]SOI!$A$1:$C$142,3)</f>
        <v>-11.6</v>
      </c>
      <c r="M1506" s="2">
        <f t="shared" si="188"/>
        <v>1033.4473504194555</v>
      </c>
      <c r="N1506">
        <f t="shared" si="189"/>
        <v>1094.0802410751267</v>
      </c>
      <c r="O1506" t="s">
        <v>8</v>
      </c>
    </row>
    <row r="1507" spans="1:15" x14ac:dyDescent="0.35">
      <c r="A1507">
        <v>2004</v>
      </c>
      <c r="B1507">
        <v>2</v>
      </c>
      <c r="C1507">
        <v>14</v>
      </c>
      <c r="D1507" s="1">
        <f t="shared" si="184"/>
        <v>38031</v>
      </c>
      <c r="E1507">
        <v>0</v>
      </c>
      <c r="F1507">
        <f t="shared" si="190"/>
        <v>0</v>
      </c>
      <c r="G1507">
        <f t="shared" si="185"/>
        <v>0</v>
      </c>
      <c r="H1507">
        <f t="shared" si="191"/>
        <v>0</v>
      </c>
      <c r="I1507">
        <v>1506</v>
      </c>
      <c r="J1507">
        <f t="shared" si="186"/>
        <v>0.69907930056555478</v>
      </c>
      <c r="K1507">
        <f t="shared" si="187"/>
        <v>0.71504414655374582</v>
      </c>
      <c r="L1507">
        <f>VLOOKUP(D1507,[1]SOI!$A$1:$C$142,3)</f>
        <v>-11.6</v>
      </c>
      <c r="M1507" s="2">
        <f t="shared" si="188"/>
        <v>1052.8134266517254</v>
      </c>
      <c r="N1507">
        <f t="shared" si="189"/>
        <v>1076.8564847099412</v>
      </c>
      <c r="O1507" t="s">
        <v>8</v>
      </c>
    </row>
    <row r="1508" spans="1:15" x14ac:dyDescent="0.35">
      <c r="A1508">
        <v>2004</v>
      </c>
      <c r="B1508">
        <v>2</v>
      </c>
      <c r="C1508">
        <v>15</v>
      </c>
      <c r="D1508" s="1">
        <f t="shared" si="184"/>
        <v>38032</v>
      </c>
      <c r="E1508">
        <v>4</v>
      </c>
      <c r="F1508">
        <f t="shared" si="190"/>
        <v>0</v>
      </c>
      <c r="G1508">
        <f t="shared" si="185"/>
        <v>1</v>
      </c>
      <c r="H1508">
        <f t="shared" si="191"/>
        <v>0</v>
      </c>
      <c r="I1508">
        <v>1507</v>
      </c>
      <c r="J1508">
        <f t="shared" si="186"/>
        <v>0.71127575197381721</v>
      </c>
      <c r="K1508">
        <f t="shared" si="187"/>
        <v>0.70291308470825953</v>
      </c>
      <c r="L1508">
        <f>VLOOKUP(D1508,[1]SOI!$A$1:$C$142,3)</f>
        <v>-11.6</v>
      </c>
      <c r="M1508" s="2">
        <f t="shared" si="188"/>
        <v>1071.8925582245424</v>
      </c>
      <c r="N1508">
        <f t="shared" si="189"/>
        <v>1059.290018655347</v>
      </c>
      <c r="O1508" t="s">
        <v>8</v>
      </c>
    </row>
    <row r="1509" spans="1:15" x14ac:dyDescent="0.35">
      <c r="A1509">
        <v>2004</v>
      </c>
      <c r="B1509">
        <v>2</v>
      </c>
      <c r="C1509">
        <v>16</v>
      </c>
      <c r="D1509" s="1">
        <f t="shared" si="184"/>
        <v>38033</v>
      </c>
      <c r="E1509">
        <v>0</v>
      </c>
      <c r="F1509">
        <f t="shared" si="190"/>
        <v>4</v>
      </c>
      <c r="G1509">
        <f t="shared" si="185"/>
        <v>0</v>
      </c>
      <c r="H1509">
        <f t="shared" si="191"/>
        <v>1</v>
      </c>
      <c r="I1509">
        <v>1508</v>
      </c>
      <c r="J1509">
        <f t="shared" si="186"/>
        <v>0.72326172544373657</v>
      </c>
      <c r="K1509">
        <f t="shared" si="187"/>
        <v>0.69057401957223163</v>
      </c>
      <c r="L1509">
        <f>VLOOKUP(D1509,[1]SOI!$A$1:$C$142,3)</f>
        <v>-11.6</v>
      </c>
      <c r="M1509" s="2">
        <f t="shared" si="188"/>
        <v>1090.6786819691547</v>
      </c>
      <c r="N1509">
        <f t="shared" si="189"/>
        <v>1041.3856215149253</v>
      </c>
      <c r="O1509" t="s">
        <v>8</v>
      </c>
    </row>
    <row r="1510" spans="1:15" x14ac:dyDescent="0.35">
      <c r="A1510">
        <v>2004</v>
      </c>
      <c r="B1510">
        <v>2</v>
      </c>
      <c r="C1510">
        <v>17</v>
      </c>
      <c r="D1510" s="1">
        <f t="shared" si="184"/>
        <v>38034</v>
      </c>
      <c r="E1510">
        <v>0</v>
      </c>
      <c r="F1510">
        <f t="shared" si="190"/>
        <v>0</v>
      </c>
      <c r="G1510">
        <f t="shared" si="185"/>
        <v>0</v>
      </c>
      <c r="H1510">
        <f t="shared" si="191"/>
        <v>0</v>
      </c>
      <c r="I1510">
        <v>1509</v>
      </c>
      <c r="J1510">
        <f t="shared" si="186"/>
        <v>0.73503367413294229</v>
      </c>
      <c r="K1510">
        <f t="shared" si="187"/>
        <v>0.67803060247353708</v>
      </c>
      <c r="L1510">
        <f>VLOOKUP(D1510,[1]SOI!$A$1:$C$142,3)</f>
        <v>-11.6</v>
      </c>
      <c r="M1510" s="2">
        <f t="shared" si="188"/>
        <v>1109.1658142666099</v>
      </c>
      <c r="N1510">
        <f t="shared" si="189"/>
        <v>1023.1481791325674</v>
      </c>
      <c r="O1510" t="s">
        <v>8</v>
      </c>
    </row>
    <row r="1511" spans="1:15" x14ac:dyDescent="0.35">
      <c r="A1511">
        <v>2004</v>
      </c>
      <c r="B1511">
        <v>2</v>
      </c>
      <c r="C1511">
        <v>18</v>
      </c>
      <c r="D1511" s="1">
        <f t="shared" si="184"/>
        <v>38035</v>
      </c>
      <c r="E1511">
        <v>0</v>
      </c>
      <c r="F1511">
        <f t="shared" si="190"/>
        <v>0</v>
      </c>
      <c r="G1511">
        <f t="shared" si="185"/>
        <v>0</v>
      </c>
      <c r="H1511">
        <f t="shared" si="191"/>
        <v>0</v>
      </c>
      <c r="I1511">
        <v>1510</v>
      </c>
      <c r="J1511">
        <f t="shared" si="186"/>
        <v>0.74658811453241014</v>
      </c>
      <c r="K1511">
        <f t="shared" si="187"/>
        <v>0.66528654521111485</v>
      </c>
      <c r="L1511">
        <f>VLOOKUP(D1511,[1]SOI!$A$1:$C$142,3)</f>
        <v>-11.6</v>
      </c>
      <c r="M1511" s="2">
        <f t="shared" si="188"/>
        <v>1127.3480529439394</v>
      </c>
      <c r="N1511">
        <f t="shared" si="189"/>
        <v>1004.5826832687834</v>
      </c>
      <c r="O1511" t="s">
        <v>8</v>
      </c>
    </row>
    <row r="1512" spans="1:15" x14ac:dyDescent="0.35">
      <c r="A1512">
        <v>2004</v>
      </c>
      <c r="B1512">
        <v>2</v>
      </c>
      <c r="C1512">
        <v>19</v>
      </c>
      <c r="D1512" s="1">
        <f t="shared" si="184"/>
        <v>38036</v>
      </c>
      <c r="E1512">
        <v>0</v>
      </c>
      <c r="F1512">
        <f t="shared" si="190"/>
        <v>0</v>
      </c>
      <c r="G1512">
        <f t="shared" si="185"/>
        <v>0</v>
      </c>
      <c r="H1512">
        <f t="shared" si="191"/>
        <v>0</v>
      </c>
      <c r="I1512">
        <v>1511</v>
      </c>
      <c r="J1512">
        <f t="shared" si="186"/>
        <v>0.75792162749734726</v>
      </c>
      <c r="K1512">
        <f t="shared" si="187"/>
        <v>0.65234561895652554</v>
      </c>
      <c r="L1512">
        <f>VLOOKUP(D1512,[1]SOI!$A$1:$C$142,3)</f>
        <v>-11.6</v>
      </c>
      <c r="M1512" s="2">
        <f t="shared" si="188"/>
        <v>1145.2195791484917</v>
      </c>
      <c r="N1512">
        <f t="shared" si="189"/>
        <v>985.69423024331013</v>
      </c>
      <c r="O1512" t="s">
        <v>8</v>
      </c>
    </row>
    <row r="1513" spans="1:15" x14ac:dyDescent="0.35">
      <c r="A1513">
        <v>2004</v>
      </c>
      <c r="B1513">
        <v>2</v>
      </c>
      <c r="C1513">
        <v>20</v>
      </c>
      <c r="D1513" s="1">
        <f t="shared" si="184"/>
        <v>38037</v>
      </c>
      <c r="E1513">
        <v>0</v>
      </c>
      <c r="F1513">
        <f t="shared" si="190"/>
        <v>0</v>
      </c>
      <c r="G1513">
        <f t="shared" si="185"/>
        <v>0</v>
      </c>
      <c r="H1513">
        <f t="shared" si="191"/>
        <v>0</v>
      </c>
      <c r="I1513">
        <v>1512</v>
      </c>
      <c r="J1513">
        <f t="shared" si="186"/>
        <v>0.76903085925891912</v>
      </c>
      <c r="K1513">
        <f t="shared" si="187"/>
        <v>0.63921165313805772</v>
      </c>
      <c r="L1513">
        <f>VLOOKUP(D1513,[1]SOI!$A$1:$C$142,3)</f>
        <v>-11.6</v>
      </c>
      <c r="M1513" s="2">
        <f t="shared" si="188"/>
        <v>1162.7746591994858</v>
      </c>
      <c r="N1513">
        <f t="shared" si="189"/>
        <v>966.48801954474322</v>
      </c>
      <c r="O1513" t="s">
        <v>8</v>
      </c>
    </row>
    <row r="1514" spans="1:15" x14ac:dyDescent="0.35">
      <c r="A1514">
        <v>2004</v>
      </c>
      <c r="B1514">
        <v>2</v>
      </c>
      <c r="C1514">
        <v>21</v>
      </c>
      <c r="D1514" s="1">
        <f t="shared" si="184"/>
        <v>38038</v>
      </c>
      <c r="E1514">
        <v>0</v>
      </c>
      <c r="F1514">
        <f t="shared" si="190"/>
        <v>0</v>
      </c>
      <c r="G1514">
        <f t="shared" si="185"/>
        <v>0</v>
      </c>
      <c r="H1514">
        <f t="shared" si="191"/>
        <v>0</v>
      </c>
      <c r="I1514">
        <v>1513</v>
      </c>
      <c r="J1514">
        <f t="shared" si="186"/>
        <v>0.77991252241671483</v>
      </c>
      <c r="K1514">
        <f t="shared" si="187"/>
        <v>0.62588853430750535</v>
      </c>
      <c r="L1514">
        <f>VLOOKUP(D1514,[1]SOI!$A$1:$C$142,3)</f>
        <v>-11.6</v>
      </c>
      <c r="M1514" s="2">
        <f t="shared" si="188"/>
        <v>1180.0076464164895</v>
      </c>
      <c r="N1514">
        <f t="shared" si="189"/>
        <v>946.96935240725554</v>
      </c>
      <c r="O1514" t="s">
        <v>8</v>
      </c>
    </row>
    <row r="1515" spans="1:15" x14ac:dyDescent="0.35">
      <c r="A1515">
        <v>2004</v>
      </c>
      <c r="B1515">
        <v>2</v>
      </c>
      <c r="C1515">
        <v>22</v>
      </c>
      <c r="D1515" s="1">
        <f t="shared" si="184"/>
        <v>38039</v>
      </c>
      <c r="E1515">
        <v>0.4</v>
      </c>
      <c r="F1515">
        <f t="shared" si="190"/>
        <v>0</v>
      </c>
      <c r="G1515">
        <f t="shared" si="185"/>
        <v>1</v>
      </c>
      <c r="H1515">
        <f t="shared" si="191"/>
        <v>0</v>
      </c>
      <c r="I1515">
        <v>1514</v>
      </c>
      <c r="J1515">
        <f t="shared" si="186"/>
        <v>0.79056339691154831</v>
      </c>
      <c r="K1515">
        <f t="shared" si="187"/>
        <v>0.61238020499006474</v>
      </c>
      <c r="L1515">
        <f>VLOOKUP(D1515,[1]SOI!$A$1:$C$142,3)</f>
        <v>-11.6</v>
      </c>
      <c r="M1515" s="2">
        <f t="shared" si="188"/>
        <v>1196.9129829240842</v>
      </c>
      <c r="N1515">
        <f t="shared" si="189"/>
        <v>927.14363035495796</v>
      </c>
      <c r="O1515" t="s">
        <v>8</v>
      </c>
    </row>
    <row r="1516" spans="1:15" x14ac:dyDescent="0.35">
      <c r="A1516">
        <v>2004</v>
      </c>
      <c r="B1516">
        <v>2</v>
      </c>
      <c r="C1516">
        <v>23</v>
      </c>
      <c r="D1516" s="1">
        <f t="shared" si="184"/>
        <v>38040</v>
      </c>
      <c r="E1516">
        <v>0</v>
      </c>
      <c r="F1516">
        <f t="shared" si="190"/>
        <v>0.4</v>
      </c>
      <c r="G1516">
        <f t="shared" si="185"/>
        <v>0</v>
      </c>
      <c r="H1516">
        <f t="shared" si="191"/>
        <v>1</v>
      </c>
      <c r="I1516">
        <v>1515</v>
      </c>
      <c r="J1516">
        <f t="shared" si="186"/>
        <v>0.80098033097829135</v>
      </c>
      <c r="K1516">
        <f t="shared" si="187"/>
        <v>0.5986906625177203</v>
      </c>
      <c r="L1516">
        <f>VLOOKUP(D1516,[1]SOI!$A$1:$C$142,3)</f>
        <v>-11.6</v>
      </c>
      <c r="M1516" s="2">
        <f t="shared" si="188"/>
        <v>1213.4852014321114</v>
      </c>
      <c r="N1516">
        <f t="shared" si="189"/>
        <v>907.01635371434622</v>
      </c>
      <c r="O1516" t="s">
        <v>8</v>
      </c>
    </row>
    <row r="1517" spans="1:15" x14ac:dyDescent="0.35">
      <c r="A1517">
        <v>2004</v>
      </c>
      <c r="B1517">
        <v>2</v>
      </c>
      <c r="C1517">
        <v>24</v>
      </c>
      <c r="D1517" s="1">
        <f t="shared" si="184"/>
        <v>38041</v>
      </c>
      <c r="E1517">
        <v>0</v>
      </c>
      <c r="F1517">
        <f t="shared" si="190"/>
        <v>0</v>
      </c>
      <c r="G1517">
        <f t="shared" si="185"/>
        <v>0</v>
      </c>
      <c r="H1517">
        <f t="shared" si="191"/>
        <v>0</v>
      </c>
      <c r="I1517">
        <v>1516</v>
      </c>
      <c r="J1517">
        <f t="shared" si="186"/>
        <v>0.81116024207856141</v>
      </c>
      <c r="K1517">
        <f t="shared" si="187"/>
        <v>0.58482395784633312</v>
      </c>
      <c r="L1517">
        <f>VLOOKUP(D1517,[1]SOI!$A$1:$C$142,3)</f>
        <v>-11.6</v>
      </c>
      <c r="M1517" s="2">
        <f t="shared" si="188"/>
        <v>1229.7189269910991</v>
      </c>
      <c r="N1517">
        <f t="shared" si="189"/>
        <v>886.59312009504106</v>
      </c>
      <c r="O1517" t="s">
        <v>8</v>
      </c>
    </row>
    <row r="1518" spans="1:15" x14ac:dyDescent="0.35">
      <c r="A1518">
        <v>2004</v>
      </c>
      <c r="B1518">
        <v>2</v>
      </c>
      <c r="C1518">
        <v>25</v>
      </c>
      <c r="D1518" s="1">
        <f t="shared" si="184"/>
        <v>38042</v>
      </c>
      <c r="E1518">
        <v>0</v>
      </c>
      <c r="F1518">
        <f t="shared" si="190"/>
        <v>0</v>
      </c>
      <c r="G1518">
        <f t="shared" si="185"/>
        <v>0</v>
      </c>
      <c r="H1518">
        <f t="shared" si="191"/>
        <v>0</v>
      </c>
      <c r="I1518">
        <v>1517</v>
      </c>
      <c r="J1518">
        <f t="shared" si="186"/>
        <v>0.82110011781288916</v>
      </c>
      <c r="K1518">
        <f t="shared" si="187"/>
        <v>0.57078419435690353</v>
      </c>
      <c r="L1518">
        <f>VLOOKUP(D1518,[1]SOI!$A$1:$C$142,3)</f>
        <v>-11.6</v>
      </c>
      <c r="M1518" s="2">
        <f t="shared" si="188"/>
        <v>1245.6088787221529</v>
      </c>
      <c r="N1518">
        <f t="shared" si="189"/>
        <v>865.87962283942261</v>
      </c>
      <c r="O1518" t="s">
        <v>8</v>
      </c>
    </row>
    <row r="1519" spans="1:15" x14ac:dyDescent="0.35">
      <c r="A1519">
        <v>2004</v>
      </c>
      <c r="B1519">
        <v>2</v>
      </c>
      <c r="C1519">
        <v>26</v>
      </c>
      <c r="D1519" s="1">
        <f t="shared" si="184"/>
        <v>38043</v>
      </c>
      <c r="E1519">
        <v>0</v>
      </c>
      <c r="F1519">
        <f t="shared" si="190"/>
        <v>0</v>
      </c>
      <c r="G1519">
        <f t="shared" si="185"/>
        <v>0</v>
      </c>
      <c r="H1519">
        <f t="shared" si="191"/>
        <v>0</v>
      </c>
      <c r="I1519">
        <v>1518</v>
      </c>
      <c r="J1519">
        <f t="shared" si="186"/>
        <v>0.83079701681212548</v>
      </c>
      <c r="K1519">
        <f t="shared" si="187"/>
        <v>0.55657552664132914</v>
      </c>
      <c r="L1519">
        <f>VLOOKUP(D1519,[1]SOI!$A$1:$C$142,3)</f>
        <v>-11.6</v>
      </c>
      <c r="M1519" s="2">
        <f t="shared" si="188"/>
        <v>1261.1498715208065</v>
      </c>
      <c r="N1519">
        <f t="shared" si="189"/>
        <v>844.88164944153766</v>
      </c>
      <c r="O1519" t="s">
        <v>8</v>
      </c>
    </row>
    <row r="1520" spans="1:15" x14ac:dyDescent="0.35">
      <c r="A1520">
        <v>2004</v>
      </c>
      <c r="B1520">
        <v>2</v>
      </c>
      <c r="C1520">
        <v>27</v>
      </c>
      <c r="D1520" s="1">
        <f t="shared" si="184"/>
        <v>38044</v>
      </c>
      <c r="E1520">
        <v>0</v>
      </c>
      <c r="F1520">
        <f t="shared" si="190"/>
        <v>0</v>
      </c>
      <c r="G1520">
        <f t="shared" si="185"/>
        <v>0</v>
      </c>
      <c r="H1520">
        <f t="shared" si="191"/>
        <v>0</v>
      </c>
      <c r="I1520">
        <v>1519</v>
      </c>
      <c r="J1520">
        <f t="shared" si="186"/>
        <v>0.84024806960784637</v>
      </c>
      <c r="K1520">
        <f t="shared" si="187"/>
        <v>0.54220215927298543</v>
      </c>
      <c r="L1520">
        <f>VLOOKUP(D1520,[1]SOI!$A$1:$C$142,3)</f>
        <v>-11.6</v>
      </c>
      <c r="M1520" s="2">
        <f t="shared" si="188"/>
        <v>1276.3368177343186</v>
      </c>
      <c r="N1520">
        <f t="shared" si="189"/>
        <v>823.60507993566489</v>
      </c>
      <c r="O1520" t="s">
        <v>8</v>
      </c>
    </row>
    <row r="1521" spans="1:15" x14ac:dyDescent="0.35">
      <c r="A1521">
        <v>2004</v>
      </c>
      <c r="B1521">
        <v>2</v>
      </c>
      <c r="C1521">
        <v>28</v>
      </c>
      <c r="D1521" s="1">
        <f t="shared" si="184"/>
        <v>38045</v>
      </c>
      <c r="E1521">
        <v>0</v>
      </c>
      <c r="F1521">
        <f t="shared" si="190"/>
        <v>0</v>
      </c>
      <c r="G1521">
        <f t="shared" si="185"/>
        <v>0</v>
      </c>
      <c r="H1521">
        <f t="shared" si="191"/>
        <v>0</v>
      </c>
      <c r="I1521">
        <v>1520</v>
      </c>
      <c r="J1521">
        <f t="shared" si="186"/>
        <v>0.84945047948148067</v>
      </c>
      <c r="K1521">
        <f t="shared" si="187"/>
        <v>0.52766834556251585</v>
      </c>
      <c r="L1521">
        <f>VLOOKUP(D1521,[1]SOI!$A$1:$C$142,3)</f>
        <v>-11.6</v>
      </c>
      <c r="M1521" s="2">
        <f t="shared" si="188"/>
        <v>1291.1647288118506</v>
      </c>
      <c r="N1521">
        <f t="shared" si="189"/>
        <v>802.05588525502412</v>
      </c>
      <c r="O1521" t="s">
        <v>8</v>
      </c>
    </row>
    <row r="1522" spans="1:15" x14ac:dyDescent="0.35">
      <c r="A1522">
        <v>2004</v>
      </c>
      <c r="B1522">
        <v>2</v>
      </c>
      <c r="C1522">
        <v>29</v>
      </c>
      <c r="D1522" s="1">
        <f t="shared" si="184"/>
        <v>38046</v>
      </c>
      <c r="E1522">
        <v>0</v>
      </c>
      <c r="F1522">
        <f t="shared" si="190"/>
        <v>0</v>
      </c>
      <c r="G1522">
        <f t="shared" si="185"/>
        <v>0</v>
      </c>
      <c r="H1522">
        <f t="shared" si="191"/>
        <v>0</v>
      </c>
      <c r="I1522">
        <v>1521</v>
      </c>
      <c r="J1522">
        <f t="shared" si="186"/>
        <v>0.85840152329189046</v>
      </c>
      <c r="K1522">
        <f t="shared" si="187"/>
        <v>0.51297838629922998</v>
      </c>
      <c r="L1522">
        <f>VLOOKUP(D1522,[1]SOI!$A$1:$C$142,3)</f>
        <v>-11.6</v>
      </c>
      <c r="M1522" s="2">
        <f t="shared" si="188"/>
        <v>1305.6287169269654</v>
      </c>
      <c r="N1522">
        <f t="shared" si="189"/>
        <v>780.24012556112882</v>
      </c>
      <c r="O1522" t="s">
        <v>8</v>
      </c>
    </row>
    <row r="1523" spans="1:15" x14ac:dyDescent="0.35">
      <c r="A1523">
        <v>2004</v>
      </c>
      <c r="B1523">
        <v>3</v>
      </c>
      <c r="C1523">
        <v>1</v>
      </c>
      <c r="D1523" s="1">
        <f t="shared" si="184"/>
        <v>38047</v>
      </c>
      <c r="E1523">
        <v>0</v>
      </c>
      <c r="F1523">
        <f t="shared" si="190"/>
        <v>0</v>
      </c>
      <c r="G1523">
        <f t="shared" si="185"/>
        <v>0</v>
      </c>
      <c r="H1523">
        <f t="shared" si="191"/>
        <v>0</v>
      </c>
      <c r="I1523">
        <v>1522</v>
      </c>
      <c r="J1523">
        <f t="shared" si="186"/>
        <v>0.86709855228120747</v>
      </c>
      <c r="K1523">
        <f t="shared" si="187"/>
        <v>0.49813662847840656</v>
      </c>
      <c r="L1523">
        <f>VLOOKUP(D1523,[1]SOI!$A$1:$C$142,3)</f>
        <v>8.6</v>
      </c>
      <c r="M1523" s="2">
        <f t="shared" si="188"/>
        <v>1319.7239965719978</v>
      </c>
      <c r="N1523">
        <f t="shared" si="189"/>
        <v>758.16394854413477</v>
      </c>
      <c r="O1523" t="s">
        <v>8</v>
      </c>
    </row>
    <row r="1524" spans="1:15" x14ac:dyDescent="0.35">
      <c r="A1524">
        <v>2004</v>
      </c>
      <c r="B1524">
        <v>3</v>
      </c>
      <c r="C1524">
        <v>2</v>
      </c>
      <c r="D1524" s="1">
        <f t="shared" si="184"/>
        <v>38048</v>
      </c>
      <c r="E1524">
        <v>0</v>
      </c>
      <c r="F1524">
        <f t="shared" si="190"/>
        <v>0</v>
      </c>
      <c r="G1524">
        <f t="shared" si="185"/>
        <v>0</v>
      </c>
      <c r="H1524">
        <f t="shared" si="191"/>
        <v>0</v>
      </c>
      <c r="I1524">
        <v>1523</v>
      </c>
      <c r="J1524">
        <f t="shared" si="186"/>
        <v>0.87553899285863024</v>
      </c>
      <c r="K1524">
        <f t="shared" si="187"/>
        <v>0.48314746401496861</v>
      </c>
      <c r="L1524">
        <f>VLOOKUP(D1524,[1]SOI!$A$1:$C$142,3)</f>
        <v>8.6</v>
      </c>
      <c r="M1524" s="2">
        <f t="shared" si="188"/>
        <v>1333.4458861236938</v>
      </c>
      <c r="N1524">
        <f t="shared" si="189"/>
        <v>735.83358769479719</v>
      </c>
      <c r="O1524" t="s">
        <v>8</v>
      </c>
    </row>
    <row r="1525" spans="1:15" x14ac:dyDescent="0.35">
      <c r="A1525">
        <v>2004</v>
      </c>
      <c r="B1525">
        <v>3</v>
      </c>
      <c r="C1525">
        <v>3</v>
      </c>
      <c r="D1525" s="1">
        <f t="shared" si="184"/>
        <v>38049</v>
      </c>
      <c r="E1525">
        <v>0</v>
      </c>
      <c r="F1525">
        <f t="shared" si="190"/>
        <v>0</v>
      </c>
      <c r="G1525">
        <f t="shared" si="185"/>
        <v>0</v>
      </c>
      <c r="H1525">
        <f t="shared" si="191"/>
        <v>0</v>
      </c>
      <c r="I1525">
        <v>1524</v>
      </c>
      <c r="J1525">
        <f t="shared" si="186"/>
        <v>0.88372034736199656</v>
      </c>
      <c r="K1525">
        <f t="shared" si="187"/>
        <v>0.46801532844383653</v>
      </c>
      <c r="L1525">
        <f>VLOOKUP(D1525,[1]SOI!$A$1:$C$142,3)</f>
        <v>8.6</v>
      </c>
      <c r="M1525" s="2">
        <f t="shared" si="188"/>
        <v>1346.7898093796828</v>
      </c>
      <c r="N1525">
        <f t="shared" si="189"/>
        <v>713.25536054840688</v>
      </c>
      <c r="O1525" t="s">
        <v>8</v>
      </c>
    </row>
    <row r="1526" spans="1:15" x14ac:dyDescent="0.35">
      <c r="A1526">
        <v>2004</v>
      </c>
      <c r="B1526">
        <v>3</v>
      </c>
      <c r="C1526">
        <v>4</v>
      </c>
      <c r="D1526" s="1">
        <f t="shared" si="184"/>
        <v>38050</v>
      </c>
      <c r="E1526">
        <v>0</v>
      </c>
      <c r="F1526">
        <f t="shared" si="190"/>
        <v>0</v>
      </c>
      <c r="G1526">
        <f t="shared" si="185"/>
        <v>0</v>
      </c>
      <c r="H1526">
        <f t="shared" si="191"/>
        <v>0</v>
      </c>
      <c r="I1526">
        <v>1525</v>
      </c>
      <c r="J1526">
        <f t="shared" si="186"/>
        <v>0.89164019479688683</v>
      </c>
      <c r="K1526">
        <f t="shared" si="187"/>
        <v>0.45274469960737213</v>
      </c>
      <c r="L1526">
        <f>VLOOKUP(D1526,[1]SOI!$A$1:$C$142,3)</f>
        <v>8.6</v>
      </c>
      <c r="M1526" s="2">
        <f t="shared" si="188"/>
        <v>1359.7512970652524</v>
      </c>
      <c r="N1526">
        <f t="shared" si="189"/>
        <v>690.43566690124248</v>
      </c>
      <c r="O1526" t="s">
        <v>8</v>
      </c>
    </row>
    <row r="1527" spans="1:15" x14ac:dyDescent="0.35">
      <c r="A1527">
        <v>2004</v>
      </c>
      <c r="B1527">
        <v>3</v>
      </c>
      <c r="C1527">
        <v>5</v>
      </c>
      <c r="D1527" s="1">
        <f t="shared" si="184"/>
        <v>38051</v>
      </c>
      <c r="E1527">
        <v>0</v>
      </c>
      <c r="F1527">
        <f t="shared" si="190"/>
        <v>0</v>
      </c>
      <c r="G1527">
        <f t="shared" si="185"/>
        <v>0</v>
      </c>
      <c r="H1527">
        <f t="shared" si="191"/>
        <v>0</v>
      </c>
      <c r="I1527">
        <v>1526</v>
      </c>
      <c r="J1527">
        <f t="shared" si="186"/>
        <v>0.89929619155302543</v>
      </c>
      <c r="K1527">
        <f t="shared" si="187"/>
        <v>0.43734009633033216</v>
      </c>
      <c r="L1527">
        <f>VLOOKUP(D1527,[1]SOI!$A$1:$C$142,3)</f>
        <v>8.6</v>
      </c>
      <c r="M1527" s="2">
        <f t="shared" si="188"/>
        <v>1372.3259883099167</v>
      </c>
      <c r="N1527">
        <f t="shared" si="189"/>
        <v>667.38098700008686</v>
      </c>
      <c r="O1527" t="s">
        <v>8</v>
      </c>
    </row>
    <row r="1528" spans="1:15" x14ac:dyDescent="0.35">
      <c r="A1528">
        <v>2004</v>
      </c>
      <c r="B1528">
        <v>3</v>
      </c>
      <c r="C1528">
        <v>6</v>
      </c>
      <c r="D1528" s="1">
        <f t="shared" si="184"/>
        <v>38052</v>
      </c>
      <c r="E1528">
        <v>0</v>
      </c>
      <c r="F1528">
        <f t="shared" si="190"/>
        <v>0</v>
      </c>
      <c r="G1528">
        <f t="shared" si="185"/>
        <v>0</v>
      </c>
      <c r="H1528">
        <f t="shared" si="191"/>
        <v>0</v>
      </c>
      <c r="I1528">
        <v>1527</v>
      </c>
      <c r="J1528">
        <f t="shared" si="186"/>
        <v>0.90668607209779739</v>
      </c>
      <c r="K1528">
        <f t="shared" si="187"/>
        <v>0.42180607708266565</v>
      </c>
      <c r="L1528">
        <f>VLOOKUP(D1528,[1]SOI!$A$1:$C$142,3)</f>
        <v>8.6</v>
      </c>
      <c r="M1528" s="2">
        <f t="shared" si="188"/>
        <v>1384.5096320933367</v>
      </c>
      <c r="N1528">
        <f t="shared" si="189"/>
        <v>644.09787970523041</v>
      </c>
      <c r="O1528" t="s">
        <v>8</v>
      </c>
    </row>
    <row r="1529" spans="1:15" x14ac:dyDescent="0.35">
      <c r="A1529">
        <v>2004</v>
      </c>
      <c r="B1529">
        <v>3</v>
      </c>
      <c r="C1529">
        <v>7</v>
      </c>
      <c r="D1529" s="1">
        <f t="shared" si="184"/>
        <v>38053</v>
      </c>
      <c r="E1529">
        <v>0.4</v>
      </c>
      <c r="F1529">
        <f t="shared" si="190"/>
        <v>0</v>
      </c>
      <c r="G1529">
        <f t="shared" si="185"/>
        <v>1</v>
      </c>
      <c r="H1529">
        <f t="shared" si="191"/>
        <v>0</v>
      </c>
      <c r="I1529">
        <v>1528</v>
      </c>
      <c r="J1529">
        <f t="shared" si="186"/>
        <v>0.91380764964666095</v>
      </c>
      <c r="K1529">
        <f t="shared" si="187"/>
        <v>0.40614723863057994</v>
      </c>
      <c r="L1529">
        <f>VLOOKUP(D1529,[1]SOI!$A$1:$C$142,3)</f>
        <v>8.6</v>
      </c>
      <c r="M1529" s="2">
        <f t="shared" si="188"/>
        <v>1396.2980886600978</v>
      </c>
      <c r="N1529">
        <f t="shared" si="189"/>
        <v>620.59298062752612</v>
      </c>
      <c r="O1529" t="s">
        <v>8</v>
      </c>
    </row>
    <row r="1530" spans="1:15" x14ac:dyDescent="0.35">
      <c r="A1530">
        <v>2004</v>
      </c>
      <c r="B1530">
        <v>3</v>
      </c>
      <c r="C1530">
        <v>8</v>
      </c>
      <c r="D1530" s="1">
        <f t="shared" si="184"/>
        <v>38054</v>
      </c>
      <c r="E1530">
        <v>0.8</v>
      </c>
      <c r="F1530">
        <f t="shared" si="190"/>
        <v>0.4</v>
      </c>
      <c r="G1530">
        <f t="shared" si="185"/>
        <v>1</v>
      </c>
      <c r="H1530">
        <f t="shared" si="191"/>
        <v>1</v>
      </c>
      <c r="I1530">
        <v>1529</v>
      </c>
      <c r="J1530">
        <f t="shared" si="186"/>
        <v>0.92065881681024275</v>
      </c>
      <c r="K1530">
        <f t="shared" si="187"/>
        <v>0.39036821467630273</v>
      </c>
      <c r="L1530">
        <f>VLOOKUP(D1530,[1]SOI!$A$1:$C$142,3)</f>
        <v>8.6</v>
      </c>
      <c r="M1530" s="2">
        <f t="shared" si="188"/>
        <v>1407.6873309028613</v>
      </c>
      <c r="N1530">
        <f t="shared" si="189"/>
        <v>596.87300024006686</v>
      </c>
      <c r="O1530" t="s">
        <v>8</v>
      </c>
    </row>
    <row r="1531" spans="1:15" x14ac:dyDescent="0.35">
      <c r="A1531">
        <v>2004</v>
      </c>
      <c r="B1531">
        <v>3</v>
      </c>
      <c r="C1531">
        <v>9</v>
      </c>
      <c r="D1531" s="1">
        <f t="shared" si="184"/>
        <v>38055</v>
      </c>
      <c r="E1531">
        <v>4.5999999999999996</v>
      </c>
      <c r="F1531">
        <f t="shared" si="190"/>
        <v>0.8</v>
      </c>
      <c r="G1531">
        <f t="shared" si="185"/>
        <v>1</v>
      </c>
      <c r="H1531">
        <f t="shared" si="191"/>
        <v>1</v>
      </c>
      <c r="I1531">
        <v>1530</v>
      </c>
      <c r="J1531">
        <f t="shared" si="186"/>
        <v>0.92723754621795285</v>
      </c>
      <c r="K1531">
        <f t="shared" si="187"/>
        <v>0.37447367448688534</v>
      </c>
      <c r="L1531">
        <f>VLOOKUP(D1531,[1]SOI!$A$1:$C$142,3)</f>
        <v>8.6</v>
      </c>
      <c r="M1531" s="2">
        <f t="shared" si="188"/>
        <v>1418.6734457134678</v>
      </c>
      <c r="N1531">
        <f t="shared" si="189"/>
        <v>572.94472196493462</v>
      </c>
      <c r="O1531" t="s">
        <v>8</v>
      </c>
    </row>
    <row r="1532" spans="1:15" x14ac:dyDescent="0.35">
      <c r="A1532">
        <v>2004</v>
      </c>
      <c r="B1532">
        <v>3</v>
      </c>
      <c r="C1532">
        <v>10</v>
      </c>
      <c r="D1532" s="1">
        <f t="shared" si="184"/>
        <v>38056</v>
      </c>
      <c r="E1532">
        <v>0.2</v>
      </c>
      <c r="F1532">
        <f t="shared" si="190"/>
        <v>4.5999999999999996</v>
      </c>
      <c r="G1532">
        <f t="shared" si="185"/>
        <v>1</v>
      </c>
      <c r="H1532">
        <f t="shared" si="191"/>
        <v>1</v>
      </c>
      <c r="I1532">
        <v>1531</v>
      </c>
      <c r="J1532">
        <f t="shared" si="186"/>
        <v>0.93354189111792074</v>
      </c>
      <c r="K1532">
        <f t="shared" si="187"/>
        <v>0.35846832151248198</v>
      </c>
      <c r="L1532">
        <f>VLOOKUP(D1532,[1]SOI!$A$1:$C$142,3)</f>
        <v>8.6</v>
      </c>
      <c r="M1532" s="2">
        <f t="shared" si="188"/>
        <v>1429.2526353015367</v>
      </c>
      <c r="N1532">
        <f t="shared" si="189"/>
        <v>548.81500023560989</v>
      </c>
      <c r="O1532" t="s">
        <v>8</v>
      </c>
    </row>
    <row r="1533" spans="1:15" x14ac:dyDescent="0.35">
      <c r="A1533">
        <v>2004</v>
      </c>
      <c r="B1533">
        <v>3</v>
      </c>
      <c r="C1533">
        <v>11</v>
      </c>
      <c r="D1533" s="1">
        <f t="shared" si="184"/>
        <v>38057</v>
      </c>
      <c r="E1533">
        <v>0</v>
      </c>
      <c r="F1533">
        <f t="shared" si="190"/>
        <v>0.2</v>
      </c>
      <c r="G1533">
        <f t="shared" si="185"/>
        <v>0</v>
      </c>
      <c r="H1533">
        <f t="shared" si="191"/>
        <v>1</v>
      </c>
      <c r="I1533">
        <v>1532</v>
      </c>
      <c r="J1533">
        <f t="shared" si="186"/>
        <v>0.93956998595306085</v>
      </c>
      <c r="K1533">
        <f t="shared" si="187"/>
        <v>0.34235689199454561</v>
      </c>
      <c r="L1533">
        <f>VLOOKUP(D1533,[1]SOI!$A$1:$C$142,3)</f>
        <v>8.6</v>
      </c>
      <c r="M1533" s="2">
        <f t="shared" si="188"/>
        <v>1439.4212184800892</v>
      </c>
      <c r="N1533">
        <f t="shared" si="189"/>
        <v>524.49075853564386</v>
      </c>
      <c r="O1533" t="s">
        <v>8</v>
      </c>
    </row>
    <row r="1534" spans="1:15" x14ac:dyDescent="0.35">
      <c r="A1534">
        <v>2004</v>
      </c>
      <c r="B1534">
        <v>3</v>
      </c>
      <c r="C1534">
        <v>12</v>
      </c>
      <c r="D1534" s="1">
        <f t="shared" si="184"/>
        <v>38058</v>
      </c>
      <c r="E1534">
        <v>0</v>
      </c>
      <c r="F1534">
        <f t="shared" si="190"/>
        <v>0</v>
      </c>
      <c r="G1534">
        <f t="shared" si="185"/>
        <v>0</v>
      </c>
      <c r="H1534">
        <f t="shared" si="191"/>
        <v>0</v>
      </c>
      <c r="I1534">
        <v>1533</v>
      </c>
      <c r="J1534">
        <f t="shared" si="186"/>
        <v>0.94532004691313121</v>
      </c>
      <c r="K1534">
        <f t="shared" si="187"/>
        <v>0.32614415356427201</v>
      </c>
      <c r="L1534">
        <f>VLOOKUP(D1534,[1]SOI!$A$1:$C$142,3)</f>
        <v>8.6</v>
      </c>
      <c r="M1534" s="2">
        <f t="shared" si="188"/>
        <v>1449.1756319178301</v>
      </c>
      <c r="N1534">
        <f t="shared" si="189"/>
        <v>499.97898741402901</v>
      </c>
      <c r="O1534" t="s">
        <v>8</v>
      </c>
    </row>
    <row r="1535" spans="1:15" x14ac:dyDescent="0.35">
      <c r="A1535">
        <v>2004</v>
      </c>
      <c r="B1535">
        <v>3</v>
      </c>
      <c r="C1535">
        <v>13</v>
      </c>
      <c r="D1535" s="1">
        <f t="shared" si="184"/>
        <v>38059</v>
      </c>
      <c r="E1535">
        <v>0</v>
      </c>
      <c r="F1535">
        <f t="shared" si="190"/>
        <v>0</v>
      </c>
      <c r="G1535">
        <f t="shared" si="185"/>
        <v>0</v>
      </c>
      <c r="H1535">
        <f t="shared" si="191"/>
        <v>0</v>
      </c>
      <c r="I1535">
        <v>1534</v>
      </c>
      <c r="J1535">
        <f t="shared" si="186"/>
        <v>0.9507903724625828</v>
      </c>
      <c r="K1535">
        <f t="shared" si="187"/>
        <v>0.30983490383180384</v>
      </c>
      <c r="L1535">
        <f>VLOOKUP(D1535,[1]SOI!$A$1:$C$142,3)</f>
        <v>8.6</v>
      </c>
      <c r="M1535" s="2">
        <f t="shared" si="188"/>
        <v>1458.5124313576021</v>
      </c>
      <c r="N1535">
        <f t="shared" si="189"/>
        <v>475.2867424779871</v>
      </c>
      <c r="O1535" t="s">
        <v>8</v>
      </c>
    </row>
    <row r="1536" spans="1:15" x14ac:dyDescent="0.35">
      <c r="A1536">
        <v>2004</v>
      </c>
      <c r="B1536">
        <v>3</v>
      </c>
      <c r="C1536">
        <v>14</v>
      </c>
      <c r="D1536" s="1">
        <f t="shared" si="184"/>
        <v>38060</v>
      </c>
      <c r="E1536">
        <v>0</v>
      </c>
      <c r="F1536">
        <f t="shared" si="190"/>
        <v>0</v>
      </c>
      <c r="G1536">
        <f t="shared" si="185"/>
        <v>0</v>
      </c>
      <c r="H1536">
        <f t="shared" si="191"/>
        <v>0</v>
      </c>
      <c r="I1536">
        <v>1535</v>
      </c>
      <c r="J1536">
        <f t="shared" si="186"/>
        <v>0.95597934384407535</v>
      </c>
      <c r="K1536">
        <f t="shared" si="187"/>
        <v>0.29343396896653101</v>
      </c>
      <c r="L1536">
        <f>VLOOKUP(D1536,[1]SOI!$A$1:$C$142,3)</f>
        <v>8.6</v>
      </c>
      <c r="M1536" s="2">
        <f t="shared" si="188"/>
        <v>1467.4282928006558</v>
      </c>
      <c r="N1536">
        <f t="shared" si="189"/>
        <v>450.42114236362511</v>
      </c>
      <c r="O1536" t="s">
        <v>8</v>
      </c>
    </row>
    <row r="1537" spans="1:15" x14ac:dyDescent="0.35">
      <c r="A1537">
        <v>2004</v>
      </c>
      <c r="B1537">
        <v>3</v>
      </c>
      <c r="C1537">
        <v>15</v>
      </c>
      <c r="D1537" s="1">
        <f t="shared" si="184"/>
        <v>38061</v>
      </c>
      <c r="E1537">
        <v>0</v>
      </c>
      <c r="F1537">
        <f t="shared" si="190"/>
        <v>0</v>
      </c>
      <c r="G1537">
        <f t="shared" si="185"/>
        <v>0</v>
      </c>
      <c r="H1537">
        <f t="shared" si="191"/>
        <v>0</v>
      </c>
      <c r="I1537">
        <v>1536</v>
      </c>
      <c r="J1537">
        <f t="shared" si="186"/>
        <v>0.9608854255574969</v>
      </c>
      <c r="K1537">
        <f t="shared" si="187"/>
        <v>0.2769462022689389</v>
      </c>
      <c r="L1537">
        <f>VLOOKUP(D1537,[1]SOI!$A$1:$C$142,3)</f>
        <v>8.6</v>
      </c>
      <c r="M1537" s="2">
        <f t="shared" si="188"/>
        <v>1475.9200136563152</v>
      </c>
      <c r="N1537">
        <f t="shared" si="189"/>
        <v>425.38936668509018</v>
      </c>
      <c r="O1537" t="s">
        <v>8</v>
      </c>
    </row>
    <row r="1538" spans="1:15" x14ac:dyDescent="0.35">
      <c r="A1538">
        <v>2004</v>
      </c>
      <c r="B1538">
        <v>3</v>
      </c>
      <c r="C1538">
        <v>16</v>
      </c>
      <c r="D1538" s="1">
        <f t="shared" si="184"/>
        <v>38062</v>
      </c>
      <c r="E1538">
        <v>0</v>
      </c>
      <c r="F1538">
        <f t="shared" si="190"/>
        <v>0</v>
      </c>
      <c r="G1538">
        <f t="shared" si="185"/>
        <v>0</v>
      </c>
      <c r="H1538">
        <f t="shared" si="191"/>
        <v>0</v>
      </c>
      <c r="I1538">
        <v>1537</v>
      </c>
      <c r="J1538">
        <f t="shared" si="186"/>
        <v>0.96550716581433693</v>
      </c>
      <c r="K1538">
        <f t="shared" si="187"/>
        <v>0.26037648273445607</v>
      </c>
      <c r="L1538">
        <f>VLOOKUP(D1538,[1]SOI!$A$1:$C$142,3)</f>
        <v>8.6</v>
      </c>
      <c r="M1538" s="2">
        <f t="shared" si="188"/>
        <v>1483.9845138566359</v>
      </c>
      <c r="N1538">
        <f t="shared" si="189"/>
        <v>400.198653962859</v>
      </c>
      <c r="O1538" t="s">
        <v>8</v>
      </c>
    </row>
    <row r="1539" spans="1:15" x14ac:dyDescent="0.35">
      <c r="A1539">
        <v>2004</v>
      </c>
      <c r="B1539">
        <v>3</v>
      </c>
      <c r="C1539">
        <v>17</v>
      </c>
      <c r="D1539" s="1">
        <f t="shared" ref="D1539:D1602" si="192">DATE(A1539,B1539,C1539)</f>
        <v>38063</v>
      </c>
      <c r="E1539">
        <v>0</v>
      </c>
      <c r="F1539">
        <f t="shared" si="190"/>
        <v>0</v>
      </c>
      <c r="G1539">
        <f t="shared" ref="G1539:G1602" si="193">IF(E1539=0,0,1)</f>
        <v>0</v>
      </c>
      <c r="H1539">
        <f t="shared" si="191"/>
        <v>0</v>
      </c>
      <c r="I1539">
        <v>1538</v>
      </c>
      <c r="J1539">
        <f t="shared" ref="J1539:J1602" si="194">SIN(2*PI()*I1539/365.25)</f>
        <v>0.96984319696729304</v>
      </c>
      <c r="K1539">
        <f t="shared" ref="K1539:K1602" si="195">COS(2*PI()*I1539/365.25)</f>
        <v>0.24372971360968762</v>
      </c>
      <c r="L1539">
        <f>VLOOKUP(D1539,[1]SOI!$A$1:$C$142,3)</f>
        <v>8.6</v>
      </c>
      <c r="M1539" s="2">
        <f t="shared" ref="M1539:M1602" si="196">I1539*J1539</f>
        <v>1491.6188369356967</v>
      </c>
      <c r="N1539">
        <f t="shared" ref="N1539:N1602" si="197">I1539*K1539</f>
        <v>374.85629953169956</v>
      </c>
      <c r="O1539" t="s">
        <v>8</v>
      </c>
    </row>
    <row r="1540" spans="1:15" x14ac:dyDescent="0.35">
      <c r="A1540">
        <v>2004</v>
      </c>
      <c r="B1540">
        <v>3</v>
      </c>
      <c r="C1540">
        <v>18</v>
      </c>
      <c r="D1540" s="1">
        <f t="shared" si="192"/>
        <v>38064</v>
      </c>
      <c r="E1540">
        <v>0</v>
      </c>
      <c r="F1540">
        <f t="shared" ref="F1540:F1603" si="198">E1539</f>
        <v>0</v>
      </c>
      <c r="G1540">
        <f t="shared" si="193"/>
        <v>0</v>
      </c>
      <c r="H1540">
        <f t="shared" ref="H1540:H1603" si="199">G1539</f>
        <v>0</v>
      </c>
      <c r="I1540">
        <v>1539</v>
      </c>
      <c r="J1540">
        <f t="shared" si="194"/>
        <v>0.97389223591499263</v>
      </c>
      <c r="K1540">
        <f t="shared" si="195"/>
        <v>0.2270108209414177</v>
      </c>
      <c r="L1540">
        <f>VLOOKUP(D1540,[1]SOI!$A$1:$C$142,3)</f>
        <v>8.6</v>
      </c>
      <c r="M1540" s="2">
        <f t="shared" si="196"/>
        <v>1498.8201510731737</v>
      </c>
      <c r="N1540">
        <f t="shared" si="197"/>
        <v>349.36965342884184</v>
      </c>
      <c r="O1540" t="s">
        <v>8</v>
      </c>
    </row>
    <row r="1541" spans="1:15" x14ac:dyDescent="0.35">
      <c r="A1541">
        <v>2004</v>
      </c>
      <c r="B1541">
        <v>3</v>
      </c>
      <c r="C1541">
        <v>19</v>
      </c>
      <c r="D1541" s="1">
        <f t="shared" si="192"/>
        <v>38065</v>
      </c>
      <c r="E1541">
        <v>0</v>
      </c>
      <c r="F1541">
        <f t="shared" si="198"/>
        <v>0</v>
      </c>
      <c r="G1541">
        <f t="shared" si="193"/>
        <v>0</v>
      </c>
      <c r="H1541">
        <f t="shared" si="199"/>
        <v>0</v>
      </c>
      <c r="I1541">
        <v>1540</v>
      </c>
      <c r="J1541">
        <f t="shared" si="194"/>
        <v>0.97765308448166455</v>
      </c>
      <c r="K1541">
        <f t="shared" si="195"/>
        <v>0.2102247521189817</v>
      </c>
      <c r="L1541">
        <f>VLOOKUP(D1541,[1]SOI!$A$1:$C$142,3)</f>
        <v>8.6</v>
      </c>
      <c r="M1541" s="2">
        <f t="shared" si="196"/>
        <v>1505.5857501017633</v>
      </c>
      <c r="N1541">
        <f t="shared" si="197"/>
        <v>323.74611826323184</v>
      </c>
      <c r="O1541" t="s">
        <v>8</v>
      </c>
    </row>
    <row r="1542" spans="1:15" x14ac:dyDescent="0.35">
      <c r="A1542">
        <v>2004</v>
      </c>
      <c r="B1542">
        <v>3</v>
      </c>
      <c r="C1542">
        <v>20</v>
      </c>
      <c r="D1542" s="1">
        <f t="shared" si="192"/>
        <v>38066</v>
      </c>
      <c r="E1542">
        <v>0</v>
      </c>
      <c r="F1542">
        <f t="shared" si="198"/>
        <v>0</v>
      </c>
      <c r="G1542">
        <f t="shared" si="193"/>
        <v>0</v>
      </c>
      <c r="H1542">
        <f t="shared" si="199"/>
        <v>0</v>
      </c>
      <c r="I1542">
        <v>1541</v>
      </c>
      <c r="J1542">
        <f t="shared" si="194"/>
        <v>0.981124629771712</v>
      </c>
      <c r="K1542">
        <f t="shared" si="195"/>
        <v>0.19337647441020617</v>
      </c>
      <c r="L1542">
        <f>VLOOKUP(D1542,[1]SOI!$A$1:$C$142,3)</f>
        <v>8.6</v>
      </c>
      <c r="M1542" s="2">
        <f t="shared" si="196"/>
        <v>1511.9130544782081</v>
      </c>
      <c r="N1542">
        <f t="shared" si="197"/>
        <v>297.99314706612768</v>
      </c>
      <c r="O1542" t="s">
        <v>8</v>
      </c>
    </row>
    <row r="1543" spans="1:15" x14ac:dyDescent="0.35">
      <c r="A1543">
        <v>2004</v>
      </c>
      <c r="B1543">
        <v>3</v>
      </c>
      <c r="C1543">
        <v>21</v>
      </c>
      <c r="D1543" s="1">
        <f t="shared" si="192"/>
        <v>38067</v>
      </c>
      <c r="E1543">
        <v>0</v>
      </c>
      <c r="F1543">
        <f t="shared" si="198"/>
        <v>0</v>
      </c>
      <c r="G1543">
        <f t="shared" si="193"/>
        <v>0</v>
      </c>
      <c r="H1543">
        <f t="shared" si="199"/>
        <v>0</v>
      </c>
      <c r="I1543">
        <v>1542</v>
      </c>
      <c r="J1543">
        <f t="shared" si="194"/>
        <v>0.98430584449903324</v>
      </c>
      <c r="K1543">
        <f t="shared" si="195"/>
        <v>0.17647097349152085</v>
      </c>
      <c r="L1543">
        <f>VLOOKUP(D1543,[1]SOI!$A$1:$C$142,3)</f>
        <v>8.6</v>
      </c>
      <c r="M1543" s="2">
        <f t="shared" si="196"/>
        <v>1517.7996122175093</v>
      </c>
      <c r="N1543">
        <f t="shared" si="197"/>
        <v>272.11824112392515</v>
      </c>
      <c r="O1543" t="s">
        <v>8</v>
      </c>
    </row>
    <row r="1544" spans="1:15" x14ac:dyDescent="0.35">
      <c r="A1544">
        <v>2004</v>
      </c>
      <c r="B1544">
        <v>3</v>
      </c>
      <c r="C1544">
        <v>22</v>
      </c>
      <c r="D1544" s="1">
        <f t="shared" si="192"/>
        <v>38068</v>
      </c>
      <c r="E1544">
        <v>0</v>
      </c>
      <c r="F1544">
        <f t="shared" si="198"/>
        <v>0</v>
      </c>
      <c r="G1544">
        <f t="shared" si="193"/>
        <v>0</v>
      </c>
      <c r="H1544">
        <f t="shared" si="199"/>
        <v>0</v>
      </c>
      <c r="I1544">
        <v>1543</v>
      </c>
      <c r="J1544">
        <f t="shared" si="194"/>
        <v>0.98719578729100832</v>
      </c>
      <c r="K1544">
        <f t="shared" si="195"/>
        <v>0.15951325197263796</v>
      </c>
      <c r="L1544">
        <f>VLOOKUP(D1544,[1]SOI!$A$1:$C$142,3)</f>
        <v>8.6</v>
      </c>
      <c r="M1544" s="2">
        <f t="shared" si="196"/>
        <v>1523.2430997900258</v>
      </c>
      <c r="N1544">
        <f t="shared" si="197"/>
        <v>246.12894779378038</v>
      </c>
      <c r="O1544" t="s">
        <v>8</v>
      </c>
    </row>
    <row r="1545" spans="1:15" x14ac:dyDescent="0.35">
      <c r="A1545">
        <v>2004</v>
      </c>
      <c r="B1545">
        <v>3</v>
      </c>
      <c r="C1545">
        <v>23</v>
      </c>
      <c r="D1545" s="1">
        <f t="shared" si="192"/>
        <v>38069</v>
      </c>
      <c r="E1545">
        <v>0</v>
      </c>
      <c r="F1545">
        <f t="shared" si="198"/>
        <v>0</v>
      </c>
      <c r="G1545">
        <f t="shared" si="193"/>
        <v>0</v>
      </c>
      <c r="H1545">
        <f t="shared" si="199"/>
        <v>0</v>
      </c>
      <c r="I1545">
        <v>1544</v>
      </c>
      <c r="J1545">
        <f t="shared" si="194"/>
        <v>0.98979360296707164</v>
      </c>
      <c r="K1545">
        <f t="shared" si="195"/>
        <v>0.14250832791617141</v>
      </c>
      <c r="L1545">
        <f>VLOOKUP(D1545,[1]SOI!$A$1:$C$142,3)</f>
        <v>8.6</v>
      </c>
      <c r="M1545" s="2">
        <f t="shared" si="196"/>
        <v>1528.2413229811586</v>
      </c>
      <c r="N1545">
        <f t="shared" si="197"/>
        <v>220.03285830256866</v>
      </c>
      <c r="O1545" t="s">
        <v>8</v>
      </c>
    </row>
    <row r="1546" spans="1:15" x14ac:dyDescent="0.35">
      <c r="A1546">
        <v>2004</v>
      </c>
      <c r="B1546">
        <v>3</v>
      </c>
      <c r="C1546">
        <v>24</v>
      </c>
      <c r="D1546" s="1">
        <f t="shared" si="192"/>
        <v>38070</v>
      </c>
      <c r="E1546">
        <v>0</v>
      </c>
      <c r="F1546">
        <f t="shared" si="198"/>
        <v>0</v>
      </c>
      <c r="G1546">
        <f t="shared" si="193"/>
        <v>0</v>
      </c>
      <c r="H1546">
        <f t="shared" si="199"/>
        <v>0</v>
      </c>
      <c r="I1546">
        <v>1545</v>
      </c>
      <c r="J1546">
        <f t="shared" si="194"/>
        <v>0.99209852279176902</v>
      </c>
      <c r="K1546">
        <f t="shared" si="195"/>
        <v>0.1254612333527359</v>
      </c>
      <c r="L1546">
        <f>VLOOKUP(D1546,[1]SOI!$A$1:$C$142,3)</f>
        <v>8.6</v>
      </c>
      <c r="M1546" s="2">
        <f t="shared" si="196"/>
        <v>1532.7922177132832</v>
      </c>
      <c r="N1546">
        <f t="shared" si="197"/>
        <v>193.83760552997697</v>
      </c>
      <c r="O1546" t="s">
        <v>8</v>
      </c>
    </row>
    <row r="1547" spans="1:15" x14ac:dyDescent="0.35">
      <c r="A1547">
        <v>2004</v>
      </c>
      <c r="B1547">
        <v>3</v>
      </c>
      <c r="C1547">
        <v>25</v>
      </c>
      <c r="D1547" s="1">
        <f t="shared" si="192"/>
        <v>38071</v>
      </c>
      <c r="E1547">
        <v>0</v>
      </c>
      <c r="F1547">
        <f t="shared" si="198"/>
        <v>0</v>
      </c>
      <c r="G1547">
        <f t="shared" si="193"/>
        <v>0</v>
      </c>
      <c r="H1547">
        <f t="shared" si="199"/>
        <v>0</v>
      </c>
      <c r="I1547">
        <v>1546</v>
      </c>
      <c r="J1547">
        <f t="shared" si="194"/>
        <v>0.99410986470224161</v>
      </c>
      <c r="K1547">
        <f t="shared" si="195"/>
        <v>0.10837701279187772</v>
      </c>
      <c r="L1547">
        <f>VLOOKUP(D1547,[1]SOI!$A$1:$C$142,3)</f>
        <v>8.6</v>
      </c>
      <c r="M1547" s="2">
        <f t="shared" si="196"/>
        <v>1536.8938508296656</v>
      </c>
      <c r="N1547">
        <f t="shared" si="197"/>
        <v>167.55086177624295</v>
      </c>
      <c r="O1547" t="s">
        <v>8</v>
      </c>
    </row>
    <row r="1548" spans="1:15" x14ac:dyDescent="0.35">
      <c r="A1548">
        <v>2004</v>
      </c>
      <c r="B1548">
        <v>3</v>
      </c>
      <c r="C1548">
        <v>26</v>
      </c>
      <c r="D1548" s="1">
        <f t="shared" si="192"/>
        <v>38072</v>
      </c>
      <c r="E1548">
        <v>0</v>
      </c>
      <c r="F1548">
        <f t="shared" si="198"/>
        <v>0</v>
      </c>
      <c r="G1548">
        <f t="shared" si="193"/>
        <v>0</v>
      </c>
      <c r="H1548">
        <f t="shared" si="199"/>
        <v>0</v>
      </c>
      <c r="I1548">
        <v>1547</v>
      </c>
      <c r="J1548">
        <f t="shared" si="194"/>
        <v>0.99582703351005941</v>
      </c>
      <c r="K1548">
        <f t="shared" si="195"/>
        <v>9.1260721729312405E-2</v>
      </c>
      <c r="L1548">
        <f>VLOOKUP(D1548,[1]SOI!$A$1:$C$142,3)</f>
        <v>8.6</v>
      </c>
      <c r="M1548" s="2">
        <f t="shared" si="196"/>
        <v>1540.544420840062</v>
      </c>
      <c r="N1548">
        <f t="shared" si="197"/>
        <v>141.1803365152463</v>
      </c>
      <c r="O1548" t="s">
        <v>8</v>
      </c>
    </row>
    <row r="1549" spans="1:15" x14ac:dyDescent="0.35">
      <c r="A1549">
        <v>2004</v>
      </c>
      <c r="B1549">
        <v>3</v>
      </c>
      <c r="C1549">
        <v>27</v>
      </c>
      <c r="D1549" s="1">
        <f t="shared" si="192"/>
        <v>38073</v>
      </c>
      <c r="E1549">
        <v>0</v>
      </c>
      <c r="F1549">
        <f t="shared" si="198"/>
        <v>0</v>
      </c>
      <c r="G1549">
        <f t="shared" si="193"/>
        <v>0</v>
      </c>
      <c r="H1549">
        <f t="shared" si="199"/>
        <v>0</v>
      </c>
      <c r="I1549">
        <v>1548</v>
      </c>
      <c r="J1549">
        <f t="shared" si="194"/>
        <v>0.9972495210773451</v>
      </c>
      <c r="K1549">
        <f t="shared" si="195"/>
        <v>7.4117425150943564E-2</v>
      </c>
      <c r="L1549">
        <f>VLOOKUP(D1549,[1]SOI!$A$1:$C$142,3)</f>
        <v>8.6</v>
      </c>
      <c r="M1549" s="2">
        <f t="shared" si="196"/>
        <v>1543.7422586277303</v>
      </c>
      <c r="N1549">
        <f t="shared" si="197"/>
        <v>114.73377413366063</v>
      </c>
      <c r="O1549" t="s">
        <v>8</v>
      </c>
    </row>
    <row r="1550" spans="1:15" x14ac:dyDescent="0.35">
      <c r="A1550">
        <v>2004</v>
      </c>
      <c r="B1550">
        <v>3</v>
      </c>
      <c r="C1550">
        <v>28</v>
      </c>
      <c r="D1550" s="1">
        <f t="shared" si="192"/>
        <v>38074</v>
      </c>
      <c r="E1550">
        <v>0</v>
      </c>
      <c r="F1550">
        <f t="shared" si="198"/>
        <v>0</v>
      </c>
      <c r="G1550">
        <f t="shared" si="193"/>
        <v>0</v>
      </c>
      <c r="H1550">
        <f t="shared" si="199"/>
        <v>0</v>
      </c>
      <c r="I1550">
        <v>1549</v>
      </c>
      <c r="J1550">
        <f t="shared" si="194"/>
        <v>0.99837690646714183</v>
      </c>
      <c r="K1550">
        <f t="shared" si="195"/>
        <v>5.6952196034041398E-2</v>
      </c>
      <c r="L1550">
        <f>VLOOKUP(D1550,[1]SOI!$A$1:$C$142,3)</f>
        <v>8.6</v>
      </c>
      <c r="M1550" s="2">
        <f t="shared" si="196"/>
        <v>1546.4858281176028</v>
      </c>
      <c r="N1550">
        <f t="shared" si="197"/>
        <v>88.218951656730127</v>
      </c>
      <c r="O1550" t="s">
        <v>8</v>
      </c>
    </row>
    <row r="1551" spans="1:15" x14ac:dyDescent="0.35">
      <c r="A1551">
        <v>2004</v>
      </c>
      <c r="B1551">
        <v>3</v>
      </c>
      <c r="C1551">
        <v>29</v>
      </c>
      <c r="D1551" s="1">
        <f t="shared" si="192"/>
        <v>38075</v>
      </c>
      <c r="E1551">
        <v>6.8</v>
      </c>
      <c r="F1551">
        <f t="shared" si="198"/>
        <v>0</v>
      </c>
      <c r="G1551">
        <f t="shared" si="193"/>
        <v>1</v>
      </c>
      <c r="H1551">
        <f t="shared" si="199"/>
        <v>0</v>
      </c>
      <c r="I1551">
        <v>1550</v>
      </c>
      <c r="J1551">
        <f t="shared" si="194"/>
        <v>0.99920885606797527</v>
      </c>
      <c r="K1551">
        <f t="shared" si="195"/>
        <v>3.9770113846056485E-2</v>
      </c>
      <c r="L1551">
        <f>VLOOKUP(D1551,[1]SOI!$A$1:$C$142,3)</f>
        <v>8.6</v>
      </c>
      <c r="M1551" s="2">
        <f t="shared" si="196"/>
        <v>1548.7737269053616</v>
      </c>
      <c r="N1551">
        <f t="shared" si="197"/>
        <v>61.64367646138755</v>
      </c>
      <c r="O1551" t="s">
        <v>8</v>
      </c>
    </row>
    <row r="1552" spans="1:15" x14ac:dyDescent="0.35">
      <c r="A1552">
        <v>2004</v>
      </c>
      <c r="B1552">
        <v>3</v>
      </c>
      <c r="C1552">
        <v>30</v>
      </c>
      <c r="D1552" s="1">
        <f t="shared" si="192"/>
        <v>38076</v>
      </c>
      <c r="E1552">
        <v>1.6</v>
      </c>
      <c r="F1552">
        <f t="shared" si="198"/>
        <v>6.8</v>
      </c>
      <c r="G1552">
        <f t="shared" si="193"/>
        <v>1</v>
      </c>
      <c r="H1552">
        <f t="shared" si="199"/>
        <v>1</v>
      </c>
      <c r="I1552">
        <v>1551</v>
      </c>
      <c r="J1552">
        <f t="shared" si="194"/>
        <v>0.9997451236925734</v>
      </c>
      <c r="K1552">
        <f t="shared" si="195"/>
        <v>2.2576263041544909E-2</v>
      </c>
      <c r="L1552">
        <f>VLOOKUP(D1552,[1]SOI!$A$1:$C$142,3)</f>
        <v>8.6</v>
      </c>
      <c r="M1552" s="2">
        <f t="shared" si="196"/>
        <v>1550.6046868471813</v>
      </c>
      <c r="N1552">
        <f t="shared" si="197"/>
        <v>35.015783977436151</v>
      </c>
      <c r="O1552" t="s">
        <v>8</v>
      </c>
    </row>
    <row r="1553" spans="1:15" x14ac:dyDescent="0.35">
      <c r="A1553">
        <v>2004</v>
      </c>
      <c r="B1553">
        <v>3</v>
      </c>
      <c r="C1553">
        <v>31</v>
      </c>
      <c r="D1553" s="1">
        <f t="shared" si="192"/>
        <v>38077</v>
      </c>
      <c r="E1553">
        <v>0.4</v>
      </c>
      <c r="F1553">
        <f t="shared" si="198"/>
        <v>1.6</v>
      </c>
      <c r="G1553">
        <f t="shared" si="193"/>
        <v>1</v>
      </c>
      <c r="H1553">
        <f t="shared" si="199"/>
        <v>1</v>
      </c>
      <c r="I1553">
        <v>1552</v>
      </c>
      <c r="J1553">
        <f t="shared" si="194"/>
        <v>0.99998555065071859</v>
      </c>
      <c r="K1553">
        <f t="shared" si="195"/>
        <v>5.3757315575857527E-3</v>
      </c>
      <c r="L1553">
        <f>VLOOKUP(D1553,[1]SOI!$A$1:$C$142,3)</f>
        <v>8.6</v>
      </c>
      <c r="M1553" s="2">
        <f t="shared" si="196"/>
        <v>1551.9775746099153</v>
      </c>
      <c r="N1553">
        <f t="shared" si="197"/>
        <v>8.3431353773730876</v>
      </c>
      <c r="O1553" t="s">
        <v>8</v>
      </c>
    </row>
    <row r="1554" spans="1:15" x14ac:dyDescent="0.35">
      <c r="A1554">
        <v>2004</v>
      </c>
      <c r="B1554">
        <v>4</v>
      </c>
      <c r="C1554">
        <v>1</v>
      </c>
      <c r="D1554" s="1">
        <f t="shared" si="192"/>
        <v>38078</v>
      </c>
      <c r="E1554">
        <v>0</v>
      </c>
      <c r="F1554">
        <f t="shared" si="198"/>
        <v>0.4</v>
      </c>
      <c r="G1554">
        <f t="shared" si="193"/>
        <v>0</v>
      </c>
      <c r="H1554">
        <f t="shared" si="199"/>
        <v>1</v>
      </c>
      <c r="I1554">
        <v>1553</v>
      </c>
      <c r="J1554">
        <f t="shared" si="194"/>
        <v>0.99993006579620569</v>
      </c>
      <c r="K1554">
        <f t="shared" si="195"/>
        <v>-1.1826390691832053E-2</v>
      </c>
      <c r="L1554">
        <f>VLOOKUP(D1554,[1]SOI!$A$1:$C$142,3)</f>
        <v>0.2</v>
      </c>
      <c r="M1554" s="2">
        <f t="shared" si="196"/>
        <v>1552.8913921815074</v>
      </c>
      <c r="N1554">
        <f t="shared" si="197"/>
        <v>-18.366384744415178</v>
      </c>
      <c r="O1554" t="s">
        <v>8</v>
      </c>
    </row>
    <row r="1555" spans="1:15" x14ac:dyDescent="0.35">
      <c r="A1555">
        <v>2004</v>
      </c>
      <c r="B1555">
        <v>4</v>
      </c>
      <c r="C1555">
        <v>2</v>
      </c>
      <c r="D1555" s="1">
        <f t="shared" si="192"/>
        <v>38079</v>
      </c>
      <c r="E1555">
        <v>0.2</v>
      </c>
      <c r="F1555">
        <f t="shared" si="198"/>
        <v>0</v>
      </c>
      <c r="G1555">
        <f t="shared" si="193"/>
        <v>1</v>
      </c>
      <c r="H1555">
        <f t="shared" si="199"/>
        <v>0</v>
      </c>
      <c r="I1555">
        <v>1554</v>
      </c>
      <c r="J1555">
        <f t="shared" si="194"/>
        <v>0.99957868554789586</v>
      </c>
      <c r="K1555">
        <f t="shared" si="195"/>
        <v>-2.902501332197226E-2</v>
      </c>
      <c r="L1555">
        <f>VLOOKUP(D1555,[1]SOI!$A$1:$C$142,3)</f>
        <v>0.2</v>
      </c>
      <c r="M1555" s="2">
        <f t="shared" si="196"/>
        <v>1553.3452773414301</v>
      </c>
      <c r="N1555">
        <f t="shared" si="197"/>
        <v>-45.10487070234489</v>
      </c>
      <c r="O1555" t="s">
        <v>8</v>
      </c>
    </row>
    <row r="1556" spans="1:15" x14ac:dyDescent="0.35">
      <c r="A1556">
        <v>2004</v>
      </c>
      <c r="B1556">
        <v>4</v>
      </c>
      <c r="C1556">
        <v>3</v>
      </c>
      <c r="D1556" s="1">
        <f t="shared" si="192"/>
        <v>38080</v>
      </c>
      <c r="E1556">
        <v>0</v>
      </c>
      <c r="F1556">
        <f t="shared" si="198"/>
        <v>0.2</v>
      </c>
      <c r="G1556">
        <f t="shared" si="193"/>
        <v>0</v>
      </c>
      <c r="H1556">
        <f t="shared" si="199"/>
        <v>1</v>
      </c>
      <c r="I1556">
        <v>1555</v>
      </c>
      <c r="J1556">
        <f t="shared" si="194"/>
        <v>0.99893151388485779</v>
      </c>
      <c r="K1556">
        <f t="shared" si="195"/>
        <v>-4.6215046983706487E-2</v>
      </c>
      <c r="L1556">
        <f>VLOOKUP(D1556,[1]SOI!$A$1:$C$142,3)</f>
        <v>0.2</v>
      </c>
      <c r="M1556" s="2">
        <f t="shared" si="196"/>
        <v>1553.3385040909538</v>
      </c>
      <c r="N1556">
        <f t="shared" si="197"/>
        <v>-71.864398059663586</v>
      </c>
      <c r="O1556" t="s">
        <v>8</v>
      </c>
    </row>
    <row r="1557" spans="1:15" x14ac:dyDescent="0.35">
      <c r="A1557">
        <v>2004</v>
      </c>
      <c r="B1557">
        <v>4</v>
      </c>
      <c r="C1557">
        <v>4</v>
      </c>
      <c r="D1557" s="1">
        <f t="shared" si="192"/>
        <v>38081</v>
      </c>
      <c r="E1557">
        <v>0</v>
      </c>
      <c r="F1557">
        <f t="shared" si="198"/>
        <v>0</v>
      </c>
      <c r="G1557">
        <f t="shared" si="193"/>
        <v>0</v>
      </c>
      <c r="H1557">
        <f t="shared" si="199"/>
        <v>0</v>
      </c>
      <c r="I1557">
        <v>1556</v>
      </c>
      <c r="J1557">
        <f t="shared" si="194"/>
        <v>0.99798874231559842</v>
      </c>
      <c r="K1557">
        <f t="shared" si="195"/>
        <v>-6.3391404869509629E-2</v>
      </c>
      <c r="L1557">
        <f>VLOOKUP(D1557,[1]SOI!$A$1:$C$142,3)</f>
        <v>0.2</v>
      </c>
      <c r="M1557" s="2">
        <f t="shared" si="196"/>
        <v>1552.8704830430711</v>
      </c>
      <c r="N1557">
        <f t="shared" si="197"/>
        <v>-98.637025976956977</v>
      </c>
      <c r="O1557" t="s">
        <v>8</v>
      </c>
    </row>
    <row r="1558" spans="1:15" x14ac:dyDescent="0.35">
      <c r="A1558">
        <v>2004</v>
      </c>
      <c r="B1558">
        <v>4</v>
      </c>
      <c r="C1558">
        <v>5</v>
      </c>
      <c r="D1558" s="1">
        <f t="shared" si="192"/>
        <v>38082</v>
      </c>
      <c r="E1558">
        <v>0</v>
      </c>
      <c r="F1558">
        <f t="shared" si="198"/>
        <v>0</v>
      </c>
      <c r="G1558">
        <f t="shared" si="193"/>
        <v>0</v>
      </c>
      <c r="H1558">
        <f t="shared" si="199"/>
        <v>0</v>
      </c>
      <c r="I1558">
        <v>1557</v>
      </c>
      <c r="J1558">
        <f t="shared" si="194"/>
        <v>0.99675064982139316</v>
      </c>
      <c r="K1558">
        <f t="shared" si="195"/>
        <v>-8.0549004218738701E-2</v>
      </c>
      <c r="L1558">
        <f>VLOOKUP(D1558,[1]SOI!$A$1:$C$142,3)</f>
        <v>0.2</v>
      </c>
      <c r="M1558" s="2">
        <f t="shared" si="196"/>
        <v>1551.9407617719091</v>
      </c>
      <c r="N1558">
        <f t="shared" si="197"/>
        <v>-125.41479956857616</v>
      </c>
      <c r="O1558" t="s">
        <v>8</v>
      </c>
    </row>
    <row r="1559" spans="1:15" x14ac:dyDescent="0.35">
      <c r="A1559">
        <v>2004</v>
      </c>
      <c r="B1559">
        <v>4</v>
      </c>
      <c r="C1559">
        <v>6</v>
      </c>
      <c r="D1559" s="1">
        <f t="shared" si="192"/>
        <v>38083</v>
      </c>
      <c r="E1559">
        <v>0</v>
      </c>
      <c r="F1559">
        <f t="shared" si="198"/>
        <v>0</v>
      </c>
      <c r="G1559">
        <f t="shared" si="193"/>
        <v>0</v>
      </c>
      <c r="H1559">
        <f t="shared" si="199"/>
        <v>0</v>
      </c>
      <c r="I1559">
        <v>1558</v>
      </c>
      <c r="J1559">
        <f t="shared" si="194"/>
        <v>0.99521760277372961</v>
      </c>
      <c r="K1559">
        <f t="shared" si="195"/>
        <v>-9.7682767821714117E-2</v>
      </c>
      <c r="L1559">
        <f>VLOOKUP(D1559,[1]SOI!$A$1:$C$142,3)</f>
        <v>0.2</v>
      </c>
      <c r="M1559" s="2">
        <f t="shared" si="196"/>
        <v>1550.5490251214708</v>
      </c>
      <c r="N1559">
        <f t="shared" si="197"/>
        <v>-152.18975226623058</v>
      </c>
      <c r="O1559" t="s">
        <v>8</v>
      </c>
    </row>
    <row r="1560" spans="1:15" x14ac:dyDescent="0.35">
      <c r="A1560">
        <v>2004</v>
      </c>
      <c r="B1560">
        <v>4</v>
      </c>
      <c r="C1560">
        <v>7</v>
      </c>
      <c r="D1560" s="1">
        <f t="shared" si="192"/>
        <v>38084</v>
      </c>
      <c r="E1560">
        <v>0</v>
      </c>
      <c r="F1560">
        <f t="shared" si="198"/>
        <v>0</v>
      </c>
      <c r="G1560">
        <f t="shared" si="193"/>
        <v>0</v>
      </c>
      <c r="H1560">
        <f t="shared" si="199"/>
        <v>0</v>
      </c>
      <c r="I1560">
        <v>1559</v>
      </c>
      <c r="J1560">
        <f t="shared" si="194"/>
        <v>0.99339005482589371</v>
      </c>
      <c r="K1560">
        <f t="shared" si="195"/>
        <v>-0.11478762552212649</v>
      </c>
      <c r="L1560">
        <f>VLOOKUP(D1560,[1]SOI!$A$1:$C$142,3)</f>
        <v>0.2</v>
      </c>
      <c r="M1560" s="2">
        <f t="shared" si="196"/>
        <v>1548.6950954735682</v>
      </c>
      <c r="N1560">
        <f t="shared" si="197"/>
        <v>-178.9539081889952</v>
      </c>
      <c r="O1560" t="s">
        <v>8</v>
      </c>
    </row>
    <row r="1561" spans="1:15" x14ac:dyDescent="0.35">
      <c r="A1561">
        <v>2004</v>
      </c>
      <c r="B1561">
        <v>4</v>
      </c>
      <c r="C1561">
        <v>8</v>
      </c>
      <c r="D1561" s="1">
        <f t="shared" si="192"/>
        <v>38085</v>
      </c>
      <c r="E1561">
        <v>0</v>
      </c>
      <c r="F1561">
        <f t="shared" si="198"/>
        <v>0</v>
      </c>
      <c r="G1561">
        <f t="shared" si="193"/>
        <v>0</v>
      </c>
      <c r="H1561">
        <f t="shared" si="199"/>
        <v>0</v>
      </c>
      <c r="I1561">
        <v>1560</v>
      </c>
      <c r="J1561">
        <f t="shared" si="194"/>
        <v>0.991268546778726</v>
      </c>
      <c r="K1561">
        <f t="shared" si="195"/>
        <v>-0.13185851571738799</v>
      </c>
      <c r="L1561">
        <f>VLOOKUP(D1561,[1]SOI!$A$1:$C$142,3)</f>
        <v>0.2</v>
      </c>
      <c r="M1561" s="2">
        <f t="shared" si="196"/>
        <v>1546.3789329748126</v>
      </c>
      <c r="N1561">
        <f t="shared" si="197"/>
        <v>-205.69928451912526</v>
      </c>
      <c r="O1561" t="s">
        <v>8</v>
      </c>
    </row>
    <row r="1562" spans="1:15" x14ac:dyDescent="0.35">
      <c r="A1562">
        <v>2004</v>
      </c>
      <c r="B1562">
        <v>4</v>
      </c>
      <c r="C1562">
        <v>9</v>
      </c>
      <c r="D1562" s="1">
        <f t="shared" si="192"/>
        <v>38086</v>
      </c>
      <c r="E1562">
        <v>0</v>
      </c>
      <c r="F1562">
        <f t="shared" si="198"/>
        <v>0</v>
      </c>
      <c r="G1562">
        <f t="shared" si="193"/>
        <v>0</v>
      </c>
      <c r="H1562">
        <f t="shared" si="199"/>
        <v>0</v>
      </c>
      <c r="I1562">
        <v>1561</v>
      </c>
      <c r="J1562">
        <f t="shared" si="194"/>
        <v>0.98885370642058867</v>
      </c>
      <c r="K1562">
        <f t="shared" si="195"/>
        <v>-0.14889038685645276</v>
      </c>
      <c r="L1562">
        <f>VLOOKUP(D1562,[1]SOI!$A$1:$C$142,3)</f>
        <v>0.2</v>
      </c>
      <c r="M1562" s="2">
        <f t="shared" si="196"/>
        <v>1543.600635722539</v>
      </c>
      <c r="N1562">
        <f t="shared" si="197"/>
        <v>-232.41789388292275</v>
      </c>
      <c r="O1562" t="s">
        <v>8</v>
      </c>
    </row>
    <row r="1563" spans="1:15" x14ac:dyDescent="0.35">
      <c r="A1563">
        <v>2004</v>
      </c>
      <c r="B1563">
        <v>4</v>
      </c>
      <c r="C1563">
        <v>10</v>
      </c>
      <c r="D1563" s="1">
        <f t="shared" si="192"/>
        <v>38087</v>
      </c>
      <c r="E1563">
        <v>0</v>
      </c>
      <c r="F1563">
        <f t="shared" si="198"/>
        <v>0</v>
      </c>
      <c r="G1563">
        <f t="shared" si="193"/>
        <v>0</v>
      </c>
      <c r="H1563">
        <f t="shared" si="199"/>
        <v>0</v>
      </c>
      <c r="I1563">
        <v>1562</v>
      </c>
      <c r="J1563">
        <f t="shared" si="194"/>
        <v>0.98614624834159459</v>
      </c>
      <c r="K1563">
        <f t="shared" si="195"/>
        <v>-0.16587819893463418</v>
      </c>
      <c r="L1563">
        <f>VLOOKUP(D1563,[1]SOI!$A$1:$C$142,3)</f>
        <v>0.2</v>
      </c>
      <c r="M1563" s="2">
        <f t="shared" si="196"/>
        <v>1540.3604399095707</v>
      </c>
      <c r="N1563">
        <f t="shared" si="197"/>
        <v>-259.10174673589859</v>
      </c>
      <c r="O1563" t="s">
        <v>8</v>
      </c>
    </row>
    <row r="1564" spans="1:15" x14ac:dyDescent="0.35">
      <c r="A1564">
        <v>2004</v>
      </c>
      <c r="B1564">
        <v>4</v>
      </c>
      <c r="C1564">
        <v>11</v>
      </c>
      <c r="D1564" s="1">
        <f t="shared" si="192"/>
        <v>38088</v>
      </c>
      <c r="E1564">
        <v>0.4</v>
      </c>
      <c r="F1564">
        <f t="shared" si="198"/>
        <v>0</v>
      </c>
      <c r="G1564">
        <f t="shared" si="193"/>
        <v>1</v>
      </c>
      <c r="H1564">
        <f t="shared" si="199"/>
        <v>0</v>
      </c>
      <c r="I1564">
        <v>1563</v>
      </c>
      <c r="J1564">
        <f t="shared" si="194"/>
        <v>0.98314697372215043</v>
      </c>
      <c r="K1564">
        <f t="shared" si="195"/>
        <v>-0.18281692498501675</v>
      </c>
      <c r="L1564">
        <f>VLOOKUP(D1564,[1]SOI!$A$1:$C$142,3)</f>
        <v>0.2</v>
      </c>
      <c r="M1564" s="2">
        <f t="shared" si="196"/>
        <v>1536.6587199277212</v>
      </c>
      <c r="N1564">
        <f t="shared" si="197"/>
        <v>-285.74285375158121</v>
      </c>
      <c r="O1564" t="s">
        <v>8</v>
      </c>
    </row>
    <row r="1565" spans="1:15" x14ac:dyDescent="0.35">
      <c r="A1565">
        <v>2004</v>
      </c>
      <c r="B1565">
        <v>4</v>
      </c>
      <c r="C1565">
        <v>12</v>
      </c>
      <c r="D1565" s="1">
        <f t="shared" si="192"/>
        <v>38089</v>
      </c>
      <c r="E1565">
        <v>0</v>
      </c>
      <c r="F1565">
        <f t="shared" si="198"/>
        <v>0.4</v>
      </c>
      <c r="G1565">
        <f t="shared" si="193"/>
        <v>0</v>
      </c>
      <c r="H1565">
        <f t="shared" si="199"/>
        <v>1</v>
      </c>
      <c r="I1565">
        <v>1564</v>
      </c>
      <c r="J1565">
        <f t="shared" si="194"/>
        <v>0.97985677009586614</v>
      </c>
      <c r="K1565">
        <f t="shared" si="195"/>
        <v>-0.19970155256606523</v>
      </c>
      <c r="L1565">
        <f>VLOOKUP(D1565,[1]SOI!$A$1:$C$142,3)</f>
        <v>0.2</v>
      </c>
      <c r="M1565" s="2">
        <f t="shared" si="196"/>
        <v>1532.4959884299346</v>
      </c>
      <c r="N1565">
        <f t="shared" si="197"/>
        <v>-312.33322821332604</v>
      </c>
      <c r="O1565" t="s">
        <v>8</v>
      </c>
    </row>
    <row r="1566" spans="1:15" x14ac:dyDescent="0.35">
      <c r="A1566">
        <v>2004</v>
      </c>
      <c r="B1566">
        <v>4</v>
      </c>
      <c r="C1566">
        <v>13</v>
      </c>
      <c r="D1566" s="1">
        <f t="shared" si="192"/>
        <v>38090</v>
      </c>
      <c r="E1566">
        <v>0</v>
      </c>
      <c r="F1566">
        <f t="shared" si="198"/>
        <v>0</v>
      </c>
      <c r="G1566">
        <f t="shared" si="193"/>
        <v>0</v>
      </c>
      <c r="H1566">
        <f t="shared" si="199"/>
        <v>0</v>
      </c>
      <c r="I1566">
        <v>1565</v>
      </c>
      <c r="J1566">
        <f t="shared" si="194"/>
        <v>0.97627661108693309</v>
      </c>
      <c r="K1566">
        <f t="shared" si="195"/>
        <v>-0.21652708524480996</v>
      </c>
      <c r="L1566">
        <f>VLOOKUP(D1566,[1]SOI!$A$1:$C$142,3)</f>
        <v>0.2</v>
      </c>
      <c r="M1566" s="2">
        <f t="shared" si="196"/>
        <v>1527.8728963510503</v>
      </c>
      <c r="N1566">
        <f t="shared" si="197"/>
        <v>-338.86488840812757</v>
      </c>
      <c r="O1566" t="s">
        <v>8</v>
      </c>
    </row>
    <row r="1567" spans="1:15" x14ac:dyDescent="0.35">
      <c r="A1567">
        <v>2004</v>
      </c>
      <c r="B1567">
        <v>4</v>
      </c>
      <c r="C1567">
        <v>14</v>
      </c>
      <c r="D1567" s="1">
        <f t="shared" si="192"/>
        <v>38091</v>
      </c>
      <c r="E1567">
        <v>0</v>
      </c>
      <c r="F1567">
        <f t="shared" si="198"/>
        <v>0</v>
      </c>
      <c r="G1567">
        <f t="shared" si="193"/>
        <v>0</v>
      </c>
      <c r="H1567">
        <f t="shared" si="199"/>
        <v>0</v>
      </c>
      <c r="I1567">
        <v>1566</v>
      </c>
      <c r="J1567">
        <f t="shared" si="194"/>
        <v>0.97240755612199681</v>
      </c>
      <c r="K1567">
        <f t="shared" si="195"/>
        <v>-0.23328854407545532</v>
      </c>
      <c r="L1567">
        <f>VLOOKUP(D1567,[1]SOI!$A$1:$C$142,3)</f>
        <v>0.2</v>
      </c>
      <c r="M1567" s="2">
        <f t="shared" si="196"/>
        <v>1522.7902328870471</v>
      </c>
      <c r="N1567">
        <f t="shared" si="197"/>
        <v>-365.32986002216302</v>
      </c>
      <c r="O1567" t="s">
        <v>8</v>
      </c>
    </row>
    <row r="1568" spans="1:15" x14ac:dyDescent="0.35">
      <c r="A1568">
        <v>2004</v>
      </c>
      <c r="B1568">
        <v>4</v>
      </c>
      <c r="C1568">
        <v>15</v>
      </c>
      <c r="D1568" s="1">
        <f t="shared" si="192"/>
        <v>38092</v>
      </c>
      <c r="E1568">
        <v>0</v>
      </c>
      <c r="F1568">
        <f t="shared" si="198"/>
        <v>0</v>
      </c>
      <c r="G1568">
        <f t="shared" si="193"/>
        <v>0</v>
      </c>
      <c r="H1568">
        <f t="shared" si="199"/>
        <v>0</v>
      </c>
      <c r="I1568">
        <v>1567</v>
      </c>
      <c r="J1568">
        <f t="shared" si="194"/>
        <v>0.9682507501166715</v>
      </c>
      <c r="K1568">
        <f t="shared" si="195"/>
        <v>-0.24998096907265352</v>
      </c>
      <c r="L1568">
        <f>VLOOKUP(D1568,[1]SOI!$A$1:$C$142,3)</f>
        <v>0.2</v>
      </c>
      <c r="M1568" s="2">
        <f t="shared" si="196"/>
        <v>1517.2489254328243</v>
      </c>
      <c r="N1568">
        <f t="shared" si="197"/>
        <v>-391.72017853684804</v>
      </c>
      <c r="O1568" t="s">
        <v>8</v>
      </c>
    </row>
    <row r="1569" spans="1:15" x14ac:dyDescent="0.35">
      <c r="A1569">
        <v>2004</v>
      </c>
      <c r="B1569">
        <v>4</v>
      </c>
      <c r="C1569">
        <v>16</v>
      </c>
      <c r="D1569" s="1">
        <f t="shared" si="192"/>
        <v>38093</v>
      </c>
      <c r="E1569">
        <v>0</v>
      </c>
      <c r="F1569">
        <f t="shared" si="198"/>
        <v>0</v>
      </c>
      <c r="G1569">
        <f t="shared" si="193"/>
        <v>0</v>
      </c>
      <c r="H1569">
        <f t="shared" si="199"/>
        <v>0</v>
      </c>
      <c r="I1569">
        <v>1568</v>
      </c>
      <c r="J1569">
        <f t="shared" si="194"/>
        <v>0.96380742313673196</v>
      </c>
      <c r="K1569">
        <f t="shared" si="195"/>
        <v>-0.26659942067928921</v>
      </c>
      <c r="L1569">
        <f>VLOOKUP(D1569,[1]SOI!$A$1:$C$142,3)</f>
        <v>0.2</v>
      </c>
      <c r="M1569" s="2">
        <f t="shared" si="196"/>
        <v>1511.2500394783956</v>
      </c>
      <c r="N1569">
        <f t="shared" si="197"/>
        <v>-418.02789162512551</v>
      </c>
      <c r="O1569" t="s">
        <v>8</v>
      </c>
    </row>
    <row r="1570" spans="1:15" x14ac:dyDescent="0.35">
      <c r="A1570">
        <v>2004</v>
      </c>
      <c r="B1570">
        <v>4</v>
      </c>
      <c r="C1570">
        <v>17</v>
      </c>
      <c r="D1570" s="1">
        <f t="shared" si="192"/>
        <v>38094</v>
      </c>
      <c r="E1570">
        <v>0</v>
      </c>
      <c r="F1570">
        <f t="shared" si="198"/>
        <v>0</v>
      </c>
      <c r="G1570">
        <f t="shared" si="193"/>
        <v>0</v>
      </c>
      <c r="H1570">
        <f t="shared" si="199"/>
        <v>0</v>
      </c>
      <c r="I1570">
        <v>1569</v>
      </c>
      <c r="J1570">
        <f t="shared" si="194"/>
        <v>0.95907889003411295</v>
      </c>
      <c r="K1570">
        <f t="shared" si="195"/>
        <v>-0.28313898122818387</v>
      </c>
      <c r="L1570">
        <f>VLOOKUP(D1570,[1]SOI!$A$1:$C$142,3)</f>
        <v>0.2</v>
      </c>
      <c r="M1570" s="2">
        <f t="shared" si="196"/>
        <v>1504.7947784635232</v>
      </c>
      <c r="N1570">
        <f t="shared" si="197"/>
        <v>-444.2450615470205</v>
      </c>
      <c r="O1570" t="s">
        <v>8</v>
      </c>
    </row>
    <row r="1571" spans="1:15" x14ac:dyDescent="0.35">
      <c r="A1571">
        <v>2004</v>
      </c>
      <c r="B1571">
        <v>4</v>
      </c>
      <c r="C1571">
        <v>18</v>
      </c>
      <c r="D1571" s="1">
        <f t="shared" si="192"/>
        <v>38095</v>
      </c>
      <c r="E1571">
        <v>3.6</v>
      </c>
      <c r="F1571">
        <f t="shared" si="198"/>
        <v>0</v>
      </c>
      <c r="G1571">
        <f t="shared" si="193"/>
        <v>1</v>
      </c>
      <c r="H1571">
        <f t="shared" si="199"/>
        <v>0</v>
      </c>
      <c r="I1571">
        <v>1570</v>
      </c>
      <c r="J1571">
        <f t="shared" si="194"/>
        <v>0.95406655005783825</v>
      </c>
      <c r="K1571">
        <f t="shared" si="195"/>
        <v>-0.29959475639726157</v>
      </c>
      <c r="L1571">
        <f>VLOOKUP(D1571,[1]SOI!$A$1:$C$142,3)</f>
        <v>0.2</v>
      </c>
      <c r="M1571" s="2">
        <f t="shared" si="196"/>
        <v>1497.884483590806</v>
      </c>
      <c r="N1571">
        <f t="shared" si="197"/>
        <v>-470.36376754370065</v>
      </c>
      <c r="O1571" t="s">
        <v>8</v>
      </c>
    </row>
    <row r="1572" spans="1:15" x14ac:dyDescent="0.35">
      <c r="A1572">
        <v>2004</v>
      </c>
      <c r="B1572">
        <v>4</v>
      </c>
      <c r="C1572">
        <v>19</v>
      </c>
      <c r="D1572" s="1">
        <f t="shared" si="192"/>
        <v>38096</v>
      </c>
      <c r="E1572">
        <v>0</v>
      </c>
      <c r="F1572">
        <f t="shared" si="198"/>
        <v>3.6</v>
      </c>
      <c r="G1572">
        <f t="shared" si="193"/>
        <v>0</v>
      </c>
      <c r="H1572">
        <f t="shared" si="199"/>
        <v>1</v>
      </c>
      <c r="I1572">
        <v>1571</v>
      </c>
      <c r="J1572">
        <f t="shared" si="194"/>
        <v>0.94877188643994759</v>
      </c>
      <c r="K1572">
        <f t="shared" si="195"/>
        <v>-0.31596187665790176</v>
      </c>
      <c r="L1572">
        <f>VLOOKUP(D1572,[1]SOI!$A$1:$C$142,3)</f>
        <v>0.2</v>
      </c>
      <c r="M1572" s="2">
        <f t="shared" si="196"/>
        <v>1490.5206335971577</v>
      </c>
      <c r="N1572">
        <f t="shared" si="197"/>
        <v>-496.37610822956367</v>
      </c>
      <c r="O1572" t="s">
        <v>8</v>
      </c>
    </row>
    <row r="1573" spans="1:15" x14ac:dyDescent="0.35">
      <c r="A1573">
        <v>2004</v>
      </c>
      <c r="B1573">
        <v>4</v>
      </c>
      <c r="C1573">
        <v>20</v>
      </c>
      <c r="D1573" s="1">
        <f t="shared" si="192"/>
        <v>38097</v>
      </c>
      <c r="E1573">
        <v>0</v>
      </c>
      <c r="F1573">
        <f t="shared" si="198"/>
        <v>0</v>
      </c>
      <c r="G1573">
        <f t="shared" si="193"/>
        <v>0</v>
      </c>
      <c r="H1573">
        <f t="shared" si="199"/>
        <v>0</v>
      </c>
      <c r="I1573">
        <v>1572</v>
      </c>
      <c r="J1573">
        <f t="shared" si="194"/>
        <v>0.94319646595658646</v>
      </c>
      <c r="K1573">
        <f t="shared" si="195"/>
        <v>-0.33223549871590446</v>
      </c>
      <c r="L1573">
        <f>VLOOKUP(D1573,[1]SOI!$A$1:$C$142,3)</f>
        <v>0.2</v>
      </c>
      <c r="M1573" s="2">
        <f t="shared" si="196"/>
        <v>1482.704844483754</v>
      </c>
      <c r="N1573">
        <f t="shared" si="197"/>
        <v>-522.2742039814018</v>
      </c>
      <c r="O1573" t="s">
        <v>8</v>
      </c>
    </row>
    <row r="1574" spans="1:15" x14ac:dyDescent="0.35">
      <c r="A1574">
        <v>2004</v>
      </c>
      <c r="B1574">
        <v>4</v>
      </c>
      <c r="C1574">
        <v>21</v>
      </c>
      <c r="D1574" s="1">
        <f t="shared" si="192"/>
        <v>38098</v>
      </c>
      <c r="E1574">
        <v>0</v>
      </c>
      <c r="F1574">
        <f t="shared" si="198"/>
        <v>0</v>
      </c>
      <c r="G1574">
        <f t="shared" si="193"/>
        <v>0</v>
      </c>
      <c r="H1574">
        <f t="shared" si="199"/>
        <v>0</v>
      </c>
      <c r="I1574">
        <v>1573</v>
      </c>
      <c r="J1574">
        <f t="shared" si="194"/>
        <v>0.93734193846437686</v>
      </c>
      <c r="K1574">
        <f t="shared" si="195"/>
        <v>-0.34841080694468196</v>
      </c>
      <c r="L1574">
        <f>VLOOKUP(D1574,[1]SOI!$A$1:$C$142,3)</f>
        <v>0.2</v>
      </c>
      <c r="M1574" s="2">
        <f t="shared" si="196"/>
        <v>1474.4388692044647</v>
      </c>
      <c r="N1574">
        <f t="shared" si="197"/>
        <v>-548.05019932398477</v>
      </c>
      <c r="O1574" t="s">
        <v>8</v>
      </c>
    </row>
    <row r="1575" spans="1:15" x14ac:dyDescent="0.35">
      <c r="A1575">
        <v>2004</v>
      </c>
      <c r="B1575">
        <v>4</v>
      </c>
      <c r="C1575">
        <v>22</v>
      </c>
      <c r="D1575" s="1">
        <f t="shared" si="192"/>
        <v>38099</v>
      </c>
      <c r="E1575">
        <v>0</v>
      </c>
      <c r="F1575">
        <f t="shared" si="198"/>
        <v>0</v>
      </c>
      <c r="G1575">
        <f t="shared" si="193"/>
        <v>0</v>
      </c>
      <c r="H1575">
        <f t="shared" si="199"/>
        <v>0</v>
      </c>
      <c r="I1575">
        <v>1574</v>
      </c>
      <c r="J1575">
        <f t="shared" si="194"/>
        <v>0.93121003641219513</v>
      </c>
      <c r="K1575">
        <f t="shared" si="195"/>
        <v>-0.36448301481029033</v>
      </c>
      <c r="L1575">
        <f>VLOOKUP(D1575,[1]SOI!$A$1:$C$142,3)</f>
        <v>0.2</v>
      </c>
      <c r="M1575" s="2">
        <f t="shared" si="196"/>
        <v>1465.7245973127951</v>
      </c>
      <c r="N1575">
        <f t="shared" si="197"/>
        <v>-573.69626531139693</v>
      </c>
      <c r="O1575" t="s">
        <v>8</v>
      </c>
    </row>
    <row r="1576" spans="1:15" x14ac:dyDescent="0.35">
      <c r="A1576">
        <v>2004</v>
      </c>
      <c r="B1576">
        <v>4</v>
      </c>
      <c r="C1576">
        <v>23</v>
      </c>
      <c r="D1576" s="1">
        <f t="shared" si="192"/>
        <v>38100</v>
      </c>
      <c r="E1576">
        <v>21.8</v>
      </c>
      <c r="F1576">
        <f t="shared" si="198"/>
        <v>0</v>
      </c>
      <c r="G1576">
        <f t="shared" si="193"/>
        <v>1</v>
      </c>
      <c r="H1576">
        <f t="shared" si="199"/>
        <v>0</v>
      </c>
      <c r="I1576">
        <v>1575</v>
      </c>
      <c r="J1576">
        <f t="shared" si="194"/>
        <v>0.92480257432850888</v>
      </c>
      <c r="K1576">
        <f t="shared" si="195"/>
        <v>-0.38044736628785175</v>
      </c>
      <c r="L1576">
        <f>VLOOKUP(D1576,[1]SOI!$A$1:$C$142,3)</f>
        <v>0.2</v>
      </c>
      <c r="M1576" s="2">
        <f t="shared" si="196"/>
        <v>1456.5640545674014</v>
      </c>
      <c r="N1576">
        <f t="shared" si="197"/>
        <v>-599.20460190336655</v>
      </c>
      <c r="O1576" t="s">
        <v>8</v>
      </c>
    </row>
    <row r="1577" spans="1:15" x14ac:dyDescent="0.35">
      <c r="A1577">
        <v>2004</v>
      </c>
      <c r="B1577">
        <v>4</v>
      </c>
      <c r="C1577">
        <v>24</v>
      </c>
      <c r="D1577" s="1">
        <f t="shared" si="192"/>
        <v>38101</v>
      </c>
      <c r="E1577">
        <v>22.8</v>
      </c>
      <c r="F1577">
        <f t="shared" si="198"/>
        <v>21.8</v>
      </c>
      <c r="G1577">
        <f t="shared" si="193"/>
        <v>1</v>
      </c>
      <c r="H1577">
        <f t="shared" si="199"/>
        <v>1</v>
      </c>
      <c r="I1577">
        <v>1576</v>
      </c>
      <c r="J1577">
        <f t="shared" si="194"/>
        <v>0.91812144828443754</v>
      </c>
      <c r="K1577">
        <f t="shared" si="195"/>
        <v>-0.3962991372689158</v>
      </c>
      <c r="L1577">
        <f>VLOOKUP(D1577,[1]SOI!$A$1:$C$142,3)</f>
        <v>0.2</v>
      </c>
      <c r="M1577" s="2">
        <f t="shared" si="196"/>
        <v>1446.9594024962735</v>
      </c>
      <c r="N1577">
        <f t="shared" si="197"/>
        <v>-624.56744033581128</v>
      </c>
      <c r="O1577" t="s">
        <v>8</v>
      </c>
    </row>
    <row r="1578" spans="1:15" x14ac:dyDescent="0.35">
      <c r="A1578">
        <v>2004</v>
      </c>
      <c r="B1578">
        <v>4</v>
      </c>
      <c r="C1578">
        <v>25</v>
      </c>
      <c r="D1578" s="1">
        <f t="shared" si="192"/>
        <v>38102</v>
      </c>
      <c r="E1578">
        <v>0</v>
      </c>
      <c r="F1578">
        <f t="shared" si="198"/>
        <v>22.8</v>
      </c>
      <c r="G1578">
        <f t="shared" si="193"/>
        <v>0</v>
      </c>
      <c r="H1578">
        <f t="shared" si="199"/>
        <v>1</v>
      </c>
      <c r="I1578">
        <v>1577</v>
      </c>
      <c r="J1578">
        <f t="shared" si="194"/>
        <v>0.91116863533266368</v>
      </c>
      <c r="K1578">
        <f t="shared" si="195"/>
        <v>-0.41203363695942524</v>
      </c>
      <c r="L1578">
        <f>VLOOKUP(D1578,[1]SOI!$A$1:$C$142,3)</f>
        <v>0.2</v>
      </c>
      <c r="M1578" s="2">
        <f t="shared" si="196"/>
        <v>1436.9129379196106</v>
      </c>
      <c r="N1578">
        <f t="shared" si="197"/>
        <v>-649.77704548501356</v>
      </c>
      <c r="O1578" t="s">
        <v>8</v>
      </c>
    </row>
    <row r="1579" spans="1:15" x14ac:dyDescent="0.35">
      <c r="A1579">
        <v>2004</v>
      </c>
      <c r="B1579">
        <v>4</v>
      </c>
      <c r="C1579">
        <v>26</v>
      </c>
      <c r="D1579" s="1">
        <f t="shared" si="192"/>
        <v>38103</v>
      </c>
      <c r="E1579">
        <v>0</v>
      </c>
      <c r="F1579">
        <f t="shared" si="198"/>
        <v>0</v>
      </c>
      <c r="G1579">
        <f t="shared" si="193"/>
        <v>0</v>
      </c>
      <c r="H1579">
        <f t="shared" si="199"/>
        <v>0</v>
      </c>
      <c r="I1579">
        <v>1578</v>
      </c>
      <c r="J1579">
        <f t="shared" si="194"/>
        <v>0.90394619292240108</v>
      </c>
      <c r="K1579">
        <f t="shared" si="195"/>
        <v>-0.42764620926777458</v>
      </c>
      <c r="L1579">
        <f>VLOOKUP(D1579,[1]SOI!$A$1:$C$142,3)</f>
        <v>0.2</v>
      </c>
      <c r="M1579" s="2">
        <f t="shared" si="196"/>
        <v>1426.427092431549</v>
      </c>
      <c r="N1579">
        <f t="shared" si="197"/>
        <v>-674.82571822454827</v>
      </c>
      <c r="O1579" t="s">
        <v>8</v>
      </c>
    </row>
    <row r="1580" spans="1:15" x14ac:dyDescent="0.35">
      <c r="A1580">
        <v>2004</v>
      </c>
      <c r="B1580">
        <v>4</v>
      </c>
      <c r="C1580">
        <v>27</v>
      </c>
      <c r="D1580" s="1">
        <f t="shared" si="192"/>
        <v>38104</v>
      </c>
      <c r="E1580">
        <v>3</v>
      </c>
      <c r="F1580">
        <f t="shared" si="198"/>
        <v>0</v>
      </c>
      <c r="G1580">
        <f t="shared" si="193"/>
        <v>1</v>
      </c>
      <c r="H1580">
        <f t="shared" si="199"/>
        <v>0</v>
      </c>
      <c r="I1580">
        <v>1579</v>
      </c>
      <c r="J1580">
        <f t="shared" si="194"/>
        <v>0.89645625829055853</v>
      </c>
      <c r="K1580">
        <f t="shared" si="195"/>
        <v>-0.44313223418263242</v>
      </c>
      <c r="L1580">
        <f>VLOOKUP(D1580,[1]SOI!$A$1:$C$142,3)</f>
        <v>0.2</v>
      </c>
      <c r="M1580" s="2">
        <f t="shared" si="196"/>
        <v>1415.504431840792</v>
      </c>
      <c r="N1580">
        <f t="shared" si="197"/>
        <v>-699.70579777437661</v>
      </c>
      <c r="O1580" t="s">
        <v>8</v>
      </c>
    </row>
    <row r="1581" spans="1:15" x14ac:dyDescent="0.35">
      <c r="A1581">
        <v>2004</v>
      </c>
      <c r="B1581">
        <v>4</v>
      </c>
      <c r="C1581">
        <v>28</v>
      </c>
      <c r="D1581" s="1">
        <f t="shared" si="192"/>
        <v>38105</v>
      </c>
      <c r="E1581">
        <v>0</v>
      </c>
      <c r="F1581">
        <f t="shared" si="198"/>
        <v>3</v>
      </c>
      <c r="G1581">
        <f t="shared" si="193"/>
        <v>0</v>
      </c>
      <c r="H1581">
        <f t="shared" si="199"/>
        <v>1</v>
      </c>
      <c r="I1581">
        <v>1580</v>
      </c>
      <c r="J1581">
        <f t="shared" si="194"/>
        <v>0.88870104782929193</v>
      </c>
      <c r="K1581">
        <f t="shared" si="195"/>
        <v>-0.45848712914008677</v>
      </c>
      <c r="L1581">
        <f>VLOOKUP(D1581,[1]SOI!$A$1:$C$142,3)</f>
        <v>0.2</v>
      </c>
      <c r="M1581" s="2">
        <f t="shared" si="196"/>
        <v>1404.1476555702814</v>
      </c>
      <c r="N1581">
        <f t="shared" si="197"/>
        <v>-724.40966404133712</v>
      </c>
      <c r="O1581" t="s">
        <v>8</v>
      </c>
    </row>
    <row r="1582" spans="1:15" x14ac:dyDescent="0.35">
      <c r="A1582">
        <v>2004</v>
      </c>
      <c r="B1582">
        <v>4</v>
      </c>
      <c r="C1582">
        <v>29</v>
      </c>
      <c r="D1582" s="1">
        <f t="shared" si="192"/>
        <v>38106</v>
      </c>
      <c r="E1582">
        <v>0</v>
      </c>
      <c r="F1582">
        <f t="shared" si="198"/>
        <v>0</v>
      </c>
      <c r="G1582">
        <f t="shared" si="193"/>
        <v>0</v>
      </c>
      <c r="H1582">
        <f t="shared" si="199"/>
        <v>0</v>
      </c>
      <c r="I1582">
        <v>1581</v>
      </c>
      <c r="J1582">
        <f t="shared" si="194"/>
        <v>0.88068285643014754</v>
      </c>
      <c r="K1582">
        <f t="shared" si="195"/>
        <v>-0.4737063503796799</v>
      </c>
      <c r="L1582">
        <f>VLOOKUP(D1582,[1]SOI!$A$1:$C$142,3)</f>
        <v>0.2</v>
      </c>
      <c r="M1582" s="2">
        <f t="shared" si="196"/>
        <v>1392.3595960160633</v>
      </c>
      <c r="N1582">
        <f t="shared" si="197"/>
        <v>-748.92973995027387</v>
      </c>
      <c r="O1582" t="s">
        <v>8</v>
      </c>
    </row>
    <row r="1583" spans="1:15" x14ac:dyDescent="0.35">
      <c r="A1583">
        <v>2004</v>
      </c>
      <c r="B1583">
        <v>4</v>
      </c>
      <c r="C1583">
        <v>30</v>
      </c>
      <c r="D1583" s="1">
        <f t="shared" si="192"/>
        <v>38107</v>
      </c>
      <c r="E1583">
        <v>0</v>
      </c>
      <c r="F1583">
        <f t="shared" si="198"/>
        <v>0</v>
      </c>
      <c r="G1583">
        <f t="shared" si="193"/>
        <v>0</v>
      </c>
      <c r="H1583">
        <f t="shared" si="199"/>
        <v>0</v>
      </c>
      <c r="I1583">
        <v>1582</v>
      </c>
      <c r="J1583">
        <f t="shared" si="194"/>
        <v>0.87240405680496258</v>
      </c>
      <c r="K1583">
        <f t="shared" si="195"/>
        <v>-0.48878539428899026</v>
      </c>
      <c r="L1583">
        <f>VLOOKUP(D1583,[1]SOI!$A$1:$C$142,3)</f>
        <v>0.2</v>
      </c>
      <c r="M1583" s="2">
        <f t="shared" si="196"/>
        <v>1380.1432178654509</v>
      </c>
      <c r="N1583">
        <f t="shared" si="197"/>
        <v>-773.25849376518261</v>
      </c>
      <c r="O1583" t="s">
        <v>8</v>
      </c>
    </row>
    <row r="1584" spans="1:15" x14ac:dyDescent="0.35">
      <c r="A1584">
        <v>2004</v>
      </c>
      <c r="B1584">
        <v>5</v>
      </c>
      <c r="C1584">
        <v>1</v>
      </c>
      <c r="D1584" s="1">
        <f t="shared" si="192"/>
        <v>38108</v>
      </c>
      <c r="E1584">
        <v>4</v>
      </c>
      <c r="F1584">
        <f t="shared" si="198"/>
        <v>0</v>
      </c>
      <c r="G1584">
        <f t="shared" si="193"/>
        <v>1</v>
      </c>
      <c r="H1584">
        <f t="shared" si="199"/>
        <v>0</v>
      </c>
      <c r="I1584">
        <v>1583</v>
      </c>
      <c r="J1584">
        <f t="shared" si="194"/>
        <v>0.86386709878373558</v>
      </c>
      <c r="K1584">
        <f t="shared" si="195"/>
        <v>-0.50371979873633277</v>
      </c>
      <c r="L1584">
        <f>VLOOKUP(D1584,[1]SOI!$A$1:$C$142,3)</f>
        <v>-15.4</v>
      </c>
      <c r="M1584" s="2">
        <f t="shared" si="196"/>
        <v>1367.5016173746535</v>
      </c>
      <c r="N1584">
        <f t="shared" si="197"/>
        <v>-797.38844139961475</v>
      </c>
      <c r="O1584" t="s">
        <v>8</v>
      </c>
    </row>
    <row r="1585" spans="1:15" x14ac:dyDescent="0.35">
      <c r="A1585">
        <v>2004</v>
      </c>
      <c r="B1585">
        <v>5</v>
      </c>
      <c r="C1585">
        <v>2</v>
      </c>
      <c r="D1585" s="1">
        <f t="shared" si="192"/>
        <v>38109</v>
      </c>
      <c r="E1585">
        <v>3.8</v>
      </c>
      <c r="F1585">
        <f t="shared" si="198"/>
        <v>4</v>
      </c>
      <c r="G1585">
        <f t="shared" si="193"/>
        <v>1</v>
      </c>
      <c r="H1585">
        <f t="shared" si="199"/>
        <v>1</v>
      </c>
      <c r="I1585">
        <v>1584</v>
      </c>
      <c r="J1585">
        <f t="shared" si="194"/>
        <v>0.85507450858969336</v>
      </c>
      <c r="K1585">
        <f t="shared" si="195"/>
        <v>-0.51850514439115691</v>
      </c>
      <c r="L1585">
        <f>VLOOKUP(D1585,[1]SOI!$A$1:$C$142,3)</f>
        <v>-15.4</v>
      </c>
      <c r="M1585" s="2">
        <f t="shared" si="196"/>
        <v>1354.4380216060742</v>
      </c>
      <c r="N1585">
        <f t="shared" si="197"/>
        <v>-821.31214871559257</v>
      </c>
      <c r="O1585" t="s">
        <v>8</v>
      </c>
    </row>
    <row r="1586" spans="1:15" x14ac:dyDescent="0.35">
      <c r="A1586">
        <v>2004</v>
      </c>
      <c r="B1586">
        <v>5</v>
      </c>
      <c r="C1586">
        <v>3</v>
      </c>
      <c r="D1586" s="1">
        <f t="shared" si="192"/>
        <v>38110</v>
      </c>
      <c r="E1586">
        <v>0.2</v>
      </c>
      <c r="F1586">
        <f t="shared" si="198"/>
        <v>3.8</v>
      </c>
      <c r="G1586">
        <f t="shared" si="193"/>
        <v>1</v>
      </c>
      <c r="H1586">
        <f t="shared" si="199"/>
        <v>1</v>
      </c>
      <c r="I1586">
        <v>1585</v>
      </c>
      <c r="J1586">
        <f t="shared" si="194"/>
        <v>0.84602888809173526</v>
      </c>
      <c r="K1586">
        <f t="shared" si="195"/>
        <v>-0.53313705603180706</v>
      </c>
      <c r="L1586">
        <f>VLOOKUP(D1586,[1]SOI!$A$1:$C$142,3)</f>
        <v>-15.4</v>
      </c>
      <c r="M1586" s="2">
        <f t="shared" si="196"/>
        <v>1340.9557876254005</v>
      </c>
      <c r="N1586">
        <f t="shared" si="197"/>
        <v>-845.02223381041415</v>
      </c>
      <c r="O1586" t="s">
        <v>8</v>
      </c>
    </row>
    <row r="1587" spans="1:15" x14ac:dyDescent="0.35">
      <c r="A1587">
        <v>2004</v>
      </c>
      <c r="B1587">
        <v>5</v>
      </c>
      <c r="C1587">
        <v>4</v>
      </c>
      <c r="D1587" s="1">
        <f t="shared" si="192"/>
        <v>38111</v>
      </c>
      <c r="E1587">
        <v>0</v>
      </c>
      <c r="F1587">
        <f t="shared" si="198"/>
        <v>0.2</v>
      </c>
      <c r="G1587">
        <f t="shared" si="193"/>
        <v>0</v>
      </c>
      <c r="H1587">
        <f t="shared" si="199"/>
        <v>1</v>
      </c>
      <c r="I1587">
        <v>1586</v>
      </c>
      <c r="J1587">
        <f t="shared" si="194"/>
        <v>0.8367329140344929</v>
      </c>
      <c r="K1587">
        <f t="shared" si="195"/>
        <v>-0.54761120384022999</v>
      </c>
      <c r="L1587">
        <f>VLOOKUP(D1587,[1]SOI!$A$1:$C$142,3)</f>
        <v>-15.4</v>
      </c>
      <c r="M1587" s="2">
        <f t="shared" si="196"/>
        <v>1327.0584016587056</v>
      </c>
      <c r="N1587">
        <f t="shared" si="197"/>
        <v>-868.51136929060476</v>
      </c>
      <c r="O1587" t="s">
        <v>8</v>
      </c>
    </row>
    <row r="1588" spans="1:15" x14ac:dyDescent="0.35">
      <c r="A1588">
        <v>2004</v>
      </c>
      <c r="B1588">
        <v>5</v>
      </c>
      <c r="C1588">
        <v>5</v>
      </c>
      <c r="D1588" s="1">
        <f t="shared" si="192"/>
        <v>38112</v>
      </c>
      <c r="E1588">
        <v>2.2000000000000002</v>
      </c>
      <c r="F1588">
        <f t="shared" si="198"/>
        <v>0</v>
      </c>
      <c r="G1588">
        <f t="shared" si="193"/>
        <v>1</v>
      </c>
      <c r="H1588">
        <f t="shared" si="199"/>
        <v>0</v>
      </c>
      <c r="I1588">
        <v>1587</v>
      </c>
      <c r="J1588">
        <f t="shared" si="194"/>
        <v>0.82718933724625165</v>
      </c>
      <c r="K1588">
        <f t="shared" si="195"/>
        <v>-0.5619233046832165</v>
      </c>
      <c r="L1588">
        <f>VLOOKUP(D1588,[1]SOI!$A$1:$C$142,3)</f>
        <v>-15.4</v>
      </c>
      <c r="M1588" s="2">
        <f t="shared" si="196"/>
        <v>1312.7494782098013</v>
      </c>
      <c r="N1588">
        <f t="shared" si="197"/>
        <v>-891.77228453226462</v>
      </c>
      <c r="O1588" t="s">
        <v>8</v>
      </c>
    </row>
    <row r="1589" spans="1:15" x14ac:dyDescent="0.35">
      <c r="A1589">
        <v>2004</v>
      </c>
      <c r="B1589">
        <v>5</v>
      </c>
      <c r="C1589">
        <v>6</v>
      </c>
      <c r="D1589" s="1">
        <f t="shared" si="192"/>
        <v>38113</v>
      </c>
      <c r="E1589">
        <v>0</v>
      </c>
      <c r="F1589">
        <f t="shared" si="198"/>
        <v>2.2000000000000002</v>
      </c>
      <c r="G1589">
        <f t="shared" si="193"/>
        <v>0</v>
      </c>
      <c r="H1589">
        <f t="shared" si="199"/>
        <v>1</v>
      </c>
      <c r="I1589">
        <v>1588</v>
      </c>
      <c r="J1589">
        <f t="shared" si="194"/>
        <v>0.81740098182492049</v>
      </c>
      <c r="K1589">
        <f t="shared" si="195"/>
        <v>-0.57606912337987359</v>
      </c>
      <c r="L1589">
        <f>VLOOKUP(D1589,[1]SOI!$A$1:$C$142,3)</f>
        <v>-15.4</v>
      </c>
      <c r="M1589" s="2">
        <f t="shared" si="196"/>
        <v>1298.0327591379737</v>
      </c>
      <c r="N1589">
        <f t="shared" si="197"/>
        <v>-914.79776792723931</v>
      </c>
      <c r="O1589" t="s">
        <v>8</v>
      </c>
    </row>
    <row r="1590" spans="1:15" x14ac:dyDescent="0.35">
      <c r="A1590">
        <v>2004</v>
      </c>
      <c r="B1590">
        <v>5</v>
      </c>
      <c r="C1590">
        <v>7</v>
      </c>
      <c r="D1590" s="1">
        <f t="shared" si="192"/>
        <v>38114</v>
      </c>
      <c r="E1590">
        <v>0</v>
      </c>
      <c r="F1590">
        <f t="shared" si="198"/>
        <v>0</v>
      </c>
      <c r="G1590">
        <f t="shared" si="193"/>
        <v>0</v>
      </c>
      <c r="H1590">
        <f t="shared" si="199"/>
        <v>0</v>
      </c>
      <c r="I1590">
        <v>1589</v>
      </c>
      <c r="J1590">
        <f t="shared" si="194"/>
        <v>0.80737074430235012</v>
      </c>
      <c r="K1590">
        <f t="shared" si="195"/>
        <v>-0.59004447395486148</v>
      </c>
      <c r="L1590">
        <f>VLOOKUP(D1590,[1]SOI!$A$1:$C$142,3)</f>
        <v>-15.4</v>
      </c>
      <c r="M1590" s="2">
        <f t="shared" si="196"/>
        <v>1282.9121126964344</v>
      </c>
      <c r="N1590">
        <f t="shared" si="197"/>
        <v>-937.58066911427488</v>
      </c>
      <c r="O1590" t="s">
        <v>8</v>
      </c>
    </row>
    <row r="1591" spans="1:15" x14ac:dyDescent="0.35">
      <c r="A1591">
        <v>2004</v>
      </c>
      <c r="B1591">
        <v>5</v>
      </c>
      <c r="C1591">
        <v>8</v>
      </c>
      <c r="D1591" s="1">
        <f t="shared" si="192"/>
        <v>38115</v>
      </c>
      <c r="E1591">
        <v>0.2</v>
      </c>
      <c r="F1591">
        <f t="shared" si="198"/>
        <v>0</v>
      </c>
      <c r="G1591">
        <f t="shared" si="193"/>
        <v>1</v>
      </c>
      <c r="H1591">
        <f t="shared" si="199"/>
        <v>0</v>
      </c>
      <c r="I1591">
        <v>1590</v>
      </c>
      <c r="J1591">
        <f t="shared" si="194"/>
        <v>0.7971015927871965</v>
      </c>
      <c r="K1591">
        <f t="shared" si="195"/>
        <v>-0.60384522087710057</v>
      </c>
      <c r="L1591">
        <f>VLOOKUP(D1591,[1]SOI!$A$1:$C$142,3)</f>
        <v>-15.4</v>
      </c>
      <c r="M1591" s="2">
        <f t="shared" si="196"/>
        <v>1267.3915325316425</v>
      </c>
      <c r="N1591">
        <f t="shared" si="197"/>
        <v>-960.11390119458986</v>
      </c>
      <c r="O1591" t="s">
        <v>8</v>
      </c>
    </row>
    <row r="1592" spans="1:15" x14ac:dyDescent="0.35">
      <c r="A1592">
        <v>2004</v>
      </c>
      <c r="B1592">
        <v>5</v>
      </c>
      <c r="C1592">
        <v>9</v>
      </c>
      <c r="D1592" s="1">
        <f t="shared" si="192"/>
        <v>38116</v>
      </c>
      <c r="E1592">
        <v>0</v>
      </c>
      <c r="F1592">
        <f t="shared" si="198"/>
        <v>0.2</v>
      </c>
      <c r="G1592">
        <f t="shared" si="193"/>
        <v>0</v>
      </c>
      <c r="H1592">
        <f t="shared" si="199"/>
        <v>1</v>
      </c>
      <c r="I1592">
        <v>1591</v>
      </c>
      <c r="J1592">
        <f t="shared" si="194"/>
        <v>0.78659656608660355</v>
      </c>
      <c r="K1592">
        <f t="shared" si="195"/>
        <v>-0.61746728028354958</v>
      </c>
      <c r="L1592">
        <f>VLOOKUP(D1592,[1]SOI!$A$1:$C$142,3)</f>
        <v>-15.4</v>
      </c>
      <c r="M1592" s="2">
        <f t="shared" si="196"/>
        <v>1251.4751366437863</v>
      </c>
      <c r="N1592">
        <f t="shared" si="197"/>
        <v>-982.39044293112738</v>
      </c>
      <c r="O1592" t="s">
        <v>8</v>
      </c>
    </row>
    <row r="1593" spans="1:15" x14ac:dyDescent="0.35">
      <c r="A1593">
        <v>2004</v>
      </c>
      <c r="B1593">
        <v>5</v>
      </c>
      <c r="C1593">
        <v>10</v>
      </c>
      <c r="D1593" s="1">
        <f t="shared" si="192"/>
        <v>38117</v>
      </c>
      <c r="E1593">
        <v>0</v>
      </c>
      <c r="F1593">
        <f t="shared" si="198"/>
        <v>0</v>
      </c>
      <c r="G1593">
        <f t="shared" si="193"/>
        <v>0</v>
      </c>
      <c r="H1593">
        <f t="shared" si="199"/>
        <v>0</v>
      </c>
      <c r="I1593">
        <v>1592</v>
      </c>
      <c r="J1593">
        <f t="shared" si="194"/>
        <v>0.77585877280698146</v>
      </c>
      <c r="K1593">
        <f t="shared" si="195"/>
        <v>-0.63090662118767205</v>
      </c>
      <c r="L1593">
        <f>VLOOKUP(D1593,[1]SOI!$A$1:$C$142,3)</f>
        <v>-15.4</v>
      </c>
      <c r="M1593" s="2">
        <f t="shared" si="196"/>
        <v>1235.1671663087145</v>
      </c>
      <c r="N1593">
        <f t="shared" si="197"/>
        <v>-1004.4033409307739</v>
      </c>
      <c r="O1593" t="s">
        <v>8</v>
      </c>
    </row>
    <row r="1594" spans="1:15" x14ac:dyDescent="0.35">
      <c r="A1594">
        <v>2004</v>
      </c>
      <c r="B1594">
        <v>5</v>
      </c>
      <c r="C1594">
        <v>11</v>
      </c>
      <c r="D1594" s="1">
        <f t="shared" si="192"/>
        <v>38118</v>
      </c>
      <c r="E1594">
        <v>0</v>
      </c>
      <c r="F1594">
        <f t="shared" si="198"/>
        <v>0</v>
      </c>
      <c r="G1594">
        <f t="shared" si="193"/>
        <v>0</v>
      </c>
      <c r="H1594">
        <f t="shared" si="199"/>
        <v>0</v>
      </c>
      <c r="I1594">
        <v>1593</v>
      </c>
      <c r="J1594">
        <f t="shared" si="194"/>
        <v>0.76489139043412513</v>
      </c>
      <c r="K1594">
        <f t="shared" si="195"/>
        <v>-0.64415926667226542</v>
      </c>
      <c r="L1594">
        <f>VLOOKUP(D1594,[1]SOI!$A$1:$C$142,3)</f>
        <v>-15.4</v>
      </c>
      <c r="M1594" s="2">
        <f t="shared" si="196"/>
        <v>1218.4719849615612</v>
      </c>
      <c r="N1594">
        <f t="shared" si="197"/>
        <v>-1026.1457118089188</v>
      </c>
      <c r="O1594" t="s">
        <v>8</v>
      </c>
    </row>
    <row r="1595" spans="1:15" x14ac:dyDescent="0.35">
      <c r="A1595">
        <v>2004</v>
      </c>
      <c r="B1595">
        <v>5</v>
      </c>
      <c r="C1595">
        <v>12</v>
      </c>
      <c r="D1595" s="1">
        <f t="shared" si="192"/>
        <v>38119</v>
      </c>
      <c r="E1595">
        <v>0</v>
      </c>
      <c r="F1595">
        <f t="shared" si="198"/>
        <v>0</v>
      </c>
      <c r="G1595">
        <f t="shared" si="193"/>
        <v>0</v>
      </c>
      <c r="H1595">
        <f t="shared" si="199"/>
        <v>0</v>
      </c>
      <c r="I1595">
        <v>1594</v>
      </c>
      <c r="J1595">
        <f t="shared" si="194"/>
        <v>0.75369766439291341</v>
      </c>
      <c r="K1595">
        <f t="shared" si="195"/>
        <v>-0.65722129506633253</v>
      </c>
      <c r="L1595">
        <f>VLOOKUP(D1595,[1]SOI!$A$1:$C$142,3)</f>
        <v>-15.4</v>
      </c>
      <c r="M1595" s="2">
        <f t="shared" si="196"/>
        <v>1201.3940770423039</v>
      </c>
      <c r="N1595">
        <f t="shared" si="197"/>
        <v>-1047.6107443357341</v>
      </c>
      <c r="O1595" t="s">
        <v>8</v>
      </c>
    </row>
    <row r="1596" spans="1:15" x14ac:dyDescent="0.35">
      <c r="A1596">
        <v>2004</v>
      </c>
      <c r="B1596">
        <v>5</v>
      </c>
      <c r="C1596">
        <v>13</v>
      </c>
      <c r="D1596" s="1">
        <f t="shared" si="192"/>
        <v>38120</v>
      </c>
      <c r="E1596">
        <v>0</v>
      </c>
      <c r="F1596">
        <f t="shared" si="198"/>
        <v>0</v>
      </c>
      <c r="G1596">
        <f t="shared" si="193"/>
        <v>0</v>
      </c>
      <c r="H1596">
        <f t="shared" si="199"/>
        <v>0</v>
      </c>
      <c r="I1596">
        <v>1595</v>
      </c>
      <c r="J1596">
        <f t="shared" si="194"/>
        <v>0.74228090708698058</v>
      </c>
      <c r="K1596">
        <f t="shared" si="195"/>
        <v>-0.67008884110551281</v>
      </c>
      <c r="L1596">
        <f>VLOOKUP(D1596,[1]SOI!$A$1:$C$142,3)</f>
        <v>-15.4</v>
      </c>
      <c r="M1596" s="2">
        <f t="shared" si="196"/>
        <v>1183.9380468037341</v>
      </c>
      <c r="N1596">
        <f t="shared" si="197"/>
        <v>-1068.7917015632929</v>
      </c>
      <c r="O1596" t="s">
        <v>8</v>
      </c>
    </row>
    <row r="1597" spans="1:15" x14ac:dyDescent="0.35">
      <c r="A1597">
        <v>2004</v>
      </c>
      <c r="B1597">
        <v>5</v>
      </c>
      <c r="C1597">
        <v>14</v>
      </c>
      <c r="D1597" s="1">
        <f t="shared" si="192"/>
        <v>38121</v>
      </c>
      <c r="E1597">
        <v>0</v>
      </c>
      <c r="F1597">
        <f t="shared" si="198"/>
        <v>0</v>
      </c>
      <c r="G1597">
        <f t="shared" si="193"/>
        <v>0</v>
      </c>
      <c r="H1597">
        <f t="shared" si="199"/>
        <v>0</v>
      </c>
      <c r="I1597">
        <v>1596</v>
      </c>
      <c r="J1597">
        <f t="shared" si="194"/>
        <v>0.73064449691849176</v>
      </c>
      <c r="K1597">
        <f t="shared" si="195"/>
        <v>-0.68275809707591462</v>
      </c>
      <c r="L1597">
        <f>VLOOKUP(D1597,[1]SOI!$A$1:$C$142,3)</f>
        <v>-15.4</v>
      </c>
      <c r="M1597" s="2">
        <f t="shared" si="196"/>
        <v>1166.1086170819128</v>
      </c>
      <c r="N1597">
        <f t="shared" si="197"/>
        <v>-1089.6819229331597</v>
      </c>
      <c r="O1597" t="s">
        <v>8</v>
      </c>
    </row>
    <row r="1598" spans="1:15" x14ac:dyDescent="0.35">
      <c r="A1598">
        <v>2004</v>
      </c>
      <c r="B1598">
        <v>5</v>
      </c>
      <c r="C1598">
        <v>15</v>
      </c>
      <c r="D1598" s="1">
        <f t="shared" si="192"/>
        <v>38122</v>
      </c>
      <c r="E1598">
        <v>0</v>
      </c>
      <c r="F1598">
        <f t="shared" si="198"/>
        <v>0</v>
      </c>
      <c r="G1598">
        <f t="shared" si="193"/>
        <v>0</v>
      </c>
      <c r="H1598">
        <f t="shared" si="199"/>
        <v>0</v>
      </c>
      <c r="I1598">
        <v>1597</v>
      </c>
      <c r="J1598">
        <f t="shared" si="194"/>
        <v>0.71879187728842264</v>
      </c>
      <c r="K1598">
        <f t="shared" si="195"/>
        <v>-0.69522531394087284</v>
      </c>
      <c r="L1598">
        <f>VLOOKUP(D1598,[1]SOI!$A$1:$C$142,3)</f>
        <v>-15.4</v>
      </c>
      <c r="M1598" s="2">
        <f t="shared" si="196"/>
        <v>1147.910628029611</v>
      </c>
      <c r="N1598">
        <f t="shared" si="197"/>
        <v>-1110.274826363574</v>
      </c>
      <c r="O1598" t="s">
        <v>8</v>
      </c>
    </row>
    <row r="1599" spans="1:15" x14ac:dyDescent="0.35">
      <c r="A1599">
        <v>2004</v>
      </c>
      <c r="B1599">
        <v>5</v>
      </c>
      <c r="C1599">
        <v>16</v>
      </c>
      <c r="D1599" s="1">
        <f t="shared" si="192"/>
        <v>38123</v>
      </c>
      <c r="E1599">
        <v>0</v>
      </c>
      <c r="F1599">
        <f t="shared" si="198"/>
        <v>0</v>
      </c>
      <c r="G1599">
        <f t="shared" si="193"/>
        <v>0</v>
      </c>
      <c r="H1599">
        <f t="shared" si="199"/>
        <v>0</v>
      </c>
      <c r="I1599">
        <v>1598</v>
      </c>
      <c r="J1599">
        <f t="shared" si="194"/>
        <v>0.7067265555776171</v>
      </c>
      <c r="K1599">
        <f t="shared" si="195"/>
        <v>-0.70748680245033346</v>
      </c>
      <c r="L1599">
        <f>VLOOKUP(D1599,[1]SOI!$A$1:$C$142,3)</f>
        <v>-15.4</v>
      </c>
      <c r="M1599" s="2">
        <f t="shared" si="196"/>
        <v>1129.3490358130321</v>
      </c>
      <c r="N1599">
        <f t="shared" si="197"/>
        <v>-1130.5639103156329</v>
      </c>
      <c r="O1599" t="s">
        <v>8</v>
      </c>
    </row>
    <row r="1600" spans="1:15" x14ac:dyDescent="0.35">
      <c r="A1600">
        <v>2004</v>
      </c>
      <c r="B1600">
        <v>5</v>
      </c>
      <c r="C1600">
        <v>17</v>
      </c>
      <c r="D1600" s="1">
        <f t="shared" si="192"/>
        <v>38124</v>
      </c>
      <c r="E1600">
        <v>0</v>
      </c>
      <c r="F1600">
        <f t="shared" si="198"/>
        <v>0</v>
      </c>
      <c r="G1600">
        <f t="shared" si="193"/>
        <v>0</v>
      </c>
      <c r="H1600">
        <f t="shared" si="199"/>
        <v>0</v>
      </c>
      <c r="I1600">
        <v>1599</v>
      </c>
      <c r="J1600">
        <f t="shared" si="194"/>
        <v>0.69445210210887676</v>
      </c>
      <c r="K1600">
        <f t="shared" si="195"/>
        <v>-0.71953893423258364</v>
      </c>
      <c r="L1600">
        <f>VLOOKUP(D1600,[1]SOI!$A$1:$C$142,3)</f>
        <v>-15.4</v>
      </c>
      <c r="M1600" s="2">
        <f t="shared" si="196"/>
        <v>1110.428911272094</v>
      </c>
      <c r="N1600">
        <f t="shared" si="197"/>
        <v>-1150.5427558379013</v>
      </c>
      <c r="O1600" t="s">
        <v>8</v>
      </c>
    </row>
    <row r="1601" spans="1:15" x14ac:dyDescent="0.35">
      <c r="A1601">
        <v>2004</v>
      </c>
      <c r="B1601">
        <v>5</v>
      </c>
      <c r="C1601">
        <v>18</v>
      </c>
      <c r="D1601" s="1">
        <f t="shared" si="192"/>
        <v>38125</v>
      </c>
      <c r="E1601">
        <v>2.6</v>
      </c>
      <c r="F1601">
        <f t="shared" si="198"/>
        <v>0</v>
      </c>
      <c r="G1601">
        <f t="shared" si="193"/>
        <v>1</v>
      </c>
      <c r="H1601">
        <f t="shared" si="199"/>
        <v>0</v>
      </c>
      <c r="I1601">
        <v>1600</v>
      </c>
      <c r="J1601">
        <f t="shared" si="194"/>
        <v>0.68197214909046233</v>
      </c>
      <c r="K1601">
        <f t="shared" si="195"/>
        <v>-0.73137814286792591</v>
      </c>
      <c r="L1601">
        <f>VLOOKUP(D1601,[1]SOI!$A$1:$C$142,3)</f>
        <v>-15.4</v>
      </c>
      <c r="M1601" s="2">
        <f t="shared" si="196"/>
        <v>1091.1554385447398</v>
      </c>
      <c r="N1601">
        <f t="shared" si="197"/>
        <v>-1170.2050285886814</v>
      </c>
      <c r="O1601" t="s">
        <v>8</v>
      </c>
    </row>
    <row r="1602" spans="1:15" x14ac:dyDescent="0.35">
      <c r="A1602">
        <v>2004</v>
      </c>
      <c r="B1602">
        <v>5</v>
      </c>
      <c r="C1602">
        <v>19</v>
      </c>
      <c r="D1602" s="1">
        <f t="shared" si="192"/>
        <v>38126</v>
      </c>
      <c r="E1602">
        <v>2.4</v>
      </c>
      <c r="F1602">
        <f t="shared" si="198"/>
        <v>2.6</v>
      </c>
      <c r="G1602">
        <f t="shared" si="193"/>
        <v>1</v>
      </c>
      <c r="H1602">
        <f t="shared" si="199"/>
        <v>1</v>
      </c>
      <c r="I1602">
        <v>1601</v>
      </c>
      <c r="J1602">
        <f t="shared" si="194"/>
        <v>0.66929038954125786</v>
      </c>
      <c r="K1602">
        <f t="shared" si="195"/>
        <v>-0.74300092494404835</v>
      </c>
      <c r="L1602">
        <f>VLOOKUP(D1602,[1]SOI!$A$1:$C$142,3)</f>
        <v>-15.4</v>
      </c>
      <c r="M1602" s="2">
        <f t="shared" si="196"/>
        <v>1071.5339136555538</v>
      </c>
      <c r="N1602">
        <f t="shared" si="197"/>
        <v>-1189.5444808354214</v>
      </c>
      <c r="O1602" t="s">
        <v>8</v>
      </c>
    </row>
    <row r="1603" spans="1:15" x14ac:dyDescent="0.35">
      <c r="A1603">
        <v>2004</v>
      </c>
      <c r="B1603">
        <v>5</v>
      </c>
      <c r="C1603">
        <v>20</v>
      </c>
      <c r="D1603" s="1">
        <f t="shared" ref="D1603:D1666" si="200">DATE(A1603,B1603,C1603)</f>
        <v>38127</v>
      </c>
      <c r="E1603">
        <v>0</v>
      </c>
      <c r="F1603">
        <f t="shared" si="198"/>
        <v>2.4</v>
      </c>
      <c r="G1603">
        <f t="shared" ref="G1603:G1666" si="201">IF(E1603=0,0,1)</f>
        <v>0</v>
      </c>
      <c r="H1603">
        <f t="shared" si="199"/>
        <v>1</v>
      </c>
      <c r="I1603">
        <v>1602</v>
      </c>
      <c r="J1603">
        <f t="shared" ref="J1603:J1666" si="202">SIN(2*PI()*I1603/365.25)</f>
        <v>0.65641057619793841</v>
      </c>
      <c r="K1603">
        <f t="shared" ref="K1603:K1666" si="203">COS(2*PI()*I1603/365.25)</f>
        <v>-0.75440384109274683</v>
      </c>
      <c r="L1603">
        <f>VLOOKUP(D1603,[1]SOI!$A$1:$C$142,3)</f>
        <v>-15.4</v>
      </c>
      <c r="M1603" s="2">
        <f t="shared" ref="M1603:M1666" si="204">I1603*J1603</f>
        <v>1051.5697430690973</v>
      </c>
      <c r="N1603">
        <f t="shared" ref="N1603:N1666" si="205">I1603*K1603</f>
        <v>-1208.5549534305803</v>
      </c>
      <c r="O1603" t="s">
        <v>8</v>
      </c>
    </row>
    <row r="1604" spans="1:15" x14ac:dyDescent="0.35">
      <c r="A1604">
        <v>2004</v>
      </c>
      <c r="B1604">
        <v>5</v>
      </c>
      <c r="C1604">
        <v>21</v>
      </c>
      <c r="D1604" s="1">
        <f t="shared" si="200"/>
        <v>38128</v>
      </c>
      <c r="E1604">
        <v>1.4</v>
      </c>
      <c r="F1604">
        <f t="shared" ref="F1604:F1667" si="206">E1603</f>
        <v>0</v>
      </c>
      <c r="G1604">
        <f t="shared" si="201"/>
        <v>1</v>
      </c>
      <c r="H1604">
        <f t="shared" ref="H1604:H1667" si="207">G1603</f>
        <v>0</v>
      </c>
      <c r="I1604">
        <v>1603</v>
      </c>
      <c r="J1604">
        <f t="shared" si="202"/>
        <v>0.64333652040449141</v>
      </c>
      <c r="K1604">
        <f t="shared" si="203"/>
        <v>-0.76558351700767524</v>
      </c>
      <c r="L1604">
        <f>VLOOKUP(D1604,[1]SOI!$A$1:$C$142,3)</f>
        <v>-15.4</v>
      </c>
      <c r="M1604" s="2">
        <f t="shared" si="204"/>
        <v>1031.2684422083996</v>
      </c>
      <c r="N1604">
        <f t="shared" si="205"/>
        <v>-1227.2303777633035</v>
      </c>
      <c r="O1604" t="s">
        <v>8</v>
      </c>
    </row>
    <row r="1605" spans="1:15" x14ac:dyDescent="0.35">
      <c r="A1605">
        <v>2004</v>
      </c>
      <c r="B1605">
        <v>5</v>
      </c>
      <c r="C1605">
        <v>22</v>
      </c>
      <c r="D1605" s="1">
        <f t="shared" si="200"/>
        <v>38129</v>
      </c>
      <c r="E1605">
        <v>0</v>
      </c>
      <c r="F1605">
        <f t="shared" si="206"/>
        <v>1.4</v>
      </c>
      <c r="G1605">
        <f t="shared" si="201"/>
        <v>0</v>
      </c>
      <c r="H1605">
        <f t="shared" si="207"/>
        <v>1</v>
      </c>
      <c r="I1605">
        <v>1604</v>
      </c>
      <c r="J1605">
        <f t="shared" si="202"/>
        <v>0.63007209098437011</v>
      </c>
      <c r="K1605">
        <f t="shared" si="203"/>
        <v>-0.77653664444286441</v>
      </c>
      <c r="L1605">
        <f>VLOOKUP(D1605,[1]SOI!$A$1:$C$142,3)</f>
        <v>-15.4</v>
      </c>
      <c r="M1605" s="2">
        <f t="shared" si="204"/>
        <v>1010.6356339389297</v>
      </c>
      <c r="N1605">
        <f t="shared" si="205"/>
        <v>-1245.5647776863545</v>
      </c>
      <c r="O1605" t="s">
        <v>8</v>
      </c>
    </row>
    <row r="1606" spans="1:15" x14ac:dyDescent="0.35">
      <c r="A1606">
        <v>2004</v>
      </c>
      <c r="B1606">
        <v>5</v>
      </c>
      <c r="C1606">
        <v>23</v>
      </c>
      <c r="D1606" s="1">
        <f t="shared" si="200"/>
        <v>38130</v>
      </c>
      <c r="E1606">
        <v>0</v>
      </c>
      <c r="F1606">
        <f t="shared" si="206"/>
        <v>0</v>
      </c>
      <c r="G1606">
        <f t="shared" si="201"/>
        <v>0</v>
      </c>
      <c r="H1606">
        <f t="shared" si="207"/>
        <v>0</v>
      </c>
      <c r="I1606">
        <v>1605</v>
      </c>
      <c r="J1606">
        <f t="shared" si="202"/>
        <v>0.61662121309563867</v>
      </c>
      <c r="K1606">
        <f t="shared" si="203"/>
        <v>-0.78725998219169191</v>
      </c>
      <c r="L1606">
        <f>VLOOKUP(D1606,[1]SOI!$A$1:$C$142,3)</f>
        <v>-15.4</v>
      </c>
      <c r="M1606" s="2">
        <f t="shared" si="204"/>
        <v>989.67704701850005</v>
      </c>
      <c r="N1606">
        <f t="shared" si="205"/>
        <v>-1263.5522714176655</v>
      </c>
      <c r="O1606" t="s">
        <v>8</v>
      </c>
    </row>
    <row r="1607" spans="1:15" x14ac:dyDescent="0.35">
      <c r="A1607">
        <v>2004</v>
      </c>
      <c r="B1607">
        <v>5</v>
      </c>
      <c r="C1607">
        <v>24</v>
      </c>
      <c r="D1607" s="1">
        <f t="shared" si="200"/>
        <v>38131</v>
      </c>
      <c r="E1607">
        <v>0</v>
      </c>
      <c r="F1607">
        <f t="shared" si="206"/>
        <v>0</v>
      </c>
      <c r="G1607">
        <f t="shared" si="201"/>
        <v>0</v>
      </c>
      <c r="H1607">
        <f t="shared" si="207"/>
        <v>0</v>
      </c>
      <c r="I1607">
        <v>1606</v>
      </c>
      <c r="J1607">
        <f t="shared" si="202"/>
        <v>0.60298786706947072</v>
      </c>
      <c r="K1607">
        <f t="shared" si="203"/>
        <v>-0.79775035704599362</v>
      </c>
      <c r="L1607">
        <f>VLOOKUP(D1607,[1]SOI!$A$1:$C$142,3)</f>
        <v>-15.4</v>
      </c>
      <c r="M1607" s="2">
        <f t="shared" si="204"/>
        <v>968.39851451356992</v>
      </c>
      <c r="N1607">
        <f t="shared" si="205"/>
        <v>-1281.1870734158658</v>
      </c>
      <c r="O1607" t="s">
        <v>8</v>
      </c>
    </row>
    <row r="1608" spans="1:15" x14ac:dyDescent="0.35">
      <c r="A1608">
        <v>2004</v>
      </c>
      <c r="B1608">
        <v>5</v>
      </c>
      <c r="C1608">
        <v>25</v>
      </c>
      <c r="D1608" s="1">
        <f t="shared" si="200"/>
        <v>38132</v>
      </c>
      <c r="E1608">
        <v>0</v>
      </c>
      <c r="F1608">
        <f t="shared" si="206"/>
        <v>0</v>
      </c>
      <c r="G1608">
        <f t="shared" si="201"/>
        <v>0</v>
      </c>
      <c r="H1608">
        <f t="shared" si="207"/>
        <v>0</v>
      </c>
      <c r="I1608">
        <v>1607</v>
      </c>
      <c r="J1608">
        <f t="shared" si="202"/>
        <v>0.58917608723229786</v>
      </c>
      <c r="K1608">
        <f t="shared" si="203"/>
        <v>-0.80800466473507426</v>
      </c>
      <c r="L1608">
        <f>VLOOKUP(D1608,[1]SOI!$A$1:$C$142,3)</f>
        <v>-15.4</v>
      </c>
      <c r="M1608" s="2">
        <f t="shared" si="204"/>
        <v>946.80597218230264</v>
      </c>
      <c r="N1608">
        <f t="shared" si="205"/>
        <v>-1298.4634962292644</v>
      </c>
      <c r="O1608" t="s">
        <v>8</v>
      </c>
    </row>
    <row r="1609" spans="1:15" x14ac:dyDescent="0.35">
      <c r="A1609">
        <v>2004</v>
      </c>
      <c r="B1609">
        <v>5</v>
      </c>
      <c r="C1609">
        <v>26</v>
      </c>
      <c r="D1609" s="1">
        <f t="shared" si="200"/>
        <v>38133</v>
      </c>
      <c r="E1609">
        <v>1.2</v>
      </c>
      <c r="F1609">
        <f t="shared" si="206"/>
        <v>0</v>
      </c>
      <c r="G1609">
        <f t="shared" si="201"/>
        <v>1</v>
      </c>
      <c r="H1609">
        <f t="shared" si="207"/>
        <v>0</v>
      </c>
      <c r="I1609">
        <v>1608</v>
      </c>
      <c r="J1609">
        <f t="shared" si="202"/>
        <v>0.57518996071197825</v>
      </c>
      <c r="K1609">
        <f t="shared" si="203"/>
        <v>-0.81801987084431682</v>
      </c>
      <c r="L1609">
        <f>VLOOKUP(D1609,[1]SOI!$A$1:$C$142,3)</f>
        <v>-15.4</v>
      </c>
      <c r="M1609" s="2">
        <f t="shared" si="204"/>
        <v>924.90545682486106</v>
      </c>
      <c r="N1609">
        <f t="shared" si="205"/>
        <v>-1315.3759523176614</v>
      </c>
      <c r="O1609" t="s">
        <v>8</v>
      </c>
    </row>
    <row r="1610" spans="1:15" x14ac:dyDescent="0.35">
      <c r="A1610">
        <v>2004</v>
      </c>
      <c r="B1610">
        <v>5</v>
      </c>
      <c r="C1610">
        <v>27</v>
      </c>
      <c r="D1610" s="1">
        <f t="shared" si="200"/>
        <v>38134</v>
      </c>
      <c r="E1610">
        <v>8.8000000000000007</v>
      </c>
      <c r="F1610">
        <f t="shared" si="206"/>
        <v>1.2</v>
      </c>
      <c r="G1610">
        <f t="shared" si="201"/>
        <v>1</v>
      </c>
      <c r="H1610">
        <f t="shared" si="207"/>
        <v>1</v>
      </c>
      <c r="I1610">
        <v>1609</v>
      </c>
      <c r="J1610">
        <f t="shared" si="202"/>
        <v>0.56103362622837039</v>
      </c>
      <c r="K1610">
        <f t="shared" si="203"/>
        <v>-0.82779301171310038</v>
      </c>
      <c r="L1610">
        <f>VLOOKUP(D1610,[1]SOI!$A$1:$C$142,3)</f>
        <v>-15.4</v>
      </c>
      <c r="M1610" s="2">
        <f t="shared" si="204"/>
        <v>902.70310460144799</v>
      </c>
      <c r="N1610">
        <f t="shared" si="205"/>
        <v>-1331.9189558463786</v>
      </c>
      <c r="O1610" t="s">
        <v>8</v>
      </c>
    </row>
    <row r="1611" spans="1:15" x14ac:dyDescent="0.35">
      <c r="A1611">
        <v>2004</v>
      </c>
      <c r="B1611">
        <v>5</v>
      </c>
      <c r="C1611">
        <v>28</v>
      </c>
      <c r="D1611" s="1">
        <f t="shared" si="200"/>
        <v>38135</v>
      </c>
      <c r="E1611">
        <v>1.8</v>
      </c>
      <c r="F1611">
        <f t="shared" si="206"/>
        <v>8.8000000000000007</v>
      </c>
      <c r="G1611">
        <f t="shared" si="201"/>
        <v>1</v>
      </c>
      <c r="H1611">
        <f t="shared" si="207"/>
        <v>1</v>
      </c>
      <c r="I1611">
        <v>1610</v>
      </c>
      <c r="J1611">
        <f t="shared" si="202"/>
        <v>0.54671127286859544</v>
      </c>
      <c r="K1611">
        <f t="shared" si="203"/>
        <v>-0.83732119531181115</v>
      </c>
      <c r="L1611">
        <f>VLOOKUP(D1611,[1]SOI!$A$1:$C$142,3)</f>
        <v>-15.4</v>
      </c>
      <c r="M1611" s="2">
        <f t="shared" si="204"/>
        <v>880.20514931843866</v>
      </c>
      <c r="N1611">
        <f t="shared" si="205"/>
        <v>-1348.087124452016</v>
      </c>
      <c r="O1611" t="s">
        <v>8</v>
      </c>
    </row>
    <row r="1612" spans="1:15" x14ac:dyDescent="0.35">
      <c r="A1612">
        <v>2004</v>
      </c>
      <c r="B1612">
        <v>5</v>
      </c>
      <c r="C1612">
        <v>29</v>
      </c>
      <c r="D1612" s="1">
        <f t="shared" si="200"/>
        <v>38136</v>
      </c>
      <c r="E1612">
        <v>0.6</v>
      </c>
      <c r="F1612">
        <f t="shared" si="206"/>
        <v>1.8</v>
      </c>
      <c r="G1612">
        <f t="shared" si="201"/>
        <v>1</v>
      </c>
      <c r="H1612">
        <f t="shared" si="207"/>
        <v>1</v>
      </c>
      <c r="I1612">
        <v>1611</v>
      </c>
      <c r="J1612">
        <f t="shared" si="202"/>
        <v>0.53222713884744011</v>
      </c>
      <c r="K1612">
        <f t="shared" si="203"/>
        <v>-0.84660160209762636</v>
      </c>
      <c r="L1612">
        <f>VLOOKUP(D1612,[1]SOI!$A$1:$C$142,3)</f>
        <v>-15.4</v>
      </c>
      <c r="M1612" s="2">
        <f t="shared" si="204"/>
        <v>857.41792068322604</v>
      </c>
      <c r="N1612">
        <f t="shared" si="205"/>
        <v>-1363.8751809792761</v>
      </c>
      <c r="O1612" t="s">
        <v>8</v>
      </c>
    </row>
    <row r="1613" spans="1:15" x14ac:dyDescent="0.35">
      <c r="A1613">
        <v>2004</v>
      </c>
      <c r="B1613">
        <v>5</v>
      </c>
      <c r="C1613">
        <v>30</v>
      </c>
      <c r="D1613" s="1">
        <f t="shared" si="200"/>
        <v>38137</v>
      </c>
      <c r="E1613">
        <v>0</v>
      </c>
      <c r="F1613">
        <f t="shared" si="206"/>
        <v>0.6</v>
      </c>
      <c r="G1613">
        <f t="shared" si="201"/>
        <v>0</v>
      </c>
      <c r="H1613">
        <f t="shared" si="207"/>
        <v>1</v>
      </c>
      <c r="I1613">
        <v>1612</v>
      </c>
      <c r="J1613">
        <f t="shared" si="202"/>
        <v>0.51758551025319155</v>
      </c>
      <c r="K1613">
        <f t="shared" si="203"/>
        <v>-0.85563148584886906</v>
      </c>
      <c r="L1613">
        <f>VLOOKUP(D1613,[1]SOI!$A$1:$C$142,3)</f>
        <v>-15.4</v>
      </c>
      <c r="M1613" s="2">
        <f t="shared" si="204"/>
        <v>834.34784252814472</v>
      </c>
      <c r="N1613">
        <f t="shared" si="205"/>
        <v>-1379.2779551883768</v>
      </c>
      <c r="O1613" t="s">
        <v>8</v>
      </c>
    </row>
    <row r="1614" spans="1:15" x14ac:dyDescent="0.35">
      <c r="A1614">
        <v>2004</v>
      </c>
      <c r="B1614">
        <v>5</v>
      </c>
      <c r="C1614">
        <v>31</v>
      </c>
      <c r="D1614" s="1">
        <f t="shared" si="200"/>
        <v>38138</v>
      </c>
      <c r="E1614">
        <v>0</v>
      </c>
      <c r="F1614">
        <f t="shared" si="206"/>
        <v>0</v>
      </c>
      <c r="G1614">
        <f t="shared" si="201"/>
        <v>0</v>
      </c>
      <c r="H1614">
        <f t="shared" si="207"/>
        <v>0</v>
      </c>
      <c r="I1614">
        <v>1613</v>
      </c>
      <c r="J1614">
        <f t="shared" si="202"/>
        <v>0.50279071977930589</v>
      </c>
      <c r="K1614">
        <f t="shared" si="203"/>
        <v>-0.86440817447766394</v>
      </c>
      <c r="L1614">
        <f>VLOOKUP(D1614,[1]SOI!$A$1:$C$142,3)</f>
        <v>-15.4</v>
      </c>
      <c r="M1614" s="2">
        <f t="shared" si="204"/>
        <v>811.00143100402045</v>
      </c>
      <c r="N1614">
        <f t="shared" si="205"/>
        <v>-1394.290385432472</v>
      </c>
      <c r="O1614" t="s">
        <v>8</v>
      </c>
    </row>
    <row r="1615" spans="1:15" x14ac:dyDescent="0.35">
      <c r="A1615">
        <v>2004</v>
      </c>
      <c r="B1615">
        <v>6</v>
      </c>
      <c r="C1615">
        <v>1</v>
      </c>
      <c r="D1615" s="1">
        <f t="shared" si="200"/>
        <v>38139</v>
      </c>
      <c r="E1615">
        <v>0</v>
      </c>
      <c r="F1615">
        <f t="shared" si="206"/>
        <v>0</v>
      </c>
      <c r="G1615">
        <f t="shared" si="201"/>
        <v>0</v>
      </c>
      <c r="H1615">
        <f t="shared" si="207"/>
        <v>0</v>
      </c>
      <c r="I1615">
        <v>1614</v>
      </c>
      <c r="J1615">
        <f t="shared" si="202"/>
        <v>0.48784714544231272</v>
      </c>
      <c r="K1615">
        <f t="shared" si="203"/>
        <v>-0.87292907082064064</v>
      </c>
      <c r="L1615">
        <f>VLOOKUP(D1615,[1]SOI!$A$1:$C$142,3)</f>
        <v>13.1</v>
      </c>
      <c r="M1615" s="2">
        <f t="shared" si="204"/>
        <v>787.38529274389271</v>
      </c>
      <c r="N1615">
        <f t="shared" si="205"/>
        <v>-1408.907520304514</v>
      </c>
      <c r="O1615" t="s">
        <v>8</v>
      </c>
    </row>
    <row r="1616" spans="1:15" x14ac:dyDescent="0.35">
      <c r="A1616">
        <v>2004</v>
      </c>
      <c r="B1616">
        <v>6</v>
      </c>
      <c r="C1616">
        <v>2</v>
      </c>
      <c r="D1616" s="1">
        <f t="shared" si="200"/>
        <v>38140</v>
      </c>
      <c r="E1616">
        <v>0.8</v>
      </c>
      <c r="F1616">
        <f t="shared" si="206"/>
        <v>0</v>
      </c>
      <c r="G1616">
        <f t="shared" si="201"/>
        <v>1</v>
      </c>
      <c r="H1616">
        <f t="shared" si="207"/>
        <v>0</v>
      </c>
      <c r="I1616">
        <v>1615</v>
      </c>
      <c r="J1616">
        <f t="shared" si="202"/>
        <v>0.4727592092862804</v>
      </c>
      <c r="K1616">
        <f t="shared" si="203"/>
        <v>-0.8811916534074814</v>
      </c>
      <c r="L1616">
        <f>VLOOKUP(D1616,[1]SOI!$A$1:$C$142,3)</f>
        <v>13.1</v>
      </c>
      <c r="M1616" s="2">
        <f t="shared" si="204"/>
        <v>763.5061229973428</v>
      </c>
      <c r="N1616">
        <f t="shared" si="205"/>
        <v>-1423.1245202530824</v>
      </c>
      <c r="O1616" t="s">
        <v>8</v>
      </c>
    </row>
    <row r="1617" spans="1:15" x14ac:dyDescent="0.35">
      <c r="A1617">
        <v>2004</v>
      </c>
      <c r="B1617">
        <v>6</v>
      </c>
      <c r="C1617">
        <v>3</v>
      </c>
      <c r="D1617" s="1">
        <f t="shared" si="200"/>
        <v>38141</v>
      </c>
      <c r="E1617">
        <v>0</v>
      </c>
      <c r="F1617">
        <f t="shared" si="206"/>
        <v>0.8</v>
      </c>
      <c r="G1617">
        <f t="shared" si="201"/>
        <v>0</v>
      </c>
      <c r="H1617">
        <f t="shared" si="207"/>
        <v>1</v>
      </c>
      <c r="I1617">
        <v>1616</v>
      </c>
      <c r="J1617">
        <f t="shared" si="202"/>
        <v>0.45753137607425287</v>
      </c>
      <c r="K1617">
        <f t="shared" si="203"/>
        <v>-0.88919347720707032</v>
      </c>
      <c r="L1617">
        <f>VLOOKUP(D1617,[1]SOI!$A$1:$C$142,3)</f>
        <v>13.1</v>
      </c>
      <c r="M1617" s="2">
        <f t="shared" si="204"/>
        <v>739.37070373599261</v>
      </c>
      <c r="N1617">
        <f t="shared" si="205"/>
        <v>-1436.9366591666255</v>
      </c>
      <c r="O1617" t="s">
        <v>8</v>
      </c>
    </row>
    <row r="1618" spans="1:15" x14ac:dyDescent="0.35">
      <c r="A1618">
        <v>2004</v>
      </c>
      <c r="B1618">
        <v>6</v>
      </c>
      <c r="C1618">
        <v>4</v>
      </c>
      <c r="D1618" s="1">
        <f t="shared" si="200"/>
        <v>38142</v>
      </c>
      <c r="E1618">
        <v>2.4</v>
      </c>
      <c r="F1618">
        <f t="shared" si="206"/>
        <v>0</v>
      </c>
      <c r="G1618">
        <f t="shared" si="201"/>
        <v>1</v>
      </c>
      <c r="H1618">
        <f t="shared" si="207"/>
        <v>0</v>
      </c>
      <c r="I1618">
        <v>1617</v>
      </c>
      <c r="J1618">
        <f t="shared" si="202"/>
        <v>0.44216815196706971</v>
      </c>
      <c r="K1618">
        <f t="shared" si="203"/>
        <v>-0.89693217435100758</v>
      </c>
      <c r="L1618">
        <f>VLOOKUP(D1618,[1]SOI!$A$1:$C$142,3)</f>
        <v>13.1</v>
      </c>
      <c r="M1618" s="2">
        <f t="shared" si="204"/>
        <v>714.98590173075172</v>
      </c>
      <c r="N1618">
        <f t="shared" si="205"/>
        <v>-1450.3393259255793</v>
      </c>
      <c r="O1618" t="s">
        <v>8</v>
      </c>
    </row>
    <row r="1619" spans="1:15" x14ac:dyDescent="0.35">
      <c r="A1619">
        <v>2004</v>
      </c>
      <c r="B1619">
        <v>6</v>
      </c>
      <c r="C1619">
        <v>5</v>
      </c>
      <c r="D1619" s="1">
        <f t="shared" si="200"/>
        <v>38143</v>
      </c>
      <c r="E1619">
        <v>0</v>
      </c>
      <c r="F1619">
        <f t="shared" si="206"/>
        <v>2.4</v>
      </c>
      <c r="G1619">
        <f t="shared" si="201"/>
        <v>0</v>
      </c>
      <c r="H1619">
        <f t="shared" si="207"/>
        <v>1</v>
      </c>
      <c r="I1619">
        <v>1618</v>
      </c>
      <c r="J1619">
        <f t="shared" si="202"/>
        <v>0.42667408318992756</v>
      </c>
      <c r="K1619">
        <f t="shared" si="203"/>
        <v>-0.90440545483429868</v>
      </c>
      <c r="L1619">
        <f>VLOOKUP(D1619,[1]SOI!$A$1:$C$142,3)</f>
        <v>13.1</v>
      </c>
      <c r="M1619" s="2">
        <f t="shared" si="204"/>
        <v>690.35866660130273</v>
      </c>
      <c r="N1619">
        <f t="shared" si="205"/>
        <v>-1463.3280259218952</v>
      </c>
      <c r="O1619" t="s">
        <v>8</v>
      </c>
    </row>
    <row r="1620" spans="1:15" x14ac:dyDescent="0.35">
      <c r="A1620">
        <v>2004</v>
      </c>
      <c r="B1620">
        <v>6</v>
      </c>
      <c r="C1620">
        <v>6</v>
      </c>
      <c r="D1620" s="1">
        <f t="shared" si="200"/>
        <v>38144</v>
      </c>
      <c r="E1620">
        <v>0</v>
      </c>
      <c r="F1620">
        <f t="shared" si="206"/>
        <v>0</v>
      </c>
      <c r="G1620">
        <f t="shared" si="201"/>
        <v>0</v>
      </c>
      <c r="H1620">
        <f t="shared" si="207"/>
        <v>0</v>
      </c>
      <c r="I1620">
        <v>1619</v>
      </c>
      <c r="J1620">
        <f t="shared" si="202"/>
        <v>0.41105375468703398</v>
      </c>
      <c r="K1620">
        <f t="shared" si="203"/>
        <v>-0.91161110719302429</v>
      </c>
      <c r="L1620">
        <f>VLOOKUP(D1620,[1]SOI!$A$1:$C$142,3)</f>
        <v>13.1</v>
      </c>
      <c r="M1620" s="2">
        <f t="shared" si="204"/>
        <v>665.49602883830801</v>
      </c>
      <c r="N1620">
        <f t="shared" si="205"/>
        <v>-1475.8983825455064</v>
      </c>
      <c r="O1620" t="s">
        <v>8</v>
      </c>
    </row>
    <row r="1621" spans="1:15" x14ac:dyDescent="0.35">
      <c r="A1621">
        <v>2004</v>
      </c>
      <c r="B1621">
        <v>6</v>
      </c>
      <c r="C1621">
        <v>7</v>
      </c>
      <c r="D1621" s="1">
        <f t="shared" si="200"/>
        <v>38145</v>
      </c>
      <c r="E1621">
        <v>0</v>
      </c>
      <c r="F1621">
        <f t="shared" si="206"/>
        <v>0</v>
      </c>
      <c r="G1621">
        <f t="shared" si="201"/>
        <v>0</v>
      </c>
      <c r="H1621">
        <f t="shared" si="207"/>
        <v>0</v>
      </c>
      <c r="I1621">
        <v>1620</v>
      </c>
      <c r="J1621">
        <f t="shared" si="202"/>
        <v>0.39531178876491924</v>
      </c>
      <c r="K1621">
        <f t="shared" si="203"/>
        <v>-0.91854699915871474</v>
      </c>
      <c r="L1621">
        <f>VLOOKUP(D1621,[1]SOI!$A$1:$C$142,3)</f>
        <v>13.1</v>
      </c>
      <c r="M1621" s="2">
        <f t="shared" si="204"/>
        <v>640.4050977991692</v>
      </c>
      <c r="N1621">
        <f t="shared" si="205"/>
        <v>-1488.0461386371178</v>
      </c>
      <c r="O1621" t="s">
        <v>8</v>
      </c>
    </row>
    <row r="1622" spans="1:15" x14ac:dyDescent="0.35">
      <c r="A1622">
        <v>2004</v>
      </c>
      <c r="B1622">
        <v>6</v>
      </c>
      <c r="C1622">
        <v>8</v>
      </c>
      <c r="D1622" s="1">
        <f t="shared" si="200"/>
        <v>38146</v>
      </c>
      <c r="E1622">
        <v>0</v>
      </c>
      <c r="F1622">
        <f t="shared" si="206"/>
        <v>0</v>
      </c>
      <c r="G1622">
        <f t="shared" si="201"/>
        <v>0</v>
      </c>
      <c r="H1622">
        <f t="shared" si="207"/>
        <v>0</v>
      </c>
      <c r="I1622">
        <v>1621</v>
      </c>
      <c r="J1622">
        <f t="shared" si="202"/>
        <v>0.3794528437245473</v>
      </c>
      <c r="K1622">
        <f t="shared" si="203"/>
        <v>-0.92521107828935678</v>
      </c>
      <c r="L1622">
        <f>VLOOKUP(D1622,[1]SOI!$A$1:$C$142,3)</f>
        <v>13.1</v>
      </c>
      <c r="M1622" s="2">
        <f t="shared" si="204"/>
        <v>615.09305967749117</v>
      </c>
      <c r="N1622">
        <f t="shared" si="205"/>
        <v>-1499.7671579070472</v>
      </c>
      <c r="O1622" t="s">
        <v>8</v>
      </c>
    </row>
    <row r="1623" spans="1:15" x14ac:dyDescent="0.35">
      <c r="A1623">
        <v>2004</v>
      </c>
      <c r="B1623">
        <v>6</v>
      </c>
      <c r="C1623">
        <v>9</v>
      </c>
      <c r="D1623" s="1">
        <f t="shared" si="200"/>
        <v>38147</v>
      </c>
      <c r="E1623">
        <v>0.2</v>
      </c>
      <c r="F1623">
        <f t="shared" si="206"/>
        <v>0</v>
      </c>
      <c r="G1623">
        <f t="shared" si="201"/>
        <v>1</v>
      </c>
      <c r="H1623">
        <f t="shared" si="207"/>
        <v>0</v>
      </c>
      <c r="I1623">
        <v>1622</v>
      </c>
      <c r="J1623">
        <f t="shared" si="202"/>
        <v>0.36348161248290478</v>
      </c>
      <c r="K1623">
        <f t="shared" si="203"/>
        <v>-0.93160137257671938</v>
      </c>
      <c r="L1623">
        <f>VLOOKUP(D1623,[1]SOI!$A$1:$C$142,3)</f>
        <v>13.1</v>
      </c>
      <c r="M1623" s="2">
        <f t="shared" si="204"/>
        <v>589.56717544727155</v>
      </c>
      <c r="N1623">
        <f t="shared" si="205"/>
        <v>-1511.0574263194387</v>
      </c>
      <c r="O1623" t="s">
        <v>8</v>
      </c>
    </row>
    <row r="1624" spans="1:15" x14ac:dyDescent="0.35">
      <c r="A1624">
        <v>2004</v>
      </c>
      <c r="B1624">
        <v>6</v>
      </c>
      <c r="C1624">
        <v>10</v>
      </c>
      <c r="D1624" s="1">
        <f t="shared" si="200"/>
        <v>38148</v>
      </c>
      <c r="E1624">
        <v>8</v>
      </c>
      <c r="F1624">
        <f t="shared" si="206"/>
        <v>0.2</v>
      </c>
      <c r="G1624">
        <f t="shared" si="201"/>
        <v>1</v>
      </c>
      <c r="H1624">
        <f t="shared" si="207"/>
        <v>1</v>
      </c>
      <c r="I1624">
        <v>1623</v>
      </c>
      <c r="J1624">
        <f t="shared" si="202"/>
        <v>0.34740282118428162</v>
      </c>
      <c r="K1624">
        <f t="shared" si="203"/>
        <v>-0.93771599102990777</v>
      </c>
      <c r="L1624">
        <f>VLOOKUP(D1624,[1]SOI!$A$1:$C$142,3)</f>
        <v>13.1</v>
      </c>
      <c r="M1624" s="2">
        <f t="shared" si="204"/>
        <v>563.83477878208907</v>
      </c>
      <c r="N1624">
        <f t="shared" si="205"/>
        <v>-1521.9130534415403</v>
      </c>
      <c r="O1624" t="s">
        <v>8</v>
      </c>
    </row>
    <row r="1625" spans="1:15" x14ac:dyDescent="0.35">
      <c r="A1625">
        <v>2004</v>
      </c>
      <c r="B1625">
        <v>6</v>
      </c>
      <c r="C1625">
        <v>11</v>
      </c>
      <c r="D1625" s="1">
        <f t="shared" si="200"/>
        <v>38149</v>
      </c>
      <c r="E1625">
        <v>0</v>
      </c>
      <c r="F1625">
        <f t="shared" si="206"/>
        <v>8</v>
      </c>
      <c r="G1625">
        <f t="shared" si="201"/>
        <v>0</v>
      </c>
      <c r="H1625">
        <f t="shared" si="207"/>
        <v>1</v>
      </c>
      <c r="I1625">
        <v>1624</v>
      </c>
      <c r="J1625">
        <f t="shared" si="202"/>
        <v>0.33122122780168617</v>
      </c>
      <c r="K1625">
        <f t="shared" si="203"/>
        <v>-0.94355312423495452</v>
      </c>
      <c r="L1625">
        <f>VLOOKUP(D1625,[1]SOI!$A$1:$C$142,3)</f>
        <v>13.1</v>
      </c>
      <c r="M1625" s="2">
        <f t="shared" si="204"/>
        <v>537.90327394993835</v>
      </c>
      <c r="N1625">
        <f t="shared" si="205"/>
        <v>-1532.3302737575661</v>
      </c>
      <c r="O1625" t="s">
        <v>8</v>
      </c>
    </row>
    <row r="1626" spans="1:15" x14ac:dyDescent="0.35">
      <c r="A1626">
        <v>2004</v>
      </c>
      <c r="B1626">
        <v>6</v>
      </c>
      <c r="C1626">
        <v>12</v>
      </c>
      <c r="D1626" s="1">
        <f t="shared" si="200"/>
        <v>38150</v>
      </c>
      <c r="E1626">
        <v>0</v>
      </c>
      <c r="F1626">
        <f t="shared" si="206"/>
        <v>0</v>
      </c>
      <c r="G1626">
        <f t="shared" si="201"/>
        <v>0</v>
      </c>
      <c r="H1626">
        <f t="shared" si="207"/>
        <v>0</v>
      </c>
      <c r="I1626">
        <v>1625</v>
      </c>
      <c r="J1626">
        <f t="shared" si="202"/>
        <v>0.31494162072895032</v>
      </c>
      <c r="K1626">
        <f t="shared" si="203"/>
        <v>-0.94911104489022879</v>
      </c>
      <c r="L1626">
        <f>VLOOKUP(D1626,[1]SOI!$A$1:$C$142,3)</f>
        <v>13.1</v>
      </c>
      <c r="M1626" s="2">
        <f t="shared" si="204"/>
        <v>511.7801336845443</v>
      </c>
      <c r="N1626">
        <f t="shared" si="205"/>
        <v>-1542.3054479466218</v>
      </c>
      <c r="O1626" t="s">
        <v>8</v>
      </c>
    </row>
    <row r="1627" spans="1:15" x14ac:dyDescent="0.35">
      <c r="A1627">
        <v>2004</v>
      </c>
      <c r="B1627">
        <v>6</v>
      </c>
      <c r="C1627">
        <v>13</v>
      </c>
      <c r="D1627" s="1">
        <f t="shared" si="200"/>
        <v>38151</v>
      </c>
      <c r="E1627">
        <v>0</v>
      </c>
      <c r="F1627">
        <f t="shared" si="206"/>
        <v>0</v>
      </c>
      <c r="G1627">
        <f t="shared" si="201"/>
        <v>0</v>
      </c>
      <c r="H1627">
        <f t="shared" si="207"/>
        <v>0</v>
      </c>
      <c r="I1627">
        <v>1626</v>
      </c>
      <c r="J1627">
        <f t="shared" si="202"/>
        <v>0.29856881736372076</v>
      </c>
      <c r="K1627">
        <f t="shared" si="203"/>
        <v>-0.95438810831759069</v>
      </c>
      <c r="L1627">
        <f>VLOOKUP(D1627,[1]SOI!$A$1:$C$142,3)</f>
        <v>13.1</v>
      </c>
      <c r="M1627" s="2">
        <f t="shared" si="204"/>
        <v>485.47289703340994</v>
      </c>
      <c r="N1627">
        <f t="shared" si="205"/>
        <v>-1551.8350641244024</v>
      </c>
      <c r="O1627" t="s">
        <v>8</v>
      </c>
    </row>
    <row r="1628" spans="1:15" x14ac:dyDescent="0.35">
      <c r="A1628">
        <v>2004</v>
      </c>
      <c r="B1628">
        <v>6</v>
      </c>
      <c r="C1628">
        <v>14</v>
      </c>
      <c r="D1628" s="1">
        <f t="shared" si="200"/>
        <v>38152</v>
      </c>
      <c r="E1628">
        <v>0</v>
      </c>
      <c r="F1628">
        <f t="shared" si="206"/>
        <v>0</v>
      </c>
      <c r="G1628">
        <f t="shared" si="201"/>
        <v>0</v>
      </c>
      <c r="H1628">
        <f t="shared" si="207"/>
        <v>0</v>
      </c>
      <c r="I1628">
        <v>1627</v>
      </c>
      <c r="J1628">
        <f t="shared" si="202"/>
        <v>0.28210766268191945</v>
      </c>
      <c r="K1628">
        <f t="shared" si="203"/>
        <v>-0.95938275294907416</v>
      </c>
      <c r="L1628">
        <f>VLOOKUP(D1628,[1]SOI!$A$1:$C$142,3)</f>
        <v>13.1</v>
      </c>
      <c r="M1628" s="2">
        <f t="shared" si="204"/>
        <v>458.98916718348295</v>
      </c>
      <c r="N1628">
        <f t="shared" si="205"/>
        <v>-1560.9157390481437</v>
      </c>
      <c r="O1628" t="s">
        <v>8</v>
      </c>
    </row>
    <row r="1629" spans="1:15" x14ac:dyDescent="0.35">
      <c r="A1629">
        <v>2004</v>
      </c>
      <c r="B1629">
        <v>6</v>
      </c>
      <c r="C1629">
        <v>15</v>
      </c>
      <c r="D1629" s="1">
        <f t="shared" si="200"/>
        <v>38153</v>
      </c>
      <c r="E1629">
        <v>6.4</v>
      </c>
      <c r="F1629">
        <f t="shared" si="206"/>
        <v>0</v>
      </c>
      <c r="G1629">
        <f t="shared" si="201"/>
        <v>1</v>
      </c>
      <c r="H1629">
        <f t="shared" si="207"/>
        <v>0</v>
      </c>
      <c r="I1629">
        <v>1628</v>
      </c>
      <c r="J1629">
        <f t="shared" si="202"/>
        <v>0.26556302780405472</v>
      </c>
      <c r="K1629">
        <f t="shared" si="203"/>
        <v>-0.96409350078897582</v>
      </c>
      <c r="L1629">
        <f>VLOOKUP(D1629,[1]SOI!$A$1:$C$142,3)</f>
        <v>13.1</v>
      </c>
      <c r="M1629" s="2">
        <f t="shared" si="204"/>
        <v>432.33660926500107</v>
      </c>
      <c r="N1629">
        <f t="shared" si="205"/>
        <v>-1569.5442192844525</v>
      </c>
      <c r="O1629" t="s">
        <v>8</v>
      </c>
    </row>
    <row r="1630" spans="1:15" x14ac:dyDescent="0.35">
      <c r="A1630">
        <v>2004</v>
      </c>
      <c r="B1630">
        <v>6</v>
      </c>
      <c r="C1630">
        <v>16</v>
      </c>
      <c r="D1630" s="1">
        <f t="shared" si="200"/>
        <v>38154</v>
      </c>
      <c r="E1630">
        <v>0.2</v>
      </c>
      <c r="F1630">
        <f t="shared" si="206"/>
        <v>6.4</v>
      </c>
      <c r="G1630">
        <f t="shared" si="201"/>
        <v>1</v>
      </c>
      <c r="H1630">
        <f t="shared" si="207"/>
        <v>1</v>
      </c>
      <c r="I1630">
        <v>1629</v>
      </c>
      <c r="J1630">
        <f t="shared" si="202"/>
        <v>0.24893980855376793</v>
      </c>
      <c r="K1630">
        <f t="shared" si="203"/>
        <v>-0.96851895785122011</v>
      </c>
      <c r="L1630">
        <f>VLOOKUP(D1630,[1]SOI!$A$1:$C$142,3)</f>
        <v>13.1</v>
      </c>
      <c r="M1630" s="2">
        <f t="shared" si="204"/>
        <v>405.52294813408798</v>
      </c>
      <c r="N1630">
        <f t="shared" si="205"/>
        <v>-1577.7173823396377</v>
      </c>
      <c r="O1630" t="s">
        <v>8</v>
      </c>
    </row>
    <row r="1631" spans="1:15" x14ac:dyDescent="0.35">
      <c r="A1631">
        <v>2004</v>
      </c>
      <c r="B1631">
        <v>6</v>
      </c>
      <c r="C1631">
        <v>17</v>
      </c>
      <c r="D1631" s="1">
        <f t="shared" si="200"/>
        <v>38155</v>
      </c>
      <c r="E1631">
        <v>0</v>
      </c>
      <c r="F1631">
        <f t="shared" si="206"/>
        <v>0.2</v>
      </c>
      <c r="G1631">
        <f t="shared" si="201"/>
        <v>0</v>
      </c>
      <c r="H1631">
        <f t="shared" si="207"/>
        <v>1</v>
      </c>
      <c r="I1631">
        <v>1630</v>
      </c>
      <c r="J1631">
        <f t="shared" si="202"/>
        <v>0.23224292400907026</v>
      </c>
      <c r="K1631">
        <f t="shared" si="203"/>
        <v>-0.9726578145718654</v>
      </c>
      <c r="L1631">
        <f>VLOOKUP(D1631,[1]SOI!$A$1:$C$142,3)</f>
        <v>13.1</v>
      </c>
      <c r="M1631" s="2">
        <f t="shared" si="204"/>
        <v>378.55596613478451</v>
      </c>
      <c r="N1631">
        <f t="shared" si="205"/>
        <v>-1585.4322377521405</v>
      </c>
      <c r="O1631" t="s">
        <v>8</v>
      </c>
    </row>
    <row r="1632" spans="1:15" x14ac:dyDescent="0.35">
      <c r="A1632">
        <v>2004</v>
      </c>
      <c r="B1632">
        <v>6</v>
      </c>
      <c r="C1632">
        <v>18</v>
      </c>
      <c r="D1632" s="1">
        <f t="shared" si="200"/>
        <v>38156</v>
      </c>
      <c r="E1632">
        <v>12.2</v>
      </c>
      <c r="F1632">
        <f t="shared" si="206"/>
        <v>0</v>
      </c>
      <c r="G1632">
        <f t="shared" si="201"/>
        <v>1</v>
      </c>
      <c r="H1632">
        <f t="shared" si="207"/>
        <v>0</v>
      </c>
      <c r="I1632">
        <v>1631</v>
      </c>
      <c r="J1632">
        <f t="shared" si="202"/>
        <v>0.21547731504673237</v>
      </c>
      <c r="K1632">
        <f t="shared" si="203"/>
        <v>-0.9765088461966186</v>
      </c>
      <c r="L1632">
        <f>VLOOKUP(D1632,[1]SOI!$A$1:$C$142,3)</f>
        <v>13.1</v>
      </c>
      <c r="M1632" s="2">
        <f t="shared" si="204"/>
        <v>351.4435008412205</v>
      </c>
      <c r="N1632">
        <f t="shared" si="205"/>
        <v>-1592.685928146685</v>
      </c>
      <c r="O1632" t="s">
        <v>8</v>
      </c>
    </row>
    <row r="1633" spans="1:15" x14ac:dyDescent="0.35">
      <c r="A1633">
        <v>2004</v>
      </c>
      <c r="B1633">
        <v>6</v>
      </c>
      <c r="C1633">
        <v>19</v>
      </c>
      <c r="D1633" s="1">
        <f t="shared" si="200"/>
        <v>38157</v>
      </c>
      <c r="E1633">
        <v>1.8</v>
      </c>
      <c r="F1633">
        <f t="shared" si="206"/>
        <v>12.2</v>
      </c>
      <c r="G1633">
        <f t="shared" si="201"/>
        <v>1</v>
      </c>
      <c r="H1633">
        <f t="shared" si="207"/>
        <v>1</v>
      </c>
      <c r="I1633">
        <v>1632</v>
      </c>
      <c r="J1633">
        <f t="shared" si="202"/>
        <v>0.19864794288017207</v>
      </c>
      <c r="K1633">
        <f t="shared" si="203"/>
        <v>-0.98007091314326633</v>
      </c>
      <c r="L1633">
        <f>VLOOKUP(D1633,[1]SOI!$A$1:$C$142,3)</f>
        <v>13.1</v>
      </c>
      <c r="M1633" s="2">
        <f t="shared" si="204"/>
        <v>324.19344278044082</v>
      </c>
      <c r="N1633">
        <f t="shared" si="205"/>
        <v>-1599.4757302498106</v>
      </c>
      <c r="O1633" t="s">
        <v>8</v>
      </c>
    </row>
    <row r="1634" spans="1:15" x14ac:dyDescent="0.35">
      <c r="A1634">
        <v>2004</v>
      </c>
      <c r="B1634">
        <v>6</v>
      </c>
      <c r="C1634">
        <v>20</v>
      </c>
      <c r="D1634" s="1">
        <f t="shared" si="200"/>
        <v>38158</v>
      </c>
      <c r="E1634">
        <v>2.2000000000000002</v>
      </c>
      <c r="F1634">
        <f t="shared" si="206"/>
        <v>1.8</v>
      </c>
      <c r="G1634">
        <f t="shared" si="201"/>
        <v>1</v>
      </c>
      <c r="H1634">
        <f t="shared" si="207"/>
        <v>1</v>
      </c>
      <c r="I1634">
        <v>1633</v>
      </c>
      <c r="J1634">
        <f t="shared" si="202"/>
        <v>0.18175978759137543</v>
      </c>
      <c r="K1634">
        <f t="shared" si="203"/>
        <v>-0.98334296133889021</v>
      </c>
      <c r="L1634">
        <f>VLOOKUP(D1634,[1]SOI!$A$1:$C$142,3)</f>
        <v>13.1</v>
      </c>
      <c r="M1634" s="2">
        <f t="shared" si="204"/>
        <v>296.81373313671605</v>
      </c>
      <c r="N1634">
        <f t="shared" si="205"/>
        <v>-1605.7990558664078</v>
      </c>
      <c r="O1634" t="s">
        <v>8</v>
      </c>
    </row>
    <row r="1635" spans="1:15" x14ac:dyDescent="0.35">
      <c r="A1635">
        <v>2004</v>
      </c>
      <c r="B1635">
        <v>6</v>
      </c>
      <c r="C1635">
        <v>21</v>
      </c>
      <c r="D1635" s="1">
        <f t="shared" si="200"/>
        <v>38159</v>
      </c>
      <c r="E1635">
        <v>0.8</v>
      </c>
      <c r="F1635">
        <f t="shared" si="206"/>
        <v>2.2000000000000002</v>
      </c>
      <c r="G1635">
        <f t="shared" si="201"/>
        <v>1</v>
      </c>
      <c r="H1635">
        <f t="shared" si="207"/>
        <v>1</v>
      </c>
      <c r="I1635">
        <v>1634</v>
      </c>
      <c r="J1635">
        <f t="shared" si="202"/>
        <v>0.1648178466572002</v>
      </c>
      <c r="K1635">
        <f t="shared" si="203"/>
        <v>-0.9863240225317863</v>
      </c>
      <c r="L1635">
        <f>VLOOKUP(D1635,[1]SOI!$A$1:$C$142,3)</f>
        <v>13.1</v>
      </c>
      <c r="M1635" s="2">
        <f t="shared" si="204"/>
        <v>269.31236143786515</v>
      </c>
      <c r="N1635">
        <f t="shared" si="205"/>
        <v>-1611.6534528169389</v>
      </c>
      <c r="O1635" t="s">
        <v>8</v>
      </c>
    </row>
    <row r="1636" spans="1:15" x14ac:dyDescent="0.35">
      <c r="A1636">
        <v>2004</v>
      </c>
      <c r="B1636">
        <v>6</v>
      </c>
      <c r="C1636">
        <v>22</v>
      </c>
      <c r="D1636" s="1">
        <f t="shared" si="200"/>
        <v>38160</v>
      </c>
      <c r="E1636">
        <v>0</v>
      </c>
      <c r="F1636">
        <f t="shared" si="206"/>
        <v>0.8</v>
      </c>
      <c r="G1636">
        <f t="shared" si="201"/>
        <v>0</v>
      </c>
      <c r="H1636">
        <f t="shared" si="207"/>
        <v>1</v>
      </c>
      <c r="I1636">
        <v>1635</v>
      </c>
      <c r="J1636">
        <f t="shared" si="202"/>
        <v>0.14782713347053145</v>
      </c>
      <c r="K1636">
        <f t="shared" si="203"/>
        <v>-0.98901321457798819</v>
      </c>
      <c r="L1636">
        <f>VLOOKUP(D1636,[1]SOI!$A$1:$C$142,3)</f>
        <v>13.1</v>
      </c>
      <c r="M1636" s="2">
        <f t="shared" si="204"/>
        <v>241.69736322431891</v>
      </c>
      <c r="N1636">
        <f t="shared" si="205"/>
        <v>-1617.0366058350107</v>
      </c>
      <c r="O1636" t="s">
        <v>8</v>
      </c>
    </row>
    <row r="1637" spans="1:15" x14ac:dyDescent="0.35">
      <c r="A1637">
        <v>2004</v>
      </c>
      <c r="B1637">
        <v>6</v>
      </c>
      <c r="C1637">
        <v>23</v>
      </c>
      <c r="D1637" s="1">
        <f t="shared" si="200"/>
        <v>38161</v>
      </c>
      <c r="E1637">
        <v>0</v>
      </c>
      <c r="F1637">
        <f t="shared" si="206"/>
        <v>0</v>
      </c>
      <c r="G1637">
        <f t="shared" si="201"/>
        <v>0</v>
      </c>
      <c r="H1637">
        <f t="shared" si="207"/>
        <v>0</v>
      </c>
      <c r="I1637">
        <v>1636</v>
      </c>
      <c r="J1637">
        <f t="shared" si="202"/>
        <v>0.13079267585675886</v>
      </c>
      <c r="K1637">
        <f t="shared" si="203"/>
        <v>-0.99140974170230378</v>
      </c>
      <c r="L1637">
        <f>VLOOKUP(D1637,[1]SOI!$A$1:$C$142,3)</f>
        <v>13.1</v>
      </c>
      <c r="M1637" s="2">
        <f t="shared" si="204"/>
        <v>213.9768177016575</v>
      </c>
      <c r="N1637">
        <f t="shared" si="205"/>
        <v>-1621.946337424969</v>
      </c>
      <c r="O1637" t="s">
        <v>8</v>
      </c>
    </row>
    <row r="1638" spans="1:15" x14ac:dyDescent="0.35">
      <c r="A1638">
        <v>2004</v>
      </c>
      <c r="B1638">
        <v>6</v>
      </c>
      <c r="C1638">
        <v>24</v>
      </c>
      <c r="D1638" s="1">
        <f t="shared" si="200"/>
        <v>38162</v>
      </c>
      <c r="E1638">
        <v>0</v>
      </c>
      <c r="F1638">
        <f t="shared" si="206"/>
        <v>0</v>
      </c>
      <c r="G1638">
        <f t="shared" si="201"/>
        <v>0</v>
      </c>
      <c r="H1638">
        <f t="shared" si="207"/>
        <v>0</v>
      </c>
      <c r="I1638">
        <v>1637</v>
      </c>
      <c r="J1638">
        <f t="shared" si="202"/>
        <v>0.11371951458595198</v>
      </c>
      <c r="K1638">
        <f t="shared" si="203"/>
        <v>-0.99351289473380033</v>
      </c>
      <c r="L1638">
        <f>VLOOKUP(D1638,[1]SOI!$A$1:$C$142,3)</f>
        <v>13.1</v>
      </c>
      <c r="M1638" s="2">
        <f t="shared" si="204"/>
        <v>186.15884537720339</v>
      </c>
      <c r="N1638">
        <f t="shared" si="205"/>
        <v>-1626.380608679231</v>
      </c>
      <c r="O1638" t="s">
        <v>8</v>
      </c>
    </row>
    <row r="1639" spans="1:15" x14ac:dyDescent="0.35">
      <c r="A1639">
        <v>2004</v>
      </c>
      <c r="B1639">
        <v>6</v>
      </c>
      <c r="C1639">
        <v>25</v>
      </c>
      <c r="D1639" s="1">
        <f t="shared" si="200"/>
        <v>38163</v>
      </c>
      <c r="E1639">
        <v>1.2</v>
      </c>
      <c r="F1639">
        <f t="shared" si="206"/>
        <v>0</v>
      </c>
      <c r="G1639">
        <f t="shared" si="201"/>
        <v>1</v>
      </c>
      <c r="H1639">
        <f t="shared" si="207"/>
        <v>0</v>
      </c>
      <c r="I1639">
        <v>1638</v>
      </c>
      <c r="J1639">
        <f t="shared" si="202"/>
        <v>9.6612701881204521E-2</v>
      </c>
      <c r="K1639">
        <f t="shared" si="203"/>
        <v>-0.99532205131566009</v>
      </c>
      <c r="L1639">
        <f>VLOOKUP(D1639,[1]SOI!$A$1:$C$142,3)</f>
        <v>13.1</v>
      </c>
      <c r="M1639" s="2">
        <f t="shared" si="204"/>
        <v>158.251605681413</v>
      </c>
      <c r="N1639">
        <f t="shared" si="205"/>
        <v>-1630.3375200550513</v>
      </c>
      <c r="O1639" t="s">
        <v>8</v>
      </c>
    </row>
    <row r="1640" spans="1:15" x14ac:dyDescent="0.35">
      <c r="A1640">
        <v>2004</v>
      </c>
      <c r="B1640">
        <v>6</v>
      </c>
      <c r="C1640">
        <v>26</v>
      </c>
      <c r="D1640" s="1">
        <f t="shared" si="200"/>
        <v>38164</v>
      </c>
      <c r="E1640">
        <v>2</v>
      </c>
      <c r="F1640">
        <f t="shared" si="206"/>
        <v>1.2</v>
      </c>
      <c r="G1640">
        <f t="shared" si="201"/>
        <v>1</v>
      </c>
      <c r="H1640">
        <f t="shared" si="207"/>
        <v>1</v>
      </c>
      <c r="I1640">
        <v>1639</v>
      </c>
      <c r="J1640">
        <f t="shared" si="202"/>
        <v>7.94772999236215E-2</v>
      </c>
      <c r="K1640">
        <f t="shared" si="203"/>
        <v>-0.99683667608934345</v>
      </c>
      <c r="L1640">
        <f>VLOOKUP(D1640,[1]SOI!$A$1:$C$142,3)</f>
        <v>13.1</v>
      </c>
      <c r="M1640" s="2">
        <f t="shared" si="204"/>
        <v>130.26329457481563</v>
      </c>
      <c r="N1640">
        <f t="shared" si="205"/>
        <v>-1633.815312110434</v>
      </c>
      <c r="O1640" t="s">
        <v>8</v>
      </c>
    </row>
    <row r="1641" spans="1:15" x14ac:dyDescent="0.35">
      <c r="A1641">
        <v>2004</v>
      </c>
      <c r="B1641">
        <v>6</v>
      </c>
      <c r="C1641">
        <v>27</v>
      </c>
      <c r="D1641" s="1">
        <f t="shared" si="200"/>
        <v>38165</v>
      </c>
      <c r="E1641">
        <v>0</v>
      </c>
      <c r="F1641">
        <f t="shared" si="206"/>
        <v>2</v>
      </c>
      <c r="G1641">
        <f t="shared" si="201"/>
        <v>0</v>
      </c>
      <c r="H1641">
        <f t="shared" si="207"/>
        <v>1</v>
      </c>
      <c r="I1641">
        <v>1640</v>
      </c>
      <c r="J1641">
        <f t="shared" si="202"/>
        <v>6.2318379354327831E-2</v>
      </c>
      <c r="K1641">
        <f t="shared" si="203"/>
        <v>-0.99805632085301188</v>
      </c>
      <c r="L1641">
        <f>VLOOKUP(D1641,[1]SOI!$A$1:$C$142,3)</f>
        <v>13.1</v>
      </c>
      <c r="M1641" s="2">
        <f t="shared" si="204"/>
        <v>102.20214214109764</v>
      </c>
      <c r="N1641">
        <f t="shared" si="205"/>
        <v>-1636.8123661989396</v>
      </c>
      <c r="O1641" t="s">
        <v>8</v>
      </c>
    </row>
    <row r="1642" spans="1:15" x14ac:dyDescent="0.35">
      <c r="A1642">
        <v>2004</v>
      </c>
      <c r="B1642">
        <v>6</v>
      </c>
      <c r="C1642">
        <v>28</v>
      </c>
      <c r="D1642" s="1">
        <f t="shared" si="200"/>
        <v>38166</v>
      </c>
      <c r="E1642">
        <v>0</v>
      </c>
      <c r="F1642">
        <f t="shared" si="206"/>
        <v>0</v>
      </c>
      <c r="G1642">
        <f t="shared" si="201"/>
        <v>0</v>
      </c>
      <c r="H1642">
        <f t="shared" si="207"/>
        <v>0</v>
      </c>
      <c r="I1642">
        <v>1641</v>
      </c>
      <c r="J1642">
        <f t="shared" si="202"/>
        <v>4.5141017773973349E-2</v>
      </c>
      <c r="K1642">
        <f t="shared" si="203"/>
        <v>-0.99898062469415783</v>
      </c>
      <c r="L1642">
        <f>VLOOKUP(D1642,[1]SOI!$A$1:$C$142,3)</f>
        <v>13.1</v>
      </c>
      <c r="M1642" s="2">
        <f t="shared" si="204"/>
        <v>74.076410167090259</v>
      </c>
      <c r="N1642">
        <f t="shared" si="205"/>
        <v>-1639.3272051231129</v>
      </c>
      <c r="O1642" t="s">
        <v>8</v>
      </c>
    </row>
    <row r="1643" spans="1:15" x14ac:dyDescent="0.35">
      <c r="A1643">
        <v>2004</v>
      </c>
      <c r="B1643">
        <v>6</v>
      </c>
      <c r="C1643">
        <v>29</v>
      </c>
      <c r="D1643" s="1">
        <f t="shared" si="200"/>
        <v>38167</v>
      </c>
      <c r="E1643">
        <v>0</v>
      </c>
      <c r="F1643">
        <f t="shared" si="206"/>
        <v>0</v>
      </c>
      <c r="G1643">
        <f t="shared" si="201"/>
        <v>0</v>
      </c>
      <c r="H1643">
        <f t="shared" si="207"/>
        <v>0</v>
      </c>
      <c r="I1643">
        <v>1642</v>
      </c>
      <c r="J1643">
        <f t="shared" si="202"/>
        <v>2.7950298240213962E-2</v>
      </c>
      <c r="K1643">
        <f t="shared" si="203"/>
        <v>-0.99960931409640397</v>
      </c>
      <c r="L1643">
        <f>VLOOKUP(D1643,[1]SOI!$A$1:$C$142,3)</f>
        <v>13.1</v>
      </c>
      <c r="M1643" s="2">
        <f t="shared" si="204"/>
        <v>45.894389710431327</v>
      </c>
      <c r="N1643">
        <f t="shared" si="205"/>
        <v>-1641.3584937462954</v>
      </c>
      <c r="O1643" t="s">
        <v>8</v>
      </c>
    </row>
    <row r="1644" spans="1:15" x14ac:dyDescent="0.35">
      <c r="A1644">
        <v>2004</v>
      </c>
      <c r="B1644">
        <v>6</v>
      </c>
      <c r="C1644">
        <v>30</v>
      </c>
      <c r="D1644" s="1">
        <f t="shared" si="200"/>
        <v>38168</v>
      </c>
      <c r="E1644">
        <v>0</v>
      </c>
      <c r="F1644">
        <f t="shared" si="206"/>
        <v>0</v>
      </c>
      <c r="G1644">
        <f t="shared" si="201"/>
        <v>0</v>
      </c>
      <c r="H1644">
        <f t="shared" si="207"/>
        <v>0</v>
      </c>
      <c r="I1644">
        <v>1643</v>
      </c>
      <c r="J1644">
        <f t="shared" si="202"/>
        <v>1.0751307763524686E-2</v>
      </c>
      <c r="K1644">
        <f t="shared" si="203"/>
        <v>-0.99994220302044157</v>
      </c>
      <c r="L1644">
        <f>VLOOKUP(D1644,[1]SOI!$A$1:$C$142,3)</f>
        <v>13.1</v>
      </c>
      <c r="M1644" s="2">
        <f t="shared" si="204"/>
        <v>17.664398655471061</v>
      </c>
      <c r="N1644">
        <f t="shared" si="205"/>
        <v>-1642.9050395625854</v>
      </c>
      <c r="O1644" t="s">
        <v>8</v>
      </c>
    </row>
    <row r="1645" spans="1:15" x14ac:dyDescent="0.35">
      <c r="A1645">
        <v>2004</v>
      </c>
      <c r="B1645">
        <v>7</v>
      </c>
      <c r="C1645">
        <v>1</v>
      </c>
      <c r="D1645" s="1">
        <f t="shared" si="200"/>
        <v>38169</v>
      </c>
      <c r="E1645">
        <v>4.2</v>
      </c>
      <c r="F1645">
        <f t="shared" si="206"/>
        <v>0</v>
      </c>
      <c r="G1645">
        <f t="shared" si="201"/>
        <v>1</v>
      </c>
      <c r="H1645">
        <f t="shared" si="207"/>
        <v>0</v>
      </c>
      <c r="I1645">
        <v>1644</v>
      </c>
      <c r="J1645">
        <f t="shared" si="202"/>
        <v>-6.4508641981037259E-3</v>
      </c>
      <c r="K1645">
        <f t="shared" si="203"/>
        <v>-0.99997919295908233</v>
      </c>
      <c r="L1645">
        <f>VLOOKUP(D1645,[1]SOI!$A$1:$C$142,3)</f>
        <v>-14.4</v>
      </c>
      <c r="M1645" s="2">
        <f t="shared" si="204"/>
        <v>-10.605220741682526</v>
      </c>
      <c r="N1645">
        <f t="shared" si="205"/>
        <v>-1643.9657932247314</v>
      </c>
      <c r="O1645" t="s">
        <v>8</v>
      </c>
    </row>
    <row r="1646" spans="1:15" x14ac:dyDescent="0.35">
      <c r="A1646">
        <v>2004</v>
      </c>
      <c r="B1646">
        <v>7</v>
      </c>
      <c r="C1646">
        <v>2</v>
      </c>
      <c r="D1646" s="1">
        <f t="shared" si="200"/>
        <v>38170</v>
      </c>
      <c r="E1646">
        <v>0</v>
      </c>
      <c r="F1646">
        <f t="shared" si="206"/>
        <v>4.2</v>
      </c>
      <c r="G1646">
        <f t="shared" si="201"/>
        <v>0</v>
      </c>
      <c r="H1646">
        <f t="shared" si="207"/>
        <v>1</v>
      </c>
      <c r="I1646">
        <v>1645</v>
      </c>
      <c r="J1646">
        <f t="shared" si="202"/>
        <v>-2.3651127245227943E-2</v>
      </c>
      <c r="K1646">
        <f t="shared" si="203"/>
        <v>-0.99972027296640831</v>
      </c>
      <c r="L1646">
        <f>VLOOKUP(D1646,[1]SOI!$A$1:$C$142,3)</f>
        <v>-14.4</v>
      </c>
      <c r="M1646" s="2">
        <f t="shared" si="204"/>
        <v>-38.906104318399969</v>
      </c>
      <c r="N1646">
        <f t="shared" si="205"/>
        <v>-1644.5398490297416</v>
      </c>
      <c r="O1646" t="s">
        <v>8</v>
      </c>
    </row>
    <row r="1647" spans="1:15" x14ac:dyDescent="0.35">
      <c r="A1647">
        <v>2004</v>
      </c>
      <c r="B1647">
        <v>7</v>
      </c>
      <c r="C1647">
        <v>3</v>
      </c>
      <c r="D1647" s="1">
        <f t="shared" si="200"/>
        <v>38171</v>
      </c>
      <c r="E1647">
        <v>0</v>
      </c>
      <c r="F1647">
        <f t="shared" si="206"/>
        <v>0</v>
      </c>
      <c r="G1647">
        <f t="shared" si="201"/>
        <v>0</v>
      </c>
      <c r="H1647">
        <f t="shared" si="207"/>
        <v>0</v>
      </c>
      <c r="I1647">
        <v>1646</v>
      </c>
      <c r="J1647">
        <f t="shared" si="202"/>
        <v>-4.08443915432938E-2</v>
      </c>
      <c r="K1647">
        <f t="shared" si="203"/>
        <v>-0.99916551966101097</v>
      </c>
      <c r="L1647">
        <f>VLOOKUP(D1647,[1]SOI!$A$1:$C$142,3)</f>
        <v>-14.4</v>
      </c>
      <c r="M1647" s="2">
        <f t="shared" si="204"/>
        <v>-67.229868480261601</v>
      </c>
      <c r="N1647">
        <f t="shared" si="205"/>
        <v>-1644.626445362024</v>
      </c>
      <c r="O1647" t="s">
        <v>8</v>
      </c>
    </row>
    <row r="1648" spans="1:15" x14ac:dyDescent="0.35">
      <c r="A1648">
        <v>2004</v>
      </c>
      <c r="B1648">
        <v>7</v>
      </c>
      <c r="C1648">
        <v>4</v>
      </c>
      <c r="D1648" s="1">
        <f t="shared" si="200"/>
        <v>38172</v>
      </c>
      <c r="E1648">
        <v>0</v>
      </c>
      <c r="F1648">
        <f t="shared" si="206"/>
        <v>0</v>
      </c>
      <c r="G1648">
        <f t="shared" si="201"/>
        <v>0</v>
      </c>
      <c r="H1648">
        <f t="shared" si="207"/>
        <v>0</v>
      </c>
      <c r="I1648">
        <v>1647</v>
      </c>
      <c r="J1648">
        <f t="shared" si="202"/>
        <v>-5.8025569328782473E-2</v>
      </c>
      <c r="K1648">
        <f t="shared" si="203"/>
        <v>-0.99831509720331824</v>
      </c>
      <c r="L1648">
        <f>VLOOKUP(D1648,[1]SOI!$A$1:$C$142,3)</f>
        <v>-14.4</v>
      </c>
      <c r="M1648" s="2">
        <f t="shared" si="204"/>
        <v>-95.568112684504726</v>
      </c>
      <c r="N1648">
        <f t="shared" si="205"/>
        <v>-1644.2249650938652</v>
      </c>
      <c r="O1648" t="s">
        <v>8</v>
      </c>
    </row>
    <row r="1649" spans="1:15" x14ac:dyDescent="0.35">
      <c r="A1649">
        <v>2004</v>
      </c>
      <c r="B1649">
        <v>7</v>
      </c>
      <c r="C1649">
        <v>5</v>
      </c>
      <c r="D1649" s="1">
        <f t="shared" si="200"/>
        <v>38173</v>
      </c>
      <c r="E1649">
        <v>0</v>
      </c>
      <c r="F1649">
        <f t="shared" si="206"/>
        <v>0</v>
      </c>
      <c r="G1649">
        <f t="shared" si="201"/>
        <v>0</v>
      </c>
      <c r="H1649">
        <f t="shared" si="207"/>
        <v>0</v>
      </c>
      <c r="I1649">
        <v>1648</v>
      </c>
      <c r="J1649">
        <f t="shared" si="202"/>
        <v>-7.5189576414754475E-2</v>
      </c>
      <c r="K1649">
        <f t="shared" si="203"/>
        <v>-0.9971692572470181</v>
      </c>
      <c r="L1649">
        <f>VLOOKUP(D1649,[1]SOI!$A$1:$C$142,3)</f>
        <v>-14.4</v>
      </c>
      <c r="M1649" s="2">
        <f t="shared" si="204"/>
        <v>-123.91242193151537</v>
      </c>
      <c r="N1649">
        <f t="shared" si="205"/>
        <v>-1643.3349359430858</v>
      </c>
      <c r="O1649" t="s">
        <v>8</v>
      </c>
    </row>
    <row r="1650" spans="1:15" x14ac:dyDescent="0.35">
      <c r="A1650">
        <v>2004</v>
      </c>
      <c r="B1650">
        <v>7</v>
      </c>
      <c r="C1650">
        <v>6</v>
      </c>
      <c r="D1650" s="1">
        <f t="shared" si="200"/>
        <v>38174</v>
      </c>
      <c r="E1650">
        <v>1.2</v>
      </c>
      <c r="F1650">
        <f t="shared" si="206"/>
        <v>0</v>
      </c>
      <c r="G1650">
        <f t="shared" si="201"/>
        <v>1</v>
      </c>
      <c r="H1650">
        <f t="shared" si="207"/>
        <v>0</v>
      </c>
      <c r="I1650">
        <v>1649</v>
      </c>
      <c r="J1650">
        <f t="shared" si="202"/>
        <v>-9.2331333695392023E-2</v>
      </c>
      <c r="K1650">
        <f t="shared" si="203"/>
        <v>-0.99572833886458723</v>
      </c>
      <c r="L1650">
        <f>VLOOKUP(D1650,[1]SOI!$A$1:$C$142,3)</f>
        <v>-14.4</v>
      </c>
      <c r="M1650" s="2">
        <f t="shared" si="204"/>
        <v>-152.25436926370145</v>
      </c>
      <c r="N1650">
        <f t="shared" si="205"/>
        <v>-1641.9560307877043</v>
      </c>
      <c r="O1650" t="s">
        <v>8</v>
      </c>
    </row>
    <row r="1651" spans="1:15" x14ac:dyDescent="0.35">
      <c r="A1651">
        <v>2004</v>
      </c>
      <c r="B1651">
        <v>7</v>
      </c>
      <c r="C1651">
        <v>7</v>
      </c>
      <c r="D1651" s="1">
        <f t="shared" si="200"/>
        <v>38175</v>
      </c>
      <c r="E1651">
        <v>2</v>
      </c>
      <c r="F1651">
        <f t="shared" si="206"/>
        <v>1.2</v>
      </c>
      <c r="G1651">
        <f t="shared" si="201"/>
        <v>1</v>
      </c>
      <c r="H1651">
        <f t="shared" si="207"/>
        <v>1</v>
      </c>
      <c r="I1651">
        <v>1650</v>
      </c>
      <c r="J1651">
        <f t="shared" si="202"/>
        <v>-0.10944576864891722</v>
      </c>
      <c r="K1651">
        <f t="shared" si="203"/>
        <v>-0.99399276844695794</v>
      </c>
      <c r="L1651">
        <f>VLOOKUP(D1651,[1]SOI!$A$1:$C$142,3)</f>
        <v>-14.4</v>
      </c>
      <c r="M1651" s="2">
        <f t="shared" si="204"/>
        <v>-180.58551827071341</v>
      </c>
      <c r="N1651">
        <f t="shared" si="205"/>
        <v>-1640.0880679374807</v>
      </c>
      <c r="O1651" t="s">
        <v>8</v>
      </c>
    </row>
    <row r="1652" spans="1:15" x14ac:dyDescent="0.35">
      <c r="A1652">
        <v>2004</v>
      </c>
      <c r="B1652">
        <v>7</v>
      </c>
      <c r="C1652">
        <v>8</v>
      </c>
      <c r="D1652" s="1">
        <f t="shared" si="200"/>
        <v>38176</v>
      </c>
      <c r="E1652">
        <v>2.6</v>
      </c>
      <c r="F1652">
        <f t="shared" si="206"/>
        <v>2</v>
      </c>
      <c r="G1652">
        <f t="shared" si="201"/>
        <v>1</v>
      </c>
      <c r="H1652">
        <f t="shared" si="207"/>
        <v>1</v>
      </c>
      <c r="I1652">
        <v>1651</v>
      </c>
      <c r="J1652">
        <f t="shared" si="202"/>
        <v>-0.12652781683868261</v>
      </c>
      <c r="K1652">
        <f t="shared" si="203"/>
        <v>-0.99196305957733966</v>
      </c>
      <c r="L1652">
        <f>VLOOKUP(D1652,[1]SOI!$A$1:$C$142,3)</f>
        <v>-14.4</v>
      </c>
      <c r="M1652" s="2">
        <f t="shared" si="204"/>
        <v>-208.897425600665</v>
      </c>
      <c r="N1652">
        <f t="shared" si="205"/>
        <v>-1637.7310113621877</v>
      </c>
      <c r="O1652" t="s">
        <v>8</v>
      </c>
    </row>
    <row r="1653" spans="1:15" x14ac:dyDescent="0.35">
      <c r="A1653">
        <v>2004</v>
      </c>
      <c r="B1653">
        <v>7</v>
      </c>
      <c r="C1653">
        <v>9</v>
      </c>
      <c r="D1653" s="1">
        <f t="shared" si="200"/>
        <v>38177</v>
      </c>
      <c r="E1653">
        <v>0</v>
      </c>
      <c r="F1653">
        <f t="shared" si="206"/>
        <v>2.6</v>
      </c>
      <c r="G1653">
        <f t="shared" si="201"/>
        <v>0</v>
      </c>
      <c r="H1653">
        <f t="shared" si="207"/>
        <v>1</v>
      </c>
      <c r="I1653">
        <v>1652</v>
      </c>
      <c r="J1653">
        <f t="shared" si="202"/>
        <v>-0.14357242341181209</v>
      </c>
      <c r="K1653">
        <f t="shared" si="203"/>
        <v>-0.98963981287924108</v>
      </c>
      <c r="L1653">
        <f>VLOOKUP(D1653,[1]SOI!$A$1:$C$142,3)</f>
        <v>-14.4</v>
      </c>
      <c r="M1653" s="2">
        <f t="shared" si="204"/>
        <v>-237.18164347631358</v>
      </c>
      <c r="N1653">
        <f t="shared" si="205"/>
        <v>-1634.8849708765063</v>
      </c>
      <c r="O1653" t="s">
        <v>8</v>
      </c>
    </row>
    <row r="1654" spans="1:15" x14ac:dyDescent="0.35">
      <c r="A1654">
        <v>2004</v>
      </c>
      <c r="B1654">
        <v>7</v>
      </c>
      <c r="C1654">
        <v>10</v>
      </c>
      <c r="D1654" s="1">
        <f t="shared" si="200"/>
        <v>38178</v>
      </c>
      <c r="E1654">
        <v>0</v>
      </c>
      <c r="F1654">
        <f t="shared" si="206"/>
        <v>0</v>
      </c>
      <c r="G1654">
        <f t="shared" si="201"/>
        <v>0</v>
      </c>
      <c r="H1654">
        <f t="shared" si="207"/>
        <v>0</v>
      </c>
      <c r="I1654">
        <v>1653</v>
      </c>
      <c r="J1654">
        <f t="shared" si="202"/>
        <v>-0.16057454459498885</v>
      </c>
      <c r="K1654">
        <f t="shared" si="203"/>
        <v>-0.98702371583873905</v>
      </c>
      <c r="L1654">
        <f>VLOOKUP(D1654,[1]SOI!$A$1:$C$142,3)</f>
        <v>-14.4</v>
      </c>
      <c r="M1654" s="2">
        <f t="shared" si="204"/>
        <v>-265.42972221551656</v>
      </c>
      <c r="N1654">
        <f t="shared" si="205"/>
        <v>-1631.5502022814355</v>
      </c>
      <c r="O1654" t="s">
        <v>8</v>
      </c>
    </row>
    <row r="1655" spans="1:15" x14ac:dyDescent="0.35">
      <c r="A1655">
        <v>2004</v>
      </c>
      <c r="B1655">
        <v>7</v>
      </c>
      <c r="C1655">
        <v>11</v>
      </c>
      <c r="D1655" s="1">
        <f t="shared" si="200"/>
        <v>38179</v>
      </c>
      <c r="E1655">
        <v>0</v>
      </c>
      <c r="F1655">
        <f t="shared" si="206"/>
        <v>0</v>
      </c>
      <c r="G1655">
        <f t="shared" si="201"/>
        <v>0</v>
      </c>
      <c r="H1655">
        <f t="shared" si="207"/>
        <v>0</v>
      </c>
      <c r="I1655">
        <v>1654</v>
      </c>
      <c r="J1655">
        <f t="shared" si="202"/>
        <v>-0.17752914918703444</v>
      </c>
      <c r="K1655">
        <f t="shared" si="203"/>
        <v>-0.98411554260103407</v>
      </c>
      <c r="L1655">
        <f>VLOOKUP(D1655,[1]SOI!$A$1:$C$142,3)</f>
        <v>-14.4</v>
      </c>
      <c r="M1655" s="2">
        <f t="shared" si="204"/>
        <v>-293.63321275535498</v>
      </c>
      <c r="N1655">
        <f t="shared" si="205"/>
        <v>-1627.7271074621103</v>
      </c>
      <c r="O1655" t="s">
        <v>8</v>
      </c>
    </row>
    <row r="1656" spans="1:15" x14ac:dyDescent="0.35">
      <c r="A1656">
        <v>2004</v>
      </c>
      <c r="B1656">
        <v>7</v>
      </c>
      <c r="C1656">
        <v>12</v>
      </c>
      <c r="D1656" s="1">
        <f t="shared" si="200"/>
        <v>38180</v>
      </c>
      <c r="E1656">
        <v>2</v>
      </c>
      <c r="F1656">
        <f t="shared" si="206"/>
        <v>0</v>
      </c>
      <c r="G1656">
        <f t="shared" si="201"/>
        <v>1</v>
      </c>
      <c r="H1656">
        <f t="shared" si="207"/>
        <v>0</v>
      </c>
      <c r="I1656">
        <v>1655</v>
      </c>
      <c r="J1656">
        <f t="shared" si="202"/>
        <v>-0.19443122004766272</v>
      </c>
      <c r="K1656">
        <f t="shared" si="203"/>
        <v>-0.98091615374137731</v>
      </c>
      <c r="L1656">
        <f>VLOOKUP(D1656,[1]SOI!$A$1:$C$142,3)</f>
        <v>-14.4</v>
      </c>
      <c r="M1656" s="2">
        <f t="shared" si="204"/>
        <v>-321.78366917888178</v>
      </c>
      <c r="N1656">
        <f t="shared" si="205"/>
        <v>-1623.4162344419794</v>
      </c>
      <c r="O1656" t="s">
        <v>8</v>
      </c>
    </row>
    <row r="1657" spans="1:15" x14ac:dyDescent="0.35">
      <c r="A1657">
        <v>2004</v>
      </c>
      <c r="B1657">
        <v>7</v>
      </c>
      <c r="C1657">
        <v>13</v>
      </c>
      <c r="D1657" s="1">
        <f t="shared" si="200"/>
        <v>38181</v>
      </c>
      <c r="E1657">
        <v>1</v>
      </c>
      <c r="F1657">
        <f t="shared" si="206"/>
        <v>2</v>
      </c>
      <c r="G1657">
        <f t="shared" si="201"/>
        <v>1</v>
      </c>
      <c r="H1657">
        <f t="shared" si="207"/>
        <v>1</v>
      </c>
      <c r="I1657">
        <v>1656</v>
      </c>
      <c r="J1657">
        <f t="shared" si="202"/>
        <v>-0.2112757555821779</v>
      </c>
      <c r="K1657">
        <f t="shared" si="203"/>
        <v>-0.97742649601040577</v>
      </c>
      <c r="L1657">
        <f>VLOOKUP(D1657,[1]SOI!$A$1:$C$142,3)</f>
        <v>-14.4</v>
      </c>
      <c r="M1657" s="2">
        <f t="shared" si="204"/>
        <v>-349.87265124408663</v>
      </c>
      <c r="N1657">
        <f t="shared" si="205"/>
        <v>-1618.6182773932319</v>
      </c>
      <c r="O1657" t="s">
        <v>8</v>
      </c>
    </row>
    <row r="1658" spans="1:15" x14ac:dyDescent="0.35">
      <c r="A1658">
        <v>2004</v>
      </c>
      <c r="B1658">
        <v>7</v>
      </c>
      <c r="C1658">
        <v>14</v>
      </c>
      <c r="D1658" s="1">
        <f t="shared" si="200"/>
        <v>38182</v>
      </c>
      <c r="E1658">
        <v>0</v>
      </c>
      <c r="F1658">
        <f t="shared" si="206"/>
        <v>1</v>
      </c>
      <c r="G1658">
        <f t="shared" si="201"/>
        <v>0</v>
      </c>
      <c r="H1658">
        <f t="shared" si="207"/>
        <v>1</v>
      </c>
      <c r="I1658">
        <v>1657</v>
      </c>
      <c r="J1658">
        <f t="shared" si="202"/>
        <v>-0.22805777122151971</v>
      </c>
      <c r="K1658">
        <f t="shared" si="203"/>
        <v>-0.97364760205398393</v>
      </c>
      <c r="L1658">
        <f>VLOOKUP(D1658,[1]SOI!$A$1:$C$142,3)</f>
        <v>-14.4</v>
      </c>
      <c r="M1658" s="2">
        <f t="shared" si="204"/>
        <v>-377.89172691405815</v>
      </c>
      <c r="N1658">
        <f t="shared" si="205"/>
        <v>-1613.3340766034514</v>
      </c>
      <c r="O1658" t="s">
        <v>8</v>
      </c>
    </row>
    <row r="1659" spans="1:15" x14ac:dyDescent="0.35">
      <c r="A1659">
        <v>2004</v>
      </c>
      <c r="B1659">
        <v>7</v>
      </c>
      <c r="C1659">
        <v>15</v>
      </c>
      <c r="D1659" s="1">
        <f t="shared" si="200"/>
        <v>38183</v>
      </c>
      <c r="E1659">
        <v>0.2</v>
      </c>
      <c r="F1659">
        <f t="shared" si="206"/>
        <v>0</v>
      </c>
      <c r="G1659">
        <f t="shared" si="201"/>
        <v>1</v>
      </c>
      <c r="H1659">
        <f t="shared" si="207"/>
        <v>0</v>
      </c>
      <c r="I1659">
        <v>1658</v>
      </c>
      <c r="J1659">
        <f t="shared" si="202"/>
        <v>-0.24477230089726035</v>
      </c>
      <c r="K1659">
        <f t="shared" si="203"/>
        <v>-0.96958059010763054</v>
      </c>
      <c r="L1659">
        <f>VLOOKUP(D1659,[1]SOI!$A$1:$C$142,3)</f>
        <v>-14.4</v>
      </c>
      <c r="M1659" s="2">
        <f t="shared" si="204"/>
        <v>-405.83247488765767</v>
      </c>
      <c r="N1659">
        <f t="shared" si="205"/>
        <v>-1607.5646183984513</v>
      </c>
      <c r="O1659" t="s">
        <v>8</v>
      </c>
    </row>
    <row r="1660" spans="1:15" x14ac:dyDescent="0.35">
      <c r="A1660">
        <v>2004</v>
      </c>
      <c r="B1660">
        <v>7</v>
      </c>
      <c r="C1660">
        <v>16</v>
      </c>
      <c r="D1660" s="1">
        <f t="shared" si="200"/>
        <v>38184</v>
      </c>
      <c r="E1660">
        <v>0</v>
      </c>
      <c r="F1660">
        <f t="shared" si="206"/>
        <v>0.2</v>
      </c>
      <c r="G1660">
        <f t="shared" si="201"/>
        <v>0</v>
      </c>
      <c r="H1660">
        <f t="shared" si="207"/>
        <v>1</v>
      </c>
      <c r="I1660">
        <v>1659</v>
      </c>
      <c r="J1660">
        <f t="shared" si="202"/>
        <v>-0.26141439851115439</v>
      </c>
      <c r="K1660">
        <f t="shared" si="203"/>
        <v>-0.96522666366561349</v>
      </c>
      <c r="L1660">
        <f>VLOOKUP(D1660,[1]SOI!$A$1:$C$142,3)</f>
        <v>-14.4</v>
      </c>
      <c r="M1660" s="2">
        <f t="shared" si="204"/>
        <v>-433.6864871300051</v>
      </c>
      <c r="N1660">
        <f t="shared" si="205"/>
        <v>-1601.3110350212528</v>
      </c>
      <c r="O1660" t="s">
        <v>8</v>
      </c>
    </row>
    <row r="1661" spans="1:15" x14ac:dyDescent="0.35">
      <c r="A1661">
        <v>2004</v>
      </c>
      <c r="B1661">
        <v>7</v>
      </c>
      <c r="C1661">
        <v>17</v>
      </c>
      <c r="D1661" s="1">
        <f t="shared" si="200"/>
        <v>38185</v>
      </c>
      <c r="E1661">
        <v>4.4000000000000004</v>
      </c>
      <c r="F1661">
        <f t="shared" si="206"/>
        <v>0</v>
      </c>
      <c r="G1661">
        <f t="shared" si="201"/>
        <v>1</v>
      </c>
      <c r="H1661">
        <f t="shared" si="207"/>
        <v>0</v>
      </c>
      <c r="I1661">
        <v>1660</v>
      </c>
      <c r="J1661">
        <f t="shared" si="202"/>
        <v>-0.27797913939877916</v>
      </c>
      <c r="K1661">
        <f t="shared" si="203"/>
        <v>-0.9605871111248131</v>
      </c>
      <c r="L1661">
        <f>VLOOKUP(D1661,[1]SOI!$A$1:$C$142,3)</f>
        <v>-14.4</v>
      </c>
      <c r="M1661" s="2">
        <f t="shared" si="204"/>
        <v>-461.44537140197343</v>
      </c>
      <c r="N1661">
        <f t="shared" si="205"/>
        <v>-1594.5746044671898</v>
      </c>
      <c r="O1661" t="s">
        <v>8</v>
      </c>
    </row>
    <row r="1662" spans="1:15" x14ac:dyDescent="0.35">
      <c r="A1662">
        <v>2004</v>
      </c>
      <c r="B1662">
        <v>7</v>
      </c>
      <c r="C1662">
        <v>18</v>
      </c>
      <c r="D1662" s="1">
        <f t="shared" si="200"/>
        <v>38186</v>
      </c>
      <c r="E1662">
        <v>0.8</v>
      </c>
      <c r="F1662">
        <f t="shared" si="206"/>
        <v>4.4000000000000004</v>
      </c>
      <c r="G1662">
        <f t="shared" si="201"/>
        <v>1</v>
      </c>
      <c r="H1662">
        <f t="shared" si="207"/>
        <v>1</v>
      </c>
      <c r="I1662">
        <v>1661</v>
      </c>
      <c r="J1662">
        <f t="shared" si="202"/>
        <v>-0.29446162178680152</v>
      </c>
      <c r="K1662">
        <f t="shared" si="203"/>
        <v>-0.95566330540347033</v>
      </c>
      <c r="L1662">
        <f>VLOOKUP(D1662,[1]SOI!$A$1:$C$142,3)</f>
        <v>-14.4</v>
      </c>
      <c r="M1662" s="2">
        <f t="shared" si="204"/>
        <v>-489.10075378787735</v>
      </c>
      <c r="N1662">
        <f t="shared" si="205"/>
        <v>-1587.3567502751641</v>
      </c>
      <c r="O1662" t="s">
        <v>8</v>
      </c>
    </row>
    <row r="1663" spans="1:15" x14ac:dyDescent="0.35">
      <c r="A1663">
        <v>2004</v>
      </c>
      <c r="B1663">
        <v>7</v>
      </c>
      <c r="C1663">
        <v>19</v>
      </c>
      <c r="D1663" s="1">
        <f t="shared" si="200"/>
        <v>38187</v>
      </c>
      <c r="E1663">
        <v>0</v>
      </c>
      <c r="F1663">
        <f t="shared" si="206"/>
        <v>0.8</v>
      </c>
      <c r="G1663">
        <f t="shared" si="201"/>
        <v>0</v>
      </c>
      <c r="H1663">
        <f t="shared" si="207"/>
        <v>1</v>
      </c>
      <c r="I1663">
        <v>1662</v>
      </c>
      <c r="J1663">
        <f t="shared" si="202"/>
        <v>-0.31085696824350184</v>
      </c>
      <c r="K1663">
        <f t="shared" si="203"/>
        <v>-0.95045670353491563</v>
      </c>
      <c r="L1663">
        <f>VLOOKUP(D1663,[1]SOI!$A$1:$C$142,3)</f>
        <v>-14.4</v>
      </c>
      <c r="M1663" s="2">
        <f t="shared" si="204"/>
        <v>-516.64428122070001</v>
      </c>
      <c r="N1663">
        <f t="shared" si="205"/>
        <v>-1579.6590412750297</v>
      </c>
      <c r="O1663" t="s">
        <v>8</v>
      </c>
    </row>
    <row r="1664" spans="1:15" x14ac:dyDescent="0.35">
      <c r="A1664">
        <v>2004</v>
      </c>
      <c r="B1664">
        <v>7</v>
      </c>
      <c r="C1664">
        <v>20</v>
      </c>
      <c r="D1664" s="1">
        <f t="shared" si="200"/>
        <v>38188</v>
      </c>
      <c r="E1664">
        <v>0</v>
      </c>
      <c r="F1664">
        <f t="shared" si="206"/>
        <v>0</v>
      </c>
      <c r="G1664">
        <f t="shared" si="201"/>
        <v>0</v>
      </c>
      <c r="H1664">
        <f t="shared" si="207"/>
        <v>0</v>
      </c>
      <c r="I1664">
        <v>1663</v>
      </c>
      <c r="J1664">
        <f t="shared" si="202"/>
        <v>-0.32716032712209459</v>
      </c>
      <c r="K1664">
        <f t="shared" si="203"/>
        <v>-0.94496884623640587</v>
      </c>
      <c r="L1664">
        <f>VLOOKUP(D1664,[1]SOI!$A$1:$C$142,3)</f>
        <v>-14.4</v>
      </c>
      <c r="M1664" s="2">
        <f t="shared" si="204"/>
        <v>-544.0676240040433</v>
      </c>
      <c r="N1664">
        <f t="shared" si="205"/>
        <v>-1571.4831912911429</v>
      </c>
      <c r="O1664" t="s">
        <v>8</v>
      </c>
    </row>
    <row r="1665" spans="1:15" x14ac:dyDescent="0.35">
      <c r="A1665">
        <v>2004</v>
      </c>
      <c r="B1665">
        <v>7</v>
      </c>
      <c r="C1665">
        <v>21</v>
      </c>
      <c r="D1665" s="1">
        <f t="shared" si="200"/>
        <v>38189</v>
      </c>
      <c r="E1665">
        <v>0</v>
      </c>
      <c r="F1665">
        <f t="shared" si="206"/>
        <v>0</v>
      </c>
      <c r="G1665">
        <f t="shared" si="201"/>
        <v>0</v>
      </c>
      <c r="H1665">
        <f t="shared" si="207"/>
        <v>0</v>
      </c>
      <c r="I1665">
        <v>1664</v>
      </c>
      <c r="J1665">
        <f t="shared" si="202"/>
        <v>-0.34336687399638838</v>
      </c>
      <c r="K1665">
        <f t="shared" si="203"/>
        <v>-0.93920135745320787</v>
      </c>
      <c r="L1665">
        <f>VLOOKUP(D1665,[1]SOI!$A$1:$C$142,3)</f>
        <v>-14.4</v>
      </c>
      <c r="M1665" s="2">
        <f t="shared" si="204"/>
        <v>-571.36247832999027</v>
      </c>
      <c r="N1665">
        <f t="shared" si="205"/>
        <v>-1562.8310588021379</v>
      </c>
      <c r="O1665" t="s">
        <v>8</v>
      </c>
    </row>
    <row r="1666" spans="1:15" x14ac:dyDescent="0.35">
      <c r="A1666">
        <v>2004</v>
      </c>
      <c r="B1666">
        <v>7</v>
      </c>
      <c r="C1666">
        <v>22</v>
      </c>
      <c r="D1666" s="1">
        <f t="shared" si="200"/>
        <v>38190</v>
      </c>
      <c r="E1666">
        <v>0</v>
      </c>
      <c r="F1666">
        <f t="shared" si="206"/>
        <v>0</v>
      </c>
      <c r="G1666">
        <f t="shared" si="201"/>
        <v>0</v>
      </c>
      <c r="H1666">
        <f t="shared" si="207"/>
        <v>0</v>
      </c>
      <c r="I1666">
        <v>1665</v>
      </c>
      <c r="J1666">
        <f t="shared" si="202"/>
        <v>-0.35947181308842147</v>
      </c>
      <c r="K1666">
        <f t="shared" si="203"/>
        <v>-0.9331559438780439</v>
      </c>
      <c r="L1666">
        <f>VLOOKUP(D1666,[1]SOI!$A$1:$C$142,3)</f>
        <v>-14.4</v>
      </c>
      <c r="M1666" s="2">
        <f t="shared" si="204"/>
        <v>-598.52056879222175</v>
      </c>
      <c r="N1666">
        <f t="shared" si="205"/>
        <v>-1553.7046465569431</v>
      </c>
      <c r="O1666" t="s">
        <v>8</v>
      </c>
    </row>
    <row r="1667" spans="1:15" x14ac:dyDescent="0.35">
      <c r="A1667">
        <v>2004</v>
      </c>
      <c r="B1667">
        <v>7</v>
      </c>
      <c r="C1667">
        <v>23</v>
      </c>
      <c r="D1667" s="1">
        <f t="shared" ref="D1667:D1730" si="208">DATE(A1667,B1667,C1667)</f>
        <v>38191</v>
      </c>
      <c r="E1667">
        <v>0</v>
      </c>
      <c r="F1667">
        <f t="shared" si="206"/>
        <v>0</v>
      </c>
      <c r="G1667">
        <f t="shared" ref="G1667:G1730" si="209">IF(E1667=0,0,1)</f>
        <v>0</v>
      </c>
      <c r="H1667">
        <f t="shared" si="207"/>
        <v>0</v>
      </c>
      <c r="I1667">
        <v>1666</v>
      </c>
      <c r="J1667">
        <f t="shared" ref="J1667:J1730" si="210">SIN(2*PI()*I1667/365.25)</f>
        <v>-0.37547037868761968</v>
      </c>
      <c r="K1667">
        <f t="shared" ref="K1667:K1730" si="211">COS(2*PI()*I1667/365.25)</f>
        <v>-0.92683439444604965</v>
      </c>
      <c r="L1667">
        <f>VLOOKUP(D1667,[1]SOI!$A$1:$C$142,3)</f>
        <v>-14.4</v>
      </c>
      <c r="M1667" s="2">
        <f t="shared" ref="M1667:M1730" si="212">I1667*J1667</f>
        <v>-625.53365089357442</v>
      </c>
      <c r="N1667">
        <f t="shared" ref="N1667:N1730" si="213">I1667*K1667</f>
        <v>-1544.1061011471188</v>
      </c>
      <c r="O1667" t="s">
        <v>8</v>
      </c>
    </row>
    <row r="1668" spans="1:15" x14ac:dyDescent="0.35">
      <c r="A1668">
        <v>2004</v>
      </c>
      <c r="B1668">
        <v>7</v>
      </c>
      <c r="C1668">
        <v>24</v>
      </c>
      <c r="D1668" s="1">
        <f t="shared" si="208"/>
        <v>38192</v>
      </c>
      <c r="E1668">
        <v>4</v>
      </c>
      <c r="F1668">
        <f t="shared" ref="F1668:F1731" si="214">E1667</f>
        <v>0</v>
      </c>
      <c r="G1668">
        <f t="shared" si="209"/>
        <v>1</v>
      </c>
      <c r="H1668">
        <f t="shared" ref="H1668:H1731" si="215">G1667</f>
        <v>0</v>
      </c>
      <c r="I1668">
        <v>1667</v>
      </c>
      <c r="J1668">
        <f t="shared" si="210"/>
        <v>-0.39135783656102341</v>
      </c>
      <c r="K1668">
        <f t="shared" si="211"/>
        <v>-0.92023857980540857</v>
      </c>
      <c r="L1668">
        <f>VLOOKUP(D1668,[1]SOI!$A$1:$C$142,3)</f>
        <v>-14.4</v>
      </c>
      <c r="M1668" s="2">
        <f t="shared" si="212"/>
        <v>-652.39351354722601</v>
      </c>
      <c r="N1668">
        <f t="shared" si="213"/>
        <v>-1534.037712535616</v>
      </c>
      <c r="O1668" t="s">
        <v>8</v>
      </c>
    </row>
    <row r="1669" spans="1:15" x14ac:dyDescent="0.35">
      <c r="A1669">
        <v>2004</v>
      </c>
      <c r="B1669">
        <v>7</v>
      </c>
      <c r="C1669">
        <v>25</v>
      </c>
      <c r="D1669" s="1">
        <f t="shared" si="208"/>
        <v>38193</v>
      </c>
      <c r="E1669">
        <v>0.4</v>
      </c>
      <c r="F1669">
        <f t="shared" si="214"/>
        <v>4</v>
      </c>
      <c r="G1669">
        <f t="shared" si="209"/>
        <v>1</v>
      </c>
      <c r="H1669">
        <f t="shared" si="215"/>
        <v>1</v>
      </c>
      <c r="I1669">
        <v>1668</v>
      </c>
      <c r="J1669">
        <f t="shared" si="210"/>
        <v>-0.40712948535424986</v>
      </c>
      <c r="K1669">
        <f t="shared" si="211"/>
        <v>-0.91337045176378662</v>
      </c>
      <c r="L1669">
        <f>VLOOKUP(D1669,[1]SOI!$A$1:$C$142,3)</f>
        <v>-14.4</v>
      </c>
      <c r="M1669" s="2">
        <f t="shared" si="212"/>
        <v>-679.09198157088872</v>
      </c>
      <c r="N1669">
        <f t="shared" si="213"/>
        <v>-1523.5019135419961</v>
      </c>
      <c r="O1669" t="s">
        <v>8</v>
      </c>
    </row>
    <row r="1670" spans="1:15" x14ac:dyDescent="0.35">
      <c r="A1670">
        <v>2004</v>
      </c>
      <c r="B1670">
        <v>7</v>
      </c>
      <c r="C1670">
        <v>26</v>
      </c>
      <c r="D1670" s="1">
        <f t="shared" si="208"/>
        <v>38194</v>
      </c>
      <c r="E1670">
        <v>0</v>
      </c>
      <c r="F1670">
        <f t="shared" si="214"/>
        <v>0.4</v>
      </c>
      <c r="G1670">
        <f t="shared" si="209"/>
        <v>0</v>
      </c>
      <c r="H1670">
        <f t="shared" si="215"/>
        <v>1</v>
      </c>
      <c r="I1670">
        <v>1669</v>
      </c>
      <c r="J1670">
        <f t="shared" si="210"/>
        <v>-0.42278065798267639</v>
      </c>
      <c r="K1670">
        <f t="shared" si="211"/>
        <v>-0.90623204271077018</v>
      </c>
      <c r="L1670">
        <f>VLOOKUP(D1670,[1]SOI!$A$1:$C$142,3)</f>
        <v>-14.4</v>
      </c>
      <c r="M1670" s="2">
        <f t="shared" si="212"/>
        <v>-705.62091817308692</v>
      </c>
      <c r="N1670">
        <f t="shared" si="213"/>
        <v>-1512.5012792842754</v>
      </c>
      <c r="O1670" t="s">
        <v>8</v>
      </c>
    </row>
    <row r="1671" spans="1:15" x14ac:dyDescent="0.35">
      <c r="A1671">
        <v>2004</v>
      </c>
      <c r="B1671">
        <v>7</v>
      </c>
      <c r="C1671">
        <v>27</v>
      </c>
      <c r="D1671" s="1">
        <f t="shared" si="208"/>
        <v>38195</v>
      </c>
      <c r="E1671">
        <v>0.4</v>
      </c>
      <c r="F1671">
        <f t="shared" si="214"/>
        <v>0</v>
      </c>
      <c r="G1671">
        <f t="shared" si="209"/>
        <v>1</v>
      </c>
      <c r="H1671">
        <f t="shared" si="215"/>
        <v>0</v>
      </c>
      <c r="I1671">
        <v>1670</v>
      </c>
      <c r="J1671">
        <f t="shared" si="210"/>
        <v>-0.43830672301251594</v>
      </c>
      <c r="K1671">
        <f t="shared" si="211"/>
        <v>-0.89882546501644556</v>
      </c>
      <c r="L1671">
        <f>VLOOKUP(D1671,[1]SOI!$A$1:$C$142,3)</f>
        <v>-14.4</v>
      </c>
      <c r="M1671" s="2">
        <f t="shared" si="212"/>
        <v>-731.97222743090163</v>
      </c>
      <c r="N1671">
        <f t="shared" si="213"/>
        <v>-1501.0385265774642</v>
      </c>
      <c r="O1671" t="s">
        <v>8</v>
      </c>
    </row>
    <row r="1672" spans="1:15" x14ac:dyDescent="0.35">
      <c r="A1672">
        <v>2004</v>
      </c>
      <c r="B1672">
        <v>7</v>
      </c>
      <c r="C1672">
        <v>28</v>
      </c>
      <c r="D1672" s="1">
        <f t="shared" si="208"/>
        <v>38196</v>
      </c>
      <c r="E1672">
        <v>0</v>
      </c>
      <c r="F1672">
        <f t="shared" si="214"/>
        <v>0.4</v>
      </c>
      <c r="G1672">
        <f t="shared" si="209"/>
        <v>0</v>
      </c>
      <c r="H1672">
        <f t="shared" si="215"/>
        <v>1</v>
      </c>
      <c r="I1672">
        <v>1671</v>
      </c>
      <c r="J1672">
        <f t="shared" si="210"/>
        <v>-0.45370308603134218</v>
      </c>
      <c r="K1672">
        <f t="shared" si="211"/>
        <v>-0.89115291040630984</v>
      </c>
      <c r="L1672">
        <f>VLOOKUP(D1672,[1]SOI!$A$1:$C$142,3)</f>
        <v>-14.4</v>
      </c>
      <c r="M1672" s="2">
        <f t="shared" si="212"/>
        <v>-758.13785675837278</v>
      </c>
      <c r="N1672">
        <f t="shared" si="213"/>
        <v>-1489.1165132889437</v>
      </c>
      <c r="O1672" t="s">
        <v>8</v>
      </c>
    </row>
    <row r="1673" spans="1:15" x14ac:dyDescent="0.35">
      <c r="A1673">
        <v>2004</v>
      </c>
      <c r="B1673">
        <v>7</v>
      </c>
      <c r="C1673">
        <v>29</v>
      </c>
      <c r="D1673" s="1">
        <f t="shared" si="208"/>
        <v>38197</v>
      </c>
      <c r="E1673">
        <v>4.4000000000000004</v>
      </c>
      <c r="F1673">
        <f t="shared" si="214"/>
        <v>0</v>
      </c>
      <c r="G1673">
        <f t="shared" si="209"/>
        <v>1</v>
      </c>
      <c r="H1673">
        <f t="shared" si="215"/>
        <v>0</v>
      </c>
      <c r="I1673">
        <v>1672</v>
      </c>
      <c r="J1673">
        <f t="shared" si="210"/>
        <v>-0.46896519100763412</v>
      </c>
      <c r="K1673">
        <f t="shared" si="211"/>
        <v>-0.88321664931271149</v>
      </c>
      <c r="L1673">
        <f>VLOOKUP(D1673,[1]SOI!$A$1:$C$142,3)</f>
        <v>-14.4</v>
      </c>
      <c r="M1673" s="2">
        <f t="shared" si="212"/>
        <v>-784.10979936476429</v>
      </c>
      <c r="N1673">
        <f t="shared" si="213"/>
        <v>-1476.7382376508535</v>
      </c>
      <c r="O1673" t="s">
        <v>8</v>
      </c>
    </row>
    <row r="1674" spans="1:15" x14ac:dyDescent="0.35">
      <c r="A1674">
        <v>2004</v>
      </c>
      <c r="B1674">
        <v>7</v>
      </c>
      <c r="C1674">
        <v>30</v>
      </c>
      <c r="D1674" s="1">
        <f t="shared" si="208"/>
        <v>38198</v>
      </c>
      <c r="E1674">
        <v>0</v>
      </c>
      <c r="F1674">
        <f t="shared" si="214"/>
        <v>4.4000000000000004</v>
      </c>
      <c r="G1674">
        <f t="shared" si="209"/>
        <v>0</v>
      </c>
      <c r="H1674">
        <f t="shared" si="215"/>
        <v>1</v>
      </c>
      <c r="I1674">
        <v>1673</v>
      </c>
      <c r="J1674">
        <f t="shared" si="210"/>
        <v>-0.48408852163897309</v>
      </c>
      <c r="K1674">
        <f t="shared" si="211"/>
        <v>-0.87501903020299709</v>
      </c>
      <c r="L1674">
        <f>VLOOKUP(D1674,[1]SOI!$A$1:$C$142,3)</f>
        <v>-14.4</v>
      </c>
      <c r="M1674" s="2">
        <f t="shared" si="212"/>
        <v>-809.88009670200199</v>
      </c>
      <c r="N1674">
        <f t="shared" si="213"/>
        <v>-1463.9068375296142</v>
      </c>
      <c r="O1674" t="s">
        <v>8</v>
      </c>
    </row>
    <row r="1675" spans="1:15" x14ac:dyDescent="0.35">
      <c r="A1675">
        <v>2004</v>
      </c>
      <c r="B1675">
        <v>7</v>
      </c>
      <c r="C1675">
        <v>31</v>
      </c>
      <c r="D1675" s="1">
        <f t="shared" si="208"/>
        <v>38199</v>
      </c>
      <c r="E1675">
        <v>0</v>
      </c>
      <c r="F1675">
        <f t="shared" si="214"/>
        <v>0</v>
      </c>
      <c r="G1675">
        <f t="shared" si="209"/>
        <v>0</v>
      </c>
      <c r="H1675">
        <f t="shared" si="215"/>
        <v>0</v>
      </c>
      <c r="I1675">
        <v>1674</v>
      </c>
      <c r="J1675">
        <f t="shared" si="210"/>
        <v>-0.49906860268852993</v>
      </c>
      <c r="K1675">
        <f t="shared" si="211"/>
        <v>-0.86656247888453963</v>
      </c>
      <c r="L1675">
        <f>VLOOKUP(D1675,[1]SOI!$A$1:$C$142,3)</f>
        <v>-14.4</v>
      </c>
      <c r="M1675" s="2">
        <f t="shared" si="212"/>
        <v>-835.44084090059914</v>
      </c>
      <c r="N1675">
        <f t="shared" si="213"/>
        <v>-1450.6255896527193</v>
      </c>
      <c r="O1675" t="s">
        <v>8</v>
      </c>
    </row>
    <row r="1676" spans="1:15" x14ac:dyDescent="0.35">
      <c r="A1676">
        <v>2004</v>
      </c>
      <c r="B1676">
        <v>8</v>
      </c>
      <c r="C1676">
        <v>1</v>
      </c>
      <c r="D1676" s="1">
        <f t="shared" si="208"/>
        <v>38200</v>
      </c>
      <c r="E1676">
        <v>0</v>
      </c>
      <c r="F1676">
        <f t="shared" si="214"/>
        <v>0</v>
      </c>
      <c r="G1676">
        <f t="shared" si="209"/>
        <v>0</v>
      </c>
      <c r="H1676">
        <f t="shared" si="215"/>
        <v>0</v>
      </c>
      <c r="I1676">
        <v>1675</v>
      </c>
      <c r="J1676">
        <f t="shared" si="210"/>
        <v>-0.51390100130931249</v>
      </c>
      <c r="K1676">
        <f t="shared" si="211"/>
        <v>-0.85784949778692876</v>
      </c>
      <c r="L1676">
        <f>VLOOKUP(D1676,[1]SOI!$A$1:$C$142,3)</f>
        <v>-6.9</v>
      </c>
      <c r="M1676" s="2">
        <f t="shared" si="212"/>
        <v>-860.78417719309846</v>
      </c>
      <c r="N1676">
        <f t="shared" si="213"/>
        <v>-1436.8979087931057</v>
      </c>
      <c r="O1676" t="s">
        <v>8</v>
      </c>
    </row>
    <row r="1677" spans="1:15" x14ac:dyDescent="0.35">
      <c r="A1677">
        <v>2004</v>
      </c>
      <c r="B1677">
        <v>8</v>
      </c>
      <c r="C1677">
        <v>2</v>
      </c>
      <c r="D1677" s="1">
        <f t="shared" si="208"/>
        <v>38201</v>
      </c>
      <c r="E1677">
        <v>1.6</v>
      </c>
      <c r="F1677">
        <f t="shared" si="214"/>
        <v>0</v>
      </c>
      <c r="G1677">
        <f t="shared" si="209"/>
        <v>1</v>
      </c>
      <c r="H1677">
        <f t="shared" si="215"/>
        <v>0</v>
      </c>
      <c r="I1677">
        <v>1676</v>
      </c>
      <c r="J1677">
        <f t="shared" si="210"/>
        <v>-0.52858132835592653</v>
      </c>
      <c r="K1677">
        <f t="shared" si="211"/>
        <v>-0.84888266522145694</v>
      </c>
      <c r="L1677">
        <f>VLOOKUP(D1677,[1]SOI!$A$1:$C$142,3)</f>
        <v>-6.9</v>
      </c>
      <c r="M1677" s="2">
        <f t="shared" si="212"/>
        <v>-885.9023063245329</v>
      </c>
      <c r="N1677">
        <f t="shared" si="213"/>
        <v>-1422.7273469111619</v>
      </c>
      <c r="O1677" t="s">
        <v>8</v>
      </c>
    </row>
    <row r="1678" spans="1:15" x14ac:dyDescent="0.35">
      <c r="A1678">
        <v>2004</v>
      </c>
      <c r="B1678">
        <v>8</v>
      </c>
      <c r="C1678">
        <v>3</v>
      </c>
      <c r="D1678" s="1">
        <f t="shared" si="208"/>
        <v>38202</v>
      </c>
      <c r="E1678">
        <v>4.4000000000000004</v>
      </c>
      <c r="F1678">
        <f t="shared" si="214"/>
        <v>1.6</v>
      </c>
      <c r="G1678">
        <f t="shared" si="209"/>
        <v>1</v>
      </c>
      <c r="H1678">
        <f t="shared" si="215"/>
        <v>1</v>
      </c>
      <c r="I1678">
        <v>1677</v>
      </c>
      <c r="J1678">
        <f t="shared" si="210"/>
        <v>-0.54310523968343316</v>
      </c>
      <c r="K1678">
        <f t="shared" si="211"/>
        <v>-0.83966463461813168</v>
      </c>
      <c r="L1678">
        <f>VLOOKUP(D1678,[1]SOI!$A$1:$C$142,3)</f>
        <v>-6.9</v>
      </c>
      <c r="M1678" s="2">
        <f t="shared" si="212"/>
        <v>-910.78748694911746</v>
      </c>
      <c r="N1678">
        <f t="shared" si="213"/>
        <v>-1408.1175922546067</v>
      </c>
      <c r="O1678" t="s">
        <v>8</v>
      </c>
    </row>
    <row r="1679" spans="1:15" x14ac:dyDescent="0.35">
      <c r="A1679">
        <v>2004</v>
      </c>
      <c r="B1679">
        <v>8</v>
      </c>
      <c r="C1679">
        <v>4</v>
      </c>
      <c r="D1679" s="1">
        <f t="shared" si="208"/>
        <v>38203</v>
      </c>
      <c r="E1679">
        <v>5.8</v>
      </c>
      <c r="F1679">
        <f t="shared" si="214"/>
        <v>4.4000000000000004</v>
      </c>
      <c r="G1679">
        <f t="shared" si="209"/>
        <v>1</v>
      </c>
      <c r="H1679">
        <f t="shared" si="215"/>
        <v>1</v>
      </c>
      <c r="I1679">
        <v>1678</v>
      </c>
      <c r="J1679">
        <f t="shared" si="210"/>
        <v>-0.5574684374327854</v>
      </c>
      <c r="K1679">
        <f t="shared" si="211"/>
        <v>-0.83019813374052376</v>
      </c>
      <c r="L1679">
        <f>VLOOKUP(D1679,[1]SOI!$A$1:$C$142,3)</f>
        <v>-6.9</v>
      </c>
      <c r="M1679" s="2">
        <f t="shared" si="212"/>
        <v>-935.43203801221387</v>
      </c>
      <c r="N1679">
        <f t="shared" si="213"/>
        <v>-1393.0724684165989</v>
      </c>
      <c r="O1679" t="s">
        <v>8</v>
      </c>
    </row>
    <row r="1680" spans="1:15" x14ac:dyDescent="0.35">
      <c r="A1680">
        <v>2004</v>
      </c>
      <c r="B1680">
        <v>8</v>
      </c>
      <c r="C1680">
        <v>5</v>
      </c>
      <c r="D1680" s="1">
        <f t="shared" si="208"/>
        <v>38204</v>
      </c>
      <c r="E1680">
        <v>2</v>
      </c>
      <c r="F1680">
        <f t="shared" si="214"/>
        <v>5.8</v>
      </c>
      <c r="G1680">
        <f t="shared" si="209"/>
        <v>1</v>
      </c>
      <c r="H1680">
        <f t="shared" si="215"/>
        <v>1</v>
      </c>
      <c r="I1680">
        <v>1679</v>
      </c>
      <c r="J1680">
        <f t="shared" si="210"/>
        <v>-0.57166667130270554</v>
      </c>
      <c r="K1680">
        <f t="shared" si="211"/>
        <v>-0.82048596387853245</v>
      </c>
      <c r="L1680">
        <f>VLOOKUP(D1680,[1]SOI!$A$1:$C$142,3)</f>
        <v>-6.9</v>
      </c>
      <c r="M1680" s="2">
        <f t="shared" si="212"/>
        <v>-959.82834111724264</v>
      </c>
      <c r="N1680">
        <f t="shared" si="213"/>
        <v>-1377.5959333520559</v>
      </c>
      <c r="O1680" t="s">
        <v>8</v>
      </c>
    </row>
    <row r="1681" spans="1:15" x14ac:dyDescent="0.35">
      <c r="A1681">
        <v>2004</v>
      </c>
      <c r="B1681">
        <v>8</v>
      </c>
      <c r="C1681">
        <v>6</v>
      </c>
      <c r="D1681" s="1">
        <f t="shared" si="208"/>
        <v>38205</v>
      </c>
      <c r="E1681">
        <v>4.8</v>
      </c>
      <c r="F1681">
        <f t="shared" si="214"/>
        <v>2</v>
      </c>
      <c r="G1681">
        <f t="shared" si="209"/>
        <v>1</v>
      </c>
      <c r="H1681">
        <f t="shared" si="215"/>
        <v>1</v>
      </c>
      <c r="I1681">
        <v>1680</v>
      </c>
      <c r="J1681">
        <f t="shared" si="210"/>
        <v>-0.58569573980735179</v>
      </c>
      <c r="K1681">
        <f t="shared" si="211"/>
        <v>-0.81053099901948156</v>
      </c>
      <c r="L1681">
        <f>VLOOKUP(D1681,[1]SOI!$A$1:$C$142,3)</f>
        <v>-6.9</v>
      </c>
      <c r="M1681" s="2">
        <f t="shared" si="212"/>
        <v>-983.968842876351</v>
      </c>
      <c r="N1681">
        <f t="shared" si="213"/>
        <v>-1361.6920783527289</v>
      </c>
      <c r="O1681" t="s">
        <v>8</v>
      </c>
    </row>
    <row r="1682" spans="1:15" x14ac:dyDescent="0.35">
      <c r="A1682">
        <v>2004</v>
      </c>
      <c r="B1682">
        <v>8</v>
      </c>
      <c r="C1682">
        <v>7</v>
      </c>
      <c r="D1682" s="1">
        <f t="shared" si="208"/>
        <v>38206</v>
      </c>
      <c r="E1682">
        <v>1.2</v>
      </c>
      <c r="F1682">
        <f t="shared" si="214"/>
        <v>4.8</v>
      </c>
      <c r="G1682">
        <f t="shared" si="209"/>
        <v>1</v>
      </c>
      <c r="H1682">
        <f t="shared" si="215"/>
        <v>1</v>
      </c>
      <c r="I1682">
        <v>1681</v>
      </c>
      <c r="J1682">
        <f t="shared" si="210"/>
        <v>-0.59955149151964782</v>
      </c>
      <c r="K1682">
        <f t="shared" si="211"/>
        <v>-0.80033618499763315</v>
      </c>
      <c r="L1682">
        <f>VLOOKUP(D1682,[1]SOI!$A$1:$C$142,3)</f>
        <v>-6.9</v>
      </c>
      <c r="M1682" s="2">
        <f t="shared" si="212"/>
        <v>-1007.846057244528</v>
      </c>
      <c r="N1682">
        <f t="shared" si="213"/>
        <v>-1345.3651269810214</v>
      </c>
      <c r="O1682" t="s">
        <v>8</v>
      </c>
    </row>
    <row r="1683" spans="1:15" x14ac:dyDescent="0.35">
      <c r="A1683">
        <v>2004</v>
      </c>
      <c r="B1683">
        <v>8</v>
      </c>
      <c r="C1683">
        <v>8</v>
      </c>
      <c r="D1683" s="1">
        <f t="shared" si="208"/>
        <v>38207</v>
      </c>
      <c r="E1683">
        <v>3.6</v>
      </c>
      <c r="F1683">
        <f t="shared" si="214"/>
        <v>1.2</v>
      </c>
      <c r="G1683">
        <f t="shared" si="209"/>
        <v>1</v>
      </c>
      <c r="H1683">
        <f t="shared" si="215"/>
        <v>1</v>
      </c>
      <c r="I1683">
        <v>1682</v>
      </c>
      <c r="J1683">
        <f t="shared" si="210"/>
        <v>-0.61322982629975009</v>
      </c>
      <c r="K1683">
        <f t="shared" si="211"/>
        <v>-0.78990453862247068</v>
      </c>
      <c r="L1683">
        <f>VLOOKUP(D1683,[1]SOI!$A$1:$C$142,3)</f>
        <v>-6.9</v>
      </c>
      <c r="M1683" s="2">
        <f t="shared" si="212"/>
        <v>-1031.4525678361797</v>
      </c>
      <c r="N1683">
        <f t="shared" si="213"/>
        <v>-1328.6194339629956</v>
      </c>
      <c r="O1683" t="s">
        <v>8</v>
      </c>
    </row>
    <row r="1684" spans="1:15" x14ac:dyDescent="0.35">
      <c r="A1684">
        <v>2004</v>
      </c>
      <c r="B1684">
        <v>8</v>
      </c>
      <c r="C1684">
        <v>9</v>
      </c>
      <c r="D1684" s="1">
        <f t="shared" si="208"/>
        <v>38208</v>
      </c>
      <c r="E1684">
        <v>0.8</v>
      </c>
      <c r="F1684">
        <f t="shared" si="214"/>
        <v>3.6</v>
      </c>
      <c r="G1684">
        <f t="shared" si="209"/>
        <v>1</v>
      </c>
      <c r="H1684">
        <f t="shared" si="215"/>
        <v>1</v>
      </c>
      <c r="I1684">
        <v>1683</v>
      </c>
      <c r="J1684">
        <f t="shared" si="210"/>
        <v>-0.62672669650833102</v>
      </c>
      <c r="K1684">
        <f t="shared" si="211"/>
        <v>-0.77923914678598782</v>
      </c>
      <c r="L1684">
        <f>VLOOKUP(D1684,[1]SOI!$A$1:$C$142,3)</f>
        <v>-6.9</v>
      </c>
      <c r="M1684" s="2">
        <f t="shared" si="212"/>
        <v>-1054.7810302235212</v>
      </c>
      <c r="N1684">
        <f t="shared" si="213"/>
        <v>-1311.4594840408174</v>
      </c>
      <c r="O1684" t="s">
        <v>8</v>
      </c>
    </row>
    <row r="1685" spans="1:15" x14ac:dyDescent="0.35">
      <c r="A1685">
        <v>2004</v>
      </c>
      <c r="B1685">
        <v>8</v>
      </c>
      <c r="C1685">
        <v>10</v>
      </c>
      <c r="D1685" s="1">
        <f t="shared" si="208"/>
        <v>38209</v>
      </c>
      <c r="E1685">
        <v>0.4</v>
      </c>
      <c r="F1685">
        <f t="shared" si="214"/>
        <v>0.8</v>
      </c>
      <c r="G1685">
        <f t="shared" si="209"/>
        <v>1</v>
      </c>
      <c r="H1685">
        <f t="shared" si="215"/>
        <v>1</v>
      </c>
      <c r="I1685">
        <v>1684</v>
      </c>
      <c r="J1685">
        <f t="shared" si="210"/>
        <v>-0.64003810820434948</v>
      </c>
      <c r="K1685">
        <f t="shared" si="211"/>
        <v>-0.76834316554922089</v>
      </c>
      <c r="L1685">
        <f>VLOOKUP(D1685,[1]SOI!$A$1:$C$142,3)</f>
        <v>-6.9</v>
      </c>
      <c r="M1685" s="2">
        <f t="shared" si="212"/>
        <v>-1077.8241742161244</v>
      </c>
      <c r="N1685">
        <f t="shared" si="213"/>
        <v>-1293.8898907848879</v>
      </c>
      <c r="O1685" t="s">
        <v>8</v>
      </c>
    </row>
    <row r="1686" spans="1:15" x14ac:dyDescent="0.35">
      <c r="A1686">
        <v>2004</v>
      </c>
      <c r="B1686">
        <v>8</v>
      </c>
      <c r="C1686">
        <v>11</v>
      </c>
      <c r="D1686" s="1">
        <f t="shared" si="208"/>
        <v>38210</v>
      </c>
      <c r="E1686">
        <v>0.6</v>
      </c>
      <c r="F1686">
        <f t="shared" si="214"/>
        <v>0.4</v>
      </c>
      <c r="G1686">
        <f t="shared" si="209"/>
        <v>1</v>
      </c>
      <c r="H1686">
        <f t="shared" si="215"/>
        <v>1</v>
      </c>
      <c r="I1686">
        <v>1685</v>
      </c>
      <c r="J1686">
        <f t="shared" si="210"/>
        <v>-0.65316012232692999</v>
      </c>
      <c r="K1686">
        <f t="shared" si="211"/>
        <v>-0.75721981920831283</v>
      </c>
      <c r="L1686">
        <f>VLOOKUP(D1686,[1]SOI!$A$1:$C$142,3)</f>
        <v>-6.9</v>
      </c>
      <c r="M1686" s="2">
        <f t="shared" si="212"/>
        <v>-1100.5748061208769</v>
      </c>
      <c r="N1686">
        <f t="shared" si="213"/>
        <v>-1275.915395366007</v>
      </c>
      <c r="O1686" t="s">
        <v>8</v>
      </c>
    </row>
    <row r="1687" spans="1:15" x14ac:dyDescent="0.35">
      <c r="A1687">
        <v>2004</v>
      </c>
      <c r="B1687">
        <v>8</v>
      </c>
      <c r="C1687">
        <v>12</v>
      </c>
      <c r="D1687" s="1">
        <f t="shared" si="208"/>
        <v>38211</v>
      </c>
      <c r="E1687">
        <v>0</v>
      </c>
      <c r="F1687">
        <f t="shared" si="214"/>
        <v>0.6</v>
      </c>
      <c r="G1687">
        <f t="shared" si="209"/>
        <v>0</v>
      </c>
      <c r="H1687">
        <f t="shared" si="215"/>
        <v>1</v>
      </c>
      <c r="I1687">
        <v>1686</v>
      </c>
      <c r="J1687">
        <f t="shared" si="210"/>
        <v>-0.66608885586097799</v>
      </c>
      <c r="K1687">
        <f t="shared" si="211"/>
        <v>-0.7458723993404055</v>
      </c>
      <c r="L1687">
        <f>VLOOKUP(D1687,[1]SOI!$A$1:$C$142,3)</f>
        <v>-6.9</v>
      </c>
      <c r="M1687" s="2">
        <f t="shared" si="212"/>
        <v>-1123.0258109816089</v>
      </c>
      <c r="N1687">
        <f t="shared" si="213"/>
        <v>-1257.5408652879237</v>
      </c>
      <c r="O1687" t="s">
        <v>8</v>
      </c>
    </row>
    <row r="1688" spans="1:15" x14ac:dyDescent="0.35">
      <c r="A1688">
        <v>2004</v>
      </c>
      <c r="B1688">
        <v>8</v>
      </c>
      <c r="C1688">
        <v>13</v>
      </c>
      <c r="D1688" s="1">
        <f t="shared" si="208"/>
        <v>38212</v>
      </c>
      <c r="E1688">
        <v>0</v>
      </c>
      <c r="F1688">
        <f t="shared" si="214"/>
        <v>0</v>
      </c>
      <c r="G1688">
        <f t="shared" si="209"/>
        <v>0</v>
      </c>
      <c r="H1688">
        <f t="shared" si="215"/>
        <v>0</v>
      </c>
      <c r="I1688">
        <v>1687</v>
      </c>
      <c r="J1688">
        <f t="shared" si="210"/>
        <v>-0.67882048298623487</v>
      </c>
      <c r="K1688">
        <f t="shared" si="211"/>
        <v>-0.73430426382960268</v>
      </c>
      <c r="L1688">
        <f>VLOOKUP(D1688,[1]SOI!$A$1:$C$142,3)</f>
        <v>-6.9</v>
      </c>
      <c r="M1688" s="2">
        <f t="shared" si="212"/>
        <v>-1145.1701547977782</v>
      </c>
      <c r="N1688">
        <f t="shared" si="213"/>
        <v>-1238.7712930805396</v>
      </c>
      <c r="O1688" t="s">
        <v>8</v>
      </c>
    </row>
    <row r="1689" spans="1:15" x14ac:dyDescent="0.35">
      <c r="A1689">
        <v>2004</v>
      </c>
      <c r="B1689">
        <v>8</v>
      </c>
      <c r="C1689">
        <v>14</v>
      </c>
      <c r="D1689" s="1">
        <f t="shared" si="208"/>
        <v>38213</v>
      </c>
      <c r="E1689">
        <v>12.4</v>
      </c>
      <c r="F1689">
        <f t="shared" si="214"/>
        <v>0</v>
      </c>
      <c r="G1689">
        <f t="shared" si="209"/>
        <v>1</v>
      </c>
      <c r="H1689">
        <f t="shared" si="215"/>
        <v>0</v>
      </c>
      <c r="I1689">
        <v>1688</v>
      </c>
      <c r="J1689">
        <f t="shared" si="210"/>
        <v>-0.69135123620940742</v>
      </c>
      <c r="K1689">
        <f t="shared" si="211"/>
        <v>-0.72251883587331078</v>
      </c>
      <c r="L1689">
        <f>VLOOKUP(D1689,[1]SOI!$A$1:$C$142,3)</f>
        <v>-6.9</v>
      </c>
      <c r="M1689" s="2">
        <f t="shared" si="212"/>
        <v>-1167.0008867214797</v>
      </c>
      <c r="N1689">
        <f t="shared" si="213"/>
        <v>-1219.6117949541485</v>
      </c>
      <c r="O1689" t="s">
        <v>8</v>
      </c>
    </row>
    <row r="1690" spans="1:15" x14ac:dyDescent="0.35">
      <c r="A1690">
        <v>2004</v>
      </c>
      <c r="B1690">
        <v>8</v>
      </c>
      <c r="C1690">
        <v>15</v>
      </c>
      <c r="D1690" s="1">
        <f t="shared" si="208"/>
        <v>38214</v>
      </c>
      <c r="E1690">
        <v>11.8</v>
      </c>
      <c r="F1690">
        <f t="shared" si="214"/>
        <v>12.4</v>
      </c>
      <c r="G1690">
        <f t="shared" si="209"/>
        <v>1</v>
      </c>
      <c r="H1690">
        <f t="shared" si="215"/>
        <v>1</v>
      </c>
      <c r="I1690">
        <v>1689</v>
      </c>
      <c r="J1690">
        <f t="shared" si="210"/>
        <v>-0.70367740747901109</v>
      </c>
      <c r="K1690">
        <f t="shared" si="211"/>
        <v>-0.71051960296927608</v>
      </c>
      <c r="L1690">
        <f>VLOOKUP(D1690,[1]SOI!$A$1:$C$142,3)</f>
        <v>-6.9</v>
      </c>
      <c r="M1690" s="2">
        <f t="shared" si="212"/>
        <v>-1188.5111412320498</v>
      </c>
      <c r="N1690">
        <f t="shared" si="213"/>
        <v>-1200.0676094151072</v>
      </c>
      <c r="O1690" t="s">
        <v>8</v>
      </c>
    </row>
    <row r="1691" spans="1:15" x14ac:dyDescent="0.35">
      <c r="A1691">
        <v>2004</v>
      </c>
      <c r="B1691">
        <v>8</v>
      </c>
      <c r="C1691">
        <v>16</v>
      </c>
      <c r="D1691" s="1">
        <f t="shared" si="208"/>
        <v>38215</v>
      </c>
      <c r="E1691">
        <v>0</v>
      </c>
      <c r="F1691">
        <f t="shared" si="214"/>
        <v>11.8</v>
      </c>
      <c r="G1691">
        <f t="shared" si="209"/>
        <v>0</v>
      </c>
      <c r="H1691">
        <f t="shared" si="215"/>
        <v>1</v>
      </c>
      <c r="I1691">
        <v>1690</v>
      </c>
      <c r="J1691">
        <f t="shared" si="210"/>
        <v>-0.71579534928266353</v>
      </c>
      <c r="K1691">
        <f t="shared" si="211"/>
        <v>-0.69831011588355918</v>
      </c>
      <c r="L1691">
        <f>VLOOKUP(D1691,[1]SOI!$A$1:$C$142,3)</f>
        <v>-6.9</v>
      </c>
      <c r="M1691" s="2">
        <f t="shared" si="212"/>
        <v>-1209.6941402877014</v>
      </c>
      <c r="N1691">
        <f t="shared" si="213"/>
        <v>-1180.1440958432149</v>
      </c>
      <c r="O1691" t="s">
        <v>8</v>
      </c>
    </row>
    <row r="1692" spans="1:15" x14ac:dyDescent="0.35">
      <c r="A1692">
        <v>2004</v>
      </c>
      <c r="B1692">
        <v>8</v>
      </c>
      <c r="C1692">
        <v>17</v>
      </c>
      <c r="D1692" s="1">
        <f t="shared" si="208"/>
        <v>38216</v>
      </c>
      <c r="E1692">
        <v>0</v>
      </c>
      <c r="F1692">
        <f t="shared" si="214"/>
        <v>0</v>
      </c>
      <c r="G1692">
        <f t="shared" si="209"/>
        <v>0</v>
      </c>
      <c r="H1692">
        <f t="shared" si="215"/>
        <v>0</v>
      </c>
      <c r="I1692">
        <v>1691</v>
      </c>
      <c r="J1692">
        <f t="shared" si="210"/>
        <v>-0.7277014757264233</v>
      </c>
      <c r="K1692">
        <f t="shared" si="211"/>
        <v>-0.68589398759982279</v>
      </c>
      <c r="L1692">
        <f>VLOOKUP(D1692,[1]SOI!$A$1:$C$142,3)</f>
        <v>-6.9</v>
      </c>
      <c r="M1692" s="2">
        <f t="shared" si="212"/>
        <v>-1230.5431954533817</v>
      </c>
      <c r="N1692">
        <f t="shared" si="213"/>
        <v>-1159.8467330313003</v>
      </c>
      <c r="O1692" t="s">
        <v>8</v>
      </c>
    </row>
    <row r="1693" spans="1:15" x14ac:dyDescent="0.35">
      <c r="A1693">
        <v>2004</v>
      </c>
      <c r="B1693">
        <v>8</v>
      </c>
      <c r="C1693">
        <v>18</v>
      </c>
      <c r="D1693" s="1">
        <f t="shared" si="208"/>
        <v>38217</v>
      </c>
      <c r="E1693">
        <v>0</v>
      </c>
      <c r="F1693">
        <f t="shared" si="214"/>
        <v>0</v>
      </c>
      <c r="G1693">
        <f t="shared" si="209"/>
        <v>0</v>
      </c>
      <c r="H1693">
        <f t="shared" si="215"/>
        <v>0</v>
      </c>
      <c r="I1693">
        <v>1692</v>
      </c>
      <c r="J1693">
        <f t="shared" si="210"/>
        <v>-0.73939226359592225</v>
      </c>
      <c r="K1693">
        <f t="shared" si="211"/>
        <v>-0.673274892250185</v>
      </c>
      <c r="L1693">
        <f>VLOOKUP(D1693,[1]SOI!$A$1:$C$142,3)</f>
        <v>-6.9</v>
      </c>
      <c r="M1693" s="2">
        <f t="shared" si="212"/>
        <v>-1251.0517100043005</v>
      </c>
      <c r="N1693">
        <f t="shared" si="213"/>
        <v>-1139.181117687313</v>
      </c>
      <c r="O1693" t="s">
        <v>8</v>
      </c>
    </row>
    <row r="1694" spans="1:15" x14ac:dyDescent="0.35">
      <c r="A1694">
        <v>2004</v>
      </c>
      <c r="B1694">
        <v>8</v>
      </c>
      <c r="C1694">
        <v>19</v>
      </c>
      <c r="D1694" s="1">
        <f t="shared" si="208"/>
        <v>38218</v>
      </c>
      <c r="E1694">
        <v>0</v>
      </c>
      <c r="F1694">
        <f t="shared" si="214"/>
        <v>0</v>
      </c>
      <c r="G1694">
        <f t="shared" si="209"/>
        <v>0</v>
      </c>
      <c r="H1694">
        <f t="shared" si="215"/>
        <v>0</v>
      </c>
      <c r="I1694">
        <v>1693</v>
      </c>
      <c r="J1694">
        <f t="shared" si="210"/>
        <v>-0.75086425339894791</v>
      </c>
      <c r="K1694">
        <f t="shared" si="211"/>
        <v>-0.66045656402797637</v>
      </c>
      <c r="L1694">
        <f>VLOOKUP(D1694,[1]SOI!$A$1:$C$142,3)</f>
        <v>-6.9</v>
      </c>
      <c r="M1694" s="2">
        <f t="shared" si="212"/>
        <v>-1271.2131810044189</v>
      </c>
      <c r="N1694">
        <f t="shared" si="213"/>
        <v>-1118.152962899364</v>
      </c>
      <c r="O1694" t="s">
        <v>8</v>
      </c>
    </row>
    <row r="1695" spans="1:15" x14ac:dyDescent="0.35">
      <c r="A1695">
        <v>2004</v>
      </c>
      <c r="B1695">
        <v>8</v>
      </c>
      <c r="C1695">
        <v>20</v>
      </c>
      <c r="D1695" s="1">
        <f t="shared" si="208"/>
        <v>38219</v>
      </c>
      <c r="E1695">
        <v>0</v>
      </c>
      <c r="F1695">
        <f t="shared" si="214"/>
        <v>0</v>
      </c>
      <c r="G1695">
        <f t="shared" si="209"/>
        <v>0</v>
      </c>
      <c r="H1695">
        <f t="shared" si="215"/>
        <v>0</v>
      </c>
      <c r="I1695">
        <v>1694</v>
      </c>
      <c r="J1695">
        <f t="shared" si="210"/>
        <v>-0.7621140503891487</v>
      </c>
      <c r="K1695">
        <f t="shared" si="211"/>
        <v>-0.64744279608274746</v>
      </c>
      <c r="L1695">
        <f>VLOOKUP(D1695,[1]SOI!$A$1:$C$142,3)</f>
        <v>-6.9</v>
      </c>
      <c r="M1695" s="2">
        <f t="shared" si="212"/>
        <v>-1291.0212013592179</v>
      </c>
      <c r="N1695">
        <f t="shared" si="213"/>
        <v>-1096.7680965641741</v>
      </c>
      <c r="O1695" t="s">
        <v>8</v>
      </c>
    </row>
    <row r="1696" spans="1:15" x14ac:dyDescent="0.35">
      <c r="A1696">
        <v>2004</v>
      </c>
      <c r="B1696">
        <v>8</v>
      </c>
      <c r="C1696">
        <v>21</v>
      </c>
      <c r="D1696" s="1">
        <f t="shared" si="208"/>
        <v>38220</v>
      </c>
      <c r="E1696">
        <v>0</v>
      </c>
      <c r="F1696">
        <f t="shared" si="214"/>
        <v>0</v>
      </c>
      <c r="G1696">
        <f t="shared" si="209"/>
        <v>0</v>
      </c>
      <c r="H1696">
        <f t="shared" si="215"/>
        <v>0</v>
      </c>
      <c r="I1696">
        <v>1695</v>
      </c>
      <c r="J1696">
        <f t="shared" si="210"/>
        <v>-0.77313832557060091</v>
      </c>
      <c r="K1696">
        <f t="shared" si="211"/>
        <v>-0.63423743939780752</v>
      </c>
      <c r="L1696">
        <f>VLOOKUP(D1696,[1]SOI!$A$1:$C$142,3)</f>
        <v>-6.9</v>
      </c>
      <c r="M1696" s="2">
        <f t="shared" si="212"/>
        <v>-1310.4694618421686</v>
      </c>
      <c r="N1696">
        <f t="shared" si="213"/>
        <v>-1075.0324597792837</v>
      </c>
      <c r="O1696" t="s">
        <v>8</v>
      </c>
    </row>
    <row r="1697" spans="1:15" x14ac:dyDescent="0.35">
      <c r="A1697">
        <v>2004</v>
      </c>
      <c r="B1697">
        <v>8</v>
      </c>
      <c r="C1697">
        <v>22</v>
      </c>
      <c r="D1697" s="1">
        <f t="shared" si="208"/>
        <v>38221</v>
      </c>
      <c r="E1697">
        <v>0</v>
      </c>
      <c r="F1697">
        <f t="shared" si="214"/>
        <v>0</v>
      </c>
      <c r="G1697">
        <f t="shared" si="209"/>
        <v>0</v>
      </c>
      <c r="H1697">
        <f t="shared" si="215"/>
        <v>0</v>
      </c>
      <c r="I1697">
        <v>1696</v>
      </c>
      <c r="J1697">
        <f t="shared" si="210"/>
        <v>-0.7839338166829195</v>
      </c>
      <c r="K1697">
        <f t="shared" si="211"/>
        <v>-0.6208444016506478</v>
      </c>
      <c r="L1697">
        <f>VLOOKUP(D1697,[1]SOI!$A$1:$C$142,3)</f>
        <v>-6.9</v>
      </c>
      <c r="M1697" s="2">
        <f t="shared" si="212"/>
        <v>-1329.5517530942316</v>
      </c>
      <c r="N1697">
        <f t="shared" si="213"/>
        <v>-1052.9521051994986</v>
      </c>
      <c r="O1697" t="s">
        <v>8</v>
      </c>
    </row>
    <row r="1698" spans="1:15" x14ac:dyDescent="0.35">
      <c r="A1698">
        <v>2004</v>
      </c>
      <c r="B1698">
        <v>8</v>
      </c>
      <c r="C1698">
        <v>23</v>
      </c>
      <c r="D1698" s="1">
        <f t="shared" si="208"/>
        <v>38222</v>
      </c>
      <c r="E1698">
        <v>3.4</v>
      </c>
      <c r="F1698">
        <f t="shared" si="214"/>
        <v>0</v>
      </c>
      <c r="G1698">
        <f t="shared" si="209"/>
        <v>1</v>
      </c>
      <c r="H1698">
        <f t="shared" si="215"/>
        <v>0</v>
      </c>
      <c r="I1698">
        <v>1697</v>
      </c>
      <c r="J1698">
        <f t="shared" si="210"/>
        <v>-0.79449732916659921</v>
      </c>
      <c r="K1698">
        <f t="shared" si="211"/>
        <v>-0.60726764605661365</v>
      </c>
      <c r="L1698">
        <f>VLOOKUP(D1698,[1]SOI!$A$1:$C$142,3)</f>
        <v>-6.9</v>
      </c>
      <c r="M1698" s="2">
        <f t="shared" si="212"/>
        <v>-1348.2619675957189</v>
      </c>
      <c r="N1698">
        <f t="shared" si="213"/>
        <v>-1030.5331953580733</v>
      </c>
      <c r="O1698" t="s">
        <v>8</v>
      </c>
    </row>
    <row r="1699" spans="1:15" x14ac:dyDescent="0.35">
      <c r="A1699">
        <v>2004</v>
      </c>
      <c r="B1699">
        <v>8</v>
      </c>
      <c r="C1699">
        <v>24</v>
      </c>
      <c r="D1699" s="1">
        <f t="shared" si="208"/>
        <v>38223</v>
      </c>
      <c r="E1699">
        <v>0</v>
      </c>
      <c r="F1699">
        <f t="shared" si="214"/>
        <v>3.4</v>
      </c>
      <c r="G1699">
        <f t="shared" si="209"/>
        <v>0</v>
      </c>
      <c r="H1699">
        <f t="shared" si="215"/>
        <v>1</v>
      </c>
      <c r="I1699">
        <v>1698</v>
      </c>
      <c r="J1699">
        <f t="shared" si="210"/>
        <v>-0.80482573710834349</v>
      </c>
      <c r="K1699">
        <f t="shared" si="211"/>
        <v>-0.5935111901961172</v>
      </c>
      <c r="L1699">
        <f>VLOOKUP(D1699,[1]SOI!$A$1:$C$142,3)</f>
        <v>-6.9</v>
      </c>
      <c r="M1699" s="2">
        <f t="shared" si="212"/>
        <v>-1366.5941016099673</v>
      </c>
      <c r="N1699">
        <f t="shared" si="213"/>
        <v>-1007.782000953007</v>
      </c>
      <c r="O1699" t="s">
        <v>8</v>
      </c>
    </row>
    <row r="1700" spans="1:15" x14ac:dyDescent="0.35">
      <c r="A1700">
        <v>2004</v>
      </c>
      <c r="B1700">
        <v>8</v>
      </c>
      <c r="C1700">
        <v>25</v>
      </c>
      <c r="D1700" s="1">
        <f t="shared" si="208"/>
        <v>38224</v>
      </c>
      <c r="E1700">
        <v>0</v>
      </c>
      <c r="F1700">
        <f t="shared" si="214"/>
        <v>0</v>
      </c>
      <c r="G1700">
        <f t="shared" si="209"/>
        <v>0</v>
      </c>
      <c r="H1700">
        <f t="shared" si="215"/>
        <v>0</v>
      </c>
      <c r="I1700">
        <v>1699</v>
      </c>
      <c r="J1700">
        <f t="shared" si="210"/>
        <v>-0.81491598416607858</v>
      </c>
      <c r="K1700">
        <f t="shared" si="211"/>
        <v>-0.57957910482576203</v>
      </c>
      <c r="L1700">
        <f>VLOOKUP(D1700,[1]SOI!$A$1:$C$142,3)</f>
        <v>-6.9</v>
      </c>
      <c r="M1700" s="2">
        <f t="shared" si="212"/>
        <v>-1384.5422570981675</v>
      </c>
      <c r="N1700">
        <f t="shared" si="213"/>
        <v>-984.70489909896969</v>
      </c>
      <c r="O1700" t="s">
        <v>8</v>
      </c>
    </row>
    <row r="1701" spans="1:15" x14ac:dyDescent="0.35">
      <c r="A1701">
        <v>2004</v>
      </c>
      <c r="B1701">
        <v>8</v>
      </c>
      <c r="C1701">
        <v>26</v>
      </c>
      <c r="D1701" s="1">
        <f t="shared" si="208"/>
        <v>38225</v>
      </c>
      <c r="E1701">
        <v>0</v>
      </c>
      <c r="F1701">
        <f t="shared" si="214"/>
        <v>0</v>
      </c>
      <c r="G1701">
        <f t="shared" si="209"/>
        <v>0</v>
      </c>
      <c r="H1701">
        <f t="shared" si="215"/>
        <v>0</v>
      </c>
      <c r="I1701">
        <v>1700</v>
      </c>
      <c r="J1701">
        <f t="shared" si="210"/>
        <v>-0.82476508447335939</v>
      </c>
      <c r="K1701">
        <f t="shared" si="211"/>
        <v>-0.56547551267376062</v>
      </c>
      <c r="L1701">
        <f>VLOOKUP(D1701,[1]SOI!$A$1:$C$142,3)</f>
        <v>-6.9</v>
      </c>
      <c r="M1701" s="2">
        <f t="shared" si="212"/>
        <v>-1402.100643604711</v>
      </c>
      <c r="N1701">
        <f t="shared" si="213"/>
        <v>-961.30837154539302</v>
      </c>
      <c r="O1701" t="s">
        <v>8</v>
      </c>
    </row>
    <row r="1702" spans="1:15" x14ac:dyDescent="0.35">
      <c r="A1702">
        <v>2004</v>
      </c>
      <c r="B1702">
        <v>8</v>
      </c>
      <c r="C1702">
        <v>27</v>
      </c>
      <c r="D1702" s="1">
        <f t="shared" si="208"/>
        <v>38226</v>
      </c>
      <c r="E1702">
        <v>1</v>
      </c>
      <c r="F1702">
        <f t="shared" si="214"/>
        <v>0</v>
      </c>
      <c r="G1702">
        <f t="shared" si="209"/>
        <v>1</v>
      </c>
      <c r="H1702">
        <f t="shared" si="215"/>
        <v>0</v>
      </c>
      <c r="I1702">
        <v>1701</v>
      </c>
      <c r="J1702">
        <f t="shared" si="210"/>
        <v>-0.83437012352295226</v>
      </c>
      <c r="K1702">
        <f t="shared" si="211"/>
        <v>-0.55120458721993004</v>
      </c>
      <c r="L1702">
        <f>VLOOKUP(D1702,[1]SOI!$A$1:$C$142,3)</f>
        <v>-6.9</v>
      </c>
      <c r="M1702" s="2">
        <f t="shared" si="212"/>
        <v>-1419.2635801125418</v>
      </c>
      <c r="N1702">
        <f t="shared" si="213"/>
        <v>-937.59900286110098</v>
      </c>
      <c r="O1702" t="s">
        <v>8</v>
      </c>
    </row>
    <row r="1703" spans="1:15" x14ac:dyDescent="0.35">
      <c r="A1703">
        <v>2004</v>
      </c>
      <c r="B1703">
        <v>8</v>
      </c>
      <c r="C1703">
        <v>28</v>
      </c>
      <c r="D1703" s="1">
        <f t="shared" si="208"/>
        <v>38227</v>
      </c>
      <c r="E1703">
        <v>0</v>
      </c>
      <c r="F1703">
        <f t="shared" si="214"/>
        <v>1</v>
      </c>
      <c r="G1703">
        <f t="shared" si="209"/>
        <v>0</v>
      </c>
      <c r="H1703">
        <f t="shared" si="215"/>
        <v>1</v>
      </c>
      <c r="I1703">
        <v>1702</v>
      </c>
      <c r="J1703">
        <f t="shared" si="210"/>
        <v>-0.84372825902927207</v>
      </c>
      <c r="K1703">
        <f t="shared" si="211"/>
        <v>-0.53677055146070896</v>
      </c>
      <c r="L1703">
        <f>VLOOKUP(D1703,[1]SOI!$A$1:$C$142,3)</f>
        <v>-6.9</v>
      </c>
      <c r="M1703" s="2">
        <f t="shared" si="212"/>
        <v>-1436.0254968678209</v>
      </c>
      <c r="N1703">
        <f t="shared" si="213"/>
        <v>-913.5834785861266</v>
      </c>
      <c r="O1703" t="s">
        <v>8</v>
      </c>
    </row>
    <row r="1704" spans="1:15" x14ac:dyDescent="0.35">
      <c r="A1704">
        <v>2004</v>
      </c>
      <c r="B1704">
        <v>8</v>
      </c>
      <c r="C1704">
        <v>29</v>
      </c>
      <c r="D1704" s="1">
        <f t="shared" si="208"/>
        <v>38228</v>
      </c>
      <c r="E1704">
        <v>0</v>
      </c>
      <c r="F1704">
        <f t="shared" si="214"/>
        <v>0</v>
      </c>
      <c r="G1704">
        <f t="shared" si="209"/>
        <v>0</v>
      </c>
      <c r="H1704">
        <f t="shared" si="215"/>
        <v>0</v>
      </c>
      <c r="I1704">
        <v>1703</v>
      </c>
      <c r="J1704">
        <f t="shared" si="210"/>
        <v>-0.85283672176945702</v>
      </c>
      <c r="K1704">
        <f t="shared" si="211"/>
        <v>-0.52217767665951187</v>
      </c>
      <c r="L1704">
        <f>VLOOKUP(D1704,[1]SOI!$A$1:$C$142,3)</f>
        <v>-6.9</v>
      </c>
      <c r="M1704" s="2">
        <f t="shared" si="212"/>
        <v>-1452.3809371733853</v>
      </c>
      <c r="N1704">
        <f t="shared" si="213"/>
        <v>-889.26858335114866</v>
      </c>
      <c r="O1704" t="s">
        <v>8</v>
      </c>
    </row>
    <row r="1705" spans="1:15" x14ac:dyDescent="0.35">
      <c r="A1705">
        <v>2004</v>
      </c>
      <c r="B1705">
        <v>8</v>
      </c>
      <c r="C1705">
        <v>30</v>
      </c>
      <c r="D1705" s="1">
        <f t="shared" si="208"/>
        <v>38229</v>
      </c>
      <c r="E1705">
        <v>12.2</v>
      </c>
      <c r="F1705">
        <f t="shared" si="214"/>
        <v>0</v>
      </c>
      <c r="G1705">
        <f t="shared" si="209"/>
        <v>1</v>
      </c>
      <c r="H1705">
        <f t="shared" si="215"/>
        <v>0</v>
      </c>
      <c r="I1705">
        <v>1704</v>
      </c>
      <c r="J1705">
        <f t="shared" si="210"/>
        <v>-0.86169281640285256</v>
      </c>
      <c r="K1705">
        <f t="shared" si="211"/>
        <v>-0.50743028108275112</v>
      </c>
      <c r="L1705">
        <f>VLOOKUP(D1705,[1]SOI!$A$1:$C$142,3)</f>
        <v>-6.9</v>
      </c>
      <c r="M1705" s="2">
        <f t="shared" si="212"/>
        <v>-1468.3245591504608</v>
      </c>
      <c r="N1705">
        <f t="shared" si="213"/>
        <v>-864.66119896500788</v>
      </c>
      <c r="O1705" t="s">
        <v>8</v>
      </c>
    </row>
    <row r="1706" spans="1:15" x14ac:dyDescent="0.35">
      <c r="A1706">
        <v>2004</v>
      </c>
      <c r="B1706">
        <v>8</v>
      </c>
      <c r="C1706">
        <v>31</v>
      </c>
      <c r="D1706" s="1">
        <f t="shared" si="208"/>
        <v>38230</v>
      </c>
      <c r="E1706">
        <v>6.2</v>
      </c>
      <c r="F1706">
        <f t="shared" si="214"/>
        <v>12.2</v>
      </c>
      <c r="G1706">
        <f t="shared" si="209"/>
        <v>1</v>
      </c>
      <c r="H1706">
        <f t="shared" si="215"/>
        <v>1</v>
      </c>
      <c r="I1706">
        <v>1705</v>
      </c>
      <c r="J1706">
        <f t="shared" si="210"/>
        <v>-0.87029392226856828</v>
      </c>
      <c r="K1706">
        <f t="shared" si="211"/>
        <v>-0.49253272872205284</v>
      </c>
      <c r="L1706">
        <f>VLOOKUP(D1706,[1]SOI!$A$1:$C$142,3)</f>
        <v>-6.9</v>
      </c>
      <c r="M1706" s="2">
        <f t="shared" si="212"/>
        <v>-1483.851137467909</v>
      </c>
      <c r="N1706">
        <f t="shared" si="213"/>
        <v>-839.76830247110013</v>
      </c>
      <c r="O1706" t="s">
        <v>8</v>
      </c>
    </row>
    <row r="1707" spans="1:15" x14ac:dyDescent="0.35">
      <c r="A1707">
        <v>2004</v>
      </c>
      <c r="B1707">
        <v>9</v>
      </c>
      <c r="C1707">
        <v>1</v>
      </c>
      <c r="D1707" s="1">
        <f t="shared" si="208"/>
        <v>38231</v>
      </c>
      <c r="E1707">
        <v>0.8</v>
      </c>
      <c r="F1707">
        <f t="shared" si="214"/>
        <v>6.2</v>
      </c>
      <c r="G1707">
        <f t="shared" si="209"/>
        <v>1</v>
      </c>
      <c r="H1707">
        <f t="shared" si="215"/>
        <v>1</v>
      </c>
      <c r="I1707">
        <v>1706</v>
      </c>
      <c r="J1707">
        <f t="shared" si="210"/>
        <v>-0.87863749416100012</v>
      </c>
      <c r="K1707">
        <f t="shared" si="211"/>
        <v>-0.47748942800283917</v>
      </c>
      <c r="L1707">
        <f>VLOOKUP(D1707,[1]SOI!$A$1:$C$142,3)</f>
        <v>-7.6</v>
      </c>
      <c r="M1707" s="2">
        <f t="shared" si="212"/>
        <v>-1498.9555650386662</v>
      </c>
      <c r="N1707">
        <f t="shared" si="213"/>
        <v>-814.59696417284363</v>
      </c>
      <c r="O1707" t="s">
        <v>8</v>
      </c>
    </row>
    <row r="1708" spans="1:15" x14ac:dyDescent="0.35">
      <c r="A1708">
        <v>2004</v>
      </c>
      <c r="B1708">
        <v>9</v>
      </c>
      <c r="C1708">
        <v>2</v>
      </c>
      <c r="D1708" s="1">
        <f t="shared" si="208"/>
        <v>38232</v>
      </c>
      <c r="E1708">
        <v>0</v>
      </c>
      <c r="F1708">
        <f t="shared" si="214"/>
        <v>0.8</v>
      </c>
      <c r="G1708">
        <f t="shared" si="209"/>
        <v>0</v>
      </c>
      <c r="H1708">
        <f t="shared" si="215"/>
        <v>1</v>
      </c>
      <c r="I1708">
        <v>1707</v>
      </c>
      <c r="J1708">
        <f t="shared" si="210"/>
        <v>-0.88672106308299337</v>
      </c>
      <c r="K1708">
        <f t="shared" si="211"/>
        <v>-0.46230483047981019</v>
      </c>
      <c r="L1708">
        <f>VLOOKUP(D1708,[1]SOI!$A$1:$C$142,3)</f>
        <v>-7.6</v>
      </c>
      <c r="M1708" s="2">
        <f t="shared" si="212"/>
        <v>-1513.6328546826696</v>
      </c>
      <c r="N1708">
        <f t="shared" si="213"/>
        <v>-789.15434562903602</v>
      </c>
      <c r="O1708" t="s">
        <v>8</v>
      </c>
    </row>
    <row r="1709" spans="1:15" x14ac:dyDescent="0.35">
      <c r="A1709">
        <v>2004</v>
      </c>
      <c r="B1709">
        <v>9</v>
      </c>
      <c r="C1709">
        <v>3</v>
      </c>
      <c r="D1709" s="1">
        <f t="shared" si="208"/>
        <v>38233</v>
      </c>
      <c r="E1709">
        <v>0</v>
      </c>
      <c r="F1709">
        <f t="shared" si="214"/>
        <v>0</v>
      </c>
      <c r="G1709">
        <f t="shared" si="209"/>
        <v>0</v>
      </c>
      <c r="H1709">
        <f t="shared" si="215"/>
        <v>0</v>
      </c>
      <c r="I1709">
        <v>1708</v>
      </c>
      <c r="J1709">
        <f t="shared" si="210"/>
        <v>-0.8945422369764503</v>
      </c>
      <c r="K1709">
        <f t="shared" si="211"/>
        <v>-0.44698342951967263</v>
      </c>
      <c r="L1709">
        <f>VLOOKUP(D1709,[1]SOI!$A$1:$C$142,3)</f>
        <v>-7.6</v>
      </c>
      <c r="M1709" s="2">
        <f t="shared" si="212"/>
        <v>-1527.8781407557772</v>
      </c>
      <c r="N1709">
        <f t="shared" si="213"/>
        <v>-763.44769761960083</v>
      </c>
      <c r="O1709" t="s">
        <v>8</v>
      </c>
    </row>
    <row r="1710" spans="1:15" x14ac:dyDescent="0.35">
      <c r="A1710">
        <v>2004</v>
      </c>
      <c r="B1710">
        <v>9</v>
      </c>
      <c r="C1710">
        <v>4</v>
      </c>
      <c r="D1710" s="1">
        <f t="shared" si="208"/>
        <v>38234</v>
      </c>
      <c r="E1710">
        <v>8.4</v>
      </c>
      <c r="F1710">
        <f t="shared" si="214"/>
        <v>0</v>
      </c>
      <c r="G1710">
        <f t="shared" si="209"/>
        <v>1</v>
      </c>
      <c r="H1710">
        <f t="shared" si="215"/>
        <v>0</v>
      </c>
      <c r="I1710">
        <v>1709</v>
      </c>
      <c r="J1710">
        <f t="shared" si="210"/>
        <v>-0.90209870143018367</v>
      </c>
      <c r="K1710">
        <f t="shared" si="211"/>
        <v>-0.43152975897147156</v>
      </c>
      <c r="L1710">
        <f>VLOOKUP(D1710,[1]SOI!$A$1:$C$142,3)</f>
        <v>-7.6</v>
      </c>
      <c r="M1710" s="2">
        <f t="shared" si="212"/>
        <v>-1541.6866807441838</v>
      </c>
      <c r="N1710">
        <f t="shared" si="213"/>
        <v>-737.48435808224485</v>
      </c>
      <c r="O1710" t="s">
        <v>8</v>
      </c>
    </row>
    <row r="1711" spans="1:15" x14ac:dyDescent="0.35">
      <c r="A1711">
        <v>2004</v>
      </c>
      <c r="B1711">
        <v>9</v>
      </c>
      <c r="C1711">
        <v>5</v>
      </c>
      <c r="D1711" s="1">
        <f t="shared" si="208"/>
        <v>38235</v>
      </c>
      <c r="E1711">
        <v>0</v>
      </c>
      <c r="F1711">
        <f t="shared" si="214"/>
        <v>8.4</v>
      </c>
      <c r="G1711">
        <f t="shared" si="209"/>
        <v>0</v>
      </c>
      <c r="H1711">
        <f t="shared" si="215"/>
        <v>1</v>
      </c>
      <c r="I1711">
        <v>1710</v>
      </c>
      <c r="J1711">
        <f t="shared" si="210"/>
        <v>-0.90938822036479283</v>
      </c>
      <c r="K1711">
        <f t="shared" si="211"/>
        <v>-0.41594839182494137</v>
      </c>
      <c r="L1711">
        <f>VLOOKUP(D1711,[1]SOI!$A$1:$C$142,3)</f>
        <v>-7.6</v>
      </c>
      <c r="M1711" s="2">
        <f t="shared" si="212"/>
        <v>-1555.0538568237957</v>
      </c>
      <c r="N1711">
        <f t="shared" si="213"/>
        <v>-711.27175002064973</v>
      </c>
      <c r="O1711" t="s">
        <v>8</v>
      </c>
    </row>
    <row r="1712" spans="1:15" x14ac:dyDescent="0.35">
      <c r="A1712">
        <v>2004</v>
      </c>
      <c r="B1712">
        <v>9</v>
      </c>
      <c r="C1712">
        <v>6</v>
      </c>
      <c r="D1712" s="1">
        <f t="shared" si="208"/>
        <v>38236</v>
      </c>
      <c r="E1712">
        <v>0</v>
      </c>
      <c r="F1712">
        <f t="shared" si="214"/>
        <v>0</v>
      </c>
      <c r="G1712">
        <f t="shared" si="209"/>
        <v>0</v>
      </c>
      <c r="H1712">
        <f t="shared" si="215"/>
        <v>0</v>
      </c>
      <c r="I1712">
        <v>1711</v>
      </c>
      <c r="J1712">
        <f t="shared" si="210"/>
        <v>-0.91640863669434502</v>
      </c>
      <c r="K1712">
        <f t="shared" si="211"/>
        <v>-0.4002439388573073</v>
      </c>
      <c r="L1712">
        <f>VLOOKUP(D1712,[1]SOI!$A$1:$C$142,3)</f>
        <v>-7.6</v>
      </c>
      <c r="M1712" s="2">
        <f t="shared" si="212"/>
        <v>-1567.9751773840244</v>
      </c>
      <c r="N1712">
        <f t="shared" si="213"/>
        <v>-684.81737938485276</v>
      </c>
      <c r="O1712" t="s">
        <v>8</v>
      </c>
    </row>
    <row r="1713" spans="1:15" x14ac:dyDescent="0.35">
      <c r="A1713">
        <v>2004</v>
      </c>
      <c r="B1713">
        <v>9</v>
      </c>
      <c r="C1713">
        <v>7</v>
      </c>
      <c r="D1713" s="1">
        <f t="shared" si="208"/>
        <v>38237</v>
      </c>
      <c r="E1713">
        <v>0</v>
      </c>
      <c r="F1713">
        <f t="shared" si="214"/>
        <v>0</v>
      </c>
      <c r="G1713">
        <f t="shared" si="209"/>
        <v>0</v>
      </c>
      <c r="H1713">
        <f t="shared" si="215"/>
        <v>0</v>
      </c>
      <c r="I1713">
        <v>1712</v>
      </c>
      <c r="J1713">
        <f t="shared" si="210"/>
        <v>-0.92315787296470353</v>
      </c>
      <c r="K1713">
        <f t="shared" si="211"/>
        <v>-0.38442104726885634</v>
      </c>
      <c r="L1713">
        <f>VLOOKUP(D1713,[1]SOI!$A$1:$C$142,3)</f>
        <v>-7.6</v>
      </c>
      <c r="M1713" s="2">
        <f t="shared" si="212"/>
        <v>-1580.4462785155724</v>
      </c>
      <c r="N1713">
        <f t="shared" si="213"/>
        <v>-658.12883292428205</v>
      </c>
      <c r="O1713" t="s">
        <v>8</v>
      </c>
    </row>
    <row r="1714" spans="1:15" x14ac:dyDescent="0.35">
      <c r="A1714">
        <v>2004</v>
      </c>
      <c r="B1714">
        <v>9</v>
      </c>
      <c r="C1714">
        <v>8</v>
      </c>
      <c r="D1714" s="1">
        <f t="shared" si="208"/>
        <v>38238</v>
      </c>
      <c r="E1714">
        <v>16</v>
      </c>
      <c r="F1714">
        <f t="shared" si="214"/>
        <v>0</v>
      </c>
      <c r="G1714">
        <f t="shared" si="209"/>
        <v>1</v>
      </c>
      <c r="H1714">
        <f t="shared" si="215"/>
        <v>0</v>
      </c>
      <c r="I1714">
        <v>1713</v>
      </c>
      <c r="J1714">
        <f t="shared" si="210"/>
        <v>-0.92963393196826971</v>
      </c>
      <c r="K1714">
        <f t="shared" si="211"/>
        <v>-0.3684843993077786</v>
      </c>
      <c r="L1714">
        <f>VLOOKUP(D1714,[1]SOI!$A$1:$C$142,3)</f>
        <v>-7.6</v>
      </c>
      <c r="M1714" s="2">
        <f t="shared" si="212"/>
        <v>-1592.4629254616459</v>
      </c>
      <c r="N1714">
        <f t="shared" si="213"/>
        <v>-631.21377601422478</v>
      </c>
      <c r="O1714" t="s">
        <v>8</v>
      </c>
    </row>
    <row r="1715" spans="1:15" x14ac:dyDescent="0.35">
      <c r="A1715">
        <v>2004</v>
      </c>
      <c r="B1715">
        <v>9</v>
      </c>
      <c r="C1715">
        <v>9</v>
      </c>
      <c r="D1715" s="1">
        <f t="shared" si="208"/>
        <v>38239</v>
      </c>
      <c r="E1715">
        <v>4.8</v>
      </c>
      <c r="F1715">
        <f t="shared" si="214"/>
        <v>16</v>
      </c>
      <c r="G1715">
        <f t="shared" si="209"/>
        <v>1</v>
      </c>
      <c r="H1715">
        <f t="shared" si="215"/>
        <v>1</v>
      </c>
      <c r="I1715">
        <v>1714</v>
      </c>
      <c r="J1715">
        <f t="shared" si="210"/>
        <v>-0.93583489733499348</v>
      </c>
      <c r="K1715">
        <f t="shared" si="211"/>
        <v>-0.35243871088460504</v>
      </c>
      <c r="L1715">
        <f>VLOOKUP(D1715,[1]SOI!$A$1:$C$142,3)</f>
        <v>-7.6</v>
      </c>
      <c r="M1715" s="2">
        <f t="shared" si="212"/>
        <v>-1604.0210140321788</v>
      </c>
      <c r="N1715">
        <f t="shared" si="213"/>
        <v>-604.07995045621306</v>
      </c>
      <c r="O1715" t="s">
        <v>8</v>
      </c>
    </row>
    <row r="1716" spans="1:15" x14ac:dyDescent="0.35">
      <c r="A1716">
        <v>2004</v>
      </c>
      <c r="B1716">
        <v>9</v>
      </c>
      <c r="C1716">
        <v>10</v>
      </c>
      <c r="D1716" s="1">
        <f t="shared" si="208"/>
        <v>38240</v>
      </c>
      <c r="E1716">
        <v>0</v>
      </c>
      <c r="F1716">
        <f t="shared" si="214"/>
        <v>4.8</v>
      </c>
      <c r="G1716">
        <f t="shared" si="209"/>
        <v>0</v>
      </c>
      <c r="H1716">
        <f t="shared" si="215"/>
        <v>1</v>
      </c>
      <c r="I1716">
        <v>1715</v>
      </c>
      <c r="J1716">
        <f t="shared" si="210"/>
        <v>-0.94175893409946132</v>
      </c>
      <c r="K1716">
        <f t="shared" si="211"/>
        <v>-0.33628873017668376</v>
      </c>
      <c r="L1716">
        <f>VLOOKUP(D1716,[1]SOI!$A$1:$C$142,3)</f>
        <v>-7.6</v>
      </c>
      <c r="M1716" s="2">
        <f t="shared" si="212"/>
        <v>-1615.1165719805761</v>
      </c>
      <c r="N1716">
        <f t="shared" si="213"/>
        <v>-576.73517225301259</v>
      </c>
      <c r="O1716" t="s">
        <v>8</v>
      </c>
    </row>
    <row r="1717" spans="1:15" x14ac:dyDescent="0.35">
      <c r="A1717">
        <v>2004</v>
      </c>
      <c r="B1717">
        <v>9</v>
      </c>
      <c r="C1717">
        <v>11</v>
      </c>
      <c r="D1717" s="1">
        <f t="shared" si="208"/>
        <v>38241</v>
      </c>
      <c r="E1717">
        <v>13</v>
      </c>
      <c r="F1717">
        <f t="shared" si="214"/>
        <v>0</v>
      </c>
      <c r="G1717">
        <f t="shared" si="209"/>
        <v>1</v>
      </c>
      <c r="H1717">
        <f t="shared" si="215"/>
        <v>0</v>
      </c>
      <c r="I1717">
        <v>1716</v>
      </c>
      <c r="J1717">
        <f t="shared" si="210"/>
        <v>-0.94740428924388487</v>
      </c>
      <c r="K1717">
        <f t="shared" si="211"/>
        <v>-0.32003923622313779</v>
      </c>
      <c r="L1717">
        <f>VLOOKUP(D1717,[1]SOI!$A$1:$C$142,3)</f>
        <v>-7.6</v>
      </c>
      <c r="M1717" s="2">
        <f t="shared" si="212"/>
        <v>-1625.7457603425064</v>
      </c>
      <c r="N1717">
        <f t="shared" si="213"/>
        <v>-549.18732935890444</v>
      </c>
      <c r="O1717" t="s">
        <v>8</v>
      </c>
    </row>
    <row r="1718" spans="1:15" x14ac:dyDescent="0.35">
      <c r="A1718">
        <v>2004</v>
      </c>
      <c r="B1718">
        <v>9</v>
      </c>
      <c r="C1718">
        <v>12</v>
      </c>
      <c r="D1718" s="1">
        <f t="shared" si="208"/>
        <v>38242</v>
      </c>
      <c r="E1718">
        <v>5</v>
      </c>
      <c r="F1718">
        <f t="shared" si="214"/>
        <v>13</v>
      </c>
      <c r="G1718">
        <f t="shared" si="209"/>
        <v>1</v>
      </c>
      <c r="H1718">
        <f t="shared" si="215"/>
        <v>1</v>
      </c>
      <c r="I1718">
        <v>1717</v>
      </c>
      <c r="J1718">
        <f t="shared" si="210"/>
        <v>-0.95276929221685058</v>
      </c>
      <c r="K1718">
        <f t="shared" si="211"/>
        <v>-0.30369503751066063</v>
      </c>
      <c r="L1718">
        <f>VLOOKUP(D1718,[1]SOI!$A$1:$C$142,3)</f>
        <v>-7.6</v>
      </c>
      <c r="M1718" s="2">
        <f t="shared" si="212"/>
        <v>-1635.9048747363324</v>
      </c>
      <c r="N1718">
        <f t="shared" si="213"/>
        <v>-521.44437940580428</v>
      </c>
      <c r="O1718" t="s">
        <v>8</v>
      </c>
    </row>
    <row r="1719" spans="1:15" x14ac:dyDescent="0.35">
      <c r="A1719">
        <v>2004</v>
      </c>
      <c r="B1719">
        <v>9</v>
      </c>
      <c r="C1719">
        <v>13</v>
      </c>
      <c r="D1719" s="1">
        <f t="shared" si="208"/>
        <v>38243</v>
      </c>
      <c r="E1719">
        <v>0.2</v>
      </c>
      <c r="F1719">
        <f t="shared" si="214"/>
        <v>5</v>
      </c>
      <c r="G1719">
        <f t="shared" si="209"/>
        <v>1</v>
      </c>
      <c r="H1719">
        <f t="shared" si="215"/>
        <v>1</v>
      </c>
      <c r="I1719">
        <v>1718</v>
      </c>
      <c r="J1719">
        <f t="shared" si="210"/>
        <v>-0.95785235542766656</v>
      </c>
      <c r="K1719">
        <f t="shared" si="211"/>
        <v>-0.28726097055059729</v>
      </c>
      <c r="L1719">
        <f>VLOOKUP(D1719,[1]SOI!$A$1:$C$142,3)</f>
        <v>-7.6</v>
      </c>
      <c r="M1719" s="2">
        <f t="shared" si="212"/>
        <v>-1645.5903466247312</v>
      </c>
      <c r="N1719">
        <f t="shared" si="213"/>
        <v>-493.51434740592617</v>
      </c>
      <c r="O1719" t="s">
        <v>8</v>
      </c>
    </row>
    <row r="1720" spans="1:15" x14ac:dyDescent="0.35">
      <c r="A1720">
        <v>2004</v>
      </c>
      <c r="B1720">
        <v>9</v>
      </c>
      <c r="C1720">
        <v>14</v>
      </c>
      <c r="D1720" s="1">
        <f t="shared" si="208"/>
        <v>38244</v>
      </c>
      <c r="E1720">
        <v>2.4</v>
      </c>
      <c r="F1720">
        <f t="shared" si="214"/>
        <v>0.2</v>
      </c>
      <c r="G1720">
        <f t="shared" si="209"/>
        <v>1</v>
      </c>
      <c r="H1720">
        <f t="shared" si="215"/>
        <v>1</v>
      </c>
      <c r="I1720">
        <v>1719</v>
      </c>
      <c r="J1720">
        <f t="shared" si="210"/>
        <v>-0.96265197471614894</v>
      </c>
      <c r="K1720">
        <f t="shared" si="211"/>
        <v>-0.27074189844776342</v>
      </c>
      <c r="L1720">
        <f>VLOOKUP(D1720,[1]SOI!$A$1:$C$142,3)</f>
        <v>-7.6</v>
      </c>
      <c r="M1720" s="2">
        <f t="shared" si="212"/>
        <v>-1654.79874453706</v>
      </c>
      <c r="N1720">
        <f t="shared" si="213"/>
        <v>-465.40532343170531</v>
      </c>
      <c r="O1720" t="s">
        <v>8</v>
      </c>
    </row>
    <row r="1721" spans="1:15" x14ac:dyDescent="0.35">
      <c r="A1721">
        <v>2004</v>
      </c>
      <c r="B1721">
        <v>9</v>
      </c>
      <c r="C1721">
        <v>15</v>
      </c>
      <c r="D1721" s="1">
        <f t="shared" si="208"/>
        <v>38245</v>
      </c>
      <c r="E1721">
        <v>0.4</v>
      </c>
      <c r="F1721">
        <f t="shared" si="214"/>
        <v>2.4</v>
      </c>
      <c r="G1721">
        <f t="shared" si="209"/>
        <v>1</v>
      </c>
      <c r="H1721">
        <f t="shared" si="215"/>
        <v>1</v>
      </c>
      <c r="I1721">
        <v>1720</v>
      </c>
      <c r="J1721">
        <f t="shared" si="210"/>
        <v>-0.96716672979773077</v>
      </c>
      <c r="K1721">
        <f t="shared" si="211"/>
        <v>-0.25414270946136402</v>
      </c>
      <c r="L1721">
        <f>VLOOKUP(D1721,[1]SOI!$A$1:$C$142,3)</f>
        <v>-7.6</v>
      </c>
      <c r="M1721" s="2">
        <f t="shared" si="212"/>
        <v>-1663.526775252097</v>
      </c>
      <c r="N1721">
        <f t="shared" si="213"/>
        <v>-437.12546027354614</v>
      </c>
      <c r="O1721" t="s">
        <v>8</v>
      </c>
    </row>
    <row r="1722" spans="1:15" x14ac:dyDescent="0.35">
      <c r="A1722">
        <v>2004</v>
      </c>
      <c r="B1722">
        <v>9</v>
      </c>
      <c r="C1722">
        <v>16</v>
      </c>
      <c r="D1722" s="1">
        <f t="shared" si="208"/>
        <v>38246</v>
      </c>
      <c r="E1722">
        <v>2</v>
      </c>
      <c r="F1722">
        <f t="shared" si="214"/>
        <v>0.4</v>
      </c>
      <c r="G1722">
        <f t="shared" si="209"/>
        <v>1</v>
      </c>
      <c r="H1722">
        <f t="shared" si="215"/>
        <v>1</v>
      </c>
      <c r="I1722">
        <v>1721</v>
      </c>
      <c r="J1722">
        <f t="shared" si="210"/>
        <v>-0.97139528468374992</v>
      </c>
      <c r="K1722">
        <f t="shared" si="211"/>
        <v>-0.23746831555846851</v>
      </c>
      <c r="L1722">
        <f>VLOOKUP(D1722,[1]SOI!$A$1:$C$142,3)</f>
        <v>-7.6</v>
      </c>
      <c r="M1722" s="2">
        <f t="shared" si="212"/>
        <v>-1671.7712849407335</v>
      </c>
      <c r="N1722">
        <f t="shared" si="213"/>
        <v>-408.68297107612432</v>
      </c>
      <c r="O1722" t="s">
        <v>8</v>
      </c>
    </row>
    <row r="1723" spans="1:15" x14ac:dyDescent="0.35">
      <c r="A1723">
        <v>2004</v>
      </c>
      <c r="B1723">
        <v>9</v>
      </c>
      <c r="C1723">
        <v>17</v>
      </c>
      <c r="D1723" s="1">
        <f t="shared" si="208"/>
        <v>38247</v>
      </c>
      <c r="E1723">
        <v>0</v>
      </c>
      <c r="F1723">
        <f t="shared" si="214"/>
        <v>2</v>
      </c>
      <c r="G1723">
        <f t="shared" si="209"/>
        <v>0</v>
      </c>
      <c r="H1723">
        <f t="shared" si="215"/>
        <v>1</v>
      </c>
      <c r="I1723">
        <v>1722</v>
      </c>
      <c r="J1723">
        <f t="shared" si="210"/>
        <v>-0.97533638807678302</v>
      </c>
      <c r="K1723">
        <f t="shared" si="211"/>
        <v>-0.22072365096050489</v>
      </c>
      <c r="L1723">
        <f>VLOOKUP(D1723,[1]SOI!$A$1:$C$142,3)</f>
        <v>-7.6</v>
      </c>
      <c r="M1723" s="2">
        <f t="shared" si="212"/>
        <v>-1679.5292602682205</v>
      </c>
      <c r="N1723">
        <f t="shared" si="213"/>
        <v>-380.08612695398944</v>
      </c>
      <c r="O1723" t="s">
        <v>8</v>
      </c>
    </row>
    <row r="1724" spans="1:15" x14ac:dyDescent="0.35">
      <c r="A1724">
        <v>2004</v>
      </c>
      <c r="B1724">
        <v>9</v>
      </c>
      <c r="C1724">
        <v>18</v>
      </c>
      <c r="D1724" s="1">
        <f t="shared" si="208"/>
        <v>38248</v>
      </c>
      <c r="E1724">
        <v>0</v>
      </c>
      <c r="F1724">
        <f t="shared" si="214"/>
        <v>0</v>
      </c>
      <c r="G1724">
        <f t="shared" si="209"/>
        <v>0</v>
      </c>
      <c r="H1724">
        <f t="shared" si="215"/>
        <v>0</v>
      </c>
      <c r="I1724">
        <v>1723</v>
      </c>
      <c r="J1724">
        <f t="shared" si="210"/>
        <v>-0.97898887374093146</v>
      </c>
      <c r="K1724">
        <f t="shared" si="211"/>
        <v>-0.20391367068311653</v>
      </c>
      <c r="L1724">
        <f>VLOOKUP(D1724,[1]SOI!$A$1:$C$142,3)</f>
        <v>-7.6</v>
      </c>
      <c r="M1724" s="2">
        <f t="shared" si="212"/>
        <v>-1686.7978294556249</v>
      </c>
      <c r="N1724">
        <f t="shared" si="213"/>
        <v>-351.34325458700977</v>
      </c>
      <c r="O1724" t="s">
        <v>8</v>
      </c>
    </row>
    <row r="1725" spans="1:15" x14ac:dyDescent="0.35">
      <c r="A1725">
        <v>2004</v>
      </c>
      <c r="B1725">
        <v>9</v>
      </c>
      <c r="C1725">
        <v>19</v>
      </c>
      <c r="D1725" s="1">
        <f t="shared" si="208"/>
        <v>38249</v>
      </c>
      <c r="E1725">
        <v>0</v>
      </c>
      <c r="F1725">
        <f t="shared" si="214"/>
        <v>0</v>
      </c>
      <c r="G1725">
        <f t="shared" si="209"/>
        <v>0</v>
      </c>
      <c r="H1725">
        <f t="shared" si="215"/>
        <v>0</v>
      </c>
      <c r="I1725">
        <v>1724</v>
      </c>
      <c r="J1725">
        <f t="shared" si="210"/>
        <v>-0.98235166084692349</v>
      </c>
      <c r="K1725">
        <f t="shared" si="211"/>
        <v>-0.18704334906991754</v>
      </c>
      <c r="L1725">
        <f>VLOOKUP(D1725,[1]SOI!$A$1:$C$142,3)</f>
        <v>-7.6</v>
      </c>
      <c r="M1725" s="2">
        <f t="shared" si="212"/>
        <v>-1693.5742633000962</v>
      </c>
      <c r="N1725">
        <f t="shared" si="213"/>
        <v>-322.46273379653786</v>
      </c>
      <c r="O1725" t="s">
        <v>8</v>
      </c>
    </row>
    <row r="1726" spans="1:15" x14ac:dyDescent="0.35">
      <c r="A1726">
        <v>2004</v>
      </c>
      <c r="B1726">
        <v>9</v>
      </c>
      <c r="C1726">
        <v>20</v>
      </c>
      <c r="D1726" s="1">
        <f t="shared" si="208"/>
        <v>38250</v>
      </c>
      <c r="E1726">
        <v>0</v>
      </c>
      <c r="F1726">
        <f t="shared" si="214"/>
        <v>0</v>
      </c>
      <c r="G1726">
        <f t="shared" si="209"/>
        <v>0</v>
      </c>
      <c r="H1726">
        <f t="shared" si="215"/>
        <v>0</v>
      </c>
      <c r="I1726">
        <v>1725</v>
      </c>
      <c r="J1726">
        <f t="shared" si="210"/>
        <v>-0.98542375429195173</v>
      </c>
      <c r="K1726">
        <f t="shared" si="211"/>
        <v>-0.17011767832049413</v>
      </c>
      <c r="L1726">
        <f>VLOOKUP(D1726,[1]SOI!$A$1:$C$142,3)</f>
        <v>-7.6</v>
      </c>
      <c r="M1726" s="2">
        <f t="shared" si="212"/>
        <v>-1699.8559761536167</v>
      </c>
      <c r="N1726">
        <f t="shared" si="213"/>
        <v>-293.45299510285236</v>
      </c>
      <c r="O1726" t="s">
        <v>8</v>
      </c>
    </row>
    <row r="1727" spans="1:15" x14ac:dyDescent="0.35">
      <c r="A1727">
        <v>2004</v>
      </c>
      <c r="B1727">
        <v>9</v>
      </c>
      <c r="C1727">
        <v>21</v>
      </c>
      <c r="D1727" s="1">
        <f t="shared" si="208"/>
        <v>38251</v>
      </c>
      <c r="E1727">
        <v>0</v>
      </c>
      <c r="F1727">
        <f t="shared" si="214"/>
        <v>0</v>
      </c>
      <c r="G1727">
        <f t="shared" si="209"/>
        <v>0</v>
      </c>
      <c r="H1727">
        <f t="shared" si="215"/>
        <v>0</v>
      </c>
      <c r="I1727">
        <v>1726</v>
      </c>
      <c r="J1727">
        <f t="shared" si="210"/>
        <v>-0.98820424499414194</v>
      </c>
      <c r="K1727">
        <f t="shared" si="211"/>
        <v>-0.1531416670131219</v>
      </c>
      <c r="L1727">
        <f>VLOOKUP(D1727,[1]SOI!$A$1:$C$142,3)</f>
        <v>-7.6</v>
      </c>
      <c r="M1727" s="2">
        <f t="shared" si="212"/>
        <v>-1705.640526859889</v>
      </c>
      <c r="N1727">
        <f t="shared" si="213"/>
        <v>-264.32251726464841</v>
      </c>
      <c r="O1727" t="s">
        <v>8</v>
      </c>
    </row>
    <row r="1728" spans="1:15" x14ac:dyDescent="0.35">
      <c r="A1728">
        <v>2004</v>
      </c>
      <c r="B1728">
        <v>9</v>
      </c>
      <c r="C1728">
        <v>22</v>
      </c>
      <c r="D1728" s="1">
        <f t="shared" si="208"/>
        <v>38252</v>
      </c>
      <c r="E1728">
        <v>0</v>
      </c>
      <c r="F1728">
        <f t="shared" si="214"/>
        <v>0</v>
      </c>
      <c r="G1728">
        <f t="shared" si="209"/>
        <v>0</v>
      </c>
      <c r="H1728">
        <f t="shared" si="215"/>
        <v>0</v>
      </c>
      <c r="I1728">
        <v>1727</v>
      </c>
      <c r="J1728">
        <f t="shared" si="210"/>
        <v>-0.99069231016156134</v>
      </c>
      <c r="K1728">
        <f t="shared" si="211"/>
        <v>-0.13612033862266448</v>
      </c>
      <c r="L1728">
        <f>VLOOKUP(D1728,[1]SOI!$A$1:$C$142,3)</f>
        <v>-7.6</v>
      </c>
      <c r="M1728" s="2">
        <f t="shared" si="212"/>
        <v>-1710.9256196490164</v>
      </c>
      <c r="N1728">
        <f t="shared" si="213"/>
        <v>-235.07982480134157</v>
      </c>
      <c r="O1728" t="s">
        <v>8</v>
      </c>
    </row>
    <row r="1729" spans="1:15" x14ac:dyDescent="0.35">
      <c r="A1729">
        <v>2004</v>
      </c>
      <c r="B1729">
        <v>9</v>
      </c>
      <c r="C1729">
        <v>23</v>
      </c>
      <c r="D1729" s="1">
        <f t="shared" si="208"/>
        <v>38253</v>
      </c>
      <c r="E1729">
        <v>3.6</v>
      </c>
      <c r="F1729">
        <f t="shared" si="214"/>
        <v>0</v>
      </c>
      <c r="G1729">
        <f t="shared" si="209"/>
        <v>1</v>
      </c>
      <c r="H1729">
        <f t="shared" si="215"/>
        <v>0</v>
      </c>
      <c r="I1729">
        <v>1728</v>
      </c>
      <c r="J1729">
        <f t="shared" si="210"/>
        <v>-0.99288721353569576</v>
      </c>
      <c r="K1729">
        <f t="shared" si="211"/>
        <v>-0.1190587300340535</v>
      </c>
      <c r="L1729">
        <f>VLOOKUP(D1729,[1]SOI!$A$1:$C$142,3)</f>
        <v>-7.6</v>
      </c>
      <c r="M1729" s="2">
        <f t="shared" si="212"/>
        <v>-1715.7091049896824</v>
      </c>
      <c r="N1729">
        <f t="shared" si="213"/>
        <v>-205.73348549884443</v>
      </c>
      <c r="O1729" t="s">
        <v>8</v>
      </c>
    </row>
    <row r="1730" spans="1:15" x14ac:dyDescent="0.35">
      <c r="A1730">
        <v>2004</v>
      </c>
      <c r="B1730">
        <v>9</v>
      </c>
      <c r="C1730">
        <v>24</v>
      </c>
      <c r="D1730" s="1">
        <f t="shared" si="208"/>
        <v>38254</v>
      </c>
      <c r="E1730">
        <v>0</v>
      </c>
      <c r="F1730">
        <f t="shared" si="214"/>
        <v>3.6</v>
      </c>
      <c r="G1730">
        <f t="shared" si="209"/>
        <v>0</v>
      </c>
      <c r="H1730">
        <f t="shared" si="215"/>
        <v>1</v>
      </c>
      <c r="I1730">
        <v>1729</v>
      </c>
      <c r="J1730">
        <f t="shared" si="210"/>
        <v>-0.99478830560932674</v>
      </c>
      <c r="K1730">
        <f t="shared" si="211"/>
        <v>-0.10196189005174762</v>
      </c>
      <c r="L1730">
        <f>VLOOKUP(D1730,[1]SOI!$A$1:$C$142,3)</f>
        <v>-7.6</v>
      </c>
      <c r="M1730" s="2">
        <f t="shared" si="212"/>
        <v>-1719.9889803985259</v>
      </c>
      <c r="N1730">
        <f t="shared" si="213"/>
        <v>-176.29210789947163</v>
      </c>
      <c r="O1730" t="s">
        <v>8</v>
      </c>
    </row>
    <row r="1731" spans="1:15" x14ac:dyDescent="0.35">
      <c r="A1731">
        <v>2004</v>
      </c>
      <c r="B1731">
        <v>9</v>
      </c>
      <c r="C1731">
        <v>25</v>
      </c>
      <c r="D1731" s="1">
        <f t="shared" ref="D1731:D1794" si="216">DATE(A1731,B1731,C1731)</f>
        <v>38255</v>
      </c>
      <c r="E1731">
        <v>0</v>
      </c>
      <c r="F1731">
        <f t="shared" si="214"/>
        <v>0</v>
      </c>
      <c r="G1731">
        <f t="shared" ref="G1731:G1794" si="217">IF(E1731=0,0,1)</f>
        <v>0</v>
      </c>
      <c r="H1731">
        <f t="shared" si="215"/>
        <v>0</v>
      </c>
      <c r="I1731">
        <v>1730</v>
      </c>
      <c r="J1731">
        <f t="shared" ref="J1731:J1794" si="218">SIN(2*PI()*I1731/365.25)</f>
        <v>-0.99639502381872336</v>
      </c>
      <c r="K1731">
        <f t="shared" ref="K1731:K1794" si="219">COS(2*PI()*I1731/365.25)</f>
        <v>-8.4834877905762815E-2</v>
      </c>
      <c r="L1731">
        <f>VLOOKUP(D1731,[1]SOI!$A$1:$C$142,3)</f>
        <v>-7.6</v>
      </c>
      <c r="M1731" s="2">
        <f t="shared" ref="M1731:M1794" si="220">I1731*J1731</f>
        <v>-1723.7633912063914</v>
      </c>
      <c r="N1731">
        <f t="shared" ref="N1731:N1794" si="221">I1731*K1731</f>
        <v>-146.76433877696968</v>
      </c>
      <c r="O1731" t="s">
        <v>8</v>
      </c>
    </row>
    <row r="1732" spans="1:15" x14ac:dyDescent="0.35">
      <c r="A1732">
        <v>2004</v>
      </c>
      <c r="B1732">
        <v>9</v>
      </c>
      <c r="C1732">
        <v>26</v>
      </c>
      <c r="D1732" s="1">
        <f t="shared" si="216"/>
        <v>38256</v>
      </c>
      <c r="E1732">
        <v>0</v>
      </c>
      <c r="F1732">
        <f t="shared" ref="F1732:F1795" si="222">E1731</f>
        <v>0</v>
      </c>
      <c r="G1732">
        <f t="shared" si="217"/>
        <v>0</v>
      </c>
      <c r="H1732">
        <f t="shared" ref="H1732:H1795" si="223">G1731</f>
        <v>0</v>
      </c>
      <c r="I1732">
        <v>1731</v>
      </c>
      <c r="J1732">
        <f t="shared" si="218"/>
        <v>-0.9977068927101167</v>
      </c>
      <c r="K1732">
        <f t="shared" si="219"/>
        <v>-6.7682761754554371E-2</v>
      </c>
      <c r="L1732">
        <f>VLOOKUP(D1732,[1]SOI!$A$1:$C$142,3)</f>
        <v>-7.6</v>
      </c>
      <c r="M1732" s="2">
        <f t="shared" si="220"/>
        <v>-1727.030631281212</v>
      </c>
      <c r="N1732">
        <f t="shared" si="221"/>
        <v>-117.15886059713361</v>
      </c>
      <c r="O1732" t="s">
        <v>8</v>
      </c>
    </row>
    <row r="1733" spans="1:15" x14ac:dyDescent="0.35">
      <c r="A1733">
        <v>2004</v>
      </c>
      <c r="B1733">
        <v>9</v>
      </c>
      <c r="C1733">
        <v>27</v>
      </c>
      <c r="D1733" s="1">
        <f t="shared" si="216"/>
        <v>38257</v>
      </c>
      <c r="E1733">
        <v>0</v>
      </c>
      <c r="F1733">
        <f t="shared" si="222"/>
        <v>0</v>
      </c>
      <c r="G1733">
        <f t="shared" si="217"/>
        <v>0</v>
      </c>
      <c r="H1733">
        <f t="shared" si="223"/>
        <v>0</v>
      </c>
      <c r="I1733">
        <v>1732</v>
      </c>
      <c r="J1733">
        <f t="shared" si="218"/>
        <v>-0.99872352408039733</v>
      </c>
      <c r="K1733">
        <f t="shared" si="219"/>
        <v>-5.05106171852212E-2</v>
      </c>
      <c r="L1733">
        <f>VLOOKUP(D1733,[1]SOI!$A$1:$C$142,3)</f>
        <v>-7.6</v>
      </c>
      <c r="M1733" s="2">
        <f t="shared" si="220"/>
        <v>-1729.7891437072483</v>
      </c>
      <c r="N1733">
        <f t="shared" si="221"/>
        <v>-87.484388964803117</v>
      </c>
      <c r="O1733" t="s">
        <v>8</v>
      </c>
    </row>
    <row r="1734" spans="1:15" x14ac:dyDescent="0.35">
      <c r="A1734">
        <v>2004</v>
      </c>
      <c r="B1734">
        <v>9</v>
      </c>
      <c r="C1734">
        <v>28</v>
      </c>
      <c r="D1734" s="1">
        <f t="shared" si="216"/>
        <v>38258</v>
      </c>
      <c r="E1734">
        <v>0</v>
      </c>
      <c r="F1734">
        <f t="shared" si="222"/>
        <v>0</v>
      </c>
      <c r="G1734">
        <f t="shared" si="217"/>
        <v>0</v>
      </c>
      <c r="H1734">
        <f t="shared" si="223"/>
        <v>0</v>
      </c>
      <c r="I1734">
        <v>1733</v>
      </c>
      <c r="J1734">
        <f t="shared" si="218"/>
        <v>-0.99944461709198573</v>
      </c>
      <c r="K1734">
        <f t="shared" si="219"/>
        <v>-3.3323525711635875E-2</v>
      </c>
      <c r="L1734">
        <f>VLOOKUP(D1734,[1]SOI!$A$1:$C$142,3)</f>
        <v>-7.6</v>
      </c>
      <c r="M1734" s="2">
        <f t="shared" si="220"/>
        <v>-1732.0375214204112</v>
      </c>
      <c r="N1734">
        <f t="shared" si="221"/>
        <v>-57.749670058264968</v>
      </c>
      <c r="O1734" t="s">
        <v>8</v>
      </c>
    </row>
    <row r="1735" spans="1:15" x14ac:dyDescent="0.35">
      <c r="A1735">
        <v>2004</v>
      </c>
      <c r="B1735">
        <v>9</v>
      </c>
      <c r="C1735">
        <v>29</v>
      </c>
      <c r="D1735" s="1">
        <f t="shared" si="216"/>
        <v>38259</v>
      </c>
      <c r="E1735">
        <v>8.1999999999999993</v>
      </c>
      <c r="F1735">
        <f t="shared" si="222"/>
        <v>0</v>
      </c>
      <c r="G1735">
        <f t="shared" si="217"/>
        <v>1</v>
      </c>
      <c r="H1735">
        <f t="shared" si="223"/>
        <v>0</v>
      </c>
      <c r="I1735">
        <v>1734</v>
      </c>
      <c r="J1735">
        <f t="shared" si="218"/>
        <v>-0.99986995836185921</v>
      </c>
      <c r="K1735">
        <f t="shared" si="219"/>
        <v>-1.6126573270657855E-2</v>
      </c>
      <c r="L1735">
        <f>VLOOKUP(D1735,[1]SOI!$A$1:$C$142,3)</f>
        <v>-7.6</v>
      </c>
      <c r="M1735" s="2">
        <f t="shared" si="220"/>
        <v>-1733.7745077994639</v>
      </c>
      <c r="N1735">
        <f t="shared" si="221"/>
        <v>-27.96347805132072</v>
      </c>
      <c r="O1735" t="s">
        <v>8</v>
      </c>
    </row>
    <row r="1736" spans="1:15" x14ac:dyDescent="0.35">
      <c r="A1736">
        <v>2004</v>
      </c>
      <c r="B1736">
        <v>9</v>
      </c>
      <c r="C1736">
        <v>30</v>
      </c>
      <c r="D1736" s="1">
        <f t="shared" si="216"/>
        <v>38260</v>
      </c>
      <c r="E1736">
        <v>0.2</v>
      </c>
      <c r="F1736">
        <f t="shared" si="222"/>
        <v>8.1999999999999993</v>
      </c>
      <c r="G1736">
        <f t="shared" si="217"/>
        <v>1</v>
      </c>
      <c r="H1736">
        <f t="shared" si="223"/>
        <v>1</v>
      </c>
      <c r="I1736">
        <v>1735</v>
      </c>
      <c r="J1736">
        <f t="shared" si="218"/>
        <v>-0.9999994220246925</v>
      </c>
      <c r="K1736">
        <f t="shared" si="219"/>
        <v>1.0751512827990221E-3</v>
      </c>
      <c r="L1736">
        <f>VLOOKUP(D1736,[1]SOI!$A$1:$C$142,3)</f>
        <v>-7.6</v>
      </c>
      <c r="M1736" s="2">
        <f t="shared" si="220"/>
        <v>-1734.9989972128415</v>
      </c>
      <c r="N1736">
        <f t="shared" si="221"/>
        <v>1.8653874756563034</v>
      </c>
      <c r="O1736" t="s">
        <v>8</v>
      </c>
    </row>
    <row r="1737" spans="1:15" x14ac:dyDescent="0.35">
      <c r="A1737">
        <v>2004</v>
      </c>
      <c r="B1737">
        <v>10</v>
      </c>
      <c r="C1737">
        <v>1</v>
      </c>
      <c r="D1737" s="1">
        <f t="shared" si="216"/>
        <v>38261</v>
      </c>
      <c r="E1737">
        <v>0</v>
      </c>
      <c r="F1737">
        <f t="shared" si="222"/>
        <v>0.2</v>
      </c>
      <c r="G1737">
        <f t="shared" si="217"/>
        <v>0</v>
      </c>
      <c r="H1737">
        <f t="shared" si="223"/>
        <v>1</v>
      </c>
      <c r="I1737">
        <v>1736</v>
      </c>
      <c r="J1737">
        <f t="shared" si="218"/>
        <v>-0.99983296977010505</v>
      </c>
      <c r="K1737">
        <f t="shared" si="219"/>
        <v>1.8276557681690245E-2</v>
      </c>
      <c r="L1737">
        <f>VLOOKUP(D1737,[1]SOI!$A$1:$C$142,3)</f>
        <v>-2.8</v>
      </c>
      <c r="M1737" s="2">
        <f t="shared" si="220"/>
        <v>-1735.7100355209025</v>
      </c>
      <c r="N1737">
        <f t="shared" si="221"/>
        <v>31.728104135414267</v>
      </c>
      <c r="O1737" t="s">
        <v>8</v>
      </c>
    </row>
    <row r="1738" spans="1:15" x14ac:dyDescent="0.35">
      <c r="A1738">
        <v>2004</v>
      </c>
      <c r="B1738">
        <v>10</v>
      </c>
      <c r="C1738">
        <v>2</v>
      </c>
      <c r="D1738" s="1">
        <f t="shared" si="216"/>
        <v>38262</v>
      </c>
      <c r="E1738">
        <v>0</v>
      </c>
      <c r="F1738">
        <f t="shared" si="222"/>
        <v>0</v>
      </c>
      <c r="G1738">
        <f t="shared" si="217"/>
        <v>0</v>
      </c>
      <c r="H1738">
        <f t="shared" si="223"/>
        <v>0</v>
      </c>
      <c r="I1738">
        <v>1737</v>
      </c>
      <c r="J1738">
        <f t="shared" si="218"/>
        <v>-0.9993706508539969</v>
      </c>
      <c r="K1738">
        <f t="shared" si="219"/>
        <v>3.5472555753125468E-2</v>
      </c>
      <c r="L1738">
        <f>VLOOKUP(D1738,[1]SOI!$A$1:$C$142,3)</f>
        <v>-2.8</v>
      </c>
      <c r="M1738" s="2">
        <f t="shared" si="220"/>
        <v>-1735.9068205333926</v>
      </c>
      <c r="N1738">
        <f t="shared" si="221"/>
        <v>61.615829343178937</v>
      </c>
      <c r="O1738" t="s">
        <v>8</v>
      </c>
    </row>
    <row r="1739" spans="1:15" x14ac:dyDescent="0.35">
      <c r="A1739">
        <v>2004</v>
      </c>
      <c r="B1739">
        <v>10</v>
      </c>
      <c r="C1739">
        <v>3</v>
      </c>
      <c r="D1739" s="1">
        <f t="shared" si="216"/>
        <v>38263</v>
      </c>
      <c r="E1739">
        <v>0</v>
      </c>
      <c r="F1739">
        <f t="shared" si="222"/>
        <v>0</v>
      </c>
      <c r="G1739">
        <f t="shared" si="217"/>
        <v>0</v>
      </c>
      <c r="H1739">
        <f t="shared" si="223"/>
        <v>0</v>
      </c>
      <c r="I1739">
        <v>1738</v>
      </c>
      <c r="J1739">
        <f t="shared" si="218"/>
        <v>-0.99861260208397329</v>
      </c>
      <c r="K1739">
        <f t="shared" si="219"/>
        <v>5.2658056924614796E-2</v>
      </c>
      <c r="L1739">
        <f>VLOOKUP(D1739,[1]SOI!$A$1:$C$142,3)</f>
        <v>-2.8</v>
      </c>
      <c r="M1739" s="2">
        <f t="shared" si="220"/>
        <v>-1735.5887024219455</v>
      </c>
      <c r="N1739">
        <f t="shared" si="221"/>
        <v>91.519702934980515</v>
      </c>
      <c r="O1739" t="s">
        <v>8</v>
      </c>
    </row>
    <row r="1740" spans="1:15" x14ac:dyDescent="0.35">
      <c r="A1740">
        <v>2004</v>
      </c>
      <c r="B1740">
        <v>10</v>
      </c>
      <c r="C1740">
        <v>4</v>
      </c>
      <c r="D1740" s="1">
        <f t="shared" si="216"/>
        <v>38264</v>
      </c>
      <c r="E1740">
        <v>0.6</v>
      </c>
      <c r="F1740">
        <f t="shared" si="222"/>
        <v>0</v>
      </c>
      <c r="G1740">
        <f t="shared" si="217"/>
        <v>1</v>
      </c>
      <c r="H1740">
        <f t="shared" si="223"/>
        <v>0</v>
      </c>
      <c r="I1740">
        <v>1739</v>
      </c>
      <c r="J1740">
        <f t="shared" si="218"/>
        <v>-0.9975590477788614</v>
      </c>
      <c r="K1740">
        <f t="shared" si="219"/>
        <v>6.9827975729869915E-2</v>
      </c>
      <c r="L1740">
        <f>VLOOKUP(D1740,[1]SOI!$A$1:$C$142,3)</f>
        <v>-2.8</v>
      </c>
      <c r="M1740" s="2">
        <f t="shared" si="220"/>
        <v>-1734.7551840874401</v>
      </c>
      <c r="N1740">
        <f t="shared" si="221"/>
        <v>121.43084979424378</v>
      </c>
      <c r="O1740" t="s">
        <v>8</v>
      </c>
    </row>
    <row r="1741" spans="1:15" x14ac:dyDescent="0.35">
      <c r="A1741">
        <v>2004</v>
      </c>
      <c r="B1741">
        <v>10</v>
      </c>
      <c r="C1741">
        <v>5</v>
      </c>
      <c r="D1741" s="1">
        <f t="shared" si="216"/>
        <v>38265</v>
      </c>
      <c r="E1741">
        <v>0.4</v>
      </c>
      <c r="F1741">
        <f t="shared" si="222"/>
        <v>0.6</v>
      </c>
      <c r="G1741">
        <f t="shared" si="217"/>
        <v>1</v>
      </c>
      <c r="H1741">
        <f t="shared" si="223"/>
        <v>1</v>
      </c>
      <c r="I1741">
        <v>1740</v>
      </c>
      <c r="J1741">
        <f t="shared" si="218"/>
        <v>-0.99621029970232966</v>
      </c>
      <c r="K1741">
        <f t="shared" si="219"/>
        <v>8.697723131368601E-2</v>
      </c>
      <c r="L1741">
        <f>VLOOKUP(D1741,[1]SOI!$A$1:$C$142,3)</f>
        <v>-2.8</v>
      </c>
      <c r="M1741" s="2">
        <f t="shared" si="220"/>
        <v>-1733.4059214820536</v>
      </c>
      <c r="N1741">
        <f t="shared" si="221"/>
        <v>151.34038248581365</v>
      </c>
      <c r="O1741" t="s">
        <v>8</v>
      </c>
    </row>
    <row r="1742" spans="1:15" x14ac:dyDescent="0.35">
      <c r="A1742">
        <v>2004</v>
      </c>
      <c r="B1742">
        <v>10</v>
      </c>
      <c r="C1742">
        <v>6</v>
      </c>
      <c r="D1742" s="1">
        <f t="shared" si="216"/>
        <v>38266</v>
      </c>
      <c r="E1742">
        <v>0.2</v>
      </c>
      <c r="F1742">
        <f t="shared" si="222"/>
        <v>0.4</v>
      </c>
      <c r="G1742">
        <f t="shared" si="217"/>
        <v>1</v>
      </c>
      <c r="H1742">
        <f t="shared" si="223"/>
        <v>1</v>
      </c>
      <c r="I1742">
        <v>1741</v>
      </c>
      <c r="J1742">
        <f t="shared" si="218"/>
        <v>-0.99456675697063346</v>
      </c>
      <c r="K1742">
        <f t="shared" si="219"/>
        <v>0.10410074893542728</v>
      </c>
      <c r="L1742">
        <f>VLOOKUP(D1742,[1]SOI!$A$1:$C$142,3)</f>
        <v>-2.8</v>
      </c>
      <c r="M1742" s="2">
        <f t="shared" si="220"/>
        <v>-1731.5407238858729</v>
      </c>
      <c r="N1742">
        <f t="shared" si="221"/>
        <v>181.23940389657889</v>
      </c>
      <c r="O1742" t="s">
        <v>8</v>
      </c>
    </row>
    <row r="1743" spans="1:15" x14ac:dyDescent="0.35">
      <c r="A1743">
        <v>2004</v>
      </c>
      <c r="B1743">
        <v>10</v>
      </c>
      <c r="C1743">
        <v>7</v>
      </c>
      <c r="D1743" s="1">
        <f t="shared" si="216"/>
        <v>38267</v>
      </c>
      <c r="E1743">
        <v>0</v>
      </c>
      <c r="F1743">
        <f t="shared" si="222"/>
        <v>0.2</v>
      </c>
      <c r="G1743">
        <f t="shared" si="217"/>
        <v>0</v>
      </c>
      <c r="H1743">
        <f t="shared" si="223"/>
        <v>1</v>
      </c>
      <c r="I1743">
        <v>1742</v>
      </c>
      <c r="J1743">
        <f t="shared" si="218"/>
        <v>-0.99262890593450959</v>
      </c>
      <c r="K1743">
        <f t="shared" si="219"/>
        <v>0.12119346147073502</v>
      </c>
      <c r="L1743">
        <f>VLOOKUP(D1743,[1]SOI!$A$1:$C$142,3)</f>
        <v>-2.8</v>
      </c>
      <c r="M1743" s="2">
        <f t="shared" si="220"/>
        <v>-1729.1595541379156</v>
      </c>
      <c r="N1743">
        <f t="shared" si="221"/>
        <v>211.11900988202041</v>
      </c>
      <c r="O1743" t="s">
        <v>8</v>
      </c>
    </row>
    <row r="1744" spans="1:15" x14ac:dyDescent="0.35">
      <c r="A1744">
        <v>2004</v>
      </c>
      <c r="B1744">
        <v>10</v>
      </c>
      <c r="C1744">
        <v>8</v>
      </c>
      <c r="D1744" s="1">
        <f t="shared" si="216"/>
        <v>38268</v>
      </c>
      <c r="E1744">
        <v>3.8</v>
      </c>
      <c r="F1744">
        <f t="shared" si="222"/>
        <v>0</v>
      </c>
      <c r="G1744">
        <f t="shared" si="217"/>
        <v>1</v>
      </c>
      <c r="H1744">
        <f t="shared" si="223"/>
        <v>0</v>
      </c>
      <c r="I1744">
        <v>1743</v>
      </c>
      <c r="J1744">
        <f t="shared" si="218"/>
        <v>-0.99039732003525582</v>
      </c>
      <c r="K1744">
        <f t="shared" si="219"/>
        <v>0.13825031091098181</v>
      </c>
      <c r="L1744">
        <f>VLOOKUP(D1744,[1]SOI!$A$1:$C$142,3)</f>
        <v>-2.8</v>
      </c>
      <c r="M1744" s="2">
        <f t="shared" si="220"/>
        <v>-1726.2625288214508</v>
      </c>
      <c r="N1744">
        <f t="shared" si="221"/>
        <v>240.97029191784128</v>
      </c>
      <c r="O1744" t="s">
        <v>8</v>
      </c>
    </row>
    <row r="1745" spans="1:15" x14ac:dyDescent="0.35">
      <c r="A1745">
        <v>2004</v>
      </c>
      <c r="B1745">
        <v>10</v>
      </c>
      <c r="C1745">
        <v>9</v>
      </c>
      <c r="D1745" s="1">
        <f t="shared" si="216"/>
        <v>38269</v>
      </c>
      <c r="E1745">
        <v>0</v>
      </c>
      <c r="F1745">
        <f t="shared" si="222"/>
        <v>3.8</v>
      </c>
      <c r="G1745">
        <f t="shared" si="217"/>
        <v>0</v>
      </c>
      <c r="H1745">
        <f t="shared" si="223"/>
        <v>1</v>
      </c>
      <c r="I1745">
        <v>1744</v>
      </c>
      <c r="J1745">
        <f t="shared" si="218"/>
        <v>-0.98787265963504334</v>
      </c>
      <c r="K1745">
        <f t="shared" si="219"/>
        <v>0.15526624985999291</v>
      </c>
      <c r="L1745">
        <f>VLOOKUP(D1745,[1]SOI!$A$1:$C$142,3)</f>
        <v>-2.8</v>
      </c>
      <c r="M1745" s="2">
        <f t="shared" si="220"/>
        <v>-1722.8499184035156</v>
      </c>
      <c r="N1745">
        <f t="shared" si="221"/>
        <v>270.7843397558276</v>
      </c>
      <c r="O1745" t="s">
        <v>8</v>
      </c>
    </row>
    <row r="1746" spans="1:15" x14ac:dyDescent="0.35">
      <c r="A1746">
        <v>2004</v>
      </c>
      <c r="B1746">
        <v>10</v>
      </c>
      <c r="C1746">
        <v>10</v>
      </c>
      <c r="D1746" s="1">
        <f t="shared" si="216"/>
        <v>38270</v>
      </c>
      <c r="E1746">
        <v>0</v>
      </c>
      <c r="F1746">
        <f t="shared" si="222"/>
        <v>0</v>
      </c>
      <c r="G1746">
        <f t="shared" si="217"/>
        <v>0</v>
      </c>
      <c r="H1746">
        <f t="shared" si="223"/>
        <v>0</v>
      </c>
      <c r="I1746">
        <v>1745</v>
      </c>
      <c r="J1746">
        <f t="shared" si="218"/>
        <v>-0.98505567182150167</v>
      </c>
      <c r="K1746">
        <f t="shared" si="219"/>
        <v>0.17223624302768017</v>
      </c>
      <c r="L1746">
        <f>VLOOKUP(D1746,[1]SOI!$A$1:$C$142,3)</f>
        <v>-2.8</v>
      </c>
      <c r="M1746" s="2">
        <f t="shared" si="220"/>
        <v>-1718.9221473285204</v>
      </c>
      <c r="N1746">
        <f t="shared" si="221"/>
        <v>300.5522440833019</v>
      </c>
      <c r="O1746" t="s">
        <v>8</v>
      </c>
    </row>
    <row r="1747" spans="1:15" x14ac:dyDescent="0.35">
      <c r="A1747">
        <v>2004</v>
      </c>
      <c r="B1747">
        <v>10</v>
      </c>
      <c r="C1747">
        <v>11</v>
      </c>
      <c r="D1747" s="1">
        <f t="shared" si="216"/>
        <v>38271</v>
      </c>
      <c r="E1747">
        <v>0</v>
      </c>
      <c r="F1747">
        <f t="shared" si="222"/>
        <v>0</v>
      </c>
      <c r="G1747">
        <f t="shared" si="217"/>
        <v>0</v>
      </c>
      <c r="H1747">
        <f t="shared" si="223"/>
        <v>0</v>
      </c>
      <c r="I1747">
        <v>1746</v>
      </c>
      <c r="J1747">
        <f t="shared" si="218"/>
        <v>-0.981947190186646</v>
      </c>
      <c r="K1747">
        <f t="shared" si="219"/>
        <v>0.18915526872004085</v>
      </c>
      <c r="L1747">
        <f>VLOOKUP(D1747,[1]SOI!$A$1:$C$142,3)</f>
        <v>-2.8</v>
      </c>
      <c r="M1747" s="2">
        <f t="shared" si="220"/>
        <v>-1714.4797940658839</v>
      </c>
      <c r="N1747">
        <f t="shared" si="221"/>
        <v>330.26509918519133</v>
      </c>
      <c r="O1747" t="s">
        <v>8</v>
      </c>
    </row>
    <row r="1748" spans="1:15" x14ac:dyDescent="0.35">
      <c r="A1748">
        <v>2004</v>
      </c>
      <c r="B1748">
        <v>10</v>
      </c>
      <c r="C1748">
        <v>12</v>
      </c>
      <c r="D1748" s="1">
        <f t="shared" si="216"/>
        <v>38272</v>
      </c>
      <c r="E1748">
        <v>0</v>
      </c>
      <c r="F1748">
        <f t="shared" si="222"/>
        <v>0</v>
      </c>
      <c r="G1748">
        <f t="shared" si="217"/>
        <v>0</v>
      </c>
      <c r="H1748">
        <f t="shared" si="223"/>
        <v>0</v>
      </c>
      <c r="I1748">
        <v>1747</v>
      </c>
      <c r="J1748">
        <f t="shared" si="218"/>
        <v>-0.97854813458020373</v>
      </c>
      <c r="K1748">
        <f t="shared" si="219"/>
        <v>0.20601832032516815</v>
      </c>
      <c r="L1748">
        <f>VLOOKUP(D1748,[1]SOI!$A$1:$C$142,3)</f>
        <v>-2.8</v>
      </c>
      <c r="M1748" s="2">
        <f t="shared" si="220"/>
        <v>-1709.5235911116158</v>
      </c>
      <c r="N1748">
        <f t="shared" si="221"/>
        <v>359.91400560806875</v>
      </c>
      <c r="O1748" t="s">
        <v>8</v>
      </c>
    </row>
    <row r="1749" spans="1:15" x14ac:dyDescent="0.35">
      <c r="A1749">
        <v>2004</v>
      </c>
      <c r="B1749">
        <v>10</v>
      </c>
      <c r="C1749">
        <v>13</v>
      </c>
      <c r="D1749" s="1">
        <f t="shared" si="216"/>
        <v>38273</v>
      </c>
      <c r="E1749">
        <v>0</v>
      </c>
      <c r="F1749">
        <f t="shared" si="222"/>
        <v>0</v>
      </c>
      <c r="G1749">
        <f t="shared" si="217"/>
        <v>0</v>
      </c>
      <c r="H1749">
        <f t="shared" si="223"/>
        <v>0</v>
      </c>
      <c r="I1749">
        <v>1748</v>
      </c>
      <c r="J1749">
        <f t="shared" si="218"/>
        <v>-0.97485951083741273</v>
      </c>
      <c r="K1749">
        <f t="shared" si="219"/>
        <v>0.22282040779479864</v>
      </c>
      <c r="L1749">
        <f>VLOOKUP(D1749,[1]SOI!$A$1:$C$142,3)</f>
        <v>-2.8</v>
      </c>
      <c r="M1749" s="2">
        <f t="shared" si="220"/>
        <v>-1704.0544249437974</v>
      </c>
      <c r="N1749">
        <f t="shared" si="221"/>
        <v>389.490072825308</v>
      </c>
      <c r="O1749" t="s">
        <v>8</v>
      </c>
    </row>
    <row r="1750" spans="1:15" x14ac:dyDescent="0.35">
      <c r="A1750">
        <v>2004</v>
      </c>
      <c r="B1750">
        <v>10</v>
      </c>
      <c r="C1750">
        <v>14</v>
      </c>
      <c r="D1750" s="1">
        <f t="shared" si="216"/>
        <v>38274</v>
      </c>
      <c r="E1750">
        <v>10.8</v>
      </c>
      <c r="F1750">
        <f t="shared" si="222"/>
        <v>0</v>
      </c>
      <c r="G1750">
        <f t="shared" si="217"/>
        <v>1</v>
      </c>
      <c r="H1750">
        <f t="shared" si="223"/>
        <v>0</v>
      </c>
      <c r="I1750">
        <v>1749</v>
      </c>
      <c r="J1750">
        <f t="shared" si="218"/>
        <v>-0.97088241048138357</v>
      </c>
      <c r="K1750">
        <f t="shared" si="219"/>
        <v>0.23955655912092699</v>
      </c>
      <c r="L1750">
        <f>VLOOKUP(D1750,[1]SOI!$A$1:$C$142,3)</f>
        <v>-2.8</v>
      </c>
      <c r="M1750" s="2">
        <f t="shared" si="220"/>
        <v>-1698.0733359319399</v>
      </c>
      <c r="N1750">
        <f t="shared" si="221"/>
        <v>418.98442190250131</v>
      </c>
      <c r="O1750" t="s">
        <v>8</v>
      </c>
    </row>
    <row r="1751" spans="1:15" x14ac:dyDescent="0.35">
      <c r="A1751">
        <v>2004</v>
      </c>
      <c r="B1751">
        <v>10</v>
      </c>
      <c r="C1751">
        <v>15</v>
      </c>
      <c r="D1751" s="1">
        <f t="shared" si="216"/>
        <v>38275</v>
      </c>
      <c r="E1751">
        <v>0.2</v>
      </c>
      <c r="F1751">
        <f t="shared" si="222"/>
        <v>10.8</v>
      </c>
      <c r="G1751">
        <f t="shared" si="217"/>
        <v>1</v>
      </c>
      <c r="H1751">
        <f t="shared" si="223"/>
        <v>1</v>
      </c>
      <c r="I1751">
        <v>1750</v>
      </c>
      <c r="J1751">
        <f t="shared" si="218"/>
        <v>-0.96661801040009787</v>
      </c>
      <c r="K1751">
        <f t="shared" si="219"/>
        <v>0.25622182180711361</v>
      </c>
      <c r="L1751">
        <f>VLOOKUP(D1751,[1]SOI!$A$1:$C$142,3)</f>
        <v>-2.8</v>
      </c>
      <c r="M1751" s="2">
        <f t="shared" si="220"/>
        <v>-1691.5815182001713</v>
      </c>
      <c r="N1751">
        <f t="shared" si="221"/>
        <v>448.38818816244884</v>
      </c>
      <c r="O1751" t="s">
        <v>8</v>
      </c>
    </row>
    <row r="1752" spans="1:15" x14ac:dyDescent="0.35">
      <c r="A1752">
        <v>2004</v>
      </c>
      <c r="B1752">
        <v>10</v>
      </c>
      <c r="C1752">
        <v>16</v>
      </c>
      <c r="D1752" s="1">
        <f t="shared" si="216"/>
        <v>38276</v>
      </c>
      <c r="E1752">
        <v>1.6</v>
      </c>
      <c r="F1752">
        <f t="shared" si="222"/>
        <v>0.2</v>
      </c>
      <c r="G1752">
        <f t="shared" si="217"/>
        <v>1</v>
      </c>
      <c r="H1752">
        <f t="shared" si="223"/>
        <v>1</v>
      </c>
      <c r="I1752">
        <v>1751</v>
      </c>
      <c r="J1752">
        <f t="shared" si="218"/>
        <v>-0.96206757249814545</v>
      </c>
      <c r="K1752">
        <f t="shared" si="219"/>
        <v>0.2728112643340182</v>
      </c>
      <c r="L1752">
        <f>VLOOKUP(D1752,[1]SOI!$A$1:$C$142,3)</f>
        <v>-2.8</v>
      </c>
      <c r="M1752" s="2">
        <f t="shared" si="220"/>
        <v>-1684.5803194442526</v>
      </c>
      <c r="N1752">
        <f t="shared" si="221"/>
        <v>477.69252384886585</v>
      </c>
      <c r="O1752" t="s">
        <v>8</v>
      </c>
    </row>
    <row r="1753" spans="1:15" x14ac:dyDescent="0.35">
      <c r="A1753">
        <v>2004</v>
      </c>
      <c r="B1753">
        <v>10</v>
      </c>
      <c r="C1753">
        <v>17</v>
      </c>
      <c r="D1753" s="1">
        <f t="shared" si="216"/>
        <v>38277</v>
      </c>
      <c r="E1753">
        <v>0</v>
      </c>
      <c r="F1753">
        <f t="shared" si="222"/>
        <v>1.6</v>
      </c>
      <c r="G1753">
        <f t="shared" si="217"/>
        <v>0</v>
      </c>
      <c r="H1753">
        <f t="shared" si="223"/>
        <v>1</v>
      </c>
      <c r="I1753">
        <v>1752</v>
      </c>
      <c r="J1753">
        <f t="shared" si="218"/>
        <v>-0.95723244332331203</v>
      </c>
      <c r="K1753">
        <f t="shared" si="219"/>
        <v>0.28931997761869516</v>
      </c>
      <c r="L1753">
        <f>VLOOKUP(D1753,[1]SOI!$A$1:$C$142,3)</f>
        <v>-2.8</v>
      </c>
      <c r="M1753" s="2">
        <f t="shared" si="220"/>
        <v>-1677.0712407024428</v>
      </c>
      <c r="N1753">
        <f t="shared" si="221"/>
        <v>506.88860078795392</v>
      </c>
      <c r="O1753" t="s">
        <v>8</v>
      </c>
    </row>
    <row r="1754" spans="1:15" x14ac:dyDescent="0.35">
      <c r="A1754">
        <v>2004</v>
      </c>
      <c r="B1754">
        <v>10</v>
      </c>
      <c r="C1754">
        <v>18</v>
      </c>
      <c r="D1754" s="1">
        <f t="shared" si="216"/>
        <v>38278</v>
      </c>
      <c r="E1754">
        <v>0</v>
      </c>
      <c r="F1754">
        <f t="shared" si="222"/>
        <v>0</v>
      </c>
      <c r="G1754">
        <f t="shared" si="217"/>
        <v>0</v>
      </c>
      <c r="H1754">
        <f t="shared" si="223"/>
        <v>0</v>
      </c>
      <c r="I1754">
        <v>1753</v>
      </c>
      <c r="J1754">
        <f t="shared" si="218"/>
        <v>-0.95211405366811108</v>
      </c>
      <c r="K1754">
        <f t="shared" si="219"/>
        <v>0.30574307646728049</v>
      </c>
      <c r="L1754">
        <f>VLOOKUP(D1754,[1]SOI!$A$1:$C$142,3)</f>
        <v>-2.8</v>
      </c>
      <c r="M1754" s="2">
        <f t="shared" si="220"/>
        <v>-1669.0559360801988</v>
      </c>
      <c r="N1754">
        <f t="shared" si="221"/>
        <v>535.96761304714266</v>
      </c>
      <c r="O1754" t="s">
        <v>8</v>
      </c>
    </row>
    <row r="1755" spans="1:15" x14ac:dyDescent="0.35">
      <c r="A1755">
        <v>2004</v>
      </c>
      <c r="B1755">
        <v>10</v>
      </c>
      <c r="C1755">
        <v>19</v>
      </c>
      <c r="D1755" s="1">
        <f t="shared" si="216"/>
        <v>38279</v>
      </c>
      <c r="E1755">
        <v>0</v>
      </c>
      <c r="F1755">
        <f t="shared" si="222"/>
        <v>0</v>
      </c>
      <c r="G1755">
        <f t="shared" si="217"/>
        <v>0</v>
      </c>
      <c r="H1755">
        <f t="shared" si="223"/>
        <v>0</v>
      </c>
      <c r="I1755">
        <v>1754</v>
      </c>
      <c r="J1755">
        <f t="shared" si="218"/>
        <v>-0.9467139181463865</v>
      </c>
      <c r="K1755">
        <f t="shared" si="219"/>
        <v>0.32207570102060945</v>
      </c>
      <c r="L1755">
        <f>VLOOKUP(D1755,[1]SOI!$A$1:$C$142,3)</f>
        <v>-2.8</v>
      </c>
      <c r="M1755" s="2">
        <f t="shared" si="220"/>
        <v>-1660.5362124287619</v>
      </c>
      <c r="N1755">
        <f t="shared" si="221"/>
        <v>564.92077959014898</v>
      </c>
      <c r="O1755" t="s">
        <v>8</v>
      </c>
    </row>
    <row r="1756" spans="1:15" x14ac:dyDescent="0.35">
      <c r="A1756">
        <v>2004</v>
      </c>
      <c r="B1756">
        <v>10</v>
      </c>
      <c r="C1756">
        <v>20</v>
      </c>
      <c r="D1756" s="1">
        <f t="shared" si="216"/>
        <v>38280</v>
      </c>
      <c r="E1756">
        <v>0</v>
      </c>
      <c r="F1756">
        <f t="shared" si="222"/>
        <v>0</v>
      </c>
      <c r="G1756">
        <f t="shared" si="217"/>
        <v>0</v>
      </c>
      <c r="H1756">
        <f t="shared" si="223"/>
        <v>0</v>
      </c>
      <c r="I1756">
        <v>1755</v>
      </c>
      <c r="J1756">
        <f t="shared" si="218"/>
        <v>-0.94103363474512125</v>
      </c>
      <c r="K1756">
        <f t="shared" si="219"/>
        <v>0.33831301819230331</v>
      </c>
      <c r="L1756">
        <f>VLOOKUP(D1756,[1]SOI!$A$1:$C$142,3)</f>
        <v>-2.8</v>
      </c>
      <c r="M1756" s="2">
        <f t="shared" si="220"/>
        <v>-1651.5140289776878</v>
      </c>
      <c r="N1756">
        <f t="shared" si="221"/>
        <v>593.73934692749231</v>
      </c>
      <c r="O1756" t="s">
        <v>8</v>
      </c>
    </row>
    <row r="1757" spans="1:15" x14ac:dyDescent="0.35">
      <c r="A1757">
        <v>2004</v>
      </c>
      <c r="B1757">
        <v>10</v>
      </c>
      <c r="C1757">
        <v>21</v>
      </c>
      <c r="D1757" s="1">
        <f t="shared" si="216"/>
        <v>38281</v>
      </c>
      <c r="E1757">
        <v>0</v>
      </c>
      <c r="F1757">
        <f t="shared" si="222"/>
        <v>0</v>
      </c>
      <c r="G1757">
        <f t="shared" si="217"/>
        <v>0</v>
      </c>
      <c r="H1757">
        <f t="shared" si="223"/>
        <v>0</v>
      </c>
      <c r="I1757">
        <v>1756</v>
      </c>
      <c r="J1757">
        <f t="shared" si="218"/>
        <v>-0.93507488435155839</v>
      </c>
      <c r="K1757">
        <f t="shared" si="219"/>
        <v>0.35445022309898427</v>
      </c>
      <c r="L1757">
        <f>VLOOKUP(D1757,[1]SOI!$A$1:$C$142,3)</f>
        <v>-2.8</v>
      </c>
      <c r="M1757" s="2">
        <f t="shared" si="220"/>
        <v>-1641.9914969213364</v>
      </c>
      <c r="N1757">
        <f t="shared" si="221"/>
        <v>622.41459176181638</v>
      </c>
      <c r="O1757" t="s">
        <v>8</v>
      </c>
    </row>
    <row r="1758" spans="1:15" x14ac:dyDescent="0.35">
      <c r="A1758">
        <v>2004</v>
      </c>
      <c r="B1758">
        <v>10</v>
      </c>
      <c r="C1758">
        <v>22</v>
      </c>
      <c r="D1758" s="1">
        <f t="shared" si="216"/>
        <v>38282</v>
      </c>
      <c r="E1758">
        <v>0</v>
      </c>
      <c r="F1758">
        <f t="shared" si="222"/>
        <v>0</v>
      </c>
      <c r="G1758">
        <f t="shared" si="217"/>
        <v>0</v>
      </c>
      <c r="H1758">
        <f t="shared" si="223"/>
        <v>0</v>
      </c>
      <c r="I1758">
        <v>1757</v>
      </c>
      <c r="J1758">
        <f t="shared" si="218"/>
        <v>-0.92883943025580618</v>
      </c>
      <c r="K1758">
        <f t="shared" si="219"/>
        <v>0.37048254048209789</v>
      </c>
      <c r="L1758">
        <f>VLOOKUP(D1758,[1]SOI!$A$1:$C$142,3)</f>
        <v>-2.8</v>
      </c>
      <c r="M1758" s="2">
        <f t="shared" si="220"/>
        <v>-1631.9708789594515</v>
      </c>
      <c r="N1758">
        <f t="shared" si="221"/>
        <v>650.93782362704599</v>
      </c>
      <c r="O1758" t="s">
        <v>8</v>
      </c>
    </row>
    <row r="1759" spans="1:15" x14ac:dyDescent="0.35">
      <c r="A1759">
        <v>2004</v>
      </c>
      <c r="B1759">
        <v>10</v>
      </c>
      <c r="C1759">
        <v>23</v>
      </c>
      <c r="D1759" s="1">
        <f t="shared" si="216"/>
        <v>38283</v>
      </c>
      <c r="E1759">
        <v>0</v>
      </c>
      <c r="F1759">
        <f t="shared" si="222"/>
        <v>0</v>
      </c>
      <c r="G1759">
        <f t="shared" si="217"/>
        <v>0</v>
      </c>
      <c r="H1759">
        <f t="shared" si="223"/>
        <v>0</v>
      </c>
      <c r="I1759">
        <v>1758</v>
      </c>
      <c r="J1759">
        <f t="shared" si="218"/>
        <v>-0.92232911762905589</v>
      </c>
      <c r="K1759">
        <f t="shared" si="219"/>
        <v>0.38640522612098194</v>
      </c>
      <c r="L1759">
        <f>VLOOKUP(D1759,[1]SOI!$A$1:$C$142,3)</f>
        <v>-2.8</v>
      </c>
      <c r="M1759" s="2">
        <f t="shared" si="220"/>
        <v>-1621.4545887918803</v>
      </c>
      <c r="N1759">
        <f t="shared" si="221"/>
        <v>679.30038752068629</v>
      </c>
      <c r="O1759" t="s">
        <v>8</v>
      </c>
    </row>
    <row r="1760" spans="1:15" x14ac:dyDescent="0.35">
      <c r="A1760">
        <v>2004</v>
      </c>
      <c r="B1760">
        <v>10</v>
      </c>
      <c r="C1760">
        <v>24</v>
      </c>
      <c r="D1760" s="1">
        <f t="shared" si="216"/>
        <v>38284</v>
      </c>
      <c r="E1760">
        <v>0</v>
      </c>
      <c r="F1760">
        <f t="shared" si="222"/>
        <v>0</v>
      </c>
      <c r="G1760">
        <f t="shared" si="217"/>
        <v>0</v>
      </c>
      <c r="H1760">
        <f t="shared" si="223"/>
        <v>0</v>
      </c>
      <c r="I1760">
        <v>1759</v>
      </c>
      <c r="J1760">
        <f t="shared" si="218"/>
        <v>-0.91554587297754642</v>
      </c>
      <c r="K1760">
        <f t="shared" si="219"/>
        <v>0.40221356823680438</v>
      </c>
      <c r="L1760">
        <f>VLOOKUP(D1760,[1]SOI!$A$1:$C$142,3)</f>
        <v>-2.8</v>
      </c>
      <c r="M1760" s="2">
        <f t="shared" si="220"/>
        <v>-1610.4451905675041</v>
      </c>
      <c r="N1760">
        <f t="shared" si="221"/>
        <v>707.49366652853894</v>
      </c>
      <c r="O1760" t="s">
        <v>8</v>
      </c>
    </row>
    <row r="1761" spans="1:15" x14ac:dyDescent="0.35">
      <c r="A1761">
        <v>2004</v>
      </c>
      <c r="B1761">
        <v>10</v>
      </c>
      <c r="C1761">
        <v>25</v>
      </c>
      <c r="D1761" s="1">
        <f t="shared" si="216"/>
        <v>38285</v>
      </c>
      <c r="E1761">
        <v>0</v>
      </c>
      <c r="F1761">
        <f t="shared" si="222"/>
        <v>0</v>
      </c>
      <c r="G1761">
        <f t="shared" si="217"/>
        <v>0</v>
      </c>
      <c r="H1761">
        <f t="shared" si="223"/>
        <v>0</v>
      </c>
      <c r="I1761">
        <v>1760</v>
      </c>
      <c r="J1761">
        <f t="shared" si="218"/>
        <v>-0.90849170357250741</v>
      </c>
      <c r="K1761">
        <f t="shared" si="219"/>
        <v>0.41790288888678823</v>
      </c>
      <c r="L1761">
        <f>VLOOKUP(D1761,[1]SOI!$A$1:$C$142,3)</f>
        <v>-2.8</v>
      </c>
      <c r="M1761" s="2">
        <f t="shared" si="220"/>
        <v>-1598.945398287613</v>
      </c>
      <c r="N1761">
        <f t="shared" si="221"/>
        <v>735.5090844407473</v>
      </c>
      <c r="O1761" t="s">
        <v>8</v>
      </c>
    </row>
    <row r="1762" spans="1:15" x14ac:dyDescent="0.35">
      <c r="A1762">
        <v>2004</v>
      </c>
      <c r="B1762">
        <v>10</v>
      </c>
      <c r="C1762">
        <v>26</v>
      </c>
      <c r="D1762" s="1">
        <f t="shared" si="216"/>
        <v>38286</v>
      </c>
      <c r="E1762">
        <v>0</v>
      </c>
      <c r="F1762">
        <f t="shared" si="222"/>
        <v>0</v>
      </c>
      <c r="G1762">
        <f t="shared" si="217"/>
        <v>0</v>
      </c>
      <c r="H1762">
        <f t="shared" si="223"/>
        <v>0</v>
      </c>
      <c r="I1762">
        <v>1761</v>
      </c>
      <c r="J1762">
        <f t="shared" si="218"/>
        <v>-0.90116869685615841</v>
      </c>
      <c r="K1762">
        <f t="shared" si="219"/>
        <v>0.43346854534853302</v>
      </c>
      <c r="L1762">
        <f>VLOOKUP(D1762,[1]SOI!$A$1:$C$142,3)</f>
        <v>-2.8</v>
      </c>
      <c r="M1762" s="2">
        <f t="shared" si="220"/>
        <v>-1586.958075163695</v>
      </c>
      <c r="N1762">
        <f t="shared" si="221"/>
        <v>763.33810835876659</v>
      </c>
      <c r="O1762" t="s">
        <v>8</v>
      </c>
    </row>
    <row r="1763" spans="1:15" x14ac:dyDescent="0.35">
      <c r="A1763">
        <v>2004</v>
      </c>
      <c r="B1763">
        <v>10</v>
      </c>
      <c r="C1763">
        <v>27</v>
      </c>
      <c r="D1763" s="1">
        <f t="shared" si="216"/>
        <v>38287</v>
      </c>
      <c r="E1763">
        <v>26</v>
      </c>
      <c r="F1763">
        <f t="shared" si="222"/>
        <v>0</v>
      </c>
      <c r="G1763">
        <f t="shared" si="217"/>
        <v>1</v>
      </c>
      <c r="H1763">
        <f t="shared" si="223"/>
        <v>0</v>
      </c>
      <c r="I1763">
        <v>1762</v>
      </c>
      <c r="J1763">
        <f t="shared" si="218"/>
        <v>-0.8935790198239949</v>
      </c>
      <c r="K1763">
        <f t="shared" si="219"/>
        <v>0.44890593149388053</v>
      </c>
      <c r="L1763">
        <f>VLOOKUP(D1763,[1]SOI!$A$1:$C$142,3)</f>
        <v>-2.8</v>
      </c>
      <c r="M1763" s="2">
        <f t="shared" si="220"/>
        <v>-1574.486232929879</v>
      </c>
      <c r="N1763">
        <f t="shared" si="221"/>
        <v>790.97225129221749</v>
      </c>
      <c r="O1763" t="s">
        <v>8</v>
      </c>
    </row>
    <row r="1764" spans="1:15" x14ac:dyDescent="0.35">
      <c r="A1764">
        <v>2004</v>
      </c>
      <c r="B1764">
        <v>10</v>
      </c>
      <c r="C1764">
        <v>28</v>
      </c>
      <c r="D1764" s="1">
        <f t="shared" si="216"/>
        <v>38288</v>
      </c>
      <c r="E1764">
        <v>21.2</v>
      </c>
      <c r="F1764">
        <f t="shared" si="222"/>
        <v>26</v>
      </c>
      <c r="G1764">
        <f t="shared" si="217"/>
        <v>1</v>
      </c>
      <c r="H1764">
        <f t="shared" si="223"/>
        <v>1</v>
      </c>
      <c r="I1764">
        <v>1763</v>
      </c>
      <c r="J1764">
        <f t="shared" si="218"/>
        <v>-0.88572491838356293</v>
      </c>
      <c r="K1764">
        <f t="shared" si="219"/>
        <v>0.46421047915189378</v>
      </c>
      <c r="L1764">
        <f>VLOOKUP(D1764,[1]SOI!$A$1:$C$142,3)</f>
        <v>-2.8</v>
      </c>
      <c r="M1764" s="2">
        <f t="shared" si="220"/>
        <v>-1561.5330311102214</v>
      </c>
      <c r="N1764">
        <f t="shared" si="221"/>
        <v>818.4030747447888</v>
      </c>
      <c r="O1764" t="s">
        <v>8</v>
      </c>
    </row>
    <row r="1765" spans="1:15" x14ac:dyDescent="0.35">
      <c r="A1765">
        <v>2004</v>
      </c>
      <c r="B1765">
        <v>10</v>
      </c>
      <c r="C1765">
        <v>29</v>
      </c>
      <c r="D1765" s="1">
        <f t="shared" si="216"/>
        <v>38289</v>
      </c>
      <c r="E1765">
        <v>0</v>
      </c>
      <c r="F1765">
        <f t="shared" si="222"/>
        <v>21.2</v>
      </c>
      <c r="G1765">
        <f t="shared" si="217"/>
        <v>0</v>
      </c>
      <c r="H1765">
        <f t="shared" si="223"/>
        <v>1</v>
      </c>
      <c r="I1765">
        <v>1764</v>
      </c>
      <c r="J1765">
        <f t="shared" si="218"/>
        <v>-0.8776087166898392</v>
      </c>
      <c r="K1765">
        <f t="shared" si="219"/>
        <v>0.47937765946069444</v>
      </c>
      <c r="L1765">
        <f>VLOOKUP(D1765,[1]SOI!$A$1:$C$142,3)</f>
        <v>-2.8</v>
      </c>
      <c r="M1765" s="2">
        <f t="shared" si="220"/>
        <v>-1548.1017762408762</v>
      </c>
      <c r="N1765">
        <f t="shared" si="221"/>
        <v>845.62219128866502</v>
      </c>
      <c r="O1765" t="s">
        <v>8</v>
      </c>
    </row>
    <row r="1766" spans="1:15" x14ac:dyDescent="0.35">
      <c r="A1766">
        <v>2004</v>
      </c>
      <c r="B1766">
        <v>10</v>
      </c>
      <c r="C1766">
        <v>30</v>
      </c>
      <c r="D1766" s="1">
        <f t="shared" si="216"/>
        <v>38290</v>
      </c>
      <c r="E1766">
        <v>0</v>
      </c>
      <c r="F1766">
        <f t="shared" si="222"/>
        <v>0</v>
      </c>
      <c r="G1766">
        <f t="shared" si="217"/>
        <v>0</v>
      </c>
      <c r="H1766">
        <f t="shared" si="223"/>
        <v>0</v>
      </c>
      <c r="I1766">
        <v>1765</v>
      </c>
      <c r="J1766">
        <f t="shared" si="218"/>
        <v>-0.86923281645747874</v>
      </c>
      <c r="K1766">
        <f t="shared" si="219"/>
        <v>0.49440298420761886</v>
      </c>
      <c r="L1766">
        <f>VLOOKUP(D1766,[1]SOI!$A$1:$C$142,3)</f>
        <v>-2.8</v>
      </c>
      <c r="M1766" s="2">
        <f t="shared" si="220"/>
        <v>-1534.1959210474499</v>
      </c>
      <c r="N1766">
        <f t="shared" si="221"/>
        <v>872.62126712644726</v>
      </c>
      <c r="O1766" t="s">
        <v>8</v>
      </c>
    </row>
    <row r="1767" spans="1:15" x14ac:dyDescent="0.35">
      <c r="A1767">
        <v>2004</v>
      </c>
      <c r="B1767">
        <v>10</v>
      </c>
      <c r="C1767">
        <v>31</v>
      </c>
      <c r="D1767" s="1">
        <f t="shared" si="216"/>
        <v>38291</v>
      </c>
      <c r="E1767">
        <v>0</v>
      </c>
      <c r="F1767">
        <f t="shared" si="222"/>
        <v>0</v>
      </c>
      <c r="G1767">
        <f t="shared" si="217"/>
        <v>0</v>
      </c>
      <c r="H1767">
        <f t="shared" si="223"/>
        <v>0</v>
      </c>
      <c r="I1767">
        <v>1766</v>
      </c>
      <c r="J1767">
        <f t="shared" si="218"/>
        <v>-0.86059969625011901</v>
      </c>
      <c r="K1767">
        <f t="shared" si="219"/>
        <v>0.50928200715733396</v>
      </c>
      <c r="L1767">
        <f>VLOOKUP(D1767,[1]SOI!$A$1:$C$142,3)</f>
        <v>-2.8</v>
      </c>
      <c r="M1767" s="2">
        <f t="shared" si="220"/>
        <v>-1519.8190635777103</v>
      </c>
      <c r="N1767">
        <f t="shared" si="221"/>
        <v>899.3920246398518</v>
      </c>
      <c r="O1767" t="s">
        <v>8</v>
      </c>
    </row>
    <row r="1768" spans="1:15" x14ac:dyDescent="0.35">
      <c r="A1768">
        <v>2004</v>
      </c>
      <c r="B1768">
        <v>11</v>
      </c>
      <c r="C1768">
        <v>1</v>
      </c>
      <c r="D1768" s="1">
        <f t="shared" si="216"/>
        <v>38292</v>
      </c>
      <c r="E1768">
        <v>0</v>
      </c>
      <c r="F1768">
        <f t="shared" si="222"/>
        <v>0</v>
      </c>
      <c r="G1768">
        <f t="shared" si="217"/>
        <v>0</v>
      </c>
      <c r="H1768">
        <f t="shared" si="223"/>
        <v>0</v>
      </c>
      <c r="I1768">
        <v>1767</v>
      </c>
      <c r="J1768">
        <f t="shared" si="218"/>
        <v>-0.85171191074691943</v>
      </c>
      <c r="K1768">
        <f t="shared" si="219"/>
        <v>0.52401032536757475</v>
      </c>
      <c r="L1768">
        <f>VLOOKUP(D1768,[1]SOI!$A$1:$C$142,3)</f>
        <v>-3.7</v>
      </c>
      <c r="M1768" s="2">
        <f t="shared" si="220"/>
        <v>-1504.9749462898067</v>
      </c>
      <c r="N1768">
        <f t="shared" si="221"/>
        <v>925.92624492450454</v>
      </c>
      <c r="O1768" t="s">
        <v>8</v>
      </c>
    </row>
    <row r="1769" spans="1:15" x14ac:dyDescent="0.35">
      <c r="A1769">
        <v>2004</v>
      </c>
      <c r="B1769">
        <v>11</v>
      </c>
      <c r="C1769">
        <v>2</v>
      </c>
      <c r="D1769" s="1">
        <f t="shared" si="216"/>
        <v>38293</v>
      </c>
      <c r="E1769">
        <v>0</v>
      </c>
      <c r="F1769">
        <f t="shared" si="222"/>
        <v>0</v>
      </c>
      <c r="G1769">
        <f t="shared" si="217"/>
        <v>0</v>
      </c>
      <c r="H1769">
        <f t="shared" si="223"/>
        <v>0</v>
      </c>
      <c r="I1769">
        <v>1768</v>
      </c>
      <c r="J1769">
        <f t="shared" si="218"/>
        <v>-0.84257208998660271</v>
      </c>
      <c r="K1769">
        <f t="shared" si="219"/>
        <v>0.53858358049202382</v>
      </c>
      <c r="L1769">
        <f>VLOOKUP(D1769,[1]SOI!$A$1:$C$142,3)</f>
        <v>-3.7</v>
      </c>
      <c r="M1769" s="2">
        <f t="shared" si="220"/>
        <v>-1489.6674550963137</v>
      </c>
      <c r="N1769">
        <f t="shared" si="221"/>
        <v>952.21577030989806</v>
      </c>
      <c r="O1769" t="s">
        <v>8</v>
      </c>
    </row>
    <row r="1770" spans="1:15" x14ac:dyDescent="0.35">
      <c r="A1770">
        <v>2004</v>
      </c>
      <c r="B1770">
        <v>11</v>
      </c>
      <c r="C1770">
        <v>3</v>
      </c>
      <c r="D1770" s="1">
        <f t="shared" si="216"/>
        <v>38294</v>
      </c>
      <c r="E1770">
        <v>19.600000000000001</v>
      </c>
      <c r="F1770">
        <f t="shared" si="222"/>
        <v>0</v>
      </c>
      <c r="G1770">
        <f t="shared" si="217"/>
        <v>1</v>
      </c>
      <c r="H1770">
        <f t="shared" si="223"/>
        <v>0</v>
      </c>
      <c r="I1770">
        <v>1769</v>
      </c>
      <c r="J1770">
        <f t="shared" si="218"/>
        <v>-0.83318293858917947</v>
      </c>
      <c r="K1770">
        <f t="shared" si="219"/>
        <v>0.55299746007002559</v>
      </c>
      <c r="L1770">
        <f>VLOOKUP(D1770,[1]SOI!$A$1:$C$142,3)</f>
        <v>-3.7</v>
      </c>
      <c r="M1770" s="2">
        <f t="shared" si="220"/>
        <v>-1473.9006183642584</v>
      </c>
      <c r="N1770">
        <f t="shared" si="221"/>
        <v>978.25250686387528</v>
      </c>
      <c r="O1770" t="s">
        <v>8</v>
      </c>
    </row>
    <row r="1771" spans="1:15" x14ac:dyDescent="0.35">
      <c r="A1771">
        <v>2004</v>
      </c>
      <c r="B1771">
        <v>11</v>
      </c>
      <c r="C1771">
        <v>4</v>
      </c>
      <c r="D1771" s="1">
        <f t="shared" si="216"/>
        <v>38295</v>
      </c>
      <c r="E1771">
        <v>0</v>
      </c>
      <c r="F1771">
        <f t="shared" si="222"/>
        <v>19.600000000000001</v>
      </c>
      <c r="G1771">
        <f t="shared" si="217"/>
        <v>0</v>
      </c>
      <c r="H1771">
        <f t="shared" si="223"/>
        <v>1</v>
      </c>
      <c r="I1771">
        <v>1770</v>
      </c>
      <c r="J1771">
        <f t="shared" si="218"/>
        <v>-0.82354723495560123</v>
      </c>
      <c r="K1771">
        <f t="shared" si="219"/>
        <v>0.56724769880272208</v>
      </c>
      <c r="L1771">
        <f>VLOOKUP(D1771,[1]SOI!$A$1:$C$142,3)</f>
        <v>-3.7</v>
      </c>
      <c r="M1771" s="2">
        <f t="shared" si="220"/>
        <v>-1457.6786058714142</v>
      </c>
      <c r="N1771">
        <f t="shared" si="221"/>
        <v>1004.0284268808181</v>
      </c>
      <c r="O1771" t="s">
        <v>8</v>
      </c>
    </row>
    <row r="1772" spans="1:15" x14ac:dyDescent="0.35">
      <c r="A1772">
        <v>2004</v>
      </c>
      <c r="B1772">
        <v>11</v>
      </c>
      <c r="C1772">
        <v>5</v>
      </c>
      <c r="D1772" s="1">
        <f t="shared" si="216"/>
        <v>38296</v>
      </c>
      <c r="E1772">
        <v>25</v>
      </c>
      <c r="F1772">
        <f t="shared" si="222"/>
        <v>0</v>
      </c>
      <c r="G1772">
        <f t="shared" si="217"/>
        <v>1</v>
      </c>
      <c r="H1772">
        <f t="shared" si="223"/>
        <v>0</v>
      </c>
      <c r="I1772">
        <v>1771</v>
      </c>
      <c r="J1772">
        <f t="shared" si="218"/>
        <v>-0.81366783044559865</v>
      </c>
      <c r="K1772">
        <f t="shared" si="219"/>
        <v>0.5813300798152049</v>
      </c>
      <c r="L1772">
        <f>VLOOKUP(D1772,[1]SOI!$A$1:$C$142,3)</f>
        <v>-3.7</v>
      </c>
      <c r="M1772" s="2">
        <f t="shared" si="220"/>
        <v>-1441.0057277191552</v>
      </c>
      <c r="N1772">
        <f t="shared" si="221"/>
        <v>1029.5355713527279</v>
      </c>
      <c r="O1772" t="s">
        <v>8</v>
      </c>
    </row>
    <row r="1773" spans="1:15" x14ac:dyDescent="0.35">
      <c r="A1773">
        <v>2004</v>
      </c>
      <c r="B1773">
        <v>11</v>
      </c>
      <c r="C1773">
        <v>6</v>
      </c>
      <c r="D1773" s="1">
        <f t="shared" si="216"/>
        <v>38297</v>
      </c>
      <c r="E1773">
        <v>9.1999999999999993</v>
      </c>
      <c r="F1773">
        <f t="shared" si="222"/>
        <v>25</v>
      </c>
      <c r="G1773">
        <f t="shared" si="217"/>
        <v>1</v>
      </c>
      <c r="H1773">
        <f t="shared" si="223"/>
        <v>1</v>
      </c>
      <c r="I1773">
        <v>1772</v>
      </c>
      <c r="J1773">
        <f t="shared" si="218"/>
        <v>-0.8035476485339127</v>
      </c>
      <c r="K1773">
        <f t="shared" si="219"/>
        <v>0.59524043590436582</v>
      </c>
      <c r="L1773">
        <f>VLOOKUP(D1773,[1]SOI!$A$1:$C$142,3)</f>
        <v>-3.7</v>
      </c>
      <c r="M1773" s="2">
        <f t="shared" si="220"/>
        <v>-1423.8864332020933</v>
      </c>
      <c r="N1773">
        <f t="shared" si="221"/>
        <v>1054.7660524225362</v>
      </c>
      <c r="O1773" t="s">
        <v>8</v>
      </c>
    </row>
    <row r="1774" spans="1:15" x14ac:dyDescent="0.35">
      <c r="A1774">
        <v>2004</v>
      </c>
      <c r="B1774">
        <v>11</v>
      </c>
      <c r="C1774">
        <v>7</v>
      </c>
      <c r="D1774" s="1">
        <f t="shared" si="216"/>
        <v>38298</v>
      </c>
      <c r="E1774">
        <v>10.4</v>
      </c>
      <c r="F1774">
        <f t="shared" si="222"/>
        <v>9.1999999999999993</v>
      </c>
      <c r="G1774">
        <f t="shared" si="217"/>
        <v>1</v>
      </c>
      <c r="H1774">
        <f t="shared" si="223"/>
        <v>1</v>
      </c>
      <c r="I1774">
        <v>1773</v>
      </c>
      <c r="J1774">
        <f t="shared" si="218"/>
        <v>-0.79318968394518496</v>
      </c>
      <c r="K1774">
        <f t="shared" si="219"/>
        <v>0.60897465077204782</v>
      </c>
      <c r="L1774">
        <f>VLOOKUP(D1774,[1]SOI!$A$1:$C$142,3)</f>
        <v>-3.7</v>
      </c>
      <c r="M1774" s="2">
        <f t="shared" si="220"/>
        <v>-1406.325309634813</v>
      </c>
      <c r="N1774">
        <f t="shared" si="221"/>
        <v>1079.7120558188408</v>
      </c>
      <c r="O1774" t="s">
        <v>8</v>
      </c>
    </row>
    <row r="1775" spans="1:15" x14ac:dyDescent="0.35">
      <c r="A1775">
        <v>2004</v>
      </c>
      <c r="B1775">
        <v>11</v>
      </c>
      <c r="C1775">
        <v>8</v>
      </c>
      <c r="D1775" s="1">
        <f t="shared" si="216"/>
        <v>38299</v>
      </c>
      <c r="E1775">
        <v>16.8</v>
      </c>
      <c r="F1775">
        <f t="shared" si="222"/>
        <v>10.4</v>
      </c>
      <c r="G1775">
        <f t="shared" si="217"/>
        <v>1</v>
      </c>
      <c r="H1775">
        <f t="shared" si="223"/>
        <v>1</v>
      </c>
      <c r="I1775">
        <v>1774</v>
      </c>
      <c r="J1775">
        <f t="shared" si="218"/>
        <v>-0.7825970017677828</v>
      </c>
      <c r="K1775">
        <f t="shared" si="219"/>
        <v>0.62252866024310627</v>
      </c>
      <c r="L1775">
        <f>VLOOKUP(D1775,[1]SOI!$A$1:$C$142,3)</f>
        <v>-3.7</v>
      </c>
      <c r="M1775" s="2">
        <f t="shared" si="220"/>
        <v>-1388.3270811360467</v>
      </c>
      <c r="N1775">
        <f t="shared" si="221"/>
        <v>1104.3658432712705</v>
      </c>
      <c r="O1775" t="s">
        <v>8</v>
      </c>
    </row>
    <row r="1776" spans="1:15" x14ac:dyDescent="0.35">
      <c r="A1776">
        <v>2004</v>
      </c>
      <c r="B1776">
        <v>11</v>
      </c>
      <c r="C1776">
        <v>9</v>
      </c>
      <c r="D1776" s="1">
        <f t="shared" si="216"/>
        <v>38300</v>
      </c>
      <c r="E1776">
        <v>0</v>
      </c>
      <c r="F1776">
        <f t="shared" si="222"/>
        <v>16.8</v>
      </c>
      <c r="G1776">
        <f t="shared" si="217"/>
        <v>0</v>
      </c>
      <c r="H1776">
        <f t="shared" si="223"/>
        <v>1</v>
      </c>
      <c r="I1776">
        <v>1775</v>
      </c>
      <c r="J1776">
        <f t="shared" si="218"/>
        <v>-0.7717727365467848</v>
      </c>
      <c r="K1776">
        <f t="shared" si="219"/>
        <v>0.63589845346807305</v>
      </c>
      <c r="L1776">
        <f>VLOOKUP(D1776,[1]SOI!$A$1:$C$142,3)</f>
        <v>-3.7</v>
      </c>
      <c r="M1776" s="2">
        <f t="shared" si="220"/>
        <v>-1369.8966073705431</v>
      </c>
      <c r="N1776">
        <f t="shared" si="221"/>
        <v>1128.7197549058296</v>
      </c>
      <c r="O1776" t="s">
        <v>8</v>
      </c>
    </row>
    <row r="1777" spans="1:15" x14ac:dyDescent="0.35">
      <c r="A1777">
        <v>2004</v>
      </c>
      <c r="B1777">
        <v>11</v>
      </c>
      <c r="C1777">
        <v>10</v>
      </c>
      <c r="D1777" s="1">
        <f t="shared" si="216"/>
        <v>38301</v>
      </c>
      <c r="E1777">
        <v>0</v>
      </c>
      <c r="F1777">
        <f t="shared" si="222"/>
        <v>0</v>
      </c>
      <c r="G1777">
        <f t="shared" si="217"/>
        <v>0</v>
      </c>
      <c r="H1777">
        <f t="shared" si="223"/>
        <v>0</v>
      </c>
      <c r="I1777">
        <v>1776</v>
      </c>
      <c r="J1777">
        <f t="shared" si="218"/>
        <v>-0.76072009135641105</v>
      </c>
      <c r="K1777">
        <f t="shared" si="219"/>
        <v>0.64908007411003898</v>
      </c>
      <c r="L1777">
        <f>VLOOKUP(D1777,[1]SOI!$A$1:$C$142,3)</f>
        <v>-3.7</v>
      </c>
      <c r="M1777" s="2">
        <f t="shared" si="220"/>
        <v>-1351.0388822489861</v>
      </c>
      <c r="N1777">
        <f t="shared" si="221"/>
        <v>1152.7662116194292</v>
      </c>
      <c r="O1777" t="s">
        <v>8</v>
      </c>
    </row>
    <row r="1778" spans="1:15" x14ac:dyDescent="0.35">
      <c r="A1778">
        <v>2004</v>
      </c>
      <c r="B1778">
        <v>11</v>
      </c>
      <c r="C1778">
        <v>11</v>
      </c>
      <c r="D1778" s="1">
        <f t="shared" si="216"/>
        <v>38302</v>
      </c>
      <c r="E1778">
        <v>0</v>
      </c>
      <c r="F1778">
        <f t="shared" si="222"/>
        <v>0</v>
      </c>
      <c r="G1778">
        <f t="shared" si="217"/>
        <v>0</v>
      </c>
      <c r="H1778">
        <f t="shared" si="223"/>
        <v>0</v>
      </c>
      <c r="I1778">
        <v>1777</v>
      </c>
      <c r="J1778">
        <f t="shared" si="218"/>
        <v>-0.74944233685219774</v>
      </c>
      <c r="K1778">
        <f t="shared" si="219"/>
        <v>0.66206962151537885</v>
      </c>
      <c r="L1778">
        <f>VLOOKUP(D1778,[1]SOI!$A$1:$C$142,3)</f>
        <v>-3.7</v>
      </c>
      <c r="M1778" s="2">
        <f t="shared" si="220"/>
        <v>-1331.7590325863555</v>
      </c>
      <c r="N1778">
        <f t="shared" si="221"/>
        <v>1176.4977174328283</v>
      </c>
      <c r="O1778" t="s">
        <v>8</v>
      </c>
    </row>
    <row r="1779" spans="1:15" x14ac:dyDescent="0.35">
      <c r="A1779">
        <v>2004</v>
      </c>
      <c r="B1779">
        <v>11</v>
      </c>
      <c r="C1779">
        <v>12</v>
      </c>
      <c r="D1779" s="1">
        <f t="shared" si="216"/>
        <v>38303</v>
      </c>
      <c r="E1779">
        <v>10.6</v>
      </c>
      <c r="F1779">
        <f t="shared" si="222"/>
        <v>0</v>
      </c>
      <c r="G1779">
        <f t="shared" si="217"/>
        <v>1</v>
      </c>
      <c r="H1779">
        <f t="shared" si="223"/>
        <v>0</v>
      </c>
      <c r="I1779">
        <v>1778</v>
      </c>
      <c r="J1779">
        <f t="shared" si="218"/>
        <v>-0.7379428103031398</v>
      </c>
      <c r="K1779">
        <f t="shared" si="219"/>
        <v>0.67486325186803897</v>
      </c>
      <c r="L1779">
        <f>VLOOKUP(D1779,[1]SOI!$A$1:$C$142,3)</f>
        <v>-3.7</v>
      </c>
      <c r="M1779" s="2">
        <f t="shared" si="220"/>
        <v>-1312.0623167189826</v>
      </c>
      <c r="N1779">
        <f t="shared" si="221"/>
        <v>1199.9068618213732</v>
      </c>
      <c r="O1779" t="s">
        <v>8</v>
      </c>
    </row>
    <row r="1780" spans="1:15" x14ac:dyDescent="0.35">
      <c r="A1780">
        <v>2004</v>
      </c>
      <c r="B1780">
        <v>11</v>
      </c>
      <c r="C1780">
        <v>13</v>
      </c>
      <c r="D1780" s="1">
        <f t="shared" si="216"/>
        <v>38304</v>
      </c>
      <c r="E1780">
        <v>21.8</v>
      </c>
      <c r="F1780">
        <f t="shared" si="222"/>
        <v>10.6</v>
      </c>
      <c r="G1780">
        <f t="shared" si="217"/>
        <v>1</v>
      </c>
      <c r="H1780">
        <f t="shared" si="223"/>
        <v>1</v>
      </c>
      <c r="I1780">
        <v>1779</v>
      </c>
      <c r="J1780">
        <f t="shared" si="218"/>
        <v>-0.72622491460415495</v>
      </c>
      <c r="K1780">
        <f t="shared" si="219"/>
        <v>0.6874571793269656</v>
      </c>
      <c r="L1780">
        <f>VLOOKUP(D1780,[1]SOI!$A$1:$C$142,3)</f>
        <v>-3.7</v>
      </c>
      <c r="M1780" s="2">
        <f t="shared" si="220"/>
        <v>-1291.9541230807918</v>
      </c>
      <c r="N1780">
        <f t="shared" si="221"/>
        <v>1222.9863220226719</v>
      </c>
      <c r="O1780" t="s">
        <v>8</v>
      </c>
    </row>
    <row r="1781" spans="1:15" x14ac:dyDescent="0.35">
      <c r="A1781">
        <v>2004</v>
      </c>
      <c r="B1781">
        <v>11</v>
      </c>
      <c r="C1781">
        <v>14</v>
      </c>
      <c r="D1781" s="1">
        <f t="shared" si="216"/>
        <v>38305</v>
      </c>
      <c r="E1781">
        <v>9.4</v>
      </c>
      <c r="F1781">
        <f t="shared" si="222"/>
        <v>21.8</v>
      </c>
      <c r="G1781">
        <f t="shared" si="217"/>
        <v>1</v>
      </c>
      <c r="H1781">
        <f t="shared" si="223"/>
        <v>1</v>
      </c>
      <c r="I1781">
        <v>1780</v>
      </c>
      <c r="J1781">
        <f t="shared" si="218"/>
        <v>-0.7142921172691058</v>
      </c>
      <c r="K1781">
        <f t="shared" si="219"/>
        <v>0.69984767714640439</v>
      </c>
      <c r="L1781">
        <f>VLOOKUP(D1781,[1]SOI!$A$1:$C$142,3)</f>
        <v>-3.7</v>
      </c>
      <c r="M1781" s="2">
        <f t="shared" si="220"/>
        <v>-1271.4399687390082</v>
      </c>
      <c r="N1781">
        <f t="shared" si="221"/>
        <v>1245.7288653205999</v>
      </c>
      <c r="O1781" t="s">
        <v>8</v>
      </c>
    </row>
    <row r="1782" spans="1:15" x14ac:dyDescent="0.35">
      <c r="A1782">
        <v>2004</v>
      </c>
      <c r="B1782">
        <v>11</v>
      </c>
      <c r="C1782">
        <v>15</v>
      </c>
      <c r="D1782" s="1">
        <f t="shared" si="216"/>
        <v>38306</v>
      </c>
      <c r="E1782">
        <v>0</v>
      </c>
      <c r="F1782">
        <f t="shared" si="222"/>
        <v>9.4</v>
      </c>
      <c r="G1782">
        <f t="shared" si="217"/>
        <v>0</v>
      </c>
      <c r="H1782">
        <f t="shared" si="223"/>
        <v>1</v>
      </c>
      <c r="I1782">
        <v>1781</v>
      </c>
      <c r="J1782">
        <f t="shared" si="218"/>
        <v>-0.70214794940469916</v>
      </c>
      <c r="K1782">
        <f t="shared" si="219"/>
        <v>0.71203107877871175</v>
      </c>
      <c r="L1782">
        <f>VLOOKUP(D1782,[1]SOI!$A$1:$C$142,3)</f>
        <v>-3.7</v>
      </c>
      <c r="M1782" s="2">
        <f t="shared" si="220"/>
        <v>-1250.5254978897692</v>
      </c>
      <c r="N1782">
        <f t="shared" si="221"/>
        <v>1268.1273513048857</v>
      </c>
      <c r="O1782" t="s">
        <v>8</v>
      </c>
    </row>
    <row r="1783" spans="1:15" x14ac:dyDescent="0.35">
      <c r="A1783">
        <v>2004</v>
      </c>
      <c r="B1783">
        <v>11</v>
      </c>
      <c r="C1783">
        <v>16</v>
      </c>
      <c r="D1783" s="1">
        <f t="shared" si="216"/>
        <v>38307</v>
      </c>
      <c r="E1783">
        <v>0</v>
      </c>
      <c r="F1783">
        <f t="shared" si="222"/>
        <v>0</v>
      </c>
      <c r="G1783">
        <f t="shared" si="217"/>
        <v>0</v>
      </c>
      <c r="H1783">
        <f t="shared" si="223"/>
        <v>0</v>
      </c>
      <c r="I1783">
        <v>1782</v>
      </c>
      <c r="J1783">
        <f t="shared" si="218"/>
        <v>-0.68979600466558944</v>
      </c>
      <c r="K1783">
        <f t="shared" si="219"/>
        <v>0.72400377895932988</v>
      </c>
      <c r="L1783">
        <f>VLOOKUP(D1783,[1]SOI!$A$1:$C$142,3)</f>
        <v>-3.7</v>
      </c>
      <c r="M1783" s="2">
        <f t="shared" si="220"/>
        <v>-1229.2164803140804</v>
      </c>
      <c r="N1783">
        <f t="shared" si="221"/>
        <v>1290.1747341055259</v>
      </c>
      <c r="O1783" t="s">
        <v>8</v>
      </c>
    </row>
    <row r="1784" spans="1:15" x14ac:dyDescent="0.35">
      <c r="A1784">
        <v>2004</v>
      </c>
      <c r="B1784">
        <v>11</v>
      </c>
      <c r="C1784">
        <v>17</v>
      </c>
      <c r="D1784" s="1">
        <f t="shared" si="216"/>
        <v>38308</v>
      </c>
      <c r="E1784">
        <v>0</v>
      </c>
      <c r="F1784">
        <f t="shared" si="222"/>
        <v>0</v>
      </c>
      <c r="G1784">
        <f t="shared" si="217"/>
        <v>0</v>
      </c>
      <c r="H1784">
        <f t="shared" si="223"/>
        <v>0</v>
      </c>
      <c r="I1784">
        <v>1783</v>
      </c>
      <c r="J1784">
        <f t="shared" si="218"/>
        <v>-0.67723993819095107</v>
      </c>
      <c r="K1784">
        <f t="shared" si="219"/>
        <v>0.73576223477365077</v>
      </c>
      <c r="L1784">
        <f>VLOOKUP(D1784,[1]SOI!$A$1:$C$142,3)</f>
        <v>-3.7</v>
      </c>
      <c r="M1784" s="2">
        <f t="shared" si="220"/>
        <v>-1207.5188097944658</v>
      </c>
      <c r="N1784">
        <f t="shared" si="221"/>
        <v>1311.8640646014194</v>
      </c>
      <c r="O1784" t="s">
        <v>8</v>
      </c>
    </row>
    <row r="1785" spans="1:15" x14ac:dyDescent="0.35">
      <c r="A1785">
        <v>2004</v>
      </c>
      <c r="B1785">
        <v>11</v>
      </c>
      <c r="C1785">
        <v>18</v>
      </c>
      <c r="D1785" s="1">
        <f t="shared" si="216"/>
        <v>38309</v>
      </c>
      <c r="E1785">
        <v>0</v>
      </c>
      <c r="F1785">
        <f t="shared" si="222"/>
        <v>0</v>
      </c>
      <c r="G1785">
        <f t="shared" si="217"/>
        <v>0</v>
      </c>
      <c r="H1785">
        <f t="shared" si="223"/>
        <v>0</v>
      </c>
      <c r="I1785">
        <v>1784</v>
      </c>
      <c r="J1785">
        <f t="shared" si="218"/>
        <v>-0.66448346552285653</v>
      </c>
      <c r="K1785">
        <f t="shared" si="219"/>
        <v>0.7473029667054284</v>
      </c>
      <c r="L1785">
        <f>VLOOKUP(D1785,[1]SOI!$A$1:$C$142,3)</f>
        <v>-3.7</v>
      </c>
      <c r="M1785" s="2">
        <f t="shared" si="220"/>
        <v>-1185.438502492776</v>
      </c>
      <c r="N1785">
        <f t="shared" si="221"/>
        <v>1333.1884926024843</v>
      </c>
      <c r="O1785" t="s">
        <v>8</v>
      </c>
    </row>
    <row r="1786" spans="1:15" x14ac:dyDescent="0.35">
      <c r="A1786">
        <v>2004</v>
      </c>
      <c r="B1786">
        <v>11</v>
      </c>
      <c r="C1786">
        <v>19</v>
      </c>
      <c r="D1786" s="1">
        <f t="shared" si="216"/>
        <v>38310</v>
      </c>
      <c r="E1786">
        <v>0.4</v>
      </c>
      <c r="F1786">
        <f t="shared" si="222"/>
        <v>0</v>
      </c>
      <c r="G1786">
        <f t="shared" si="217"/>
        <v>1</v>
      </c>
      <c r="H1786">
        <f t="shared" si="223"/>
        <v>0</v>
      </c>
      <c r="I1786">
        <v>1785</v>
      </c>
      <c r="J1786">
        <f t="shared" si="218"/>
        <v>-0.6515303615068001</v>
      </c>
      <c r="K1786">
        <f t="shared" si="219"/>
        <v>0.75862255966641168</v>
      </c>
      <c r="L1786">
        <f>VLOOKUP(D1786,[1]SOI!$A$1:$C$142,3)</f>
        <v>-3.7</v>
      </c>
      <c r="M1786" s="2">
        <f t="shared" si="220"/>
        <v>-1162.9816952896381</v>
      </c>
      <c r="N1786">
        <f t="shared" si="221"/>
        <v>1354.1412690045449</v>
      </c>
      <c r="O1786" t="s">
        <v>8</v>
      </c>
    </row>
    <row r="1787" spans="1:15" x14ac:dyDescent="0.35">
      <c r="A1787">
        <v>2004</v>
      </c>
      <c r="B1787">
        <v>11</v>
      </c>
      <c r="C1787">
        <v>20</v>
      </c>
      <c r="D1787" s="1">
        <f t="shared" si="216"/>
        <v>38311</v>
      </c>
      <c r="E1787">
        <v>0</v>
      </c>
      <c r="F1787">
        <f t="shared" si="222"/>
        <v>0.4</v>
      </c>
      <c r="G1787">
        <f t="shared" si="217"/>
        <v>0</v>
      </c>
      <c r="H1787">
        <f t="shared" si="223"/>
        <v>1</v>
      </c>
      <c r="I1787">
        <v>1786</v>
      </c>
      <c r="J1787">
        <f t="shared" si="218"/>
        <v>-0.63838445917466635</v>
      </c>
      <c r="K1787">
        <f t="shared" si="219"/>
        <v>0.76971766400691932</v>
      </c>
      <c r="L1787">
        <f>VLOOKUP(D1787,[1]SOI!$A$1:$C$142,3)</f>
        <v>-3.7</v>
      </c>
      <c r="M1787" s="2">
        <f t="shared" si="220"/>
        <v>-1140.154644085954</v>
      </c>
      <c r="N1787">
        <f t="shared" si="221"/>
        <v>1374.7157479163579</v>
      </c>
      <c r="O1787" t="s">
        <v>8</v>
      </c>
    </row>
    <row r="1788" spans="1:15" x14ac:dyDescent="0.35">
      <c r="A1788">
        <v>2004</v>
      </c>
      <c r="B1788">
        <v>11</v>
      </c>
      <c r="C1788">
        <v>21</v>
      </c>
      <c r="D1788" s="1">
        <f t="shared" si="216"/>
        <v>38312</v>
      </c>
      <c r="E1788">
        <v>0</v>
      </c>
      <c r="F1788">
        <f t="shared" si="222"/>
        <v>0</v>
      </c>
      <c r="G1788">
        <f t="shared" si="217"/>
        <v>0</v>
      </c>
      <c r="H1788">
        <f t="shared" si="223"/>
        <v>0</v>
      </c>
      <c r="I1788">
        <v>1787</v>
      </c>
      <c r="J1788">
        <f t="shared" si="218"/>
        <v>-0.62504964861043633</v>
      </c>
      <c r="K1788">
        <f t="shared" si="219"/>
        <v>0.78058499650708768</v>
      </c>
      <c r="L1788">
        <f>VLOOKUP(D1788,[1]SOI!$A$1:$C$142,3)</f>
        <v>-3.7</v>
      </c>
      <c r="M1788" s="2">
        <f t="shared" si="220"/>
        <v>-1116.9637220668496</v>
      </c>
      <c r="N1788">
        <f t="shared" si="221"/>
        <v>1394.9053887581656</v>
      </c>
      <c r="O1788" t="s">
        <v>8</v>
      </c>
    </row>
    <row r="1789" spans="1:15" x14ac:dyDescent="0.35">
      <c r="A1789">
        <v>2004</v>
      </c>
      <c r="B1789">
        <v>11</v>
      </c>
      <c r="C1789">
        <v>22</v>
      </c>
      <c r="D1789" s="1">
        <f t="shared" si="216"/>
        <v>38313</v>
      </c>
      <c r="E1789">
        <v>0.2</v>
      </c>
      <c r="F1789">
        <f t="shared" si="222"/>
        <v>0</v>
      </c>
      <c r="G1789">
        <f t="shared" si="217"/>
        <v>1</v>
      </c>
      <c r="H1789">
        <f t="shared" si="223"/>
        <v>0</v>
      </c>
      <c r="I1789">
        <v>1788</v>
      </c>
      <c r="J1789">
        <f t="shared" si="218"/>
        <v>-0.61152987579910889</v>
      </c>
      <c r="K1789">
        <f t="shared" si="219"/>
        <v>0.79122134134837796</v>
      </c>
      <c r="L1789">
        <f>VLOOKUP(D1789,[1]SOI!$A$1:$C$142,3)</f>
        <v>-3.7</v>
      </c>
      <c r="M1789" s="2">
        <f t="shared" si="220"/>
        <v>-1093.4154179288066</v>
      </c>
      <c r="N1789">
        <f t="shared" si="221"/>
        <v>1414.7037583308997</v>
      </c>
      <c r="O1789" t="s">
        <v>8</v>
      </c>
    </row>
    <row r="1790" spans="1:15" x14ac:dyDescent="0.35">
      <c r="A1790">
        <v>2004</v>
      </c>
      <c r="B1790">
        <v>11</v>
      </c>
      <c r="C1790">
        <v>23</v>
      </c>
      <c r="D1790" s="1">
        <f t="shared" si="216"/>
        <v>38314</v>
      </c>
      <c r="E1790">
        <v>0</v>
      </c>
      <c r="F1790">
        <f t="shared" si="222"/>
        <v>0.2</v>
      </c>
      <c r="G1790">
        <f t="shared" si="217"/>
        <v>0</v>
      </c>
      <c r="H1790">
        <f t="shared" si="223"/>
        <v>1</v>
      </c>
      <c r="I1790">
        <v>1789</v>
      </c>
      <c r="J1790">
        <f t="shared" si="218"/>
        <v>-0.59782914145895449</v>
      </c>
      <c r="K1790">
        <f t="shared" si="219"/>
        <v>0.80162355106524241</v>
      </c>
      <c r="L1790">
        <f>VLOOKUP(D1790,[1]SOI!$A$1:$C$142,3)</f>
        <v>-3.7</v>
      </c>
      <c r="M1790" s="2">
        <f t="shared" si="220"/>
        <v>-1069.5163340700697</v>
      </c>
      <c r="N1790">
        <f t="shared" si="221"/>
        <v>1434.1045328557186</v>
      </c>
      <c r="O1790" t="s">
        <v>8</v>
      </c>
    </row>
    <row r="1791" spans="1:15" x14ac:dyDescent="0.35">
      <c r="A1791">
        <v>2004</v>
      </c>
      <c r="B1791">
        <v>11</v>
      </c>
      <c r="C1791">
        <v>24</v>
      </c>
      <c r="D1791" s="1">
        <f t="shared" si="216"/>
        <v>38315</v>
      </c>
      <c r="E1791">
        <v>0</v>
      </c>
      <c r="F1791">
        <f t="shared" si="222"/>
        <v>0</v>
      </c>
      <c r="G1791">
        <f t="shared" si="217"/>
        <v>0</v>
      </c>
      <c r="H1791">
        <f t="shared" si="223"/>
        <v>0</v>
      </c>
      <c r="I1791">
        <v>1790</v>
      </c>
      <c r="J1791">
        <f t="shared" si="218"/>
        <v>-0.58395149985769912</v>
      </c>
      <c r="K1791">
        <f t="shared" si="219"/>
        <v>0.81178854747646179</v>
      </c>
      <c r="L1791">
        <f>VLOOKUP(D1791,[1]SOI!$A$1:$C$142,3)</f>
        <v>-3.7</v>
      </c>
      <c r="M1791" s="2">
        <f t="shared" si="220"/>
        <v>-1045.2731847452815</v>
      </c>
      <c r="N1791">
        <f t="shared" si="221"/>
        <v>1453.1014999828667</v>
      </c>
      <c r="O1791" t="s">
        <v>8</v>
      </c>
    </row>
    <row r="1792" spans="1:15" x14ac:dyDescent="0.35">
      <c r="A1792">
        <v>2004</v>
      </c>
      <c r="B1792">
        <v>11</v>
      </c>
      <c r="C1792">
        <v>25</v>
      </c>
      <c r="D1792" s="1">
        <f t="shared" si="216"/>
        <v>38316</v>
      </c>
      <c r="E1792">
        <v>0</v>
      </c>
      <c r="F1792">
        <f t="shared" si="222"/>
        <v>0</v>
      </c>
      <c r="G1792">
        <f t="shared" si="217"/>
        <v>0</v>
      </c>
      <c r="H1792">
        <f t="shared" si="223"/>
        <v>0</v>
      </c>
      <c r="I1792">
        <v>1791</v>
      </c>
      <c r="J1792">
        <f t="shared" si="218"/>
        <v>-0.56990105761276255</v>
      </c>
      <c r="K1792">
        <f t="shared" si="219"/>
        <v>0.82171332259605889</v>
      </c>
      <c r="L1792">
        <f>VLOOKUP(D1792,[1]SOI!$A$1:$C$142,3)</f>
        <v>-3.7</v>
      </c>
      <c r="M1792" s="2">
        <f t="shared" si="220"/>
        <v>-1020.6927941844577</v>
      </c>
      <c r="N1792">
        <f t="shared" si="221"/>
        <v>1471.6885607695415</v>
      </c>
      <c r="O1792" t="s">
        <v>8</v>
      </c>
    </row>
    <row r="1793" spans="1:15" x14ac:dyDescent="0.35">
      <c r="A1793">
        <v>2004</v>
      </c>
      <c r="B1793">
        <v>11</v>
      </c>
      <c r="C1793">
        <v>26</v>
      </c>
      <c r="D1793" s="1">
        <f t="shared" si="216"/>
        <v>38317</v>
      </c>
      <c r="E1793">
        <v>0</v>
      </c>
      <c r="F1793">
        <f t="shared" si="222"/>
        <v>0</v>
      </c>
      <c r="G1793">
        <f t="shared" si="217"/>
        <v>0</v>
      </c>
      <c r="H1793">
        <f t="shared" si="223"/>
        <v>0</v>
      </c>
      <c r="I1793">
        <v>1792</v>
      </c>
      <c r="J1793">
        <f t="shared" si="218"/>
        <v>-0.555681972476049</v>
      </c>
      <c r="K1793">
        <f t="shared" si="219"/>
        <v>0.83139493952340571</v>
      </c>
      <c r="L1793">
        <f>VLOOKUP(D1793,[1]SOI!$A$1:$C$142,3)</f>
        <v>-3.7</v>
      </c>
      <c r="M1793" s="2">
        <f t="shared" si="220"/>
        <v>-995.78209467707984</v>
      </c>
      <c r="N1793">
        <f t="shared" si="221"/>
        <v>1489.8597316259429</v>
      </c>
      <c r="O1793" t="s">
        <v>8</v>
      </c>
    </row>
    <row r="1794" spans="1:15" x14ac:dyDescent="0.35">
      <c r="A1794">
        <v>2004</v>
      </c>
      <c r="B1794">
        <v>11</v>
      </c>
      <c r="C1794">
        <v>27</v>
      </c>
      <c r="D1794" s="1">
        <f t="shared" si="216"/>
        <v>38318</v>
      </c>
      <c r="E1794">
        <v>0</v>
      </c>
      <c r="F1794">
        <f t="shared" si="222"/>
        <v>0</v>
      </c>
      <c r="G1794">
        <f t="shared" si="217"/>
        <v>0</v>
      </c>
      <c r="H1794">
        <f t="shared" si="223"/>
        <v>0</v>
      </c>
      <c r="I1794">
        <v>1793</v>
      </c>
      <c r="J1794">
        <f t="shared" si="218"/>
        <v>-0.5412984521036166</v>
      </c>
      <c r="K1794">
        <f t="shared" si="219"/>
        <v>0.84083053331228919</v>
      </c>
      <c r="L1794">
        <f>VLOOKUP(D1794,[1]SOI!$A$1:$C$142,3)</f>
        <v>-3.7</v>
      </c>
      <c r="M1794" s="2">
        <f t="shared" si="220"/>
        <v>-970.54812462178461</v>
      </c>
      <c r="N1794">
        <f t="shared" si="221"/>
        <v>1507.6091462289346</v>
      </c>
      <c r="O1794" t="s">
        <v>8</v>
      </c>
    </row>
    <row r="1795" spans="1:15" x14ac:dyDescent="0.35">
      <c r="A1795">
        <v>2004</v>
      </c>
      <c r="B1795">
        <v>11</v>
      </c>
      <c r="C1795">
        <v>28</v>
      </c>
      <c r="D1795" s="1">
        <f t="shared" ref="D1795:D1858" si="224">DATE(A1795,B1795,C1795)</f>
        <v>38319</v>
      </c>
      <c r="E1795">
        <v>0</v>
      </c>
      <c r="F1795">
        <f t="shared" si="222"/>
        <v>0</v>
      </c>
      <c r="G1795">
        <f t="shared" ref="G1795:G1858" si="225">IF(E1795=0,0,1)</f>
        <v>0</v>
      </c>
      <c r="H1795">
        <f t="shared" si="223"/>
        <v>0</v>
      </c>
      <c r="I1795">
        <v>1794</v>
      </c>
      <c r="J1795">
        <f t="shared" ref="J1795:J1858" si="226">SIN(2*PI()*I1795/365.25)</f>
        <v>-0.52675475281055495</v>
      </c>
      <c r="K1795">
        <f t="shared" ref="K1795:K1858" si="227">COS(2*PI()*I1795/365.25)</f>
        <v>0.85001731181870122</v>
      </c>
      <c r="L1795">
        <f>VLOOKUP(D1795,[1]SOI!$A$1:$C$142,3)</f>
        <v>-3.7</v>
      </c>
      <c r="M1795" s="2">
        <f t="shared" ref="M1795:M1858" si="228">I1795*J1795</f>
        <v>-944.99802654213556</v>
      </c>
      <c r="N1795">
        <f t="shared" ref="N1795:N1858" si="229">I1795*K1795</f>
        <v>1524.93105740275</v>
      </c>
      <c r="O1795" t="s">
        <v>8</v>
      </c>
    </row>
    <row r="1796" spans="1:15" x14ac:dyDescent="0.35">
      <c r="A1796">
        <v>2004</v>
      </c>
      <c r="B1796">
        <v>11</v>
      </c>
      <c r="C1796">
        <v>29</v>
      </c>
      <c r="D1796" s="1">
        <f t="shared" si="224"/>
        <v>38320</v>
      </c>
      <c r="E1796">
        <v>0</v>
      </c>
      <c r="F1796">
        <f t="shared" ref="F1796:F1859" si="230">E1795</f>
        <v>0</v>
      </c>
      <c r="G1796">
        <f t="shared" si="225"/>
        <v>0</v>
      </c>
      <c r="H1796">
        <f t="shared" ref="H1796:H1859" si="231">G1795</f>
        <v>0</v>
      </c>
      <c r="I1796">
        <v>1795</v>
      </c>
      <c r="J1796">
        <f t="shared" si="226"/>
        <v>-0.51205517831146474</v>
      </c>
      <c r="K1796">
        <f t="shared" si="227"/>
        <v>0.85895255652708435</v>
      </c>
      <c r="L1796">
        <f>VLOOKUP(D1796,[1]SOI!$A$1:$C$142,3)</f>
        <v>-3.7</v>
      </c>
      <c r="M1796" s="2">
        <f t="shared" si="228"/>
        <v>-919.1390450690792</v>
      </c>
      <c r="N1796">
        <f t="shared" si="229"/>
        <v>1541.8198389661163</v>
      </c>
      <c r="O1796" t="s">
        <v>8</v>
      </c>
    </row>
    <row r="1797" spans="1:15" x14ac:dyDescent="0.35">
      <c r="A1797">
        <v>2004</v>
      </c>
      <c r="B1797">
        <v>11</v>
      </c>
      <c r="C1797">
        <v>30</v>
      </c>
      <c r="D1797" s="1">
        <f t="shared" si="224"/>
        <v>38321</v>
      </c>
      <c r="E1797">
        <v>0</v>
      </c>
      <c r="F1797">
        <f t="shared" si="230"/>
        <v>0</v>
      </c>
      <c r="G1797">
        <f t="shared" si="225"/>
        <v>0</v>
      </c>
      <c r="H1797">
        <f t="shared" si="231"/>
        <v>0</v>
      </c>
      <c r="I1797">
        <v>1796</v>
      </c>
      <c r="J1797">
        <f t="shared" si="226"/>
        <v>-0.49720407844693637</v>
      </c>
      <c r="K1797">
        <f t="shared" si="227"/>
        <v>0.86763362335477334</v>
      </c>
      <c r="L1797">
        <f>VLOOKUP(D1797,[1]SOI!$A$1:$C$142,3)</f>
        <v>-3.7</v>
      </c>
      <c r="M1797" s="2">
        <f t="shared" si="228"/>
        <v>-892.97852489069771</v>
      </c>
      <c r="N1797">
        <f t="shared" si="229"/>
        <v>1558.2699875451729</v>
      </c>
      <c r="O1797" t="s">
        <v>8</v>
      </c>
    </row>
    <row r="1798" spans="1:15" x14ac:dyDescent="0.35">
      <c r="A1798">
        <v>2004</v>
      </c>
      <c r="B1798">
        <v>12</v>
      </c>
      <c r="C1798">
        <v>1</v>
      </c>
      <c r="D1798" s="1">
        <f t="shared" si="224"/>
        <v>38322</v>
      </c>
      <c r="E1798">
        <v>3.8</v>
      </c>
      <c r="F1798">
        <f t="shared" si="230"/>
        <v>0</v>
      </c>
      <c r="G1798">
        <f t="shared" si="225"/>
        <v>1</v>
      </c>
      <c r="H1798">
        <f t="shared" si="231"/>
        <v>0</v>
      </c>
      <c r="I1798">
        <v>1797</v>
      </c>
      <c r="J1798">
        <f t="shared" si="226"/>
        <v>-0.48220584789635429</v>
      </c>
      <c r="K1798">
        <f t="shared" si="227"/>
        <v>0.87605794343442722</v>
      </c>
      <c r="L1798">
        <f>VLOOKUP(D1798,[1]SOI!$A$1:$C$142,3)</f>
        <v>-9.3000000000000007</v>
      </c>
      <c r="M1798" s="2">
        <f t="shared" si="228"/>
        <v>-866.52390866974861</v>
      </c>
      <c r="N1798">
        <f t="shared" si="229"/>
        <v>1574.2761243516657</v>
      </c>
      <c r="O1798" t="s">
        <v>8</v>
      </c>
    </row>
    <row r="1799" spans="1:15" x14ac:dyDescent="0.35">
      <c r="A1799">
        <v>2004</v>
      </c>
      <c r="B1799">
        <v>12</v>
      </c>
      <c r="C1799">
        <v>2</v>
      </c>
      <c r="D1799" s="1">
        <f t="shared" si="224"/>
        <v>38323</v>
      </c>
      <c r="E1799">
        <v>2.2000000000000002</v>
      </c>
      <c r="F1799">
        <f t="shared" si="230"/>
        <v>3.8</v>
      </c>
      <c r="G1799">
        <f t="shared" si="225"/>
        <v>1</v>
      </c>
      <c r="H1799">
        <f t="shared" si="231"/>
        <v>1</v>
      </c>
      <c r="I1799">
        <v>1798</v>
      </c>
      <c r="J1799">
        <f t="shared" si="226"/>
        <v>-0.46706492487743045</v>
      </c>
      <c r="K1799">
        <f t="shared" si="227"/>
        <v>0.88422302387420348</v>
      </c>
      <c r="L1799">
        <f>VLOOKUP(D1799,[1]SOI!$A$1:$C$142,3)</f>
        <v>-9.3000000000000007</v>
      </c>
      <c r="M1799" s="2">
        <f t="shared" si="228"/>
        <v>-839.78273492962001</v>
      </c>
      <c r="N1799">
        <f t="shared" si="229"/>
        <v>1589.832996925818</v>
      </c>
      <c r="O1799" t="s">
        <v>8</v>
      </c>
    </row>
    <row r="1800" spans="1:15" x14ac:dyDescent="0.35">
      <c r="A1800">
        <v>2004</v>
      </c>
      <c r="B1800">
        <v>12</v>
      </c>
      <c r="C1800">
        <v>3</v>
      </c>
      <c r="D1800" s="1">
        <f t="shared" si="224"/>
        <v>38324</v>
      </c>
      <c r="E1800">
        <v>0</v>
      </c>
      <c r="F1800">
        <f t="shared" si="230"/>
        <v>2.2000000000000002</v>
      </c>
      <c r="G1800">
        <f t="shared" si="225"/>
        <v>0</v>
      </c>
      <c r="H1800">
        <f t="shared" si="231"/>
        <v>1</v>
      </c>
      <c r="I1800">
        <v>1799</v>
      </c>
      <c r="J1800">
        <f t="shared" si="226"/>
        <v>-0.45178578983288642</v>
      </c>
      <c r="K1800">
        <f t="shared" si="227"/>
        <v>0.89212644849543332</v>
      </c>
      <c r="L1800">
        <f>VLOOKUP(D1800,[1]SOI!$A$1:$C$142,3)</f>
        <v>-9.3000000000000007</v>
      </c>
      <c r="M1800" s="2">
        <f t="shared" si="228"/>
        <v>-812.76263590936264</v>
      </c>
      <c r="N1800">
        <f t="shared" si="229"/>
        <v>1604.9354808432845</v>
      </c>
      <c r="O1800" t="s">
        <v>8</v>
      </c>
    </row>
    <row r="1801" spans="1:15" x14ac:dyDescent="0.35">
      <c r="A1801">
        <v>2004</v>
      </c>
      <c r="B1801">
        <v>12</v>
      </c>
      <c r="C1801">
        <v>4</v>
      </c>
      <c r="D1801" s="1">
        <f t="shared" si="224"/>
        <v>38325</v>
      </c>
      <c r="E1801">
        <v>0</v>
      </c>
      <c r="F1801">
        <f t="shared" si="230"/>
        <v>0</v>
      </c>
      <c r="G1801">
        <f t="shared" si="225"/>
        <v>0</v>
      </c>
      <c r="H1801">
        <f t="shared" si="231"/>
        <v>0</v>
      </c>
      <c r="I1801">
        <v>1800</v>
      </c>
      <c r="J1801">
        <f t="shared" si="226"/>
        <v>-0.43637296410459331</v>
      </c>
      <c r="K1801">
        <f t="shared" si="227"/>
        <v>0.89976587854762047</v>
      </c>
      <c r="L1801">
        <f>VLOOKUP(D1801,[1]SOI!$A$1:$C$142,3)</f>
        <v>-9.3000000000000007</v>
      </c>
      <c r="M1801" s="2">
        <f t="shared" si="228"/>
        <v>-785.4713353882679</v>
      </c>
      <c r="N1801">
        <f t="shared" si="229"/>
        <v>1619.5785813857169</v>
      </c>
      <c r="O1801" t="s">
        <v>8</v>
      </c>
    </row>
    <row r="1802" spans="1:15" x14ac:dyDescent="0.35">
      <c r="A1802">
        <v>2004</v>
      </c>
      <c r="B1802">
        <v>12</v>
      </c>
      <c r="C1802">
        <v>5</v>
      </c>
      <c r="D1802" s="1">
        <f t="shared" si="224"/>
        <v>38326</v>
      </c>
      <c r="E1802">
        <v>0</v>
      </c>
      <c r="F1802">
        <f t="shared" si="230"/>
        <v>0</v>
      </c>
      <c r="G1802">
        <f t="shared" si="225"/>
        <v>0</v>
      </c>
      <c r="H1802">
        <f t="shared" si="231"/>
        <v>0</v>
      </c>
      <c r="I1802">
        <v>1801</v>
      </c>
      <c r="J1802">
        <f t="shared" si="226"/>
        <v>-0.4208310085956557</v>
      </c>
      <c r="K1802">
        <f t="shared" si="227"/>
        <v>0.90713905340050438</v>
      </c>
      <c r="L1802">
        <f>VLOOKUP(D1802,[1]SOI!$A$1:$C$142,3)</f>
        <v>-9.3000000000000007</v>
      </c>
      <c r="M1802" s="2">
        <f t="shared" si="228"/>
        <v>-757.91664648077597</v>
      </c>
      <c r="N1802">
        <f t="shared" si="229"/>
        <v>1633.7574351743083</v>
      </c>
      <c r="O1802" t="s">
        <v>8</v>
      </c>
    </row>
    <row r="1803" spans="1:15" x14ac:dyDescent="0.35">
      <c r="A1803">
        <v>2004</v>
      </c>
      <c r="B1803">
        <v>12</v>
      </c>
      <c r="C1803">
        <v>6</v>
      </c>
      <c r="D1803" s="1">
        <f t="shared" si="224"/>
        <v>38327</v>
      </c>
      <c r="E1803">
        <v>0</v>
      </c>
      <c r="F1803">
        <f t="shared" si="230"/>
        <v>0</v>
      </c>
      <c r="G1803">
        <f t="shared" si="225"/>
        <v>0</v>
      </c>
      <c r="H1803">
        <f t="shared" si="231"/>
        <v>0</v>
      </c>
      <c r="I1803">
        <v>1802</v>
      </c>
      <c r="J1803">
        <f t="shared" si="226"/>
        <v>-0.40516452242075801</v>
      </c>
      <c r="K1803">
        <f t="shared" si="227"/>
        <v>0.91424379121302157</v>
      </c>
      <c r="L1803">
        <f>VLOOKUP(D1803,[1]SOI!$A$1:$C$142,3)</f>
        <v>-9.3000000000000007</v>
      </c>
      <c r="M1803" s="2">
        <f t="shared" si="228"/>
        <v>-730.1064694022059</v>
      </c>
      <c r="N1803">
        <f t="shared" si="229"/>
        <v>1647.4673117658649</v>
      </c>
      <c r="O1803" t="s">
        <v>8</v>
      </c>
    </row>
    <row r="1804" spans="1:15" x14ac:dyDescent="0.35">
      <c r="A1804">
        <v>2004</v>
      </c>
      <c r="B1804">
        <v>12</v>
      </c>
      <c r="C1804">
        <v>7</v>
      </c>
      <c r="D1804" s="1">
        <f t="shared" si="224"/>
        <v>38328</v>
      </c>
      <c r="E1804">
        <v>15.4</v>
      </c>
      <c r="F1804">
        <f t="shared" si="230"/>
        <v>0</v>
      </c>
      <c r="G1804">
        <f t="shared" si="225"/>
        <v>1</v>
      </c>
      <c r="H1804">
        <f t="shared" si="231"/>
        <v>0</v>
      </c>
      <c r="I1804">
        <v>1803</v>
      </c>
      <c r="J1804">
        <f t="shared" si="226"/>
        <v>-0.38937814154520239</v>
      </c>
      <c r="K1804">
        <f t="shared" si="227"/>
        <v>0.92107798957895215</v>
      </c>
      <c r="L1804">
        <f>VLOOKUP(D1804,[1]SOI!$A$1:$C$142,3)</f>
        <v>-9.3000000000000007</v>
      </c>
      <c r="M1804" s="2">
        <f t="shared" si="228"/>
        <v>-702.04878920599992</v>
      </c>
      <c r="N1804">
        <f t="shared" si="229"/>
        <v>1660.7036152108508</v>
      </c>
      <c r="O1804" t="s">
        <v>8</v>
      </c>
    </row>
    <row r="1805" spans="1:15" x14ac:dyDescent="0.35">
      <c r="A1805">
        <v>2004</v>
      </c>
      <c r="B1805">
        <v>12</v>
      </c>
      <c r="C1805">
        <v>8</v>
      </c>
      <c r="D1805" s="1">
        <f t="shared" si="224"/>
        <v>38329</v>
      </c>
      <c r="E1805">
        <v>0</v>
      </c>
      <c r="F1805">
        <f t="shared" si="230"/>
        <v>15.4</v>
      </c>
      <c r="G1805">
        <f t="shared" si="225"/>
        <v>0</v>
      </c>
      <c r="H1805">
        <f t="shared" si="231"/>
        <v>1</v>
      </c>
      <c r="I1805">
        <v>1804</v>
      </c>
      <c r="J1805">
        <f t="shared" si="226"/>
        <v>-0.37347653741307163</v>
      </c>
      <c r="K1805">
        <f t="shared" si="227"/>
        <v>0.92763962614904638</v>
      </c>
      <c r="L1805">
        <f>VLOOKUP(D1805,[1]SOI!$A$1:$C$142,3)</f>
        <v>-9.3000000000000007</v>
      </c>
      <c r="M1805" s="2">
        <f t="shared" si="228"/>
        <v>-673.75167349318122</v>
      </c>
      <c r="N1805">
        <f t="shared" si="229"/>
        <v>1673.4618855728797</v>
      </c>
      <c r="O1805" t="s">
        <v>8</v>
      </c>
    </row>
    <row r="1806" spans="1:15" x14ac:dyDescent="0.35">
      <c r="A1806">
        <v>2004</v>
      </c>
      <c r="B1806">
        <v>12</v>
      </c>
      <c r="C1806">
        <v>9</v>
      </c>
      <c r="D1806" s="1">
        <f t="shared" si="224"/>
        <v>38330</v>
      </c>
      <c r="E1806">
        <v>4.5999999999999996</v>
      </c>
      <c r="F1806">
        <f t="shared" si="230"/>
        <v>0</v>
      </c>
      <c r="G1806">
        <f t="shared" si="225"/>
        <v>1</v>
      </c>
      <c r="H1806">
        <f t="shared" si="231"/>
        <v>0</v>
      </c>
      <c r="I1806">
        <v>1805</v>
      </c>
      <c r="J1806">
        <f t="shared" si="226"/>
        <v>-0.35746441556486397</v>
      </c>
      <c r="K1806">
        <f t="shared" si="227"/>
        <v>0.93392675922947521</v>
      </c>
      <c r="L1806">
        <f>VLOOKUP(D1806,[1]SOI!$A$1:$C$142,3)</f>
        <v>-9.3000000000000007</v>
      </c>
      <c r="M1806" s="2">
        <f t="shared" si="228"/>
        <v>-645.22327009457945</v>
      </c>
      <c r="N1806">
        <f t="shared" si="229"/>
        <v>1685.7378004092027</v>
      </c>
      <c r="O1806" t="s">
        <v>8</v>
      </c>
    </row>
    <row r="1807" spans="1:15" x14ac:dyDescent="0.35">
      <c r="A1807">
        <v>2004</v>
      </c>
      <c r="B1807">
        <v>12</v>
      </c>
      <c r="C1807">
        <v>10</v>
      </c>
      <c r="D1807" s="1">
        <f t="shared" si="224"/>
        <v>38331</v>
      </c>
      <c r="E1807">
        <v>2.8</v>
      </c>
      <c r="F1807">
        <f t="shared" si="230"/>
        <v>4.5999999999999996</v>
      </c>
      <c r="G1807">
        <f t="shared" si="225"/>
        <v>1</v>
      </c>
      <c r="H1807">
        <f t="shared" si="231"/>
        <v>1</v>
      </c>
      <c r="I1807">
        <v>1806</v>
      </c>
      <c r="J1807">
        <f t="shared" si="226"/>
        <v>-0.34134651424503792</v>
      </c>
      <c r="K1807">
        <f t="shared" si="227"/>
        <v>0.93993752835641275</v>
      </c>
      <c r="L1807">
        <f>VLOOKUP(D1807,[1]SOI!$A$1:$C$142,3)</f>
        <v>-9.3000000000000007</v>
      </c>
      <c r="M1807" s="2">
        <f t="shared" si="228"/>
        <v>-616.47180472653849</v>
      </c>
      <c r="N1807">
        <f t="shared" si="229"/>
        <v>1697.5271762116815</v>
      </c>
      <c r="O1807" t="s">
        <v>8</v>
      </c>
    </row>
    <row r="1808" spans="1:15" x14ac:dyDescent="0.35">
      <c r="A1808">
        <v>2004</v>
      </c>
      <c r="B1808">
        <v>12</v>
      </c>
      <c r="C1808">
        <v>11</v>
      </c>
      <c r="D1808" s="1">
        <f t="shared" si="224"/>
        <v>38332</v>
      </c>
      <c r="E1808">
        <v>3.8</v>
      </c>
      <c r="F1808">
        <f t="shared" si="230"/>
        <v>2.8</v>
      </c>
      <c r="G1808">
        <f t="shared" si="225"/>
        <v>1</v>
      </c>
      <c r="H1808">
        <f t="shared" si="231"/>
        <v>1</v>
      </c>
      <c r="I1808">
        <v>1807</v>
      </c>
      <c r="J1808">
        <f t="shared" si="226"/>
        <v>-0.32512760299990939</v>
      </c>
      <c r="K1808">
        <f t="shared" si="227"/>
        <v>0.9456701548465688</v>
      </c>
      <c r="L1808">
        <f>VLOOKUP(D1808,[1]SOI!$A$1:$C$142,3)</f>
        <v>-9.3000000000000007</v>
      </c>
      <c r="M1808" s="2">
        <f t="shared" si="228"/>
        <v>-587.50557862083622</v>
      </c>
      <c r="N1808">
        <f t="shared" si="229"/>
        <v>1708.8259698077497</v>
      </c>
      <c r="O1808" t="s">
        <v>8</v>
      </c>
    </row>
    <row r="1809" spans="1:15" x14ac:dyDescent="0.35">
      <c r="A1809">
        <v>2004</v>
      </c>
      <c r="B1809">
        <v>12</v>
      </c>
      <c r="C1809">
        <v>12</v>
      </c>
      <c r="D1809" s="1">
        <f t="shared" si="224"/>
        <v>38333</v>
      </c>
      <c r="E1809">
        <v>0.2</v>
      </c>
      <c r="F1809">
        <f t="shared" si="230"/>
        <v>3.8</v>
      </c>
      <c r="G1809">
        <f t="shared" si="225"/>
        <v>1</v>
      </c>
      <c r="H1809">
        <f t="shared" si="231"/>
        <v>1</v>
      </c>
      <c r="I1809">
        <v>1808</v>
      </c>
      <c r="J1809">
        <f t="shared" si="226"/>
        <v>-0.30881248126625638</v>
      </c>
      <c r="K1809">
        <f t="shared" si="227"/>
        <v>0.95112294232353478</v>
      </c>
      <c r="L1809">
        <f>VLOOKUP(D1809,[1]SOI!$A$1:$C$142,3)</f>
        <v>-9.3000000000000007</v>
      </c>
      <c r="M1809" s="2">
        <f t="shared" si="228"/>
        <v>-558.33296612939148</v>
      </c>
      <c r="N1809">
        <f t="shared" si="229"/>
        <v>1719.630279720951</v>
      </c>
      <c r="O1809" t="s">
        <v>8</v>
      </c>
    </row>
    <row r="1810" spans="1:15" x14ac:dyDescent="0.35">
      <c r="A1810">
        <v>2004</v>
      </c>
      <c r="B1810">
        <v>12</v>
      </c>
      <c r="C1810">
        <v>13</v>
      </c>
      <c r="D1810" s="1">
        <f t="shared" si="224"/>
        <v>38334</v>
      </c>
      <c r="E1810">
        <v>2.6</v>
      </c>
      <c r="F1810">
        <f t="shared" si="230"/>
        <v>0.2</v>
      </c>
      <c r="G1810">
        <f t="shared" si="225"/>
        <v>1</v>
      </c>
      <c r="H1810">
        <f t="shared" si="231"/>
        <v>1</v>
      </c>
      <c r="I1810">
        <v>1809</v>
      </c>
      <c r="J1810">
        <f t="shared" si="226"/>
        <v>-0.29240597695107828</v>
      </c>
      <c r="K1810">
        <f t="shared" si="227"/>
        <v>0.95629427721977167</v>
      </c>
      <c r="L1810">
        <f>VLOOKUP(D1810,[1]SOI!$A$1:$C$142,3)</f>
        <v>-9.3000000000000007</v>
      </c>
      <c r="M1810" s="2">
        <f t="shared" si="228"/>
        <v>-528.96241230450062</v>
      </c>
      <c r="N1810">
        <f t="shared" si="229"/>
        <v>1729.936347490567</v>
      </c>
      <c r="O1810" t="s">
        <v>8</v>
      </c>
    </row>
    <row r="1811" spans="1:15" x14ac:dyDescent="0.35">
      <c r="A1811">
        <v>2004</v>
      </c>
      <c r="B1811">
        <v>12</v>
      </c>
      <c r="C1811">
        <v>14</v>
      </c>
      <c r="D1811" s="1">
        <f t="shared" si="224"/>
        <v>38335</v>
      </c>
      <c r="E1811">
        <v>1.2</v>
      </c>
      <c r="F1811">
        <f t="shared" si="230"/>
        <v>2.6</v>
      </c>
      <c r="G1811">
        <f t="shared" si="225"/>
        <v>1</v>
      </c>
      <c r="H1811">
        <f t="shared" si="231"/>
        <v>1</v>
      </c>
      <c r="I1811">
        <v>1810</v>
      </c>
      <c r="J1811">
        <f t="shared" si="226"/>
        <v>-0.27591294500296393</v>
      </c>
      <c r="K1811">
        <f t="shared" si="227"/>
        <v>0.96118262925408271</v>
      </c>
      <c r="L1811">
        <f>VLOOKUP(D1811,[1]SOI!$A$1:$C$142,3)</f>
        <v>-9.3000000000000007</v>
      </c>
      <c r="M1811" s="2">
        <f t="shared" si="228"/>
        <v>-499.40243045536471</v>
      </c>
      <c r="N1811">
        <f t="shared" si="229"/>
        <v>1739.7405589498896</v>
      </c>
      <c r="O1811" t="s">
        <v>8</v>
      </c>
    </row>
    <row r="1812" spans="1:15" x14ac:dyDescent="0.35">
      <c r="A1812">
        <v>2004</v>
      </c>
      <c r="B1812">
        <v>12</v>
      </c>
      <c r="C1812">
        <v>15</v>
      </c>
      <c r="D1812" s="1">
        <f t="shared" si="224"/>
        <v>38336</v>
      </c>
      <c r="E1812">
        <v>1.8</v>
      </c>
      <c r="F1812">
        <f t="shared" si="230"/>
        <v>1.2</v>
      </c>
      <c r="G1812">
        <f t="shared" si="225"/>
        <v>1</v>
      </c>
      <c r="H1812">
        <f t="shared" si="231"/>
        <v>1</v>
      </c>
      <c r="I1812">
        <v>1811</v>
      </c>
      <c r="J1812">
        <f t="shared" si="226"/>
        <v>-0.25933826597540738</v>
      </c>
      <c r="K1812">
        <f t="shared" si="227"/>
        <v>0.96578655188445695</v>
      </c>
      <c r="L1812">
        <f>VLOOKUP(D1812,[1]SOI!$A$1:$C$142,3)</f>
        <v>-9.3000000000000007</v>
      </c>
      <c r="M1812" s="2">
        <f t="shared" si="228"/>
        <v>-469.66159968146275</v>
      </c>
      <c r="N1812">
        <f t="shared" si="229"/>
        <v>1749.0394454627515</v>
      </c>
      <c r="O1812" t="s">
        <v>8</v>
      </c>
    </row>
    <row r="1813" spans="1:15" x14ac:dyDescent="0.35">
      <c r="A1813">
        <v>2004</v>
      </c>
      <c r="B1813">
        <v>12</v>
      </c>
      <c r="C1813">
        <v>16</v>
      </c>
      <c r="D1813" s="1">
        <f t="shared" si="224"/>
        <v>38337</v>
      </c>
      <c r="E1813">
        <v>0</v>
      </c>
      <c r="F1813">
        <f t="shared" si="230"/>
        <v>1.8</v>
      </c>
      <c r="G1813">
        <f t="shared" si="225"/>
        <v>0</v>
      </c>
      <c r="H1813">
        <f t="shared" si="231"/>
        <v>1</v>
      </c>
      <c r="I1813">
        <v>1812</v>
      </c>
      <c r="J1813">
        <f t="shared" si="226"/>
        <v>-0.24268684458259376</v>
      </c>
      <c r="K1813">
        <f t="shared" si="227"/>
        <v>0.97010468273611794</v>
      </c>
      <c r="L1813">
        <f>VLOOKUP(D1813,[1]SOI!$A$1:$C$142,3)</f>
        <v>-9.3000000000000007</v>
      </c>
      <c r="M1813" s="2">
        <f t="shared" si="228"/>
        <v>-439.74856238365987</v>
      </c>
      <c r="N1813">
        <f t="shared" si="229"/>
        <v>1757.8296851178457</v>
      </c>
      <c r="O1813" t="s">
        <v>8</v>
      </c>
    </row>
    <row r="1814" spans="1:15" x14ac:dyDescent="0.35">
      <c r="A1814">
        <v>2004</v>
      </c>
      <c r="B1814">
        <v>12</v>
      </c>
      <c r="C1814">
        <v>17</v>
      </c>
      <c r="D1814" s="1">
        <f t="shared" si="224"/>
        <v>38338</v>
      </c>
      <c r="E1814">
        <v>0</v>
      </c>
      <c r="F1814">
        <f t="shared" si="230"/>
        <v>0</v>
      </c>
      <c r="G1814">
        <f t="shared" si="225"/>
        <v>0</v>
      </c>
      <c r="H1814">
        <f t="shared" si="231"/>
        <v>0</v>
      </c>
      <c r="I1814">
        <v>1813</v>
      </c>
      <c r="J1814">
        <f t="shared" si="226"/>
        <v>-0.22596360824802261</v>
      </c>
      <c r="K1814">
        <f t="shared" si="227"/>
        <v>0.97413574400467118</v>
      </c>
      <c r="L1814">
        <f>VLOOKUP(D1814,[1]SOI!$A$1:$C$142,3)</f>
        <v>-9.3000000000000007</v>
      </c>
      <c r="M1814" s="2">
        <f t="shared" si="228"/>
        <v>-409.67202175366498</v>
      </c>
      <c r="N1814">
        <f t="shared" si="229"/>
        <v>1766.1081038804689</v>
      </c>
      <c r="O1814" t="s">
        <v>8</v>
      </c>
    </row>
    <row r="1815" spans="1:15" x14ac:dyDescent="0.35">
      <c r="A1815">
        <v>2004</v>
      </c>
      <c r="B1815">
        <v>12</v>
      </c>
      <c r="C1815">
        <v>18</v>
      </c>
      <c r="D1815" s="1">
        <f t="shared" si="224"/>
        <v>38339</v>
      </c>
      <c r="E1815">
        <v>0</v>
      </c>
      <c r="F1815">
        <f t="shared" si="230"/>
        <v>0</v>
      </c>
      <c r="G1815">
        <f t="shared" si="225"/>
        <v>0</v>
      </c>
      <c r="H1815">
        <f t="shared" si="231"/>
        <v>0</v>
      </c>
      <c r="I1815">
        <v>1814</v>
      </c>
      <c r="J1815">
        <f t="shared" si="226"/>
        <v>-0.20917350564635909</v>
      </c>
      <c r="K1815">
        <f t="shared" si="227"/>
        <v>0.97787854283423792</v>
      </c>
      <c r="L1815">
        <f>VLOOKUP(D1815,[1]SOI!$A$1:$C$142,3)</f>
        <v>-9.3000000000000007</v>
      </c>
      <c r="M1815" s="2">
        <f t="shared" si="228"/>
        <v>-379.4407392424954</v>
      </c>
      <c r="N1815">
        <f t="shared" si="229"/>
        <v>1773.8716767013075</v>
      </c>
      <c r="O1815" t="s">
        <v>8</v>
      </c>
    </row>
    <row r="1816" spans="1:15" x14ac:dyDescent="0.35">
      <c r="A1816">
        <v>2004</v>
      </c>
      <c r="B1816">
        <v>12</v>
      </c>
      <c r="C1816">
        <v>19</v>
      </c>
      <c r="D1816" s="1">
        <f t="shared" si="224"/>
        <v>38340</v>
      </c>
      <c r="E1816">
        <v>0</v>
      </c>
      <c r="F1816">
        <f t="shared" si="230"/>
        <v>0</v>
      </c>
      <c r="G1816">
        <f t="shared" si="225"/>
        <v>0</v>
      </c>
      <c r="H1816">
        <f t="shared" si="231"/>
        <v>0</v>
      </c>
      <c r="I1816">
        <v>1815</v>
      </c>
      <c r="J1816">
        <f t="shared" si="226"/>
        <v>-0.19232150523909319</v>
      </c>
      <c r="K1816">
        <f t="shared" si="227"/>
        <v>0.98133197167042785</v>
      </c>
      <c r="L1816">
        <f>VLOOKUP(D1816,[1]SOI!$A$1:$C$142,3)</f>
        <v>-9.3000000000000007</v>
      </c>
      <c r="M1816" s="2">
        <f t="shared" si="228"/>
        <v>-349.06353200895416</v>
      </c>
      <c r="N1816">
        <f t="shared" si="229"/>
        <v>1781.1175285818265</v>
      </c>
      <c r="O1816" t="s">
        <v>8</v>
      </c>
    </row>
    <row r="1817" spans="1:15" x14ac:dyDescent="0.35">
      <c r="A1817">
        <v>2004</v>
      </c>
      <c r="B1817">
        <v>12</v>
      </c>
      <c r="C1817">
        <v>20</v>
      </c>
      <c r="D1817" s="1">
        <f t="shared" si="224"/>
        <v>38341</v>
      </c>
      <c r="E1817">
        <v>0</v>
      </c>
      <c r="F1817">
        <f t="shared" si="230"/>
        <v>0</v>
      </c>
      <c r="G1817">
        <f t="shared" si="225"/>
        <v>0</v>
      </c>
      <c r="H1817">
        <f t="shared" si="231"/>
        <v>0</v>
      </c>
      <c r="I1817">
        <v>1816</v>
      </c>
      <c r="J1817">
        <f t="shared" si="226"/>
        <v>-0.17541259380428204</v>
      </c>
      <c r="K1817">
        <f t="shared" si="227"/>
        <v>0.98449500858808525</v>
      </c>
      <c r="L1817">
        <f>VLOOKUP(D1817,[1]SOI!$A$1:$C$142,3)</f>
        <v>-9.3000000000000007</v>
      </c>
      <c r="M1817" s="2">
        <f t="shared" si="228"/>
        <v>-318.54927034857616</v>
      </c>
      <c r="N1817">
        <f t="shared" si="229"/>
        <v>1787.8429355959629</v>
      </c>
      <c r="O1817" t="s">
        <v>8</v>
      </c>
    </row>
    <row r="1818" spans="1:15" x14ac:dyDescent="0.35">
      <c r="A1818">
        <v>2004</v>
      </c>
      <c r="B1818">
        <v>12</v>
      </c>
      <c r="C1818">
        <v>21</v>
      </c>
      <c r="D1818" s="1">
        <f t="shared" si="224"/>
        <v>38342</v>
      </c>
      <c r="E1818">
        <v>0</v>
      </c>
      <c r="F1818">
        <f t="shared" si="230"/>
        <v>0</v>
      </c>
      <c r="G1818">
        <f t="shared" si="225"/>
        <v>0</v>
      </c>
      <c r="H1818">
        <f t="shared" si="231"/>
        <v>0</v>
      </c>
      <c r="I1818">
        <v>1817</v>
      </c>
      <c r="J1818">
        <f t="shared" si="226"/>
        <v>-0.15845177496083643</v>
      </c>
      <c r="K1818">
        <f t="shared" si="227"/>
        <v>0.98736671759370154</v>
      </c>
      <c r="L1818">
        <f>VLOOKUP(D1818,[1]SOI!$A$1:$C$142,3)</f>
        <v>-9.3000000000000007</v>
      </c>
      <c r="M1818" s="2">
        <f t="shared" si="228"/>
        <v>-287.90687510383981</v>
      </c>
      <c r="N1818">
        <f t="shared" si="229"/>
        <v>1794.0453258677558</v>
      </c>
      <c r="O1818" t="s">
        <v>8</v>
      </c>
    </row>
    <row r="1819" spans="1:15" x14ac:dyDescent="0.35">
      <c r="A1819">
        <v>2004</v>
      </c>
      <c r="B1819">
        <v>12</v>
      </c>
      <c r="C1819">
        <v>22</v>
      </c>
      <c r="D1819" s="1">
        <f t="shared" si="224"/>
        <v>38343</v>
      </c>
      <c r="E1819">
        <v>0</v>
      </c>
      <c r="F1819">
        <f t="shared" si="230"/>
        <v>0</v>
      </c>
      <c r="G1819">
        <f t="shared" si="225"/>
        <v>0</v>
      </c>
      <c r="H1819">
        <f t="shared" si="231"/>
        <v>0</v>
      </c>
      <c r="I1819">
        <v>1818</v>
      </c>
      <c r="J1819">
        <f t="shared" si="226"/>
        <v>-0.14144406768793946</v>
      </c>
      <c r="K1819">
        <f t="shared" si="227"/>
        <v>0.98994624890237837</v>
      </c>
      <c r="L1819">
        <f>VLOOKUP(D1819,[1]SOI!$A$1:$C$142,3)</f>
        <v>-9.3000000000000007</v>
      </c>
      <c r="M1819" s="2">
        <f t="shared" si="228"/>
        <v>-257.14531505667395</v>
      </c>
      <c r="N1819">
        <f t="shared" si="229"/>
        <v>1799.722280504524</v>
      </c>
      <c r="O1819" t="s">
        <v>8</v>
      </c>
    </row>
    <row r="1820" spans="1:15" x14ac:dyDescent="0.35">
      <c r="A1820">
        <v>2004</v>
      </c>
      <c r="B1820">
        <v>12</v>
      </c>
      <c r="C1820">
        <v>23</v>
      </c>
      <c r="D1820" s="1">
        <f t="shared" si="224"/>
        <v>38344</v>
      </c>
      <c r="E1820">
        <v>0</v>
      </c>
      <c r="F1820">
        <f t="shared" si="230"/>
        <v>0</v>
      </c>
      <c r="G1820">
        <f t="shared" si="225"/>
        <v>0</v>
      </c>
      <c r="H1820">
        <f t="shared" si="231"/>
        <v>0</v>
      </c>
      <c r="I1820">
        <v>1819</v>
      </c>
      <c r="J1820">
        <f t="shared" si="226"/>
        <v>-0.12439450483980095</v>
      </c>
      <c r="K1820">
        <f t="shared" si="227"/>
        <v>0.99223283918930072</v>
      </c>
      <c r="L1820">
        <f>VLOOKUP(D1820,[1]SOI!$A$1:$C$142,3)</f>
        <v>-9.3000000000000007</v>
      </c>
      <c r="M1820" s="2">
        <f t="shared" si="228"/>
        <v>-226.27360430359795</v>
      </c>
      <c r="N1820">
        <f t="shared" si="229"/>
        <v>1804.8715344853381</v>
      </c>
      <c r="O1820" t="s">
        <v>8</v>
      </c>
    </row>
    <row r="1821" spans="1:15" x14ac:dyDescent="0.35">
      <c r="A1821">
        <v>2004</v>
      </c>
      <c r="B1821">
        <v>12</v>
      </c>
      <c r="C1821">
        <v>24</v>
      </c>
      <c r="D1821" s="1">
        <f t="shared" si="224"/>
        <v>38345</v>
      </c>
      <c r="E1821">
        <v>0</v>
      </c>
      <c r="F1821">
        <f t="shared" si="230"/>
        <v>0</v>
      </c>
      <c r="G1821">
        <f t="shared" si="225"/>
        <v>0</v>
      </c>
      <c r="H1821">
        <f t="shared" si="231"/>
        <v>0</v>
      </c>
      <c r="I1821">
        <v>1820</v>
      </c>
      <c r="J1821">
        <f t="shared" si="226"/>
        <v>-0.10730813165636167</v>
      </c>
      <c r="K1821">
        <f t="shared" si="227"/>
        <v>0.99422581181561609</v>
      </c>
      <c r="L1821">
        <f>VLOOKUP(D1821,[1]SOI!$A$1:$C$142,3)</f>
        <v>-9.3000000000000007</v>
      </c>
      <c r="M1821" s="2">
        <f t="shared" si="228"/>
        <v>-195.30079961457824</v>
      </c>
      <c r="N1821">
        <f t="shared" si="229"/>
        <v>1809.4909775044214</v>
      </c>
      <c r="O1821" t="s">
        <v>8</v>
      </c>
    </row>
    <row r="1822" spans="1:15" x14ac:dyDescent="0.35">
      <c r="A1822">
        <v>2004</v>
      </c>
      <c r="B1822">
        <v>12</v>
      </c>
      <c r="C1822">
        <v>25</v>
      </c>
      <c r="D1822" s="1">
        <f t="shared" si="224"/>
        <v>38346</v>
      </c>
      <c r="E1822">
        <v>0</v>
      </c>
      <c r="F1822">
        <f t="shared" si="230"/>
        <v>0</v>
      </c>
      <c r="G1822">
        <f t="shared" si="225"/>
        <v>0</v>
      </c>
      <c r="H1822">
        <f t="shared" si="231"/>
        <v>0</v>
      </c>
      <c r="I1822">
        <v>1821</v>
      </c>
      <c r="J1822">
        <f t="shared" si="226"/>
        <v>-9.0190004270346985E-2</v>
      </c>
      <c r="K1822">
        <f t="shared" si="227"/>
        <v>0.99592457702865977</v>
      </c>
      <c r="L1822">
        <f>VLOOKUP(D1822,[1]SOI!$A$1:$C$142,3)</f>
        <v>-9.3000000000000007</v>
      </c>
      <c r="M1822" s="2">
        <f t="shared" si="228"/>
        <v>-164.23599777630187</v>
      </c>
      <c r="N1822">
        <f t="shared" si="229"/>
        <v>1813.5786547691894</v>
      </c>
      <c r="O1822" t="s">
        <v>8</v>
      </c>
    </row>
    <row r="1823" spans="1:15" x14ac:dyDescent="0.35">
      <c r="A1823">
        <v>2004</v>
      </c>
      <c r="B1823">
        <v>12</v>
      </c>
      <c r="C1823">
        <v>26</v>
      </c>
      <c r="D1823" s="1">
        <f t="shared" si="224"/>
        <v>38347</v>
      </c>
      <c r="E1823">
        <v>0</v>
      </c>
      <c r="F1823">
        <f t="shared" si="230"/>
        <v>0</v>
      </c>
      <c r="G1823">
        <f t="shared" si="225"/>
        <v>0</v>
      </c>
      <c r="H1823">
        <f t="shared" si="231"/>
        <v>0</v>
      </c>
      <c r="I1823">
        <v>1822</v>
      </c>
      <c r="J1823">
        <f t="shared" si="226"/>
        <v>-7.3045188211047524E-2</v>
      </c>
      <c r="K1823">
        <f t="shared" si="227"/>
        <v>0.99732863213647516</v>
      </c>
      <c r="L1823">
        <f>VLOOKUP(D1823,[1]SOI!$A$1:$C$142,3)</f>
        <v>-9.3000000000000007</v>
      </c>
      <c r="M1823" s="2">
        <f t="shared" si="228"/>
        <v>-133.08833292052859</v>
      </c>
      <c r="N1823">
        <f t="shared" si="229"/>
        <v>1817.1327677526576</v>
      </c>
      <c r="O1823" t="s">
        <v>8</v>
      </c>
    </row>
    <row r="1824" spans="1:15" x14ac:dyDescent="0.35">
      <c r="A1824">
        <v>2004</v>
      </c>
      <c r="B1824">
        <v>12</v>
      </c>
      <c r="C1824">
        <v>27</v>
      </c>
      <c r="D1824" s="1">
        <f t="shared" si="224"/>
        <v>38348</v>
      </c>
      <c r="E1824">
        <v>1.8</v>
      </c>
      <c r="F1824">
        <f t="shared" si="230"/>
        <v>0</v>
      </c>
      <c r="G1824">
        <f t="shared" si="225"/>
        <v>1</v>
      </c>
      <c r="H1824">
        <f t="shared" si="231"/>
        <v>0</v>
      </c>
      <c r="I1824">
        <v>1823</v>
      </c>
      <c r="J1824">
        <f t="shared" si="226"/>
        <v>-5.5878756905372334E-2</v>
      </c>
      <c r="K1824">
        <f t="shared" si="227"/>
        <v>0.99843756165656661</v>
      </c>
      <c r="L1824">
        <f>VLOOKUP(D1824,[1]SOI!$A$1:$C$142,3)</f>
        <v>-9.3000000000000007</v>
      </c>
      <c r="M1824" s="2">
        <f t="shared" si="228"/>
        <v>-101.86697383849376</v>
      </c>
      <c r="N1824">
        <f t="shared" si="229"/>
        <v>1820.1516748999209</v>
      </c>
      <c r="O1824" t="s">
        <v>8</v>
      </c>
    </row>
    <row r="1825" spans="1:15" x14ac:dyDescent="0.35">
      <c r="A1825">
        <v>2004</v>
      </c>
      <c r="B1825">
        <v>12</v>
      </c>
      <c r="C1825">
        <v>28</v>
      </c>
      <c r="D1825" s="1">
        <f t="shared" si="224"/>
        <v>38349</v>
      </c>
      <c r="E1825">
        <v>12.8</v>
      </c>
      <c r="F1825">
        <f t="shared" si="230"/>
        <v>1.8</v>
      </c>
      <c r="G1825">
        <f t="shared" si="225"/>
        <v>1</v>
      </c>
      <c r="H1825">
        <f t="shared" si="231"/>
        <v>1</v>
      </c>
      <c r="I1825">
        <v>1824</v>
      </c>
      <c r="J1825">
        <f t="shared" si="226"/>
        <v>-3.8695790176529646E-2</v>
      </c>
      <c r="K1825">
        <f t="shared" si="227"/>
        <v>0.99925103743884802</v>
      </c>
      <c r="L1825">
        <f>VLOOKUP(D1825,[1]SOI!$A$1:$C$142,3)</f>
        <v>-9.3000000000000007</v>
      </c>
      <c r="M1825" s="2">
        <f t="shared" si="228"/>
        <v>-70.581121281990079</v>
      </c>
      <c r="N1825">
        <f t="shared" si="229"/>
        <v>1822.6338922884588</v>
      </c>
      <c r="O1825" t="s">
        <v>8</v>
      </c>
    </row>
    <row r="1826" spans="1:15" x14ac:dyDescent="0.35">
      <c r="A1826">
        <v>2004</v>
      </c>
      <c r="B1826">
        <v>12</v>
      </c>
      <c r="C1826">
        <v>29</v>
      </c>
      <c r="D1826" s="1">
        <f t="shared" si="224"/>
        <v>38350</v>
      </c>
      <c r="E1826">
        <v>6</v>
      </c>
      <c r="F1826">
        <f t="shared" si="230"/>
        <v>12.8</v>
      </c>
      <c r="G1826">
        <f t="shared" si="225"/>
        <v>1</v>
      </c>
      <c r="H1826">
        <f t="shared" si="231"/>
        <v>1</v>
      </c>
      <c r="I1826">
        <v>1825</v>
      </c>
      <c r="J1826">
        <f t="shared" si="226"/>
        <v>-2.1501372740814772E-2</v>
      </c>
      <c r="K1826">
        <f t="shared" si="227"/>
        <v>0.99976881876274803</v>
      </c>
      <c r="L1826">
        <f>VLOOKUP(D1826,[1]SOI!$A$1:$C$142,3)</f>
        <v>-9.3000000000000007</v>
      </c>
      <c r="M1826" s="2">
        <f t="shared" si="228"/>
        <v>-39.240005251986958</v>
      </c>
      <c r="N1826">
        <f t="shared" si="229"/>
        <v>1824.5780942420151</v>
      </c>
      <c r="O1826" t="s">
        <v>8</v>
      </c>
    </row>
    <row r="1827" spans="1:15" x14ac:dyDescent="0.35">
      <c r="A1827">
        <v>2004</v>
      </c>
      <c r="B1827">
        <v>12</v>
      </c>
      <c r="C1827">
        <v>30</v>
      </c>
      <c r="D1827" s="1">
        <f t="shared" si="224"/>
        <v>38351</v>
      </c>
      <c r="E1827">
        <v>0</v>
      </c>
      <c r="F1827">
        <f t="shared" si="230"/>
        <v>6</v>
      </c>
      <c r="G1827">
        <f t="shared" si="225"/>
        <v>0</v>
      </c>
      <c r="H1827">
        <f t="shared" si="231"/>
        <v>1</v>
      </c>
      <c r="I1827">
        <v>1826</v>
      </c>
      <c r="J1827">
        <f t="shared" si="226"/>
        <v>-4.3005927029820656E-3</v>
      </c>
      <c r="K1827">
        <f t="shared" si="227"/>
        <v>0.9999907524084426</v>
      </c>
      <c r="L1827">
        <f>VLOOKUP(D1827,[1]SOI!$A$1:$C$142,3)</f>
        <v>-9.3000000000000007</v>
      </c>
      <c r="M1827" s="2">
        <f t="shared" si="228"/>
        <v>-7.8528822756452517</v>
      </c>
      <c r="N1827">
        <f t="shared" si="229"/>
        <v>1825.9831138978161</v>
      </c>
      <c r="O1827" t="s">
        <v>8</v>
      </c>
    </row>
    <row r="1828" spans="1:15" x14ac:dyDescent="0.35">
      <c r="A1828">
        <v>2004</v>
      </c>
      <c r="B1828">
        <v>12</v>
      </c>
      <c r="C1828">
        <v>31</v>
      </c>
      <c r="D1828" s="1">
        <f t="shared" si="224"/>
        <v>38352</v>
      </c>
      <c r="E1828">
        <v>0</v>
      </c>
      <c r="F1828">
        <f t="shared" si="230"/>
        <v>0</v>
      </c>
      <c r="G1828">
        <f t="shared" si="225"/>
        <v>0</v>
      </c>
      <c r="H1828">
        <f t="shared" si="231"/>
        <v>0</v>
      </c>
      <c r="I1828">
        <v>1827</v>
      </c>
      <c r="J1828">
        <f t="shared" si="226"/>
        <v>1.2901459949417785E-2</v>
      </c>
      <c r="K1828">
        <f t="shared" si="227"/>
        <v>0.99991677270219526</v>
      </c>
      <c r="L1828">
        <f>VLOOKUP(D1828,[1]SOI!$A$1:$C$142,3)</f>
        <v>-9.3000000000000007</v>
      </c>
      <c r="M1828" s="2">
        <f t="shared" si="228"/>
        <v>23.570967327586292</v>
      </c>
      <c r="N1828">
        <f t="shared" si="229"/>
        <v>1826.8479437269107</v>
      </c>
      <c r="O1828" t="s">
        <v>8</v>
      </c>
    </row>
    <row r="1829" spans="1:15" x14ac:dyDescent="0.35">
      <c r="A1829">
        <v>2005</v>
      </c>
      <c r="B1829">
        <v>1</v>
      </c>
      <c r="C1829">
        <v>1</v>
      </c>
      <c r="D1829" s="1">
        <f t="shared" si="224"/>
        <v>38353</v>
      </c>
      <c r="E1829">
        <v>0</v>
      </c>
      <c r="F1829">
        <f t="shared" si="230"/>
        <v>0</v>
      </c>
      <c r="G1829">
        <f t="shared" si="225"/>
        <v>0</v>
      </c>
      <c r="H1829">
        <f t="shared" si="231"/>
        <v>0</v>
      </c>
      <c r="I1829">
        <v>1828</v>
      </c>
      <c r="J1829">
        <f t="shared" si="226"/>
        <v>3.0099694852257622E-2</v>
      </c>
      <c r="K1829">
        <f t="shared" si="227"/>
        <v>0.9995469015357914</v>
      </c>
      <c r="L1829">
        <f>VLOOKUP(D1829,[1]SOI!$A$1:$C$142,3)</f>
        <v>-8</v>
      </c>
      <c r="M1829" s="2">
        <f t="shared" si="228"/>
        <v>55.022242189926935</v>
      </c>
      <c r="N1829">
        <f t="shared" si="229"/>
        <v>1827.1717360074267</v>
      </c>
      <c r="O1829" t="s">
        <v>8</v>
      </c>
    </row>
    <row r="1830" spans="1:15" x14ac:dyDescent="0.35">
      <c r="A1830">
        <v>2005</v>
      </c>
      <c r="B1830">
        <v>1</v>
      </c>
      <c r="C1830">
        <v>2</v>
      </c>
      <c r="D1830" s="1">
        <f t="shared" si="224"/>
        <v>38354</v>
      </c>
      <c r="E1830">
        <v>0</v>
      </c>
      <c r="F1830">
        <f t="shared" si="230"/>
        <v>0</v>
      </c>
      <c r="G1830">
        <f t="shared" si="225"/>
        <v>0</v>
      </c>
      <c r="H1830">
        <f t="shared" si="231"/>
        <v>0</v>
      </c>
      <c r="I1830">
        <v>1829</v>
      </c>
      <c r="J1830">
        <f t="shared" si="226"/>
        <v>4.728902277113315E-2</v>
      </c>
      <c r="K1830">
        <f t="shared" si="227"/>
        <v>0.99888124836005965</v>
      </c>
      <c r="L1830">
        <f>VLOOKUP(D1830,[1]SOI!$A$1:$C$142,3)</f>
        <v>-8</v>
      </c>
      <c r="M1830" s="2">
        <f t="shared" si="228"/>
        <v>86.491622648402526</v>
      </c>
      <c r="N1830">
        <f t="shared" si="229"/>
        <v>1826.9538032505491</v>
      </c>
      <c r="O1830" t="s">
        <v>8</v>
      </c>
    </row>
    <row r="1831" spans="1:15" x14ac:dyDescent="0.35">
      <c r="A1831">
        <v>2005</v>
      </c>
      <c r="B1831">
        <v>1</v>
      </c>
      <c r="C1831">
        <v>3</v>
      </c>
      <c r="D1831" s="1">
        <f t="shared" si="224"/>
        <v>38355</v>
      </c>
      <c r="E1831">
        <v>0</v>
      </c>
      <c r="F1831">
        <f t="shared" si="230"/>
        <v>0</v>
      </c>
      <c r="G1831">
        <f t="shared" si="225"/>
        <v>0</v>
      </c>
      <c r="H1831">
        <f t="shared" si="231"/>
        <v>0</v>
      </c>
      <c r="I1831">
        <v>1830</v>
      </c>
      <c r="J1831">
        <f t="shared" si="226"/>
        <v>6.446435710735994E-2</v>
      </c>
      <c r="K1831">
        <f t="shared" si="227"/>
        <v>0.99792001015248455</v>
      </c>
      <c r="L1831">
        <f>VLOOKUP(D1831,[1]SOI!$A$1:$C$142,3)</f>
        <v>-8</v>
      </c>
      <c r="M1831" s="2">
        <f t="shared" si="228"/>
        <v>117.96977350646868</v>
      </c>
      <c r="N1831">
        <f t="shared" si="229"/>
        <v>1826.1936185790466</v>
      </c>
      <c r="O1831" t="s">
        <v>8</v>
      </c>
    </row>
    <row r="1832" spans="1:15" x14ac:dyDescent="0.35">
      <c r="A1832">
        <v>2005</v>
      </c>
      <c r="B1832">
        <v>1</v>
      </c>
      <c r="C1832">
        <v>4</v>
      </c>
      <c r="D1832" s="1">
        <f t="shared" si="224"/>
        <v>38356</v>
      </c>
      <c r="E1832">
        <v>7.8</v>
      </c>
      <c r="F1832">
        <f t="shared" si="230"/>
        <v>0</v>
      </c>
      <c r="G1832">
        <f t="shared" si="225"/>
        <v>1</v>
      </c>
      <c r="H1832">
        <f t="shared" si="231"/>
        <v>0</v>
      </c>
      <c r="I1832">
        <v>1831</v>
      </c>
      <c r="J1832">
        <f t="shared" si="226"/>
        <v>8.1620615403190419E-2</v>
      </c>
      <c r="K1832">
        <f t="shared" si="227"/>
        <v>0.99666347135891586</v>
      </c>
      <c r="L1832">
        <f>VLOOKUP(D1832,[1]SOI!$A$1:$C$142,3)</f>
        <v>-8</v>
      </c>
      <c r="M1832" s="2">
        <f t="shared" si="228"/>
        <v>149.44734680324166</v>
      </c>
      <c r="N1832">
        <f t="shared" si="229"/>
        <v>1824.890816058175</v>
      </c>
      <c r="O1832" t="s">
        <v>8</v>
      </c>
    </row>
    <row r="1833" spans="1:15" x14ac:dyDescent="0.35">
      <c r="A1833">
        <v>2005</v>
      </c>
      <c r="B1833">
        <v>1</v>
      </c>
      <c r="C1833">
        <v>5</v>
      </c>
      <c r="D1833" s="1">
        <f t="shared" si="224"/>
        <v>38357</v>
      </c>
      <c r="E1833">
        <v>0.6</v>
      </c>
      <c r="F1833">
        <f t="shared" si="230"/>
        <v>7.8</v>
      </c>
      <c r="G1833">
        <f t="shared" si="225"/>
        <v>1</v>
      </c>
      <c r="H1833">
        <f t="shared" si="231"/>
        <v>1</v>
      </c>
      <c r="I1833">
        <v>1832</v>
      </c>
      <c r="J1833">
        <f t="shared" si="226"/>
        <v>9.8752720845770137E-2</v>
      </c>
      <c r="K1833">
        <f t="shared" si="227"/>
        <v>0.99511200380939901</v>
      </c>
      <c r="L1833">
        <f>VLOOKUP(D1833,[1]SOI!$A$1:$C$142,3)</f>
        <v>-8</v>
      </c>
      <c r="M1833" s="2">
        <f t="shared" si="228"/>
        <v>180.91498458945088</v>
      </c>
      <c r="N1833">
        <f t="shared" si="229"/>
        <v>1823.0451909788189</v>
      </c>
      <c r="O1833" t="s">
        <v>8</v>
      </c>
    </row>
    <row r="1834" spans="1:15" x14ac:dyDescent="0.35">
      <c r="A1834">
        <v>2005</v>
      </c>
      <c r="B1834">
        <v>1</v>
      </c>
      <c r="C1834">
        <v>6</v>
      </c>
      <c r="D1834" s="1">
        <f t="shared" si="224"/>
        <v>38358</v>
      </c>
      <c r="E1834">
        <v>1.4</v>
      </c>
      <c r="F1834">
        <f t="shared" si="230"/>
        <v>0.6</v>
      </c>
      <c r="G1834">
        <f t="shared" si="225"/>
        <v>1</v>
      </c>
      <c r="H1834">
        <f t="shared" si="231"/>
        <v>1</v>
      </c>
      <c r="I1834">
        <v>1833</v>
      </c>
      <c r="J1834">
        <f t="shared" si="226"/>
        <v>0.11585560376947662</v>
      </c>
      <c r="K1834">
        <f t="shared" si="227"/>
        <v>0.99326606660814198</v>
      </c>
      <c r="L1834">
        <f>VLOOKUP(D1834,[1]SOI!$A$1:$C$142,3)</f>
        <v>-8</v>
      </c>
      <c r="M1834" s="2">
        <f t="shared" si="228"/>
        <v>212.36332170945064</v>
      </c>
      <c r="N1834">
        <f t="shared" si="229"/>
        <v>1820.6567000927243</v>
      </c>
      <c r="O1834" t="s">
        <v>8</v>
      </c>
    </row>
    <row r="1835" spans="1:15" x14ac:dyDescent="0.35">
      <c r="A1835">
        <v>2005</v>
      </c>
      <c r="B1835">
        <v>1</v>
      </c>
      <c r="C1835">
        <v>7</v>
      </c>
      <c r="D1835" s="1">
        <f t="shared" si="224"/>
        <v>38359</v>
      </c>
      <c r="E1835">
        <v>0</v>
      </c>
      <c r="F1835">
        <f t="shared" si="230"/>
        <v>1.4</v>
      </c>
      <c r="G1835">
        <f t="shared" si="225"/>
        <v>0</v>
      </c>
      <c r="H1835">
        <f t="shared" si="231"/>
        <v>1</v>
      </c>
      <c r="I1835">
        <v>1834</v>
      </c>
      <c r="J1835">
        <f t="shared" si="226"/>
        <v>0.13292420315609027</v>
      </c>
      <c r="K1835">
        <f t="shared" si="227"/>
        <v>0.99112620599766121</v>
      </c>
      <c r="L1835">
        <f>VLOOKUP(D1835,[1]SOI!$A$1:$C$142,3)</f>
        <v>-8</v>
      </c>
      <c r="M1835" s="2">
        <f t="shared" si="228"/>
        <v>243.78298858826955</v>
      </c>
      <c r="N1835">
        <f t="shared" si="229"/>
        <v>1817.7254617997107</v>
      </c>
      <c r="O1835" t="s">
        <v>8</v>
      </c>
    </row>
    <row r="1836" spans="1:15" x14ac:dyDescent="0.35">
      <c r="A1836">
        <v>2005</v>
      </c>
      <c r="B1836">
        <v>1</v>
      </c>
      <c r="C1836">
        <v>8</v>
      </c>
      <c r="D1836" s="1">
        <f t="shared" si="224"/>
        <v>38360</v>
      </c>
      <c r="E1836">
        <v>2.6</v>
      </c>
      <c r="F1836">
        <f t="shared" si="230"/>
        <v>0</v>
      </c>
      <c r="G1836">
        <f t="shared" si="225"/>
        <v>1</v>
      </c>
      <c r="H1836">
        <f t="shared" si="231"/>
        <v>0</v>
      </c>
      <c r="I1836">
        <v>1835</v>
      </c>
      <c r="J1836">
        <f t="shared" si="226"/>
        <v>0.14995346813244173</v>
      </c>
      <c r="K1836">
        <f t="shared" si="227"/>
        <v>0.9886930551971389</v>
      </c>
      <c r="L1836">
        <f>VLOOKUP(D1836,[1]SOI!$A$1:$C$142,3)</f>
        <v>-8</v>
      </c>
      <c r="M1836" s="2">
        <f t="shared" si="228"/>
        <v>275.16461402303059</v>
      </c>
      <c r="N1836">
        <f t="shared" si="229"/>
        <v>1814.2517562867499</v>
      </c>
      <c r="O1836" t="s">
        <v>8</v>
      </c>
    </row>
    <row r="1837" spans="1:15" x14ac:dyDescent="0.35">
      <c r="A1837">
        <v>2005</v>
      </c>
      <c r="B1837">
        <v>1</v>
      </c>
      <c r="C1837">
        <v>9</v>
      </c>
      <c r="D1837" s="1">
        <f t="shared" si="224"/>
        <v>38361</v>
      </c>
      <c r="E1837">
        <v>0.2</v>
      </c>
      <c r="F1837">
        <f t="shared" si="230"/>
        <v>2.6</v>
      </c>
      <c r="G1837">
        <f t="shared" si="225"/>
        <v>1</v>
      </c>
      <c r="H1837">
        <f t="shared" si="231"/>
        <v>1</v>
      </c>
      <c r="I1837">
        <v>1836</v>
      </c>
      <c r="J1837">
        <f t="shared" si="226"/>
        <v>0.16693835946505703</v>
      </c>
      <c r="K1837">
        <f t="shared" si="227"/>
        <v>0.98596733421504157</v>
      </c>
      <c r="L1837">
        <f>VLOOKUP(D1837,[1]SOI!$A$1:$C$142,3)</f>
        <v>-8</v>
      </c>
      <c r="M1837" s="2">
        <f t="shared" si="228"/>
        <v>306.49882797784471</v>
      </c>
      <c r="N1837">
        <f t="shared" si="229"/>
        <v>1810.2360256188163</v>
      </c>
      <c r="O1837" t="s">
        <v>8</v>
      </c>
    </row>
    <row r="1838" spans="1:15" x14ac:dyDescent="0.35">
      <c r="A1838">
        <v>2005</v>
      </c>
      <c r="B1838">
        <v>1</v>
      </c>
      <c r="C1838">
        <v>10</v>
      </c>
      <c r="D1838" s="1">
        <f t="shared" si="224"/>
        <v>38362</v>
      </c>
      <c r="E1838">
        <v>0</v>
      </c>
      <c r="F1838">
        <f t="shared" si="230"/>
        <v>0.2</v>
      </c>
      <c r="G1838">
        <f t="shared" si="225"/>
        <v>0</v>
      </c>
      <c r="H1838">
        <f t="shared" si="231"/>
        <v>1</v>
      </c>
      <c r="I1838">
        <v>1837</v>
      </c>
      <c r="J1838">
        <f t="shared" si="226"/>
        <v>0.18387385105132664</v>
      </c>
      <c r="K1838">
        <f t="shared" si="227"/>
        <v>0.9829498496360608</v>
      </c>
      <c r="L1838">
        <f>VLOOKUP(D1838,[1]SOI!$A$1:$C$142,3)</f>
        <v>-8</v>
      </c>
      <c r="M1838" s="2">
        <f t="shared" si="228"/>
        <v>337.77626438128704</v>
      </c>
      <c r="N1838">
        <f t="shared" si="229"/>
        <v>1805.6788737814436</v>
      </c>
      <c r="O1838" t="s">
        <v>8</v>
      </c>
    </row>
    <row r="1839" spans="1:15" x14ac:dyDescent="0.35">
      <c r="A1839">
        <v>2005</v>
      </c>
      <c r="B1839">
        <v>1</v>
      </c>
      <c r="C1839">
        <v>11</v>
      </c>
      <c r="D1839" s="1">
        <f t="shared" si="224"/>
        <v>38363</v>
      </c>
      <c r="E1839">
        <v>0</v>
      </c>
      <c r="F1839">
        <f t="shared" si="230"/>
        <v>0</v>
      </c>
      <c r="G1839">
        <f t="shared" si="225"/>
        <v>0</v>
      </c>
      <c r="H1839">
        <f t="shared" si="231"/>
        <v>0</v>
      </c>
      <c r="I1839">
        <v>1838</v>
      </c>
      <c r="J1839">
        <f t="shared" si="226"/>
        <v>0.20075493140682088</v>
      </c>
      <c r="K1839">
        <f t="shared" si="227"/>
        <v>0.97964149438243098</v>
      </c>
      <c r="L1839">
        <f>VLOOKUP(D1839,[1]SOI!$A$1:$C$142,3)</f>
        <v>-8</v>
      </c>
      <c r="M1839" s="2">
        <f t="shared" si="228"/>
        <v>368.98756392573677</v>
      </c>
      <c r="N1839">
        <f t="shared" si="229"/>
        <v>1800.5810666749082</v>
      </c>
      <c r="O1839" t="s">
        <v>8</v>
      </c>
    </row>
    <row r="1840" spans="1:15" x14ac:dyDescent="0.35">
      <c r="A1840">
        <v>2005</v>
      </c>
      <c r="B1840">
        <v>1</v>
      </c>
      <c r="C1840">
        <v>12</v>
      </c>
      <c r="D1840" s="1">
        <f t="shared" si="224"/>
        <v>38364</v>
      </c>
      <c r="E1840">
        <v>0</v>
      </c>
      <c r="F1840">
        <f t="shared" si="230"/>
        <v>0</v>
      </c>
      <c r="G1840">
        <f t="shared" si="225"/>
        <v>0</v>
      </c>
      <c r="H1840">
        <f t="shared" si="231"/>
        <v>0</v>
      </c>
      <c r="I1840">
        <v>1839</v>
      </c>
      <c r="J1840">
        <f t="shared" si="226"/>
        <v>0.21757660514827903</v>
      </c>
      <c r="K1840">
        <f t="shared" si="227"/>
        <v>0.97604324744969673</v>
      </c>
      <c r="L1840">
        <f>VLOOKUP(D1840,[1]SOI!$A$1:$C$142,3)</f>
        <v>-8</v>
      </c>
      <c r="M1840" s="2">
        <f t="shared" si="228"/>
        <v>400.12337686768512</v>
      </c>
      <c r="N1840">
        <f t="shared" si="229"/>
        <v>1794.9435320599923</v>
      </c>
      <c r="O1840" t="s">
        <v>8</v>
      </c>
    </row>
    <row r="1841" spans="1:15" x14ac:dyDescent="0.35">
      <c r="A1841">
        <v>2005</v>
      </c>
      <c r="B1841">
        <v>1</v>
      </c>
      <c r="C1841">
        <v>13</v>
      </c>
      <c r="D1841" s="1">
        <f t="shared" si="224"/>
        <v>38365</v>
      </c>
      <c r="E1841">
        <v>0</v>
      </c>
      <c r="F1841">
        <f t="shared" si="230"/>
        <v>0</v>
      </c>
      <c r="G1841">
        <f t="shared" si="225"/>
        <v>0</v>
      </c>
      <c r="H1841">
        <f t="shared" si="231"/>
        <v>0</v>
      </c>
      <c r="I1841">
        <v>1840</v>
      </c>
      <c r="J1841">
        <f t="shared" si="226"/>
        <v>0.2343338944718063</v>
      </c>
      <c r="K1841">
        <f t="shared" si="227"/>
        <v>0.97215617361701523</v>
      </c>
      <c r="L1841">
        <f>VLOOKUP(D1841,[1]SOI!$A$1:$C$142,3)</f>
        <v>-8</v>
      </c>
      <c r="M1841" s="2">
        <f t="shared" si="228"/>
        <v>431.1743658281236</v>
      </c>
      <c r="N1841">
        <f t="shared" si="229"/>
        <v>1788.767359455308</v>
      </c>
      <c r="O1841" t="s">
        <v>8</v>
      </c>
    </row>
    <row r="1842" spans="1:15" x14ac:dyDescent="0.35">
      <c r="A1842">
        <v>2005</v>
      </c>
      <c r="B1842">
        <v>1</v>
      </c>
      <c r="C1842">
        <v>14</v>
      </c>
      <c r="D1842" s="1">
        <f t="shared" si="224"/>
        <v>38366</v>
      </c>
      <c r="E1842">
        <v>0</v>
      </c>
      <c r="F1842">
        <f t="shared" si="230"/>
        <v>0</v>
      </c>
      <c r="G1842">
        <f t="shared" si="225"/>
        <v>0</v>
      </c>
      <c r="H1842">
        <f t="shared" si="231"/>
        <v>0</v>
      </c>
      <c r="I1842">
        <v>1841</v>
      </c>
      <c r="J1842">
        <f t="shared" si="226"/>
        <v>0.25102184062587918</v>
      </c>
      <c r="K1842">
        <f t="shared" si="227"/>
        <v>0.96798142313207425</v>
      </c>
      <c r="L1842">
        <f>VLOOKUP(D1842,[1]SOI!$A$1:$C$142,3)</f>
        <v>-8</v>
      </c>
      <c r="M1842" s="2">
        <f t="shared" si="228"/>
        <v>462.13120859224358</v>
      </c>
      <c r="N1842">
        <f t="shared" si="229"/>
        <v>1782.0537999861488</v>
      </c>
      <c r="O1842" t="s">
        <v>8</v>
      </c>
    </row>
    <row r="1843" spans="1:15" x14ac:dyDescent="0.35">
      <c r="A1843">
        <v>2005</v>
      </c>
      <c r="B1843">
        <v>1</v>
      </c>
      <c r="C1843">
        <v>15</v>
      </c>
      <c r="D1843" s="1">
        <f t="shared" si="224"/>
        <v>38367</v>
      </c>
      <c r="E1843">
        <v>0.2</v>
      </c>
      <c r="F1843">
        <f t="shared" si="230"/>
        <v>0</v>
      </c>
      <c r="G1843">
        <f t="shared" si="225"/>
        <v>1</v>
      </c>
      <c r="H1843">
        <f t="shared" si="231"/>
        <v>0</v>
      </c>
      <c r="I1843">
        <v>1842</v>
      </c>
      <c r="J1843">
        <f t="shared" si="226"/>
        <v>0.26763550537876807</v>
      </c>
      <c r="K1843">
        <f t="shared" si="227"/>
        <v>0.9635202313707022</v>
      </c>
      <c r="L1843">
        <f>VLOOKUP(D1843,[1]SOI!$A$1:$C$142,3)</f>
        <v>-8</v>
      </c>
      <c r="M1843" s="2">
        <f t="shared" si="228"/>
        <v>492.98460090769078</v>
      </c>
      <c r="N1843">
        <f t="shared" si="229"/>
        <v>1774.8042661848335</v>
      </c>
      <c r="O1843" t="s">
        <v>8</v>
      </c>
    </row>
    <row r="1844" spans="1:15" x14ac:dyDescent="0.35">
      <c r="A1844">
        <v>2005</v>
      </c>
      <c r="B1844">
        <v>1</v>
      </c>
      <c r="C1844">
        <v>16</v>
      </c>
      <c r="D1844" s="1">
        <f t="shared" si="224"/>
        <v>38368</v>
      </c>
      <c r="E1844">
        <v>4</v>
      </c>
      <c r="F1844">
        <f t="shared" si="230"/>
        <v>0.2</v>
      </c>
      <c r="G1844">
        <f t="shared" si="225"/>
        <v>1</v>
      </c>
      <c r="H1844">
        <f t="shared" si="231"/>
        <v>1</v>
      </c>
      <c r="I1844">
        <v>1843</v>
      </c>
      <c r="J1844">
        <f t="shared" si="226"/>
        <v>0.28416997247976394</v>
      </c>
      <c r="K1844">
        <f t="shared" si="227"/>
        <v>0.95877391847132043</v>
      </c>
      <c r="L1844">
        <f>VLOOKUP(D1844,[1]SOI!$A$1:$C$142,3)</f>
        <v>-8</v>
      </c>
      <c r="M1844" s="2">
        <f t="shared" si="228"/>
        <v>523.72525928020491</v>
      </c>
      <c r="N1844">
        <f t="shared" si="229"/>
        <v>1767.0203317426435</v>
      </c>
      <c r="O1844" t="s">
        <v>8</v>
      </c>
    </row>
    <row r="1845" spans="1:15" x14ac:dyDescent="0.35">
      <c r="A1845">
        <v>2005</v>
      </c>
      <c r="B1845">
        <v>1</v>
      </c>
      <c r="C1845">
        <v>17</v>
      </c>
      <c r="D1845" s="1">
        <f t="shared" si="224"/>
        <v>38369</v>
      </c>
      <c r="E1845">
        <v>0</v>
      </c>
      <c r="F1845">
        <f t="shared" si="230"/>
        <v>4</v>
      </c>
      <c r="G1845">
        <f t="shared" si="225"/>
        <v>0</v>
      </c>
      <c r="H1845">
        <f t="shared" si="231"/>
        <v>1</v>
      </c>
      <c r="I1845">
        <v>1844</v>
      </c>
      <c r="J1845">
        <f t="shared" si="226"/>
        <v>0.30062034911405799</v>
      </c>
      <c r="K1845">
        <f t="shared" si="227"/>
        <v>0.95374388894427098</v>
      </c>
      <c r="L1845">
        <f>VLOOKUP(D1845,[1]SOI!$A$1:$C$142,3)</f>
        <v>-8</v>
      </c>
      <c r="M1845" s="2">
        <f t="shared" si="228"/>
        <v>554.34392376632297</v>
      </c>
      <c r="N1845">
        <f t="shared" si="229"/>
        <v>1758.7037312132356</v>
      </c>
      <c r="O1845" t="s">
        <v>8</v>
      </c>
    </row>
    <row r="1846" spans="1:15" x14ac:dyDescent="0.35">
      <c r="A1846">
        <v>2005</v>
      </c>
      <c r="B1846">
        <v>1</v>
      </c>
      <c r="C1846">
        <v>18</v>
      </c>
      <c r="D1846" s="1">
        <f t="shared" si="224"/>
        <v>38370</v>
      </c>
      <c r="E1846">
        <v>0</v>
      </c>
      <c r="F1846">
        <f t="shared" si="230"/>
        <v>0</v>
      </c>
      <c r="G1846">
        <f t="shared" si="225"/>
        <v>0</v>
      </c>
      <c r="H1846">
        <f t="shared" si="231"/>
        <v>0</v>
      </c>
      <c r="I1846">
        <v>1845</v>
      </c>
      <c r="J1846">
        <f t="shared" si="226"/>
        <v>0.31698176735052946</v>
      </c>
      <c r="K1846">
        <f t="shared" si="227"/>
        <v>0.94843163125622021</v>
      </c>
      <c r="L1846">
        <f>VLOOKUP(D1846,[1]SOI!$A$1:$C$142,3)</f>
        <v>-8</v>
      </c>
      <c r="M1846" s="2">
        <f t="shared" si="228"/>
        <v>584.83136076172684</v>
      </c>
      <c r="N1846">
        <f t="shared" si="229"/>
        <v>1749.8563596677263</v>
      </c>
      <c r="O1846" t="s">
        <v>8</v>
      </c>
    </row>
    <row r="1847" spans="1:15" x14ac:dyDescent="0.35">
      <c r="A1847">
        <v>2005</v>
      </c>
      <c r="B1847">
        <v>1</v>
      </c>
      <c r="C1847">
        <v>19</v>
      </c>
      <c r="D1847" s="1">
        <f t="shared" si="224"/>
        <v>38371</v>
      </c>
      <c r="E1847">
        <v>0</v>
      </c>
      <c r="F1847">
        <f t="shared" si="230"/>
        <v>0</v>
      </c>
      <c r="G1847">
        <f t="shared" si="225"/>
        <v>0</v>
      </c>
      <c r="H1847">
        <f t="shared" si="231"/>
        <v>0</v>
      </c>
      <c r="I1847">
        <v>1846</v>
      </c>
      <c r="J1847">
        <f t="shared" si="226"/>
        <v>0.33324938558229228</v>
      </c>
      <c r="K1847">
        <f t="shared" si="227"/>
        <v>0.94283871738968417</v>
      </c>
      <c r="L1847">
        <f>VLOOKUP(D1847,[1]SOI!$A$1:$C$142,3)</f>
        <v>-8</v>
      </c>
      <c r="M1847" s="2">
        <f t="shared" si="228"/>
        <v>615.17836578491153</v>
      </c>
      <c r="N1847">
        <f t="shared" si="229"/>
        <v>1740.480272301357</v>
      </c>
      <c r="O1847" t="s">
        <v>8</v>
      </c>
    </row>
    <row r="1848" spans="1:15" x14ac:dyDescent="0.35">
      <c r="A1848">
        <v>2005</v>
      </c>
      <c r="B1848">
        <v>1</v>
      </c>
      <c r="C1848">
        <v>20</v>
      </c>
      <c r="D1848" s="1">
        <f t="shared" si="224"/>
        <v>38372</v>
      </c>
      <c r="E1848">
        <v>0</v>
      </c>
      <c r="F1848">
        <f t="shared" si="230"/>
        <v>0</v>
      </c>
      <c r="G1848">
        <f t="shared" si="225"/>
        <v>0</v>
      </c>
      <c r="H1848">
        <f t="shared" si="231"/>
        <v>0</v>
      </c>
      <c r="I1848">
        <v>1847</v>
      </c>
      <c r="J1848">
        <f t="shared" si="226"/>
        <v>0.34941838995939756</v>
      </c>
      <c r="K1848">
        <f t="shared" si="227"/>
        <v>0.93696680237785501</v>
      </c>
      <c r="L1848">
        <f>VLOOKUP(D1848,[1]SOI!$A$1:$C$142,3)</f>
        <v>-8</v>
      </c>
      <c r="M1848" s="2">
        <f t="shared" si="228"/>
        <v>645.37576625500731</v>
      </c>
      <c r="N1848">
        <f t="shared" si="229"/>
        <v>1730.5776839918983</v>
      </c>
      <c r="O1848" t="s">
        <v>8</v>
      </c>
    </row>
    <row r="1849" spans="1:15" x14ac:dyDescent="0.35">
      <c r="A1849">
        <v>2005</v>
      </c>
      <c r="B1849">
        <v>1</v>
      </c>
      <c r="C1849">
        <v>21</v>
      </c>
      <c r="D1849" s="1">
        <f t="shared" si="224"/>
        <v>38373</v>
      </c>
      <c r="E1849">
        <v>0</v>
      </c>
      <c r="F1849">
        <f t="shared" si="230"/>
        <v>0</v>
      </c>
      <c r="G1849">
        <f t="shared" si="225"/>
        <v>0</v>
      </c>
      <c r="H1849">
        <f t="shared" si="231"/>
        <v>0</v>
      </c>
      <c r="I1849">
        <v>1848</v>
      </c>
      <c r="J1849">
        <f t="shared" si="226"/>
        <v>0.36548399581331253</v>
      </c>
      <c r="K1849">
        <f t="shared" si="227"/>
        <v>0.93081762381485589</v>
      </c>
      <c r="L1849">
        <f>VLOOKUP(D1849,[1]SOI!$A$1:$C$142,3)</f>
        <v>-8</v>
      </c>
      <c r="M1849" s="2">
        <f t="shared" si="228"/>
        <v>675.41442426300159</v>
      </c>
      <c r="N1849">
        <f t="shared" si="229"/>
        <v>1720.1509688098538</v>
      </c>
      <c r="O1849" t="s">
        <v>8</v>
      </c>
    </row>
    <row r="1850" spans="1:15" x14ac:dyDescent="0.35">
      <c r="A1850">
        <v>2005</v>
      </c>
      <c r="B1850">
        <v>1</v>
      </c>
      <c r="C1850">
        <v>22</v>
      </c>
      <c r="D1850" s="1">
        <f t="shared" si="224"/>
        <v>38374</v>
      </c>
      <c r="E1850">
        <v>0</v>
      </c>
      <c r="F1850">
        <f t="shared" si="230"/>
        <v>0</v>
      </c>
      <c r="G1850">
        <f t="shared" si="225"/>
        <v>0</v>
      </c>
      <c r="H1850">
        <f t="shared" si="231"/>
        <v>0</v>
      </c>
      <c r="I1850">
        <v>1849</v>
      </c>
      <c r="J1850">
        <f t="shared" si="226"/>
        <v>0.38144144907279104</v>
      </c>
      <c r="K1850">
        <f t="shared" si="227"/>
        <v>0.92439300134155566</v>
      </c>
      <c r="L1850">
        <f>VLOOKUP(D1850,[1]SOI!$A$1:$C$142,3)</f>
        <v>-8</v>
      </c>
      <c r="M1850" s="2">
        <f t="shared" si="228"/>
        <v>705.28523933559063</v>
      </c>
      <c r="N1850">
        <f t="shared" si="229"/>
        <v>1709.2026594805363</v>
      </c>
      <c r="O1850" t="s">
        <v>8</v>
      </c>
    </row>
    <row r="1851" spans="1:15" x14ac:dyDescent="0.35">
      <c r="A1851">
        <v>2005</v>
      </c>
      <c r="B1851">
        <v>1</v>
      </c>
      <c r="C1851">
        <v>23</v>
      </c>
      <c r="D1851" s="1">
        <f t="shared" si="224"/>
        <v>38375</v>
      </c>
      <c r="E1851">
        <v>0</v>
      </c>
      <c r="F1851">
        <f t="shared" si="230"/>
        <v>0</v>
      </c>
      <c r="G1851">
        <f t="shared" si="225"/>
        <v>0</v>
      </c>
      <c r="H1851">
        <f t="shared" si="231"/>
        <v>0</v>
      </c>
      <c r="I1851">
        <v>1850</v>
      </c>
      <c r="J1851">
        <f t="shared" si="226"/>
        <v>0.39728602767068932</v>
      </c>
      <c r="K1851">
        <f t="shared" si="227"/>
        <v>0.9176948361071039</v>
      </c>
      <c r="L1851">
        <f>VLOOKUP(D1851,[1]SOI!$A$1:$C$142,3)</f>
        <v>-8</v>
      </c>
      <c r="M1851" s="2">
        <f t="shared" si="228"/>
        <v>734.97915119077527</v>
      </c>
      <c r="N1851">
        <f t="shared" si="229"/>
        <v>1697.7354467981422</v>
      </c>
      <c r="O1851" t="s">
        <v>8</v>
      </c>
    </row>
    <row r="1852" spans="1:15" x14ac:dyDescent="0.35">
      <c r="A1852">
        <v>2005</v>
      </c>
      <c r="B1852">
        <v>1</v>
      </c>
      <c r="C1852">
        <v>24</v>
      </c>
      <c r="D1852" s="1">
        <f t="shared" si="224"/>
        <v>38376</v>
      </c>
      <c r="E1852">
        <v>0</v>
      </c>
      <c r="F1852">
        <f t="shared" si="230"/>
        <v>0</v>
      </c>
      <c r="G1852">
        <f t="shared" si="225"/>
        <v>0</v>
      </c>
      <c r="H1852">
        <f t="shared" si="231"/>
        <v>0</v>
      </c>
      <c r="I1852">
        <v>1851</v>
      </c>
      <c r="J1852">
        <f t="shared" si="226"/>
        <v>0.41301304294128227</v>
      </c>
      <c r="K1852">
        <f t="shared" si="227"/>
        <v>0.91072511020635782</v>
      </c>
      <c r="L1852">
        <f>VLOOKUP(D1852,[1]SOI!$A$1:$C$142,3)</f>
        <v>-8</v>
      </c>
      <c r="M1852" s="2">
        <f t="shared" si="228"/>
        <v>764.48714248431349</v>
      </c>
      <c r="N1852">
        <f t="shared" si="229"/>
        <v>1685.7521789919683</v>
      </c>
      <c r="O1852" t="s">
        <v>8</v>
      </c>
    </row>
    <row r="1853" spans="1:15" x14ac:dyDescent="0.35">
      <c r="A1853">
        <v>2005</v>
      </c>
      <c r="B1853">
        <v>1</v>
      </c>
      <c r="C1853">
        <v>25</v>
      </c>
      <c r="D1853" s="1">
        <f t="shared" si="224"/>
        <v>38377</v>
      </c>
      <c r="E1853">
        <v>0</v>
      </c>
      <c r="F1853">
        <f t="shared" si="230"/>
        <v>0</v>
      </c>
      <c r="G1853">
        <f t="shared" si="225"/>
        <v>0</v>
      </c>
      <c r="H1853">
        <f t="shared" si="231"/>
        <v>0</v>
      </c>
      <c r="I1853">
        <v>1852</v>
      </c>
      <c r="J1853">
        <f t="shared" si="226"/>
        <v>0.42861784100772476</v>
      </c>
      <c r="K1853">
        <f t="shared" si="227"/>
        <v>0.90348588609334501</v>
      </c>
      <c r="L1853">
        <f>VLOOKUP(D1853,[1]SOI!$A$1:$C$142,3)</f>
        <v>-8</v>
      </c>
      <c r="M1853" s="2">
        <f t="shared" si="228"/>
        <v>793.80024154630621</v>
      </c>
      <c r="N1853">
        <f t="shared" si="229"/>
        <v>1673.255861044875</v>
      </c>
      <c r="O1853" t="s">
        <v>8</v>
      </c>
    </row>
    <row r="1854" spans="1:15" x14ac:dyDescent="0.35">
      <c r="A1854">
        <v>2005</v>
      </c>
      <c r="B1854">
        <v>1</v>
      </c>
      <c r="C1854">
        <v>26</v>
      </c>
      <c r="D1854" s="1">
        <f t="shared" si="224"/>
        <v>38378</v>
      </c>
      <c r="E1854">
        <v>0</v>
      </c>
      <c r="F1854">
        <f t="shared" si="230"/>
        <v>0</v>
      </c>
      <c r="G1854">
        <f t="shared" si="225"/>
        <v>0</v>
      </c>
      <c r="H1854">
        <f t="shared" si="231"/>
        <v>0</v>
      </c>
      <c r="I1854">
        <v>1853</v>
      </c>
      <c r="J1854">
        <f t="shared" si="226"/>
        <v>0.44409580415921834</v>
      </c>
      <c r="K1854">
        <f t="shared" si="227"/>
        <v>0.89597930597094555</v>
      </c>
      <c r="L1854">
        <f>VLOOKUP(D1854,[1]SOI!$A$1:$C$142,3)</f>
        <v>-8</v>
      </c>
      <c r="M1854" s="2">
        <f t="shared" si="228"/>
        <v>822.90952510703164</v>
      </c>
      <c r="N1854">
        <f t="shared" si="229"/>
        <v>1660.249653964162</v>
      </c>
      <c r="O1854" t="s">
        <v>8</v>
      </c>
    </row>
    <row r="1855" spans="1:15" x14ac:dyDescent="0.35">
      <c r="A1855">
        <v>2005</v>
      </c>
      <c r="B1855">
        <v>1</v>
      </c>
      <c r="C1855">
        <v>27</v>
      </c>
      <c r="D1855" s="1">
        <f t="shared" si="224"/>
        <v>38379</v>
      </c>
      <c r="E1855">
        <v>1.2</v>
      </c>
      <c r="F1855">
        <f t="shared" si="230"/>
        <v>0</v>
      </c>
      <c r="G1855">
        <f t="shared" si="225"/>
        <v>1</v>
      </c>
      <c r="H1855">
        <f t="shared" si="231"/>
        <v>0</v>
      </c>
      <c r="I1855">
        <v>1854</v>
      </c>
      <c r="J1855">
        <f t="shared" si="226"/>
        <v>0.45944235221744356</v>
      </c>
      <c r="K1855">
        <f t="shared" si="227"/>
        <v>0.88820759115698988</v>
      </c>
      <c r="L1855">
        <f>VLOOKUP(D1855,[1]SOI!$A$1:$C$142,3)</f>
        <v>-8</v>
      </c>
      <c r="M1855" s="2">
        <f t="shared" si="228"/>
        <v>851.80612101114036</v>
      </c>
      <c r="N1855">
        <f t="shared" si="229"/>
        <v>1646.7368740050592</v>
      </c>
      <c r="O1855" t="s">
        <v>8</v>
      </c>
    </row>
    <row r="1856" spans="1:15" x14ac:dyDescent="0.35">
      <c r="A1856">
        <v>2005</v>
      </c>
      <c r="B1856">
        <v>1</v>
      </c>
      <c r="C1856">
        <v>28</v>
      </c>
      <c r="D1856" s="1">
        <f t="shared" si="224"/>
        <v>38380</v>
      </c>
      <c r="E1856">
        <v>0</v>
      </c>
      <c r="F1856">
        <f t="shared" si="230"/>
        <v>1.2</v>
      </c>
      <c r="G1856">
        <f t="shared" si="225"/>
        <v>0</v>
      </c>
      <c r="H1856">
        <f t="shared" si="231"/>
        <v>1</v>
      </c>
      <c r="I1856">
        <v>1855</v>
      </c>
      <c r="J1856">
        <f t="shared" si="226"/>
        <v>0.47465294389193413</v>
      </c>
      <c r="K1856">
        <f t="shared" si="227"/>
        <v>0.88017304142692332</v>
      </c>
      <c r="L1856">
        <f>VLOOKUP(D1856,[1]SOI!$A$1:$C$142,3)</f>
        <v>-8</v>
      </c>
      <c r="M1856" s="2">
        <f t="shared" si="228"/>
        <v>880.48121091953783</v>
      </c>
      <c r="N1856">
        <f t="shared" si="229"/>
        <v>1632.7209918469428</v>
      </c>
      <c r="O1856" t="s">
        <v>8</v>
      </c>
    </row>
    <row r="1857" spans="1:15" x14ac:dyDescent="0.35">
      <c r="A1857">
        <v>2005</v>
      </c>
      <c r="B1857">
        <v>1</v>
      </c>
      <c r="C1857">
        <v>29</v>
      </c>
      <c r="D1857" s="1">
        <f t="shared" si="224"/>
        <v>38381</v>
      </c>
      <c r="E1857">
        <v>1</v>
      </c>
      <c r="F1857">
        <f t="shared" si="230"/>
        <v>0</v>
      </c>
      <c r="G1857">
        <f t="shared" si="225"/>
        <v>1</v>
      </c>
      <c r="H1857">
        <f t="shared" si="231"/>
        <v>0</v>
      </c>
      <c r="I1857">
        <v>1856</v>
      </c>
      <c r="J1857">
        <f t="shared" si="226"/>
        <v>0.48972307812389548</v>
      </c>
      <c r="K1857">
        <f t="shared" si="227"/>
        <v>0.87187803433327582</v>
      </c>
      <c r="L1857">
        <f>VLOOKUP(D1857,[1]SOI!$A$1:$C$142,3)</f>
        <v>-8</v>
      </c>
      <c r="M1857" s="2">
        <f t="shared" si="228"/>
        <v>908.92603299794996</v>
      </c>
      <c r="N1857">
        <f t="shared" si="229"/>
        <v>1618.2056317225599</v>
      </c>
      <c r="O1857" t="s">
        <v>8</v>
      </c>
    </row>
    <row r="1858" spans="1:15" x14ac:dyDescent="0.35">
      <c r="A1858">
        <v>2005</v>
      </c>
      <c r="B1858">
        <v>1</v>
      </c>
      <c r="C1858">
        <v>30</v>
      </c>
      <c r="D1858" s="1">
        <f t="shared" si="224"/>
        <v>38382</v>
      </c>
      <c r="E1858">
        <v>4.8</v>
      </c>
      <c r="F1858">
        <f t="shared" si="230"/>
        <v>1</v>
      </c>
      <c r="G1858">
        <f t="shared" si="225"/>
        <v>1</v>
      </c>
      <c r="H1858">
        <f t="shared" si="231"/>
        <v>1</v>
      </c>
      <c r="I1858">
        <v>1857</v>
      </c>
      <c r="J1858">
        <f t="shared" si="226"/>
        <v>0.50464829541815015</v>
      </c>
      <c r="K1858">
        <f t="shared" si="227"/>
        <v>0.86332502450210225</v>
      </c>
      <c r="L1858">
        <f>VLOOKUP(D1858,[1]SOI!$A$1:$C$142,3)</f>
        <v>-8</v>
      </c>
      <c r="M1858" s="2">
        <f t="shared" si="228"/>
        <v>937.13188459150479</v>
      </c>
      <c r="N1858">
        <f t="shared" si="229"/>
        <v>1603.1945705004039</v>
      </c>
      <c r="O1858" t="s">
        <v>8</v>
      </c>
    </row>
    <row r="1859" spans="1:15" x14ac:dyDescent="0.35">
      <c r="A1859">
        <v>2005</v>
      </c>
      <c r="B1859">
        <v>1</v>
      </c>
      <c r="C1859">
        <v>31</v>
      </c>
      <c r="D1859" s="1">
        <f t="shared" ref="D1859:D1922" si="232">DATE(A1859,B1859,C1859)</f>
        <v>38383</v>
      </c>
      <c r="E1859">
        <v>0</v>
      </c>
      <c r="F1859">
        <f t="shared" si="230"/>
        <v>4.8</v>
      </c>
      <c r="G1859">
        <f t="shared" ref="G1859:G1922" si="233">IF(E1859=0,0,1)</f>
        <v>0</v>
      </c>
      <c r="H1859">
        <f t="shared" si="231"/>
        <v>1</v>
      </c>
      <c r="I1859">
        <v>1858</v>
      </c>
      <c r="J1859">
        <f t="shared" ref="J1859:J1922" si="234">SIN(2*PI()*I1859/365.25)</f>
        <v>0.51942417916278338</v>
      </c>
      <c r="K1859">
        <f t="shared" ref="K1859:K1922" si="235">COS(2*PI()*I1859/365.25)</f>
        <v>0.85451654290661261</v>
      </c>
      <c r="L1859">
        <f>VLOOKUP(D1859,[1]SOI!$A$1:$C$142,3)</f>
        <v>-8</v>
      </c>
      <c r="M1859" s="2">
        <f t="shared" ref="M1859:M1922" si="236">I1859*J1859</f>
        <v>965.09012488445148</v>
      </c>
      <c r="N1859">
        <f t="shared" ref="N1859:N1922" si="237">I1859*K1859</f>
        <v>1587.6917367204862</v>
      </c>
      <c r="O1859" t="s">
        <v>8</v>
      </c>
    </row>
    <row r="1860" spans="1:15" x14ac:dyDescent="0.35">
      <c r="A1860">
        <v>2005</v>
      </c>
      <c r="B1860">
        <v>2</v>
      </c>
      <c r="C1860">
        <v>1</v>
      </c>
      <c r="D1860" s="1">
        <f t="shared" si="232"/>
        <v>38384</v>
      </c>
      <c r="E1860">
        <v>0</v>
      </c>
      <c r="F1860">
        <f t="shared" ref="F1860:F1923" si="238">E1859</f>
        <v>0</v>
      </c>
      <c r="G1860">
        <f t="shared" si="233"/>
        <v>0</v>
      </c>
      <c r="H1860">
        <f t="shared" ref="H1860:H1923" si="239">G1859</f>
        <v>0</v>
      </c>
      <c r="I1860">
        <v>1859</v>
      </c>
      <c r="J1860">
        <f t="shared" si="234"/>
        <v>0.53404635693607083</v>
      </c>
      <c r="K1860">
        <f t="shared" si="235"/>
        <v>0.84545519611822761</v>
      </c>
      <c r="L1860">
        <f>VLOOKUP(D1860,[1]SOI!$A$1:$C$142,3)</f>
        <v>1.8</v>
      </c>
      <c r="M1860" s="2">
        <f t="shared" si="236"/>
        <v>992.79217754415572</v>
      </c>
      <c r="N1860">
        <f t="shared" si="237"/>
        <v>1571.7012095837852</v>
      </c>
      <c r="O1860" t="s">
        <v>8</v>
      </c>
    </row>
    <row r="1861" spans="1:15" x14ac:dyDescent="0.35">
      <c r="A1861">
        <v>2005</v>
      </c>
      <c r="B1861">
        <v>2</v>
      </c>
      <c r="C1861">
        <v>2</v>
      </c>
      <c r="D1861" s="1">
        <f t="shared" si="232"/>
        <v>38385</v>
      </c>
      <c r="E1861">
        <v>25</v>
      </c>
      <c r="F1861">
        <f t="shared" si="238"/>
        <v>0</v>
      </c>
      <c r="G1861">
        <f t="shared" si="233"/>
        <v>1</v>
      </c>
      <c r="H1861">
        <f t="shared" si="239"/>
        <v>0</v>
      </c>
      <c r="I1861">
        <v>1860</v>
      </c>
      <c r="J1861">
        <f t="shared" si="234"/>
        <v>0.54851050180035821</v>
      </c>
      <c r="K1861">
        <f t="shared" si="235"/>
        <v>0.8361436655352471</v>
      </c>
      <c r="L1861">
        <f>VLOOKUP(D1861,[1]SOI!$A$1:$C$142,3)</f>
        <v>1.8</v>
      </c>
      <c r="M1861" s="2">
        <f t="shared" si="236"/>
        <v>1020.2295333486662</v>
      </c>
      <c r="N1861">
        <f t="shared" si="237"/>
        <v>1555.2272178955595</v>
      </c>
      <c r="O1861" t="s">
        <v>8</v>
      </c>
    </row>
    <row r="1862" spans="1:15" x14ac:dyDescent="0.35">
      <c r="A1862">
        <v>2005</v>
      </c>
      <c r="B1862">
        <v>2</v>
      </c>
      <c r="C1862">
        <v>3</v>
      </c>
      <c r="D1862" s="1">
        <f t="shared" si="232"/>
        <v>38386</v>
      </c>
      <c r="E1862">
        <v>113.4</v>
      </c>
      <c r="F1862">
        <f t="shared" si="238"/>
        <v>25</v>
      </c>
      <c r="G1862">
        <f t="shared" si="233"/>
        <v>1</v>
      </c>
      <c r="H1862">
        <f t="shared" si="239"/>
        <v>1</v>
      </c>
      <c r="I1862">
        <v>1861</v>
      </c>
      <c r="J1862">
        <f t="shared" si="234"/>
        <v>0.56281233358248339</v>
      </c>
      <c r="K1862">
        <f t="shared" si="235"/>
        <v>0.82658470658937278</v>
      </c>
      <c r="L1862">
        <f>VLOOKUP(D1862,[1]SOI!$A$1:$C$142,3)</f>
        <v>1.8</v>
      </c>
      <c r="M1862" s="2">
        <f t="shared" si="236"/>
        <v>1047.3937527970015</v>
      </c>
      <c r="N1862">
        <f t="shared" si="237"/>
        <v>1538.2741389628227</v>
      </c>
      <c r="O1862" t="s">
        <v>8</v>
      </c>
    </row>
    <row r="1863" spans="1:15" x14ac:dyDescent="0.35">
      <c r="A1863">
        <v>2005</v>
      </c>
      <c r="B1863">
        <v>2</v>
      </c>
      <c r="C1863">
        <v>4</v>
      </c>
      <c r="D1863" s="1">
        <f t="shared" si="232"/>
        <v>38387</v>
      </c>
      <c r="E1863">
        <v>0.2</v>
      </c>
      <c r="F1863">
        <f t="shared" si="238"/>
        <v>113.4</v>
      </c>
      <c r="G1863">
        <f t="shared" si="233"/>
        <v>1</v>
      </c>
      <c r="H1863">
        <f t="shared" si="239"/>
        <v>1</v>
      </c>
      <c r="I1863">
        <v>1862</v>
      </c>
      <c r="J1863">
        <f t="shared" si="234"/>
        <v>0.57694762014031875</v>
      </c>
      <c r="K1863">
        <f t="shared" si="235"/>
        <v>0.81678114793035128</v>
      </c>
      <c r="L1863">
        <f>VLOOKUP(D1863,[1]SOI!$A$1:$C$142,3)</f>
        <v>1.8</v>
      </c>
      <c r="M1863" s="2">
        <f t="shared" si="236"/>
        <v>1074.2764687012734</v>
      </c>
      <c r="N1863">
        <f t="shared" si="237"/>
        <v>1520.8464974463141</v>
      </c>
      <c r="O1863" t="s">
        <v>8</v>
      </c>
    </row>
    <row r="1864" spans="1:15" x14ac:dyDescent="0.35">
      <c r="A1864">
        <v>2005</v>
      </c>
      <c r="B1864">
        <v>2</v>
      </c>
      <c r="C1864">
        <v>5</v>
      </c>
      <c r="D1864" s="1">
        <f t="shared" si="232"/>
        <v>38388</v>
      </c>
      <c r="E1864">
        <v>0</v>
      </c>
      <c r="F1864">
        <f t="shared" si="238"/>
        <v>0.2</v>
      </c>
      <c r="G1864">
        <f t="shared" si="233"/>
        <v>0</v>
      </c>
      <c r="H1864">
        <f t="shared" si="239"/>
        <v>1</v>
      </c>
      <c r="I1864">
        <v>1863</v>
      </c>
      <c r="J1864">
        <f t="shared" si="234"/>
        <v>0.59091217861515422</v>
      </c>
      <c r="K1864">
        <f t="shared" si="235"/>
        <v>0.80673589058891637</v>
      </c>
      <c r="L1864">
        <f>VLOOKUP(D1864,[1]SOI!$A$1:$C$142,3)</f>
        <v>1.8</v>
      </c>
      <c r="M1864" s="2">
        <f t="shared" si="236"/>
        <v>1100.8693887600323</v>
      </c>
      <c r="N1864">
        <f t="shared" si="237"/>
        <v>1502.9489641671512</v>
      </c>
      <c r="O1864" t="s">
        <v>8</v>
      </c>
    </row>
    <row r="1865" spans="1:15" x14ac:dyDescent="0.35">
      <c r="A1865">
        <v>2005</v>
      </c>
      <c r="B1865">
        <v>2</v>
      </c>
      <c r="C1865">
        <v>6</v>
      </c>
      <c r="D1865" s="1">
        <f t="shared" si="232"/>
        <v>38389</v>
      </c>
      <c r="E1865">
        <v>0</v>
      </c>
      <c r="F1865">
        <f t="shared" si="238"/>
        <v>0</v>
      </c>
      <c r="G1865">
        <f t="shared" si="233"/>
        <v>0</v>
      </c>
      <c r="H1865">
        <f t="shared" si="239"/>
        <v>0</v>
      </c>
      <c r="I1865">
        <v>1864</v>
      </c>
      <c r="J1865">
        <f t="shared" si="234"/>
        <v>0.6047018766694805</v>
      </c>
      <c r="K1865">
        <f t="shared" si="235"/>
        <v>0.79645190711831959</v>
      </c>
      <c r="L1865">
        <f>VLOOKUP(D1865,[1]SOI!$A$1:$C$142,3)</f>
        <v>1.8</v>
      </c>
      <c r="M1865" s="2">
        <f t="shared" si="236"/>
        <v>1127.1642981119116</v>
      </c>
      <c r="N1865">
        <f t="shared" si="237"/>
        <v>1484.5863548685477</v>
      </c>
      <c r="O1865" t="s">
        <v>8</v>
      </c>
    </row>
    <row r="1866" spans="1:15" x14ac:dyDescent="0.35">
      <c r="A1866">
        <v>2005</v>
      </c>
      <c r="B1866">
        <v>2</v>
      </c>
      <c r="C1866">
        <v>7</v>
      </c>
      <c r="D1866" s="1">
        <f t="shared" si="232"/>
        <v>38390</v>
      </c>
      <c r="E1866">
        <v>0</v>
      </c>
      <c r="F1866">
        <f t="shared" si="238"/>
        <v>0</v>
      </c>
      <c r="G1866">
        <f t="shared" si="233"/>
        <v>0</v>
      </c>
      <c r="H1866">
        <f t="shared" si="239"/>
        <v>0</v>
      </c>
      <c r="I1866">
        <v>1865</v>
      </c>
      <c r="J1866">
        <f t="shared" si="234"/>
        <v>0.61831263370978251</v>
      </c>
      <c r="K1866">
        <f t="shared" si="235"/>
        <v>0.78593224071472756</v>
      </c>
      <c r="L1866">
        <f>VLOOKUP(D1866,[1]SOI!$A$1:$C$142,3)</f>
        <v>1.8</v>
      </c>
      <c r="M1866" s="2">
        <f t="shared" si="236"/>
        <v>1153.1530618687443</v>
      </c>
      <c r="N1866">
        <f t="shared" si="237"/>
        <v>1465.7636289329669</v>
      </c>
      <c r="O1866" t="s">
        <v>8</v>
      </c>
    </row>
    <row r="1867" spans="1:15" x14ac:dyDescent="0.35">
      <c r="A1867">
        <v>2005</v>
      </c>
      <c r="B1867">
        <v>2</v>
      </c>
      <c r="C1867">
        <v>8</v>
      </c>
      <c r="D1867" s="1">
        <f t="shared" si="232"/>
        <v>38391</v>
      </c>
      <c r="E1867">
        <v>6.4</v>
      </c>
      <c r="F1867">
        <f t="shared" si="238"/>
        <v>0</v>
      </c>
      <c r="G1867">
        <f t="shared" si="233"/>
        <v>1</v>
      </c>
      <c r="H1867">
        <f t="shared" si="239"/>
        <v>0</v>
      </c>
      <c r="I1867">
        <v>1866</v>
      </c>
      <c r="J1867">
        <f t="shared" si="234"/>
        <v>0.63174042209407599</v>
      </c>
      <c r="K1867">
        <f t="shared" si="235"/>
        <v>0.775180004316674</v>
      </c>
      <c r="L1867">
        <f>VLOOKUP(D1867,[1]SOI!$A$1:$C$142,3)</f>
        <v>1.8</v>
      </c>
      <c r="M1867" s="2">
        <f t="shared" si="236"/>
        <v>1178.8276276275458</v>
      </c>
      <c r="N1867">
        <f t="shared" si="237"/>
        <v>1446.4858880549136</v>
      </c>
      <c r="O1867" t="s">
        <v>8</v>
      </c>
    </row>
    <row r="1868" spans="1:15" x14ac:dyDescent="0.35">
      <c r="A1868">
        <v>2005</v>
      </c>
      <c r="B1868">
        <v>2</v>
      </c>
      <c r="C1868">
        <v>9</v>
      </c>
      <c r="D1868" s="1">
        <f t="shared" si="232"/>
        <v>38392</v>
      </c>
      <c r="E1868">
        <v>18.2</v>
      </c>
      <c r="F1868">
        <f t="shared" si="238"/>
        <v>6.4</v>
      </c>
      <c r="G1868">
        <f t="shared" si="233"/>
        <v>1</v>
      </c>
      <c r="H1868">
        <f t="shared" si="239"/>
        <v>1</v>
      </c>
      <c r="I1868">
        <v>1867</v>
      </c>
      <c r="J1868">
        <f t="shared" si="234"/>
        <v>0.6449812683237458</v>
      </c>
      <c r="K1868">
        <f t="shared" si="235"/>
        <v>0.76419837968389615</v>
      </c>
      <c r="L1868">
        <f>VLOOKUP(D1868,[1]SOI!$A$1:$C$142,3)</f>
        <v>1.8</v>
      </c>
      <c r="M1868" s="2">
        <f t="shared" si="236"/>
        <v>1204.1800279604333</v>
      </c>
      <c r="N1868">
        <f t="shared" si="237"/>
        <v>1426.7583748698341</v>
      </c>
      <c r="O1868" t="s">
        <v>8</v>
      </c>
    </row>
    <row r="1869" spans="1:15" x14ac:dyDescent="0.35">
      <c r="A1869">
        <v>2005</v>
      </c>
      <c r="B1869">
        <v>2</v>
      </c>
      <c r="C1869">
        <v>10</v>
      </c>
      <c r="D1869" s="1">
        <f t="shared" si="232"/>
        <v>38393</v>
      </c>
      <c r="E1869">
        <v>0</v>
      </c>
      <c r="F1869">
        <f t="shared" si="238"/>
        <v>18.2</v>
      </c>
      <c r="G1869">
        <f t="shared" si="233"/>
        <v>0</v>
      </c>
      <c r="H1869">
        <f t="shared" si="239"/>
        <v>1</v>
      </c>
      <c r="I1869">
        <v>1868</v>
      </c>
      <c r="J1869">
        <f t="shared" si="234"/>
        <v>0.65803125421936248</v>
      </c>
      <c r="K1869">
        <f t="shared" si="235"/>
        <v>0.75299061645580467</v>
      </c>
      <c r="L1869">
        <f>VLOOKUP(D1869,[1]SOI!$A$1:$C$142,3)</f>
        <v>1.8</v>
      </c>
      <c r="M1869" s="2">
        <f t="shared" si="236"/>
        <v>1229.2023828817692</v>
      </c>
      <c r="N1869">
        <f t="shared" si="237"/>
        <v>1406.5864715394432</v>
      </c>
      <c r="O1869" t="s">
        <v>8</v>
      </c>
    </row>
    <row r="1870" spans="1:15" x14ac:dyDescent="0.35">
      <c r="A1870">
        <v>2005</v>
      </c>
      <c r="B1870">
        <v>2</v>
      </c>
      <c r="C1870">
        <v>11</v>
      </c>
      <c r="D1870" s="1">
        <f t="shared" si="232"/>
        <v>38394</v>
      </c>
      <c r="E1870">
        <v>0</v>
      </c>
      <c r="F1870">
        <f t="shared" si="238"/>
        <v>0</v>
      </c>
      <c r="G1870">
        <f t="shared" si="233"/>
        <v>0</v>
      </c>
      <c r="H1870">
        <f t="shared" si="239"/>
        <v>0</v>
      </c>
      <c r="I1870">
        <v>1869</v>
      </c>
      <c r="J1870">
        <f t="shared" si="234"/>
        <v>0.67088651808015609</v>
      </c>
      <c r="K1870">
        <f t="shared" si="235"/>
        <v>0.74156003118984537</v>
      </c>
      <c r="L1870">
        <f>VLOOKUP(D1870,[1]SOI!$A$1:$C$142,3)</f>
        <v>1.8</v>
      </c>
      <c r="M1870" s="2">
        <f t="shared" si="236"/>
        <v>1253.8869022918118</v>
      </c>
      <c r="N1870">
        <f t="shared" si="237"/>
        <v>1385.9756982938211</v>
      </c>
      <c r="O1870" t="s">
        <v>8</v>
      </c>
    </row>
    <row r="1871" spans="1:15" x14ac:dyDescent="0.35">
      <c r="A1871">
        <v>2005</v>
      </c>
      <c r="B1871">
        <v>2</v>
      </c>
      <c r="C1871">
        <v>12</v>
      </c>
      <c r="D1871" s="1">
        <f t="shared" si="232"/>
        <v>38395</v>
      </c>
      <c r="E1871">
        <v>1.4</v>
      </c>
      <c r="F1871">
        <f t="shared" si="238"/>
        <v>0</v>
      </c>
      <c r="G1871">
        <f t="shared" si="233"/>
        <v>1</v>
      </c>
      <c r="H1871">
        <f t="shared" si="239"/>
        <v>0</v>
      </c>
      <c r="I1871">
        <v>1870</v>
      </c>
      <c r="J1871">
        <f t="shared" si="234"/>
        <v>0.68354325582672359</v>
      </c>
      <c r="K1871">
        <f t="shared" si="235"/>
        <v>0.72991000638010317</v>
      </c>
      <c r="L1871">
        <f>VLOOKUP(D1871,[1]SOI!$A$1:$C$142,3)</f>
        <v>1.8</v>
      </c>
      <c r="M1871" s="2">
        <f t="shared" si="236"/>
        <v>1278.225888395973</v>
      </c>
      <c r="N1871">
        <f t="shared" si="237"/>
        <v>1364.931711930793</v>
      </c>
      <c r="O1871" t="s">
        <v>8</v>
      </c>
    </row>
    <row r="1872" spans="1:15" x14ac:dyDescent="0.35">
      <c r="A1872">
        <v>2005</v>
      </c>
      <c r="B1872">
        <v>2</v>
      </c>
      <c r="C1872">
        <v>13</v>
      </c>
      <c r="D1872" s="1">
        <f t="shared" si="232"/>
        <v>38396</v>
      </c>
      <c r="E1872">
        <v>0</v>
      </c>
      <c r="F1872">
        <f t="shared" si="238"/>
        <v>1.4</v>
      </c>
      <c r="G1872">
        <f t="shared" si="233"/>
        <v>0</v>
      </c>
      <c r="H1872">
        <f t="shared" si="239"/>
        <v>1</v>
      </c>
      <c r="I1872">
        <v>1871</v>
      </c>
      <c r="J1872">
        <f t="shared" si="234"/>
        <v>0.69599772212673849</v>
      </c>
      <c r="K1872">
        <f t="shared" si="235"/>
        <v>0.71804398945635028</v>
      </c>
      <c r="L1872">
        <f>VLOOKUP(D1872,[1]SOI!$A$1:$C$142,3)</f>
        <v>1.8</v>
      </c>
      <c r="M1872" s="2">
        <f t="shared" si="236"/>
        <v>1302.2117380991276</v>
      </c>
      <c r="N1872">
        <f t="shared" si="237"/>
        <v>1343.4603042728313</v>
      </c>
      <c r="O1872" t="s">
        <v>8</v>
      </c>
    </row>
    <row r="1873" spans="1:15" x14ac:dyDescent="0.35">
      <c r="A1873">
        <v>2005</v>
      </c>
      <c r="B1873">
        <v>2</v>
      </c>
      <c r="C1873">
        <v>14</v>
      </c>
      <c r="D1873" s="1">
        <f t="shared" si="232"/>
        <v>38397</v>
      </c>
      <c r="E1873">
        <v>0</v>
      </c>
      <c r="F1873">
        <f t="shared" si="238"/>
        <v>0</v>
      </c>
      <c r="G1873">
        <f t="shared" si="233"/>
        <v>0</v>
      </c>
      <c r="H1873">
        <f t="shared" si="239"/>
        <v>0</v>
      </c>
      <c r="I1873">
        <v>1872</v>
      </c>
      <c r="J1873">
        <f t="shared" si="234"/>
        <v>0.70824623150324939</v>
      </c>
      <c r="K1873">
        <f t="shared" si="235"/>
        <v>0.70596549176390033</v>
      </c>
      <c r="L1873">
        <f>VLOOKUP(D1873,[1]SOI!$A$1:$C$142,3)</f>
        <v>1.8</v>
      </c>
      <c r="M1873" s="2">
        <f t="shared" si="236"/>
        <v>1325.8369453740829</v>
      </c>
      <c r="N1873">
        <f t="shared" si="237"/>
        <v>1321.5674005820215</v>
      </c>
      <c r="O1873" t="s">
        <v>8</v>
      </c>
    </row>
    <row r="1874" spans="1:15" x14ac:dyDescent="0.35">
      <c r="A1874">
        <v>2005</v>
      </c>
      <c r="B1874">
        <v>2</v>
      </c>
      <c r="C1874">
        <v>15</v>
      </c>
      <c r="D1874" s="1">
        <f t="shared" si="232"/>
        <v>38398</v>
      </c>
      <c r="E1874">
        <v>2.4</v>
      </c>
      <c r="F1874">
        <f t="shared" si="238"/>
        <v>0</v>
      </c>
      <c r="G1874">
        <f t="shared" si="233"/>
        <v>1</v>
      </c>
      <c r="H1874">
        <f t="shared" si="239"/>
        <v>0</v>
      </c>
      <c r="I1874">
        <v>1873</v>
      </c>
      <c r="J1874">
        <f t="shared" si="234"/>
        <v>0.72028515942527238</v>
      </c>
      <c r="K1874">
        <f t="shared" si="235"/>
        <v>0.69367808752454474</v>
      </c>
      <c r="L1874">
        <f>VLOOKUP(D1874,[1]SOI!$A$1:$C$142,3)</f>
        <v>1.8</v>
      </c>
      <c r="M1874" s="2">
        <f t="shared" si="236"/>
        <v>1349.0941036035351</v>
      </c>
      <c r="N1874">
        <f t="shared" si="237"/>
        <v>1299.2590579334724</v>
      </c>
      <c r="O1874" t="s">
        <v>8</v>
      </c>
    </row>
    <row r="1875" spans="1:15" x14ac:dyDescent="0.35">
      <c r="A1875">
        <v>2005</v>
      </c>
      <c r="B1875">
        <v>2</v>
      </c>
      <c r="C1875">
        <v>16</v>
      </c>
      <c r="D1875" s="1">
        <f t="shared" si="232"/>
        <v>38399</v>
      </c>
      <c r="E1875">
        <v>0.4</v>
      </c>
      <c r="F1875">
        <f t="shared" si="238"/>
        <v>2.4</v>
      </c>
      <c r="G1875">
        <f t="shared" si="233"/>
        <v>1</v>
      </c>
      <c r="H1875">
        <f t="shared" si="239"/>
        <v>1</v>
      </c>
      <c r="I1875">
        <v>1874</v>
      </c>
      <c r="J1875">
        <f t="shared" si="234"/>
        <v>0.73211094338034255</v>
      </c>
      <c r="K1875">
        <f t="shared" si="235"/>
        <v>0.68118541277888867</v>
      </c>
      <c r="L1875">
        <f>VLOOKUP(D1875,[1]SOI!$A$1:$C$142,3)</f>
        <v>1.8</v>
      </c>
      <c r="M1875" s="2">
        <f t="shared" si="236"/>
        <v>1371.975907894762</v>
      </c>
      <c r="N1875">
        <f t="shared" si="237"/>
        <v>1276.5414635476372</v>
      </c>
      <c r="O1875" t="s">
        <v>8</v>
      </c>
    </row>
    <row r="1876" spans="1:15" x14ac:dyDescent="0.35">
      <c r="A1876">
        <v>2005</v>
      </c>
      <c r="B1876">
        <v>2</v>
      </c>
      <c r="C1876">
        <v>17</v>
      </c>
      <c r="D1876" s="1">
        <f t="shared" si="232"/>
        <v>38400</v>
      </c>
      <c r="E1876">
        <v>0</v>
      </c>
      <c r="F1876">
        <f t="shared" si="238"/>
        <v>0.4</v>
      </c>
      <c r="G1876">
        <f t="shared" si="233"/>
        <v>0</v>
      </c>
      <c r="H1876">
        <f t="shared" si="239"/>
        <v>1</v>
      </c>
      <c r="I1876">
        <v>1875</v>
      </c>
      <c r="J1876">
        <f t="shared" si="234"/>
        <v>0.7437200839287389</v>
      </c>
      <c r="K1876">
        <f t="shared" si="235"/>
        <v>0.66849116431036659</v>
      </c>
      <c r="L1876">
        <f>VLOOKUP(D1876,[1]SOI!$A$1:$C$142,3)</f>
        <v>1.8</v>
      </c>
      <c r="M1876" s="2">
        <f t="shared" si="236"/>
        <v>1394.4751573663855</v>
      </c>
      <c r="N1876">
        <f t="shared" si="237"/>
        <v>1253.4209330819374</v>
      </c>
      <c r="O1876" t="s">
        <v>8</v>
      </c>
    </row>
    <row r="1877" spans="1:15" x14ac:dyDescent="0.35">
      <c r="A1877">
        <v>2005</v>
      </c>
      <c r="B1877">
        <v>2</v>
      </c>
      <c r="C1877">
        <v>18</v>
      </c>
      <c r="D1877" s="1">
        <f t="shared" si="232"/>
        <v>38401</v>
      </c>
      <c r="E1877">
        <v>0</v>
      </c>
      <c r="F1877">
        <f t="shared" si="238"/>
        <v>0</v>
      </c>
      <c r="G1877">
        <f t="shared" si="233"/>
        <v>0</v>
      </c>
      <c r="H1877">
        <f t="shared" si="239"/>
        <v>0</v>
      </c>
      <c r="I1877">
        <v>1876</v>
      </c>
      <c r="J1877">
        <f t="shared" si="234"/>
        <v>0.75510914573899524</v>
      </c>
      <c r="K1877">
        <f t="shared" si="235"/>
        <v>0.65559909855133647</v>
      </c>
      <c r="L1877">
        <f>VLOOKUP(D1877,[1]SOI!$A$1:$C$142,3)</f>
        <v>1.8</v>
      </c>
      <c r="M1877" s="2">
        <f t="shared" si="236"/>
        <v>1416.584757406355</v>
      </c>
      <c r="N1877">
        <f t="shared" si="237"/>
        <v>1229.9039088823072</v>
      </c>
      <c r="O1877" t="s">
        <v>8</v>
      </c>
    </row>
    <row r="1878" spans="1:15" x14ac:dyDescent="0.35">
      <c r="A1878">
        <v>2005</v>
      </c>
      <c r="B1878">
        <v>2</v>
      </c>
      <c r="C1878">
        <v>19</v>
      </c>
      <c r="D1878" s="1">
        <f t="shared" si="232"/>
        <v>38402</v>
      </c>
      <c r="E1878">
        <v>0</v>
      </c>
      <c r="F1878">
        <f t="shared" si="238"/>
        <v>0</v>
      </c>
      <c r="G1878">
        <f t="shared" si="233"/>
        <v>0</v>
      </c>
      <c r="H1878">
        <f t="shared" si="239"/>
        <v>0</v>
      </c>
      <c r="I1878">
        <v>1877</v>
      </c>
      <c r="J1878">
        <f t="shared" si="234"/>
        <v>0.76627475860448924</v>
      </c>
      <c r="K1878">
        <f t="shared" si="235"/>
        <v>0.64251303047146968</v>
      </c>
      <c r="L1878">
        <f>VLOOKUP(D1878,[1]SOI!$A$1:$C$142,3)</f>
        <v>1.8</v>
      </c>
      <c r="M1878" s="2">
        <f t="shared" si="236"/>
        <v>1438.2977219006264</v>
      </c>
      <c r="N1878">
        <f t="shared" si="237"/>
        <v>1205.9969581949485</v>
      </c>
      <c r="O1878" t="s">
        <v>8</v>
      </c>
    </row>
    <row r="1879" spans="1:15" x14ac:dyDescent="0.35">
      <c r="A1879">
        <v>2005</v>
      </c>
      <c r="B1879">
        <v>2</v>
      </c>
      <c r="C1879">
        <v>20</v>
      </c>
      <c r="D1879" s="1">
        <f t="shared" si="232"/>
        <v>38403</v>
      </c>
      <c r="E1879">
        <v>0</v>
      </c>
      <c r="F1879">
        <f t="shared" si="238"/>
        <v>0</v>
      </c>
      <c r="G1879">
        <f t="shared" si="233"/>
        <v>0</v>
      </c>
      <c r="H1879">
        <f t="shared" si="239"/>
        <v>0</v>
      </c>
      <c r="I1879">
        <v>1878</v>
      </c>
      <c r="J1879">
        <f t="shared" si="234"/>
        <v>0.77721361844073689</v>
      </c>
      <c r="K1879">
        <f t="shared" si="235"/>
        <v>0.62923683244884565</v>
      </c>
      <c r="L1879">
        <f>VLOOKUP(D1879,[1]SOI!$A$1:$C$142,3)</f>
        <v>1.8</v>
      </c>
      <c r="M1879" s="2">
        <f t="shared" si="236"/>
        <v>1459.6071754317038</v>
      </c>
      <c r="N1879">
        <f t="shared" si="237"/>
        <v>1181.7067713389322</v>
      </c>
      <c r="O1879" t="s">
        <v>8</v>
      </c>
    </row>
    <row r="1880" spans="1:15" x14ac:dyDescent="0.35">
      <c r="A1880">
        <v>2005</v>
      </c>
      <c r="B1880">
        <v>2</v>
      </c>
      <c r="C1880">
        <v>21</v>
      </c>
      <c r="D1880" s="1">
        <f t="shared" si="232"/>
        <v>38404</v>
      </c>
      <c r="E1880">
        <v>0</v>
      </c>
      <c r="F1880">
        <f t="shared" si="238"/>
        <v>0</v>
      </c>
      <c r="G1880">
        <f t="shared" si="233"/>
        <v>0</v>
      </c>
      <c r="H1880">
        <f t="shared" si="239"/>
        <v>0</v>
      </c>
      <c r="I1880">
        <v>1879</v>
      </c>
      <c r="J1880">
        <f t="shared" si="234"/>
        <v>0.78792248826311873</v>
      </c>
      <c r="K1880">
        <f t="shared" si="235"/>
        <v>0.61577443312405844</v>
      </c>
      <c r="L1880">
        <f>VLOOKUP(D1880,[1]SOI!$A$1:$C$142,3)</f>
        <v>1.8</v>
      </c>
      <c r="M1880" s="2">
        <f t="shared" si="236"/>
        <v>1480.5063554464</v>
      </c>
      <c r="N1880">
        <f t="shared" si="237"/>
        <v>1157.0401598401058</v>
      </c>
      <c r="O1880" t="s">
        <v>8</v>
      </c>
    </row>
    <row r="1881" spans="1:15" x14ac:dyDescent="0.35">
      <c r="A1881">
        <v>2005</v>
      </c>
      <c r="B1881">
        <v>2</v>
      </c>
      <c r="C1881">
        <v>22</v>
      </c>
      <c r="D1881" s="1">
        <f t="shared" si="232"/>
        <v>38405</v>
      </c>
      <c r="E1881">
        <v>0</v>
      </c>
      <c r="F1881">
        <f t="shared" si="238"/>
        <v>0</v>
      </c>
      <c r="G1881">
        <f t="shared" si="233"/>
        <v>0</v>
      </c>
      <c r="H1881">
        <f t="shared" si="239"/>
        <v>0</v>
      </c>
      <c r="I1881">
        <v>1880</v>
      </c>
      <c r="J1881">
        <f t="shared" si="234"/>
        <v>0.79839819914477406</v>
      </c>
      <c r="K1881">
        <f t="shared" si="235"/>
        <v>0.60212981623764639</v>
      </c>
      <c r="L1881">
        <f>VLOOKUP(D1881,[1]SOI!$A$1:$C$142,3)</f>
        <v>1.8</v>
      </c>
      <c r="M1881" s="2">
        <f t="shared" si="236"/>
        <v>1500.9886143921751</v>
      </c>
      <c r="N1881">
        <f t="shared" si="237"/>
        <v>1132.0040545267752</v>
      </c>
      <c r="O1881" t="s">
        <v>8</v>
      </c>
    </row>
    <row r="1882" spans="1:15" x14ac:dyDescent="0.35">
      <c r="A1882">
        <v>2005</v>
      </c>
      <c r="B1882">
        <v>2</v>
      </c>
      <c r="C1882">
        <v>23</v>
      </c>
      <c r="D1882" s="1">
        <f t="shared" si="232"/>
        <v>38406</v>
      </c>
      <c r="E1882">
        <v>0</v>
      </c>
      <c r="F1882">
        <f t="shared" si="238"/>
        <v>0</v>
      </c>
      <c r="G1882">
        <f t="shared" si="233"/>
        <v>0</v>
      </c>
      <c r="H1882">
        <f t="shared" si="239"/>
        <v>0</v>
      </c>
      <c r="I1882">
        <v>1881</v>
      </c>
      <c r="J1882">
        <f t="shared" si="234"/>
        <v>0.80863765115431474</v>
      </c>
      <c r="K1882">
        <f t="shared" si="235"/>
        <v>0.58830701945126651</v>
      </c>
      <c r="L1882">
        <f>VLOOKUP(D1882,[1]SOI!$A$1:$C$142,3)</f>
        <v>1.8</v>
      </c>
      <c r="M1882" s="2">
        <f t="shared" si="236"/>
        <v>1521.047421821266</v>
      </c>
      <c r="N1882">
        <f t="shared" si="237"/>
        <v>1106.6055035878323</v>
      </c>
      <c r="O1882" t="s">
        <v>8</v>
      </c>
    </row>
    <row r="1883" spans="1:15" x14ac:dyDescent="0.35">
      <c r="A1883">
        <v>2005</v>
      </c>
      <c r="B1883">
        <v>2</v>
      </c>
      <c r="C1883">
        <v>24</v>
      </c>
      <c r="D1883" s="1">
        <f t="shared" si="232"/>
        <v>38407</v>
      </c>
      <c r="E1883">
        <v>0</v>
      </c>
      <c r="F1883">
        <f t="shared" si="238"/>
        <v>0</v>
      </c>
      <c r="G1883">
        <f t="shared" si="233"/>
        <v>0</v>
      </c>
      <c r="H1883">
        <f t="shared" si="239"/>
        <v>0</v>
      </c>
      <c r="I1883">
        <v>1882</v>
      </c>
      <c r="J1883">
        <f t="shared" si="234"/>
        <v>0.81863781427314164</v>
      </c>
      <c r="K1883">
        <f t="shared" si="235"/>
        <v>0.5743101331528927</v>
      </c>
      <c r="L1883">
        <f>VLOOKUP(D1883,[1]SOI!$A$1:$C$142,3)</f>
        <v>1.8</v>
      </c>
      <c r="M1883" s="2">
        <f t="shared" si="236"/>
        <v>1540.6763664620526</v>
      </c>
      <c r="N1883">
        <f t="shared" si="237"/>
        <v>1080.8516705937441</v>
      </c>
      <c r="O1883" t="s">
        <v>8</v>
      </c>
    </row>
    <row r="1884" spans="1:15" x14ac:dyDescent="0.35">
      <c r="A1884">
        <v>2005</v>
      </c>
      <c r="B1884">
        <v>2</v>
      </c>
      <c r="C1884">
        <v>25</v>
      </c>
      <c r="D1884" s="1">
        <f t="shared" si="232"/>
        <v>38408</v>
      </c>
      <c r="E1884">
        <v>0</v>
      </c>
      <c r="F1884">
        <f t="shared" si="238"/>
        <v>0</v>
      </c>
      <c r="G1884">
        <f t="shared" si="233"/>
        <v>0</v>
      </c>
      <c r="H1884">
        <f t="shared" si="239"/>
        <v>0</v>
      </c>
      <c r="I1884">
        <v>1883</v>
      </c>
      <c r="J1884">
        <f t="shared" si="234"/>
        <v>0.82839572929211325</v>
      </c>
      <c r="K1884">
        <f t="shared" si="235"/>
        <v>0.56014329924635153</v>
      </c>
      <c r="L1884">
        <f>VLOOKUP(D1884,[1]SOI!$A$1:$C$142,3)</f>
        <v>1.8</v>
      </c>
      <c r="M1884" s="2">
        <f t="shared" si="236"/>
        <v>1559.8691582570493</v>
      </c>
      <c r="N1884">
        <f t="shared" si="237"/>
        <v>1054.7498324808798</v>
      </c>
      <c r="O1884" t="s">
        <v>8</v>
      </c>
    </row>
    <row r="1885" spans="1:15" x14ac:dyDescent="0.35">
      <c r="A1885">
        <v>2005</v>
      </c>
      <c r="B1885">
        <v>2</v>
      </c>
      <c r="C1885">
        <v>26</v>
      </c>
      <c r="D1885" s="1">
        <f t="shared" si="232"/>
        <v>38409</v>
      </c>
      <c r="E1885">
        <v>0</v>
      </c>
      <c r="F1885">
        <f t="shared" si="238"/>
        <v>0</v>
      </c>
      <c r="G1885">
        <f t="shared" si="233"/>
        <v>0</v>
      </c>
      <c r="H1885">
        <f t="shared" si="239"/>
        <v>0</v>
      </c>
      <c r="I1885">
        <v>1884</v>
      </c>
      <c r="J1885">
        <f t="shared" si="234"/>
        <v>0.8379085086871817</v>
      </c>
      <c r="K1885">
        <f t="shared" si="235"/>
        <v>0.54581070992572434</v>
      </c>
      <c r="L1885">
        <f>VLOOKUP(D1885,[1]SOI!$A$1:$C$142,3)</f>
        <v>1.8</v>
      </c>
      <c r="M1885" s="2">
        <f t="shared" si="236"/>
        <v>1578.6196303666504</v>
      </c>
      <c r="N1885">
        <f t="shared" si="237"/>
        <v>1028.3073775000646</v>
      </c>
      <c r="O1885" t="s">
        <v>8</v>
      </c>
    </row>
    <row r="1886" spans="1:15" x14ac:dyDescent="0.35">
      <c r="A1886">
        <v>2005</v>
      </c>
      <c r="B1886">
        <v>2</v>
      </c>
      <c r="C1886">
        <v>27</v>
      </c>
      <c r="D1886" s="1">
        <f t="shared" si="232"/>
        <v>38410</v>
      </c>
      <c r="E1886">
        <v>0</v>
      </c>
      <c r="F1886">
        <f t="shared" si="238"/>
        <v>0</v>
      </c>
      <c r="G1886">
        <f t="shared" si="233"/>
        <v>0</v>
      </c>
      <c r="H1886">
        <f t="shared" si="239"/>
        <v>0</v>
      </c>
      <c r="I1886">
        <v>1885</v>
      </c>
      <c r="J1886">
        <f t="shared" si="234"/>
        <v>0.84717333747387413</v>
      </c>
      <c r="K1886">
        <f t="shared" si="235"/>
        <v>0.53131660643478618</v>
      </c>
      <c r="L1886">
        <f>VLOOKUP(D1886,[1]SOI!$A$1:$C$142,3)</f>
        <v>1.8</v>
      </c>
      <c r="M1886" s="2">
        <f t="shared" si="236"/>
        <v>1596.9217411382526</v>
      </c>
      <c r="N1886">
        <f t="shared" si="237"/>
        <v>1001.5318031295719</v>
      </c>
      <c r="O1886" t="s">
        <v>8</v>
      </c>
    </row>
    <row r="1887" spans="1:15" x14ac:dyDescent="0.35">
      <c r="A1887">
        <v>2005</v>
      </c>
      <c r="B1887">
        <v>2</v>
      </c>
      <c r="C1887">
        <v>28</v>
      </c>
      <c r="D1887" s="1">
        <f t="shared" si="232"/>
        <v>38411</v>
      </c>
      <c r="E1887">
        <v>0</v>
      </c>
      <c r="F1887">
        <f t="shared" si="238"/>
        <v>0</v>
      </c>
      <c r="G1887">
        <f t="shared" si="233"/>
        <v>0</v>
      </c>
      <c r="H1887">
        <f t="shared" si="239"/>
        <v>0</v>
      </c>
      <c r="I1887">
        <v>1886</v>
      </c>
      <c r="J1887">
        <f t="shared" si="234"/>
        <v>0.85618747404030715</v>
      </c>
      <c r="K1887">
        <f t="shared" si="235"/>
        <v>0.51666527781192961</v>
      </c>
      <c r="L1887">
        <f>VLOOKUP(D1887,[1]SOI!$A$1:$C$142,3)</f>
        <v>1.8</v>
      </c>
      <c r="M1887" s="2">
        <f t="shared" si="236"/>
        <v>1614.7695760400193</v>
      </c>
      <c r="N1887">
        <f t="shared" si="237"/>
        <v>974.43071395329923</v>
      </c>
      <c r="O1887" t="s">
        <v>8</v>
      </c>
    </row>
    <row r="1888" spans="1:15" x14ac:dyDescent="0.35">
      <c r="A1888">
        <v>2005</v>
      </c>
      <c r="B1888">
        <v>3</v>
      </c>
      <c r="C1888">
        <v>1</v>
      </c>
      <c r="D1888" s="1">
        <f t="shared" si="232"/>
        <v>38412</v>
      </c>
      <c r="E1888">
        <v>0</v>
      </c>
      <c r="F1888">
        <f t="shared" si="238"/>
        <v>0</v>
      </c>
      <c r="G1888">
        <f t="shared" si="233"/>
        <v>0</v>
      </c>
      <c r="H1888">
        <f t="shared" si="239"/>
        <v>0</v>
      </c>
      <c r="I1888">
        <v>1887</v>
      </c>
      <c r="J1888">
        <f t="shared" si="234"/>
        <v>0.86494825095843231</v>
      </c>
      <c r="K1888">
        <f t="shared" si="235"/>
        <v>0.50186105962103567</v>
      </c>
      <c r="L1888">
        <f>VLOOKUP(D1888,[1]SOI!$A$1:$C$142,3)</f>
        <v>-29.1</v>
      </c>
      <c r="M1888" s="2">
        <f t="shared" si="236"/>
        <v>1632.1573495585617</v>
      </c>
      <c r="N1888">
        <f t="shared" si="237"/>
        <v>947.01181950489433</v>
      </c>
      <c r="O1888" t="s">
        <v>8</v>
      </c>
    </row>
    <row r="1889" spans="1:15" x14ac:dyDescent="0.35">
      <c r="A1889">
        <v>2005</v>
      </c>
      <c r="B1889">
        <v>3</v>
      </c>
      <c r="C1889">
        <v>2</v>
      </c>
      <c r="D1889" s="1">
        <f t="shared" si="232"/>
        <v>38413</v>
      </c>
      <c r="E1889">
        <v>0</v>
      </c>
      <c r="F1889">
        <f t="shared" si="238"/>
        <v>0</v>
      </c>
      <c r="G1889">
        <f t="shared" si="233"/>
        <v>0</v>
      </c>
      <c r="H1889">
        <f t="shared" si="239"/>
        <v>0</v>
      </c>
      <c r="I1889">
        <v>1888</v>
      </c>
      <c r="J1889">
        <f t="shared" si="234"/>
        <v>0.87345307577342335</v>
      </c>
      <c r="K1889">
        <f t="shared" si="235"/>
        <v>0.4869083326684257</v>
      </c>
      <c r="L1889">
        <f>VLOOKUP(D1889,[1]SOI!$A$1:$C$142,3)</f>
        <v>-29.1</v>
      </c>
      <c r="M1889" s="2">
        <f t="shared" si="236"/>
        <v>1649.0794070602233</v>
      </c>
      <c r="N1889">
        <f t="shared" si="237"/>
        <v>919.28293207798777</v>
      </c>
      <c r="O1889" t="s">
        <v>8</v>
      </c>
    </row>
    <row r="1890" spans="1:15" x14ac:dyDescent="0.35">
      <c r="A1890">
        <v>2005</v>
      </c>
      <c r="B1890">
        <v>3</v>
      </c>
      <c r="C1890">
        <v>3</v>
      </c>
      <c r="D1890" s="1">
        <f t="shared" si="232"/>
        <v>38414</v>
      </c>
      <c r="E1890">
        <v>0</v>
      </c>
      <c r="F1890">
        <f t="shared" si="238"/>
        <v>0</v>
      </c>
      <c r="G1890">
        <f t="shared" si="233"/>
        <v>0</v>
      </c>
      <c r="H1890">
        <f t="shared" si="239"/>
        <v>0</v>
      </c>
      <c r="I1890">
        <v>1889</v>
      </c>
      <c r="J1890">
        <f t="shared" si="234"/>
        <v>0.88169943177078425</v>
      </c>
      <c r="K1890">
        <f t="shared" si="235"/>
        <v>0.47181152170657736</v>
      </c>
      <c r="L1890">
        <f>VLOOKUP(D1890,[1]SOI!$A$1:$C$142,3)</f>
        <v>-29.1</v>
      </c>
      <c r="M1890" s="2">
        <f t="shared" si="236"/>
        <v>1665.5302266150115</v>
      </c>
      <c r="N1890">
        <f t="shared" si="237"/>
        <v>891.25196450372459</v>
      </c>
      <c r="O1890" t="s">
        <v>8</v>
      </c>
    </row>
    <row r="1891" spans="1:15" x14ac:dyDescent="0.35">
      <c r="A1891">
        <v>2005</v>
      </c>
      <c r="B1891">
        <v>3</v>
      </c>
      <c r="C1891">
        <v>4</v>
      </c>
      <c r="D1891" s="1">
        <f t="shared" si="232"/>
        <v>38415</v>
      </c>
      <c r="E1891">
        <v>0</v>
      </c>
      <c r="F1891">
        <f t="shared" si="238"/>
        <v>0</v>
      </c>
      <c r="G1891">
        <f t="shared" si="233"/>
        <v>0</v>
      </c>
      <c r="H1891">
        <f t="shared" si="239"/>
        <v>0</v>
      </c>
      <c r="I1891">
        <v>1890</v>
      </c>
      <c r="J1891">
        <f t="shared" si="234"/>
        <v>0.88968487872110436</v>
      </c>
      <c r="K1891">
        <f t="shared" si="235"/>
        <v>0.45657509412473851</v>
      </c>
      <c r="L1891">
        <f>VLOOKUP(D1891,[1]SOI!$A$1:$C$142,3)</f>
        <v>-29.1</v>
      </c>
      <c r="M1891" s="2">
        <f t="shared" si="236"/>
        <v>1681.5044207828873</v>
      </c>
      <c r="N1891">
        <f t="shared" si="237"/>
        <v>862.92692789575574</v>
      </c>
      <c r="O1891" t="s">
        <v>8</v>
      </c>
    </row>
    <row r="1892" spans="1:15" x14ac:dyDescent="0.35">
      <c r="A1892">
        <v>2005</v>
      </c>
      <c r="B1892">
        <v>3</v>
      </c>
      <c r="C1892">
        <v>5</v>
      </c>
      <c r="D1892" s="1">
        <f t="shared" si="232"/>
        <v>38416</v>
      </c>
      <c r="E1892">
        <v>2</v>
      </c>
      <c r="F1892">
        <f t="shared" si="238"/>
        <v>0</v>
      </c>
      <c r="G1892">
        <f t="shared" si="233"/>
        <v>1</v>
      </c>
      <c r="H1892">
        <f t="shared" si="239"/>
        <v>0</v>
      </c>
      <c r="I1892">
        <v>1891</v>
      </c>
      <c r="J1892">
        <f t="shared" si="234"/>
        <v>0.89740705360215756</v>
      </c>
      <c r="K1892">
        <f t="shared" si="235"/>
        <v>0.4412035586269612</v>
      </c>
      <c r="L1892">
        <f>VLOOKUP(D1892,[1]SOI!$A$1:$C$142,3)</f>
        <v>-29.1</v>
      </c>
      <c r="M1892" s="2">
        <f t="shared" si="236"/>
        <v>1696.9967383616799</v>
      </c>
      <c r="N1892">
        <f t="shared" si="237"/>
        <v>834.31592936358368</v>
      </c>
      <c r="O1892" t="s">
        <v>8</v>
      </c>
    </row>
    <row r="1893" spans="1:15" x14ac:dyDescent="0.35">
      <c r="A1893">
        <v>2005</v>
      </c>
      <c r="B1893">
        <v>3</v>
      </c>
      <c r="C1893">
        <v>6</v>
      </c>
      <c r="D1893" s="1">
        <f t="shared" si="232"/>
        <v>38417</v>
      </c>
      <c r="E1893">
        <v>3.2</v>
      </c>
      <c r="F1893">
        <f t="shared" si="238"/>
        <v>2</v>
      </c>
      <c r="G1893">
        <f t="shared" si="233"/>
        <v>1</v>
      </c>
      <c r="H1893">
        <f t="shared" si="239"/>
        <v>1</v>
      </c>
      <c r="I1893">
        <v>1892</v>
      </c>
      <c r="J1893">
        <f t="shared" si="234"/>
        <v>0.90486367129815859</v>
      </c>
      <c r="K1893">
        <f t="shared" si="235"/>
        <v>0.42570146389790353</v>
      </c>
      <c r="L1893">
        <f>VLOOKUP(D1893,[1]SOI!$A$1:$C$142,3)</f>
        <v>-29.1</v>
      </c>
      <c r="M1893" s="2">
        <f t="shared" si="236"/>
        <v>1712.0020660961161</v>
      </c>
      <c r="N1893">
        <f t="shared" si="237"/>
        <v>805.42716969483354</v>
      </c>
      <c r="O1893" t="s">
        <v>8</v>
      </c>
    </row>
    <row r="1894" spans="1:15" x14ac:dyDescent="0.35">
      <c r="A1894">
        <v>2005</v>
      </c>
      <c r="B1894">
        <v>3</v>
      </c>
      <c r="C1894">
        <v>7</v>
      </c>
      <c r="D1894" s="1">
        <f t="shared" si="232"/>
        <v>38418</v>
      </c>
      <c r="E1894">
        <v>0.2</v>
      </c>
      <c r="F1894">
        <f t="shared" si="238"/>
        <v>3.2</v>
      </c>
      <c r="G1894">
        <f t="shared" si="233"/>
        <v>1</v>
      </c>
      <c r="H1894">
        <f t="shared" si="239"/>
        <v>1</v>
      </c>
      <c r="I1894">
        <v>1893</v>
      </c>
      <c r="J1894">
        <f t="shared" si="234"/>
        <v>0.91205252527596292</v>
      </c>
      <c r="K1894">
        <f t="shared" si="235"/>
        <v>0.41007339725680686</v>
      </c>
      <c r="L1894">
        <f>VLOOKUP(D1894,[1]SOI!$A$1:$C$142,3)</f>
        <v>-29.1</v>
      </c>
      <c r="M1894" s="2">
        <f t="shared" si="236"/>
        <v>1726.5154303473978</v>
      </c>
      <c r="N1894">
        <f t="shared" si="237"/>
        <v>776.26894100713537</v>
      </c>
      <c r="O1894" t="s">
        <v>8</v>
      </c>
    </row>
    <row r="1895" spans="1:15" x14ac:dyDescent="0.35">
      <c r="A1895">
        <v>2005</v>
      </c>
      <c r="B1895">
        <v>3</v>
      </c>
      <c r="C1895">
        <v>8</v>
      </c>
      <c r="D1895" s="1">
        <f t="shared" si="232"/>
        <v>38419</v>
      </c>
      <c r="E1895">
        <v>1.2</v>
      </c>
      <c r="F1895">
        <f t="shared" si="238"/>
        <v>0.2</v>
      </c>
      <c r="G1895">
        <f t="shared" si="233"/>
        <v>1</v>
      </c>
      <c r="H1895">
        <f t="shared" si="239"/>
        <v>1</v>
      </c>
      <c r="I1895">
        <v>1894</v>
      </c>
      <c r="J1895">
        <f t="shared" si="234"/>
        <v>0.91897148823802699</v>
      </c>
      <c r="K1895">
        <f t="shared" si="235"/>
        <v>0.39432398330000895</v>
      </c>
      <c r="L1895">
        <f>VLOOKUP(D1895,[1]SOI!$A$1:$C$142,3)</f>
        <v>-29.1</v>
      </c>
      <c r="M1895" s="2">
        <f t="shared" si="236"/>
        <v>1740.5319987228231</v>
      </c>
      <c r="N1895">
        <f t="shared" si="237"/>
        <v>746.84962437021693</v>
      </c>
      <c r="O1895" t="s">
        <v>8</v>
      </c>
    </row>
    <row r="1896" spans="1:15" x14ac:dyDescent="0.35">
      <c r="A1896">
        <v>2005</v>
      </c>
      <c r="B1896">
        <v>3</v>
      </c>
      <c r="C1896">
        <v>9</v>
      </c>
      <c r="D1896" s="1">
        <f t="shared" si="232"/>
        <v>38420</v>
      </c>
      <c r="E1896">
        <v>0</v>
      </c>
      <c r="F1896">
        <f t="shared" si="238"/>
        <v>1.2</v>
      </c>
      <c r="G1896">
        <f t="shared" si="233"/>
        <v>0</v>
      </c>
      <c r="H1896">
        <f t="shared" si="239"/>
        <v>1</v>
      </c>
      <c r="I1896">
        <v>1895</v>
      </c>
      <c r="J1896">
        <f t="shared" si="234"/>
        <v>0.92561851275189189</v>
      </c>
      <c r="K1896">
        <f t="shared" si="235"/>
        <v>0.37845788253248969</v>
      </c>
      <c r="L1896">
        <f>VLOOKUP(D1896,[1]SOI!$A$1:$C$142,3)</f>
        <v>-29.1</v>
      </c>
      <c r="M1896" s="2">
        <f t="shared" si="236"/>
        <v>1754.0470816648351</v>
      </c>
      <c r="N1896">
        <f t="shared" si="237"/>
        <v>717.17768739906796</v>
      </c>
      <c r="O1896" t="s">
        <v>8</v>
      </c>
    </row>
    <row r="1897" spans="1:15" x14ac:dyDescent="0.35">
      <c r="A1897">
        <v>2005</v>
      </c>
      <c r="B1897">
        <v>3</v>
      </c>
      <c r="C1897">
        <v>10</v>
      </c>
      <c r="D1897" s="1">
        <f t="shared" si="232"/>
        <v>38421</v>
      </c>
      <c r="E1897">
        <v>0.8</v>
      </c>
      <c r="F1897">
        <f t="shared" si="238"/>
        <v>0</v>
      </c>
      <c r="G1897">
        <f t="shared" si="233"/>
        <v>1</v>
      </c>
      <c r="H1897">
        <f t="shared" si="239"/>
        <v>0</v>
      </c>
      <c r="I1897">
        <v>1896</v>
      </c>
      <c r="J1897">
        <f t="shared" si="234"/>
        <v>0.93199163185606348</v>
      </c>
      <c r="K1897">
        <f t="shared" si="235"/>
        <v>0.36247978998872726</v>
      </c>
      <c r="L1897">
        <f>VLOOKUP(D1897,[1]SOI!$A$1:$C$142,3)</f>
        <v>-29.1</v>
      </c>
      <c r="M1897" s="2">
        <f t="shared" si="236"/>
        <v>1767.0561339990963</v>
      </c>
      <c r="N1897">
        <f t="shared" si="237"/>
        <v>687.26168181862693</v>
      </c>
      <c r="O1897" t="s">
        <v>8</v>
      </c>
    </row>
    <row r="1898" spans="1:15" x14ac:dyDescent="0.35">
      <c r="A1898">
        <v>2005</v>
      </c>
      <c r="B1898">
        <v>3</v>
      </c>
      <c r="C1898">
        <v>11</v>
      </c>
      <c r="D1898" s="1">
        <f t="shared" si="232"/>
        <v>38422</v>
      </c>
      <c r="E1898">
        <v>0</v>
      </c>
      <c r="F1898">
        <f t="shared" si="238"/>
        <v>0.8</v>
      </c>
      <c r="G1898">
        <f t="shared" si="233"/>
        <v>0</v>
      </c>
      <c r="H1898">
        <f t="shared" si="239"/>
        <v>1</v>
      </c>
      <c r="I1898">
        <v>1897</v>
      </c>
      <c r="J1898">
        <f t="shared" si="234"/>
        <v>0.9380889596420654</v>
      </c>
      <c r="K1898">
        <f t="shared" si="235"/>
        <v>0.34639443384336804</v>
      </c>
      <c r="L1898">
        <f>VLOOKUP(D1898,[1]SOI!$A$1:$C$142,3)</f>
        <v>-29.1</v>
      </c>
      <c r="M1898" s="2">
        <f t="shared" si="236"/>
        <v>1779.5547564409981</v>
      </c>
      <c r="N1898">
        <f t="shared" si="237"/>
        <v>657.11024100086922</v>
      </c>
      <c r="O1898" t="s">
        <v>8</v>
      </c>
    </row>
    <row r="1899" spans="1:15" x14ac:dyDescent="0.35">
      <c r="A1899">
        <v>2005</v>
      </c>
      <c r="B1899">
        <v>3</v>
      </c>
      <c r="C1899">
        <v>12</v>
      </c>
      <c r="D1899" s="1">
        <f t="shared" si="232"/>
        <v>38423</v>
      </c>
      <c r="E1899">
        <v>0</v>
      </c>
      <c r="F1899">
        <f t="shared" si="238"/>
        <v>0</v>
      </c>
      <c r="G1899">
        <f t="shared" si="233"/>
        <v>0</v>
      </c>
      <c r="H1899">
        <f t="shared" si="239"/>
        <v>0</v>
      </c>
      <c r="I1899">
        <v>1898</v>
      </c>
      <c r="J1899">
        <f t="shared" si="234"/>
        <v>0.94390869181250669</v>
      </c>
      <c r="K1899">
        <f t="shared" si="235"/>
        <v>0.33020657401209075</v>
      </c>
      <c r="L1899">
        <f>VLOOKUP(D1899,[1]SOI!$A$1:$C$142,3)</f>
        <v>-29.1</v>
      </c>
      <c r="M1899" s="2">
        <f t="shared" si="236"/>
        <v>1791.5386970601378</v>
      </c>
      <c r="N1899">
        <f t="shared" si="237"/>
        <v>626.73207747494826</v>
      </c>
      <c r="O1899" t="s">
        <v>8</v>
      </c>
    </row>
    <row r="1900" spans="1:15" x14ac:dyDescent="0.35">
      <c r="A1900">
        <v>2005</v>
      </c>
      <c r="B1900">
        <v>3</v>
      </c>
      <c r="C1900">
        <v>13</v>
      </c>
      <c r="D1900" s="1">
        <f t="shared" si="232"/>
        <v>38424</v>
      </c>
      <c r="E1900">
        <v>0</v>
      </c>
      <c r="F1900">
        <f t="shared" si="238"/>
        <v>0</v>
      </c>
      <c r="G1900">
        <f t="shared" si="233"/>
        <v>0</v>
      </c>
      <c r="H1900">
        <f t="shared" si="239"/>
        <v>0</v>
      </c>
      <c r="I1900">
        <v>1899</v>
      </c>
      <c r="J1900">
        <f t="shared" si="234"/>
        <v>0.94944910621501244</v>
      </c>
      <c r="K1900">
        <f t="shared" si="235"/>
        <v>0.31392100074304363</v>
      </c>
      <c r="L1900">
        <f>VLOOKUP(D1900,[1]SOI!$A$1:$C$142,3)</f>
        <v>-29.1</v>
      </c>
      <c r="M1900" s="2">
        <f t="shared" si="236"/>
        <v>1803.0038527023087</v>
      </c>
      <c r="N1900">
        <f t="shared" si="237"/>
        <v>596.1359804110399</v>
      </c>
      <c r="O1900" t="s">
        <v>8</v>
      </c>
    </row>
    <row r="1901" spans="1:15" x14ac:dyDescent="0.35">
      <c r="A1901">
        <v>2005</v>
      </c>
      <c r="B1901">
        <v>3</v>
      </c>
      <c r="C1901">
        <v>14</v>
      </c>
      <c r="D1901" s="1">
        <f t="shared" si="232"/>
        <v>38425</v>
      </c>
      <c r="E1901">
        <v>0</v>
      </c>
      <c r="F1901">
        <f t="shared" si="238"/>
        <v>0</v>
      </c>
      <c r="G1901">
        <f t="shared" si="233"/>
        <v>0</v>
      </c>
      <c r="H1901">
        <f t="shared" si="239"/>
        <v>0</v>
      </c>
      <c r="I1901">
        <v>1900</v>
      </c>
      <c r="J1901">
        <f t="shared" si="234"/>
        <v>0.95470856335182197</v>
      </c>
      <c r="K1901">
        <f t="shared" si="235"/>
        <v>0.2975425331993734</v>
      </c>
      <c r="L1901">
        <f>VLOOKUP(D1901,[1]SOI!$A$1:$C$142,3)</f>
        <v>-29.1</v>
      </c>
      <c r="M1901" s="2">
        <f t="shared" si="236"/>
        <v>1813.9462703684617</v>
      </c>
      <c r="N1901">
        <f t="shared" si="237"/>
        <v>565.33081307880946</v>
      </c>
      <c r="O1901" t="s">
        <v>8</v>
      </c>
    </row>
    <row r="1902" spans="1:15" x14ac:dyDescent="0.35">
      <c r="A1902">
        <v>2005</v>
      </c>
      <c r="B1902">
        <v>3</v>
      </c>
      <c r="C1902">
        <v>15</v>
      </c>
      <c r="D1902" s="1">
        <f t="shared" si="232"/>
        <v>38426</v>
      </c>
      <c r="E1902">
        <v>0</v>
      </c>
      <c r="F1902">
        <f t="shared" si="238"/>
        <v>0</v>
      </c>
      <c r="G1902">
        <f t="shared" si="233"/>
        <v>0</v>
      </c>
      <c r="H1902">
        <f t="shared" si="239"/>
        <v>0</v>
      </c>
      <c r="I1902">
        <v>1901</v>
      </c>
      <c r="J1902">
        <f t="shared" si="234"/>
        <v>0.9596855068649518</v>
      </c>
      <c r="K1902">
        <f t="shared" si="235"/>
        <v>0.28107601803313037</v>
      </c>
      <c r="L1902">
        <f>VLOOKUP(D1902,[1]SOI!$A$1:$C$142,3)</f>
        <v>-29.1</v>
      </c>
      <c r="M1902" s="2">
        <f t="shared" si="236"/>
        <v>1824.3621485502733</v>
      </c>
      <c r="N1902">
        <f t="shared" si="237"/>
        <v>534.32551028098078</v>
      </c>
      <c r="O1902" t="s">
        <v>8</v>
      </c>
    </row>
    <row r="1903" spans="1:15" x14ac:dyDescent="0.35">
      <c r="A1903">
        <v>2005</v>
      </c>
      <c r="B1903">
        <v>3</v>
      </c>
      <c r="C1903">
        <v>16</v>
      </c>
      <c r="D1903" s="1">
        <f t="shared" si="232"/>
        <v>38427</v>
      </c>
      <c r="E1903">
        <v>0.6</v>
      </c>
      <c r="F1903">
        <f t="shared" si="238"/>
        <v>0</v>
      </c>
      <c r="G1903">
        <f t="shared" si="233"/>
        <v>1</v>
      </c>
      <c r="H1903">
        <f t="shared" si="239"/>
        <v>0</v>
      </c>
      <c r="I1903">
        <v>1902</v>
      </c>
      <c r="J1903">
        <f t="shared" si="234"/>
        <v>0.96437846399674509</v>
      </c>
      <c r="K1903">
        <f t="shared" si="235"/>
        <v>0.26452632795107311</v>
      </c>
      <c r="L1903">
        <f>VLOOKUP(D1903,[1]SOI!$A$1:$C$142,3)</f>
        <v>-29.1</v>
      </c>
      <c r="M1903" s="2">
        <f t="shared" si="236"/>
        <v>1834.2478385218092</v>
      </c>
      <c r="N1903">
        <f t="shared" si="237"/>
        <v>503.12907576294106</v>
      </c>
      <c r="O1903" t="s">
        <v>8</v>
      </c>
    </row>
    <row r="1904" spans="1:15" x14ac:dyDescent="0.35">
      <c r="A1904">
        <v>2005</v>
      </c>
      <c r="B1904">
        <v>3</v>
      </c>
      <c r="C1904">
        <v>17</v>
      </c>
      <c r="D1904" s="1">
        <f t="shared" si="232"/>
        <v>38428</v>
      </c>
      <c r="E1904">
        <v>0</v>
      </c>
      <c r="F1904">
        <f t="shared" si="238"/>
        <v>0.6</v>
      </c>
      <c r="G1904">
        <f t="shared" si="233"/>
        <v>0</v>
      </c>
      <c r="H1904">
        <f t="shared" si="239"/>
        <v>1</v>
      </c>
      <c r="I1904">
        <v>1903</v>
      </c>
      <c r="J1904">
        <f t="shared" si="234"/>
        <v>0.96878604602568419</v>
      </c>
      <c r="K1904">
        <f t="shared" si="235"/>
        <v>0.24789836027275569</v>
      </c>
      <c r="L1904">
        <f>VLOOKUP(D1904,[1]SOI!$A$1:$C$142,3)</f>
        <v>-29.1</v>
      </c>
      <c r="M1904" s="2">
        <f t="shared" si="236"/>
        <v>1843.5998455868771</v>
      </c>
      <c r="N1904">
        <f t="shared" si="237"/>
        <v>471.75057959905411</v>
      </c>
      <c r="O1904" t="s">
        <v>8</v>
      </c>
    </row>
    <row r="1905" spans="1:15" x14ac:dyDescent="0.35">
      <c r="A1905">
        <v>2005</v>
      </c>
      <c r="B1905">
        <v>3</v>
      </c>
      <c r="C1905">
        <v>18</v>
      </c>
      <c r="D1905" s="1">
        <f t="shared" si="232"/>
        <v>38429</v>
      </c>
      <c r="E1905">
        <v>0</v>
      </c>
      <c r="F1905">
        <f t="shared" si="238"/>
        <v>0</v>
      </c>
      <c r="G1905">
        <f t="shared" si="233"/>
        <v>0</v>
      </c>
      <c r="H1905">
        <f t="shared" si="239"/>
        <v>0</v>
      </c>
      <c r="I1905">
        <v>1904</v>
      </c>
      <c r="J1905">
        <f t="shared" si="234"/>
        <v>0.97290694867733385</v>
      </c>
      <c r="K1905">
        <f t="shared" si="235"/>
        <v>0.23119703548133935</v>
      </c>
      <c r="L1905">
        <f>VLOOKUP(D1905,[1]SOI!$A$1:$C$142,3)</f>
        <v>-29.1</v>
      </c>
      <c r="M1905" s="2">
        <f t="shared" si="236"/>
        <v>1852.4148302816436</v>
      </c>
      <c r="N1905">
        <f t="shared" si="237"/>
        <v>440.19915555647015</v>
      </c>
      <c r="O1905" t="s">
        <v>8</v>
      </c>
    </row>
    <row r="1906" spans="1:15" x14ac:dyDescent="0.35">
      <c r="A1906">
        <v>2005</v>
      </c>
      <c r="B1906">
        <v>3</v>
      </c>
      <c r="C1906">
        <v>19</v>
      </c>
      <c r="D1906" s="1">
        <f t="shared" si="232"/>
        <v>38430</v>
      </c>
      <c r="E1906">
        <v>0</v>
      </c>
      <c r="F1906">
        <f t="shared" si="238"/>
        <v>0</v>
      </c>
      <c r="G1906">
        <f t="shared" si="233"/>
        <v>0</v>
      </c>
      <c r="H1906">
        <f t="shared" si="239"/>
        <v>0</v>
      </c>
      <c r="I1906">
        <v>1905</v>
      </c>
      <c r="J1906">
        <f t="shared" si="234"/>
        <v>0.97673995251030399</v>
      </c>
      <c r="K1906">
        <f t="shared" si="235"/>
        <v>0.2144272957675146</v>
      </c>
      <c r="L1906">
        <f>VLOOKUP(D1906,[1]SOI!$A$1:$C$142,3)</f>
        <v>-29.1</v>
      </c>
      <c r="M1906" s="2">
        <f t="shared" si="236"/>
        <v>1860.689609532129</v>
      </c>
      <c r="N1906">
        <f t="shared" si="237"/>
        <v>408.4839984371153</v>
      </c>
      <c r="O1906" t="s">
        <v>8</v>
      </c>
    </row>
    <row r="1907" spans="1:15" x14ac:dyDescent="0.35">
      <c r="A1907">
        <v>2005</v>
      </c>
      <c r="B1907">
        <v>3</v>
      </c>
      <c r="C1907">
        <v>20</v>
      </c>
      <c r="D1907" s="1">
        <f t="shared" si="232"/>
        <v>38431</v>
      </c>
      <c r="E1907">
        <v>0</v>
      </c>
      <c r="F1907">
        <f t="shared" si="238"/>
        <v>0</v>
      </c>
      <c r="G1907">
        <f t="shared" si="233"/>
        <v>0</v>
      </c>
      <c r="H1907">
        <f t="shared" si="239"/>
        <v>0</v>
      </c>
      <c r="I1907">
        <v>1906</v>
      </c>
      <c r="J1907">
        <f t="shared" si="234"/>
        <v>0.98028392327709146</v>
      </c>
      <c r="K1907">
        <f t="shared" si="235"/>
        <v>0.19759410356706875</v>
      </c>
      <c r="L1907">
        <f>VLOOKUP(D1907,[1]SOI!$A$1:$C$142,3)</f>
        <v>-29.1</v>
      </c>
      <c r="M1907" s="2">
        <f t="shared" si="236"/>
        <v>1868.4211577661363</v>
      </c>
      <c r="N1907">
        <f t="shared" si="237"/>
        <v>376.61436139883301</v>
      </c>
      <c r="O1907" t="s">
        <v>8</v>
      </c>
    </row>
    <row r="1908" spans="1:15" x14ac:dyDescent="0.35">
      <c r="A1908">
        <v>2005</v>
      </c>
      <c r="B1908">
        <v>3</v>
      </c>
      <c r="C1908">
        <v>21</v>
      </c>
      <c r="D1908" s="1">
        <f t="shared" si="232"/>
        <v>38432</v>
      </c>
      <c r="E1908">
        <v>0</v>
      </c>
      <c r="F1908">
        <f t="shared" si="238"/>
        <v>0</v>
      </c>
      <c r="G1908">
        <f t="shared" si="233"/>
        <v>0</v>
      </c>
      <c r="H1908">
        <f t="shared" si="239"/>
        <v>0</v>
      </c>
      <c r="I1908">
        <v>1907</v>
      </c>
      <c r="J1908">
        <f t="shared" si="234"/>
        <v>0.98353781225972947</v>
      </c>
      <c r="K1908">
        <f t="shared" si="235"/>
        <v>0.18070244009239395</v>
      </c>
      <c r="L1908">
        <f>VLOOKUP(D1908,[1]SOI!$A$1:$C$142,3)</f>
        <v>-29.1</v>
      </c>
      <c r="M1908" s="2">
        <f t="shared" si="236"/>
        <v>1875.606607979304</v>
      </c>
      <c r="N1908">
        <f t="shared" si="237"/>
        <v>344.59955325619524</v>
      </c>
      <c r="O1908" t="s">
        <v>8</v>
      </c>
    </row>
    <row r="1909" spans="1:15" x14ac:dyDescent="0.35">
      <c r="A1909">
        <v>2005</v>
      </c>
      <c r="B1909">
        <v>3</v>
      </c>
      <c r="C1909">
        <v>22</v>
      </c>
      <c r="D1909" s="1">
        <f t="shared" si="232"/>
        <v>38433</v>
      </c>
      <c r="E1909">
        <v>0</v>
      </c>
      <c r="F1909">
        <f t="shared" si="238"/>
        <v>0</v>
      </c>
      <c r="G1909">
        <f t="shared" si="233"/>
        <v>0</v>
      </c>
      <c r="H1909">
        <f t="shared" si="239"/>
        <v>0</v>
      </c>
      <c r="I1909">
        <v>1908</v>
      </c>
      <c r="J1909">
        <f t="shared" si="234"/>
        <v>0.98650065658011787</v>
      </c>
      <c r="K1909">
        <f t="shared" si="235"/>
        <v>0.16375730385847309</v>
      </c>
      <c r="L1909">
        <f>VLOOKUP(D1909,[1]SOI!$A$1:$C$142,3)</f>
        <v>-29.1</v>
      </c>
      <c r="M1909" s="2">
        <f t="shared" si="236"/>
        <v>1882.2432527548649</v>
      </c>
      <c r="N1909">
        <f t="shared" si="237"/>
        <v>312.44893576196665</v>
      </c>
      <c r="O1909" t="s">
        <v>8</v>
      </c>
    </row>
    <row r="1910" spans="1:15" x14ac:dyDescent="0.35">
      <c r="A1910">
        <v>2005</v>
      </c>
      <c r="B1910">
        <v>3</v>
      </c>
      <c r="C1910">
        <v>23</v>
      </c>
      <c r="D1910" s="1">
        <f t="shared" si="232"/>
        <v>38434</v>
      </c>
      <c r="E1910">
        <v>0</v>
      </c>
      <c r="F1910">
        <f t="shared" si="238"/>
        <v>0</v>
      </c>
      <c r="G1910">
        <f t="shared" si="233"/>
        <v>0</v>
      </c>
      <c r="H1910">
        <f t="shared" si="239"/>
        <v>0</v>
      </c>
      <c r="I1910">
        <v>1909</v>
      </c>
      <c r="J1910">
        <f t="shared" si="234"/>
        <v>0.98917157948495382</v>
      </c>
      <c r="K1910">
        <f t="shared" si="235"/>
        <v>0.14676370920374587</v>
      </c>
      <c r="L1910">
        <f>VLOOKUP(D1910,[1]SOI!$A$1:$C$142,3)</f>
        <v>-29.1</v>
      </c>
      <c r="M1910" s="2">
        <f t="shared" si="236"/>
        <v>1888.3285452367768</v>
      </c>
      <c r="N1910">
        <f t="shared" si="237"/>
        <v>280.1719208699509</v>
      </c>
      <c r="O1910" t="s">
        <v>8</v>
      </c>
    </row>
    <row r="1911" spans="1:15" x14ac:dyDescent="0.35">
      <c r="A1911">
        <v>2005</v>
      </c>
      <c r="B1911">
        <v>3</v>
      </c>
      <c r="C1911">
        <v>24</v>
      </c>
      <c r="D1911" s="1">
        <f t="shared" si="232"/>
        <v>38435</v>
      </c>
      <c r="E1911">
        <v>0</v>
      </c>
      <c r="F1911">
        <f t="shared" si="238"/>
        <v>0</v>
      </c>
      <c r="G1911">
        <f t="shared" si="233"/>
        <v>0</v>
      </c>
      <c r="H1911">
        <f t="shared" si="239"/>
        <v>0</v>
      </c>
      <c r="I1911">
        <v>1910</v>
      </c>
      <c r="J1911">
        <f t="shared" si="234"/>
        <v>0.99154979060518089</v>
      </c>
      <c r="K1911">
        <f t="shared" si="235"/>
        <v>0.12972668480625721</v>
      </c>
      <c r="L1911">
        <f>VLOOKUP(D1911,[1]SOI!$A$1:$C$142,3)</f>
        <v>-29.1</v>
      </c>
      <c r="M1911" s="2">
        <f t="shared" si="236"/>
        <v>1893.8601000558956</v>
      </c>
      <c r="N1911">
        <f t="shared" si="237"/>
        <v>247.77796797995126</v>
      </c>
      <c r="O1911" t="s">
        <v>8</v>
      </c>
    </row>
    <row r="1912" spans="1:15" x14ac:dyDescent="0.35">
      <c r="A1912">
        <v>2005</v>
      </c>
      <c r="B1912">
        <v>3</v>
      </c>
      <c r="C1912">
        <v>25</v>
      </c>
      <c r="D1912" s="1">
        <f t="shared" si="232"/>
        <v>38436</v>
      </c>
      <c r="E1912">
        <v>0.2</v>
      </c>
      <c r="F1912">
        <f t="shared" si="238"/>
        <v>0</v>
      </c>
      <c r="G1912">
        <f t="shared" si="233"/>
        <v>1</v>
      </c>
      <c r="H1912">
        <f t="shared" si="239"/>
        <v>0</v>
      </c>
      <c r="I1912">
        <v>1911</v>
      </c>
      <c r="J1912">
        <f t="shared" si="234"/>
        <v>0.99363458618986644</v>
      </c>
      <c r="K1912">
        <f t="shared" si="235"/>
        <v>0.11265127219562565</v>
      </c>
      <c r="L1912">
        <f>VLOOKUP(D1912,[1]SOI!$A$1:$C$142,3)</f>
        <v>-29.1</v>
      </c>
      <c r="M1912" s="2">
        <f t="shared" si="236"/>
        <v>1898.8356942088349</v>
      </c>
      <c r="N1912">
        <f t="shared" si="237"/>
        <v>215.27658116584061</v>
      </c>
      <c r="O1912" t="s">
        <v>8</v>
      </c>
    </row>
    <row r="1913" spans="1:15" x14ac:dyDescent="0.35">
      <c r="A1913">
        <v>2005</v>
      </c>
      <c r="B1913">
        <v>3</v>
      </c>
      <c r="C1913">
        <v>26</v>
      </c>
      <c r="D1913" s="1">
        <f t="shared" si="232"/>
        <v>38437</v>
      </c>
      <c r="E1913">
        <v>0</v>
      </c>
      <c r="F1913">
        <f t="shared" si="238"/>
        <v>0.2</v>
      </c>
      <c r="G1913">
        <f t="shared" si="233"/>
        <v>0</v>
      </c>
      <c r="H1913">
        <f t="shared" si="239"/>
        <v>1</v>
      </c>
      <c r="I1913">
        <v>1912</v>
      </c>
      <c r="J1913">
        <f t="shared" si="234"/>
        <v>0.99542534931445348</v>
      </c>
      <c r="K1913">
        <f t="shared" si="235"/>
        <v>9.5542524261180817E-2</v>
      </c>
      <c r="L1913">
        <f>VLOOKUP(D1913,[1]SOI!$A$1:$C$142,3)</f>
        <v>-29.1</v>
      </c>
      <c r="M1913" s="2">
        <f t="shared" si="236"/>
        <v>1903.2532678892351</v>
      </c>
      <c r="N1913">
        <f t="shared" si="237"/>
        <v>182.67730638737771</v>
      </c>
      <c r="O1913" t="s">
        <v>8</v>
      </c>
    </row>
    <row r="1914" spans="1:15" x14ac:dyDescent="0.35">
      <c r="A1914">
        <v>2005</v>
      </c>
      <c r="B1914">
        <v>3</v>
      </c>
      <c r="C1914">
        <v>27</v>
      </c>
      <c r="D1914" s="1">
        <f t="shared" si="232"/>
        <v>38438</v>
      </c>
      <c r="E1914">
        <v>0</v>
      </c>
      <c r="F1914">
        <f t="shared" si="238"/>
        <v>0</v>
      </c>
      <c r="G1914">
        <f t="shared" si="233"/>
        <v>0</v>
      </c>
      <c r="H1914">
        <f t="shared" si="239"/>
        <v>0</v>
      </c>
      <c r="I1914">
        <v>1913</v>
      </c>
      <c r="J1914">
        <f t="shared" si="234"/>
        <v>0.99692155006332517</v>
      </c>
      <c r="K1914">
        <f t="shared" si="235"/>
        <v>7.8405503756668632E-2</v>
      </c>
      <c r="L1914">
        <f>VLOOKUP(D1914,[1]SOI!$A$1:$C$142,3)</f>
        <v>-29.1</v>
      </c>
      <c r="M1914" s="2">
        <f t="shared" si="236"/>
        <v>1907.110925271141</v>
      </c>
      <c r="N1914">
        <f t="shared" si="237"/>
        <v>149.98972868650711</v>
      </c>
      <c r="O1914" t="s">
        <v>8</v>
      </c>
    </row>
    <row r="1915" spans="1:15" x14ac:dyDescent="0.35">
      <c r="A1915">
        <v>2005</v>
      </c>
      <c r="B1915">
        <v>3</v>
      </c>
      <c r="C1915">
        <v>28</v>
      </c>
      <c r="D1915" s="1">
        <f t="shared" si="232"/>
        <v>38439</v>
      </c>
      <c r="E1915">
        <v>0.4</v>
      </c>
      <c r="F1915">
        <f t="shared" si="238"/>
        <v>0</v>
      </c>
      <c r="G1915">
        <f t="shared" si="233"/>
        <v>1</v>
      </c>
      <c r="H1915">
        <f t="shared" si="239"/>
        <v>0</v>
      </c>
      <c r="I1915">
        <v>1914</v>
      </c>
      <c r="J1915">
        <f t="shared" si="234"/>
        <v>0.99812274568660775</v>
      </c>
      <c r="K1915">
        <f t="shared" si="235"/>
        <v>6.1245281802171592E-2</v>
      </c>
      <c r="L1915">
        <f>VLOOKUP(D1915,[1]SOI!$A$1:$C$142,3)</f>
        <v>-29.1</v>
      </c>
      <c r="M1915" s="2">
        <f t="shared" si="236"/>
        <v>1910.4069352441672</v>
      </c>
      <c r="N1915">
        <f t="shared" si="237"/>
        <v>117.22346936935642</v>
      </c>
      <c r="O1915" t="s">
        <v>8</v>
      </c>
    </row>
    <row r="1916" spans="1:15" x14ac:dyDescent="0.35">
      <c r="A1916">
        <v>2005</v>
      </c>
      <c r="B1916">
        <v>3</v>
      </c>
      <c r="C1916">
        <v>29</v>
      </c>
      <c r="D1916" s="1">
        <f t="shared" si="232"/>
        <v>38440</v>
      </c>
      <c r="E1916">
        <v>0</v>
      </c>
      <c r="F1916">
        <f t="shared" si="238"/>
        <v>0.4</v>
      </c>
      <c r="G1916">
        <f t="shared" si="233"/>
        <v>0</v>
      </c>
      <c r="H1916">
        <f t="shared" si="239"/>
        <v>1</v>
      </c>
      <c r="I1916">
        <v>1915</v>
      </c>
      <c r="J1916">
        <f t="shared" si="234"/>
        <v>0.99902858073119072</v>
      </c>
      <c r="K1916">
        <f t="shared" si="235"/>
        <v>4.4066936383447455E-2</v>
      </c>
      <c r="L1916">
        <f>VLOOKUP(D1916,[1]SOI!$A$1:$C$142,3)</f>
        <v>-29.1</v>
      </c>
      <c r="M1916" s="2">
        <f t="shared" si="236"/>
        <v>1913.1397321002303</v>
      </c>
      <c r="N1916">
        <f t="shared" si="237"/>
        <v>84.388183174301872</v>
      </c>
      <c r="O1916" t="s">
        <v>8</v>
      </c>
    </row>
    <row r="1917" spans="1:15" x14ac:dyDescent="0.35">
      <c r="A1917">
        <v>2005</v>
      </c>
      <c r="B1917">
        <v>3</v>
      </c>
      <c r="C1917">
        <v>30</v>
      </c>
      <c r="D1917" s="1">
        <f t="shared" si="232"/>
        <v>38441</v>
      </c>
      <c r="E1917">
        <v>0</v>
      </c>
      <c r="F1917">
        <f t="shared" si="238"/>
        <v>0</v>
      </c>
      <c r="G1917">
        <f t="shared" si="233"/>
        <v>0</v>
      </c>
      <c r="H1917">
        <f t="shared" si="239"/>
        <v>0</v>
      </c>
      <c r="I1917">
        <v>1916</v>
      </c>
      <c r="J1917">
        <f t="shared" si="234"/>
        <v>0.99963878714591092</v>
      </c>
      <c r="K1917">
        <f t="shared" si="235"/>
        <v>2.6875550849278614E-2</v>
      </c>
      <c r="L1917">
        <f>VLOOKUP(D1917,[1]SOI!$A$1:$C$142,3)</f>
        <v>-29.1</v>
      </c>
      <c r="M1917" s="2">
        <f t="shared" si="236"/>
        <v>1915.3079161715652</v>
      </c>
      <c r="N1917">
        <f t="shared" si="237"/>
        <v>51.493555427217828</v>
      </c>
      <c r="O1917" t="s">
        <v>8</v>
      </c>
    </row>
    <row r="1918" spans="1:15" x14ac:dyDescent="0.35">
      <c r="A1918">
        <v>2005</v>
      </c>
      <c r="B1918">
        <v>3</v>
      </c>
      <c r="C1918">
        <v>31</v>
      </c>
      <c r="D1918" s="1">
        <f t="shared" si="232"/>
        <v>38442</v>
      </c>
      <c r="E1918">
        <v>0</v>
      </c>
      <c r="F1918">
        <f t="shared" si="238"/>
        <v>0</v>
      </c>
      <c r="G1918">
        <f t="shared" si="233"/>
        <v>0</v>
      </c>
      <c r="H1918">
        <f t="shared" si="239"/>
        <v>0</v>
      </c>
      <c r="I1918">
        <v>1917</v>
      </c>
      <c r="J1918">
        <f t="shared" si="234"/>
        <v>0.9999531843608731</v>
      </c>
      <c r="K1918">
        <f t="shared" si="235"/>
        <v>9.6762124072274358E-3</v>
      </c>
      <c r="L1918">
        <f>VLOOKUP(D1918,[1]SOI!$A$1:$C$142,3)</f>
        <v>-29.1</v>
      </c>
      <c r="M1918" s="2">
        <f t="shared" si="236"/>
        <v>1916.9102544197938</v>
      </c>
      <c r="N1918">
        <f t="shared" si="237"/>
        <v>18.549299184654995</v>
      </c>
      <c r="O1918" t="s">
        <v>8</v>
      </c>
    </row>
    <row r="1919" spans="1:15" x14ac:dyDescent="0.35">
      <c r="A1919">
        <v>2005</v>
      </c>
      <c r="B1919">
        <v>4</v>
      </c>
      <c r="C1919">
        <v>1</v>
      </c>
      <c r="D1919" s="1">
        <f t="shared" si="232"/>
        <v>38443</v>
      </c>
      <c r="E1919">
        <v>0</v>
      </c>
      <c r="F1919">
        <f t="shared" si="238"/>
        <v>0</v>
      </c>
      <c r="G1919">
        <f t="shared" si="233"/>
        <v>0</v>
      </c>
      <c r="H1919">
        <f t="shared" si="239"/>
        <v>0</v>
      </c>
      <c r="I1919">
        <v>1918</v>
      </c>
      <c r="J1919">
        <f t="shared" si="234"/>
        <v>0.99997167934088305</v>
      </c>
      <c r="K1919">
        <f t="shared" si="235"/>
        <v>-7.5259893817432233E-3</v>
      </c>
      <c r="L1919">
        <f>VLOOKUP(D1919,[1]SOI!$A$1:$C$142,3)</f>
        <v>0.2</v>
      </c>
      <c r="M1919" s="2">
        <f t="shared" si="236"/>
        <v>1917.9456809758137</v>
      </c>
      <c r="N1919">
        <f t="shared" si="237"/>
        <v>-14.434847634183502</v>
      </c>
      <c r="O1919" t="s">
        <v>8</v>
      </c>
    </row>
    <row r="1920" spans="1:15" x14ac:dyDescent="0.35">
      <c r="A1920">
        <v>2005</v>
      </c>
      <c r="B1920">
        <v>4</v>
      </c>
      <c r="C1920">
        <v>2</v>
      </c>
      <c r="D1920" s="1">
        <f t="shared" si="232"/>
        <v>38444</v>
      </c>
      <c r="E1920">
        <v>0</v>
      </c>
      <c r="F1920">
        <f t="shared" si="238"/>
        <v>0</v>
      </c>
      <c r="G1920">
        <f t="shared" si="233"/>
        <v>0</v>
      </c>
      <c r="H1920">
        <f t="shared" si="239"/>
        <v>0</v>
      </c>
      <c r="I1920">
        <v>1919</v>
      </c>
      <c r="J1920">
        <f t="shared" si="234"/>
        <v>0.99969426661297878</v>
      </c>
      <c r="K1920">
        <f t="shared" si="235"/>
        <v>-2.4725964109381403E-2</v>
      </c>
      <c r="L1920">
        <f>VLOOKUP(D1920,[1]SOI!$A$1:$C$142,3)</f>
        <v>0.2</v>
      </c>
      <c r="M1920" s="2">
        <f t="shared" si="236"/>
        <v>1918.4132976303063</v>
      </c>
      <c r="N1920">
        <f t="shared" si="237"/>
        <v>-47.44912512590291</v>
      </c>
      <c r="O1920" t="s">
        <v>8</v>
      </c>
    </row>
    <row r="1921" spans="1:15" x14ac:dyDescent="0.35">
      <c r="A1921">
        <v>2005</v>
      </c>
      <c r="B1921">
        <v>4</v>
      </c>
      <c r="C1921">
        <v>3</v>
      </c>
      <c r="D1921" s="1">
        <f t="shared" si="232"/>
        <v>38445</v>
      </c>
      <c r="E1921">
        <v>0.2</v>
      </c>
      <c r="F1921">
        <f t="shared" si="238"/>
        <v>0</v>
      </c>
      <c r="G1921">
        <f t="shared" si="233"/>
        <v>1</v>
      </c>
      <c r="H1921">
        <f t="shared" si="239"/>
        <v>0</v>
      </c>
      <c r="I1921">
        <v>1920</v>
      </c>
      <c r="J1921">
        <f t="shared" si="234"/>
        <v>0.9991210282680496</v>
      </c>
      <c r="K1921">
        <f t="shared" si="235"/>
        <v>-4.1918622026437105E-2</v>
      </c>
      <c r="L1921">
        <f>VLOOKUP(D1921,[1]SOI!$A$1:$C$142,3)</f>
        <v>0.2</v>
      </c>
      <c r="M1921" s="2">
        <f t="shared" si="236"/>
        <v>1918.3123742746552</v>
      </c>
      <c r="N1921">
        <f t="shared" si="237"/>
        <v>-80.483754290759236</v>
      </c>
      <c r="O1921" t="s">
        <v>8</v>
      </c>
    </row>
    <row r="1922" spans="1:15" x14ac:dyDescent="0.35">
      <c r="A1922">
        <v>2005</v>
      </c>
      <c r="B1922">
        <v>4</v>
      </c>
      <c r="C1922">
        <v>4</v>
      </c>
      <c r="D1922" s="1">
        <f t="shared" si="232"/>
        <v>38446</v>
      </c>
      <c r="E1922">
        <v>0.8</v>
      </c>
      <c r="F1922">
        <f t="shared" si="238"/>
        <v>0.2</v>
      </c>
      <c r="G1922">
        <f t="shared" si="233"/>
        <v>1</v>
      </c>
      <c r="H1922">
        <f t="shared" si="239"/>
        <v>1</v>
      </c>
      <c r="I1922">
        <v>1921</v>
      </c>
      <c r="J1922">
        <f t="shared" si="234"/>
        <v>0.99825213393654411</v>
      </c>
      <c r="K1922">
        <f t="shared" si="235"/>
        <v>-5.9098875548829408E-2</v>
      </c>
      <c r="L1922">
        <f>VLOOKUP(D1922,[1]SOI!$A$1:$C$142,3)</f>
        <v>0.2</v>
      </c>
      <c r="M1922" s="2">
        <f t="shared" si="236"/>
        <v>1917.6423492921012</v>
      </c>
      <c r="N1922">
        <f t="shared" si="237"/>
        <v>-113.52893992930129</v>
      </c>
      <c r="O1922" t="s">
        <v>8</v>
      </c>
    </row>
    <row r="1923" spans="1:15" x14ac:dyDescent="0.35">
      <c r="A1923">
        <v>2005</v>
      </c>
      <c r="B1923">
        <v>4</v>
      </c>
      <c r="C1923">
        <v>5</v>
      </c>
      <c r="D1923" s="1">
        <f t="shared" ref="D1923:D1986" si="240">DATE(A1923,B1923,C1923)</f>
        <v>38447</v>
      </c>
      <c r="E1923">
        <v>0</v>
      </c>
      <c r="F1923">
        <f t="shared" si="238"/>
        <v>0.8</v>
      </c>
      <c r="G1923">
        <f t="shared" ref="G1923:G1986" si="241">IF(E1923=0,0,1)</f>
        <v>0</v>
      </c>
      <c r="H1923">
        <f t="shared" si="239"/>
        <v>1</v>
      </c>
      <c r="I1923">
        <v>1922</v>
      </c>
      <c r="J1923">
        <f t="shared" ref="J1923:J1986" si="242">SIN(2*PI()*I1923/365.25)</f>
        <v>0.99708784073827428</v>
      </c>
      <c r="K1923">
        <f t="shared" ref="K1923:K1986" si="243">COS(2*PI()*I1923/365.25)</f>
        <v>-7.6261640763137323E-2</v>
      </c>
      <c r="L1923">
        <f>VLOOKUP(D1923,[1]SOI!$A$1:$C$142,3)</f>
        <v>0.2</v>
      </c>
      <c r="M1923" s="2">
        <f t="shared" ref="M1923:M1986" si="244">I1923*J1923</f>
        <v>1916.4028298989631</v>
      </c>
      <c r="N1923">
        <f t="shared" ref="N1923:N1986" si="245">I1923*K1923</f>
        <v>-146.57487354674993</v>
      </c>
      <c r="O1923" t="s">
        <v>8</v>
      </c>
    </row>
    <row r="1924" spans="1:15" x14ac:dyDescent="0.35">
      <c r="A1924">
        <v>2005</v>
      </c>
      <c r="B1924">
        <v>4</v>
      </c>
      <c r="C1924">
        <v>6</v>
      </c>
      <c r="D1924" s="1">
        <f t="shared" si="240"/>
        <v>38448</v>
      </c>
      <c r="E1924">
        <v>0</v>
      </c>
      <c r="F1924">
        <f t="shared" ref="F1924:F1987" si="246">E1923</f>
        <v>0</v>
      </c>
      <c r="G1924">
        <f t="shared" si="241"/>
        <v>0</v>
      </c>
      <c r="H1924">
        <f t="shared" ref="H1924:H1987" si="247">G1923</f>
        <v>0</v>
      </c>
      <c r="I1924">
        <v>1923</v>
      </c>
      <c r="J1924">
        <f t="shared" si="242"/>
        <v>0.99562849320632985</v>
      </c>
      <c r="K1924">
        <f t="shared" si="243"/>
        <v>-9.3401838931004538E-2</v>
      </c>
      <c r="L1924">
        <f>VLOOKUP(D1924,[1]SOI!$A$1:$C$142,3)</f>
        <v>0.2</v>
      </c>
      <c r="M1924" s="2">
        <f t="shared" si="244"/>
        <v>1914.5935924357723</v>
      </c>
      <c r="N1924">
        <f t="shared" si="245"/>
        <v>-179.61173626432173</v>
      </c>
      <c r="O1924" t="s">
        <v>8</v>
      </c>
    </row>
    <row r="1925" spans="1:15" x14ac:dyDescent="0.35">
      <c r="A1925">
        <v>2005</v>
      </c>
      <c r="B1925">
        <v>4</v>
      </c>
      <c r="C1925">
        <v>7</v>
      </c>
      <c r="D1925" s="1">
        <f t="shared" si="240"/>
        <v>38449</v>
      </c>
      <c r="E1925">
        <v>0</v>
      </c>
      <c r="F1925">
        <f t="shared" si="246"/>
        <v>0</v>
      </c>
      <c r="G1925">
        <f t="shared" si="241"/>
        <v>0</v>
      </c>
      <c r="H1925">
        <f t="shared" si="247"/>
        <v>0</v>
      </c>
      <c r="I1925">
        <v>1924</v>
      </c>
      <c r="J1925">
        <f t="shared" si="242"/>
        <v>0.99387452318512282</v>
      </c>
      <c r="K1925">
        <f t="shared" si="243"/>
        <v>-0.11051439799204806</v>
      </c>
      <c r="L1925">
        <f>VLOOKUP(D1925,[1]SOI!$A$1:$C$142,3)</f>
        <v>0.2</v>
      </c>
      <c r="M1925" s="2">
        <f t="shared" si="244"/>
        <v>1912.2145826081762</v>
      </c>
      <c r="N1925">
        <f t="shared" si="245"/>
        <v>-212.62970173670047</v>
      </c>
      <c r="O1925" t="s">
        <v>8</v>
      </c>
    </row>
    <row r="1926" spans="1:15" x14ac:dyDescent="0.35">
      <c r="A1926">
        <v>2005</v>
      </c>
      <c r="B1926">
        <v>4</v>
      </c>
      <c r="C1926">
        <v>8</v>
      </c>
      <c r="D1926" s="1">
        <f t="shared" si="240"/>
        <v>38450</v>
      </c>
      <c r="E1926">
        <v>0</v>
      </c>
      <c r="F1926">
        <f t="shared" si="246"/>
        <v>0</v>
      </c>
      <c r="G1926">
        <f t="shared" si="241"/>
        <v>0</v>
      </c>
      <c r="H1926">
        <f t="shared" si="247"/>
        <v>0</v>
      </c>
      <c r="I1926">
        <v>1925</v>
      </c>
      <c r="J1926">
        <f t="shared" si="242"/>
        <v>0.99182644970260181</v>
      </c>
      <c r="K1926">
        <f t="shared" si="243"/>
        <v>-0.12759425406472003</v>
      </c>
      <c r="L1926">
        <f>VLOOKUP(D1926,[1]SOI!$A$1:$C$142,3)</f>
        <v>0.2</v>
      </c>
      <c r="M1926" s="2">
        <f t="shared" si="244"/>
        <v>1909.2659156775085</v>
      </c>
      <c r="N1926">
        <f t="shared" si="245"/>
        <v>-245.61893907458605</v>
      </c>
      <c r="O1926" t="s">
        <v>8</v>
      </c>
    </row>
    <row r="1927" spans="1:15" x14ac:dyDescent="0.35">
      <c r="A1927">
        <v>2005</v>
      </c>
      <c r="B1927">
        <v>4</v>
      </c>
      <c r="C1927">
        <v>9</v>
      </c>
      <c r="D1927" s="1">
        <f t="shared" si="240"/>
        <v>38451</v>
      </c>
      <c r="E1927">
        <v>0</v>
      </c>
      <c r="F1927">
        <f t="shared" si="246"/>
        <v>0</v>
      </c>
      <c r="G1927">
        <f t="shared" si="241"/>
        <v>0</v>
      </c>
      <c r="H1927">
        <f t="shared" si="247"/>
        <v>0</v>
      </c>
      <c r="I1927">
        <v>1926</v>
      </c>
      <c r="J1927">
        <f t="shared" si="242"/>
        <v>0.98948487881666058</v>
      </c>
      <c r="K1927">
        <f t="shared" si="243"/>
        <v>-0.14463635294482008</v>
      </c>
      <c r="L1927">
        <f>VLOOKUP(D1927,[1]SOI!$A$1:$C$142,3)</f>
        <v>0.2</v>
      </c>
      <c r="M1927" s="2">
        <f t="shared" si="244"/>
        <v>1905.7478766008883</v>
      </c>
      <c r="N1927">
        <f t="shared" si="245"/>
        <v>-278.56961577172348</v>
      </c>
      <c r="O1927" t="s">
        <v>8</v>
      </c>
    </row>
    <row r="1928" spans="1:15" x14ac:dyDescent="0.35">
      <c r="A1928">
        <v>2005</v>
      </c>
      <c r="B1928">
        <v>4</v>
      </c>
      <c r="C1928">
        <v>10</v>
      </c>
      <c r="D1928" s="1">
        <f t="shared" si="240"/>
        <v>38452</v>
      </c>
      <c r="E1928">
        <v>0</v>
      </c>
      <c r="F1928">
        <f t="shared" si="246"/>
        <v>0</v>
      </c>
      <c r="G1928">
        <f t="shared" si="241"/>
        <v>0</v>
      </c>
      <c r="H1928">
        <f t="shared" si="247"/>
        <v>0</v>
      </c>
      <c r="I1928">
        <v>1927</v>
      </c>
      <c r="J1928">
        <f t="shared" si="242"/>
        <v>0.9868505034357965</v>
      </c>
      <c r="K1928">
        <f t="shared" si="243"/>
        <v>-0.1616356516011086</v>
      </c>
      <c r="L1928">
        <f>VLOOKUP(D1928,[1]SOI!$A$1:$C$142,3)</f>
        <v>0.2</v>
      </c>
      <c r="M1928" s="2">
        <f t="shared" si="244"/>
        <v>1901.6609201207798</v>
      </c>
      <c r="N1928">
        <f t="shared" si="245"/>
        <v>-311.47190063533628</v>
      </c>
      <c r="O1928" t="s">
        <v>8</v>
      </c>
    </row>
    <row r="1929" spans="1:15" x14ac:dyDescent="0.35">
      <c r="A1929">
        <v>2005</v>
      </c>
      <c r="B1929">
        <v>4</v>
      </c>
      <c r="C1929">
        <v>11</v>
      </c>
      <c r="D1929" s="1">
        <f t="shared" si="240"/>
        <v>38453</v>
      </c>
      <c r="E1929">
        <v>6.2</v>
      </c>
      <c r="F1929">
        <f t="shared" si="246"/>
        <v>0</v>
      </c>
      <c r="G1929">
        <f t="shared" si="241"/>
        <v>1</v>
      </c>
      <c r="H1929">
        <f t="shared" si="247"/>
        <v>0</v>
      </c>
      <c r="I1929">
        <v>1928</v>
      </c>
      <c r="J1929">
        <f t="shared" si="242"/>
        <v>0.98392410311406786</v>
      </c>
      <c r="K1929">
        <f t="shared" si="243"/>
        <v>-0.17858711966762078</v>
      </c>
      <c r="L1929">
        <f>VLOOKUP(D1929,[1]SOI!$A$1:$C$142,3)</f>
        <v>0.2</v>
      </c>
      <c r="M1929" s="2">
        <f t="shared" si="244"/>
        <v>1897.0056708039228</v>
      </c>
      <c r="N1929">
        <f t="shared" si="245"/>
        <v>-344.31596671917288</v>
      </c>
      <c r="O1929" t="s">
        <v>8</v>
      </c>
    </row>
    <row r="1930" spans="1:15" x14ac:dyDescent="0.35">
      <c r="A1930">
        <v>2005</v>
      </c>
      <c r="B1930">
        <v>4</v>
      </c>
      <c r="C1930">
        <v>12</v>
      </c>
      <c r="D1930" s="1">
        <f t="shared" si="240"/>
        <v>38454</v>
      </c>
      <c r="E1930">
        <v>0</v>
      </c>
      <c r="F1930">
        <f t="shared" si="246"/>
        <v>6.2</v>
      </c>
      <c r="G1930">
        <f t="shared" si="241"/>
        <v>0</v>
      </c>
      <c r="H1930">
        <f t="shared" si="247"/>
        <v>1</v>
      </c>
      <c r="I1930">
        <v>1929</v>
      </c>
      <c r="J1930">
        <f t="shared" si="242"/>
        <v>0.98070654382041256</v>
      </c>
      <c r="K1930">
        <f t="shared" si="243"/>
        <v>-0.19548574093222584</v>
      </c>
      <c r="L1930">
        <f>VLOOKUP(D1930,[1]SOI!$A$1:$C$142,3)</f>
        <v>0.2</v>
      </c>
      <c r="M1930" s="2">
        <f t="shared" si="244"/>
        <v>1891.7829230295758</v>
      </c>
      <c r="N1930">
        <f t="shared" si="245"/>
        <v>-377.09199425826364</v>
      </c>
      <c r="O1930" t="s">
        <v>8</v>
      </c>
    </row>
    <row r="1931" spans="1:15" x14ac:dyDescent="0.35">
      <c r="A1931">
        <v>2005</v>
      </c>
      <c r="B1931">
        <v>4</v>
      </c>
      <c r="C1931">
        <v>13</v>
      </c>
      <c r="D1931" s="1">
        <f t="shared" si="240"/>
        <v>38455</v>
      </c>
      <c r="E1931">
        <v>0</v>
      </c>
      <c r="F1931">
        <f t="shared" si="246"/>
        <v>0</v>
      </c>
      <c r="G1931">
        <f t="shared" si="241"/>
        <v>0</v>
      </c>
      <c r="H1931">
        <f t="shared" si="247"/>
        <v>0</v>
      </c>
      <c r="I1931">
        <v>1930</v>
      </c>
      <c r="J1931">
        <f t="shared" si="242"/>
        <v>0.97719877768238828</v>
      </c>
      <c r="K1931">
        <f t="shared" si="243"/>
        <v>-0.21232651482103293</v>
      </c>
      <c r="L1931">
        <f>VLOOKUP(D1931,[1]SOI!$A$1:$C$142,3)</f>
        <v>0.2</v>
      </c>
      <c r="M1931" s="2">
        <f t="shared" si="244"/>
        <v>1885.9936409270094</v>
      </c>
      <c r="N1931">
        <f t="shared" si="245"/>
        <v>-409.79017360459358</v>
      </c>
      <c r="O1931" t="s">
        <v>8</v>
      </c>
    </row>
    <row r="1932" spans="1:15" x14ac:dyDescent="0.35">
      <c r="A1932">
        <v>2005</v>
      </c>
      <c r="B1932">
        <v>4</v>
      </c>
      <c r="C1932">
        <v>14</v>
      </c>
      <c r="D1932" s="1">
        <f t="shared" si="240"/>
        <v>38456</v>
      </c>
      <c r="E1932">
        <v>6.2</v>
      </c>
      <c r="F1932">
        <f t="shared" si="246"/>
        <v>0</v>
      </c>
      <c r="G1932">
        <f t="shared" si="241"/>
        <v>1</v>
      </c>
      <c r="H1932">
        <f t="shared" si="247"/>
        <v>0</v>
      </c>
      <c r="I1932">
        <v>1931</v>
      </c>
      <c r="J1932">
        <f t="shared" si="242"/>
        <v>0.9734018427044312</v>
      </c>
      <c r="K1932">
        <f t="shared" si="243"/>
        <v>-0.2291044578780993</v>
      </c>
      <c r="L1932">
        <f>VLOOKUP(D1932,[1]SOI!$A$1:$C$142,3)</f>
        <v>0.2</v>
      </c>
      <c r="M1932" s="2">
        <f t="shared" si="244"/>
        <v>1879.6389582622567</v>
      </c>
      <c r="N1932">
        <f t="shared" si="245"/>
        <v>-442.40070816260976</v>
      </c>
      <c r="O1932" t="s">
        <v>8</v>
      </c>
    </row>
    <row r="1933" spans="1:15" x14ac:dyDescent="0.35">
      <c r="A1933">
        <v>2005</v>
      </c>
      <c r="B1933">
        <v>4</v>
      </c>
      <c r="C1933">
        <v>15</v>
      </c>
      <c r="D1933" s="1">
        <f t="shared" si="240"/>
        <v>38457</v>
      </c>
      <c r="E1933">
        <v>15.8</v>
      </c>
      <c r="F1933">
        <f t="shared" si="246"/>
        <v>6.2</v>
      </c>
      <c r="G1933">
        <f t="shared" si="241"/>
        <v>1</v>
      </c>
      <c r="H1933">
        <f t="shared" si="247"/>
        <v>1</v>
      </c>
      <c r="I1933">
        <v>1932</v>
      </c>
      <c r="J1933">
        <f t="shared" si="242"/>
        <v>0.96931686246068816</v>
      </c>
      <c r="K1933">
        <f t="shared" si="243"/>
        <v>-0.24581460524014323</v>
      </c>
      <c r="L1933">
        <f>VLOOKUP(D1933,[1]SOI!$A$1:$C$142,3)</f>
        <v>0.2</v>
      </c>
      <c r="M1933" s="2">
        <f t="shared" si="244"/>
        <v>1872.7201782740494</v>
      </c>
      <c r="N1933">
        <f t="shared" si="245"/>
        <v>-474.91381732395672</v>
      </c>
      <c r="O1933" t="s">
        <v>8</v>
      </c>
    </row>
    <row r="1934" spans="1:15" x14ac:dyDescent="0.35">
      <c r="A1934">
        <v>2005</v>
      </c>
      <c r="B1934">
        <v>4</v>
      </c>
      <c r="C1934">
        <v>16</v>
      </c>
      <c r="D1934" s="1">
        <f t="shared" si="240"/>
        <v>38458</v>
      </c>
      <c r="E1934">
        <v>0</v>
      </c>
      <c r="F1934">
        <f t="shared" si="246"/>
        <v>15.8</v>
      </c>
      <c r="G1934">
        <f t="shared" si="241"/>
        <v>0</v>
      </c>
      <c r="H1934">
        <f t="shared" si="247"/>
        <v>1</v>
      </c>
      <c r="I1934">
        <v>1933</v>
      </c>
      <c r="J1934">
        <f t="shared" si="242"/>
        <v>0.96494504576253415</v>
      </c>
      <c r="K1934">
        <f t="shared" si="243"/>
        <v>-0.26245201210571989</v>
      </c>
      <c r="L1934">
        <f>VLOOKUP(D1934,[1]SOI!$A$1:$C$142,3)</f>
        <v>0.2</v>
      </c>
      <c r="M1934" s="2">
        <f t="shared" si="244"/>
        <v>1865.2387734589786</v>
      </c>
      <c r="N1934">
        <f t="shared" si="245"/>
        <v>-507.31973940035653</v>
      </c>
      <c r="O1934" t="s">
        <v>8</v>
      </c>
    </row>
    <row r="1935" spans="1:15" x14ac:dyDescent="0.35">
      <c r="A1935">
        <v>2005</v>
      </c>
      <c r="B1935">
        <v>4</v>
      </c>
      <c r="C1935">
        <v>17</v>
      </c>
      <c r="D1935" s="1">
        <f t="shared" si="240"/>
        <v>38459</v>
      </c>
      <c r="E1935">
        <v>0</v>
      </c>
      <c r="F1935">
        <f t="shared" si="246"/>
        <v>0</v>
      </c>
      <c r="G1935">
        <f t="shared" si="241"/>
        <v>0</v>
      </c>
      <c r="H1935">
        <f t="shared" si="247"/>
        <v>0</v>
      </c>
      <c r="I1935">
        <v>1934</v>
      </c>
      <c r="J1935">
        <f t="shared" si="242"/>
        <v>0.96028768630086792</v>
      </c>
      <c r="K1935">
        <f t="shared" si="243"/>
        <v>-0.27901175519846078</v>
      </c>
      <c r="L1935">
        <f>VLOOKUP(D1935,[1]SOI!$A$1:$C$142,3)</f>
        <v>0.2</v>
      </c>
      <c r="M1935" s="2">
        <f t="shared" si="244"/>
        <v>1857.1963853058785</v>
      </c>
      <c r="N1935">
        <f t="shared" si="245"/>
        <v>-539.60873455382318</v>
      </c>
      <c r="O1935" t="s">
        <v>8</v>
      </c>
    </row>
    <row r="1936" spans="1:15" x14ac:dyDescent="0.35">
      <c r="A1936">
        <v>2005</v>
      </c>
      <c r="B1936">
        <v>4</v>
      </c>
      <c r="C1936">
        <v>18</v>
      </c>
      <c r="D1936" s="1">
        <f t="shared" si="240"/>
        <v>38460</v>
      </c>
      <c r="E1936">
        <v>0</v>
      </c>
      <c r="F1936">
        <f t="shared" si="246"/>
        <v>0</v>
      </c>
      <c r="G1936">
        <f t="shared" si="241"/>
        <v>0</v>
      </c>
      <c r="H1936">
        <f t="shared" si="247"/>
        <v>0</v>
      </c>
      <c r="I1936">
        <v>1935</v>
      </c>
      <c r="J1936">
        <f t="shared" si="242"/>
        <v>0.95534616226328017</v>
      </c>
      <c r="K1936">
        <f t="shared" si="243"/>
        <v>-0.29548893422397782</v>
      </c>
      <c r="L1936">
        <f>VLOOKUP(D1936,[1]SOI!$A$1:$C$142,3)</f>
        <v>0.2</v>
      </c>
      <c r="M1936" s="2">
        <f t="shared" si="244"/>
        <v>1848.594823979447</v>
      </c>
      <c r="N1936">
        <f t="shared" si="245"/>
        <v>-571.77108772339705</v>
      </c>
      <c r="O1936" t="s">
        <v>8</v>
      </c>
    </row>
    <row r="1937" spans="1:15" x14ac:dyDescent="0.35">
      <c r="A1937">
        <v>2005</v>
      </c>
      <c r="B1937">
        <v>4</v>
      </c>
      <c r="C1937">
        <v>19</v>
      </c>
      <c r="D1937" s="1">
        <f t="shared" si="240"/>
        <v>38461</v>
      </c>
      <c r="E1937">
        <v>0</v>
      </c>
      <c r="F1937">
        <f t="shared" si="246"/>
        <v>0</v>
      </c>
      <c r="G1937">
        <f t="shared" si="241"/>
        <v>0</v>
      </c>
      <c r="H1937">
        <f t="shared" si="247"/>
        <v>0</v>
      </c>
      <c r="I1937">
        <v>1936</v>
      </c>
      <c r="J1937">
        <f t="shared" si="242"/>
        <v>0.95012193592623473</v>
      </c>
      <c r="K1937">
        <f t="shared" si="243"/>
        <v>-0.31187867331990488</v>
      </c>
      <c r="L1937">
        <f>VLOOKUP(D1937,[1]SOI!$A$1:$C$142,3)</f>
        <v>0.2</v>
      </c>
      <c r="M1937" s="2">
        <f t="shared" si="244"/>
        <v>1839.4360679531903</v>
      </c>
      <c r="N1937">
        <f t="shared" si="245"/>
        <v>-603.79711154733582</v>
      </c>
      <c r="O1937" t="s">
        <v>8</v>
      </c>
    </row>
    <row r="1938" spans="1:15" x14ac:dyDescent="0.35">
      <c r="A1938">
        <v>2005</v>
      </c>
      <c r="B1938">
        <v>4</v>
      </c>
      <c r="C1938">
        <v>20</v>
      </c>
      <c r="D1938" s="1">
        <f t="shared" si="240"/>
        <v>38462</v>
      </c>
      <c r="E1938">
        <v>0</v>
      </c>
      <c r="F1938">
        <f t="shared" si="246"/>
        <v>0</v>
      </c>
      <c r="G1938">
        <f t="shared" si="241"/>
        <v>0</v>
      </c>
      <c r="H1938">
        <f t="shared" si="247"/>
        <v>0</v>
      </c>
      <c r="I1938">
        <v>1937</v>
      </c>
      <c r="J1938">
        <f t="shared" si="242"/>
        <v>0.94461655322236093</v>
      </c>
      <c r="K1938">
        <f t="shared" si="243"/>
        <v>-0.32817612249873768</v>
      </c>
      <c r="L1938">
        <f>VLOOKUP(D1938,[1]SOI!$A$1:$C$142,3)</f>
        <v>0.2</v>
      </c>
      <c r="M1938" s="2">
        <f t="shared" si="244"/>
        <v>1829.722263591713</v>
      </c>
      <c r="N1938">
        <f t="shared" si="245"/>
        <v>-635.67714928005489</v>
      </c>
      <c r="O1938" t="s">
        <v>8</v>
      </c>
    </row>
    <row r="1939" spans="1:15" x14ac:dyDescent="0.35">
      <c r="A1939">
        <v>2005</v>
      </c>
      <c r="B1939">
        <v>4</v>
      </c>
      <c r="C1939">
        <v>21</v>
      </c>
      <c r="D1939" s="1">
        <f t="shared" si="240"/>
        <v>38463</v>
      </c>
      <c r="E1939">
        <v>0</v>
      </c>
      <c r="F1939">
        <f t="shared" si="246"/>
        <v>0</v>
      </c>
      <c r="G1939">
        <f t="shared" si="241"/>
        <v>0</v>
      </c>
      <c r="H1939">
        <f t="shared" si="247"/>
        <v>0</v>
      </c>
      <c r="I1939">
        <v>1938</v>
      </c>
      <c r="J1939">
        <f t="shared" si="242"/>
        <v>0.93883164328296753</v>
      </c>
      <c r="K1939">
        <f t="shared" si="243"/>
        <v>-0.34437645908308379</v>
      </c>
      <c r="L1939">
        <f>VLOOKUP(D1939,[1]SOI!$A$1:$C$142,3)</f>
        <v>0.2</v>
      </c>
      <c r="M1939" s="2">
        <f t="shared" si="244"/>
        <v>1819.4557246823911</v>
      </c>
      <c r="N1939">
        <f t="shared" si="245"/>
        <v>-667.40157770301641</v>
      </c>
      <c r="O1939" t="s">
        <v>8</v>
      </c>
    </row>
    <row r="1940" spans="1:15" x14ac:dyDescent="0.35">
      <c r="A1940">
        <v>2005</v>
      </c>
      <c r="B1940">
        <v>4</v>
      </c>
      <c r="C1940">
        <v>22</v>
      </c>
      <c r="D1940" s="1">
        <f t="shared" si="240"/>
        <v>38464</v>
      </c>
      <c r="E1940">
        <v>0</v>
      </c>
      <c r="F1940">
        <f t="shared" si="246"/>
        <v>0</v>
      </c>
      <c r="G1940">
        <f t="shared" si="241"/>
        <v>0</v>
      </c>
      <c r="H1940">
        <f t="shared" si="247"/>
        <v>0</v>
      </c>
      <c r="I1940">
        <v>1939</v>
      </c>
      <c r="J1940">
        <f t="shared" si="242"/>
        <v>0.93276891795597783</v>
      </c>
      <c r="K1940">
        <f t="shared" si="243"/>
        <v>-0.3604748891327027</v>
      </c>
      <c r="L1940">
        <f>VLOOKUP(D1940,[1]SOI!$A$1:$C$142,3)</f>
        <v>0.2</v>
      </c>
      <c r="M1940" s="2">
        <f t="shared" si="244"/>
        <v>1808.638931916641</v>
      </c>
      <c r="N1940">
        <f t="shared" si="245"/>
        <v>-698.96081002831056</v>
      </c>
      <c r="O1940" t="s">
        <v>8</v>
      </c>
    </row>
    <row r="1941" spans="1:15" x14ac:dyDescent="0.35">
      <c r="A1941">
        <v>2005</v>
      </c>
      <c r="B1941">
        <v>4</v>
      </c>
      <c r="C1941">
        <v>23</v>
      </c>
      <c r="D1941" s="1">
        <f t="shared" si="240"/>
        <v>38465</v>
      </c>
      <c r="E1941">
        <v>0</v>
      </c>
      <c r="F1941">
        <f t="shared" si="246"/>
        <v>0</v>
      </c>
      <c r="G1941">
        <f t="shared" si="241"/>
        <v>0</v>
      </c>
      <c r="H1941">
        <f t="shared" si="247"/>
        <v>0</v>
      </c>
      <c r="I1941">
        <v>1940</v>
      </c>
      <c r="J1941">
        <f t="shared" si="242"/>
        <v>0.92643017129935878</v>
      </c>
      <c r="K1941">
        <f t="shared" si="243"/>
        <v>-0.37646664886313735</v>
      </c>
      <c r="L1941">
        <f>VLOOKUP(D1941,[1]SOI!$A$1:$C$142,3)</f>
        <v>0.2</v>
      </c>
      <c r="M1941" s="2">
        <f t="shared" si="244"/>
        <v>1797.274532320756</v>
      </c>
      <c r="N1941">
        <f t="shared" si="245"/>
        <v>-730.34529879448644</v>
      </c>
      <c r="O1941" t="s">
        <v>8</v>
      </c>
    </row>
    <row r="1942" spans="1:15" x14ac:dyDescent="0.35">
      <c r="A1942">
        <v>2005</v>
      </c>
      <c r="B1942">
        <v>4</v>
      </c>
      <c r="C1942">
        <v>24</v>
      </c>
      <c r="D1942" s="1">
        <f t="shared" si="240"/>
        <v>38466</v>
      </c>
      <c r="E1942">
        <v>0</v>
      </c>
      <c r="F1942">
        <f t="shared" si="246"/>
        <v>0</v>
      </c>
      <c r="G1942">
        <f t="shared" si="241"/>
        <v>0</v>
      </c>
      <c r="H1942">
        <f t="shared" si="247"/>
        <v>0</v>
      </c>
      <c r="I1942">
        <v>1941</v>
      </c>
      <c r="J1942">
        <f t="shared" si="242"/>
        <v>0.91981727905021859</v>
      </c>
      <c r="K1942">
        <f t="shared" si="243"/>
        <v>-0.39234700605542056</v>
      </c>
      <c r="L1942">
        <f>VLOOKUP(D1942,[1]SOI!$A$1:$C$142,3)</f>
        <v>0.2</v>
      </c>
      <c r="M1942" s="2">
        <f t="shared" si="244"/>
        <v>1785.3653386364742</v>
      </c>
      <c r="N1942">
        <f t="shared" si="245"/>
        <v>-761.54553875357135</v>
      </c>
      <c r="O1942" t="s">
        <v>8</v>
      </c>
    </row>
    <row r="1943" spans="1:15" x14ac:dyDescent="0.35">
      <c r="A1943">
        <v>2005</v>
      </c>
      <c r="B1943">
        <v>4</v>
      </c>
      <c r="C1943">
        <v>25</v>
      </c>
      <c r="D1943" s="1">
        <f t="shared" si="240"/>
        <v>38467</v>
      </c>
      <c r="E1943">
        <v>0</v>
      </c>
      <c r="F1943">
        <f t="shared" si="246"/>
        <v>0</v>
      </c>
      <c r="G1943">
        <f t="shared" si="241"/>
        <v>0</v>
      </c>
      <c r="H1943">
        <f t="shared" si="247"/>
        <v>0</v>
      </c>
      <c r="I1943">
        <v>1942</v>
      </c>
      <c r="J1943">
        <f t="shared" si="242"/>
        <v>0.9129321980697731</v>
      </c>
      <c r="K1943">
        <f t="shared" si="243"/>
        <v>-0.40811126145634907</v>
      </c>
      <c r="L1943">
        <f>VLOOKUP(D1943,[1]SOI!$A$1:$C$142,3)</f>
        <v>0.2</v>
      </c>
      <c r="M1943" s="2">
        <f t="shared" si="244"/>
        <v>1772.9143286514993</v>
      </c>
      <c r="N1943">
        <f t="shared" si="245"/>
        <v>-792.55206974822988</v>
      </c>
      <c r="O1943" t="s">
        <v>8</v>
      </c>
    </row>
    <row r="1944" spans="1:15" x14ac:dyDescent="0.35">
      <c r="A1944">
        <v>2005</v>
      </c>
      <c r="B1944">
        <v>4</v>
      </c>
      <c r="C1944">
        <v>26</v>
      </c>
      <c r="D1944" s="1">
        <f t="shared" si="240"/>
        <v>38468</v>
      </c>
      <c r="E1944">
        <v>0</v>
      </c>
      <c r="F1944">
        <f t="shared" si="246"/>
        <v>0</v>
      </c>
      <c r="G1944">
        <f t="shared" si="241"/>
        <v>0</v>
      </c>
      <c r="H1944">
        <f t="shared" si="247"/>
        <v>0</v>
      </c>
      <c r="I1944">
        <v>1943</v>
      </c>
      <c r="J1944">
        <f t="shared" si="242"/>
        <v>0.90577696576425504</v>
      </c>
      <c r="K1944">
        <f t="shared" si="243"/>
        <v>-0.42375475016912734</v>
      </c>
      <c r="L1944">
        <f>VLOOKUP(D1944,[1]SOI!$A$1:$C$142,3)</f>
        <v>0.2</v>
      </c>
      <c r="M1944" s="2">
        <f t="shared" si="244"/>
        <v>1759.9246444799476</v>
      </c>
      <c r="N1944">
        <f t="shared" si="245"/>
        <v>-823.35547957861445</v>
      </c>
      <c r="O1944" t="s">
        <v>8</v>
      </c>
    </row>
    <row r="1945" spans="1:15" x14ac:dyDescent="0.35">
      <c r="A1945">
        <v>2005</v>
      </c>
      <c r="B1945">
        <v>4</v>
      </c>
      <c r="C1945">
        <v>27</v>
      </c>
      <c r="D1945" s="1">
        <f t="shared" si="240"/>
        <v>38469</v>
      </c>
      <c r="E1945">
        <v>0</v>
      </c>
      <c r="F1945">
        <f t="shared" si="246"/>
        <v>0</v>
      </c>
      <c r="G1945">
        <f t="shared" si="241"/>
        <v>0</v>
      </c>
      <c r="H1945">
        <f t="shared" si="247"/>
        <v>0</v>
      </c>
      <c r="I1945">
        <v>1944</v>
      </c>
      <c r="J1945">
        <f t="shared" si="242"/>
        <v>0.89835369948201427</v>
      </c>
      <c r="K1945">
        <f t="shared" si="243"/>
        <v>-0.43927284303377867</v>
      </c>
      <c r="L1945">
        <f>VLOOKUP(D1945,[1]SOI!$A$1:$C$142,3)</f>
        <v>0.2</v>
      </c>
      <c r="M1945" s="2">
        <f t="shared" si="244"/>
        <v>1746.3995917930358</v>
      </c>
      <c r="N1945">
        <f t="shared" si="245"/>
        <v>-853.94640685766569</v>
      </c>
      <c r="O1945" t="s">
        <v>8</v>
      </c>
    </row>
    <row r="1946" spans="1:15" x14ac:dyDescent="0.35">
      <c r="A1946">
        <v>2005</v>
      </c>
      <c r="B1946">
        <v>4</v>
      </c>
      <c r="C1946">
        <v>28</v>
      </c>
      <c r="D1946" s="1">
        <f t="shared" si="240"/>
        <v>38470</v>
      </c>
      <c r="E1946">
        <v>0</v>
      </c>
      <c r="F1946">
        <f t="shared" si="246"/>
        <v>0</v>
      </c>
      <c r="G1946">
        <f t="shared" si="241"/>
        <v>0</v>
      </c>
      <c r="H1946">
        <f t="shared" si="247"/>
        <v>0</v>
      </c>
      <c r="I1946">
        <v>1945</v>
      </c>
      <c r="J1946">
        <f t="shared" si="242"/>
        <v>0.89066459588697555</v>
      </c>
      <c r="K1946">
        <f t="shared" si="243"/>
        <v>-0.45466094799695583</v>
      </c>
      <c r="L1946">
        <f>VLOOKUP(D1946,[1]SOI!$A$1:$C$142,3)</f>
        <v>0.2</v>
      </c>
      <c r="M1946" s="2">
        <f t="shared" si="244"/>
        <v>1732.3426390001675</v>
      </c>
      <c r="N1946">
        <f t="shared" si="245"/>
        <v>-884.31554385407912</v>
      </c>
      <c r="O1946" t="s">
        <v>8</v>
      </c>
    </row>
    <row r="1947" spans="1:15" x14ac:dyDescent="0.35">
      <c r="A1947">
        <v>2005</v>
      </c>
      <c r="B1947">
        <v>4</v>
      </c>
      <c r="C1947">
        <v>29</v>
      </c>
      <c r="D1947" s="1">
        <f t="shared" si="240"/>
        <v>38471</v>
      </c>
      <c r="E1947">
        <v>1.4</v>
      </c>
      <c r="F1947">
        <f t="shared" si="246"/>
        <v>0</v>
      </c>
      <c r="G1947">
        <f t="shared" si="241"/>
        <v>1</v>
      </c>
      <c r="H1947">
        <f t="shared" si="247"/>
        <v>0</v>
      </c>
      <c r="I1947">
        <v>1946</v>
      </c>
      <c r="J1947">
        <f t="shared" si="242"/>
        <v>0.88271193030859829</v>
      </c>
      <c r="K1947">
        <f t="shared" si="243"/>
        <v>-0.46991451147082941</v>
      </c>
      <c r="L1947">
        <f>VLOOKUP(D1947,[1]SOI!$A$1:$C$142,3)</f>
        <v>0.2</v>
      </c>
      <c r="M1947" s="2">
        <f t="shared" si="244"/>
        <v>1717.7574163805323</v>
      </c>
      <c r="N1947">
        <f t="shared" si="245"/>
        <v>-914.45363932223404</v>
      </c>
      <c r="O1947" t="s">
        <v>8</v>
      </c>
    </row>
    <row r="1948" spans="1:15" x14ac:dyDescent="0.35">
      <c r="A1948">
        <v>2005</v>
      </c>
      <c r="B1948">
        <v>4</v>
      </c>
      <c r="C1948">
        <v>30</v>
      </c>
      <c r="D1948" s="1">
        <f t="shared" si="240"/>
        <v>38472</v>
      </c>
      <c r="E1948">
        <v>0</v>
      </c>
      <c r="F1948">
        <f t="shared" si="246"/>
        <v>1.4</v>
      </c>
      <c r="G1948">
        <f t="shared" si="241"/>
        <v>0</v>
      </c>
      <c r="H1948">
        <f t="shared" si="247"/>
        <v>1</v>
      </c>
      <c r="I1948">
        <v>1947</v>
      </c>
      <c r="J1948">
        <f t="shared" si="242"/>
        <v>0.87449805606857345</v>
      </c>
      <c r="K1948">
        <f t="shared" si="243"/>
        <v>-0.48502901968056122</v>
      </c>
      <c r="L1948">
        <f>VLOOKUP(D1948,[1]SOI!$A$1:$C$142,3)</f>
        <v>0.2</v>
      </c>
      <c r="M1948" s="2">
        <f t="shared" si="244"/>
        <v>1702.6477151655124</v>
      </c>
      <c r="N1948">
        <f t="shared" si="245"/>
        <v>-944.35150131805267</v>
      </c>
      <c r="O1948" t="s">
        <v>8</v>
      </c>
    </row>
    <row r="1949" spans="1:15" x14ac:dyDescent="0.35">
      <c r="A1949">
        <v>2005</v>
      </c>
      <c r="B1949">
        <v>5</v>
      </c>
      <c r="C1949">
        <v>1</v>
      </c>
      <c r="D1949" s="1">
        <f t="shared" si="240"/>
        <v>38473</v>
      </c>
      <c r="E1949">
        <v>3.2</v>
      </c>
      <c r="F1949">
        <f t="shared" si="246"/>
        <v>0</v>
      </c>
      <c r="G1949">
        <f t="shared" si="241"/>
        <v>1</v>
      </c>
      <c r="H1949">
        <f t="shared" si="247"/>
        <v>0</v>
      </c>
      <c r="I1949">
        <v>1948</v>
      </c>
      <c r="J1949">
        <f t="shared" si="242"/>
        <v>0.86602540378444048</v>
      </c>
      <c r="K1949">
        <f t="shared" si="243"/>
        <v>-0.49999999999999684</v>
      </c>
      <c r="L1949">
        <f>VLOOKUP(D1949,[1]SOI!$A$1:$C$142,3)</f>
        <v>-11.2</v>
      </c>
      <c r="M1949" s="2">
        <f t="shared" si="244"/>
        <v>1687.0174865720901</v>
      </c>
      <c r="N1949">
        <f t="shared" si="245"/>
        <v>-973.99999999999386</v>
      </c>
      <c r="O1949" t="s">
        <v>8</v>
      </c>
    </row>
    <row r="1950" spans="1:15" x14ac:dyDescent="0.35">
      <c r="A1950">
        <v>2005</v>
      </c>
      <c r="B1950">
        <v>5</v>
      </c>
      <c r="C1950">
        <v>2</v>
      </c>
      <c r="D1950" s="1">
        <f t="shared" si="240"/>
        <v>38474</v>
      </c>
      <c r="E1950">
        <v>0</v>
      </c>
      <c r="F1950">
        <f t="shared" si="246"/>
        <v>3.2</v>
      </c>
      <c r="G1950">
        <f t="shared" si="241"/>
        <v>0</v>
      </c>
      <c r="H1950">
        <f t="shared" si="247"/>
        <v>1</v>
      </c>
      <c r="I1950">
        <v>1949</v>
      </c>
      <c r="J1950">
        <f t="shared" si="242"/>
        <v>0.85729648065031527</v>
      </c>
      <c r="K1950">
        <f t="shared" si="243"/>
        <v>-0.51482302227521215</v>
      </c>
      <c r="L1950">
        <f>VLOOKUP(D1950,[1]SOI!$A$1:$C$142,3)</f>
        <v>-11.2</v>
      </c>
      <c r="M1950" s="2">
        <f t="shared" si="244"/>
        <v>1670.8708407874644</v>
      </c>
      <c r="N1950">
        <f t="shared" si="245"/>
        <v>-1003.3900704143884</v>
      </c>
      <c r="O1950" t="s">
        <v>8</v>
      </c>
    </row>
    <row r="1951" spans="1:15" x14ac:dyDescent="0.35">
      <c r="A1951">
        <v>2005</v>
      </c>
      <c r="B1951">
        <v>5</v>
      </c>
      <c r="C1951">
        <v>3</v>
      </c>
      <c r="D1951" s="1">
        <f t="shared" si="240"/>
        <v>38475</v>
      </c>
      <c r="E1951">
        <v>0</v>
      </c>
      <c r="F1951">
        <f t="shared" si="246"/>
        <v>0</v>
      </c>
      <c r="G1951">
        <f t="shared" si="241"/>
        <v>0</v>
      </c>
      <c r="H1951">
        <f t="shared" si="247"/>
        <v>0</v>
      </c>
      <c r="I1951">
        <v>1950</v>
      </c>
      <c r="J1951">
        <f t="shared" si="242"/>
        <v>0.84831386969499156</v>
      </c>
      <c r="K1951">
        <f t="shared" si="243"/>
        <v>-0.52949370013543018</v>
      </c>
      <c r="L1951">
        <f>VLOOKUP(D1951,[1]SOI!$A$1:$C$142,3)</f>
        <v>-11.2</v>
      </c>
      <c r="M1951" s="2">
        <f t="shared" si="244"/>
        <v>1654.2120459052335</v>
      </c>
      <c r="N1951">
        <f t="shared" si="245"/>
        <v>-1032.5127152640889</v>
      </c>
      <c r="O1951" t="s">
        <v>8</v>
      </c>
    </row>
    <row r="1952" spans="1:15" x14ac:dyDescent="0.35">
      <c r="A1952">
        <v>2005</v>
      </c>
      <c r="B1952">
        <v>5</v>
      </c>
      <c r="C1952">
        <v>4</v>
      </c>
      <c r="D1952" s="1">
        <f t="shared" si="240"/>
        <v>38476</v>
      </c>
      <c r="E1952">
        <v>0</v>
      </c>
      <c r="F1952">
        <f t="shared" si="246"/>
        <v>0</v>
      </c>
      <c r="G1952">
        <f t="shared" si="241"/>
        <v>0</v>
      </c>
      <c r="H1952">
        <f t="shared" si="247"/>
        <v>0</v>
      </c>
      <c r="I1952">
        <v>1951</v>
      </c>
      <c r="J1952">
        <f t="shared" si="242"/>
        <v>0.83908022901756718</v>
      </c>
      <c r="K1952">
        <f t="shared" si="243"/>
        <v>-0.54400769229104373</v>
      </c>
      <c r="L1952">
        <f>VLOOKUP(D1952,[1]SOI!$A$1:$C$142,3)</f>
        <v>-11.2</v>
      </c>
      <c r="M1952" s="2">
        <f t="shared" si="244"/>
        <v>1637.0455268132737</v>
      </c>
      <c r="N1952">
        <f t="shared" si="245"/>
        <v>-1061.3590076598264</v>
      </c>
      <c r="O1952" t="s">
        <v>8</v>
      </c>
    </row>
    <row r="1953" spans="1:15" x14ac:dyDescent="0.35">
      <c r="A1953">
        <v>2005</v>
      </c>
      <c r="B1953">
        <v>5</v>
      </c>
      <c r="C1953">
        <v>5</v>
      </c>
      <c r="D1953" s="1">
        <f t="shared" si="240"/>
        <v>38477</v>
      </c>
      <c r="E1953">
        <v>0</v>
      </c>
      <c r="F1953">
        <f t="shared" si="246"/>
        <v>0</v>
      </c>
      <c r="G1953">
        <f t="shared" si="241"/>
        <v>0</v>
      </c>
      <c r="H1953">
        <f t="shared" si="247"/>
        <v>0</v>
      </c>
      <c r="I1953">
        <v>1952</v>
      </c>
      <c r="J1953">
        <f t="shared" si="242"/>
        <v>0.82959829100087379</v>
      </c>
      <c r="K1953">
        <f t="shared" si="243"/>
        <v>-0.55836070381826608</v>
      </c>
      <c r="L1953">
        <f>VLOOKUP(D1953,[1]SOI!$A$1:$C$142,3)</f>
        <v>-11.2</v>
      </c>
      <c r="M1953" s="2">
        <f t="shared" si="244"/>
        <v>1619.3758640337057</v>
      </c>
      <c r="N1953">
        <f t="shared" si="245"/>
        <v>-1089.9200938532554</v>
      </c>
      <c r="O1953" t="s">
        <v>8</v>
      </c>
    </row>
    <row r="1954" spans="1:15" x14ac:dyDescent="0.35">
      <c r="A1954">
        <v>2005</v>
      </c>
      <c r="B1954">
        <v>5</v>
      </c>
      <c r="C1954">
        <v>6</v>
      </c>
      <c r="D1954" s="1">
        <f t="shared" si="240"/>
        <v>38478</v>
      </c>
      <c r="E1954">
        <v>0.2</v>
      </c>
      <c r="F1954">
        <f t="shared" si="246"/>
        <v>0</v>
      </c>
      <c r="G1954">
        <f t="shared" si="241"/>
        <v>1</v>
      </c>
      <c r="H1954">
        <f t="shared" si="247"/>
        <v>0</v>
      </c>
      <c r="I1954">
        <v>1953</v>
      </c>
      <c r="J1954">
        <f t="shared" si="242"/>
        <v>0.8198708615029201</v>
      </c>
      <c r="K1954">
        <f t="shared" si="243"/>
        <v>-0.57254848743006881</v>
      </c>
      <c r="L1954">
        <f>VLOOKUP(D1954,[1]SOI!$A$1:$C$142,3)</f>
        <v>-11.2</v>
      </c>
      <c r="M1954" s="2">
        <f t="shared" si="244"/>
        <v>1601.207792515203</v>
      </c>
      <c r="N1954">
        <f t="shared" si="245"/>
        <v>-1118.1871959509244</v>
      </c>
      <c r="O1954" t="s">
        <v>8</v>
      </c>
    </row>
    <row r="1955" spans="1:15" x14ac:dyDescent="0.35">
      <c r="A1955">
        <v>2005</v>
      </c>
      <c r="B1955">
        <v>5</v>
      </c>
      <c r="C1955">
        <v>7</v>
      </c>
      <c r="D1955" s="1">
        <f t="shared" si="240"/>
        <v>38479</v>
      </c>
      <c r="E1955">
        <v>0</v>
      </c>
      <c r="F1955">
        <f t="shared" si="246"/>
        <v>0.2</v>
      </c>
      <c r="G1955">
        <f t="shared" si="241"/>
        <v>0</v>
      </c>
      <c r="H1955">
        <f t="shared" si="247"/>
        <v>1</v>
      </c>
      <c r="I1955">
        <v>1954</v>
      </c>
      <c r="J1955">
        <f t="shared" si="242"/>
        <v>0.80990081902659805</v>
      </c>
      <c r="K1955">
        <f t="shared" si="243"/>
        <v>-0.58656684473301568</v>
      </c>
      <c r="L1955">
        <f>VLOOKUP(D1955,[1]SOI!$A$1:$C$142,3)</f>
        <v>-11.2</v>
      </c>
      <c r="M1955" s="2">
        <f t="shared" si="244"/>
        <v>1582.5462003779726</v>
      </c>
      <c r="N1955">
        <f t="shared" si="245"/>
        <v>-1146.1516146083127</v>
      </c>
      <c r="O1955" t="s">
        <v>8</v>
      </c>
    </row>
    <row r="1956" spans="1:15" x14ac:dyDescent="0.35">
      <c r="A1956">
        <v>2005</v>
      </c>
      <c r="B1956">
        <v>5</v>
      </c>
      <c r="C1956">
        <v>8</v>
      </c>
      <c r="D1956" s="1">
        <f t="shared" si="240"/>
        <v>38480</v>
      </c>
      <c r="E1956">
        <v>0</v>
      </c>
      <c r="F1956">
        <f t="shared" si="246"/>
        <v>0</v>
      </c>
      <c r="G1956">
        <f t="shared" si="241"/>
        <v>0</v>
      </c>
      <c r="H1956">
        <f t="shared" si="247"/>
        <v>0</v>
      </c>
      <c r="I1956">
        <v>1955</v>
      </c>
      <c r="J1956">
        <f t="shared" si="242"/>
        <v>0.79969111386787062</v>
      </c>
      <c r="K1956">
        <f t="shared" si="243"/>
        <v>-0.60041162746965882</v>
      </c>
      <c r="L1956">
        <f>VLOOKUP(D1956,[1]SOI!$A$1:$C$142,3)</f>
        <v>-11.2</v>
      </c>
      <c r="M1956" s="2">
        <f t="shared" si="244"/>
        <v>1563.396127611687</v>
      </c>
      <c r="N1956">
        <f t="shared" si="245"/>
        <v>-1173.8047317031831</v>
      </c>
      <c r="O1956" t="s">
        <v>8</v>
      </c>
    </row>
    <row r="1957" spans="1:15" x14ac:dyDescent="0.35">
      <c r="A1957">
        <v>2005</v>
      </c>
      <c r="B1957">
        <v>5</v>
      </c>
      <c r="C1957">
        <v>9</v>
      </c>
      <c r="D1957" s="1">
        <f t="shared" si="240"/>
        <v>38481</v>
      </c>
      <c r="E1957">
        <v>0</v>
      </c>
      <c r="F1957">
        <f t="shared" si="246"/>
        <v>0</v>
      </c>
      <c r="G1957">
        <f t="shared" si="241"/>
        <v>0</v>
      </c>
      <c r="H1957">
        <f t="shared" si="247"/>
        <v>0</v>
      </c>
      <c r="I1957">
        <v>1956</v>
      </c>
      <c r="J1957">
        <f t="shared" si="242"/>
        <v>0.78924476724275694</v>
      </c>
      <c r="K1957">
        <f t="shared" si="243"/>
        <v>-0.61407873874603935</v>
      </c>
      <c r="L1957">
        <f>VLOOKUP(D1957,[1]SOI!$A$1:$C$142,3)</f>
        <v>-11.2</v>
      </c>
      <c r="M1957" s="2">
        <f t="shared" si="244"/>
        <v>1543.7627647268325</v>
      </c>
      <c r="N1957">
        <f t="shared" si="245"/>
        <v>-1201.138012987253</v>
      </c>
      <c r="O1957" t="s">
        <v>8</v>
      </c>
    </row>
    <row r="1958" spans="1:15" x14ac:dyDescent="0.35">
      <c r="A1958">
        <v>2005</v>
      </c>
      <c r="B1958">
        <v>5</v>
      </c>
      <c r="C1958">
        <v>10</v>
      </c>
      <c r="D1958" s="1">
        <f t="shared" si="240"/>
        <v>38482</v>
      </c>
      <c r="E1958">
        <v>0</v>
      </c>
      <c r="F1958">
        <f t="shared" si="246"/>
        <v>0</v>
      </c>
      <c r="G1958">
        <f t="shared" si="241"/>
        <v>0</v>
      </c>
      <c r="H1958">
        <f t="shared" si="247"/>
        <v>0</v>
      </c>
      <c r="I1958">
        <v>1957</v>
      </c>
      <c r="J1958">
        <f t="shared" si="242"/>
        <v>0.7785648703932887</v>
      </c>
      <c r="K1958">
        <f t="shared" si="243"/>
        <v>-0.62756413424404811</v>
      </c>
      <c r="L1958">
        <f>VLOOKUP(D1958,[1]SOI!$A$1:$C$142,3)</f>
        <v>-11.2</v>
      </c>
      <c r="M1958" s="2">
        <f t="shared" si="244"/>
        <v>1523.651451359666</v>
      </c>
      <c r="N1958">
        <f t="shared" si="245"/>
        <v>-1228.1430107156023</v>
      </c>
      <c r="O1958" t="s">
        <v>8</v>
      </c>
    </row>
    <row r="1959" spans="1:15" x14ac:dyDescent="0.35">
      <c r="A1959">
        <v>2005</v>
      </c>
      <c r="B1959">
        <v>5</v>
      </c>
      <c r="C1959">
        <v>11</v>
      </c>
      <c r="D1959" s="1">
        <f t="shared" si="240"/>
        <v>38483</v>
      </c>
      <c r="E1959">
        <v>0</v>
      </c>
      <c r="F1959">
        <f t="shared" si="246"/>
        <v>0</v>
      </c>
      <c r="G1959">
        <f t="shared" si="241"/>
        <v>0</v>
      </c>
      <c r="H1959">
        <f t="shared" si="247"/>
        <v>0</v>
      </c>
      <c r="I1959">
        <v>1958</v>
      </c>
      <c r="J1959">
        <f t="shared" si="242"/>
        <v>0.76765458367276673</v>
      </c>
      <c r="K1959">
        <f t="shared" si="243"/>
        <v>-0.64086382341819792</v>
      </c>
      <c r="L1959">
        <f>VLOOKUP(D1959,[1]SOI!$A$1:$C$142,3)</f>
        <v>-11.2</v>
      </c>
      <c r="M1959" s="2">
        <f t="shared" si="244"/>
        <v>1503.0676748312774</v>
      </c>
      <c r="N1959">
        <f t="shared" si="245"/>
        <v>-1254.8113662528315</v>
      </c>
      <c r="O1959" t="s">
        <v>8</v>
      </c>
    </row>
    <row r="1960" spans="1:15" x14ac:dyDescent="0.35">
      <c r="A1960">
        <v>2005</v>
      </c>
      <c r="B1960">
        <v>5</v>
      </c>
      <c r="C1960">
        <v>12</v>
      </c>
      <c r="D1960" s="1">
        <f t="shared" si="240"/>
        <v>38484</v>
      </c>
      <c r="E1960">
        <v>0.4</v>
      </c>
      <c r="F1960">
        <f t="shared" si="246"/>
        <v>0</v>
      </c>
      <c r="G1960">
        <f t="shared" si="241"/>
        <v>1</v>
      </c>
      <c r="H1960">
        <f t="shared" si="247"/>
        <v>0</v>
      </c>
      <c r="I1960">
        <v>1959</v>
      </c>
      <c r="J1960">
        <f t="shared" si="242"/>
        <v>0.75651713561056599</v>
      </c>
      <c r="K1960">
        <f t="shared" si="243"/>
        <v>-0.65397387067648549</v>
      </c>
      <c r="L1960">
        <f>VLOOKUP(D1960,[1]SOI!$A$1:$C$142,3)</f>
        <v>-11.2</v>
      </c>
      <c r="M1960" s="2">
        <f t="shared" si="244"/>
        <v>1482.0170686610988</v>
      </c>
      <c r="N1960">
        <f t="shared" si="245"/>
        <v>-1281.134812655235</v>
      </c>
      <c r="O1960" t="s">
        <v>8</v>
      </c>
    </row>
    <row r="1961" spans="1:15" x14ac:dyDescent="0.35">
      <c r="A1961">
        <v>2005</v>
      </c>
      <c r="B1961">
        <v>5</v>
      </c>
      <c r="C1961">
        <v>13</v>
      </c>
      <c r="D1961" s="1">
        <f t="shared" si="240"/>
        <v>38485</v>
      </c>
      <c r="E1961">
        <v>0</v>
      </c>
      <c r="F1961">
        <f t="shared" si="246"/>
        <v>0.4</v>
      </c>
      <c r="G1961">
        <f t="shared" si="241"/>
        <v>0</v>
      </c>
      <c r="H1961">
        <f t="shared" si="247"/>
        <v>1</v>
      </c>
      <c r="I1961">
        <v>1960</v>
      </c>
      <c r="J1961">
        <f t="shared" si="242"/>
        <v>0.74515582195674313</v>
      </c>
      <c r="K1961">
        <f t="shared" si="243"/>
        <v>-0.66689039654501736</v>
      </c>
      <c r="L1961">
        <f>VLOOKUP(D1961,[1]SOI!$A$1:$C$142,3)</f>
        <v>-11.2</v>
      </c>
      <c r="M1961" s="2">
        <f t="shared" si="244"/>
        <v>1460.5054110352166</v>
      </c>
      <c r="N1961">
        <f t="shared" si="245"/>
        <v>-1307.105177228234</v>
      </c>
      <c r="O1961" t="s">
        <v>8</v>
      </c>
    </row>
    <row r="1962" spans="1:15" x14ac:dyDescent="0.35">
      <c r="A1962">
        <v>2005</v>
      </c>
      <c r="B1962">
        <v>5</v>
      </c>
      <c r="C1962">
        <v>14</v>
      </c>
      <c r="D1962" s="1">
        <f t="shared" si="240"/>
        <v>38486</v>
      </c>
      <c r="E1962">
        <v>0</v>
      </c>
      <c r="F1962">
        <f t="shared" si="246"/>
        <v>0</v>
      </c>
      <c r="G1962">
        <f t="shared" si="241"/>
        <v>0</v>
      </c>
      <c r="H1962">
        <f t="shared" si="247"/>
        <v>0</v>
      </c>
      <c r="I1962">
        <v>1961</v>
      </c>
      <c r="J1962">
        <f t="shared" si="242"/>
        <v>0.7335740047067989</v>
      </c>
      <c r="K1962">
        <f t="shared" si="243"/>
        <v>-0.67960957881597683</v>
      </c>
      <c r="L1962">
        <f>VLOOKUP(D1962,[1]SOI!$A$1:$C$142,3)</f>
        <v>-11.2</v>
      </c>
      <c r="M1962" s="2">
        <f t="shared" si="244"/>
        <v>1438.5386232300327</v>
      </c>
      <c r="N1962">
        <f t="shared" si="245"/>
        <v>-1332.7143840581305</v>
      </c>
      <c r="O1962" t="s">
        <v>8</v>
      </c>
    </row>
    <row r="1963" spans="1:15" x14ac:dyDescent="0.35">
      <c r="A1963">
        <v>2005</v>
      </c>
      <c r="B1963">
        <v>5</v>
      </c>
      <c r="C1963">
        <v>15</v>
      </c>
      <c r="D1963" s="1">
        <f t="shared" si="240"/>
        <v>38487</v>
      </c>
      <c r="E1963">
        <v>0</v>
      </c>
      <c r="F1963">
        <f t="shared" si="246"/>
        <v>0</v>
      </c>
      <c r="G1963">
        <f t="shared" si="241"/>
        <v>0</v>
      </c>
      <c r="H1963">
        <f t="shared" si="247"/>
        <v>0</v>
      </c>
      <c r="I1963">
        <v>1962</v>
      </c>
      <c r="J1963">
        <f t="shared" si="242"/>
        <v>0.72177511110679105</v>
      </c>
      <c r="K1963">
        <f t="shared" si="243"/>
        <v>-0.69212765367869789</v>
      </c>
      <c r="L1963">
        <f>VLOOKUP(D1963,[1]SOI!$A$1:$C$142,3)</f>
        <v>-11.2</v>
      </c>
      <c r="M1963" s="2">
        <f t="shared" si="244"/>
        <v>1416.1227679915241</v>
      </c>
      <c r="N1963">
        <f t="shared" si="245"/>
        <v>-1357.9544565176052</v>
      </c>
      <c r="O1963" t="s">
        <v>8</v>
      </c>
    </row>
    <row r="1964" spans="1:15" x14ac:dyDescent="0.35">
      <c r="A1964">
        <v>2005</v>
      </c>
      <c r="B1964">
        <v>5</v>
      </c>
      <c r="C1964">
        <v>16</v>
      </c>
      <c r="D1964" s="1">
        <f t="shared" si="240"/>
        <v>38488</v>
      </c>
      <c r="E1964">
        <v>0</v>
      </c>
      <c r="F1964">
        <f t="shared" si="246"/>
        <v>0</v>
      </c>
      <c r="G1964">
        <f t="shared" si="241"/>
        <v>0</v>
      </c>
      <c r="H1964">
        <f t="shared" si="247"/>
        <v>0</v>
      </c>
      <c r="I1964">
        <v>1963</v>
      </c>
      <c r="J1964">
        <f t="shared" si="242"/>
        <v>0.70976263263916173</v>
      </c>
      <c r="K1964">
        <f t="shared" si="243"/>
        <v>-0.70444091683343213</v>
      </c>
      <c r="L1964">
        <f>VLOOKUP(D1964,[1]SOI!$A$1:$C$142,3)</f>
        <v>-11.2</v>
      </c>
      <c r="M1964" s="2">
        <f t="shared" si="244"/>
        <v>1393.2640478706744</v>
      </c>
      <c r="N1964">
        <f t="shared" si="245"/>
        <v>-1382.8175197440273</v>
      </c>
      <c r="O1964" t="s">
        <v>8</v>
      </c>
    </row>
    <row r="1965" spans="1:15" x14ac:dyDescent="0.35">
      <c r="A1965">
        <v>2005</v>
      </c>
      <c r="B1965">
        <v>5</v>
      </c>
      <c r="C1965">
        <v>17</v>
      </c>
      <c r="D1965" s="1">
        <f t="shared" si="240"/>
        <v>38489</v>
      </c>
      <c r="E1965">
        <v>0</v>
      </c>
      <c r="F1965">
        <f t="shared" si="246"/>
        <v>0</v>
      </c>
      <c r="G1965">
        <f t="shared" si="241"/>
        <v>0</v>
      </c>
      <c r="H1965">
        <f t="shared" si="247"/>
        <v>0</v>
      </c>
      <c r="I1965">
        <v>1964</v>
      </c>
      <c r="J1965">
        <f t="shared" si="242"/>
        <v>0.69754012398955167</v>
      </c>
      <c r="K1965">
        <f t="shared" si="243"/>
        <v>-0.71654572458751087</v>
      </c>
      <c r="L1965">
        <f>VLOOKUP(D1965,[1]SOI!$A$1:$C$142,3)</f>
        <v>-11.2</v>
      </c>
      <c r="M1965" s="2">
        <f t="shared" si="244"/>
        <v>1369.9688035154795</v>
      </c>
      <c r="N1965">
        <f t="shared" si="245"/>
        <v>-1407.2958030898712</v>
      </c>
      <c r="O1965" t="s">
        <v>8</v>
      </c>
    </row>
    <row r="1966" spans="1:15" x14ac:dyDescent="0.35">
      <c r="A1966">
        <v>2005</v>
      </c>
      <c r="B1966">
        <v>5</v>
      </c>
      <c r="C1966">
        <v>18</v>
      </c>
      <c r="D1966" s="1">
        <f t="shared" si="240"/>
        <v>38490</v>
      </c>
      <c r="E1966">
        <v>0</v>
      </c>
      <c r="F1966">
        <f t="shared" si="246"/>
        <v>0</v>
      </c>
      <c r="G1966">
        <f t="shared" si="241"/>
        <v>0</v>
      </c>
      <c r="H1966">
        <f t="shared" si="247"/>
        <v>0</v>
      </c>
      <c r="I1966">
        <v>1965</v>
      </c>
      <c r="J1966">
        <f t="shared" si="242"/>
        <v>0.68511120199491682</v>
      </c>
      <c r="K1966">
        <f t="shared" si="243"/>
        <v>-0.72843849493356694</v>
      </c>
      <c r="L1966">
        <f>VLOOKUP(D1966,[1]SOI!$A$1:$C$142,3)</f>
        <v>-11.2</v>
      </c>
      <c r="M1966" s="2">
        <f t="shared" si="244"/>
        <v>1346.2435119200115</v>
      </c>
      <c r="N1966">
        <f t="shared" si="245"/>
        <v>-1431.3816425444591</v>
      </c>
      <c r="O1966" t="s">
        <v>8</v>
      </c>
    </row>
    <row r="1967" spans="1:15" x14ac:dyDescent="0.35">
      <c r="A1967">
        <v>2005</v>
      </c>
      <c r="B1967">
        <v>5</v>
      </c>
      <c r="C1967">
        <v>19</v>
      </c>
      <c r="D1967" s="1">
        <f t="shared" si="240"/>
        <v>38491</v>
      </c>
      <c r="E1967">
        <v>0</v>
      </c>
      <c r="F1967">
        <f t="shared" si="246"/>
        <v>0</v>
      </c>
      <c r="G1967">
        <f t="shared" si="241"/>
        <v>0</v>
      </c>
      <c r="H1967">
        <f t="shared" si="247"/>
        <v>0</v>
      </c>
      <c r="I1967">
        <v>1966</v>
      </c>
      <c r="J1967">
        <f t="shared" si="242"/>
        <v>0.6724795445732219</v>
      </c>
      <c r="K1967">
        <f t="shared" si="243"/>
        <v>-0.74011570860953357</v>
      </c>
      <c r="L1967">
        <f>VLOOKUP(D1967,[1]SOI!$A$1:$C$142,3)</f>
        <v>-11.2</v>
      </c>
      <c r="M1967" s="2">
        <f t="shared" si="244"/>
        <v>1322.0947846309543</v>
      </c>
      <c r="N1967">
        <f t="shared" si="245"/>
        <v>-1455.0674831263429</v>
      </c>
      <c r="O1967" t="s">
        <v>8</v>
      </c>
    </row>
    <row r="1968" spans="1:15" x14ac:dyDescent="0.35">
      <c r="A1968">
        <v>2005</v>
      </c>
      <c r="B1968">
        <v>5</v>
      </c>
      <c r="C1968">
        <v>20</v>
      </c>
      <c r="D1968" s="1">
        <f t="shared" si="240"/>
        <v>38492</v>
      </c>
      <c r="E1968">
        <v>0</v>
      </c>
      <c r="F1968">
        <f t="shared" si="246"/>
        <v>0</v>
      </c>
      <c r="G1968">
        <f t="shared" si="241"/>
        <v>0</v>
      </c>
      <c r="H1968">
        <f t="shared" si="247"/>
        <v>0</v>
      </c>
      <c r="I1968">
        <v>1967</v>
      </c>
      <c r="J1968">
        <f t="shared" si="242"/>
        <v>0.65964888963514279</v>
      </c>
      <c r="K1968">
        <f t="shared" si="243"/>
        <v>-0.75157391013999619</v>
      </c>
      <c r="L1968">
        <f>VLOOKUP(D1968,[1]SOI!$A$1:$C$142,3)</f>
        <v>-11.2</v>
      </c>
      <c r="M1968" s="2">
        <f t="shared" si="244"/>
        <v>1297.5293659123258</v>
      </c>
      <c r="N1968">
        <f t="shared" si="245"/>
        <v>-1478.3458812453725</v>
      </c>
      <c r="O1968" t="s">
        <v>8</v>
      </c>
    </row>
    <row r="1969" spans="1:15" x14ac:dyDescent="0.35">
      <c r="A1969">
        <v>2005</v>
      </c>
      <c r="B1969">
        <v>5</v>
      </c>
      <c r="C1969">
        <v>21</v>
      </c>
      <c r="D1969" s="1">
        <f t="shared" si="240"/>
        <v>38493</v>
      </c>
      <c r="E1969">
        <v>0</v>
      </c>
      <c r="F1969">
        <f t="shared" si="246"/>
        <v>0</v>
      </c>
      <c r="G1969">
        <f t="shared" si="241"/>
        <v>0</v>
      </c>
      <c r="H1969">
        <f t="shared" si="247"/>
        <v>0</v>
      </c>
      <c r="I1969">
        <v>1968</v>
      </c>
      <c r="J1969">
        <f t="shared" si="242"/>
        <v>0.64662303397788523</v>
      </c>
      <c r="K1969">
        <f t="shared" si="243"/>
        <v>-0.76280970885879174</v>
      </c>
      <c r="L1969">
        <f>VLOOKUP(D1969,[1]SOI!$A$1:$C$142,3)</f>
        <v>-11.2</v>
      </c>
      <c r="M1969" s="2">
        <f t="shared" si="244"/>
        <v>1272.5541308684781</v>
      </c>
      <c r="N1969">
        <f t="shared" si="245"/>
        <v>-1501.2095070341022</v>
      </c>
      <c r="O1969" t="s">
        <v>8</v>
      </c>
    </row>
    <row r="1970" spans="1:15" x14ac:dyDescent="0.35">
      <c r="A1970">
        <v>2005</v>
      </c>
      <c r="B1970">
        <v>5</v>
      </c>
      <c r="C1970">
        <v>22</v>
      </c>
      <c r="D1970" s="1">
        <f t="shared" si="240"/>
        <v>38494</v>
      </c>
      <c r="E1970">
        <v>0</v>
      </c>
      <c r="F1970">
        <f t="shared" si="246"/>
        <v>0</v>
      </c>
      <c r="G1970">
        <f t="shared" si="241"/>
        <v>0</v>
      </c>
      <c r="H1970">
        <f t="shared" si="247"/>
        <v>0</v>
      </c>
      <c r="I1970">
        <v>1969</v>
      </c>
      <c r="J1970">
        <f t="shared" si="242"/>
        <v>0.63340583216170943</v>
      </c>
      <c r="K1970">
        <f t="shared" si="243"/>
        <v>-0.77381977991230777</v>
      </c>
      <c r="L1970">
        <f>VLOOKUP(D1970,[1]SOI!$A$1:$C$142,3)</f>
        <v>-11.2</v>
      </c>
      <c r="M1970" s="2">
        <f t="shared" si="244"/>
        <v>1247.1760835264058</v>
      </c>
      <c r="N1970">
        <f t="shared" si="245"/>
        <v>-1523.6511466473339</v>
      </c>
      <c r="O1970" t="s">
        <v>8</v>
      </c>
    </row>
    <row r="1971" spans="1:15" x14ac:dyDescent="0.35">
      <c r="A1971">
        <v>2005</v>
      </c>
      <c r="B1971">
        <v>5</v>
      </c>
      <c r="C1971">
        <v>23</v>
      </c>
      <c r="D1971" s="1">
        <f t="shared" si="240"/>
        <v>38495</v>
      </c>
      <c r="E1971">
        <v>0</v>
      </c>
      <c r="F1971">
        <f t="shared" si="246"/>
        <v>0</v>
      </c>
      <c r="G1971">
        <f t="shared" si="241"/>
        <v>0</v>
      </c>
      <c r="H1971">
        <f t="shared" si="247"/>
        <v>0</v>
      </c>
      <c r="I1971">
        <v>1970</v>
      </c>
      <c r="J1971">
        <f t="shared" si="242"/>
        <v>0.62000119536928244</v>
      </c>
      <c r="K1971">
        <f t="shared" si="243"/>
        <v>-0.78460086524338024</v>
      </c>
      <c r="L1971">
        <f>VLOOKUP(D1971,[1]SOI!$A$1:$C$142,3)</f>
        <v>-11.2</v>
      </c>
      <c r="M1971" s="2">
        <f t="shared" si="244"/>
        <v>1221.4023548774865</v>
      </c>
      <c r="N1971">
        <f t="shared" si="245"/>
        <v>-1545.663704529459</v>
      </c>
      <c r="O1971" t="s">
        <v>8</v>
      </c>
    </row>
    <row r="1972" spans="1:15" x14ac:dyDescent="0.35">
      <c r="A1972">
        <v>2005</v>
      </c>
      <c r="B1972">
        <v>5</v>
      </c>
      <c r="C1972">
        <v>24</v>
      </c>
      <c r="D1972" s="1">
        <f t="shared" si="240"/>
        <v>38496</v>
      </c>
      <c r="E1972">
        <v>4</v>
      </c>
      <c r="F1972">
        <f t="shared" si="246"/>
        <v>0</v>
      </c>
      <c r="G1972">
        <f t="shared" si="241"/>
        <v>1</v>
      </c>
      <c r="H1972">
        <f t="shared" si="247"/>
        <v>0</v>
      </c>
      <c r="I1972">
        <v>1971</v>
      </c>
      <c r="J1972">
        <f t="shared" si="242"/>
        <v>0.6064130902482745</v>
      </c>
      <c r="K1972">
        <f t="shared" si="243"/>
        <v>-0.7951497745554218</v>
      </c>
      <c r="L1972">
        <f>VLOOKUP(D1972,[1]SOI!$A$1:$C$142,3)</f>
        <v>-11.2</v>
      </c>
      <c r="M1972" s="2">
        <f t="shared" si="244"/>
        <v>1195.240200879349</v>
      </c>
      <c r="N1972">
        <f t="shared" si="245"/>
        <v>-1567.2402056487363</v>
      </c>
      <c r="O1972" t="s">
        <v>8</v>
      </c>
    </row>
    <row r="1973" spans="1:15" x14ac:dyDescent="0.35">
      <c r="A1973">
        <v>2005</v>
      </c>
      <c r="B1973">
        <v>5</v>
      </c>
      <c r="C1973">
        <v>25</v>
      </c>
      <c r="D1973" s="1">
        <f t="shared" si="240"/>
        <v>38497</v>
      </c>
      <c r="E1973">
        <v>0.2</v>
      </c>
      <c r="F1973">
        <f t="shared" si="246"/>
        <v>4</v>
      </c>
      <c r="G1973">
        <f t="shared" si="241"/>
        <v>1</v>
      </c>
      <c r="H1973">
        <f t="shared" si="247"/>
        <v>1</v>
      </c>
      <c r="I1973">
        <v>1972</v>
      </c>
      <c r="J1973">
        <f t="shared" si="242"/>
        <v>0.59264553773761919</v>
      </c>
      <c r="K1973">
        <f t="shared" si="243"/>
        <v>-0.80546338625643821</v>
      </c>
      <c r="L1973">
        <f>VLOOKUP(D1973,[1]SOI!$A$1:$C$142,3)</f>
        <v>-11.2</v>
      </c>
      <c r="M1973" s="2">
        <f t="shared" si="244"/>
        <v>1168.697000418585</v>
      </c>
      <c r="N1973">
        <f t="shared" si="245"/>
        <v>-1588.3737976976961</v>
      </c>
      <c r="O1973" t="s">
        <v>8</v>
      </c>
    </row>
    <row r="1974" spans="1:15" x14ac:dyDescent="0.35">
      <c r="A1974">
        <v>2005</v>
      </c>
      <c r="B1974">
        <v>5</v>
      </c>
      <c r="C1974">
        <v>26</v>
      </c>
      <c r="D1974" s="1">
        <f t="shared" si="240"/>
        <v>38498</v>
      </c>
      <c r="E1974">
        <v>0.8</v>
      </c>
      <c r="F1974">
        <f t="shared" si="246"/>
        <v>0.2</v>
      </c>
      <c r="G1974">
        <f t="shared" si="241"/>
        <v>1</v>
      </c>
      <c r="H1974">
        <f t="shared" si="247"/>
        <v>1</v>
      </c>
      <c r="I1974">
        <v>1973</v>
      </c>
      <c r="J1974">
        <f t="shared" si="242"/>
        <v>0.57870261187760319</v>
      </c>
      <c r="K1974">
        <f t="shared" si="243"/>
        <v>-0.81553864838279744</v>
      </c>
      <c r="L1974">
        <f>VLOOKUP(D1974,[1]SOI!$A$1:$C$142,3)</f>
        <v>-11.2</v>
      </c>
      <c r="M1974" s="2">
        <f t="shared" si="244"/>
        <v>1141.7802532345111</v>
      </c>
      <c r="N1974">
        <f t="shared" si="245"/>
        <v>-1609.0577532592592</v>
      </c>
      <c r="O1974" t="s">
        <v>8</v>
      </c>
    </row>
    <row r="1975" spans="1:15" x14ac:dyDescent="0.35">
      <c r="A1975">
        <v>2005</v>
      </c>
      <c r="B1975">
        <v>5</v>
      </c>
      <c r="C1975">
        <v>27</v>
      </c>
      <c r="D1975" s="1">
        <f t="shared" si="240"/>
        <v>38499</v>
      </c>
      <c r="E1975">
        <v>1.2</v>
      </c>
      <c r="F1975">
        <f t="shared" si="246"/>
        <v>0.8</v>
      </c>
      <c r="G1975">
        <f t="shared" si="241"/>
        <v>1</v>
      </c>
      <c r="H1975">
        <f t="shared" si="247"/>
        <v>1</v>
      </c>
      <c r="I1975">
        <v>1974</v>
      </c>
      <c r="J1975">
        <f t="shared" si="242"/>
        <v>0.56458843860429719</v>
      </c>
      <c r="K1975">
        <f t="shared" si="243"/>
        <v>-0.82537257950234921</v>
      </c>
      <c r="L1975">
        <f>VLOOKUP(D1975,[1]SOI!$A$1:$C$142,3)</f>
        <v>-11.2</v>
      </c>
      <c r="M1975" s="2">
        <f t="shared" si="244"/>
        <v>1114.4975778048827</v>
      </c>
      <c r="N1975">
        <f t="shared" si="245"/>
        <v>-1629.2854719376373</v>
      </c>
      <c r="O1975" t="s">
        <v>8</v>
      </c>
    </row>
    <row r="1976" spans="1:15" x14ac:dyDescent="0.35">
      <c r="A1976">
        <v>2005</v>
      </c>
      <c r="B1976">
        <v>5</v>
      </c>
      <c r="C1976">
        <v>28</v>
      </c>
      <c r="D1976" s="1">
        <f t="shared" si="240"/>
        <v>38500</v>
      </c>
      <c r="E1976">
        <v>0.2</v>
      </c>
      <c r="F1976">
        <f t="shared" si="246"/>
        <v>1.2</v>
      </c>
      <c r="G1976">
        <f t="shared" si="241"/>
        <v>1</v>
      </c>
      <c r="H1976">
        <f t="shared" si="247"/>
        <v>1</v>
      </c>
      <c r="I1976">
        <v>1975</v>
      </c>
      <c r="J1976">
        <f t="shared" si="242"/>
        <v>0.55030719452865351</v>
      </c>
      <c r="K1976">
        <f t="shared" si="243"/>
        <v>-0.83496226959665831</v>
      </c>
      <c r="L1976">
        <f>VLOOKUP(D1976,[1]SOI!$A$1:$C$142,3)</f>
        <v>-11.2</v>
      </c>
      <c r="M1976" s="2">
        <f t="shared" si="244"/>
        <v>1086.8567091940906</v>
      </c>
      <c r="N1976">
        <f t="shared" si="245"/>
        <v>-1649.0504824534003</v>
      </c>
      <c r="O1976" t="s">
        <v>8</v>
      </c>
    </row>
    <row r="1977" spans="1:15" x14ac:dyDescent="0.35">
      <c r="A1977">
        <v>2005</v>
      </c>
      <c r="B1977">
        <v>5</v>
      </c>
      <c r="C1977">
        <v>29</v>
      </c>
      <c r="D1977" s="1">
        <f t="shared" si="240"/>
        <v>38501</v>
      </c>
      <c r="E1977">
        <v>0.4</v>
      </c>
      <c r="F1977">
        <f t="shared" si="246"/>
        <v>0.2</v>
      </c>
      <c r="G1977">
        <f t="shared" si="241"/>
        <v>1</v>
      </c>
      <c r="H1977">
        <f t="shared" si="247"/>
        <v>1</v>
      </c>
      <c r="I1977">
        <v>1976</v>
      </c>
      <c r="J1977">
        <f t="shared" si="242"/>
        <v>0.5358631057005574</v>
      </c>
      <c r="K1977">
        <f t="shared" si="243"/>
        <v>-0.84430488092214251</v>
      </c>
      <c r="L1977">
        <f>VLOOKUP(D1977,[1]SOI!$A$1:$C$142,3)</f>
        <v>-11.2</v>
      </c>
      <c r="M1977" s="2">
        <f t="shared" si="244"/>
        <v>1058.8654968643013</v>
      </c>
      <c r="N1977">
        <f t="shared" si="245"/>
        <v>-1668.3464447021536</v>
      </c>
      <c r="O1977" t="s">
        <v>8</v>
      </c>
    </row>
    <row r="1978" spans="1:15" x14ac:dyDescent="0.35">
      <c r="A1978">
        <v>2005</v>
      </c>
      <c r="B1978">
        <v>5</v>
      </c>
      <c r="C1978">
        <v>30</v>
      </c>
      <c r="D1978" s="1">
        <f t="shared" si="240"/>
        <v>38502</v>
      </c>
      <c r="E1978">
        <v>0</v>
      </c>
      <c r="F1978">
        <f t="shared" si="246"/>
        <v>0.4</v>
      </c>
      <c r="G1978">
        <f t="shared" si="241"/>
        <v>0</v>
      </c>
      <c r="H1978">
        <f t="shared" si="247"/>
        <v>1</v>
      </c>
      <c r="I1978">
        <v>1977</v>
      </c>
      <c r="J1978">
        <f t="shared" si="242"/>
        <v>0.52126044635827617</v>
      </c>
      <c r="K1978">
        <f t="shared" si="243"/>
        <v>-0.8533976488498024</v>
      </c>
      <c r="L1978">
        <f>VLOOKUP(D1978,[1]SOI!$A$1:$C$142,3)</f>
        <v>-11.2</v>
      </c>
      <c r="M1978" s="2">
        <f t="shared" si="244"/>
        <v>1030.5319024503119</v>
      </c>
      <c r="N1978">
        <f t="shared" si="245"/>
        <v>-1687.1671517760594</v>
      </c>
      <c r="O1978" t="s">
        <v>8</v>
      </c>
    </row>
    <row r="1979" spans="1:15" x14ac:dyDescent="0.35">
      <c r="A1979">
        <v>2005</v>
      </c>
      <c r="B1979">
        <v>5</v>
      </c>
      <c r="C1979">
        <v>31</v>
      </c>
      <c r="D1979" s="1">
        <f t="shared" si="240"/>
        <v>38503</v>
      </c>
      <c r="E1979">
        <v>0</v>
      </c>
      <c r="F1979">
        <f t="shared" si="246"/>
        <v>0</v>
      </c>
      <c r="G1979">
        <f t="shared" si="241"/>
        <v>0</v>
      </c>
      <c r="H1979">
        <f t="shared" si="247"/>
        <v>0</v>
      </c>
      <c r="I1979">
        <v>1978</v>
      </c>
      <c r="J1979">
        <f t="shared" si="242"/>
        <v>0.50650353766364942</v>
      </c>
      <c r="K1979">
        <f t="shared" si="243"/>
        <v>-0.86223788268331614</v>
      </c>
      <c r="L1979">
        <f>VLOOKUP(D1979,[1]SOI!$A$1:$C$142,3)</f>
        <v>-11.2</v>
      </c>
      <c r="M1979" s="2">
        <f t="shared" si="244"/>
        <v>1001.8639974986985</v>
      </c>
      <c r="N1979">
        <f t="shared" si="245"/>
        <v>-1705.5065319475993</v>
      </c>
      <c r="O1979" t="s">
        <v>8</v>
      </c>
    </row>
    <row r="1980" spans="1:15" x14ac:dyDescent="0.35">
      <c r="A1980">
        <v>2005</v>
      </c>
      <c r="B1980">
        <v>6</v>
      </c>
      <c r="C1980">
        <v>1</v>
      </c>
      <c r="D1980" s="1">
        <f t="shared" si="240"/>
        <v>38504</v>
      </c>
      <c r="E1980">
        <v>0.4</v>
      </c>
      <c r="F1980">
        <f t="shared" si="246"/>
        <v>0</v>
      </c>
      <c r="G1980">
        <f t="shared" si="241"/>
        <v>1</v>
      </c>
      <c r="H1980">
        <f t="shared" si="247"/>
        <v>0</v>
      </c>
      <c r="I1980">
        <v>1979</v>
      </c>
      <c r="J1980">
        <f t="shared" si="242"/>
        <v>0.4915967464233636</v>
      </c>
      <c r="K1980">
        <f t="shared" si="243"/>
        <v>-0.87082296645527391</v>
      </c>
      <c r="L1980">
        <f>VLOOKUP(D1980,[1]SOI!$A$1:$C$142,3)</f>
        <v>-14.5</v>
      </c>
      <c r="M1980" s="2">
        <f t="shared" si="244"/>
        <v>972.86996117183651</v>
      </c>
      <c r="N1980">
        <f t="shared" si="245"/>
        <v>-1723.358650614987</v>
      </c>
      <c r="O1980" t="s">
        <v>8</v>
      </c>
    </row>
    <row r="1981" spans="1:15" x14ac:dyDescent="0.35">
      <c r="A1981">
        <v>2005</v>
      </c>
      <c r="B1981">
        <v>6</v>
      </c>
      <c r="C1981">
        <v>2</v>
      </c>
      <c r="D1981" s="1">
        <f t="shared" si="240"/>
        <v>38505</v>
      </c>
      <c r="E1981">
        <v>0</v>
      </c>
      <c r="F1981">
        <f t="shared" si="246"/>
        <v>0.4</v>
      </c>
      <c r="G1981">
        <f t="shared" si="241"/>
        <v>0</v>
      </c>
      <c r="H1981">
        <f t="shared" si="247"/>
        <v>1</v>
      </c>
      <c r="I1981">
        <v>1980</v>
      </c>
      <c r="J1981">
        <f t="shared" si="242"/>
        <v>0.47654448379677994</v>
      </c>
      <c r="K1981">
        <f t="shared" si="243"/>
        <v>-0.87915035970126321</v>
      </c>
      <c r="L1981">
        <f>VLOOKUP(D1981,[1]SOI!$A$1:$C$142,3)</f>
        <v>-14.5</v>
      </c>
      <c r="M1981" s="2">
        <f t="shared" si="244"/>
        <v>943.55807791762425</v>
      </c>
      <c r="N1981">
        <f t="shared" si="245"/>
        <v>-1740.7177122085011</v>
      </c>
      <c r="O1981" t="s">
        <v>8</v>
      </c>
    </row>
    <row r="1982" spans="1:15" x14ac:dyDescent="0.35">
      <c r="A1982">
        <v>2005</v>
      </c>
      <c r="B1982">
        <v>6</v>
      </c>
      <c r="C1982">
        <v>3</v>
      </c>
      <c r="D1982" s="1">
        <f t="shared" si="240"/>
        <v>38506</v>
      </c>
      <c r="E1982">
        <v>0</v>
      </c>
      <c r="F1982">
        <f t="shared" si="246"/>
        <v>0</v>
      </c>
      <c r="G1982">
        <f t="shared" si="241"/>
        <v>0</v>
      </c>
      <c r="H1982">
        <f t="shared" si="247"/>
        <v>0</v>
      </c>
      <c r="I1982">
        <v>1981</v>
      </c>
      <c r="J1982">
        <f t="shared" si="242"/>
        <v>0.46135120399057733</v>
      </c>
      <c r="K1982">
        <f t="shared" si="243"/>
        <v>-0.8872175982116477</v>
      </c>
      <c r="L1982">
        <f>VLOOKUP(D1982,[1]SOI!$A$1:$C$142,3)</f>
        <v>-14.5</v>
      </c>
      <c r="M1982" s="2">
        <f t="shared" si="244"/>
        <v>913.9367351053337</v>
      </c>
      <c r="N1982">
        <f t="shared" si="245"/>
        <v>-1757.5780620572741</v>
      </c>
      <c r="O1982" t="s">
        <v>8</v>
      </c>
    </row>
    <row r="1983" spans="1:15" x14ac:dyDescent="0.35">
      <c r="A1983">
        <v>2005</v>
      </c>
      <c r="B1983">
        <v>6</v>
      </c>
      <c r="C1983">
        <v>4</v>
      </c>
      <c r="D1983" s="1">
        <f t="shared" si="240"/>
        <v>38507</v>
      </c>
      <c r="E1983">
        <v>0</v>
      </c>
      <c r="F1983">
        <f t="shared" si="246"/>
        <v>0</v>
      </c>
      <c r="G1983">
        <f t="shared" si="241"/>
        <v>0</v>
      </c>
      <c r="H1983">
        <f t="shared" si="247"/>
        <v>0</v>
      </c>
      <c r="I1983">
        <v>1982</v>
      </c>
      <c r="J1983">
        <f t="shared" si="242"/>
        <v>0.44602140294068671</v>
      </c>
      <c r="K1983">
        <f t="shared" si="243"/>
        <v>-0.89502229476076267</v>
      </c>
      <c r="L1983">
        <f>VLOOKUP(D1983,[1]SOI!$A$1:$C$142,3)</f>
        <v>-14.5</v>
      </c>
      <c r="M1983" s="2">
        <f t="shared" si="244"/>
        <v>884.01442062844103</v>
      </c>
      <c r="N1983">
        <f t="shared" si="245"/>
        <v>-1773.9341882158317</v>
      </c>
      <c r="O1983" t="s">
        <v>8</v>
      </c>
    </row>
    <row r="1984" spans="1:15" x14ac:dyDescent="0.35">
      <c r="A1984">
        <v>2005</v>
      </c>
      <c r="B1984">
        <v>6</v>
      </c>
      <c r="C1984">
        <v>5</v>
      </c>
      <c r="D1984" s="1">
        <f t="shared" si="240"/>
        <v>38508</v>
      </c>
      <c r="E1984">
        <v>0</v>
      </c>
      <c r="F1984">
        <f t="shared" si="246"/>
        <v>0</v>
      </c>
      <c r="G1984">
        <f t="shared" si="241"/>
        <v>0</v>
      </c>
      <c r="H1984">
        <f t="shared" si="247"/>
        <v>0</v>
      </c>
      <c r="I1984">
        <v>1983</v>
      </c>
      <c r="J1984">
        <f t="shared" si="242"/>
        <v>0.43055961698187156</v>
      </c>
      <c r="K1984">
        <f t="shared" si="243"/>
        <v>-0.90256213981333389</v>
      </c>
      <c r="L1984">
        <f>VLOOKUP(D1984,[1]SOI!$A$1:$C$142,3)</f>
        <v>-14.5</v>
      </c>
      <c r="M1984" s="2">
        <f t="shared" si="244"/>
        <v>853.79972047505134</v>
      </c>
      <c r="N1984">
        <f t="shared" si="245"/>
        <v>-1789.780723249841</v>
      </c>
      <c r="O1984" t="s">
        <v>8</v>
      </c>
    </row>
    <row r="1985" spans="1:15" x14ac:dyDescent="0.35">
      <c r="A1985">
        <v>2005</v>
      </c>
      <c r="B1985">
        <v>6</v>
      </c>
      <c r="C1985">
        <v>6</v>
      </c>
      <c r="D1985" s="1">
        <f t="shared" si="240"/>
        <v>38509</v>
      </c>
      <c r="E1985">
        <v>0</v>
      </c>
      <c r="F1985">
        <f t="shared" si="246"/>
        <v>0</v>
      </c>
      <c r="G1985">
        <f t="shared" si="241"/>
        <v>0</v>
      </c>
      <c r="H1985">
        <f t="shared" si="247"/>
        <v>0</v>
      </c>
      <c r="I1985">
        <v>1984</v>
      </c>
      <c r="J1985">
        <f t="shared" si="242"/>
        <v>0.41497042150535979</v>
      </c>
      <c r="K1985">
        <f t="shared" si="243"/>
        <v>-0.90983490220790275</v>
      </c>
      <c r="L1985">
        <f>VLOOKUP(D1985,[1]SOI!$A$1:$C$142,3)</f>
        <v>-14.5</v>
      </c>
      <c r="M1985" s="2">
        <f t="shared" si="244"/>
        <v>823.30131626663388</v>
      </c>
      <c r="N1985">
        <f t="shared" si="245"/>
        <v>-1805.1124459804792</v>
      </c>
      <c r="O1985" t="s">
        <v>8</v>
      </c>
    </row>
    <row r="1986" spans="1:15" x14ac:dyDescent="0.35">
      <c r="A1986">
        <v>2005</v>
      </c>
      <c r="B1986">
        <v>6</v>
      </c>
      <c r="C1986">
        <v>7</v>
      </c>
      <c r="D1986" s="1">
        <f t="shared" si="240"/>
        <v>38510</v>
      </c>
      <c r="E1986">
        <v>0</v>
      </c>
      <c r="F1986">
        <f t="shared" si="246"/>
        <v>0</v>
      </c>
      <c r="G1986">
        <f t="shared" si="241"/>
        <v>0</v>
      </c>
      <c r="H1986">
        <f t="shared" si="247"/>
        <v>0</v>
      </c>
      <c r="I1986">
        <v>1985</v>
      </c>
      <c r="J1986">
        <f t="shared" si="242"/>
        <v>0.399258429604886</v>
      </c>
      <c r="K1986">
        <f t="shared" si="243"/>
        <v>-0.91683842981707542</v>
      </c>
      <c r="L1986">
        <f>VLOOKUP(D1986,[1]SOI!$A$1:$C$142,3)</f>
        <v>-14.5</v>
      </c>
      <c r="M1986" s="2">
        <f t="shared" si="244"/>
        <v>792.52798276569877</v>
      </c>
      <c r="N1986">
        <f t="shared" si="245"/>
        <v>-1819.9242831868946</v>
      </c>
      <c r="O1986" t="s">
        <v>8</v>
      </c>
    </row>
    <row r="1987" spans="1:15" x14ac:dyDescent="0.35">
      <c r="A1987">
        <v>2005</v>
      </c>
      <c r="B1987">
        <v>6</v>
      </c>
      <c r="C1987">
        <v>8</v>
      </c>
      <c r="D1987" s="1">
        <f t="shared" ref="D1987:D2050" si="248">DATE(A1987,B1987,C1987)</f>
        <v>38511</v>
      </c>
      <c r="E1987">
        <v>0</v>
      </c>
      <c r="F1987">
        <f t="shared" si="246"/>
        <v>0</v>
      </c>
      <c r="G1987">
        <f t="shared" ref="G1987:G2050" si="249">IF(E1987=0,0,1)</f>
        <v>0</v>
      </c>
      <c r="H1987">
        <f t="shared" si="247"/>
        <v>0</v>
      </c>
      <c r="I1987">
        <v>1986</v>
      </c>
      <c r="J1987">
        <f t="shared" ref="J1987:J2050" si="250">SIN(2*PI()*I1987/365.25)</f>
        <v>0.38342829071164169</v>
      </c>
      <c r="K1987">
        <f t="shared" ref="K1987:K2050" si="251">COS(2*PI()*I1987/365.25)</f>
        <v>-0.92357065018435314</v>
      </c>
      <c r="L1987">
        <f>VLOOKUP(D1987,[1]SOI!$A$1:$C$142,3)</f>
        <v>-14.5</v>
      </c>
      <c r="M1987" s="2">
        <f t="shared" ref="M1987:M2050" si="252">I1987*J1987</f>
        <v>761.48858535332045</v>
      </c>
      <c r="N1987">
        <f t="shared" ref="N1987:N2050" si="253">I1987*K1987</f>
        <v>-1834.2113112661252</v>
      </c>
      <c r="O1987" t="s">
        <v>8</v>
      </c>
    </row>
    <row r="1988" spans="1:15" x14ac:dyDescent="0.35">
      <c r="A1988">
        <v>2005</v>
      </c>
      <c r="B1988">
        <v>6</v>
      </c>
      <c r="C1988">
        <v>9</v>
      </c>
      <c r="D1988" s="1">
        <f t="shared" si="248"/>
        <v>38512</v>
      </c>
      <c r="E1988">
        <v>9.8000000000000007</v>
      </c>
      <c r="F1988">
        <f t="shared" ref="F1988:F2051" si="254">E1987</f>
        <v>0</v>
      </c>
      <c r="G1988">
        <f t="shared" si="249"/>
        <v>1</v>
      </c>
      <c r="H1988">
        <f t="shared" ref="H1988:H2051" si="255">G1987</f>
        <v>0</v>
      </c>
      <c r="I1988">
        <v>1987</v>
      </c>
      <c r="J1988">
        <f t="shared" si="250"/>
        <v>0.36748468921840777</v>
      </c>
      <c r="K1988">
        <f t="shared" si="251"/>
        <v>-0.93002957113741835</v>
      </c>
      <c r="L1988">
        <f>VLOOKUP(D1988,[1]SOI!$A$1:$C$142,3)</f>
        <v>-14.5</v>
      </c>
      <c r="M1988" s="2">
        <f t="shared" si="252"/>
        <v>730.19207747697624</v>
      </c>
      <c r="N1988">
        <f t="shared" si="253"/>
        <v>-1847.9687578500502</v>
      </c>
      <c r="O1988" t="s">
        <v>8</v>
      </c>
    </row>
    <row r="1989" spans="1:15" x14ac:dyDescent="0.35">
      <c r="A1989">
        <v>2005</v>
      </c>
      <c r="B1989">
        <v>6</v>
      </c>
      <c r="C1989">
        <v>10</v>
      </c>
      <c r="D1989" s="1">
        <f t="shared" si="248"/>
        <v>38513</v>
      </c>
      <c r="E1989">
        <v>1.2</v>
      </c>
      <c r="F1989">
        <f t="shared" si="254"/>
        <v>9.8000000000000007</v>
      </c>
      <c r="G1989">
        <f t="shared" si="249"/>
        <v>1</v>
      </c>
      <c r="H1989">
        <f t="shared" si="255"/>
        <v>1</v>
      </c>
      <c r="I1989">
        <v>1988</v>
      </c>
      <c r="J1989">
        <f t="shared" si="250"/>
        <v>0.35143234309337401</v>
      </c>
      <c r="K1989">
        <f t="shared" si="251"/>
        <v>-0.93621328137764692</v>
      </c>
      <c r="L1989">
        <f>VLOOKUP(D1989,[1]SOI!$A$1:$C$142,3)</f>
        <v>-14.5</v>
      </c>
      <c r="M1989" s="2">
        <f t="shared" si="252"/>
        <v>698.64749806962755</v>
      </c>
      <c r="N1989">
        <f t="shared" si="253"/>
        <v>-1861.1920033787621</v>
      </c>
      <c r="O1989" t="s">
        <v>8</v>
      </c>
    </row>
    <row r="1990" spans="1:15" x14ac:dyDescent="0.35">
      <c r="A1990">
        <v>2005</v>
      </c>
      <c r="B1990">
        <v>6</v>
      </c>
      <c r="C1990">
        <v>11</v>
      </c>
      <c r="D1990" s="1">
        <f t="shared" si="248"/>
        <v>38514</v>
      </c>
      <c r="E1990">
        <v>13.4</v>
      </c>
      <c r="F1990">
        <f t="shared" si="254"/>
        <v>1.2</v>
      </c>
      <c r="G1990">
        <f t="shared" si="249"/>
        <v>1</v>
      </c>
      <c r="H1990">
        <f t="shared" si="255"/>
        <v>1</v>
      </c>
      <c r="I1990">
        <v>1989</v>
      </c>
      <c r="J1990">
        <f t="shared" si="250"/>
        <v>0.33527600248402284</v>
      </c>
      <c r="K1990">
        <f t="shared" si="251"/>
        <v>-0.94211995104569013</v>
      </c>
      <c r="L1990">
        <f>VLOOKUP(D1990,[1]SOI!$A$1:$C$142,3)</f>
        <v>-14.5</v>
      </c>
      <c r="M1990" s="2">
        <f t="shared" si="252"/>
        <v>666.86396894072141</v>
      </c>
      <c r="N1990">
        <f t="shared" si="253"/>
        <v>-1873.8765826298777</v>
      </c>
      <c r="O1990" t="s">
        <v>8</v>
      </c>
    </row>
    <row r="1991" spans="1:15" x14ac:dyDescent="0.35">
      <c r="A1991">
        <v>2005</v>
      </c>
      <c r="B1991">
        <v>6</v>
      </c>
      <c r="C1991">
        <v>12</v>
      </c>
      <c r="D1991" s="1">
        <f t="shared" si="248"/>
        <v>38515</v>
      </c>
      <c r="E1991">
        <v>0.2</v>
      </c>
      <c r="F1991">
        <f t="shared" si="254"/>
        <v>13.4</v>
      </c>
      <c r="G1991">
        <f t="shared" si="249"/>
        <v>1</v>
      </c>
      <c r="H1991">
        <f t="shared" si="255"/>
        <v>1</v>
      </c>
      <c r="I1991">
        <v>1990</v>
      </c>
      <c r="J1991">
        <f t="shared" si="250"/>
        <v>0.31902044831145782</v>
      </c>
      <c r="K1991">
        <f t="shared" si="251"/>
        <v>-0.94774783226296877</v>
      </c>
      <c r="L1991">
        <f>VLOOKUP(D1991,[1]SOI!$A$1:$C$142,3)</f>
        <v>-14.5</v>
      </c>
      <c r="M1991" s="2">
        <f t="shared" si="252"/>
        <v>634.85069213980103</v>
      </c>
      <c r="N1991">
        <f t="shared" si="253"/>
        <v>-1886.0181862033078</v>
      </c>
      <c r="O1991" t="s">
        <v>8</v>
      </c>
    </row>
    <row r="1992" spans="1:15" x14ac:dyDescent="0.35">
      <c r="A1992">
        <v>2005</v>
      </c>
      <c r="B1992">
        <v>6</v>
      </c>
      <c r="C1992">
        <v>13</v>
      </c>
      <c r="D1992" s="1">
        <f t="shared" si="248"/>
        <v>38516</v>
      </c>
      <c r="E1992">
        <v>0</v>
      </c>
      <c r="F1992">
        <f t="shared" si="254"/>
        <v>0.2</v>
      </c>
      <c r="G1992">
        <f t="shared" si="249"/>
        <v>0</v>
      </c>
      <c r="H1992">
        <f t="shared" si="255"/>
        <v>1</v>
      </c>
      <c r="I1992">
        <v>1991</v>
      </c>
      <c r="J1992">
        <f t="shared" si="250"/>
        <v>0.30267049085568515</v>
      </c>
      <c r="K1992">
        <f t="shared" si="251"/>
        <v>-0.95309525964888664</v>
      </c>
      <c r="L1992">
        <f>VLOOKUP(D1992,[1]SOI!$A$1:$C$142,3)</f>
        <v>-14.5</v>
      </c>
      <c r="M1992" s="2">
        <f t="shared" si="252"/>
        <v>602.61694729366911</v>
      </c>
      <c r="N1992">
        <f t="shared" si="253"/>
        <v>-1897.6126619609333</v>
      </c>
      <c r="O1992" t="s">
        <v>8</v>
      </c>
    </row>
    <row r="1993" spans="1:15" x14ac:dyDescent="0.35">
      <c r="A1993">
        <v>2005</v>
      </c>
      <c r="B1993">
        <v>6</v>
      </c>
      <c r="C1993">
        <v>14</v>
      </c>
      <c r="D1993" s="1">
        <f t="shared" si="248"/>
        <v>38517</v>
      </c>
      <c r="E1993">
        <v>8</v>
      </c>
      <c r="F1993">
        <f t="shared" si="254"/>
        <v>0</v>
      </c>
      <c r="G1993">
        <f t="shared" si="249"/>
        <v>1</v>
      </c>
      <c r="H1993">
        <f t="shared" si="255"/>
        <v>0</v>
      </c>
      <c r="I1993">
        <v>1992</v>
      </c>
      <c r="J1993">
        <f t="shared" si="250"/>
        <v>0.28623096833218187</v>
      </c>
      <c r="K1993">
        <f t="shared" si="251"/>
        <v>-0.95816065081364177</v>
      </c>
      <c r="L1993">
        <f>VLOOKUP(D1993,[1]SOI!$A$1:$C$142,3)</f>
        <v>-14.5</v>
      </c>
      <c r="M1993" s="2">
        <f t="shared" si="252"/>
        <v>570.17208891770633</v>
      </c>
      <c r="N1993">
        <f t="shared" si="253"/>
        <v>-1908.6560164207744</v>
      </c>
      <c r="O1993" t="s">
        <v>8</v>
      </c>
    </row>
    <row r="1994" spans="1:15" x14ac:dyDescent="0.35">
      <c r="A1994">
        <v>2005</v>
      </c>
      <c r="B1994">
        <v>6</v>
      </c>
      <c r="C1994">
        <v>15</v>
      </c>
      <c r="D1994" s="1">
        <f t="shared" si="248"/>
        <v>38518</v>
      </c>
      <c r="E1994">
        <v>0</v>
      </c>
      <c r="F1994">
        <f t="shared" si="254"/>
        <v>8</v>
      </c>
      <c r="G1994">
        <f t="shared" si="249"/>
        <v>0</v>
      </c>
      <c r="H1994">
        <f t="shared" si="255"/>
        <v>1</v>
      </c>
      <c r="I1994">
        <v>1993</v>
      </c>
      <c r="J1994">
        <f t="shared" si="250"/>
        <v>0.26970674546012885</v>
      </c>
      <c r="K1994">
        <f t="shared" si="251"/>
        <v>-0.96294250682650062</v>
      </c>
      <c r="L1994">
        <f>VLOOKUP(D1994,[1]SOI!$A$1:$C$142,3)</f>
        <v>-14.5</v>
      </c>
      <c r="M1994" s="2">
        <f t="shared" si="252"/>
        <v>537.52554370203677</v>
      </c>
      <c r="N1994">
        <f t="shared" si="253"/>
        <v>-1919.1444161052157</v>
      </c>
      <c r="O1994" t="s">
        <v>8</v>
      </c>
    </row>
    <row r="1995" spans="1:15" x14ac:dyDescent="0.35">
      <c r="A1995">
        <v>2005</v>
      </c>
      <c r="B1995">
        <v>6</v>
      </c>
      <c r="C1995">
        <v>16</v>
      </c>
      <c r="D1995" s="1">
        <f t="shared" si="248"/>
        <v>38519</v>
      </c>
      <c r="E1995">
        <v>1.8</v>
      </c>
      <c r="F1995">
        <f t="shared" si="254"/>
        <v>0</v>
      </c>
      <c r="G1995">
        <f t="shared" si="249"/>
        <v>1</v>
      </c>
      <c r="H1995">
        <f t="shared" si="255"/>
        <v>0</v>
      </c>
      <c r="I1995">
        <v>1994</v>
      </c>
      <c r="J1995">
        <f t="shared" si="250"/>
        <v>0.25310271202292983</v>
      </c>
      <c r="K1995">
        <f t="shared" si="251"/>
        <v>-0.96743941265933431</v>
      </c>
      <c r="L1995">
        <f>VLOOKUP(D1995,[1]SOI!$A$1:$C$142,3)</f>
        <v>-14.5</v>
      </c>
      <c r="M1995" s="2">
        <f t="shared" si="252"/>
        <v>504.68680777372208</v>
      </c>
      <c r="N1995">
        <f t="shared" si="253"/>
        <v>-1929.0741888427126</v>
      </c>
      <c r="O1995" t="s">
        <v>8</v>
      </c>
    </row>
    <row r="1996" spans="1:15" x14ac:dyDescent="0.35">
      <c r="A1996">
        <v>2005</v>
      </c>
      <c r="B1996">
        <v>6</v>
      </c>
      <c r="C1996">
        <v>17</v>
      </c>
      <c r="D1996" s="1">
        <f t="shared" si="248"/>
        <v>38520</v>
      </c>
      <c r="E1996">
        <v>0.8</v>
      </c>
      <c r="F1996">
        <f t="shared" si="254"/>
        <v>1.8</v>
      </c>
      <c r="G1996">
        <f t="shared" si="249"/>
        <v>1</v>
      </c>
      <c r="H1996">
        <f t="shared" si="255"/>
        <v>1</v>
      </c>
      <c r="I1996">
        <v>1995</v>
      </c>
      <c r="J1996">
        <f t="shared" si="250"/>
        <v>0.23642378142121911</v>
      </c>
      <c r="K1996">
        <f t="shared" si="251"/>
        <v>-0.97165003760535695</v>
      </c>
      <c r="L1996">
        <f>VLOOKUP(D1996,[1]SOI!$A$1:$C$142,3)</f>
        <v>-14.5</v>
      </c>
      <c r="M1996" s="2">
        <f t="shared" si="252"/>
        <v>471.66544393533212</v>
      </c>
      <c r="N1996">
        <f t="shared" si="253"/>
        <v>-1938.4418250226872</v>
      </c>
      <c r="O1996" t="s">
        <v>8</v>
      </c>
    </row>
    <row r="1997" spans="1:15" x14ac:dyDescent="0.35">
      <c r="A1997">
        <v>2005</v>
      </c>
      <c r="B1997">
        <v>6</v>
      </c>
      <c r="C1997">
        <v>18</v>
      </c>
      <c r="D1997" s="1">
        <f t="shared" si="248"/>
        <v>38521</v>
      </c>
      <c r="E1997">
        <v>0</v>
      </c>
      <c r="F1997">
        <f t="shared" si="254"/>
        <v>0.8</v>
      </c>
      <c r="G1997">
        <f t="shared" si="249"/>
        <v>0</v>
      </c>
      <c r="H1997">
        <f t="shared" si="255"/>
        <v>1</v>
      </c>
      <c r="I1997">
        <v>1996</v>
      </c>
      <c r="J1997">
        <f t="shared" si="250"/>
        <v>0.21967488921887912</v>
      </c>
      <c r="K1997">
        <f t="shared" si="251"/>
        <v>-0.9755731356729096</v>
      </c>
      <c r="L1997">
        <f>VLOOKUP(D1997,[1]SOI!$A$1:$C$142,3)</f>
        <v>-14.5</v>
      </c>
      <c r="M1997" s="2">
        <f t="shared" si="252"/>
        <v>438.47107888088271</v>
      </c>
      <c r="N1997">
        <f t="shared" si="253"/>
        <v>-1947.2439788031274</v>
      </c>
      <c r="O1997" t="s">
        <v>8</v>
      </c>
    </row>
    <row r="1998" spans="1:15" x14ac:dyDescent="0.35">
      <c r="A1998">
        <v>2005</v>
      </c>
      <c r="B1998">
        <v>6</v>
      </c>
      <c r="C1998">
        <v>19</v>
      </c>
      <c r="D1998" s="1">
        <f t="shared" si="248"/>
        <v>38522</v>
      </c>
      <c r="E1998">
        <v>0.6</v>
      </c>
      <c r="F1998">
        <f t="shared" si="254"/>
        <v>0</v>
      </c>
      <c r="G1998">
        <f t="shared" si="249"/>
        <v>1</v>
      </c>
      <c r="H1998">
        <f t="shared" si="255"/>
        <v>0</v>
      </c>
      <c r="I1998">
        <v>1997</v>
      </c>
      <c r="J1998">
        <f t="shared" si="250"/>
        <v>0.20286099168259705</v>
      </c>
      <c r="K1998">
        <f t="shared" si="251"/>
        <v>-0.97920754595415227</v>
      </c>
      <c r="L1998">
        <f>VLOOKUP(D1998,[1]SOI!$A$1:$C$142,3)</f>
        <v>-14.5</v>
      </c>
      <c r="M1998" s="2">
        <f t="shared" si="252"/>
        <v>405.1134003901463</v>
      </c>
      <c r="N1998">
        <f t="shared" si="253"/>
        <v>-1955.477469270442</v>
      </c>
      <c r="O1998" t="s">
        <v>8</v>
      </c>
    </row>
    <row r="1999" spans="1:15" x14ac:dyDescent="0.35">
      <c r="A1999">
        <v>2005</v>
      </c>
      <c r="B1999">
        <v>6</v>
      </c>
      <c r="C1999">
        <v>20</v>
      </c>
      <c r="D1999" s="1">
        <f t="shared" si="248"/>
        <v>38523</v>
      </c>
      <c r="E1999">
        <v>0.4</v>
      </c>
      <c r="F1999">
        <f t="shared" si="254"/>
        <v>0.6</v>
      </c>
      <c r="G1999">
        <f t="shared" si="249"/>
        <v>1</v>
      </c>
      <c r="H1999">
        <f t="shared" si="255"/>
        <v>1</v>
      </c>
      <c r="I1999">
        <v>1998</v>
      </c>
      <c r="J1999">
        <f t="shared" si="250"/>
        <v>0.18598706431516354</v>
      </c>
      <c r="K1999">
        <f t="shared" si="251"/>
        <v>-0.98255219296861129</v>
      </c>
      <c r="L1999">
        <f>VLOOKUP(D1999,[1]SOI!$A$1:$C$142,3)</f>
        <v>-14.5</v>
      </c>
      <c r="M1999" s="2">
        <f t="shared" si="252"/>
        <v>371.60215450169676</v>
      </c>
      <c r="N1999">
        <f t="shared" si="253"/>
        <v>-1963.1392815512854</v>
      </c>
      <c r="O1999" t="s">
        <v>8</v>
      </c>
    </row>
    <row r="2000" spans="1:15" x14ac:dyDescent="0.35">
      <c r="A2000">
        <v>2005</v>
      </c>
      <c r="B2000">
        <v>6</v>
      </c>
      <c r="C2000">
        <v>21</v>
      </c>
      <c r="D2000" s="1">
        <f t="shared" si="248"/>
        <v>38524</v>
      </c>
      <c r="E2000">
        <v>2</v>
      </c>
      <c r="F2000">
        <f t="shared" si="254"/>
        <v>0.4</v>
      </c>
      <c r="G2000">
        <f t="shared" si="249"/>
        <v>1</v>
      </c>
      <c r="H2000">
        <f t="shared" si="255"/>
        <v>1</v>
      </c>
      <c r="I2000">
        <v>1999</v>
      </c>
      <c r="J2000">
        <f t="shared" si="250"/>
        <v>0.16905810038314809</v>
      </c>
      <c r="K2000">
        <f t="shared" si="251"/>
        <v>-0.9856060869814276</v>
      </c>
      <c r="L2000">
        <f>VLOOKUP(D2000,[1]SOI!$A$1:$C$142,3)</f>
        <v>-14.5</v>
      </c>
      <c r="M2000" s="2">
        <f t="shared" si="252"/>
        <v>337.94714266591302</v>
      </c>
      <c r="N2000">
        <f t="shared" si="253"/>
        <v>-1970.2265678758738</v>
      </c>
      <c r="O2000" t="s">
        <v>8</v>
      </c>
    </row>
    <row r="2001" spans="1:15" x14ac:dyDescent="0.35">
      <c r="A2001">
        <v>2005</v>
      </c>
      <c r="B2001">
        <v>6</v>
      </c>
      <c r="C2001">
        <v>22</v>
      </c>
      <c r="D2001" s="1">
        <f t="shared" si="248"/>
        <v>38525</v>
      </c>
      <c r="E2001">
        <v>2.8</v>
      </c>
      <c r="F2001">
        <f t="shared" si="254"/>
        <v>2</v>
      </c>
      <c r="G2001">
        <f t="shared" si="249"/>
        <v>1</v>
      </c>
      <c r="H2001">
        <f t="shared" si="255"/>
        <v>1</v>
      </c>
      <c r="I2001">
        <v>2000</v>
      </c>
      <c r="J2001">
        <f t="shared" si="250"/>
        <v>0.15207910943934597</v>
      </c>
      <c r="K2001">
        <f t="shared" si="251"/>
        <v>-0.9883683242962289</v>
      </c>
      <c r="L2001">
        <f>VLOOKUP(D2001,[1]SOI!$A$1:$C$142,3)</f>
        <v>-14.5</v>
      </c>
      <c r="M2001" s="2">
        <f t="shared" si="252"/>
        <v>304.15821887869191</v>
      </c>
      <c r="N2001">
        <f t="shared" si="253"/>
        <v>-1976.7366485924579</v>
      </c>
      <c r="O2001" t="s">
        <v>8</v>
      </c>
    </row>
    <row r="2002" spans="1:15" x14ac:dyDescent="0.35">
      <c r="A2002">
        <v>2005</v>
      </c>
      <c r="B2002">
        <v>6</v>
      </c>
      <c r="C2002">
        <v>23</v>
      </c>
      <c r="D2002" s="1">
        <f t="shared" si="248"/>
        <v>38526</v>
      </c>
      <c r="E2002">
        <v>1.2</v>
      </c>
      <c r="F2002">
        <f t="shared" si="254"/>
        <v>2.8</v>
      </c>
      <c r="G2002">
        <f t="shared" si="249"/>
        <v>1</v>
      </c>
      <c r="H2002">
        <f t="shared" si="255"/>
        <v>1</v>
      </c>
      <c r="I2002">
        <v>2001</v>
      </c>
      <c r="J2002">
        <f t="shared" si="250"/>
        <v>0.13505511584034313</v>
      </c>
      <c r="K2002">
        <f t="shared" si="251"/>
        <v>-0.99083808752255353</v>
      </c>
      <c r="L2002">
        <f>VLOOKUP(D2002,[1]SOI!$A$1:$C$142,3)</f>
        <v>-14.5</v>
      </c>
      <c r="M2002" s="2">
        <f t="shared" si="252"/>
        <v>270.24528679652661</v>
      </c>
      <c r="N2002">
        <f t="shared" si="253"/>
        <v>-1982.6670131326296</v>
      </c>
      <c r="O2002" t="s">
        <v>8</v>
      </c>
    </row>
    <row r="2003" spans="1:15" x14ac:dyDescent="0.35">
      <c r="A2003">
        <v>2005</v>
      </c>
      <c r="B2003">
        <v>6</v>
      </c>
      <c r="C2003">
        <v>24</v>
      </c>
      <c r="D2003" s="1">
        <f t="shared" si="248"/>
        <v>38527</v>
      </c>
      <c r="E2003">
        <v>0</v>
      </c>
      <c r="F2003">
        <f t="shared" si="254"/>
        <v>1.2</v>
      </c>
      <c r="G2003">
        <f t="shared" si="249"/>
        <v>0</v>
      </c>
      <c r="H2003">
        <f t="shared" si="255"/>
        <v>1</v>
      </c>
      <c r="I2003">
        <v>2002</v>
      </c>
      <c r="J2003">
        <f t="shared" si="250"/>
        <v>0.11799115725973525</v>
      </c>
      <c r="K2003">
        <f t="shared" si="251"/>
        <v>-0.99301464581772836</v>
      </c>
      <c r="L2003">
        <f>VLOOKUP(D2003,[1]SOI!$A$1:$C$142,3)</f>
        <v>-14.5</v>
      </c>
      <c r="M2003" s="2">
        <f t="shared" si="252"/>
        <v>236.21829683398997</v>
      </c>
      <c r="N2003">
        <f t="shared" si="253"/>
        <v>-1988.0153209270923</v>
      </c>
      <c r="O2003" t="s">
        <v>8</v>
      </c>
    </row>
    <row r="2004" spans="1:15" x14ac:dyDescent="0.35">
      <c r="A2004">
        <v>2005</v>
      </c>
      <c r="B2004">
        <v>6</v>
      </c>
      <c r="C2004">
        <v>25</v>
      </c>
      <c r="D2004" s="1">
        <f t="shared" si="248"/>
        <v>38528</v>
      </c>
      <c r="E2004">
        <v>0</v>
      </c>
      <c r="F2004">
        <f t="shared" si="254"/>
        <v>0</v>
      </c>
      <c r="G2004">
        <f t="shared" si="249"/>
        <v>0</v>
      </c>
      <c r="H2004">
        <f t="shared" si="255"/>
        <v>0</v>
      </c>
      <c r="I2004">
        <v>2003</v>
      </c>
      <c r="J2004">
        <f t="shared" si="250"/>
        <v>0.10089228319740609</v>
      </c>
      <c r="K2004">
        <f t="shared" si="251"/>
        <v>-0.99489735510313548</v>
      </c>
      <c r="L2004">
        <f>VLOOKUP(D2004,[1]SOI!$A$1:$C$142,3)</f>
        <v>-14.5</v>
      </c>
      <c r="M2004" s="2">
        <f t="shared" si="252"/>
        <v>202.08724324440439</v>
      </c>
      <c r="N2004">
        <f t="shared" si="253"/>
        <v>-1992.7794022715805</v>
      </c>
      <c r="O2004" t="s">
        <v>8</v>
      </c>
    </row>
    <row r="2005" spans="1:15" x14ac:dyDescent="0.35">
      <c r="A2005">
        <v>2005</v>
      </c>
      <c r="B2005">
        <v>6</v>
      </c>
      <c r="C2005">
        <v>26</v>
      </c>
      <c r="D2005" s="1">
        <f t="shared" si="248"/>
        <v>38529</v>
      </c>
      <c r="E2005">
        <v>0</v>
      </c>
      <c r="F2005">
        <f t="shared" si="254"/>
        <v>0</v>
      </c>
      <c r="G2005">
        <f t="shared" si="249"/>
        <v>0</v>
      </c>
      <c r="H2005">
        <f t="shared" si="255"/>
        <v>0</v>
      </c>
      <c r="I2005">
        <v>2004</v>
      </c>
      <c r="J2005">
        <f t="shared" si="250"/>
        <v>8.3763553485271008E-2</v>
      </c>
      <c r="K2005">
        <f t="shared" si="251"/>
        <v>-0.99648565825480906</v>
      </c>
      <c r="L2005">
        <f>VLOOKUP(D2005,[1]SOI!$A$1:$C$142,3)</f>
        <v>-14.5</v>
      </c>
      <c r="M2005" s="2">
        <f t="shared" si="252"/>
        <v>167.86216118448311</v>
      </c>
      <c r="N2005">
        <f t="shared" si="253"/>
        <v>-1996.9572591426374</v>
      </c>
      <c r="O2005" t="s">
        <v>8</v>
      </c>
    </row>
    <row r="2006" spans="1:15" x14ac:dyDescent="0.35">
      <c r="A2006">
        <v>2005</v>
      </c>
      <c r="B2006">
        <v>6</v>
      </c>
      <c r="C2006">
        <v>27</v>
      </c>
      <c r="D2006" s="1">
        <f t="shared" si="248"/>
        <v>38530</v>
      </c>
      <c r="E2006">
        <v>0</v>
      </c>
      <c r="F2006">
        <f t="shared" si="254"/>
        <v>0</v>
      </c>
      <c r="G2006">
        <f t="shared" si="249"/>
        <v>0</v>
      </c>
      <c r="H2006">
        <f t="shared" si="255"/>
        <v>0</v>
      </c>
      <c r="I2006">
        <v>2005</v>
      </c>
      <c r="J2006">
        <f t="shared" si="250"/>
        <v>6.6610036790033647E-2</v>
      </c>
      <c r="K2006">
        <f t="shared" si="251"/>
        <v>-0.9977790852682924</v>
      </c>
      <c r="L2006">
        <f>VLOOKUP(D2006,[1]SOI!$A$1:$C$142,3)</f>
        <v>-14.5</v>
      </c>
      <c r="M2006" s="2">
        <f t="shared" si="252"/>
        <v>133.55312376401747</v>
      </c>
      <c r="N2006">
        <f t="shared" si="253"/>
        <v>-2000.5470659629264</v>
      </c>
      <c r="O2006" t="s">
        <v>8</v>
      </c>
    </row>
    <row r="2007" spans="1:15" x14ac:dyDescent="0.35">
      <c r="A2007">
        <v>2005</v>
      </c>
      <c r="B2007">
        <v>6</v>
      </c>
      <c r="C2007">
        <v>28</v>
      </c>
      <c r="D2007" s="1">
        <f t="shared" si="248"/>
        <v>38531</v>
      </c>
      <c r="E2007">
        <v>0</v>
      </c>
      <c r="F2007">
        <f t="shared" si="254"/>
        <v>0</v>
      </c>
      <c r="G2007">
        <f t="shared" si="249"/>
        <v>0</v>
      </c>
      <c r="H2007">
        <f t="shared" si="255"/>
        <v>0</v>
      </c>
      <c r="I2007">
        <v>2006</v>
      </c>
      <c r="J2007">
        <f t="shared" si="250"/>
        <v>4.9436809113257672E-2</v>
      </c>
      <c r="K2007">
        <f t="shared" si="251"/>
        <v>-0.99877725339772294</v>
      </c>
      <c r="L2007">
        <f>VLOOKUP(D2007,[1]SOI!$A$1:$C$142,3)</f>
        <v>-14.5</v>
      </c>
      <c r="M2007" s="2">
        <f t="shared" si="252"/>
        <v>99.170239081194893</v>
      </c>
      <c r="N2007">
        <f t="shared" si="253"/>
        <v>-2003.5471703158323</v>
      </c>
      <c r="O2007" t="s">
        <v>8</v>
      </c>
    </row>
    <row r="2008" spans="1:15" x14ac:dyDescent="0.35">
      <c r="A2008">
        <v>2005</v>
      </c>
      <c r="B2008">
        <v>6</v>
      </c>
      <c r="C2008">
        <v>29</v>
      </c>
      <c r="D2008" s="1">
        <f t="shared" si="248"/>
        <v>38532</v>
      </c>
      <c r="E2008">
        <v>0</v>
      </c>
      <c r="F2008">
        <f t="shared" si="254"/>
        <v>0</v>
      </c>
      <c r="G2008">
        <f t="shared" si="249"/>
        <v>0</v>
      </c>
      <c r="H2008">
        <f t="shared" si="255"/>
        <v>0</v>
      </c>
      <c r="I2008">
        <v>2007</v>
      </c>
      <c r="J2008">
        <f t="shared" si="250"/>
        <v>3.2248952289303301E-2</v>
      </c>
      <c r="K2008">
        <f t="shared" si="251"/>
        <v>-0.99947986726909221</v>
      </c>
      <c r="L2008">
        <f>VLOOKUP(D2008,[1]SOI!$A$1:$C$142,3)</f>
        <v>-14.5</v>
      </c>
      <c r="M2008" s="2">
        <f t="shared" si="252"/>
        <v>64.723647244631721</v>
      </c>
      <c r="N2008">
        <f t="shared" si="253"/>
        <v>-2005.9560936090681</v>
      </c>
      <c r="O2008" t="s">
        <v>8</v>
      </c>
    </row>
    <row r="2009" spans="1:15" x14ac:dyDescent="0.35">
      <c r="A2009">
        <v>2005</v>
      </c>
      <c r="B2009">
        <v>6</v>
      </c>
      <c r="C2009">
        <v>30</v>
      </c>
      <c r="D2009" s="1">
        <f t="shared" si="248"/>
        <v>38533</v>
      </c>
      <c r="E2009">
        <v>0</v>
      </c>
      <c r="F2009">
        <f t="shared" si="254"/>
        <v>0</v>
      </c>
      <c r="G2009">
        <f t="shared" si="249"/>
        <v>0</v>
      </c>
      <c r="H2009">
        <f t="shared" si="255"/>
        <v>0</v>
      </c>
      <c r="I2009">
        <v>2008</v>
      </c>
      <c r="J2009">
        <f t="shared" si="250"/>
        <v>1.5051552481530771E-2</v>
      </c>
      <c r="K2009">
        <f t="shared" si="251"/>
        <v>-0.99988671896765169</v>
      </c>
      <c r="L2009">
        <f>VLOOKUP(D2009,[1]SOI!$A$1:$C$142,3)</f>
        <v>-14.5</v>
      </c>
      <c r="M2009" s="2">
        <f t="shared" si="252"/>
        <v>30.223517382913787</v>
      </c>
      <c r="N2009">
        <f t="shared" si="253"/>
        <v>-2007.7725316870446</v>
      </c>
      <c r="O2009" t="s">
        <v>8</v>
      </c>
    </row>
    <row r="2010" spans="1:15" x14ac:dyDescent="0.35">
      <c r="A2010">
        <v>2005</v>
      </c>
      <c r="B2010">
        <v>7</v>
      </c>
      <c r="C2010">
        <v>1</v>
      </c>
      <c r="D2010" s="1">
        <f t="shared" si="248"/>
        <v>38534</v>
      </c>
      <c r="E2010">
        <v>2.6</v>
      </c>
      <c r="F2010">
        <f t="shared" si="254"/>
        <v>0</v>
      </c>
      <c r="G2010">
        <f t="shared" si="249"/>
        <v>1</v>
      </c>
      <c r="H2010">
        <f t="shared" si="255"/>
        <v>0</v>
      </c>
      <c r="I2010">
        <v>2009</v>
      </c>
      <c r="J2010">
        <f t="shared" si="250"/>
        <v>-2.1503013227701325E-3</v>
      </c>
      <c r="K2010">
        <f t="shared" si="251"/>
        <v>-0.99999768809943823</v>
      </c>
      <c r="L2010">
        <f>VLOOKUP(D2010,[1]SOI!$A$1:$C$142,3)</f>
        <v>2.6</v>
      </c>
      <c r="M2010" s="2">
        <f t="shared" si="252"/>
        <v>-4.3199553574451963</v>
      </c>
      <c r="N2010">
        <f t="shared" si="253"/>
        <v>-2008.9953553917715</v>
      </c>
      <c r="O2010" t="s">
        <v>8</v>
      </c>
    </row>
    <row r="2011" spans="1:15" x14ac:dyDescent="0.35">
      <c r="A2011">
        <v>2005</v>
      </c>
      <c r="B2011">
        <v>7</v>
      </c>
      <c r="C2011">
        <v>2</v>
      </c>
      <c r="D2011" s="1">
        <f t="shared" si="248"/>
        <v>38535</v>
      </c>
      <c r="E2011">
        <v>1.6</v>
      </c>
      <c r="F2011">
        <f t="shared" si="254"/>
        <v>2.6</v>
      </c>
      <c r="G2011">
        <f t="shared" si="249"/>
        <v>1</v>
      </c>
      <c r="H2011">
        <f t="shared" si="255"/>
        <v>1</v>
      </c>
      <c r="I2011">
        <v>2010</v>
      </c>
      <c r="J2011">
        <f t="shared" si="250"/>
        <v>-1.9351518818321711E-2</v>
      </c>
      <c r="K2011">
        <f t="shared" si="251"/>
        <v>-0.99981274182690039</v>
      </c>
      <c r="L2011">
        <f>VLOOKUP(D2011,[1]SOI!$A$1:$C$142,3)</f>
        <v>2.6</v>
      </c>
      <c r="M2011" s="2">
        <f t="shared" si="252"/>
        <v>-38.896552824826635</v>
      </c>
      <c r="N2011">
        <f t="shared" si="253"/>
        <v>-2009.6236110720697</v>
      </c>
      <c r="O2011" t="s">
        <v>8</v>
      </c>
    </row>
    <row r="2012" spans="1:15" x14ac:dyDescent="0.35">
      <c r="A2012">
        <v>2005</v>
      </c>
      <c r="B2012">
        <v>7</v>
      </c>
      <c r="C2012">
        <v>3</v>
      </c>
      <c r="D2012" s="1">
        <f t="shared" si="248"/>
        <v>38536</v>
      </c>
      <c r="E2012">
        <v>0.2</v>
      </c>
      <c r="F2012">
        <f t="shared" si="254"/>
        <v>1.6</v>
      </c>
      <c r="G2012">
        <f t="shared" si="249"/>
        <v>1</v>
      </c>
      <c r="H2012">
        <f t="shared" si="255"/>
        <v>1</v>
      </c>
      <c r="I2012">
        <v>2011</v>
      </c>
      <c r="J2012">
        <f t="shared" si="250"/>
        <v>-3.6547009888118945E-2</v>
      </c>
      <c r="K2012">
        <f t="shared" si="251"/>
        <v>-0.99933193487861571</v>
      </c>
      <c r="L2012">
        <f>VLOOKUP(D2012,[1]SOI!$A$1:$C$142,3)</f>
        <v>2.6</v>
      </c>
      <c r="M2012" s="2">
        <f t="shared" si="252"/>
        <v>-73.4960368850072</v>
      </c>
      <c r="N2012">
        <f t="shared" si="253"/>
        <v>-2009.6565210408962</v>
      </c>
      <c r="O2012" t="s">
        <v>8</v>
      </c>
    </row>
    <row r="2013" spans="1:15" x14ac:dyDescent="0.35">
      <c r="A2013">
        <v>2005</v>
      </c>
      <c r="B2013">
        <v>7</v>
      </c>
      <c r="C2013">
        <v>4</v>
      </c>
      <c r="D2013" s="1">
        <f t="shared" si="248"/>
        <v>38537</v>
      </c>
      <c r="E2013">
        <v>0</v>
      </c>
      <c r="F2013">
        <f t="shared" si="254"/>
        <v>0.2</v>
      </c>
      <c r="G2013">
        <f t="shared" si="249"/>
        <v>0</v>
      </c>
      <c r="H2013">
        <f t="shared" si="255"/>
        <v>1</v>
      </c>
      <c r="I2013">
        <v>2012</v>
      </c>
      <c r="J2013">
        <f t="shared" si="250"/>
        <v>-5.373168610970544E-2</v>
      </c>
      <c r="K2013">
        <f t="shared" si="251"/>
        <v>-0.99855540953309552</v>
      </c>
      <c r="L2013">
        <f>VLOOKUP(D2013,[1]SOI!$A$1:$C$142,3)</f>
        <v>2.6</v>
      </c>
      <c r="M2013" s="2">
        <f t="shared" si="252"/>
        <v>-108.10815245272734</v>
      </c>
      <c r="N2013">
        <f t="shared" si="253"/>
        <v>-2009.0934839805882</v>
      </c>
      <c r="O2013" t="s">
        <v>8</v>
      </c>
    </row>
    <row r="2014" spans="1:15" x14ac:dyDescent="0.35">
      <c r="A2014">
        <v>2005</v>
      </c>
      <c r="B2014">
        <v>7</v>
      </c>
      <c r="C2014">
        <v>5</v>
      </c>
      <c r="D2014" s="1">
        <f t="shared" si="248"/>
        <v>38538</v>
      </c>
      <c r="E2014">
        <v>0</v>
      </c>
      <c r="F2014">
        <f t="shared" si="254"/>
        <v>0</v>
      </c>
      <c r="G2014">
        <f t="shared" si="249"/>
        <v>0</v>
      </c>
      <c r="H2014">
        <f t="shared" si="255"/>
        <v>0</v>
      </c>
      <c r="I2014">
        <v>2013</v>
      </c>
      <c r="J2014">
        <f t="shared" si="250"/>
        <v>-7.0900462260912359E-2</v>
      </c>
      <c r="K2014">
        <f t="shared" si="251"/>
        <v>-0.99748339557668275</v>
      </c>
      <c r="L2014">
        <f>VLOOKUP(D2014,[1]SOI!$A$1:$C$142,3)</f>
        <v>2.6</v>
      </c>
      <c r="M2014" s="2">
        <f t="shared" si="252"/>
        <v>-142.72263053121657</v>
      </c>
      <c r="N2014">
        <f t="shared" si="253"/>
        <v>-2007.9340752958624</v>
      </c>
      <c r="O2014" t="s">
        <v>8</v>
      </c>
    </row>
    <row r="2015" spans="1:15" x14ac:dyDescent="0.35">
      <c r="A2015">
        <v>2005</v>
      </c>
      <c r="B2015">
        <v>7</v>
      </c>
      <c r="C2015">
        <v>6</v>
      </c>
      <c r="D2015" s="1">
        <f t="shared" si="248"/>
        <v>38539</v>
      </c>
      <c r="E2015">
        <v>0</v>
      </c>
      <c r="F2015">
        <f t="shared" si="254"/>
        <v>0</v>
      </c>
      <c r="G2015">
        <f t="shared" si="249"/>
        <v>0</v>
      </c>
      <c r="H2015">
        <f t="shared" si="255"/>
        <v>0</v>
      </c>
      <c r="I2015">
        <v>2014</v>
      </c>
      <c r="J2015">
        <f t="shared" si="250"/>
        <v>-8.804825782465045E-2</v>
      </c>
      <c r="K2015">
        <f t="shared" si="251"/>
        <v>-0.99611621023555474</v>
      </c>
      <c r="L2015">
        <f>VLOOKUP(D2015,[1]SOI!$A$1:$C$142,3)</f>
        <v>2.6</v>
      </c>
      <c r="M2015" s="2">
        <f t="shared" si="252"/>
        <v>-177.32919125884601</v>
      </c>
      <c r="N2015">
        <f t="shared" si="253"/>
        <v>-2006.1780474144073</v>
      </c>
      <c r="O2015" t="s">
        <v>8</v>
      </c>
    </row>
    <row r="2016" spans="1:15" x14ac:dyDescent="0.35">
      <c r="A2016">
        <v>2005</v>
      </c>
      <c r="B2016">
        <v>7</v>
      </c>
      <c r="C2016">
        <v>7</v>
      </c>
      <c r="D2016" s="1">
        <f t="shared" si="248"/>
        <v>38540</v>
      </c>
      <c r="E2016">
        <v>0</v>
      </c>
      <c r="F2016">
        <f t="shared" si="254"/>
        <v>0</v>
      </c>
      <c r="G2016">
        <f t="shared" si="249"/>
        <v>0</v>
      </c>
      <c r="H2016">
        <f t="shared" si="255"/>
        <v>0</v>
      </c>
      <c r="I2016">
        <v>2015</v>
      </c>
      <c r="J2016">
        <f t="shared" si="250"/>
        <v>-0.10516999849234505</v>
      </c>
      <c r="K2016">
        <f t="shared" si="251"/>
        <v>-0.99445425808184873</v>
      </c>
      <c r="L2016">
        <f>VLOOKUP(D2016,[1]SOI!$A$1:$C$142,3)</f>
        <v>2.6</v>
      </c>
      <c r="M2016" s="2">
        <f t="shared" si="252"/>
        <v>-211.91754696207528</v>
      </c>
      <c r="N2016">
        <f t="shared" si="253"/>
        <v>-2003.8253300349252</v>
      </c>
      <c r="O2016" t="s">
        <v>8</v>
      </c>
    </row>
    <row r="2017" spans="1:15" x14ac:dyDescent="0.35">
      <c r="A2017">
        <v>2005</v>
      </c>
      <c r="B2017">
        <v>7</v>
      </c>
      <c r="C2017">
        <v>8</v>
      </c>
      <c r="D2017" s="1">
        <f t="shared" si="248"/>
        <v>38541</v>
      </c>
      <c r="E2017">
        <v>0</v>
      </c>
      <c r="F2017">
        <f t="shared" si="254"/>
        <v>0</v>
      </c>
      <c r="G2017">
        <f t="shared" si="249"/>
        <v>0</v>
      </c>
      <c r="H2017">
        <f t="shared" si="255"/>
        <v>0</v>
      </c>
      <c r="I2017">
        <v>2016</v>
      </c>
      <c r="J2017">
        <f t="shared" si="250"/>
        <v>-0.1222606176654632</v>
      </c>
      <c r="K2017">
        <f t="shared" si="251"/>
        <v>-0.99249803091394562</v>
      </c>
      <c r="L2017">
        <f>VLOOKUP(D2017,[1]SOI!$A$1:$C$142,3)</f>
        <v>2.6</v>
      </c>
      <c r="M2017" s="2">
        <f t="shared" si="252"/>
        <v>-246.4774052135738</v>
      </c>
      <c r="N2017">
        <f t="shared" si="253"/>
        <v>-2000.8760303225145</v>
      </c>
      <c r="O2017" t="s">
        <v>8</v>
      </c>
    </row>
    <row r="2018" spans="1:15" x14ac:dyDescent="0.35">
      <c r="A2018">
        <v>2005</v>
      </c>
      <c r="B2018">
        <v>7</v>
      </c>
      <c r="C2018">
        <v>9</v>
      </c>
      <c r="D2018" s="1">
        <f t="shared" si="248"/>
        <v>38542</v>
      </c>
      <c r="E2018">
        <v>0.6</v>
      </c>
      <c r="F2018">
        <f t="shared" si="254"/>
        <v>0</v>
      </c>
      <c r="G2018">
        <f t="shared" si="249"/>
        <v>1</v>
      </c>
      <c r="H2018">
        <f t="shared" si="255"/>
        <v>0</v>
      </c>
      <c r="I2018">
        <v>2017</v>
      </c>
      <c r="J2018">
        <f t="shared" si="250"/>
        <v>-0.13931505795482993</v>
      </c>
      <c r="K2018">
        <f t="shared" si="251"/>
        <v>-0.99024810761093729</v>
      </c>
      <c r="L2018">
        <f>VLOOKUP(D2018,[1]SOI!$A$1:$C$142,3)</f>
        <v>2.6</v>
      </c>
      <c r="M2018" s="2">
        <f t="shared" si="252"/>
        <v>-280.99847189489196</v>
      </c>
      <c r="N2018">
        <f t="shared" si="253"/>
        <v>-1997.3304330512606</v>
      </c>
      <c r="O2018" t="s">
        <v>8</v>
      </c>
    </row>
    <row r="2019" spans="1:15" x14ac:dyDescent="0.35">
      <c r="A2019">
        <v>2005</v>
      </c>
      <c r="B2019">
        <v>7</v>
      </c>
      <c r="C2019">
        <v>10</v>
      </c>
      <c r="D2019" s="1">
        <f t="shared" si="248"/>
        <v>38543</v>
      </c>
      <c r="E2019">
        <v>6.4</v>
      </c>
      <c r="F2019">
        <f t="shared" si="254"/>
        <v>0.6</v>
      </c>
      <c r="G2019">
        <f t="shared" si="249"/>
        <v>1</v>
      </c>
      <c r="H2019">
        <f t="shared" si="255"/>
        <v>1</v>
      </c>
      <c r="I2019">
        <v>2018</v>
      </c>
      <c r="J2019">
        <f t="shared" si="250"/>
        <v>-0.15632827267718405</v>
      </c>
      <c r="K2019">
        <f t="shared" si="251"/>
        <v>-0.98770515396132663</v>
      </c>
      <c r="L2019">
        <f>VLOOKUP(D2019,[1]SOI!$A$1:$C$142,3)</f>
        <v>2.6</v>
      </c>
      <c r="M2019" s="2">
        <f t="shared" si="252"/>
        <v>-315.47045426255744</v>
      </c>
      <c r="N2019">
        <f t="shared" si="253"/>
        <v>-1993.189000693957</v>
      </c>
      <c r="O2019" t="s">
        <v>8</v>
      </c>
    </row>
    <row r="2020" spans="1:15" x14ac:dyDescent="0.35">
      <c r="A2020">
        <v>2005</v>
      </c>
      <c r="B2020">
        <v>7</v>
      </c>
      <c r="C2020">
        <v>11</v>
      </c>
      <c r="D2020" s="1">
        <f t="shared" si="248"/>
        <v>38544</v>
      </c>
      <c r="E2020">
        <v>0.4</v>
      </c>
      <c r="F2020">
        <f t="shared" si="254"/>
        <v>6.4</v>
      </c>
      <c r="G2020">
        <f t="shared" si="249"/>
        <v>1</v>
      </c>
      <c r="H2020">
        <f t="shared" si="255"/>
        <v>1</v>
      </c>
      <c r="I2020">
        <v>2019</v>
      </c>
      <c r="J2020">
        <f t="shared" si="250"/>
        <v>-0.17329522734857294</v>
      </c>
      <c r="K2020">
        <f t="shared" si="251"/>
        <v>-0.98486992246601091</v>
      </c>
      <c r="L2020">
        <f>VLOOKUP(D2020,[1]SOI!$A$1:$C$142,3)</f>
        <v>2.6</v>
      </c>
      <c r="M2020" s="2">
        <f t="shared" si="252"/>
        <v>-349.8830640167688</v>
      </c>
      <c r="N2020">
        <f t="shared" si="253"/>
        <v>-1988.4523734588761</v>
      </c>
      <c r="O2020" t="s">
        <v>8</v>
      </c>
    </row>
    <row r="2021" spans="1:15" x14ac:dyDescent="0.35">
      <c r="A2021">
        <v>2005</v>
      </c>
      <c r="B2021">
        <v>7</v>
      </c>
      <c r="C2021">
        <v>12</v>
      </c>
      <c r="D2021" s="1">
        <f t="shared" si="248"/>
        <v>38545</v>
      </c>
      <c r="E2021">
        <v>0</v>
      </c>
      <c r="F2021">
        <f t="shared" si="254"/>
        <v>0.4</v>
      </c>
      <c r="G2021">
        <f t="shared" si="249"/>
        <v>0</v>
      </c>
      <c r="H2021">
        <f t="shared" si="255"/>
        <v>1</v>
      </c>
      <c r="I2021">
        <v>2020</v>
      </c>
      <c r="J2021">
        <f t="shared" si="250"/>
        <v>-0.19021090117413031</v>
      </c>
      <c r="K2021">
        <f t="shared" si="251"/>
        <v>-0.98174325211560542</v>
      </c>
      <c r="L2021">
        <f>VLOOKUP(D2021,[1]SOI!$A$1:$C$142,3)</f>
        <v>2.6</v>
      </c>
      <c r="M2021" s="2">
        <f t="shared" si="252"/>
        <v>-384.22602037174323</v>
      </c>
      <c r="N2021">
        <f t="shared" si="253"/>
        <v>-1983.121369273523</v>
      </c>
      <c r="O2021" t="s">
        <v>8</v>
      </c>
    </row>
    <row r="2022" spans="1:15" x14ac:dyDescent="0.35">
      <c r="A2022">
        <v>2005</v>
      </c>
      <c r="B2022">
        <v>7</v>
      </c>
      <c r="C2022">
        <v>13</v>
      </c>
      <c r="D2022" s="1">
        <f t="shared" si="248"/>
        <v>38546</v>
      </c>
      <c r="E2022">
        <v>0.6</v>
      </c>
      <c r="F2022">
        <f t="shared" si="254"/>
        <v>0</v>
      </c>
      <c r="G2022">
        <f t="shared" si="249"/>
        <v>1</v>
      </c>
      <c r="H2022">
        <f t="shared" si="255"/>
        <v>0</v>
      </c>
      <c r="I2022">
        <v>2021</v>
      </c>
      <c r="J2022">
        <f t="shared" si="250"/>
        <v>-0.20707028853384504</v>
      </c>
      <c r="K2022">
        <f t="shared" si="251"/>
        <v>-0.97832606814216605</v>
      </c>
      <c r="L2022">
        <f>VLOOKUP(D2022,[1]SOI!$A$1:$C$142,3)</f>
        <v>2.6</v>
      </c>
      <c r="M2022" s="2">
        <f t="shared" si="252"/>
        <v>-418.48905312690084</v>
      </c>
      <c r="N2022">
        <f t="shared" si="253"/>
        <v>-1977.1969837153176</v>
      </c>
      <c r="O2022" t="s">
        <v>8</v>
      </c>
    </row>
    <row r="2023" spans="1:15" x14ac:dyDescent="0.35">
      <c r="A2023">
        <v>2005</v>
      </c>
      <c r="B2023">
        <v>7</v>
      </c>
      <c r="C2023">
        <v>14</v>
      </c>
      <c r="D2023" s="1">
        <f t="shared" si="248"/>
        <v>38547</v>
      </c>
      <c r="E2023">
        <v>2.4</v>
      </c>
      <c r="F2023">
        <f t="shared" si="254"/>
        <v>0.6</v>
      </c>
      <c r="G2023">
        <f t="shared" si="249"/>
        <v>1</v>
      </c>
      <c r="H2023">
        <f t="shared" si="255"/>
        <v>1</v>
      </c>
      <c r="I2023">
        <v>2022</v>
      </c>
      <c r="J2023">
        <f t="shared" si="250"/>
        <v>-0.22386840046372811</v>
      </c>
      <c r="K2023">
        <f t="shared" si="251"/>
        <v>-0.9746193817454134</v>
      </c>
      <c r="L2023">
        <f>VLOOKUP(D2023,[1]SOI!$A$1:$C$142,3)</f>
        <v>2.6</v>
      </c>
      <c r="M2023" s="2">
        <f t="shared" si="252"/>
        <v>-452.66190573765823</v>
      </c>
      <c r="N2023">
        <f t="shared" si="253"/>
        <v>-1970.6803898892258</v>
      </c>
      <c r="O2023" t="s">
        <v>8</v>
      </c>
    </row>
    <row r="2024" spans="1:15" x14ac:dyDescent="0.35">
      <c r="A2024">
        <v>2005</v>
      </c>
      <c r="B2024">
        <v>7</v>
      </c>
      <c r="C2024">
        <v>15</v>
      </c>
      <c r="D2024" s="1">
        <f t="shared" si="248"/>
        <v>38548</v>
      </c>
      <c r="E2024">
        <v>3</v>
      </c>
      <c r="F2024">
        <f t="shared" si="254"/>
        <v>2.4</v>
      </c>
      <c r="G2024">
        <f t="shared" si="249"/>
        <v>1</v>
      </c>
      <c r="H2024">
        <f t="shared" si="255"/>
        <v>1</v>
      </c>
      <c r="I2024">
        <v>2023</v>
      </c>
      <c r="J2024">
        <f t="shared" si="250"/>
        <v>-0.24060026613222465</v>
      </c>
      <c r="K2024">
        <f t="shared" si="251"/>
        <v>-0.9706242897934827</v>
      </c>
      <c r="L2024">
        <f>VLOOKUP(D2024,[1]SOI!$A$1:$C$142,3)</f>
        <v>2.6</v>
      </c>
      <c r="M2024" s="2">
        <f t="shared" si="252"/>
        <v>-486.7343383854905</v>
      </c>
      <c r="N2024">
        <f t="shared" si="253"/>
        <v>-1963.5729382522154</v>
      </c>
      <c r="O2024" t="s">
        <v>8</v>
      </c>
    </row>
    <row r="2025" spans="1:15" x14ac:dyDescent="0.35">
      <c r="A2025">
        <v>2005</v>
      </c>
      <c r="B2025">
        <v>7</v>
      </c>
      <c r="C2025">
        <v>16</v>
      </c>
      <c r="D2025" s="1">
        <f t="shared" si="248"/>
        <v>38549</v>
      </c>
      <c r="E2025">
        <v>0</v>
      </c>
      <c r="F2025">
        <f t="shared" si="254"/>
        <v>3</v>
      </c>
      <c r="G2025">
        <f t="shared" si="249"/>
        <v>0</v>
      </c>
      <c r="H2025">
        <f t="shared" si="255"/>
        <v>1</v>
      </c>
      <c r="I2025">
        <v>2024</v>
      </c>
      <c r="J2025">
        <f t="shared" si="250"/>
        <v>-0.2572609343110866</v>
      </c>
      <c r="K2025">
        <f t="shared" si="251"/>
        <v>-0.96634197449835879</v>
      </c>
      <c r="L2025">
        <f>VLOOKUP(D2025,[1]SOI!$A$1:$C$142,3)</f>
        <v>2.6</v>
      </c>
      <c r="M2025" s="2">
        <f t="shared" si="252"/>
        <v>-520.69613104563928</v>
      </c>
      <c r="N2025">
        <f t="shared" si="253"/>
        <v>-1955.8761563846781</v>
      </c>
      <c r="O2025" t="s">
        <v>8</v>
      </c>
    </row>
    <row r="2026" spans="1:15" x14ac:dyDescent="0.35">
      <c r="A2026">
        <v>2005</v>
      </c>
      <c r="B2026">
        <v>7</v>
      </c>
      <c r="C2026">
        <v>17</v>
      </c>
      <c r="D2026" s="1">
        <f t="shared" si="248"/>
        <v>38550</v>
      </c>
      <c r="E2026">
        <v>1.6</v>
      </c>
      <c r="F2026">
        <f t="shared" si="254"/>
        <v>0</v>
      </c>
      <c r="G2026">
        <f t="shared" si="249"/>
        <v>1</v>
      </c>
      <c r="H2026">
        <f t="shared" si="255"/>
        <v>0</v>
      </c>
      <c r="I2026">
        <v>2025</v>
      </c>
      <c r="J2026">
        <f t="shared" si="250"/>
        <v>-0.27384547484054866</v>
      </c>
      <c r="K2026">
        <f t="shared" si="251"/>
        <v>-0.96177370306603538</v>
      </c>
      <c r="L2026">
        <f>VLOOKUP(D2026,[1]SOI!$A$1:$C$142,3)</f>
        <v>2.6</v>
      </c>
      <c r="M2026" s="2">
        <f t="shared" si="252"/>
        <v>-554.53708655211108</v>
      </c>
      <c r="N2026">
        <f t="shared" si="253"/>
        <v>-1947.5917487087218</v>
      </c>
      <c r="O2026" t="s">
        <v>8</v>
      </c>
    </row>
    <row r="2027" spans="1:15" x14ac:dyDescent="0.35">
      <c r="A2027">
        <v>2005</v>
      </c>
      <c r="B2027">
        <v>7</v>
      </c>
      <c r="C2027">
        <v>18</v>
      </c>
      <c r="D2027" s="1">
        <f t="shared" si="248"/>
        <v>38551</v>
      </c>
      <c r="E2027">
        <v>0</v>
      </c>
      <c r="F2027">
        <f t="shared" si="254"/>
        <v>1.6</v>
      </c>
      <c r="G2027">
        <f t="shared" si="249"/>
        <v>0</v>
      </c>
      <c r="H2027">
        <f t="shared" si="255"/>
        <v>1</v>
      </c>
      <c r="I2027">
        <v>2026</v>
      </c>
      <c r="J2027">
        <f t="shared" si="250"/>
        <v>-0.29034898008826898</v>
      </c>
      <c r="K2027">
        <f t="shared" si="251"/>
        <v>-0.95692082732151984</v>
      </c>
      <c r="L2027">
        <f>VLOOKUP(D2027,[1]SOI!$A$1:$C$142,3)</f>
        <v>2.6</v>
      </c>
      <c r="M2027" s="2">
        <f t="shared" si="252"/>
        <v>-588.24703365883295</v>
      </c>
      <c r="N2027">
        <f t="shared" si="253"/>
        <v>-1938.7215961533991</v>
      </c>
      <c r="O2027" t="s">
        <v>8</v>
      </c>
    </row>
    <row r="2028" spans="1:15" x14ac:dyDescent="0.35">
      <c r="A2028">
        <v>2005</v>
      </c>
      <c r="B2028">
        <v>7</v>
      </c>
      <c r="C2028">
        <v>19</v>
      </c>
      <c r="D2028" s="1">
        <f t="shared" si="248"/>
        <v>38552</v>
      </c>
      <c r="E2028">
        <v>0</v>
      </c>
      <c r="F2028">
        <f t="shared" si="254"/>
        <v>0</v>
      </c>
      <c r="G2028">
        <f t="shared" si="249"/>
        <v>0</v>
      </c>
      <c r="H2028">
        <f t="shared" si="255"/>
        <v>0</v>
      </c>
      <c r="I2028">
        <v>2027</v>
      </c>
      <c r="J2028">
        <f t="shared" si="250"/>
        <v>-0.3067665664015084</v>
      </c>
      <c r="K2028">
        <f t="shared" si="251"/>
        <v>-0.95178478330882599</v>
      </c>
      <c r="L2028">
        <f>VLOOKUP(D2028,[1]SOI!$A$1:$C$142,3)</f>
        <v>2.6</v>
      </c>
      <c r="M2028" s="2">
        <f t="shared" si="252"/>
        <v>-621.81583009585756</v>
      </c>
      <c r="N2028">
        <f t="shared" si="253"/>
        <v>-1929.2677557669904</v>
      </c>
      <c r="O2028" t="s">
        <v>8</v>
      </c>
    </row>
    <row r="2029" spans="1:15" x14ac:dyDescent="0.35">
      <c r="A2029">
        <v>2005</v>
      </c>
      <c r="B2029">
        <v>7</v>
      </c>
      <c r="C2029">
        <v>20</v>
      </c>
      <c r="D2029" s="1">
        <f t="shared" si="248"/>
        <v>38553</v>
      </c>
      <c r="E2029">
        <v>0</v>
      </c>
      <c r="F2029">
        <f t="shared" si="254"/>
        <v>0</v>
      </c>
      <c r="G2029">
        <f t="shared" si="249"/>
        <v>0</v>
      </c>
      <c r="H2029">
        <f t="shared" si="255"/>
        <v>0</v>
      </c>
      <c r="I2029">
        <v>2028</v>
      </c>
      <c r="J2029">
        <f t="shared" si="250"/>
        <v>-0.32309337555234346</v>
      </c>
      <c r="K2029">
        <f t="shared" si="251"/>
        <v>-0.94636709086600868</v>
      </c>
      <c r="L2029">
        <f>VLOOKUP(D2029,[1]SOI!$A$1:$C$142,3)</f>
        <v>2.6</v>
      </c>
      <c r="M2029" s="2">
        <f t="shared" si="252"/>
        <v>-655.23336562015254</v>
      </c>
      <c r="N2029">
        <f t="shared" si="253"/>
        <v>-1919.2324602762656</v>
      </c>
      <c r="O2029" t="s">
        <v>8</v>
      </c>
    </row>
    <row r="2030" spans="1:15" x14ac:dyDescent="0.35">
      <c r="A2030">
        <v>2005</v>
      </c>
      <c r="B2030">
        <v>7</v>
      </c>
      <c r="C2030">
        <v>21</v>
      </c>
      <c r="D2030" s="1">
        <f t="shared" si="248"/>
        <v>38554</v>
      </c>
      <c r="E2030">
        <v>0</v>
      </c>
      <c r="F2030">
        <f t="shared" si="254"/>
        <v>0</v>
      </c>
      <c r="G2030">
        <f t="shared" si="249"/>
        <v>0</v>
      </c>
      <c r="H2030">
        <f t="shared" si="255"/>
        <v>0</v>
      </c>
      <c r="I2030">
        <v>2029</v>
      </c>
      <c r="J2030">
        <f t="shared" si="250"/>
        <v>-0.33932457617528672</v>
      </c>
      <c r="K2030">
        <f t="shared" si="251"/>
        <v>-0.94066935317541944</v>
      </c>
      <c r="L2030">
        <f>VLOOKUP(D2030,[1]SOI!$A$1:$C$142,3)</f>
        <v>2.6</v>
      </c>
      <c r="M2030" s="2">
        <f t="shared" si="252"/>
        <v>-688.4895650596568</v>
      </c>
      <c r="N2030">
        <f t="shared" si="253"/>
        <v>-1908.618117592926</v>
      </c>
      <c r="O2030" t="s">
        <v>8</v>
      </c>
    </row>
    <row r="2031" spans="1:15" x14ac:dyDescent="0.35">
      <c r="A2031">
        <v>2005</v>
      </c>
      <c r="B2031">
        <v>7</v>
      </c>
      <c r="C2031">
        <v>22</v>
      </c>
      <c r="D2031" s="1">
        <f t="shared" si="248"/>
        <v>38555</v>
      </c>
      <c r="E2031">
        <v>0</v>
      </c>
      <c r="F2031">
        <f t="shared" si="254"/>
        <v>0</v>
      </c>
      <c r="G2031">
        <f t="shared" si="249"/>
        <v>0</v>
      </c>
      <c r="H2031">
        <f t="shared" si="255"/>
        <v>0</v>
      </c>
      <c r="I2031">
        <v>2030</v>
      </c>
      <c r="J2031">
        <f t="shared" si="250"/>
        <v>-0.35545536519693227</v>
      </c>
      <c r="K2031">
        <f t="shared" si="251"/>
        <v>-0.93469325628931099</v>
      </c>
      <c r="L2031">
        <f>VLOOKUP(D2031,[1]SOI!$A$1:$C$142,3)</f>
        <v>2.6</v>
      </c>
      <c r="M2031" s="2">
        <f t="shared" si="252"/>
        <v>-721.57439134977255</v>
      </c>
      <c r="N2031">
        <f t="shared" si="253"/>
        <v>-1897.4273102673012</v>
      </c>
      <c r="O2031" t="s">
        <v>8</v>
      </c>
    </row>
    <row r="2032" spans="1:15" x14ac:dyDescent="0.35">
      <c r="A2032">
        <v>2005</v>
      </c>
      <c r="B2032">
        <v>7</v>
      </c>
      <c r="C2032">
        <v>23</v>
      </c>
      <c r="D2032" s="1">
        <f t="shared" si="248"/>
        <v>38556</v>
      </c>
      <c r="E2032">
        <v>0</v>
      </c>
      <c r="F2032">
        <f t="shared" si="254"/>
        <v>0</v>
      </c>
      <c r="G2032">
        <f t="shared" si="249"/>
        <v>0</v>
      </c>
      <c r="H2032">
        <f t="shared" si="255"/>
        <v>0</v>
      </c>
      <c r="I2032">
        <v>2031</v>
      </c>
      <c r="J2032">
        <f t="shared" si="250"/>
        <v>-0.37148096925728907</v>
      </c>
      <c r="K2032">
        <f t="shared" si="251"/>
        <v>-0.92844056863089797</v>
      </c>
      <c r="L2032">
        <f>VLOOKUP(D2032,[1]SOI!$A$1:$C$142,3)</f>
        <v>2.6</v>
      </c>
      <c r="M2032" s="2">
        <f t="shared" si="252"/>
        <v>-754.47784856155408</v>
      </c>
      <c r="N2032">
        <f t="shared" si="253"/>
        <v>-1885.6627948893538</v>
      </c>
      <c r="O2032" t="s">
        <v>8</v>
      </c>
    </row>
    <row r="2033" spans="1:15" x14ac:dyDescent="0.35">
      <c r="A2033">
        <v>2005</v>
      </c>
      <c r="B2033">
        <v>7</v>
      </c>
      <c r="C2033">
        <v>24</v>
      </c>
      <c r="D2033" s="1">
        <f t="shared" si="248"/>
        <v>38557</v>
      </c>
      <c r="E2033">
        <v>0</v>
      </c>
      <c r="F2033">
        <f t="shared" si="254"/>
        <v>0</v>
      </c>
      <c r="G2033">
        <f t="shared" si="249"/>
        <v>0</v>
      </c>
      <c r="H2033">
        <f t="shared" si="255"/>
        <v>0</v>
      </c>
      <c r="I2033">
        <v>2032</v>
      </c>
      <c r="J2033">
        <f t="shared" si="250"/>
        <v>-0.38739664612228852</v>
      </c>
      <c r="K2033">
        <f t="shared" si="251"/>
        <v>-0.92191314047105455</v>
      </c>
      <c r="L2033">
        <f>VLOOKUP(D2033,[1]SOI!$A$1:$C$142,3)</f>
        <v>2.6</v>
      </c>
      <c r="M2033" s="2">
        <f t="shared" si="252"/>
        <v>-787.18998492049025</v>
      </c>
      <c r="N2033">
        <f t="shared" si="253"/>
        <v>-1873.3275014371829</v>
      </c>
      <c r="O2033" t="s">
        <v>8</v>
      </c>
    </row>
    <row r="2034" spans="1:15" x14ac:dyDescent="0.35">
      <c r="A2034">
        <v>2005</v>
      </c>
      <c r="B2034">
        <v>7</v>
      </c>
      <c r="C2034">
        <v>25</v>
      </c>
      <c r="D2034" s="1">
        <f t="shared" si="248"/>
        <v>38558</v>
      </c>
      <c r="E2034">
        <v>3.4</v>
      </c>
      <c r="F2034">
        <f t="shared" si="254"/>
        <v>0</v>
      </c>
      <c r="G2034">
        <f t="shared" si="249"/>
        <v>1</v>
      </c>
      <c r="H2034">
        <f t="shared" si="255"/>
        <v>0</v>
      </c>
      <c r="I2034">
        <v>2033</v>
      </c>
      <c r="J2034">
        <f t="shared" si="250"/>
        <v>-0.40319768608708118</v>
      </c>
      <c r="K2034">
        <f t="shared" si="251"/>
        <v>-0.91511290338079243</v>
      </c>
      <c r="L2034">
        <f>VLOOKUP(D2034,[1]SOI!$A$1:$C$142,3)</f>
        <v>2.6</v>
      </c>
      <c r="M2034" s="2">
        <f t="shared" si="252"/>
        <v>-819.70089581503601</v>
      </c>
      <c r="N2034">
        <f t="shared" si="253"/>
        <v>-1860.4245325731511</v>
      </c>
      <c r="O2034" t="s">
        <v>8</v>
      </c>
    </row>
    <row r="2035" spans="1:15" x14ac:dyDescent="0.35">
      <c r="A2035">
        <v>2005</v>
      </c>
      <c r="B2035">
        <v>7</v>
      </c>
      <c r="C2035">
        <v>26</v>
      </c>
      <c r="D2035" s="1">
        <f t="shared" si="248"/>
        <v>38559</v>
      </c>
      <c r="E2035">
        <v>1</v>
      </c>
      <c r="F2035">
        <f t="shared" si="254"/>
        <v>3.4</v>
      </c>
      <c r="G2035">
        <f t="shared" si="249"/>
        <v>1</v>
      </c>
      <c r="H2035">
        <f t="shared" si="255"/>
        <v>1</v>
      </c>
      <c r="I2035">
        <v>2034</v>
      </c>
      <c r="J2035">
        <f t="shared" si="250"/>
        <v>-0.41887941336974016</v>
      </c>
      <c r="K2035">
        <f t="shared" si="251"/>
        <v>-0.90804186965966627</v>
      </c>
      <c r="L2035">
        <f>VLOOKUP(D2035,[1]SOI!$A$1:$C$142,3)</f>
        <v>2.6</v>
      </c>
      <c r="M2035" s="2">
        <f t="shared" si="252"/>
        <v>-852.0007267940515</v>
      </c>
      <c r="N2035">
        <f t="shared" si="253"/>
        <v>-1846.9571628877611</v>
      </c>
      <c r="O2035" t="s">
        <v>8</v>
      </c>
    </row>
    <row r="2036" spans="1:15" x14ac:dyDescent="0.35">
      <c r="A2036">
        <v>2005</v>
      </c>
      <c r="B2036">
        <v>7</v>
      </c>
      <c r="C2036">
        <v>27</v>
      </c>
      <c r="D2036" s="1">
        <f t="shared" si="248"/>
        <v>38560</v>
      </c>
      <c r="E2036">
        <v>1.4</v>
      </c>
      <c r="F2036">
        <f t="shared" si="254"/>
        <v>1</v>
      </c>
      <c r="G2036">
        <f t="shared" si="249"/>
        <v>1</v>
      </c>
      <c r="H2036">
        <f t="shared" si="255"/>
        <v>1</v>
      </c>
      <c r="I2036">
        <v>2035</v>
      </c>
      <c r="J2036">
        <f t="shared" si="250"/>
        <v>-0.43443718749486132</v>
      </c>
      <c r="K2036">
        <f t="shared" si="251"/>
        <v>-0.90070213174031888</v>
      </c>
      <c r="L2036">
        <f>VLOOKUP(D2036,[1]SOI!$A$1:$C$142,3)</f>
        <v>2.6</v>
      </c>
      <c r="M2036" s="2">
        <f t="shared" si="252"/>
        <v>-884.07967655204277</v>
      </c>
      <c r="N2036">
        <f t="shared" si="253"/>
        <v>-1832.9288380915489</v>
      </c>
      <c r="O2036" t="s">
        <v>8</v>
      </c>
    </row>
    <row r="2037" spans="1:15" x14ac:dyDescent="0.35">
      <c r="A2037">
        <v>2005</v>
      </c>
      <c r="B2037">
        <v>7</v>
      </c>
      <c r="C2037">
        <v>28</v>
      </c>
      <c r="D2037" s="1">
        <f t="shared" si="248"/>
        <v>38561</v>
      </c>
      <c r="E2037">
        <v>0</v>
      </c>
      <c r="F2037">
        <f t="shared" si="254"/>
        <v>1.4</v>
      </c>
      <c r="G2037">
        <f t="shared" si="249"/>
        <v>0</v>
      </c>
      <c r="H2037">
        <f t="shared" si="255"/>
        <v>1</v>
      </c>
      <c r="I2037">
        <v>2036</v>
      </c>
      <c r="J2037">
        <f t="shared" si="250"/>
        <v>-0.44986640466678046</v>
      </c>
      <c r="K2037">
        <f t="shared" si="251"/>
        <v>-0.89309586156928555</v>
      </c>
      <c r="L2037">
        <f>VLOOKUP(D2037,[1]SOI!$A$1:$C$142,3)</f>
        <v>2.6</v>
      </c>
      <c r="M2037" s="2">
        <f t="shared" si="252"/>
        <v>-915.92799990156504</v>
      </c>
      <c r="N2037">
        <f t="shared" si="253"/>
        <v>-1818.3431741550653</v>
      </c>
      <c r="O2037" t="s">
        <v>8</v>
      </c>
    </row>
    <row r="2038" spans="1:15" x14ac:dyDescent="0.35">
      <c r="A2038">
        <v>2005</v>
      </c>
      <c r="B2038">
        <v>7</v>
      </c>
      <c r="C2038">
        <v>29</v>
      </c>
      <c r="D2038" s="1">
        <f t="shared" si="248"/>
        <v>38562</v>
      </c>
      <c r="E2038">
        <v>0</v>
      </c>
      <c r="F2038">
        <f t="shared" si="254"/>
        <v>0</v>
      </c>
      <c r="G2038">
        <f t="shared" si="249"/>
        <v>0</v>
      </c>
      <c r="H2038">
        <f t="shared" si="255"/>
        <v>0</v>
      </c>
      <c r="I2038">
        <v>2037</v>
      </c>
      <c r="J2038">
        <f t="shared" si="250"/>
        <v>-0.46516249913190422</v>
      </c>
      <c r="K2038">
        <f t="shared" si="251"/>
        <v>-0.88522530996428317</v>
      </c>
      <c r="L2038">
        <f>VLOOKUP(D2038,[1]SOI!$A$1:$C$142,3)</f>
        <v>2.6</v>
      </c>
      <c r="M2038" s="2">
        <f t="shared" si="252"/>
        <v>-947.53601073168886</v>
      </c>
      <c r="N2038">
        <f t="shared" si="253"/>
        <v>-1803.2039563972448</v>
      </c>
      <c r="O2038" t="s">
        <v>8</v>
      </c>
    </row>
    <row r="2039" spans="1:15" x14ac:dyDescent="0.35">
      <c r="A2039">
        <v>2005</v>
      </c>
      <c r="B2039">
        <v>7</v>
      </c>
      <c r="C2039">
        <v>30</v>
      </c>
      <c r="D2039" s="1">
        <f t="shared" si="248"/>
        <v>38563</v>
      </c>
      <c r="E2039">
        <v>0</v>
      </c>
      <c r="F2039">
        <f t="shared" si="254"/>
        <v>0</v>
      </c>
      <c r="G2039">
        <f t="shared" si="249"/>
        <v>0</v>
      </c>
      <c r="H2039">
        <f t="shared" si="255"/>
        <v>0</v>
      </c>
      <c r="I2039">
        <v>2038</v>
      </c>
      <c r="J2039">
        <f t="shared" si="250"/>
        <v>-0.48032094452978985</v>
      </c>
      <c r="K2039">
        <f t="shared" si="251"/>
        <v>-0.87709280594815653</v>
      </c>
      <c r="L2039">
        <f>VLOOKUP(D2039,[1]SOI!$A$1:$C$142,3)</f>
        <v>2.6</v>
      </c>
      <c r="M2039" s="2">
        <f t="shared" si="252"/>
        <v>-978.89408495171176</v>
      </c>
      <c r="N2039">
        <f t="shared" si="253"/>
        <v>-1787.515138522343</v>
      </c>
      <c r="O2039" t="s">
        <v>8</v>
      </c>
    </row>
    <row r="2040" spans="1:15" x14ac:dyDescent="0.35">
      <c r="A2040">
        <v>2005</v>
      </c>
      <c r="B2040">
        <v>7</v>
      </c>
      <c r="C2040">
        <v>31</v>
      </c>
      <c r="D2040" s="1">
        <f t="shared" si="248"/>
        <v>38564</v>
      </c>
      <c r="E2040">
        <v>0</v>
      </c>
      <c r="F2040">
        <f t="shared" si="254"/>
        <v>0</v>
      </c>
      <c r="G2040">
        <f t="shared" si="249"/>
        <v>0</v>
      </c>
      <c r="H2040">
        <f t="shared" si="255"/>
        <v>0</v>
      </c>
      <c r="I2040">
        <v>2039</v>
      </c>
      <c r="J2040">
        <f t="shared" si="250"/>
        <v>-0.495337255232562</v>
      </c>
      <c r="K2040">
        <f t="shared" si="251"/>
        <v>-0.868700756059687</v>
      </c>
      <c r="L2040">
        <f>VLOOKUP(D2040,[1]SOI!$A$1:$C$142,3)</f>
        <v>2.6</v>
      </c>
      <c r="M2040" s="2">
        <f t="shared" si="252"/>
        <v>-1009.9926634191939</v>
      </c>
      <c r="N2040">
        <f t="shared" si="253"/>
        <v>-1771.2808416057019</v>
      </c>
      <c r="O2040" t="s">
        <v>8</v>
      </c>
    </row>
    <row r="2041" spans="1:15" x14ac:dyDescent="0.35">
      <c r="A2041">
        <v>2005</v>
      </c>
      <c r="B2041">
        <v>8</v>
      </c>
      <c r="C2041">
        <v>1</v>
      </c>
      <c r="D2041" s="1">
        <f t="shared" si="248"/>
        <v>38565</v>
      </c>
      <c r="E2041">
        <v>0</v>
      </c>
      <c r="F2041">
        <f t="shared" si="254"/>
        <v>0</v>
      </c>
      <c r="G2041">
        <f t="shared" si="249"/>
        <v>0</v>
      </c>
      <c r="H2041">
        <f t="shared" si="255"/>
        <v>0</v>
      </c>
      <c r="I2041">
        <v>2040</v>
      </c>
      <c r="J2041">
        <f t="shared" si="250"/>
        <v>-0.51020698767230688</v>
      </c>
      <c r="K2041">
        <f t="shared" si="251"/>
        <v>-0.8600516436414446</v>
      </c>
      <c r="L2041">
        <f>VLOOKUP(D2041,[1]SOI!$A$1:$C$142,3)</f>
        <v>0.9</v>
      </c>
      <c r="M2041" s="2">
        <f t="shared" si="252"/>
        <v>-1040.8222548515059</v>
      </c>
      <c r="N2041">
        <f t="shared" si="253"/>
        <v>-1754.505353028547</v>
      </c>
      <c r="O2041" t="s">
        <v>8</v>
      </c>
    </row>
    <row r="2042" spans="1:15" x14ac:dyDescent="0.35">
      <c r="A2042">
        <v>2005</v>
      </c>
      <c r="B2042">
        <v>8</v>
      </c>
      <c r="C2042">
        <v>2</v>
      </c>
      <c r="D2042" s="1">
        <f t="shared" si="248"/>
        <v>38566</v>
      </c>
      <c r="E2042">
        <v>0</v>
      </c>
      <c r="F2042">
        <f t="shared" si="254"/>
        <v>0</v>
      </c>
      <c r="G2042">
        <f t="shared" si="249"/>
        <v>0</v>
      </c>
      <c r="H2042">
        <f t="shared" si="255"/>
        <v>0</v>
      </c>
      <c r="I2042">
        <v>2041</v>
      </c>
      <c r="J2042">
        <f t="shared" si="250"/>
        <v>-0.5249257416559584</v>
      </c>
      <c r="K2042">
        <f t="shared" si="251"/>
        <v>-0.85114802810494838</v>
      </c>
      <c r="L2042">
        <f>VLOOKUP(D2042,[1]SOI!$A$1:$C$142,3)</f>
        <v>0.9</v>
      </c>
      <c r="M2042" s="2">
        <f t="shared" si="252"/>
        <v>-1071.373438719811</v>
      </c>
      <c r="N2042">
        <f t="shared" si="253"/>
        <v>-1737.1931253621997</v>
      </c>
      <c r="O2042" t="s">
        <v>8</v>
      </c>
    </row>
    <row r="2043" spans="1:15" x14ac:dyDescent="0.35">
      <c r="A2043">
        <v>2005</v>
      </c>
      <c r="B2043">
        <v>8</v>
      </c>
      <c r="C2043">
        <v>3</v>
      </c>
      <c r="D2043" s="1">
        <f t="shared" si="248"/>
        <v>38567</v>
      </c>
      <c r="E2043">
        <v>0</v>
      </c>
      <c r="F2043">
        <f t="shared" si="254"/>
        <v>0</v>
      </c>
      <c r="G2043">
        <f t="shared" si="249"/>
        <v>0</v>
      </c>
      <c r="H2043">
        <f t="shared" si="255"/>
        <v>0</v>
      </c>
      <c r="I2043">
        <v>2042</v>
      </c>
      <c r="J2043">
        <f t="shared" si="250"/>
        <v>-0.53948916166741079</v>
      </c>
      <c r="K2043">
        <f t="shared" si="251"/>
        <v>-0.84199254417328084</v>
      </c>
      <c r="L2043">
        <f>VLOOKUP(D2043,[1]SOI!$A$1:$C$142,3)</f>
        <v>0.9</v>
      </c>
      <c r="M2043" s="2">
        <f t="shared" si="252"/>
        <v>-1101.6368681248528</v>
      </c>
      <c r="N2043">
        <f t="shared" si="253"/>
        <v>-1719.3487752018395</v>
      </c>
      <c r="O2043" t="s">
        <v>8</v>
      </c>
    </row>
    <row r="2044" spans="1:15" x14ac:dyDescent="0.35">
      <c r="A2044">
        <v>2005</v>
      </c>
      <c r="B2044">
        <v>8</v>
      </c>
      <c r="C2044">
        <v>4</v>
      </c>
      <c r="D2044" s="1">
        <f t="shared" si="248"/>
        <v>38568</v>
      </c>
      <c r="E2044">
        <v>13</v>
      </c>
      <c r="F2044">
        <f t="shared" si="254"/>
        <v>0</v>
      </c>
      <c r="G2044">
        <f t="shared" si="249"/>
        <v>1</v>
      </c>
      <c r="H2044">
        <f t="shared" si="255"/>
        <v>0</v>
      </c>
      <c r="I2044">
        <v>2043</v>
      </c>
      <c r="J2044">
        <f t="shared" si="250"/>
        <v>-0.55389293815637985</v>
      </c>
      <c r="K2044">
        <f t="shared" si="251"/>
        <v>-0.83258790110143488</v>
      </c>
      <c r="L2044">
        <f>VLOOKUP(D2044,[1]SOI!$A$1:$C$142,3)</f>
        <v>0.9</v>
      </c>
      <c r="M2044" s="2">
        <f t="shared" si="252"/>
        <v>-1131.6032726534841</v>
      </c>
      <c r="N2044">
        <f t="shared" si="253"/>
        <v>-1700.9770819502314</v>
      </c>
      <c r="O2044" t="s">
        <v>8</v>
      </c>
    </row>
    <row r="2045" spans="1:15" x14ac:dyDescent="0.35">
      <c r="A2045">
        <v>2005</v>
      </c>
      <c r="B2045">
        <v>8</v>
      </c>
      <c r="C2045">
        <v>5</v>
      </c>
      <c r="D2045" s="1">
        <f t="shared" si="248"/>
        <v>38569</v>
      </c>
      <c r="E2045">
        <v>3</v>
      </c>
      <c r="F2045">
        <f t="shared" si="254"/>
        <v>13</v>
      </c>
      <c r="G2045">
        <f t="shared" si="249"/>
        <v>1</v>
      </c>
      <c r="H2045">
        <f t="shared" si="255"/>
        <v>1</v>
      </c>
      <c r="I2045">
        <v>2044</v>
      </c>
      <c r="J2045">
        <f t="shared" si="250"/>
        <v>-0.56813280881366202</v>
      </c>
      <c r="K2045">
        <f t="shared" si="251"/>
        <v>-0.82293688187460579</v>
      </c>
      <c r="L2045">
        <f>VLOOKUP(D2045,[1]SOI!$A$1:$C$142,3)</f>
        <v>0.9</v>
      </c>
      <c r="M2045" s="2">
        <f t="shared" si="252"/>
        <v>-1161.2634612151251</v>
      </c>
      <c r="N2045">
        <f t="shared" si="253"/>
        <v>-1682.0829865516941</v>
      </c>
      <c r="O2045" t="s">
        <v>8</v>
      </c>
    </row>
    <row r="2046" spans="1:15" x14ac:dyDescent="0.35">
      <c r="A2046">
        <v>2005</v>
      </c>
      <c r="B2046">
        <v>8</v>
      </c>
      <c r="C2046">
        <v>6</v>
      </c>
      <c r="D2046" s="1">
        <f t="shared" si="248"/>
        <v>38570</v>
      </c>
      <c r="E2046">
        <v>0</v>
      </c>
      <c r="F2046">
        <f t="shared" si="254"/>
        <v>3</v>
      </c>
      <c r="G2046">
        <f t="shared" si="249"/>
        <v>0</v>
      </c>
      <c r="H2046">
        <f t="shared" si="255"/>
        <v>1</v>
      </c>
      <c r="I2046">
        <v>2045</v>
      </c>
      <c r="J2046">
        <f t="shared" si="250"/>
        <v>-0.58220455983244412</v>
      </c>
      <c r="K2046">
        <f t="shared" si="251"/>
        <v>-0.81304234238464479</v>
      </c>
      <c r="L2046">
        <f>VLOOKUP(D2046,[1]SOI!$A$1:$C$142,3)</f>
        <v>0.9</v>
      </c>
      <c r="M2046" s="2">
        <f t="shared" si="252"/>
        <v>-1190.6083248573482</v>
      </c>
      <c r="N2046">
        <f t="shared" si="253"/>
        <v>-1662.6715901765986</v>
      </c>
      <c r="O2046" t="s">
        <v>8</v>
      </c>
    </row>
    <row r="2047" spans="1:15" x14ac:dyDescent="0.35">
      <c r="A2047">
        <v>2005</v>
      </c>
      <c r="B2047">
        <v>8</v>
      </c>
      <c r="C2047">
        <v>7</v>
      </c>
      <c r="D2047" s="1">
        <f t="shared" si="248"/>
        <v>38571</v>
      </c>
      <c r="E2047">
        <v>0</v>
      </c>
      <c r="F2047">
        <f t="shared" si="254"/>
        <v>0</v>
      </c>
      <c r="G2047">
        <f t="shared" si="249"/>
        <v>0</v>
      </c>
      <c r="H2047">
        <f t="shared" si="255"/>
        <v>0</v>
      </c>
      <c r="I2047">
        <v>2046</v>
      </c>
      <c r="J2047">
        <f t="shared" si="250"/>
        <v>-0.59610402715520117</v>
      </c>
      <c r="K2047">
        <f t="shared" si="251"/>
        <v>-0.8029072105849786</v>
      </c>
      <c r="L2047">
        <f>VLOOKUP(D2047,[1]SOI!$A$1:$C$142,3)</f>
        <v>0.9</v>
      </c>
      <c r="M2047" s="2">
        <f t="shared" si="252"/>
        <v>-1219.6288395595416</v>
      </c>
      <c r="N2047">
        <f t="shared" si="253"/>
        <v>-1642.7481528568662</v>
      </c>
      <c r="O2047" t="s">
        <v>8</v>
      </c>
    </row>
    <row r="2048" spans="1:15" x14ac:dyDescent="0.35">
      <c r="A2048">
        <v>2005</v>
      </c>
      <c r="B2048">
        <v>8</v>
      </c>
      <c r="C2048">
        <v>8</v>
      </c>
      <c r="D2048" s="1">
        <f t="shared" si="248"/>
        <v>38572</v>
      </c>
      <c r="E2048">
        <v>3.6</v>
      </c>
      <c r="F2048">
        <f t="shared" si="254"/>
        <v>0</v>
      </c>
      <c r="G2048">
        <f t="shared" si="249"/>
        <v>1</v>
      </c>
      <c r="H2048">
        <f t="shared" si="255"/>
        <v>0</v>
      </c>
      <c r="I2048">
        <v>2047</v>
      </c>
      <c r="J2048">
        <f t="shared" si="250"/>
        <v>-0.60982709770593135</v>
      </c>
      <c r="K2048">
        <f t="shared" si="251"/>
        <v>-0.7925344856241654</v>
      </c>
      <c r="L2048">
        <f>VLOOKUP(D2048,[1]SOI!$A$1:$C$142,3)</f>
        <v>0.9</v>
      </c>
      <c r="M2048" s="2">
        <f t="shared" si="252"/>
        <v>-1248.3160690040415</v>
      </c>
      <c r="N2048">
        <f t="shared" si="253"/>
        <v>-1622.3180920726666</v>
      </c>
      <c r="O2048" t="s">
        <v>8</v>
      </c>
    </row>
    <row r="2049" spans="1:15" x14ac:dyDescent="0.35">
      <c r="A2049">
        <v>2005</v>
      </c>
      <c r="B2049">
        <v>8</v>
      </c>
      <c r="C2049">
        <v>9</v>
      </c>
      <c r="D2049" s="1">
        <f t="shared" si="248"/>
        <v>38573</v>
      </c>
      <c r="E2049">
        <v>0</v>
      </c>
      <c r="F2049">
        <f t="shared" si="254"/>
        <v>3.6</v>
      </c>
      <c r="G2049">
        <f t="shared" si="249"/>
        <v>0</v>
      </c>
      <c r="H2049">
        <f t="shared" si="255"/>
        <v>1</v>
      </c>
      <c r="I2049">
        <v>2048</v>
      </c>
      <c r="J2049">
        <f t="shared" si="250"/>
        <v>-0.62336971060727575</v>
      </c>
      <c r="K2049">
        <f t="shared" si="251"/>
        <v>-0.78192723695840216</v>
      </c>
      <c r="L2049">
        <f>VLOOKUP(D2049,[1]SOI!$A$1:$C$142,3)</f>
        <v>0.9</v>
      </c>
      <c r="M2049" s="2">
        <f t="shared" si="252"/>
        <v>-1276.6611673237007</v>
      </c>
      <c r="N2049">
        <f t="shared" si="253"/>
        <v>-1601.3869812908076</v>
      </c>
      <c r="O2049" t="s">
        <v>8</v>
      </c>
    </row>
    <row r="2050" spans="1:15" x14ac:dyDescent="0.35">
      <c r="A2050">
        <v>2005</v>
      </c>
      <c r="B2050">
        <v>8</v>
      </c>
      <c r="C2050">
        <v>10</v>
      </c>
      <c r="D2050" s="1">
        <f t="shared" si="248"/>
        <v>38574</v>
      </c>
      <c r="E2050">
        <v>4.8</v>
      </c>
      <c r="F2050">
        <f t="shared" si="254"/>
        <v>0</v>
      </c>
      <c r="G2050">
        <f t="shared" si="249"/>
        <v>1</v>
      </c>
      <c r="H2050">
        <f t="shared" si="255"/>
        <v>0</v>
      </c>
      <c r="I2050">
        <v>2049</v>
      </c>
      <c r="J2050">
        <f t="shared" si="250"/>
        <v>-0.63672785838219725</v>
      </c>
      <c r="K2050">
        <f t="shared" si="251"/>
        <v>-0.77108860344322339</v>
      </c>
      <c r="L2050">
        <f>VLOOKUP(D2050,[1]SOI!$A$1:$C$142,3)</f>
        <v>0.9</v>
      </c>
      <c r="M2050" s="2">
        <f t="shared" si="252"/>
        <v>-1304.6553818251223</v>
      </c>
      <c r="N2050">
        <f t="shared" si="253"/>
        <v>-1579.9605484551648</v>
      </c>
      <c r="O2050" t="s">
        <v>8</v>
      </c>
    </row>
    <row r="2051" spans="1:15" x14ac:dyDescent="0.35">
      <c r="A2051">
        <v>2005</v>
      </c>
      <c r="B2051">
        <v>8</v>
      </c>
      <c r="C2051">
        <v>11</v>
      </c>
      <c r="D2051" s="1">
        <f t="shared" ref="D2051:D2114" si="256">DATE(A2051,B2051,C2051)</f>
        <v>38575</v>
      </c>
      <c r="E2051">
        <v>0</v>
      </c>
      <c r="F2051">
        <f t="shared" si="254"/>
        <v>4.8</v>
      </c>
      <c r="G2051">
        <f t="shared" ref="G2051:G2114" si="257">IF(E2051=0,0,1)</f>
        <v>0</v>
      </c>
      <c r="H2051">
        <f t="shared" si="255"/>
        <v>1</v>
      </c>
      <c r="I2051">
        <v>2050</v>
      </c>
      <c r="J2051">
        <f t="shared" ref="J2051:J2114" si="258">SIN(2*PI()*I2051/365.25)</f>
        <v>-0.64989758813985177</v>
      </c>
      <c r="K2051">
        <f t="shared" ref="K2051:K2114" si="259">COS(2*PI()*I2051/365.25)</f>
        <v>-0.76002179240466761</v>
      </c>
      <c r="L2051">
        <f>VLOOKUP(D2051,[1]SOI!$A$1:$C$142,3)</f>
        <v>0.9</v>
      </c>
      <c r="M2051" s="2">
        <f t="shared" ref="M2051:M2114" si="260">I2051*J2051</f>
        <v>-1332.2900556866962</v>
      </c>
      <c r="N2051">
        <f t="shared" ref="N2051:N2114" si="261">I2051*K2051</f>
        <v>-1558.0446744295687</v>
      </c>
      <c r="O2051" t="s">
        <v>8</v>
      </c>
    </row>
    <row r="2052" spans="1:15" x14ac:dyDescent="0.35">
      <c r="A2052">
        <v>2005</v>
      </c>
      <c r="B2052">
        <v>8</v>
      </c>
      <c r="C2052">
        <v>12</v>
      </c>
      <c r="D2052" s="1">
        <f t="shared" si="256"/>
        <v>38576</v>
      </c>
      <c r="E2052">
        <v>3.2</v>
      </c>
      <c r="F2052">
        <f t="shared" ref="F2052:F2115" si="262">E2051</f>
        <v>0</v>
      </c>
      <c r="G2052">
        <f t="shared" si="257"/>
        <v>1</v>
      </c>
      <c r="H2052">
        <f t="shared" ref="H2052:H2115" si="263">G2051</f>
        <v>0</v>
      </c>
      <c r="I2052">
        <v>2051</v>
      </c>
      <c r="J2052">
        <f t="shared" si="258"/>
        <v>-0.66287500274533961</v>
      </c>
      <c r="K2052">
        <f t="shared" si="259"/>
        <v>-0.74873007869015518</v>
      </c>
      <c r="L2052">
        <f>VLOOKUP(D2052,[1]SOI!$A$1:$C$142,3)</f>
        <v>0.9</v>
      </c>
      <c r="M2052" s="2">
        <f t="shared" si="260"/>
        <v>-1359.5566306306916</v>
      </c>
      <c r="N2052">
        <f t="shared" si="261"/>
        <v>-1535.6453913935084</v>
      </c>
      <c r="O2052" t="s">
        <v>8</v>
      </c>
    </row>
    <row r="2053" spans="1:15" x14ac:dyDescent="0.35">
      <c r="A2053">
        <v>2005</v>
      </c>
      <c r="B2053">
        <v>8</v>
      </c>
      <c r="C2053">
        <v>13</v>
      </c>
      <c r="D2053" s="1">
        <f t="shared" si="256"/>
        <v>38577</v>
      </c>
      <c r="E2053">
        <v>0.2</v>
      </c>
      <c r="F2053">
        <f t="shared" si="262"/>
        <v>3.2</v>
      </c>
      <c r="G2053">
        <f t="shared" si="257"/>
        <v>1</v>
      </c>
      <c r="H2053">
        <f t="shared" si="263"/>
        <v>1</v>
      </c>
      <c r="I2053">
        <v>2052</v>
      </c>
      <c r="J2053">
        <f t="shared" si="258"/>
        <v>-0.67565626197287654</v>
      </c>
      <c r="K2053">
        <f t="shared" si="259"/>
        <v>-0.73721680369945419</v>
      </c>
      <c r="L2053">
        <f>VLOOKUP(D2053,[1]SOI!$A$1:$C$142,3)</f>
        <v>0.9</v>
      </c>
      <c r="M2053" s="2">
        <f t="shared" si="260"/>
        <v>-1386.4466495683428</v>
      </c>
      <c r="N2053">
        <f t="shared" si="261"/>
        <v>-1512.7688811912801</v>
      </c>
      <c r="O2053" t="s">
        <v>8</v>
      </c>
    </row>
    <row r="2054" spans="1:15" x14ac:dyDescent="0.35">
      <c r="A2054">
        <v>2005</v>
      </c>
      <c r="B2054">
        <v>8</v>
      </c>
      <c r="C2054">
        <v>14</v>
      </c>
      <c r="D2054" s="1">
        <f t="shared" si="256"/>
        <v>38578</v>
      </c>
      <c r="E2054">
        <v>0</v>
      </c>
      <c r="F2054">
        <f t="shared" si="262"/>
        <v>0.2</v>
      </c>
      <c r="G2054">
        <f t="shared" si="257"/>
        <v>0</v>
      </c>
      <c r="H2054">
        <f t="shared" si="263"/>
        <v>1</v>
      </c>
      <c r="I2054">
        <v>2053</v>
      </c>
      <c r="J2054">
        <f t="shared" si="258"/>
        <v>-0.68823758364222642</v>
      </c>
      <c r="K2054">
        <f t="shared" si="259"/>
        <v>-0.72548537439586569</v>
      </c>
      <c r="L2054">
        <f>VLOOKUP(D2054,[1]SOI!$A$1:$C$142,3)</f>
        <v>0.9</v>
      </c>
      <c r="M2054" s="2">
        <f t="shared" si="260"/>
        <v>-1412.9517592174909</v>
      </c>
      <c r="N2054">
        <f t="shared" si="261"/>
        <v>-1489.4214736347124</v>
      </c>
      <c r="O2054" t="s">
        <v>8</v>
      </c>
    </row>
    <row r="2055" spans="1:15" x14ac:dyDescent="0.35">
      <c r="A2055">
        <v>2005</v>
      </c>
      <c r="B2055">
        <v>8</v>
      </c>
      <c r="C2055">
        <v>15</v>
      </c>
      <c r="D2055" s="1">
        <f t="shared" si="256"/>
        <v>38579</v>
      </c>
      <c r="E2055">
        <v>1</v>
      </c>
      <c r="F2055">
        <f t="shared" si="262"/>
        <v>0</v>
      </c>
      <c r="G2055">
        <f t="shared" si="257"/>
        <v>1</v>
      </c>
      <c r="H2055">
        <f t="shared" si="263"/>
        <v>0</v>
      </c>
      <c r="I2055">
        <v>2054</v>
      </c>
      <c r="J2055">
        <f t="shared" si="258"/>
        <v>-0.70061524473790382</v>
      </c>
      <c r="K2055">
        <f t="shared" si="259"/>
        <v>-0.7135392622980512</v>
      </c>
      <c r="L2055">
        <f>VLOOKUP(D2055,[1]SOI!$A$1:$C$142,3)</f>
        <v>0.9</v>
      </c>
      <c r="M2055" s="2">
        <f t="shared" si="260"/>
        <v>-1439.0637126916545</v>
      </c>
      <c r="N2055">
        <f t="shared" si="261"/>
        <v>-1465.6096447601972</v>
      </c>
      <c r="O2055" t="s">
        <v>8</v>
      </c>
    </row>
    <row r="2056" spans="1:15" x14ac:dyDescent="0.35">
      <c r="A2056">
        <v>2005</v>
      </c>
      <c r="B2056">
        <v>8</v>
      </c>
      <c r="C2056">
        <v>16</v>
      </c>
      <c r="D2056" s="1">
        <f t="shared" si="256"/>
        <v>38580</v>
      </c>
      <c r="E2056">
        <v>1.8</v>
      </c>
      <c r="F2056">
        <f t="shared" si="262"/>
        <v>1</v>
      </c>
      <c r="G2056">
        <f t="shared" si="257"/>
        <v>1</v>
      </c>
      <c r="H2056">
        <f t="shared" si="263"/>
        <v>1</v>
      </c>
      <c r="I2056">
        <v>2055</v>
      </c>
      <c r="J2056">
        <f t="shared" si="258"/>
        <v>-0.71278558251084789</v>
      </c>
      <c r="K2056">
        <f t="shared" si="259"/>
        <v>-0.70138200245277982</v>
      </c>
      <c r="L2056">
        <f>VLOOKUP(D2056,[1]SOI!$A$1:$C$142,3)</f>
        <v>0.9</v>
      </c>
      <c r="M2056" s="2">
        <f t="shared" si="260"/>
        <v>-1464.7743720597923</v>
      </c>
      <c r="N2056">
        <f t="shared" si="261"/>
        <v>-1441.3400150404625</v>
      </c>
      <c r="O2056" t="s">
        <v>8</v>
      </c>
    </row>
    <row r="2057" spans="1:15" x14ac:dyDescent="0.35">
      <c r="A2057">
        <v>2005</v>
      </c>
      <c r="B2057">
        <v>8</v>
      </c>
      <c r="C2057">
        <v>17</v>
      </c>
      <c r="D2057" s="1">
        <f t="shared" si="256"/>
        <v>38581</v>
      </c>
      <c r="E2057">
        <v>0</v>
      </c>
      <c r="F2057">
        <f t="shared" si="262"/>
        <v>1.8</v>
      </c>
      <c r="G2057">
        <f t="shared" si="257"/>
        <v>0</v>
      </c>
      <c r="H2057">
        <f t="shared" si="263"/>
        <v>1</v>
      </c>
      <c r="I2057">
        <v>2056</v>
      </c>
      <c r="J2057">
        <f t="shared" si="258"/>
        <v>-0.72474499556230965</v>
      </c>
      <c r="K2057">
        <f t="shared" si="259"/>
        <v>-0.6890171923888313</v>
      </c>
      <c r="L2057">
        <f>VLOOKUP(D2057,[1]SOI!$A$1:$C$142,3)</f>
        <v>0.9</v>
      </c>
      <c r="M2057" s="2">
        <f t="shared" si="260"/>
        <v>-1490.0757108761086</v>
      </c>
      <c r="N2057">
        <f t="shared" si="261"/>
        <v>-1416.6193475514372</v>
      </c>
      <c r="O2057" t="s">
        <v>8</v>
      </c>
    </row>
    <row r="2058" spans="1:15" x14ac:dyDescent="0.35">
      <c r="A2058">
        <v>2005</v>
      </c>
      <c r="B2058">
        <v>8</v>
      </c>
      <c r="C2058">
        <v>18</v>
      </c>
      <c r="D2058" s="1">
        <f t="shared" si="256"/>
        <v>38582</v>
      </c>
      <c r="E2058">
        <v>0</v>
      </c>
      <c r="F2058">
        <f t="shared" si="262"/>
        <v>0</v>
      </c>
      <c r="G2058">
        <f t="shared" si="257"/>
        <v>0</v>
      </c>
      <c r="H2058">
        <f t="shared" si="263"/>
        <v>0</v>
      </c>
      <c r="I2058">
        <v>2057</v>
      </c>
      <c r="J2058">
        <f t="shared" si="258"/>
        <v>-0.73648994490955866</v>
      </c>
      <c r="K2058">
        <f t="shared" si="259"/>
        <v>-0.67644849105243421</v>
      </c>
      <c r="L2058">
        <f>VLOOKUP(D2058,[1]SOI!$A$1:$C$142,3)</f>
        <v>0.9</v>
      </c>
      <c r="M2058" s="2">
        <f t="shared" si="260"/>
        <v>-1514.9598166789622</v>
      </c>
      <c r="N2058">
        <f t="shared" si="261"/>
        <v>-1391.4545460948573</v>
      </c>
      <c r="O2058" t="s">
        <v>8</v>
      </c>
    </row>
    <row r="2059" spans="1:15" x14ac:dyDescent="0.35">
      <c r="A2059">
        <v>2005</v>
      </c>
      <c r="B2059">
        <v>8</v>
      </c>
      <c r="C2059">
        <v>19</v>
      </c>
      <c r="D2059" s="1">
        <f t="shared" si="256"/>
        <v>38583</v>
      </c>
      <c r="E2059">
        <v>0</v>
      </c>
      <c r="F2059">
        <f t="shared" si="262"/>
        <v>0</v>
      </c>
      <c r="G2059">
        <f t="shared" si="257"/>
        <v>0</v>
      </c>
      <c r="H2059">
        <f t="shared" si="263"/>
        <v>0</v>
      </c>
      <c r="I2059">
        <v>2058</v>
      </c>
      <c r="J2059">
        <f t="shared" si="258"/>
        <v>-0.74801695503312038</v>
      </c>
      <c r="K2059">
        <f t="shared" si="259"/>
        <v>-0.66367961772453032</v>
      </c>
      <c r="L2059">
        <f>VLOOKUP(D2059,[1]SOI!$A$1:$C$142,3)</f>
        <v>0.9</v>
      </c>
      <c r="M2059" s="2">
        <f t="shared" si="260"/>
        <v>-1539.4188934581618</v>
      </c>
      <c r="N2059">
        <f t="shared" si="261"/>
        <v>-1365.8526532770834</v>
      </c>
      <c r="O2059" t="s">
        <v>8</v>
      </c>
    </row>
    <row r="2060" spans="1:15" x14ac:dyDescent="0.35">
      <c r="A2060">
        <v>2005</v>
      </c>
      <c r="B2060">
        <v>8</v>
      </c>
      <c r="C2060">
        <v>20</v>
      </c>
      <c r="D2060" s="1">
        <f t="shared" si="256"/>
        <v>38584</v>
      </c>
      <c r="E2060">
        <v>10.4</v>
      </c>
      <c r="F2060">
        <f t="shared" si="262"/>
        <v>0</v>
      </c>
      <c r="G2060">
        <f t="shared" si="257"/>
        <v>1</v>
      </c>
      <c r="H2060">
        <f t="shared" si="263"/>
        <v>0</v>
      </c>
      <c r="I2060">
        <v>2059</v>
      </c>
      <c r="J2060">
        <f t="shared" si="258"/>
        <v>-0.75932261490525699</v>
      </c>
      <c r="K2060">
        <f t="shared" si="259"/>
        <v>-0.65071435092015817</v>
      </c>
      <c r="L2060">
        <f>VLOOKUP(D2060,[1]SOI!$A$1:$C$142,3)</f>
        <v>0.9</v>
      </c>
      <c r="M2060" s="2">
        <f t="shared" si="260"/>
        <v>-1563.4452640899242</v>
      </c>
      <c r="N2060">
        <f t="shared" si="261"/>
        <v>-1339.8208485446057</v>
      </c>
      <c r="O2060" t="s">
        <v>8</v>
      </c>
    </row>
    <row r="2061" spans="1:15" x14ac:dyDescent="0.35">
      <c r="A2061">
        <v>2005</v>
      </c>
      <c r="B2061">
        <v>8</v>
      </c>
      <c r="C2061">
        <v>21</v>
      </c>
      <c r="D2061" s="1">
        <f t="shared" si="256"/>
        <v>38585</v>
      </c>
      <c r="E2061">
        <v>0.4</v>
      </c>
      <c r="F2061">
        <f t="shared" si="262"/>
        <v>10.4</v>
      </c>
      <c r="G2061">
        <f t="shared" si="257"/>
        <v>1</v>
      </c>
      <c r="H2061">
        <f t="shared" si="263"/>
        <v>1</v>
      </c>
      <c r="I2061">
        <v>2060</v>
      </c>
      <c r="J2061">
        <f t="shared" si="258"/>
        <v>-0.770403578999317</v>
      </c>
      <c r="K2061">
        <f t="shared" si="259"/>
        <v>-0.63755652727036149</v>
      </c>
      <c r="L2061">
        <f>VLOOKUP(D2061,[1]SOI!$A$1:$C$142,3)</f>
        <v>0.9</v>
      </c>
      <c r="M2061" s="2">
        <f t="shared" si="260"/>
        <v>-1587.0313727385931</v>
      </c>
      <c r="N2061">
        <f t="shared" si="261"/>
        <v>-1313.3664461769447</v>
      </c>
      <c r="O2061" t="s">
        <v>8</v>
      </c>
    </row>
    <row r="2062" spans="1:15" x14ac:dyDescent="0.35">
      <c r="A2062">
        <v>2005</v>
      </c>
      <c r="B2062">
        <v>8</v>
      </c>
      <c r="C2062">
        <v>22</v>
      </c>
      <c r="D2062" s="1">
        <f t="shared" si="256"/>
        <v>38586</v>
      </c>
      <c r="E2062">
        <v>6</v>
      </c>
      <c r="F2062">
        <f t="shared" si="262"/>
        <v>0.4</v>
      </c>
      <c r="G2062">
        <f t="shared" si="257"/>
        <v>1</v>
      </c>
      <c r="H2062">
        <f t="shared" si="263"/>
        <v>1</v>
      </c>
      <c r="I2062">
        <v>2061</v>
      </c>
      <c r="J2062">
        <f t="shared" si="258"/>
        <v>-0.78125656827974932</v>
      </c>
      <c r="K2062">
        <f t="shared" si="259"/>
        <v>-0.62421004038684724</v>
      </c>
      <c r="L2062">
        <f>VLOOKUP(D2062,[1]SOI!$A$1:$C$142,3)</f>
        <v>0.9</v>
      </c>
      <c r="M2062" s="2">
        <f t="shared" si="260"/>
        <v>-1610.1697872245634</v>
      </c>
      <c r="N2062">
        <f t="shared" si="261"/>
        <v>-1286.4968932372922</v>
      </c>
      <c r="O2062" t="s">
        <v>8</v>
      </c>
    </row>
    <row r="2063" spans="1:15" x14ac:dyDescent="0.35">
      <c r="A2063">
        <v>2005</v>
      </c>
      <c r="B2063">
        <v>8</v>
      </c>
      <c r="C2063">
        <v>23</v>
      </c>
      <c r="D2063" s="1">
        <f t="shared" si="256"/>
        <v>38587</v>
      </c>
      <c r="E2063">
        <v>0.8</v>
      </c>
      <c r="F2063">
        <f t="shared" si="262"/>
        <v>6</v>
      </c>
      <c r="G2063">
        <f t="shared" si="257"/>
        <v>1</v>
      </c>
      <c r="H2063">
        <f t="shared" si="263"/>
        <v>1</v>
      </c>
      <c r="I2063">
        <v>2062</v>
      </c>
      <c r="J2063">
        <f t="shared" si="258"/>
        <v>-0.79187837117241799</v>
      </c>
      <c r="K2063">
        <f t="shared" si="259"/>
        <v>-0.61067883970980863</v>
      </c>
      <c r="L2063">
        <f>VLOOKUP(D2063,[1]SOI!$A$1:$C$142,3)</f>
        <v>0.9</v>
      </c>
      <c r="M2063" s="2">
        <f t="shared" si="260"/>
        <v>-1632.8532013575259</v>
      </c>
      <c r="N2063">
        <f t="shared" si="261"/>
        <v>-1259.2197674816255</v>
      </c>
      <c r="O2063" t="s">
        <v>8</v>
      </c>
    </row>
    <row r="2064" spans="1:15" x14ac:dyDescent="0.35">
      <c r="A2064">
        <v>2005</v>
      </c>
      <c r="B2064">
        <v>8</v>
      </c>
      <c r="C2064">
        <v>24</v>
      </c>
      <c r="D2064" s="1">
        <f t="shared" si="256"/>
        <v>38588</v>
      </c>
      <c r="E2064">
        <v>0.4</v>
      </c>
      <c r="F2064">
        <f t="shared" si="262"/>
        <v>0.8</v>
      </c>
      <c r="G2064">
        <f t="shared" si="257"/>
        <v>1</v>
      </c>
      <c r="H2064">
        <f t="shared" si="263"/>
        <v>1</v>
      </c>
      <c r="I2064">
        <v>2063</v>
      </c>
      <c r="J2064">
        <f t="shared" si="258"/>
        <v>-0.80226584451495886</v>
      </c>
      <c r="K2064">
        <f t="shared" si="259"/>
        <v>-0.59696692933922213</v>
      </c>
      <c r="L2064">
        <f>VLOOKUP(D2064,[1]SOI!$A$1:$C$142,3)</f>
        <v>0.9</v>
      </c>
      <c r="M2064" s="2">
        <f t="shared" si="260"/>
        <v>-1655.0744372343602</v>
      </c>
      <c r="N2064">
        <f t="shared" si="261"/>
        <v>-1231.5427752268154</v>
      </c>
      <c r="O2064" t="s">
        <v>8</v>
      </c>
    </row>
    <row r="2065" spans="1:15" x14ac:dyDescent="0.35">
      <c r="A2065">
        <v>2005</v>
      </c>
      <c r="B2065">
        <v>8</v>
      </c>
      <c r="C2065">
        <v>25</v>
      </c>
      <c r="D2065" s="1">
        <f t="shared" si="256"/>
        <v>38589</v>
      </c>
      <c r="E2065">
        <v>0</v>
      </c>
      <c r="F2065">
        <f t="shared" si="262"/>
        <v>0.4</v>
      </c>
      <c r="G2065">
        <f t="shared" si="257"/>
        <v>0</v>
      </c>
      <c r="H2065">
        <f t="shared" si="263"/>
        <v>1</v>
      </c>
      <c r="I2065">
        <v>2064</v>
      </c>
      <c r="J2065">
        <f t="shared" si="258"/>
        <v>-0.81241591448688733</v>
      </c>
      <c r="K2065">
        <f t="shared" si="259"/>
        <v>-0.58307836684997549</v>
      </c>
      <c r="L2065">
        <f>VLOOKUP(D2065,[1]SOI!$A$1:$C$142,3)</f>
        <v>0.9</v>
      </c>
      <c r="M2065" s="2">
        <f t="shared" si="260"/>
        <v>-1676.8264475009355</v>
      </c>
      <c r="N2065">
        <f t="shared" si="261"/>
        <v>-1203.4737491783494</v>
      </c>
      <c r="O2065" t="s">
        <v>8</v>
      </c>
    </row>
    <row r="2066" spans="1:15" x14ac:dyDescent="0.35">
      <c r="A2066">
        <v>2005</v>
      </c>
      <c r="B2066">
        <v>8</v>
      </c>
      <c r="C2066">
        <v>26</v>
      </c>
      <c r="D2066" s="1">
        <f t="shared" si="256"/>
        <v>38590</v>
      </c>
      <c r="E2066">
        <v>0</v>
      </c>
      <c r="F2066">
        <f t="shared" si="262"/>
        <v>0</v>
      </c>
      <c r="G2066">
        <f t="shared" si="257"/>
        <v>0</v>
      </c>
      <c r="H2066">
        <f t="shared" si="263"/>
        <v>0</v>
      </c>
      <c r="I2066">
        <v>2065</v>
      </c>
      <c r="J2066">
        <f t="shared" si="258"/>
        <v>-0.82232557751920798</v>
      </c>
      <c r="K2066">
        <f t="shared" si="259"/>
        <v>-0.56901726209114345</v>
      </c>
      <c r="L2066">
        <f>VLOOKUP(D2066,[1]SOI!$A$1:$C$142,3)</f>
        <v>0.9</v>
      </c>
      <c r="M2066" s="2">
        <f t="shared" si="260"/>
        <v>-1698.1023175771645</v>
      </c>
      <c r="N2066">
        <f t="shared" si="261"/>
        <v>-1175.0206462182111</v>
      </c>
      <c r="O2066" t="s">
        <v>8</v>
      </c>
    </row>
    <row r="2067" spans="1:15" x14ac:dyDescent="0.35">
      <c r="A2067">
        <v>2005</v>
      </c>
      <c r="B2067">
        <v>8</v>
      </c>
      <c r="C2067">
        <v>27</v>
      </c>
      <c r="D2067" s="1">
        <f t="shared" si="256"/>
        <v>38591</v>
      </c>
      <c r="E2067">
        <v>0</v>
      </c>
      <c r="F2067">
        <f t="shared" si="262"/>
        <v>0</v>
      </c>
      <c r="G2067">
        <f t="shared" si="257"/>
        <v>0</v>
      </c>
      <c r="H2067">
        <f t="shared" si="263"/>
        <v>0</v>
      </c>
      <c r="I2067">
        <v>2066</v>
      </c>
      <c r="J2067">
        <f t="shared" si="258"/>
        <v>-0.83199190118319444</v>
      </c>
      <c r="K2067">
        <f t="shared" si="259"/>
        <v>-0.55478777596985107</v>
      </c>
      <c r="L2067">
        <f>VLOOKUP(D2067,[1]SOI!$A$1:$C$142,3)</f>
        <v>0.9</v>
      </c>
      <c r="M2067" s="2">
        <f t="shared" si="260"/>
        <v>-1718.8952678444798</v>
      </c>
      <c r="N2067">
        <f t="shared" si="261"/>
        <v>-1146.1915451537122</v>
      </c>
      <c r="O2067" t="s">
        <v>8</v>
      </c>
    </row>
    <row r="2068" spans="1:15" x14ac:dyDescent="0.35">
      <c r="A2068">
        <v>2005</v>
      </c>
      <c r="B2068">
        <v>8</v>
      </c>
      <c r="C2068">
        <v>28</v>
      </c>
      <c r="D2068" s="1">
        <f t="shared" si="256"/>
        <v>38592</v>
      </c>
      <c r="E2068">
        <v>0</v>
      </c>
      <c r="F2068">
        <f t="shared" si="262"/>
        <v>0</v>
      </c>
      <c r="G2068">
        <f t="shared" si="257"/>
        <v>0</v>
      </c>
      <c r="H2068">
        <f t="shared" si="263"/>
        <v>0</v>
      </c>
      <c r="I2068">
        <v>2067</v>
      </c>
      <c r="J2068">
        <f t="shared" si="258"/>
        <v>-0.84141202505815815</v>
      </c>
      <c r="K2068">
        <f t="shared" si="259"/>
        <v>-0.54039411921997216</v>
      </c>
      <c r="L2068">
        <f>VLOOKUP(D2068,[1]SOI!$A$1:$C$142,3)</f>
        <v>0.9</v>
      </c>
      <c r="M2068" s="2">
        <f t="shared" si="260"/>
        <v>-1739.198655795213</v>
      </c>
      <c r="N2068">
        <f t="shared" si="261"/>
        <v>-1116.9946444276825</v>
      </c>
      <c r="O2068" t="s">
        <v>8</v>
      </c>
    </row>
    <row r="2069" spans="1:15" x14ac:dyDescent="0.35">
      <c r="A2069">
        <v>2005</v>
      </c>
      <c r="B2069">
        <v>8</v>
      </c>
      <c r="C2069">
        <v>29</v>
      </c>
      <c r="D2069" s="1">
        <f t="shared" si="256"/>
        <v>38593</v>
      </c>
      <c r="E2069">
        <v>0</v>
      </c>
      <c r="F2069">
        <f t="shared" si="262"/>
        <v>0</v>
      </c>
      <c r="G2069">
        <f t="shared" si="257"/>
        <v>0</v>
      </c>
      <c r="H2069">
        <f t="shared" si="263"/>
        <v>0</v>
      </c>
      <c r="I2069">
        <v>2068</v>
      </c>
      <c r="J2069">
        <f t="shared" si="258"/>
        <v>-0.85058316157788927</v>
      </c>
      <c r="K2069">
        <f t="shared" si="259"/>
        <v>-0.52584055115611072</v>
      </c>
      <c r="L2069">
        <f>VLOOKUP(D2069,[1]SOI!$A$1:$C$142,3)</f>
        <v>0.9</v>
      </c>
      <c r="M2069" s="2">
        <f t="shared" si="260"/>
        <v>-1759.005978143075</v>
      </c>
      <c r="N2069">
        <f t="shared" si="261"/>
        <v>-1087.438259790837</v>
      </c>
      <c r="O2069" t="s">
        <v>8</v>
      </c>
    </row>
    <row r="2070" spans="1:15" x14ac:dyDescent="0.35">
      <c r="A2070">
        <v>2005</v>
      </c>
      <c r="B2070">
        <v>8</v>
      </c>
      <c r="C2070">
        <v>30</v>
      </c>
      <c r="D2070" s="1">
        <f t="shared" si="256"/>
        <v>38594</v>
      </c>
      <c r="E2070">
        <v>0.6</v>
      </c>
      <c r="F2070">
        <f t="shared" si="262"/>
        <v>0</v>
      </c>
      <c r="G2070">
        <f t="shared" si="257"/>
        <v>1</v>
      </c>
      <c r="H2070">
        <f t="shared" si="263"/>
        <v>0</v>
      </c>
      <c r="I2070">
        <v>2069</v>
      </c>
      <c r="J2070">
        <f t="shared" si="258"/>
        <v>-0.85950259685553876</v>
      </c>
      <c r="K2070">
        <f t="shared" si="259"/>
        <v>-0.51113137841320722</v>
      </c>
      <c r="L2070">
        <f>VLOOKUP(D2070,[1]SOI!$A$1:$C$142,3)</f>
        <v>0.9</v>
      </c>
      <c r="M2070" s="2">
        <f t="shared" si="260"/>
        <v>-1778.3108728941097</v>
      </c>
      <c r="N2070">
        <f t="shared" si="261"/>
        <v>-1057.5308219369258</v>
      </c>
      <c r="O2070" t="s">
        <v>8</v>
      </c>
    </row>
    <row r="2071" spans="1:15" x14ac:dyDescent="0.35">
      <c r="A2071">
        <v>2005</v>
      </c>
      <c r="B2071">
        <v>8</v>
      </c>
      <c r="C2071">
        <v>31</v>
      </c>
      <c r="D2071" s="1">
        <f t="shared" si="256"/>
        <v>38595</v>
      </c>
      <c r="E2071">
        <v>10.199999999999999</v>
      </c>
      <c r="F2071">
        <f t="shared" si="262"/>
        <v>0.6</v>
      </c>
      <c r="G2071">
        <f t="shared" si="257"/>
        <v>1</v>
      </c>
      <c r="H2071">
        <f t="shared" si="263"/>
        <v>1</v>
      </c>
      <c r="I2071">
        <v>2070</v>
      </c>
      <c r="J2071">
        <f t="shared" si="258"/>
        <v>-0.86816769148671524</v>
      </c>
      <c r="K2071">
        <f t="shared" si="259"/>
        <v>-0.4962709536721121</v>
      </c>
      <c r="L2071">
        <f>VLOOKUP(D2071,[1]SOI!$A$1:$C$142,3)</f>
        <v>0.9</v>
      </c>
      <c r="M2071" s="2">
        <f t="shared" si="260"/>
        <v>-1797.1071213775006</v>
      </c>
      <c r="N2071">
        <f t="shared" si="261"/>
        <v>-1027.280874101272</v>
      </c>
      <c r="O2071" t="s">
        <v>8</v>
      </c>
    </row>
    <row r="2072" spans="1:15" x14ac:dyDescent="0.35">
      <c r="A2072">
        <v>2005</v>
      </c>
      <c r="B2072">
        <v>9</v>
      </c>
      <c r="C2072">
        <v>1</v>
      </c>
      <c r="D2072" s="1">
        <f t="shared" si="256"/>
        <v>38596</v>
      </c>
      <c r="E2072">
        <v>0</v>
      </c>
      <c r="F2072">
        <f t="shared" si="262"/>
        <v>10.199999999999999</v>
      </c>
      <c r="G2072">
        <f t="shared" si="257"/>
        <v>0</v>
      </c>
      <c r="H2072">
        <f t="shared" si="263"/>
        <v>1</v>
      </c>
      <c r="I2072">
        <v>2071</v>
      </c>
      <c r="J2072">
        <f t="shared" si="258"/>
        <v>-0.87657588133050568</v>
      </c>
      <c r="K2072">
        <f t="shared" si="259"/>
        <v>-0.48126367437159351</v>
      </c>
      <c r="L2072">
        <f>VLOOKUP(D2072,[1]SOI!$A$1:$C$142,3)</f>
        <v>-6.9</v>
      </c>
      <c r="M2072" s="2">
        <f t="shared" si="260"/>
        <v>-1815.3886502354774</v>
      </c>
      <c r="N2072">
        <f t="shared" si="261"/>
        <v>-996.6970696235702</v>
      </c>
      <c r="O2072" t="s">
        <v>8</v>
      </c>
    </row>
    <row r="2073" spans="1:15" x14ac:dyDescent="0.35">
      <c r="A2073">
        <v>2005</v>
      </c>
      <c r="B2073">
        <v>9</v>
      </c>
      <c r="C2073">
        <v>2</v>
      </c>
      <c r="D2073" s="1">
        <f t="shared" si="256"/>
        <v>38597</v>
      </c>
      <c r="E2073">
        <v>0</v>
      </c>
      <c r="F2073">
        <f t="shared" si="262"/>
        <v>0</v>
      </c>
      <c r="G2073">
        <f t="shared" si="257"/>
        <v>0</v>
      </c>
      <c r="H2073">
        <f t="shared" si="263"/>
        <v>0</v>
      </c>
      <c r="I2073">
        <v>2072</v>
      </c>
      <c r="J2073">
        <f t="shared" si="258"/>
        <v>-0.88472467826826062</v>
      </c>
      <c r="K2073">
        <f t="shared" si="259"/>
        <v>-0.46611398140704036</v>
      </c>
      <c r="L2073">
        <f>VLOOKUP(D2073,[1]SOI!$A$1:$C$142,3)</f>
        <v>-6.9</v>
      </c>
      <c r="M2073" s="2">
        <f t="shared" si="260"/>
        <v>-1833.149533371836</v>
      </c>
      <c r="N2073">
        <f t="shared" si="261"/>
        <v>-965.78816947538758</v>
      </c>
      <c r="O2073" t="s">
        <v>8</v>
      </c>
    </row>
    <row r="2074" spans="1:15" x14ac:dyDescent="0.35">
      <c r="A2074">
        <v>2005</v>
      </c>
      <c r="B2074">
        <v>9</v>
      </c>
      <c r="C2074">
        <v>3</v>
      </c>
      <c r="D2074" s="1">
        <f t="shared" si="256"/>
        <v>38598</v>
      </c>
      <c r="E2074">
        <v>0</v>
      </c>
      <c r="F2074">
        <f t="shared" si="262"/>
        <v>0</v>
      </c>
      <c r="G2074">
        <f t="shared" si="257"/>
        <v>0</v>
      </c>
      <c r="H2074">
        <f t="shared" si="263"/>
        <v>0</v>
      </c>
      <c r="I2074">
        <v>2073</v>
      </c>
      <c r="J2074">
        <f t="shared" si="258"/>
        <v>-0.89261167093986449</v>
      </c>
      <c r="K2074">
        <f t="shared" si="259"/>
        <v>-0.45082635781633595</v>
      </c>
      <c r="L2074">
        <f>VLOOKUP(D2074,[1]SOI!$A$1:$C$142,3)</f>
        <v>-6.9</v>
      </c>
      <c r="M2074" s="2">
        <f t="shared" si="260"/>
        <v>-1850.3839938583392</v>
      </c>
      <c r="N2074">
        <f t="shared" si="261"/>
        <v>-934.56303975326443</v>
      </c>
      <c r="O2074" t="s">
        <v>8</v>
      </c>
    </row>
    <row r="2075" spans="1:15" x14ac:dyDescent="0.35">
      <c r="A2075">
        <v>2005</v>
      </c>
      <c r="B2075">
        <v>9</v>
      </c>
      <c r="C2075">
        <v>4</v>
      </c>
      <c r="D2075" s="1">
        <f t="shared" si="256"/>
        <v>38599</v>
      </c>
      <c r="E2075">
        <v>0</v>
      </c>
      <c r="F2075">
        <f t="shared" si="262"/>
        <v>0</v>
      </c>
      <c r="G2075">
        <f t="shared" si="257"/>
        <v>0</v>
      </c>
      <c r="H2075">
        <f t="shared" si="263"/>
        <v>0</v>
      </c>
      <c r="I2075">
        <v>2074</v>
      </c>
      <c r="J2075">
        <f t="shared" si="258"/>
        <v>-0.90023452545729643</v>
      </c>
      <c r="K2075">
        <f t="shared" si="259"/>
        <v>-0.43540532745325505</v>
      </c>
      <c r="L2075">
        <f>VLOOKUP(D2075,[1]SOI!$A$1:$C$142,3)</f>
        <v>-6.9</v>
      </c>
      <c r="M2075" s="2">
        <f t="shared" si="260"/>
        <v>-1867.0864057984329</v>
      </c>
      <c r="N2075">
        <f t="shared" si="261"/>
        <v>-903.03064913805099</v>
      </c>
      <c r="O2075" t="s">
        <v>8</v>
      </c>
    </row>
    <row r="2076" spans="1:15" x14ac:dyDescent="0.35">
      <c r="A2076">
        <v>2005</v>
      </c>
      <c r="B2076">
        <v>9</v>
      </c>
      <c r="C2076">
        <v>5</v>
      </c>
      <c r="D2076" s="1">
        <f t="shared" si="256"/>
        <v>38600</v>
      </c>
      <c r="E2076">
        <v>0</v>
      </c>
      <c r="F2076">
        <f t="shared" si="262"/>
        <v>0</v>
      </c>
      <c r="G2076">
        <f t="shared" si="257"/>
        <v>0</v>
      </c>
      <c r="H2076">
        <f t="shared" si="263"/>
        <v>0</v>
      </c>
      <c r="I2076">
        <v>2075</v>
      </c>
      <c r="J2076">
        <f t="shared" si="258"/>
        <v>-0.90759098609526168</v>
      </c>
      <c r="K2076">
        <f t="shared" si="259"/>
        <v>-0.41985545364878907</v>
      </c>
      <c r="L2076">
        <f>VLOOKUP(D2076,[1]SOI!$A$1:$C$142,3)</f>
        <v>-6.9</v>
      </c>
      <c r="M2076" s="2">
        <f t="shared" si="260"/>
        <v>-1883.251296147668</v>
      </c>
      <c r="N2076">
        <f t="shared" si="261"/>
        <v>-871.20006632123727</v>
      </c>
      <c r="O2076" t="s">
        <v>8</v>
      </c>
    </row>
    <row r="2077" spans="1:15" x14ac:dyDescent="0.35">
      <c r="A2077">
        <v>2005</v>
      </c>
      <c r="B2077">
        <v>9</v>
      </c>
      <c r="C2077">
        <v>6</v>
      </c>
      <c r="D2077" s="1">
        <f t="shared" si="256"/>
        <v>38601</v>
      </c>
      <c r="E2077">
        <v>0</v>
      </c>
      <c r="F2077">
        <f t="shared" si="262"/>
        <v>0</v>
      </c>
      <c r="G2077">
        <f t="shared" si="257"/>
        <v>0</v>
      </c>
      <c r="H2077">
        <f t="shared" si="263"/>
        <v>0</v>
      </c>
      <c r="I2077">
        <v>2076</v>
      </c>
      <c r="J2077">
        <f t="shared" si="258"/>
        <v>-0.91467887595871245</v>
      </c>
      <c r="K2077">
        <f t="shared" si="259"/>
        <v>-0.40418133786075072</v>
      </c>
      <c r="L2077">
        <f>VLOOKUP(D2077,[1]SOI!$A$1:$C$142,3)</f>
        <v>-6.9</v>
      </c>
      <c r="M2077" s="2">
        <f t="shared" si="260"/>
        <v>-1898.8733464902871</v>
      </c>
      <c r="N2077">
        <f t="shared" si="261"/>
        <v>-839.0804573989185</v>
      </c>
      <c r="O2077" t="s">
        <v>8</v>
      </c>
    </row>
    <row r="2078" spans="1:15" x14ac:dyDescent="0.35">
      <c r="A2078">
        <v>2005</v>
      </c>
      <c r="B2078">
        <v>9</v>
      </c>
      <c r="C2078">
        <v>7</v>
      </c>
      <c r="D2078" s="1">
        <f t="shared" si="256"/>
        <v>38602</v>
      </c>
      <c r="E2078">
        <v>0</v>
      </c>
      <c r="F2078">
        <f t="shared" si="262"/>
        <v>0</v>
      </c>
      <c r="G2078">
        <f t="shared" si="257"/>
        <v>0</v>
      </c>
      <c r="H2078">
        <f t="shared" si="263"/>
        <v>0</v>
      </c>
      <c r="I2078">
        <v>2077</v>
      </c>
      <c r="J2078">
        <f t="shared" si="258"/>
        <v>-0.92149609762699314</v>
      </c>
      <c r="K2078">
        <f t="shared" si="259"/>
        <v>-0.38838761831219992</v>
      </c>
      <c r="L2078">
        <f>VLOOKUP(D2078,[1]SOI!$A$1:$C$142,3)</f>
        <v>-6.9</v>
      </c>
      <c r="M2078" s="2">
        <f t="shared" si="260"/>
        <v>-1913.9473947712647</v>
      </c>
      <c r="N2078">
        <f t="shared" si="261"/>
        <v>-806.68108323443926</v>
      </c>
      <c r="O2078" t="s">
        <v>8</v>
      </c>
    </row>
    <row r="2079" spans="1:15" x14ac:dyDescent="0.35">
      <c r="A2079">
        <v>2005</v>
      </c>
      <c r="B2079">
        <v>9</v>
      </c>
      <c r="C2079">
        <v>8</v>
      </c>
      <c r="D2079" s="1">
        <f t="shared" si="256"/>
        <v>38603</v>
      </c>
      <c r="E2079">
        <v>0</v>
      </c>
      <c r="F2079">
        <f t="shared" si="262"/>
        <v>0</v>
      </c>
      <c r="G2079">
        <f t="shared" si="257"/>
        <v>0</v>
      </c>
      <c r="H2079">
        <f t="shared" si="263"/>
        <v>0</v>
      </c>
      <c r="I2079">
        <v>2078</v>
      </c>
      <c r="J2079">
        <f t="shared" si="258"/>
        <v>-0.92804063377454227</v>
      </c>
      <c r="K2079">
        <f t="shared" si="259"/>
        <v>-0.37247896861882812</v>
      </c>
      <c r="L2079">
        <f>VLOOKUP(D2079,[1]SOI!$A$1:$C$142,3)</f>
        <v>-6.9</v>
      </c>
      <c r="M2079" s="2">
        <f t="shared" si="260"/>
        <v>-1928.4684369834988</v>
      </c>
      <c r="N2079">
        <f t="shared" si="261"/>
        <v>-774.01129678992481</v>
      </c>
      <c r="O2079" t="s">
        <v>8</v>
      </c>
    </row>
    <row r="2080" spans="1:15" x14ac:dyDescent="0.35">
      <c r="A2080">
        <v>2005</v>
      </c>
      <c r="B2080">
        <v>9</v>
      </c>
      <c r="C2080">
        <v>9</v>
      </c>
      <c r="D2080" s="1">
        <f t="shared" si="256"/>
        <v>38604</v>
      </c>
      <c r="E2080">
        <v>0.2</v>
      </c>
      <c r="F2080">
        <f t="shared" si="262"/>
        <v>0</v>
      </c>
      <c r="G2080">
        <f t="shared" si="257"/>
        <v>1</v>
      </c>
      <c r="H2080">
        <f t="shared" si="263"/>
        <v>0</v>
      </c>
      <c r="I2080">
        <v>2079</v>
      </c>
      <c r="J2080">
        <f t="shared" si="258"/>
        <v>-0.9343105477678193</v>
      </c>
      <c r="K2080">
        <f t="shared" si="259"/>
        <v>-0.35646009640603166</v>
      </c>
      <c r="L2080">
        <f>VLOOKUP(D2080,[1]SOI!$A$1:$C$142,3)</f>
        <v>-6.9</v>
      </c>
      <c r="M2080" s="2">
        <f t="shared" si="260"/>
        <v>-1942.4316288092964</v>
      </c>
      <c r="N2080">
        <f t="shared" si="261"/>
        <v>-741.08054042813978</v>
      </c>
      <c r="O2080" t="s">
        <v>8</v>
      </c>
    </row>
    <row r="2081" spans="1:15" x14ac:dyDescent="0.35">
      <c r="A2081">
        <v>2005</v>
      </c>
      <c r="B2081">
        <v>9</v>
      </c>
      <c r="C2081">
        <v>10</v>
      </c>
      <c r="D2081" s="1">
        <f t="shared" si="256"/>
        <v>38605</v>
      </c>
      <c r="E2081">
        <v>2</v>
      </c>
      <c r="F2081">
        <f t="shared" si="262"/>
        <v>0.2</v>
      </c>
      <c r="G2081">
        <f t="shared" si="257"/>
        <v>1</v>
      </c>
      <c r="H2081">
        <f t="shared" si="263"/>
        <v>1</v>
      </c>
      <c r="I2081">
        <v>2080</v>
      </c>
      <c r="J2081">
        <f t="shared" si="258"/>
        <v>-0.94030398423839823</v>
      </c>
      <c r="K2081">
        <f t="shared" si="259"/>
        <v>-0.34033574191582378</v>
      </c>
      <c r="L2081">
        <f>VLOOKUP(D2081,[1]SOI!$A$1:$C$142,3)</f>
        <v>-6.9</v>
      </c>
      <c r="M2081" s="2">
        <f t="shared" si="260"/>
        <v>-1955.8322872158683</v>
      </c>
      <c r="N2081">
        <f t="shared" si="261"/>
        <v>-707.89834318491341</v>
      </c>
      <c r="O2081" t="s">
        <v>8</v>
      </c>
    </row>
    <row r="2082" spans="1:15" x14ac:dyDescent="0.35">
      <c r="A2082">
        <v>2005</v>
      </c>
      <c r="B2082">
        <v>9</v>
      </c>
      <c r="C2082">
        <v>11</v>
      </c>
      <c r="D2082" s="1">
        <f t="shared" si="256"/>
        <v>38606</v>
      </c>
      <c r="E2082">
        <v>0.8</v>
      </c>
      <c r="F2082">
        <f t="shared" si="262"/>
        <v>2</v>
      </c>
      <c r="G2082">
        <f t="shared" si="257"/>
        <v>1</v>
      </c>
      <c r="H2082">
        <f t="shared" si="263"/>
        <v>1</v>
      </c>
      <c r="I2082">
        <v>2081</v>
      </c>
      <c r="J2082">
        <f t="shared" si="258"/>
        <v>-0.94601916963200927</v>
      </c>
      <c r="K2082">
        <f t="shared" si="259"/>
        <v>-0.32411067660409409</v>
      </c>
      <c r="L2082">
        <f>VLOOKUP(D2082,[1]SOI!$A$1:$C$142,3)</f>
        <v>-6.9</v>
      </c>
      <c r="M2082" s="2">
        <f t="shared" si="260"/>
        <v>-1968.6658920042114</v>
      </c>
      <c r="N2082">
        <f t="shared" si="261"/>
        <v>-674.47431801311984</v>
      </c>
      <c r="O2082" t="s">
        <v>8</v>
      </c>
    </row>
    <row r="2083" spans="1:15" x14ac:dyDescent="0.35">
      <c r="A2083">
        <v>2005</v>
      </c>
      <c r="B2083">
        <v>9</v>
      </c>
      <c r="C2083">
        <v>12</v>
      </c>
      <c r="D2083" s="1">
        <f t="shared" si="256"/>
        <v>38607</v>
      </c>
      <c r="E2083">
        <v>12</v>
      </c>
      <c r="F2083">
        <f t="shared" si="262"/>
        <v>0.8</v>
      </c>
      <c r="G2083">
        <f t="shared" si="257"/>
        <v>1</v>
      </c>
      <c r="H2083">
        <f t="shared" si="263"/>
        <v>1</v>
      </c>
      <c r="I2083">
        <v>2082</v>
      </c>
      <c r="J2083">
        <f t="shared" si="258"/>
        <v>-0.95145441273333886</v>
      </c>
      <c r="K2083">
        <f t="shared" si="259"/>
        <v>-0.30778970172872455</v>
      </c>
      <c r="L2083">
        <f>VLOOKUP(D2083,[1]SOI!$A$1:$C$142,3)</f>
        <v>-6.9</v>
      </c>
      <c r="M2083" s="2">
        <f t="shared" si="260"/>
        <v>-1980.9280873108114</v>
      </c>
      <c r="N2083">
        <f t="shared" si="261"/>
        <v>-640.81815899920457</v>
      </c>
      <c r="O2083" t="s">
        <v>8</v>
      </c>
    </row>
    <row r="2084" spans="1:15" x14ac:dyDescent="0.35">
      <c r="A2084">
        <v>2005</v>
      </c>
      <c r="B2084">
        <v>9</v>
      </c>
      <c r="C2084">
        <v>13</v>
      </c>
      <c r="D2084" s="1">
        <f t="shared" si="256"/>
        <v>38608</v>
      </c>
      <c r="E2084">
        <v>1.4</v>
      </c>
      <c r="F2084">
        <f t="shared" si="262"/>
        <v>12</v>
      </c>
      <c r="G2084">
        <f t="shared" si="257"/>
        <v>1</v>
      </c>
      <c r="H2084">
        <f t="shared" si="263"/>
        <v>1</v>
      </c>
      <c r="I2084">
        <v>2083</v>
      </c>
      <c r="J2084">
        <f t="shared" si="258"/>
        <v>-0.95660810516650907</v>
      </c>
      <c r="K2084">
        <f t="shared" si="259"/>
        <v>-0.29137764692876011</v>
      </c>
      <c r="L2084">
        <f>VLOOKUP(D2084,[1]SOI!$A$1:$C$142,3)</f>
        <v>-6.9</v>
      </c>
      <c r="M2084" s="2">
        <f t="shared" si="260"/>
        <v>-1992.6146830618384</v>
      </c>
      <c r="N2084">
        <f t="shared" si="261"/>
        <v>-606.93963855260733</v>
      </c>
      <c r="O2084" t="s">
        <v>8</v>
      </c>
    </row>
    <row r="2085" spans="1:15" x14ac:dyDescent="0.35">
      <c r="A2085">
        <v>2005</v>
      </c>
      <c r="B2085">
        <v>9</v>
      </c>
      <c r="C2085">
        <v>14</v>
      </c>
      <c r="D2085" s="1">
        <f t="shared" si="256"/>
        <v>38609</v>
      </c>
      <c r="E2085">
        <v>0.4</v>
      </c>
      <c r="F2085">
        <f t="shared" si="262"/>
        <v>1.4</v>
      </c>
      <c r="G2085">
        <f t="shared" si="257"/>
        <v>1</v>
      </c>
      <c r="H2085">
        <f t="shared" si="263"/>
        <v>1</v>
      </c>
      <c r="I2085">
        <v>2084</v>
      </c>
      <c r="J2085">
        <f t="shared" si="258"/>
        <v>-0.96147872187101802</v>
      </c>
      <c r="K2085">
        <f t="shared" si="259"/>
        <v>-0.2748793687952471</v>
      </c>
      <c r="L2085">
        <f>VLOOKUP(D2085,[1]SOI!$A$1:$C$142,3)</f>
        <v>-6.9</v>
      </c>
      <c r="M2085" s="2">
        <f t="shared" si="260"/>
        <v>-2003.7216563792015</v>
      </c>
      <c r="N2085">
        <f t="shared" si="261"/>
        <v>-572.84860456929493</v>
      </c>
      <c r="O2085" t="s">
        <v>8</v>
      </c>
    </row>
    <row r="2086" spans="1:15" x14ac:dyDescent="0.35">
      <c r="A2086">
        <v>2005</v>
      </c>
      <c r="B2086">
        <v>9</v>
      </c>
      <c r="C2086">
        <v>15</v>
      </c>
      <c r="D2086" s="1">
        <f t="shared" si="256"/>
        <v>38610</v>
      </c>
      <c r="E2086">
        <v>0.6</v>
      </c>
      <c r="F2086">
        <f t="shared" si="262"/>
        <v>0.4</v>
      </c>
      <c r="G2086">
        <f t="shared" si="257"/>
        <v>1</v>
      </c>
      <c r="H2086">
        <f t="shared" si="263"/>
        <v>1</v>
      </c>
      <c r="I2086">
        <v>2085</v>
      </c>
      <c r="J2086">
        <f t="shared" si="258"/>
        <v>-0.9660648215530202</v>
      </c>
      <c r="K2086">
        <f t="shared" si="259"/>
        <v>-0.25829974943412382</v>
      </c>
      <c r="L2086">
        <f>VLOOKUP(D2086,[1]SOI!$A$1:$C$142,3)</f>
        <v>-6.9</v>
      </c>
      <c r="M2086" s="2">
        <f t="shared" si="260"/>
        <v>-2014.2451529380471</v>
      </c>
      <c r="N2086">
        <f t="shared" si="261"/>
        <v>-538.55497757014814</v>
      </c>
      <c r="O2086" t="s">
        <v>8</v>
      </c>
    </row>
    <row r="2087" spans="1:15" x14ac:dyDescent="0.35">
      <c r="A2087">
        <v>2005</v>
      </c>
      <c r="B2087">
        <v>9</v>
      </c>
      <c r="C2087">
        <v>16</v>
      </c>
      <c r="D2087" s="1">
        <f t="shared" si="256"/>
        <v>38611</v>
      </c>
      <c r="E2087">
        <v>0.2</v>
      </c>
      <c r="F2087">
        <f t="shared" si="262"/>
        <v>0.6</v>
      </c>
      <c r="G2087">
        <f t="shared" si="257"/>
        <v>1</v>
      </c>
      <c r="H2087">
        <f t="shared" si="263"/>
        <v>1</v>
      </c>
      <c r="I2087">
        <v>2086</v>
      </c>
      <c r="J2087">
        <f t="shared" si="258"/>
        <v>-0.97036504711183647</v>
      </c>
      <c r="K2087">
        <f t="shared" si="259"/>
        <v>-0.24164369502149957</v>
      </c>
      <c r="L2087">
        <f>VLOOKUP(D2087,[1]SOI!$A$1:$C$142,3)</f>
        <v>-6.9</v>
      </c>
      <c r="M2087" s="2">
        <f t="shared" si="260"/>
        <v>-2024.1814882752908</v>
      </c>
      <c r="N2087">
        <f t="shared" si="261"/>
        <v>-504.06874781484811</v>
      </c>
      <c r="O2087" t="s">
        <v>8</v>
      </c>
    </row>
    <row r="2088" spans="1:15" x14ac:dyDescent="0.35">
      <c r="A2088">
        <v>2005</v>
      </c>
      <c r="B2088">
        <v>9</v>
      </c>
      <c r="C2088">
        <v>17</v>
      </c>
      <c r="D2088" s="1">
        <f t="shared" si="256"/>
        <v>38612</v>
      </c>
      <c r="E2088">
        <v>0</v>
      </c>
      <c r="F2088">
        <f t="shared" si="262"/>
        <v>0.2</v>
      </c>
      <c r="G2088">
        <f t="shared" si="257"/>
        <v>0</v>
      </c>
      <c r="H2088">
        <f t="shared" si="263"/>
        <v>1</v>
      </c>
      <c r="I2088">
        <v>2087</v>
      </c>
      <c r="J2088">
        <f t="shared" si="258"/>
        <v>-0.97437812604153973</v>
      </c>
      <c r="K2088">
        <f t="shared" si="259"/>
        <v>-0.22491613435184524</v>
      </c>
      <c r="L2088">
        <f>VLOOKUP(D2088,[1]SOI!$A$1:$C$142,3)</f>
        <v>-6.9</v>
      </c>
      <c r="M2088" s="2">
        <f t="shared" si="260"/>
        <v>-2033.5271490486934</v>
      </c>
      <c r="N2088">
        <f t="shared" si="261"/>
        <v>-469.39997239230104</v>
      </c>
      <c r="O2088" t="s">
        <v>8</v>
      </c>
    </row>
    <row r="2089" spans="1:15" x14ac:dyDescent="0.35">
      <c r="A2089">
        <v>2005</v>
      </c>
      <c r="B2089">
        <v>9</v>
      </c>
      <c r="C2089">
        <v>18</v>
      </c>
      <c r="D2089" s="1">
        <f t="shared" si="256"/>
        <v>38613</v>
      </c>
      <c r="E2089">
        <v>6</v>
      </c>
      <c r="F2089">
        <f t="shared" si="262"/>
        <v>0</v>
      </c>
      <c r="G2089">
        <f t="shared" si="257"/>
        <v>1</v>
      </c>
      <c r="H2089">
        <f t="shared" si="263"/>
        <v>0</v>
      </c>
      <c r="I2089">
        <v>2088</v>
      </c>
      <c r="J2089">
        <f t="shared" si="258"/>
        <v>-0.97810287080750924</v>
      </c>
      <c r="K2089">
        <f t="shared" si="259"/>
        <v>-0.20812201737949049</v>
      </c>
      <c r="L2089">
        <f>VLOOKUP(D2089,[1]SOI!$A$1:$C$142,3)</f>
        <v>-6.9</v>
      </c>
      <c r="M2089" s="2">
        <f t="shared" si="260"/>
        <v>-2042.2787942460793</v>
      </c>
      <c r="N2089">
        <f t="shared" si="261"/>
        <v>-434.55877228837613</v>
      </c>
      <c r="O2089" t="s">
        <v>8</v>
      </c>
    </row>
    <row r="2090" spans="1:15" x14ac:dyDescent="0.35">
      <c r="A2090">
        <v>2005</v>
      </c>
      <c r="B2090">
        <v>9</v>
      </c>
      <c r="C2090">
        <v>19</v>
      </c>
      <c r="D2090" s="1">
        <f t="shared" si="256"/>
        <v>38614</v>
      </c>
      <c r="E2090">
        <v>1</v>
      </c>
      <c r="F2090">
        <f t="shared" si="262"/>
        <v>6</v>
      </c>
      <c r="G2090">
        <f t="shared" si="257"/>
        <v>1</v>
      </c>
      <c r="H2090">
        <f t="shared" si="263"/>
        <v>1</v>
      </c>
      <c r="I2090">
        <v>2089</v>
      </c>
      <c r="J2090">
        <f t="shared" si="258"/>
        <v>-0.98153817919784625</v>
      </c>
      <c r="K2090">
        <f t="shared" si="259"/>
        <v>-0.19126631375382491</v>
      </c>
      <c r="L2090">
        <f>VLOOKUP(D2090,[1]SOI!$A$1:$C$142,3)</f>
        <v>-6.9</v>
      </c>
      <c r="M2090" s="2">
        <f t="shared" si="260"/>
        <v>-2050.4332563443008</v>
      </c>
      <c r="N2090">
        <f t="shared" si="261"/>
        <v>-399.55532943174023</v>
      </c>
      <c r="O2090" t="s">
        <v>8</v>
      </c>
    </row>
    <row r="2091" spans="1:15" x14ac:dyDescent="0.35">
      <c r="A2091">
        <v>2005</v>
      </c>
      <c r="B2091">
        <v>9</v>
      </c>
      <c r="C2091">
        <v>20</v>
      </c>
      <c r="D2091" s="1">
        <f t="shared" si="256"/>
        <v>38615</v>
      </c>
      <c r="E2091">
        <v>2.4</v>
      </c>
      <c r="F2091">
        <f t="shared" si="262"/>
        <v>1</v>
      </c>
      <c r="G2091">
        <f t="shared" si="257"/>
        <v>1</v>
      </c>
      <c r="H2091">
        <f t="shared" si="263"/>
        <v>1</v>
      </c>
      <c r="I2091">
        <v>2090</v>
      </c>
      <c r="J2091">
        <f t="shared" si="258"/>
        <v>-0.98468303464952789</v>
      </c>
      <c r="K2091">
        <f t="shared" si="259"/>
        <v>-0.17435401134874051</v>
      </c>
      <c r="L2091">
        <f>VLOOKUP(D2091,[1]SOI!$A$1:$C$142,3)</f>
        <v>-6.9</v>
      </c>
      <c r="M2091" s="2">
        <f t="shared" si="260"/>
        <v>-2057.9875424175134</v>
      </c>
      <c r="N2091">
        <f t="shared" si="261"/>
        <v>-364.39988371886767</v>
      </c>
      <c r="O2091" t="s">
        <v>8</v>
      </c>
    </row>
    <row r="2092" spans="1:15" x14ac:dyDescent="0.35">
      <c r="A2092">
        <v>2005</v>
      </c>
      <c r="B2092">
        <v>9</v>
      </c>
      <c r="C2092">
        <v>21</v>
      </c>
      <c r="D2092" s="1">
        <f t="shared" si="256"/>
        <v>38616</v>
      </c>
      <c r="E2092">
        <v>0</v>
      </c>
      <c r="F2092">
        <f t="shared" si="262"/>
        <v>2.4</v>
      </c>
      <c r="G2092">
        <f t="shared" si="257"/>
        <v>0</v>
      </c>
      <c r="H2092">
        <f t="shared" si="263"/>
        <v>1</v>
      </c>
      <c r="I2092">
        <v>2091</v>
      </c>
      <c r="J2092">
        <f t="shared" si="258"/>
        <v>-0.98753650654922986</v>
      </c>
      <c r="K2092">
        <f t="shared" si="259"/>
        <v>-0.15739011478661169</v>
      </c>
      <c r="L2092">
        <f>VLOOKUP(D2092,[1]SOI!$A$1:$C$142,3)</f>
        <v>-6.9</v>
      </c>
      <c r="M2092" s="2">
        <f t="shared" si="260"/>
        <v>-2064.9388351944394</v>
      </c>
      <c r="N2092">
        <f t="shared" si="261"/>
        <v>-329.10273001880506</v>
      </c>
      <c r="O2092" t="s">
        <v>8</v>
      </c>
    </row>
    <row r="2093" spans="1:15" x14ac:dyDescent="0.35">
      <c r="A2093">
        <v>2005</v>
      </c>
      <c r="B2093">
        <v>9</v>
      </c>
      <c r="C2093">
        <v>22</v>
      </c>
      <c r="D2093" s="1">
        <f t="shared" si="256"/>
        <v>38617</v>
      </c>
      <c r="E2093">
        <v>0</v>
      </c>
      <c r="F2093">
        <f t="shared" si="262"/>
        <v>0</v>
      </c>
      <c r="G2093">
        <f t="shared" si="257"/>
        <v>0</v>
      </c>
      <c r="H2093">
        <f t="shared" si="263"/>
        <v>0</v>
      </c>
      <c r="I2093">
        <v>2092</v>
      </c>
      <c r="J2093">
        <f t="shared" si="258"/>
        <v>-0.99009775050870941</v>
      </c>
      <c r="K2093">
        <f t="shared" si="259"/>
        <v>-0.14037964395735403</v>
      </c>
      <c r="L2093">
        <f>VLOOKUP(D2093,[1]SOI!$A$1:$C$142,3)</f>
        <v>-6.9</v>
      </c>
      <c r="M2093" s="2">
        <f t="shared" si="260"/>
        <v>-2071.2844940642199</v>
      </c>
      <c r="N2093">
        <f t="shared" si="261"/>
        <v>-293.67421515878465</v>
      </c>
      <c r="O2093" t="s">
        <v>8</v>
      </c>
    </row>
    <row r="2094" spans="1:15" x14ac:dyDescent="0.35">
      <c r="A2094">
        <v>2005</v>
      </c>
      <c r="B2094">
        <v>9</v>
      </c>
      <c r="C2094">
        <v>23</v>
      </c>
      <c r="D2094" s="1">
        <f t="shared" si="256"/>
        <v>38618</v>
      </c>
      <c r="E2094">
        <v>2</v>
      </c>
      <c r="F2094">
        <f t="shared" si="262"/>
        <v>0</v>
      </c>
      <c r="G2094">
        <f t="shared" si="257"/>
        <v>1</v>
      </c>
      <c r="H2094">
        <f t="shared" si="263"/>
        <v>0</v>
      </c>
      <c r="I2094">
        <v>2093</v>
      </c>
      <c r="J2094">
        <f t="shared" si="258"/>
        <v>-0.99236600861467217</v>
      </c>
      <c r="K2094">
        <f t="shared" si="259"/>
        <v>-0.1233276325329581</v>
      </c>
      <c r="L2094">
        <f>VLOOKUP(D2094,[1]SOI!$A$1:$C$142,3)</f>
        <v>-6.9</v>
      </c>
      <c r="M2094" s="2">
        <f t="shared" si="260"/>
        <v>-2077.0220560305088</v>
      </c>
      <c r="N2094">
        <f t="shared" si="261"/>
        <v>-258.1247348914813</v>
      </c>
      <c r="O2094" t="s">
        <v>8</v>
      </c>
    </row>
    <row r="2095" spans="1:15" x14ac:dyDescent="0.35">
      <c r="A2095">
        <v>2005</v>
      </c>
      <c r="B2095">
        <v>9</v>
      </c>
      <c r="C2095">
        <v>24</v>
      </c>
      <c r="D2095" s="1">
        <f t="shared" si="256"/>
        <v>38619</v>
      </c>
      <c r="E2095">
        <v>1</v>
      </c>
      <c r="F2095">
        <f t="shared" si="262"/>
        <v>2</v>
      </c>
      <c r="G2095">
        <f t="shared" si="257"/>
        <v>1</v>
      </c>
      <c r="H2095">
        <f t="shared" si="263"/>
        <v>1</v>
      </c>
      <c r="I2095">
        <v>2094</v>
      </c>
      <c r="J2095">
        <f t="shared" si="258"/>
        <v>-0.99434060965305127</v>
      </c>
      <c r="K2095">
        <f t="shared" si="259"/>
        <v>-0.10623912647795192</v>
      </c>
      <c r="L2095">
        <f>VLOOKUP(D2095,[1]SOI!$A$1:$C$142,3)</f>
        <v>-6.9</v>
      </c>
      <c r="M2095" s="2">
        <f t="shared" si="260"/>
        <v>-2082.1492366134894</v>
      </c>
      <c r="N2095">
        <f t="shared" si="261"/>
        <v>-222.46473084483131</v>
      </c>
      <c r="O2095" t="s">
        <v>8</v>
      </c>
    </row>
    <row r="2096" spans="1:15" x14ac:dyDescent="0.35">
      <c r="A2096">
        <v>2005</v>
      </c>
      <c r="B2096">
        <v>9</v>
      </c>
      <c r="C2096">
        <v>25</v>
      </c>
      <c r="D2096" s="1">
        <f t="shared" si="256"/>
        <v>38620</v>
      </c>
      <c r="E2096">
        <v>0</v>
      </c>
      <c r="F2096">
        <f t="shared" si="262"/>
        <v>1</v>
      </c>
      <c r="G2096">
        <f t="shared" si="257"/>
        <v>0</v>
      </c>
      <c r="H2096">
        <f t="shared" si="263"/>
        <v>1</v>
      </c>
      <c r="I2096">
        <v>2095</v>
      </c>
      <c r="J2096">
        <f t="shared" si="258"/>
        <v>-0.99602096930763273</v>
      </c>
      <c r="K2096">
        <f t="shared" si="259"/>
        <v>-8.9119182556190668E-2</v>
      </c>
      <c r="L2096">
        <f>VLOOKUP(D2096,[1]SOI!$A$1:$C$142,3)</f>
        <v>-6.9</v>
      </c>
      <c r="M2096" s="2">
        <f t="shared" si="260"/>
        <v>-2086.6639306994907</v>
      </c>
      <c r="N2096">
        <f t="shared" si="261"/>
        <v>-186.70468745521944</v>
      </c>
      <c r="O2096" t="s">
        <v>8</v>
      </c>
    </row>
    <row r="2097" spans="1:15" x14ac:dyDescent="0.35">
      <c r="A2097">
        <v>2005</v>
      </c>
      <c r="B2097">
        <v>9</v>
      </c>
      <c r="C2097">
        <v>26</v>
      </c>
      <c r="D2097" s="1">
        <f t="shared" si="256"/>
        <v>38621</v>
      </c>
      <c r="E2097">
        <v>0.2</v>
      </c>
      <c r="F2097">
        <f t="shared" si="262"/>
        <v>0</v>
      </c>
      <c r="G2097">
        <f t="shared" si="257"/>
        <v>1</v>
      </c>
      <c r="H2097">
        <f t="shared" si="263"/>
        <v>0</v>
      </c>
      <c r="I2097">
        <v>2096</v>
      </c>
      <c r="J2097">
        <f t="shared" si="258"/>
        <v>-0.99740659033295964</v>
      </c>
      <c r="K2097">
        <f t="shared" si="259"/>
        <v>-7.1972866834521254E-2</v>
      </c>
      <c r="L2097">
        <f>VLOOKUP(D2097,[1]SOI!$A$1:$C$142,3)</f>
        <v>-6.9</v>
      </c>
      <c r="M2097" s="2">
        <f t="shared" si="260"/>
        <v>-2090.5642133378833</v>
      </c>
      <c r="N2097">
        <f t="shared" si="261"/>
        <v>-150.85512888515655</v>
      </c>
      <c r="O2097" t="s">
        <v>8</v>
      </c>
    </row>
    <row r="2098" spans="1:15" x14ac:dyDescent="0.35">
      <c r="A2098">
        <v>2005</v>
      </c>
      <c r="B2098">
        <v>9</v>
      </c>
      <c r="C2098">
        <v>27</v>
      </c>
      <c r="D2098" s="1">
        <f t="shared" si="256"/>
        <v>38622</v>
      </c>
      <c r="E2098">
        <v>0.2</v>
      </c>
      <c r="F2098">
        <f t="shared" si="262"/>
        <v>0.2</v>
      </c>
      <c r="G2098">
        <f t="shared" si="257"/>
        <v>1</v>
      </c>
      <c r="H2098">
        <f t="shared" si="263"/>
        <v>1</v>
      </c>
      <c r="I2098">
        <v>2097</v>
      </c>
      <c r="J2098">
        <f t="shared" si="258"/>
        <v>-0.99849706270147787</v>
      </c>
      <c r="K2098">
        <f t="shared" si="259"/>
        <v>-5.4805253183623413E-2</v>
      </c>
      <c r="L2098">
        <f>VLOOKUP(D2098,[1]SOI!$A$1:$C$142,3)</f>
        <v>-6.9</v>
      </c>
      <c r="M2098" s="2">
        <f t="shared" si="260"/>
        <v>-2093.848340484999</v>
      </c>
      <c r="N2098">
        <f t="shared" si="261"/>
        <v>-114.9266159260583</v>
      </c>
      <c r="O2098" t="s">
        <v>8</v>
      </c>
    </row>
    <row r="2099" spans="1:15" x14ac:dyDescent="0.35">
      <c r="A2099">
        <v>2005</v>
      </c>
      <c r="B2099">
        <v>9</v>
      </c>
      <c r="C2099">
        <v>28</v>
      </c>
      <c r="D2099" s="1">
        <f t="shared" si="256"/>
        <v>38623</v>
      </c>
      <c r="E2099">
        <v>0</v>
      </c>
      <c r="F2099">
        <f t="shared" si="262"/>
        <v>0.2</v>
      </c>
      <c r="G2099">
        <f t="shared" si="257"/>
        <v>0</v>
      </c>
      <c r="H2099">
        <f t="shared" si="263"/>
        <v>1</v>
      </c>
      <c r="I2099">
        <v>2098</v>
      </c>
      <c r="J2099">
        <f t="shared" si="258"/>
        <v>-0.99929206372486967</v>
      </c>
      <c r="K2099">
        <f t="shared" si="259"/>
        <v>-3.7621421776576812E-2</v>
      </c>
      <c r="L2099">
        <f>VLOOKUP(D2099,[1]SOI!$A$1:$C$142,3)</f>
        <v>-6.9</v>
      </c>
      <c r="M2099" s="2">
        <f t="shared" si="260"/>
        <v>-2096.5147496947766</v>
      </c>
      <c r="N2099">
        <f t="shared" si="261"/>
        <v>-78.929742887258158</v>
      </c>
      <c r="O2099" t="s">
        <v>8</v>
      </c>
    </row>
    <row r="2100" spans="1:15" x14ac:dyDescent="0.35">
      <c r="A2100">
        <v>2005</v>
      </c>
      <c r="B2100">
        <v>9</v>
      </c>
      <c r="C2100">
        <v>29</v>
      </c>
      <c r="D2100" s="1">
        <f t="shared" si="256"/>
        <v>38624</v>
      </c>
      <c r="E2100">
        <v>10.6</v>
      </c>
      <c r="F2100">
        <f t="shared" si="262"/>
        <v>0</v>
      </c>
      <c r="G2100">
        <f t="shared" si="257"/>
        <v>1</v>
      </c>
      <c r="H2100">
        <f t="shared" si="263"/>
        <v>0</v>
      </c>
      <c r="I2100">
        <v>2099</v>
      </c>
      <c r="J2100">
        <f t="shared" si="258"/>
        <v>-0.99979135814954168</v>
      </c>
      <c r="K2100">
        <f t="shared" si="259"/>
        <v>-2.0426457585563142E-2</v>
      </c>
      <c r="L2100">
        <f>VLOOKUP(D2100,[1]SOI!$A$1:$C$142,3)</f>
        <v>-6.9</v>
      </c>
      <c r="M2100" s="2">
        <f t="shared" si="260"/>
        <v>-2098.5620607558881</v>
      </c>
      <c r="N2100">
        <f t="shared" si="261"/>
        <v>-42.875134472097031</v>
      </c>
      <c r="O2100" t="s">
        <v>8</v>
      </c>
    </row>
    <row r="2101" spans="1:15" x14ac:dyDescent="0.35">
      <c r="A2101">
        <v>2005</v>
      </c>
      <c r="B2101">
        <v>9</v>
      </c>
      <c r="C2101">
        <v>30</v>
      </c>
      <c r="D2101" s="1">
        <f t="shared" si="256"/>
        <v>38625</v>
      </c>
      <c r="E2101">
        <v>0</v>
      </c>
      <c r="F2101">
        <f t="shared" si="262"/>
        <v>10.6</v>
      </c>
      <c r="G2101">
        <f t="shared" si="257"/>
        <v>0</v>
      </c>
      <c r="H2101">
        <f t="shared" si="263"/>
        <v>1</v>
      </c>
      <c r="I2101">
        <v>2100</v>
      </c>
      <c r="J2101">
        <f t="shared" si="258"/>
        <v>-0.99999479822624138</v>
      </c>
      <c r="K2101">
        <f t="shared" si="259"/>
        <v>-3.2254488771127046E-3</v>
      </c>
      <c r="L2101">
        <f>VLOOKUP(D2101,[1]SOI!$A$1:$C$142,3)</f>
        <v>-6.9</v>
      </c>
      <c r="M2101" s="2">
        <f t="shared" si="260"/>
        <v>-2099.989076275107</v>
      </c>
      <c r="N2101">
        <f t="shared" si="261"/>
        <v>-6.77344264193668</v>
      </c>
      <c r="O2101" t="s">
        <v>8</v>
      </c>
    </row>
    <row r="2102" spans="1:15" x14ac:dyDescent="0.35">
      <c r="A2102">
        <v>2005</v>
      </c>
      <c r="B2102">
        <v>10</v>
      </c>
      <c r="C2102">
        <v>1</v>
      </c>
      <c r="D2102" s="1">
        <f t="shared" si="256"/>
        <v>38626</v>
      </c>
      <c r="E2102">
        <v>0</v>
      </c>
      <c r="F2102">
        <f t="shared" si="262"/>
        <v>0</v>
      </c>
      <c r="G2102">
        <f t="shared" si="257"/>
        <v>0</v>
      </c>
      <c r="H2102">
        <f t="shared" si="263"/>
        <v>0</v>
      </c>
      <c r="I2102">
        <v>2101</v>
      </c>
      <c r="J2102">
        <f t="shared" si="258"/>
        <v>-0.99990232375377652</v>
      </c>
      <c r="K2102">
        <f t="shared" si="259"/>
        <v>1.3976514293552953E-2</v>
      </c>
      <c r="L2102">
        <f>VLOOKUP(D2102,[1]SOI!$A$1:$C$142,3)</f>
        <v>3.9</v>
      </c>
      <c r="M2102" s="2">
        <f t="shared" si="260"/>
        <v>-2100.7947822066844</v>
      </c>
      <c r="N2102">
        <f t="shared" si="261"/>
        <v>29.364656530754754</v>
      </c>
      <c r="O2102" t="s">
        <v>8</v>
      </c>
    </row>
    <row r="2103" spans="1:15" x14ac:dyDescent="0.35">
      <c r="A2103">
        <v>2005</v>
      </c>
      <c r="B2103">
        <v>10</v>
      </c>
      <c r="C2103">
        <v>2</v>
      </c>
      <c r="D2103" s="1">
        <f t="shared" si="256"/>
        <v>38627</v>
      </c>
      <c r="E2103">
        <v>0</v>
      </c>
      <c r="F2103">
        <f t="shared" si="262"/>
        <v>0</v>
      </c>
      <c r="G2103">
        <f t="shared" si="257"/>
        <v>0</v>
      </c>
      <c r="H2103">
        <f t="shared" si="263"/>
        <v>0</v>
      </c>
      <c r="I2103">
        <v>2102</v>
      </c>
      <c r="J2103">
        <f t="shared" si="258"/>
        <v>-0.99951396209683141</v>
      </c>
      <c r="K2103">
        <f t="shared" si="259"/>
        <v>3.1174341588778656E-2</v>
      </c>
      <c r="L2103">
        <f>VLOOKUP(D2103,[1]SOI!$A$1:$C$142,3)</f>
        <v>3.9</v>
      </c>
      <c r="M2103" s="2">
        <f t="shared" si="260"/>
        <v>-2100.9783483275396</v>
      </c>
      <c r="N2103">
        <f t="shared" si="261"/>
        <v>65.528466019612736</v>
      </c>
      <c r="O2103" t="s">
        <v>8</v>
      </c>
    </row>
    <row r="2104" spans="1:15" x14ac:dyDescent="0.35">
      <c r="A2104">
        <v>2005</v>
      </c>
      <c r="B2104">
        <v>10</v>
      </c>
      <c r="C2104">
        <v>3</v>
      </c>
      <c r="D2104" s="1">
        <f t="shared" si="256"/>
        <v>38628</v>
      </c>
      <c r="E2104">
        <v>0</v>
      </c>
      <c r="F2104">
        <f t="shared" si="262"/>
        <v>0</v>
      </c>
      <c r="G2104">
        <f t="shared" si="257"/>
        <v>0</v>
      </c>
      <c r="H2104">
        <f t="shared" si="263"/>
        <v>0</v>
      </c>
      <c r="I2104">
        <v>2103</v>
      </c>
      <c r="J2104">
        <f t="shared" si="258"/>
        <v>-0.99882982817786847</v>
      </c>
      <c r="K2104">
        <f t="shared" si="259"/>
        <v>4.836294389478131E-2</v>
      </c>
      <c r="L2104">
        <f>VLOOKUP(D2104,[1]SOI!$A$1:$C$142,3)</f>
        <v>3.9</v>
      </c>
      <c r="M2104" s="2">
        <f t="shared" si="260"/>
        <v>-2100.5391286580575</v>
      </c>
      <c r="N2104">
        <f t="shared" si="261"/>
        <v>101.70727101072509</v>
      </c>
      <c r="O2104" t="s">
        <v>8</v>
      </c>
    </row>
    <row r="2105" spans="1:15" x14ac:dyDescent="0.35">
      <c r="A2105">
        <v>2005</v>
      </c>
      <c r="B2105">
        <v>10</v>
      </c>
      <c r="C2105">
        <v>4</v>
      </c>
      <c r="D2105" s="1">
        <f t="shared" si="256"/>
        <v>38629</v>
      </c>
      <c r="E2105">
        <v>0</v>
      </c>
      <c r="F2105">
        <f t="shared" si="262"/>
        <v>0</v>
      </c>
      <c r="G2105">
        <f t="shared" si="257"/>
        <v>0</v>
      </c>
      <c r="H2105">
        <f t="shared" si="263"/>
        <v>0</v>
      </c>
      <c r="I2105">
        <v>2104</v>
      </c>
      <c r="J2105">
        <f t="shared" si="258"/>
        <v>-0.99785012444312093</v>
      </c>
      <c r="K2105">
        <f t="shared" si="259"/>
        <v>6.5537234827600543E-2</v>
      </c>
      <c r="L2105">
        <f>VLOOKUP(D2105,[1]SOI!$A$1:$C$142,3)</f>
        <v>3.9</v>
      </c>
      <c r="M2105" s="2">
        <f t="shared" si="260"/>
        <v>-2099.4766618283265</v>
      </c>
      <c r="N2105">
        <f t="shared" si="261"/>
        <v>137.89034207727155</v>
      </c>
      <c r="O2105" t="s">
        <v>8</v>
      </c>
    </row>
    <row r="2106" spans="1:15" x14ac:dyDescent="0.35">
      <c r="A2106">
        <v>2005</v>
      </c>
      <c r="B2106">
        <v>10</v>
      </c>
      <c r="C2106">
        <v>5</v>
      </c>
      <c r="D2106" s="1">
        <f t="shared" si="256"/>
        <v>38630</v>
      </c>
      <c r="E2106">
        <v>0</v>
      </c>
      <c r="F2106">
        <f t="shared" si="262"/>
        <v>0</v>
      </c>
      <c r="G2106">
        <f t="shared" si="257"/>
        <v>0</v>
      </c>
      <c r="H2106">
        <f t="shared" si="263"/>
        <v>0</v>
      </c>
      <c r="I2106">
        <v>2105</v>
      </c>
      <c r="J2106">
        <f t="shared" si="258"/>
        <v>-0.9965751408026865</v>
      </c>
      <c r="K2106">
        <f t="shared" si="259"/>
        <v>8.2692132238234503E-2</v>
      </c>
      <c r="L2106">
        <f>VLOOKUP(D2106,[1]SOI!$A$1:$C$142,3)</f>
        <v>3.9</v>
      </c>
      <c r="M2106" s="2">
        <f t="shared" si="260"/>
        <v>-2097.790671389655</v>
      </c>
      <c r="N2106">
        <f t="shared" si="261"/>
        <v>174.06693836148364</v>
      </c>
      <c r="O2106" t="s">
        <v>8</v>
      </c>
    </row>
    <row r="2107" spans="1:15" x14ac:dyDescent="0.35">
      <c r="A2107">
        <v>2005</v>
      </c>
      <c r="B2107">
        <v>10</v>
      </c>
      <c r="C2107">
        <v>6</v>
      </c>
      <c r="D2107" s="1">
        <f t="shared" si="256"/>
        <v>38631</v>
      </c>
      <c r="E2107">
        <v>0.2</v>
      </c>
      <c r="F2107">
        <f t="shared" si="262"/>
        <v>0</v>
      </c>
      <c r="G2107">
        <f t="shared" si="257"/>
        <v>1</v>
      </c>
      <c r="H2107">
        <f t="shared" si="263"/>
        <v>0</v>
      </c>
      <c r="I2107">
        <v>2106</v>
      </c>
      <c r="J2107">
        <f t="shared" si="258"/>
        <v>-0.99500525454473498</v>
      </c>
      <c r="K2107">
        <f t="shared" si="259"/>
        <v>9.9822559716564827E-2</v>
      </c>
      <c r="L2107">
        <f>VLOOKUP(D2107,[1]SOI!$A$1:$C$142,3)</f>
        <v>3.9</v>
      </c>
      <c r="M2107" s="2">
        <f t="shared" si="260"/>
        <v>-2095.4810660712119</v>
      </c>
      <c r="N2107">
        <f t="shared" si="261"/>
        <v>210.22631076308554</v>
      </c>
      <c r="O2107" t="s">
        <v>8</v>
      </c>
    </row>
    <row r="2108" spans="1:15" x14ac:dyDescent="0.35">
      <c r="A2108">
        <v>2005</v>
      </c>
      <c r="B2108">
        <v>10</v>
      </c>
      <c r="C2108">
        <v>7</v>
      </c>
      <c r="D2108" s="1">
        <f t="shared" si="256"/>
        <v>38632</v>
      </c>
      <c r="E2108">
        <v>0</v>
      </c>
      <c r="F2108">
        <f t="shared" si="262"/>
        <v>0.2</v>
      </c>
      <c r="G2108">
        <f t="shared" si="257"/>
        <v>0</v>
      </c>
      <c r="H2108">
        <f t="shared" si="263"/>
        <v>1</v>
      </c>
      <c r="I2108">
        <v>2107</v>
      </c>
      <c r="J2108">
        <f t="shared" si="258"/>
        <v>-0.99314093022386907</v>
      </c>
      <c r="K2108">
        <f t="shared" si="259"/>
        <v>0.11692344809347739</v>
      </c>
      <c r="L2108">
        <f>VLOOKUP(D2108,[1]SOI!$A$1:$C$142,3)</f>
        <v>3.9</v>
      </c>
      <c r="M2108" s="2">
        <f t="shared" si="260"/>
        <v>-2092.5479399816923</v>
      </c>
      <c r="N2108">
        <f t="shared" si="261"/>
        <v>246.35770513295685</v>
      </c>
      <c r="O2108" t="s">
        <v>8</v>
      </c>
    </row>
    <row r="2109" spans="1:15" x14ac:dyDescent="0.35">
      <c r="A2109">
        <v>2005</v>
      </c>
      <c r="B2109">
        <v>10</v>
      </c>
      <c r="C2109">
        <v>8</v>
      </c>
      <c r="D2109" s="1">
        <f t="shared" si="256"/>
        <v>38633</v>
      </c>
      <c r="E2109">
        <v>12.2</v>
      </c>
      <c r="F2109">
        <f t="shared" si="262"/>
        <v>0</v>
      </c>
      <c r="G2109">
        <f t="shared" si="257"/>
        <v>1</v>
      </c>
      <c r="H2109">
        <f t="shared" si="263"/>
        <v>0</v>
      </c>
      <c r="I2109">
        <v>2108</v>
      </c>
      <c r="J2109">
        <f t="shared" si="258"/>
        <v>-0.99098271952364958</v>
      </c>
      <c r="K2109">
        <f t="shared" si="259"/>
        <v>0.13398973694097466</v>
      </c>
      <c r="L2109">
        <f>VLOOKUP(D2109,[1]SOI!$A$1:$C$142,3)</f>
        <v>3.9</v>
      </c>
      <c r="M2109" s="2">
        <f t="shared" si="260"/>
        <v>-2088.9915727558532</v>
      </c>
      <c r="N2109">
        <f t="shared" si="261"/>
        <v>282.45036547157457</v>
      </c>
      <c r="O2109" t="s">
        <v>8</v>
      </c>
    </row>
    <row r="2110" spans="1:15" x14ac:dyDescent="0.35">
      <c r="A2110">
        <v>2005</v>
      </c>
      <c r="B2110">
        <v>10</v>
      </c>
      <c r="C2110">
        <v>9</v>
      </c>
      <c r="D2110" s="1">
        <f t="shared" si="256"/>
        <v>38634</v>
      </c>
      <c r="E2110">
        <v>0.8</v>
      </c>
      <c r="F2110">
        <f t="shared" si="262"/>
        <v>12.2</v>
      </c>
      <c r="G2110">
        <f t="shared" si="257"/>
        <v>1</v>
      </c>
      <c r="H2110">
        <f t="shared" si="263"/>
        <v>1</v>
      </c>
      <c r="I2110">
        <v>2109</v>
      </c>
      <c r="J2110">
        <f t="shared" si="258"/>
        <v>-0.98853126109334344</v>
      </c>
      <c r="K2110">
        <f t="shared" si="259"/>
        <v>0.15101637606963056</v>
      </c>
      <c r="L2110">
        <f>VLOOKUP(D2110,[1]SOI!$A$1:$C$142,3)</f>
        <v>3.9</v>
      </c>
      <c r="M2110" s="2">
        <f t="shared" si="260"/>
        <v>-2084.8124296458614</v>
      </c>
      <c r="N2110">
        <f t="shared" si="261"/>
        <v>318.49353713085083</v>
      </c>
      <c r="O2110" t="s">
        <v>8</v>
      </c>
    </row>
    <row r="2111" spans="1:15" x14ac:dyDescent="0.35">
      <c r="A2111">
        <v>2005</v>
      </c>
      <c r="B2111">
        <v>10</v>
      </c>
      <c r="C2111">
        <v>10</v>
      </c>
      <c r="D2111" s="1">
        <f t="shared" si="256"/>
        <v>38635</v>
      </c>
      <c r="E2111">
        <v>0</v>
      </c>
      <c r="F2111">
        <f t="shared" si="262"/>
        <v>0.8</v>
      </c>
      <c r="G2111">
        <f t="shared" si="257"/>
        <v>0</v>
      </c>
      <c r="H2111">
        <f t="shared" si="263"/>
        <v>1</v>
      </c>
      <c r="I2111">
        <v>2110</v>
      </c>
      <c r="J2111">
        <f t="shared" si="258"/>
        <v>-0.98578728035894214</v>
      </c>
      <c r="K2111">
        <f t="shared" si="259"/>
        <v>0.16799832702298056</v>
      </c>
      <c r="L2111">
        <f>VLOOKUP(D2111,[1]SOI!$A$1:$C$142,3)</f>
        <v>3.9</v>
      </c>
      <c r="M2111" s="2">
        <f t="shared" si="260"/>
        <v>-2080.0111615573678</v>
      </c>
      <c r="N2111">
        <f t="shared" si="261"/>
        <v>354.47647001848901</v>
      </c>
      <c r="O2111" t="s">
        <v>8</v>
      </c>
    </row>
    <row r="2112" spans="1:15" x14ac:dyDescent="0.35">
      <c r="A2112">
        <v>2005</v>
      </c>
      <c r="B2112">
        <v>10</v>
      </c>
      <c r="C2112">
        <v>11</v>
      </c>
      <c r="D2112" s="1">
        <f t="shared" si="256"/>
        <v>38636</v>
      </c>
      <c r="E2112">
        <v>3.2</v>
      </c>
      <c r="F2112">
        <f t="shared" si="262"/>
        <v>0</v>
      </c>
      <c r="G2112">
        <f t="shared" si="257"/>
        <v>1</v>
      </c>
      <c r="H2112">
        <f t="shared" si="263"/>
        <v>0</v>
      </c>
      <c r="I2112">
        <v>2111</v>
      </c>
      <c r="J2112">
        <f t="shared" si="258"/>
        <v>-0.98275158930848805</v>
      </c>
      <c r="K2112">
        <f t="shared" si="259"/>
        <v>0.18493056456854531</v>
      </c>
      <c r="L2112">
        <f>VLOOKUP(D2112,[1]SOI!$A$1:$C$142,3)</f>
        <v>3.9</v>
      </c>
      <c r="M2112" s="2">
        <f t="shared" si="260"/>
        <v>-2074.5886050302183</v>
      </c>
      <c r="N2112">
        <f t="shared" si="261"/>
        <v>390.38842180419914</v>
      </c>
      <c r="O2112" t="s">
        <v>8</v>
      </c>
    </row>
    <row r="2113" spans="1:15" x14ac:dyDescent="0.35">
      <c r="A2113">
        <v>2005</v>
      </c>
      <c r="B2113">
        <v>10</v>
      </c>
      <c r="C2113">
        <v>12</v>
      </c>
      <c r="D2113" s="1">
        <f t="shared" si="256"/>
        <v>38637</v>
      </c>
      <c r="E2113">
        <v>0.8</v>
      </c>
      <c r="F2113">
        <f t="shared" si="262"/>
        <v>3.2</v>
      </c>
      <c r="G2113">
        <f t="shared" si="257"/>
        <v>1</v>
      </c>
      <c r="H2113">
        <f t="shared" si="263"/>
        <v>1</v>
      </c>
      <c r="I2113">
        <v>2112</v>
      </c>
      <c r="J2113">
        <f t="shared" si="258"/>
        <v>-0.97942508625180591</v>
      </c>
      <c r="K2113">
        <f t="shared" si="259"/>
        <v>0.20180807818480051</v>
      </c>
      <c r="L2113">
        <f>VLOOKUP(D2113,[1]SOI!$A$1:$C$142,3)</f>
        <v>3.9</v>
      </c>
      <c r="M2113" s="2">
        <f t="shared" si="260"/>
        <v>-2068.5457821638142</v>
      </c>
      <c r="N2113">
        <f t="shared" si="261"/>
        <v>426.21866112629868</v>
      </c>
      <c r="O2113" t="s">
        <v>8</v>
      </c>
    </row>
    <row r="2114" spans="1:15" x14ac:dyDescent="0.35">
      <c r="A2114">
        <v>2005</v>
      </c>
      <c r="B2114">
        <v>10</v>
      </c>
      <c r="C2114">
        <v>13</v>
      </c>
      <c r="D2114" s="1">
        <f t="shared" si="256"/>
        <v>38638</v>
      </c>
      <c r="E2114">
        <v>0</v>
      </c>
      <c r="F2114">
        <f t="shared" si="262"/>
        <v>0.8</v>
      </c>
      <c r="G2114">
        <f t="shared" si="257"/>
        <v>0</v>
      </c>
      <c r="H2114">
        <f t="shared" si="263"/>
        <v>1</v>
      </c>
      <c r="I2114">
        <v>2113</v>
      </c>
      <c r="J2114">
        <f t="shared" si="258"/>
        <v>-0.97580875555466895</v>
      </c>
      <c r="K2114">
        <f t="shared" si="259"/>
        <v>0.21862587354393415</v>
      </c>
      <c r="L2114">
        <f>VLOOKUP(D2114,[1]SOI!$A$1:$C$142,3)</f>
        <v>3.9</v>
      </c>
      <c r="M2114" s="2">
        <f t="shared" si="260"/>
        <v>-2061.8839004870156</v>
      </c>
      <c r="N2114">
        <f t="shared" si="261"/>
        <v>461.95647079833287</v>
      </c>
      <c r="O2114" t="s">
        <v>8</v>
      </c>
    </row>
    <row r="2115" spans="1:15" x14ac:dyDescent="0.35">
      <c r="A2115">
        <v>2005</v>
      </c>
      <c r="B2115">
        <v>10</v>
      </c>
      <c r="C2115">
        <v>14</v>
      </c>
      <c r="D2115" s="1">
        <f t="shared" ref="D2115:D2178" si="264">DATE(A2115,B2115,C2115)</f>
        <v>38639</v>
      </c>
      <c r="E2115">
        <v>0</v>
      </c>
      <c r="F2115">
        <f t="shared" si="262"/>
        <v>0</v>
      </c>
      <c r="G2115">
        <f t="shared" ref="G2115:G2178" si="265">IF(E2115=0,0,1)</f>
        <v>0</v>
      </c>
      <c r="H2115">
        <f t="shared" si="263"/>
        <v>0</v>
      </c>
      <c r="I2115">
        <v>2114</v>
      </c>
      <c r="J2115">
        <f t="shared" ref="J2115:J2178" si="266">SIN(2*PI()*I2115/365.25)</f>
        <v>-0.97190366734750866</v>
      </c>
      <c r="K2115">
        <f t="shared" ref="K2115:K2178" si="267">COS(2*PI()*I2115/365.25)</f>
        <v>0.23537897398974097</v>
      </c>
      <c r="L2115">
        <f>VLOOKUP(D2115,[1]SOI!$A$1:$C$142,3)</f>
        <v>3.9</v>
      </c>
      <c r="M2115" s="2">
        <f t="shared" ref="M2115:M2178" si="268">I2115*J2115</f>
        <v>-2054.6043527726333</v>
      </c>
      <c r="N2115">
        <f t="shared" ref="N2115:N2178" si="269">I2115*K2115</f>
        <v>497.5911510143124</v>
      </c>
      <c r="O2115" t="s">
        <v>8</v>
      </c>
    </row>
    <row r="2116" spans="1:15" x14ac:dyDescent="0.35">
      <c r="A2116">
        <v>2005</v>
      </c>
      <c r="B2116">
        <v>10</v>
      </c>
      <c r="C2116">
        <v>15</v>
      </c>
      <c r="D2116" s="1">
        <f t="shared" si="264"/>
        <v>38640</v>
      </c>
      <c r="E2116">
        <v>0</v>
      </c>
      <c r="F2116">
        <f t="shared" ref="F2116:F2179" si="270">E2115</f>
        <v>0</v>
      </c>
      <c r="G2116">
        <f t="shared" si="265"/>
        <v>0</v>
      </c>
      <c r="H2116">
        <f t="shared" ref="H2116:H2179" si="271">G2115</f>
        <v>0</v>
      </c>
      <c r="I2116">
        <v>2115</v>
      </c>
      <c r="J2116">
        <f t="shared" si="266"/>
        <v>-0.96771097720875388</v>
      </c>
      <c r="K2116">
        <f t="shared" si="267"/>
        <v>0.25206242201026069</v>
      </c>
      <c r="L2116">
        <f>VLOOKUP(D2116,[1]SOI!$A$1:$C$142,3)</f>
        <v>3.9</v>
      </c>
      <c r="M2116" s="2">
        <f t="shared" si="268"/>
        <v>-2046.7087167965144</v>
      </c>
      <c r="N2116">
        <f t="shared" si="269"/>
        <v>533.11202255170133</v>
      </c>
      <c r="O2116" t="s">
        <v>8</v>
      </c>
    </row>
    <row r="2117" spans="1:15" x14ac:dyDescent="0.35">
      <c r="A2117">
        <v>2005</v>
      </c>
      <c r="B2117">
        <v>10</v>
      </c>
      <c r="C2117">
        <v>16</v>
      </c>
      <c r="D2117" s="1">
        <f t="shared" si="264"/>
        <v>38641</v>
      </c>
      <c r="E2117">
        <v>0</v>
      </c>
      <c r="F2117">
        <f t="shared" si="270"/>
        <v>0</v>
      </c>
      <c r="G2117">
        <f t="shared" si="265"/>
        <v>0</v>
      </c>
      <c r="H2117">
        <f t="shared" si="271"/>
        <v>0</v>
      </c>
      <c r="I2117">
        <v>2116</v>
      </c>
      <c r="J2117">
        <f t="shared" si="266"/>
        <v>-0.96323192582287032</v>
      </c>
      <c r="K2117">
        <f t="shared" si="267"/>
        <v>0.26867128070481311</v>
      </c>
      <c r="L2117">
        <f>VLOOKUP(D2117,[1]SOI!$A$1:$C$142,3)</f>
        <v>3.9</v>
      </c>
      <c r="M2117" s="2">
        <f t="shared" si="268"/>
        <v>-2038.1987550411936</v>
      </c>
      <c r="N2117">
        <f t="shared" si="269"/>
        <v>568.50842997138454</v>
      </c>
      <c r="O2117" t="s">
        <v>8</v>
      </c>
    </row>
    <row r="2118" spans="1:15" x14ac:dyDescent="0.35">
      <c r="A2118">
        <v>2005</v>
      </c>
      <c r="B2118">
        <v>10</v>
      </c>
      <c r="C2118">
        <v>17</v>
      </c>
      <c r="D2118" s="1">
        <f t="shared" si="264"/>
        <v>38642</v>
      </c>
      <c r="E2118">
        <v>0</v>
      </c>
      <c r="F2118">
        <f t="shared" si="270"/>
        <v>0</v>
      </c>
      <c r="G2118">
        <f t="shared" si="265"/>
        <v>0</v>
      </c>
      <c r="H2118">
        <f t="shared" si="271"/>
        <v>0</v>
      </c>
      <c r="I2118">
        <v>2117</v>
      </c>
      <c r="J2118">
        <f t="shared" si="266"/>
        <v>-0.95846783861322427</v>
      </c>
      <c r="K2118">
        <f t="shared" si="267"/>
        <v>0.28520063524489975</v>
      </c>
      <c r="L2118">
        <f>VLOOKUP(D2118,[1]SOI!$A$1:$C$142,3)</f>
        <v>3.9</v>
      </c>
      <c r="M2118" s="2">
        <f t="shared" si="268"/>
        <v>-2029.0764143441959</v>
      </c>
      <c r="N2118">
        <f t="shared" si="269"/>
        <v>603.7697448134528</v>
      </c>
      <c r="O2118" t="s">
        <v>8</v>
      </c>
    </row>
    <row r="2119" spans="1:15" x14ac:dyDescent="0.35">
      <c r="A2119">
        <v>2005</v>
      </c>
      <c r="B2119">
        <v>10</v>
      </c>
      <c r="C2119">
        <v>18</v>
      </c>
      <c r="D2119" s="1">
        <f t="shared" si="264"/>
        <v>38643</v>
      </c>
      <c r="E2119">
        <v>0</v>
      </c>
      <c r="F2119">
        <f t="shared" si="270"/>
        <v>0</v>
      </c>
      <c r="G2119">
        <f t="shared" si="265"/>
        <v>0</v>
      </c>
      <c r="H2119">
        <f t="shared" si="271"/>
        <v>0</v>
      </c>
      <c r="I2119">
        <v>2118</v>
      </c>
      <c r="J2119">
        <f t="shared" si="266"/>
        <v>-0.95342012534986775</v>
      </c>
      <c r="K2119">
        <f t="shared" si="267"/>
        <v>0.3016455943285804</v>
      </c>
      <c r="L2119">
        <f>VLOOKUP(D2119,[1]SOI!$A$1:$C$142,3)</f>
        <v>3.9</v>
      </c>
      <c r="M2119" s="2">
        <f t="shared" si="268"/>
        <v>-2019.34382549102</v>
      </c>
      <c r="N2119">
        <f t="shared" si="269"/>
        <v>638.88536878793332</v>
      </c>
      <c r="O2119" t="s">
        <v>8</v>
      </c>
    </row>
    <row r="2120" spans="1:15" x14ac:dyDescent="0.35">
      <c r="A2120">
        <v>2005</v>
      </c>
      <c r="B2120">
        <v>10</v>
      </c>
      <c r="C2120">
        <v>19</v>
      </c>
      <c r="D2120" s="1">
        <f t="shared" si="264"/>
        <v>38644</v>
      </c>
      <c r="E2120">
        <v>0</v>
      </c>
      <c r="F2120">
        <f t="shared" si="270"/>
        <v>0</v>
      </c>
      <c r="G2120">
        <f t="shared" si="265"/>
        <v>0</v>
      </c>
      <c r="H2120">
        <f t="shared" si="271"/>
        <v>0</v>
      </c>
      <c r="I2120">
        <v>2119</v>
      </c>
      <c r="J2120">
        <f t="shared" si="266"/>
        <v>-0.94809027973236759</v>
      </c>
      <c r="K2120">
        <f t="shared" si="267"/>
        <v>0.31800129162788149</v>
      </c>
      <c r="L2120">
        <f>VLOOKUP(D2120,[1]SOI!$A$1:$C$142,3)</f>
        <v>3.9</v>
      </c>
      <c r="M2120" s="2">
        <f t="shared" si="268"/>
        <v>-2009.0033027528868</v>
      </c>
      <c r="N2120">
        <f t="shared" si="269"/>
        <v>673.84473695948088</v>
      </c>
      <c r="O2120" t="s">
        <v>8</v>
      </c>
    </row>
    <row r="2121" spans="1:15" x14ac:dyDescent="0.35">
      <c r="A2121">
        <v>2005</v>
      </c>
      <c r="B2121">
        <v>10</v>
      </c>
      <c r="C2121">
        <v>20</v>
      </c>
      <c r="D2121" s="1">
        <f t="shared" si="264"/>
        <v>38645</v>
      </c>
      <c r="E2121">
        <v>5.6</v>
      </c>
      <c r="F2121">
        <f t="shared" si="270"/>
        <v>0</v>
      </c>
      <c r="G2121">
        <f t="shared" si="265"/>
        <v>1</v>
      </c>
      <c r="H2121">
        <f t="shared" si="271"/>
        <v>0</v>
      </c>
      <c r="I2121">
        <v>2120</v>
      </c>
      <c r="J2121">
        <f t="shared" si="266"/>
        <v>-0.94247987894778662</v>
      </c>
      <c r="K2121">
        <f t="shared" si="267"/>
        <v>0.33426288722884784</v>
      </c>
      <c r="L2121">
        <f>VLOOKUP(D2121,[1]SOI!$A$1:$C$142,3)</f>
        <v>3.9</v>
      </c>
      <c r="M2121" s="2">
        <f t="shared" si="268"/>
        <v>-1998.0573433693075</v>
      </c>
      <c r="N2121">
        <f t="shared" si="269"/>
        <v>708.63732092515738</v>
      </c>
      <c r="O2121" t="s">
        <v>8</v>
      </c>
    </row>
    <row r="2122" spans="1:15" x14ac:dyDescent="0.35">
      <c r="A2122">
        <v>2005</v>
      </c>
      <c r="B2122">
        <v>10</v>
      </c>
      <c r="C2122">
        <v>21</v>
      </c>
      <c r="D2122" s="1">
        <f t="shared" si="264"/>
        <v>38646</v>
      </c>
      <c r="E2122">
        <v>5.6</v>
      </c>
      <c r="F2122">
        <f t="shared" si="270"/>
        <v>5.6</v>
      </c>
      <c r="G2122">
        <f t="shared" si="265"/>
        <v>1</v>
      </c>
      <c r="H2122">
        <f t="shared" si="271"/>
        <v>1</v>
      </c>
      <c r="I2122">
        <v>2121</v>
      </c>
      <c r="J2122">
        <f t="shared" si="266"/>
        <v>-0.93659058320398181</v>
      </c>
      <c r="K2122">
        <f t="shared" si="267"/>
        <v>0.35042556906371042</v>
      </c>
      <c r="L2122">
        <f>VLOOKUP(D2122,[1]SOI!$A$1:$C$142,3)</f>
        <v>3.9</v>
      </c>
      <c r="M2122" s="2">
        <f t="shared" si="268"/>
        <v>-1986.5086269756455</v>
      </c>
      <c r="N2122">
        <f t="shared" si="269"/>
        <v>743.25263198412983</v>
      </c>
      <c r="O2122" t="s">
        <v>8</v>
      </c>
    </row>
    <row r="2123" spans="1:15" x14ac:dyDescent="0.35">
      <c r="A2123">
        <v>2005</v>
      </c>
      <c r="B2123">
        <v>10</v>
      </c>
      <c r="C2123">
        <v>22</v>
      </c>
      <c r="D2123" s="1">
        <f t="shared" si="264"/>
        <v>38647</v>
      </c>
      <c r="E2123">
        <v>6</v>
      </c>
      <c r="F2123">
        <f t="shared" si="270"/>
        <v>5.6</v>
      </c>
      <c r="G2123">
        <f t="shared" si="265"/>
        <v>1</v>
      </c>
      <c r="H2123">
        <f t="shared" si="271"/>
        <v>1</v>
      </c>
      <c r="I2123">
        <v>2122</v>
      </c>
      <c r="J2123">
        <f t="shared" si="266"/>
        <v>-0.93042413523831324</v>
      </c>
      <c r="K2123">
        <f t="shared" si="267"/>
        <v>0.36648455433488181</v>
      </c>
      <c r="L2123">
        <f>VLOOKUP(D2123,[1]SOI!$A$1:$C$142,3)</f>
        <v>3.9</v>
      </c>
      <c r="M2123" s="2">
        <f t="shared" si="268"/>
        <v>-1974.3600149757008</v>
      </c>
      <c r="N2123">
        <f t="shared" si="269"/>
        <v>777.68022429861924</v>
      </c>
      <c r="O2123" t="s">
        <v>8</v>
      </c>
    </row>
    <row r="2124" spans="1:15" x14ac:dyDescent="0.35">
      <c r="A2124">
        <v>2005</v>
      </c>
      <c r="B2124">
        <v>10</v>
      </c>
      <c r="C2124">
        <v>23</v>
      </c>
      <c r="D2124" s="1">
        <f t="shared" si="264"/>
        <v>38648</v>
      </c>
      <c r="E2124">
        <v>1.2</v>
      </c>
      <c r="F2124">
        <f t="shared" si="270"/>
        <v>6</v>
      </c>
      <c r="G2124">
        <f t="shared" si="265"/>
        <v>1</v>
      </c>
      <c r="H2124">
        <f t="shared" si="271"/>
        <v>1</v>
      </c>
      <c r="I2124">
        <v>2123</v>
      </c>
      <c r="J2124">
        <f t="shared" si="266"/>
        <v>-0.92398235980194277</v>
      </c>
      <c r="K2124">
        <f t="shared" si="267"/>
        <v>0.38243509093025591</v>
      </c>
      <c r="L2124">
        <f>VLOOKUP(D2124,[1]SOI!$A$1:$C$142,3)</f>
        <v>3.9</v>
      </c>
      <c r="M2124" s="2">
        <f t="shared" si="268"/>
        <v>-1961.6145498595245</v>
      </c>
      <c r="N2124">
        <f t="shared" si="269"/>
        <v>811.90969804493329</v>
      </c>
      <c r="O2124" t="s">
        <v>8</v>
      </c>
    </row>
    <row r="2125" spans="1:15" x14ac:dyDescent="0.35">
      <c r="A2125">
        <v>2005</v>
      </c>
      <c r="B2125">
        <v>10</v>
      </c>
      <c r="C2125">
        <v>24</v>
      </c>
      <c r="D2125" s="1">
        <f t="shared" si="264"/>
        <v>38649</v>
      </c>
      <c r="E2125">
        <v>1.2</v>
      </c>
      <c r="F2125">
        <f t="shared" si="270"/>
        <v>1.2</v>
      </c>
      <c r="G2125">
        <f t="shared" si="265"/>
        <v>1</v>
      </c>
      <c r="H2125">
        <f t="shared" si="271"/>
        <v>1</v>
      </c>
      <c r="I2125">
        <v>2124</v>
      </c>
      <c r="J2125">
        <f t="shared" si="266"/>
        <v>-0.917267163119863</v>
      </c>
      <c r="K2125">
        <f t="shared" si="267"/>
        <v>0.3982724588294283</v>
      </c>
      <c r="L2125">
        <f>VLOOKUP(D2125,[1]SOI!$A$1:$C$142,3)</f>
        <v>3.9</v>
      </c>
      <c r="M2125" s="2">
        <f t="shared" si="268"/>
        <v>-1948.2754544665891</v>
      </c>
      <c r="N2125">
        <f t="shared" si="269"/>
        <v>845.93070255370571</v>
      </c>
      <c r="O2125" t="s">
        <v>8</v>
      </c>
    </row>
    <row r="2126" spans="1:15" x14ac:dyDescent="0.35">
      <c r="A2126">
        <v>2005</v>
      </c>
      <c r="B2126">
        <v>10</v>
      </c>
      <c r="C2126">
        <v>25</v>
      </c>
      <c r="D2126" s="1">
        <f t="shared" si="264"/>
        <v>38650</v>
      </c>
      <c r="E2126">
        <v>1.4</v>
      </c>
      <c r="F2126">
        <f t="shared" si="270"/>
        <v>1.2</v>
      </c>
      <c r="G2126">
        <f t="shared" si="265"/>
        <v>1</v>
      </c>
      <c r="H2126">
        <f t="shared" si="271"/>
        <v>1</v>
      </c>
      <c r="I2126">
        <v>2125</v>
      </c>
      <c r="J2126">
        <f t="shared" si="266"/>
        <v>-0.91028053232680362</v>
      </c>
      <c r="K2126">
        <f t="shared" si="267"/>
        <v>0.41399197150045186</v>
      </c>
      <c r="L2126">
        <f>VLOOKUP(D2126,[1]SOI!$A$1:$C$142,3)</f>
        <v>3.9</v>
      </c>
      <c r="M2126" s="2">
        <f t="shared" si="268"/>
        <v>-1934.3461311944577</v>
      </c>
      <c r="N2126">
        <f t="shared" si="269"/>
        <v>879.73293943846022</v>
      </c>
      <c r="O2126" t="s">
        <v>8</v>
      </c>
    </row>
    <row r="2127" spans="1:15" x14ac:dyDescent="0.35">
      <c r="A2127">
        <v>2005</v>
      </c>
      <c r="B2127">
        <v>10</v>
      </c>
      <c r="C2127">
        <v>26</v>
      </c>
      <c r="D2127" s="1">
        <f t="shared" si="264"/>
        <v>38651</v>
      </c>
      <c r="E2127">
        <v>0.6</v>
      </c>
      <c r="F2127">
        <f t="shared" si="270"/>
        <v>1.4</v>
      </c>
      <c r="G2127">
        <f t="shared" si="265"/>
        <v>1</v>
      </c>
      <c r="H2127">
        <f t="shared" si="271"/>
        <v>1</v>
      </c>
      <c r="I2127">
        <v>2126</v>
      </c>
      <c r="J2127">
        <f t="shared" si="266"/>
        <v>-0.9030245348792233</v>
      </c>
      <c r="K2127">
        <f t="shared" si="267"/>
        <v>0.42958897728661805</v>
      </c>
      <c r="L2127">
        <f>VLOOKUP(D2127,[1]SOI!$A$1:$C$142,3)</f>
        <v>3.9</v>
      </c>
      <c r="M2127" s="2">
        <f t="shared" si="268"/>
        <v>-1919.8301611532288</v>
      </c>
      <c r="N2127">
        <f t="shared" si="269"/>
        <v>913.30616571134999</v>
      </c>
      <c r="O2127" t="s">
        <v>8</v>
      </c>
    </row>
    <row r="2128" spans="1:15" x14ac:dyDescent="0.35">
      <c r="A2128">
        <v>2005</v>
      </c>
      <c r="B2128">
        <v>10</v>
      </c>
      <c r="C2128">
        <v>27</v>
      </c>
      <c r="D2128" s="1">
        <f t="shared" si="264"/>
        <v>38652</v>
      </c>
      <c r="E2128">
        <v>0.2</v>
      </c>
      <c r="F2128">
        <f t="shared" si="270"/>
        <v>0.6</v>
      </c>
      <c r="G2128">
        <f t="shared" si="265"/>
        <v>1</v>
      </c>
      <c r="H2128">
        <f t="shared" si="271"/>
        <v>1</v>
      </c>
      <c r="I2128">
        <v>2127</v>
      </c>
      <c r="J2128">
        <f t="shared" si="266"/>
        <v>-0.8955013179435044</v>
      </c>
      <c r="K2128">
        <f t="shared" si="267"/>
        <v>0.44505886078298312</v>
      </c>
      <c r="L2128">
        <f>VLOOKUP(D2128,[1]SOI!$A$1:$C$142,3)</f>
        <v>3.9</v>
      </c>
      <c r="M2128" s="2">
        <f t="shared" si="268"/>
        <v>-1904.731303265834</v>
      </c>
      <c r="N2128">
        <f t="shared" si="269"/>
        <v>946.64019688540509</v>
      </c>
      <c r="O2128" t="s">
        <v>8</v>
      </c>
    </row>
    <row r="2129" spans="1:15" x14ac:dyDescent="0.35">
      <c r="A2129">
        <v>2005</v>
      </c>
      <c r="B2129">
        <v>10</v>
      </c>
      <c r="C2129">
        <v>28</v>
      </c>
      <c r="D2129" s="1">
        <f t="shared" si="264"/>
        <v>38653</v>
      </c>
      <c r="E2129">
        <v>0</v>
      </c>
      <c r="F2129">
        <f t="shared" si="270"/>
        <v>0.2</v>
      </c>
      <c r="G2129">
        <f t="shared" si="265"/>
        <v>0</v>
      </c>
      <c r="H2129">
        <f t="shared" si="271"/>
        <v>1</v>
      </c>
      <c r="I2129">
        <v>2128</v>
      </c>
      <c r="J2129">
        <f t="shared" si="266"/>
        <v>-0.8877131077605751</v>
      </c>
      <c r="K2129">
        <f t="shared" si="267"/>
        <v>0.4603970442021339</v>
      </c>
      <c r="L2129">
        <f>VLOOKUP(D2129,[1]SOI!$A$1:$C$142,3)</f>
        <v>3.9</v>
      </c>
      <c r="M2129" s="2">
        <f t="shared" si="268"/>
        <v>-1889.0534933145038</v>
      </c>
      <c r="N2129">
        <f t="shared" si="269"/>
        <v>979.72491006214091</v>
      </c>
      <c r="O2129" t="s">
        <v>8</v>
      </c>
    </row>
    <row r="2130" spans="1:15" x14ac:dyDescent="0.35">
      <c r="A2130">
        <v>2005</v>
      </c>
      <c r="B2130">
        <v>10</v>
      </c>
      <c r="C2130">
        <v>29</v>
      </c>
      <c r="D2130" s="1">
        <f t="shared" si="264"/>
        <v>38654</v>
      </c>
      <c r="E2130">
        <v>0</v>
      </c>
      <c r="F2130">
        <f t="shared" si="270"/>
        <v>0</v>
      </c>
      <c r="G2130">
        <f t="shared" si="265"/>
        <v>0</v>
      </c>
      <c r="H2130">
        <f t="shared" si="271"/>
        <v>0</v>
      </c>
      <c r="I2130">
        <v>2129</v>
      </c>
      <c r="J2130">
        <f t="shared" si="266"/>
        <v>-0.87966220898712888</v>
      </c>
      <c r="K2130">
        <f t="shared" si="267"/>
        <v>0.47559898872882905</v>
      </c>
      <c r="L2130">
        <f>VLOOKUP(D2130,[1]SOI!$A$1:$C$142,3)</f>
        <v>3.9</v>
      </c>
      <c r="M2130" s="2">
        <f t="shared" si="268"/>
        <v>-1872.8008429335973</v>
      </c>
      <c r="N2130">
        <f t="shared" si="269"/>
        <v>1012.5502470036771</v>
      </c>
      <c r="O2130" t="s">
        <v>8</v>
      </c>
    </row>
    <row r="2131" spans="1:15" x14ac:dyDescent="0.35">
      <c r="A2131">
        <v>2005</v>
      </c>
      <c r="B2131">
        <v>10</v>
      </c>
      <c r="C2131">
        <v>30</v>
      </c>
      <c r="D2131" s="1">
        <f t="shared" si="264"/>
        <v>38655</v>
      </c>
      <c r="E2131">
        <v>2.6</v>
      </c>
      <c r="F2131">
        <f t="shared" si="270"/>
        <v>0</v>
      </c>
      <c r="G2131">
        <f t="shared" si="265"/>
        <v>1</v>
      </c>
      <c r="H2131">
        <f t="shared" si="271"/>
        <v>0</v>
      </c>
      <c r="I2131">
        <v>2130</v>
      </c>
      <c r="J2131">
        <f t="shared" si="266"/>
        <v>-0.87135100401364274</v>
      </c>
      <c r="K2131">
        <f t="shared" si="267"/>
        <v>0.49066019586310122</v>
      </c>
      <c r="L2131">
        <f>VLOOKUP(D2131,[1]SOI!$A$1:$C$142,3)</f>
        <v>3.9</v>
      </c>
      <c r="M2131" s="2">
        <f t="shared" si="268"/>
        <v>-1855.9776385490591</v>
      </c>
      <c r="N2131">
        <f t="shared" si="269"/>
        <v>1045.1062171884057</v>
      </c>
      <c r="O2131" t="s">
        <v>8</v>
      </c>
    </row>
    <row r="2132" spans="1:15" x14ac:dyDescent="0.35">
      <c r="A2132">
        <v>2005</v>
      </c>
      <c r="B2132">
        <v>10</v>
      </c>
      <c r="C2132">
        <v>31</v>
      </c>
      <c r="D2132" s="1">
        <f t="shared" si="264"/>
        <v>38656</v>
      </c>
      <c r="E2132">
        <v>0</v>
      </c>
      <c r="F2132">
        <f t="shared" si="270"/>
        <v>2.6</v>
      </c>
      <c r="G2132">
        <f t="shared" si="265"/>
        <v>0</v>
      </c>
      <c r="H2132">
        <f t="shared" si="271"/>
        <v>1</v>
      </c>
      <c r="I2132">
        <v>2131</v>
      </c>
      <c r="J2132">
        <f t="shared" si="266"/>
        <v>-0.86278195225937226</v>
      </c>
      <c r="K2132">
        <f t="shared" si="267"/>
        <v>0.50557620875146636</v>
      </c>
      <c r="L2132">
        <f>VLOOKUP(D2132,[1]SOI!$A$1:$C$142,3)</f>
        <v>3.9</v>
      </c>
      <c r="M2132" s="2">
        <f t="shared" si="268"/>
        <v>-1838.5883402647223</v>
      </c>
      <c r="N2132">
        <f t="shared" si="269"/>
        <v>1077.3829008493749</v>
      </c>
      <c r="O2132" t="s">
        <v>8</v>
      </c>
    </row>
    <row r="2133" spans="1:15" x14ac:dyDescent="0.35">
      <c r="A2133">
        <v>2005</v>
      </c>
      <c r="B2133">
        <v>11</v>
      </c>
      <c r="C2133">
        <v>1</v>
      </c>
      <c r="D2133" s="1">
        <f t="shared" si="264"/>
        <v>38657</v>
      </c>
      <c r="E2133">
        <v>0</v>
      </c>
      <c r="F2133">
        <f t="shared" si="270"/>
        <v>0</v>
      </c>
      <c r="G2133">
        <f t="shared" si="265"/>
        <v>0</v>
      </c>
      <c r="H2133">
        <f t="shared" si="271"/>
        <v>0</v>
      </c>
      <c r="I2133">
        <v>2132</v>
      </c>
      <c r="J2133">
        <f t="shared" si="266"/>
        <v>-0.85395758944460864</v>
      </c>
      <c r="K2133">
        <f t="shared" si="267"/>
        <v>0.52034261350571054</v>
      </c>
      <c r="L2133">
        <f>VLOOKUP(D2133,[1]SOI!$A$1:$C$142,3)</f>
        <v>10.9</v>
      </c>
      <c r="M2133" s="2">
        <f t="shared" si="268"/>
        <v>-1820.6375806959056</v>
      </c>
      <c r="N2133">
        <f t="shared" si="269"/>
        <v>1109.3704519941748</v>
      </c>
      <c r="O2133" t="s">
        <v>8</v>
      </c>
    </row>
    <row r="2134" spans="1:15" x14ac:dyDescent="0.35">
      <c r="A2134">
        <v>2005</v>
      </c>
      <c r="B2134">
        <v>11</v>
      </c>
      <c r="C2134">
        <v>2</v>
      </c>
      <c r="D2134" s="1">
        <f t="shared" si="264"/>
        <v>38658</v>
      </c>
      <c r="E2134">
        <v>0</v>
      </c>
      <c r="F2134">
        <f t="shared" si="270"/>
        <v>0</v>
      </c>
      <c r="G2134">
        <f t="shared" si="265"/>
        <v>0</v>
      </c>
      <c r="H2134">
        <f t="shared" si="271"/>
        <v>0</v>
      </c>
      <c r="I2134">
        <v>2133</v>
      </c>
      <c r="J2134">
        <f t="shared" si="266"/>
        <v>-0.84488052684026815</v>
      </c>
      <c r="K2134">
        <f t="shared" si="267"/>
        <v>0.53495504050911691</v>
      </c>
      <c r="L2134">
        <f>VLOOKUP(D2134,[1]SOI!$A$1:$C$142,3)</f>
        <v>10.9</v>
      </c>
      <c r="M2134" s="2">
        <f t="shared" si="268"/>
        <v>-1802.130163750292</v>
      </c>
      <c r="N2134">
        <f t="shared" si="269"/>
        <v>1141.0591014059464</v>
      </c>
      <c r="O2134" t="s">
        <v>8</v>
      </c>
    </row>
    <row r="2135" spans="1:15" x14ac:dyDescent="0.35">
      <c r="A2135">
        <v>2005</v>
      </c>
      <c r="B2135">
        <v>11</v>
      </c>
      <c r="C2135">
        <v>3</v>
      </c>
      <c r="D2135" s="1">
        <f t="shared" si="264"/>
        <v>38659</v>
      </c>
      <c r="E2135">
        <v>2.8</v>
      </c>
      <c r="F2135">
        <f t="shared" si="270"/>
        <v>0</v>
      </c>
      <c r="G2135">
        <f t="shared" si="265"/>
        <v>1</v>
      </c>
      <c r="H2135">
        <f t="shared" si="271"/>
        <v>0</v>
      </c>
      <c r="I2135">
        <v>2134</v>
      </c>
      <c r="J2135">
        <f t="shared" si="266"/>
        <v>-0.83555345049521501</v>
      </c>
      <c r="K2135">
        <f t="shared" si="267"/>
        <v>0.54940916570943765</v>
      </c>
      <c r="L2135">
        <f>VLOOKUP(D2135,[1]SOI!$A$1:$C$142,3)</f>
        <v>10.9</v>
      </c>
      <c r="M2135" s="2">
        <f t="shared" si="268"/>
        <v>-1783.0710633567887</v>
      </c>
      <c r="N2135">
        <f t="shared" si="269"/>
        <v>1172.43915962394</v>
      </c>
      <c r="O2135" t="s">
        <v>8</v>
      </c>
    </row>
    <row r="2136" spans="1:15" x14ac:dyDescent="0.35">
      <c r="A2136">
        <v>2005</v>
      </c>
      <c r="B2136">
        <v>11</v>
      </c>
      <c r="C2136">
        <v>4</v>
      </c>
      <c r="D2136" s="1">
        <f t="shared" si="264"/>
        <v>38660</v>
      </c>
      <c r="E2136">
        <v>0</v>
      </c>
      <c r="F2136">
        <f t="shared" si="270"/>
        <v>2.8</v>
      </c>
      <c r="G2136">
        <f t="shared" si="265"/>
        <v>0</v>
      </c>
      <c r="H2136">
        <f t="shared" si="271"/>
        <v>1</v>
      </c>
      <c r="I2136">
        <v>2135</v>
      </c>
      <c r="J2136">
        <f t="shared" si="266"/>
        <v>-0.82597912044140187</v>
      </c>
      <c r="K2136">
        <f t="shared" si="267"/>
        <v>0.56370071189847548</v>
      </c>
      <c r="L2136">
        <f>VLOOKUP(D2136,[1]SOI!$A$1:$C$142,3)</f>
        <v>10.9</v>
      </c>
      <c r="M2136" s="2">
        <f t="shared" si="268"/>
        <v>-1763.465422142393</v>
      </c>
      <c r="N2136">
        <f t="shared" si="269"/>
        <v>1203.5010199032452</v>
      </c>
      <c r="O2136" t="s">
        <v>8</v>
      </c>
    </row>
    <row r="2137" spans="1:15" x14ac:dyDescent="0.35">
      <c r="A2137">
        <v>2005</v>
      </c>
      <c r="B2137">
        <v>11</v>
      </c>
      <c r="C2137">
        <v>5</v>
      </c>
      <c r="D2137" s="1">
        <f t="shared" si="264"/>
        <v>38661</v>
      </c>
      <c r="E2137">
        <v>0</v>
      </c>
      <c r="F2137">
        <f t="shared" si="270"/>
        <v>0</v>
      </c>
      <c r="G2137">
        <f t="shared" si="265"/>
        <v>0</v>
      </c>
      <c r="H2137">
        <f t="shared" si="271"/>
        <v>0</v>
      </c>
      <c r="I2137">
        <v>2136</v>
      </c>
      <c r="J2137">
        <f t="shared" si="266"/>
        <v>-0.81616036987711593</v>
      </c>
      <c r="K2137">
        <f t="shared" si="267"/>
        <v>0.57782544997780194</v>
      </c>
      <c r="L2137">
        <f>VLOOKUP(D2137,[1]SOI!$A$1:$C$142,3)</f>
        <v>10.9</v>
      </c>
      <c r="M2137" s="2">
        <f t="shared" si="268"/>
        <v>-1743.3185500575196</v>
      </c>
      <c r="N2137">
        <f t="shared" si="269"/>
        <v>1234.2351611525849</v>
      </c>
      <c r="O2137" t="s">
        <v>8</v>
      </c>
    </row>
    <row r="2138" spans="1:15" x14ac:dyDescent="0.35">
      <c r="A2138">
        <v>2005</v>
      </c>
      <c r="B2138">
        <v>11</v>
      </c>
      <c r="C2138">
        <v>6</v>
      </c>
      <c r="D2138" s="1">
        <f t="shared" si="264"/>
        <v>38662</v>
      </c>
      <c r="E2138">
        <v>0</v>
      </c>
      <c r="F2138">
        <f t="shared" si="270"/>
        <v>0</v>
      </c>
      <c r="G2138">
        <f t="shared" si="265"/>
        <v>0</v>
      </c>
      <c r="H2138">
        <f t="shared" si="271"/>
        <v>0</v>
      </c>
      <c r="I2138">
        <v>2137</v>
      </c>
      <c r="J2138">
        <f t="shared" si="266"/>
        <v>-0.80610010432862966</v>
      </c>
      <c r="K2138">
        <f t="shared" si="267"/>
        <v>0.5917792002101564</v>
      </c>
      <c r="L2138">
        <f>VLOOKUP(D2138,[1]SOI!$A$1:$C$142,3)</f>
        <v>10.9</v>
      </c>
      <c r="M2138" s="2">
        <f t="shared" si="268"/>
        <v>-1722.6359229502816</v>
      </c>
      <c r="N2138">
        <f t="shared" si="269"/>
        <v>1264.6321508491042</v>
      </c>
      <c r="O2138" t="s">
        <v>8</v>
      </c>
    </row>
    <row r="2139" spans="1:15" x14ac:dyDescent="0.35">
      <c r="A2139">
        <v>2005</v>
      </c>
      <c r="B2139">
        <v>11</v>
      </c>
      <c r="C2139">
        <v>7</v>
      </c>
      <c r="D2139" s="1">
        <f t="shared" si="264"/>
        <v>38663</v>
      </c>
      <c r="E2139">
        <v>0</v>
      </c>
      <c r="F2139">
        <f t="shared" si="270"/>
        <v>0</v>
      </c>
      <c r="G2139">
        <f t="shared" si="265"/>
        <v>0</v>
      </c>
      <c r="H2139">
        <f t="shared" si="271"/>
        <v>0</v>
      </c>
      <c r="I2139">
        <v>2138</v>
      </c>
      <c r="J2139">
        <f t="shared" si="266"/>
        <v>-0.79580130079037315</v>
      </c>
      <c r="K2139">
        <f t="shared" si="267"/>
        <v>0.60555783345635128</v>
      </c>
      <c r="L2139">
        <f>VLOOKUP(D2139,[1]SOI!$A$1:$C$142,3)</f>
        <v>10.9</v>
      </c>
      <c r="M2139" s="2">
        <f t="shared" si="268"/>
        <v>-1701.4231810898177</v>
      </c>
      <c r="N2139">
        <f t="shared" si="269"/>
        <v>1294.682647929679</v>
      </c>
      <c r="O2139" t="s">
        <v>8</v>
      </c>
    </row>
    <row r="2140" spans="1:15" x14ac:dyDescent="0.35">
      <c r="A2140">
        <v>2005</v>
      </c>
      <c r="B2140">
        <v>11</v>
      </c>
      <c r="C2140">
        <v>8</v>
      </c>
      <c r="D2140" s="1">
        <f t="shared" si="264"/>
        <v>38664</v>
      </c>
      <c r="E2140">
        <v>12.6</v>
      </c>
      <c r="F2140">
        <f t="shared" si="270"/>
        <v>0</v>
      </c>
      <c r="G2140">
        <f t="shared" si="265"/>
        <v>1</v>
      </c>
      <c r="H2140">
        <f t="shared" si="271"/>
        <v>0</v>
      </c>
      <c r="I2140">
        <v>2139</v>
      </c>
      <c r="J2140">
        <f t="shared" si="266"/>
        <v>-0.78526700684399675</v>
      </c>
      <c r="K2140">
        <f t="shared" si="267"/>
        <v>0.61915727239714335</v>
      </c>
      <c r="L2140">
        <f>VLOOKUP(D2140,[1]SOI!$A$1:$C$142,3)</f>
        <v>10.9</v>
      </c>
      <c r="M2140" s="2">
        <f t="shared" si="268"/>
        <v>-1679.686127639309</v>
      </c>
      <c r="N2140">
        <f t="shared" si="269"/>
        <v>1324.3774056574896</v>
      </c>
      <c r="O2140" t="s">
        <v>8</v>
      </c>
    </row>
    <row r="2141" spans="1:15" x14ac:dyDescent="0.35">
      <c r="A2141">
        <v>2005</v>
      </c>
      <c r="B2141">
        <v>11</v>
      </c>
      <c r="C2141">
        <v>9</v>
      </c>
      <c r="D2141" s="1">
        <f t="shared" si="264"/>
        <v>38665</v>
      </c>
      <c r="E2141">
        <v>0.6</v>
      </c>
      <c r="F2141">
        <f t="shared" si="270"/>
        <v>12.6</v>
      </c>
      <c r="G2141">
        <f t="shared" si="265"/>
        <v>1</v>
      </c>
      <c r="H2141">
        <f t="shared" si="271"/>
        <v>1</v>
      </c>
      <c r="I2141">
        <v>2140</v>
      </c>
      <c r="J2141">
        <f t="shared" si="266"/>
        <v>-0.77450033975656385</v>
      </c>
      <c r="K2141">
        <f t="shared" si="267"/>
        <v>0.6325734927397505</v>
      </c>
      <c r="L2141">
        <f>VLOOKUP(D2141,[1]SOI!$A$1:$C$142,3)</f>
        <v>10.9</v>
      </c>
      <c r="M2141" s="2">
        <f t="shared" si="268"/>
        <v>-1657.4307270790466</v>
      </c>
      <c r="N2141">
        <f t="shared" si="269"/>
        <v>1353.7072744630661</v>
      </c>
      <c r="O2141" t="s">
        <v>8</v>
      </c>
    </row>
    <row r="2142" spans="1:15" x14ac:dyDescent="0.35">
      <c r="A2142">
        <v>2005</v>
      </c>
      <c r="B2142">
        <v>11</v>
      </c>
      <c r="C2142">
        <v>10</v>
      </c>
      <c r="D2142" s="1">
        <f t="shared" si="264"/>
        <v>38666</v>
      </c>
      <c r="E2142">
        <v>1.4</v>
      </c>
      <c r="F2142">
        <f t="shared" si="270"/>
        <v>0.6</v>
      </c>
      <c r="G2142">
        <f t="shared" si="265"/>
        <v>1</v>
      </c>
      <c r="H2142">
        <f t="shared" si="271"/>
        <v>1</v>
      </c>
      <c r="I2142">
        <v>2141</v>
      </c>
      <c r="J2142">
        <f t="shared" si="266"/>
        <v>-0.7635044855580847</v>
      </c>
      <c r="K2142">
        <f t="shared" si="267"/>
        <v>0.64580252440872699</v>
      </c>
      <c r="L2142">
        <f>VLOOKUP(D2142,[1]SOI!$A$1:$C$142,3)</f>
        <v>10.9</v>
      </c>
      <c r="M2142" s="2">
        <f t="shared" si="268"/>
        <v>-1634.6631035798594</v>
      </c>
      <c r="N2142">
        <f t="shared" si="269"/>
        <v>1382.6632047590845</v>
      </c>
      <c r="O2142" t="s">
        <v>8</v>
      </c>
    </row>
    <row r="2143" spans="1:15" x14ac:dyDescent="0.35">
      <c r="A2143">
        <v>2005</v>
      </c>
      <c r="B2143">
        <v>11</v>
      </c>
      <c r="C2143">
        <v>11</v>
      </c>
      <c r="D2143" s="1">
        <f t="shared" si="264"/>
        <v>38667</v>
      </c>
      <c r="E2143">
        <v>5.4</v>
      </c>
      <c r="F2143">
        <f t="shared" si="270"/>
        <v>1.4</v>
      </c>
      <c r="G2143">
        <f t="shared" si="265"/>
        <v>1</v>
      </c>
      <c r="H2143">
        <f t="shared" si="271"/>
        <v>1</v>
      </c>
      <c r="I2143">
        <v>2142</v>
      </c>
      <c r="J2143">
        <f t="shared" si="266"/>
        <v>-0.75228269809872284</v>
      </c>
      <c r="K2143">
        <f t="shared" si="267"/>
        <v>0.65884045272076741</v>
      </c>
      <c r="L2143">
        <f>VLOOKUP(D2143,[1]SOI!$A$1:$C$142,3)</f>
        <v>10.9</v>
      </c>
      <c r="M2143" s="2">
        <f t="shared" si="268"/>
        <v>-1611.3895393274643</v>
      </c>
      <c r="N2143">
        <f t="shared" si="269"/>
        <v>1411.2362497278839</v>
      </c>
      <c r="O2143" t="s">
        <v>8</v>
      </c>
    </row>
    <row r="2144" spans="1:15" x14ac:dyDescent="0.35">
      <c r="A2144">
        <v>2005</v>
      </c>
      <c r="B2144">
        <v>11</v>
      </c>
      <c r="C2144">
        <v>12</v>
      </c>
      <c r="D2144" s="1">
        <f t="shared" si="264"/>
        <v>38668</v>
      </c>
      <c r="E2144">
        <v>0.8</v>
      </c>
      <c r="F2144">
        <f t="shared" si="270"/>
        <v>5.4</v>
      </c>
      <c r="G2144">
        <f t="shared" si="265"/>
        <v>1</v>
      </c>
      <c r="H2144">
        <f t="shared" si="271"/>
        <v>1</v>
      </c>
      <c r="I2144">
        <v>2143</v>
      </c>
      <c r="J2144">
        <f t="shared" si="266"/>
        <v>-0.7408382980859336</v>
      </c>
      <c r="K2144">
        <f t="shared" si="267"/>
        <v>0.67168341954311883</v>
      </c>
      <c r="L2144">
        <f>VLOOKUP(D2144,[1]SOI!$A$1:$C$142,3)</f>
        <v>10.9</v>
      </c>
      <c r="M2144" s="2">
        <f t="shared" si="268"/>
        <v>-1587.6164727981557</v>
      </c>
      <c r="N2144">
        <f t="shared" si="269"/>
        <v>1439.4175680809037</v>
      </c>
      <c r="O2144" t="s">
        <v>8</v>
      </c>
    </row>
    <row r="2145" spans="1:15" x14ac:dyDescent="0.35">
      <c r="A2145">
        <v>2005</v>
      </c>
      <c r="B2145">
        <v>11</v>
      </c>
      <c r="C2145">
        <v>13</v>
      </c>
      <c r="D2145" s="1">
        <f t="shared" si="264"/>
        <v>38669</v>
      </c>
      <c r="E2145">
        <v>1.2</v>
      </c>
      <c r="F2145">
        <f t="shared" si="270"/>
        <v>0.8</v>
      </c>
      <c r="G2145">
        <f t="shared" si="265"/>
        <v>1</v>
      </c>
      <c r="H2145">
        <f t="shared" si="271"/>
        <v>1</v>
      </c>
      <c r="I2145">
        <v>2144</v>
      </c>
      <c r="J2145">
        <f t="shared" si="266"/>
        <v>-0.72917467210179387</v>
      </c>
      <c r="K2145">
        <f t="shared" si="267"/>
        <v>0.68432762443528572</v>
      </c>
      <c r="L2145">
        <f>VLOOKUP(D2145,[1]SOI!$A$1:$C$142,3)</f>
        <v>10.9</v>
      </c>
      <c r="M2145" s="2">
        <f t="shared" si="268"/>
        <v>-1563.3504969862461</v>
      </c>
      <c r="N2145">
        <f t="shared" si="269"/>
        <v>1467.1984267892526</v>
      </c>
      <c r="O2145" t="s">
        <v>8</v>
      </c>
    </row>
    <row r="2146" spans="1:15" x14ac:dyDescent="0.35">
      <c r="A2146">
        <v>2005</v>
      </c>
      <c r="B2146">
        <v>11</v>
      </c>
      <c r="C2146">
        <v>14</v>
      </c>
      <c r="D2146" s="1">
        <f t="shared" si="264"/>
        <v>38670</v>
      </c>
      <c r="E2146">
        <v>0</v>
      </c>
      <c r="F2146">
        <f t="shared" si="270"/>
        <v>1.2</v>
      </c>
      <c r="G2146">
        <f t="shared" si="265"/>
        <v>0</v>
      </c>
      <c r="H2146">
        <f t="shared" si="271"/>
        <v>1</v>
      </c>
      <c r="I2146">
        <v>2145</v>
      </c>
      <c r="J2146">
        <f t="shared" si="266"/>
        <v>-0.71729527160088669</v>
      </c>
      <c r="K2146">
        <f t="shared" si="267"/>
        <v>0.69676932577360928</v>
      </c>
      <c r="L2146">
        <f>VLOOKUP(D2146,[1]SOI!$A$1:$C$142,3)</f>
        <v>10.9</v>
      </c>
      <c r="M2146" s="2">
        <f t="shared" si="268"/>
        <v>-1538.598357583902</v>
      </c>
      <c r="N2146">
        <f t="shared" si="269"/>
        <v>1494.5702037843919</v>
      </c>
      <c r="O2146" t="s">
        <v>8</v>
      </c>
    </row>
    <row r="2147" spans="1:15" x14ac:dyDescent="0.35">
      <c r="A2147">
        <v>2005</v>
      </c>
      <c r="B2147">
        <v>11</v>
      </c>
      <c r="C2147">
        <v>15</v>
      </c>
      <c r="D2147" s="1">
        <f t="shared" si="264"/>
        <v>38671</v>
      </c>
      <c r="E2147">
        <v>26.6</v>
      </c>
      <c r="F2147">
        <f t="shared" si="270"/>
        <v>0</v>
      </c>
      <c r="G2147">
        <f t="shared" si="265"/>
        <v>1</v>
      </c>
      <c r="H2147">
        <f t="shared" si="271"/>
        <v>0</v>
      </c>
      <c r="I2147">
        <v>2146</v>
      </c>
      <c r="J2147">
        <f t="shared" si="266"/>
        <v>-0.70520361188894165</v>
      </c>
      <c r="K2147">
        <f t="shared" si="267"/>
        <v>0.70900484185849599</v>
      </c>
      <c r="L2147">
        <f>VLOOKUP(D2147,[1]SOI!$A$1:$C$142,3)</f>
        <v>10.9</v>
      </c>
      <c r="M2147" s="2">
        <f t="shared" si="268"/>
        <v>-1513.3669511136688</v>
      </c>
      <c r="N2147">
        <f t="shared" si="269"/>
        <v>1521.5243906283324</v>
      </c>
      <c r="O2147" t="s">
        <v>8</v>
      </c>
    </row>
    <row r="2148" spans="1:15" x14ac:dyDescent="0.35">
      <c r="A2148">
        <v>2005</v>
      </c>
      <c r="B2148">
        <v>11</v>
      </c>
      <c r="C2148">
        <v>16</v>
      </c>
      <c r="D2148" s="1">
        <f t="shared" si="264"/>
        <v>38672</v>
      </c>
      <c r="E2148">
        <v>0</v>
      </c>
      <c r="F2148">
        <f t="shared" si="270"/>
        <v>26.6</v>
      </c>
      <c r="G2148">
        <f t="shared" si="265"/>
        <v>0</v>
      </c>
      <c r="H2148">
        <f t="shared" si="271"/>
        <v>1</v>
      </c>
      <c r="I2148">
        <v>2147</v>
      </c>
      <c r="J2148">
        <f t="shared" si="266"/>
        <v>-0.69290327108260352</v>
      </c>
      <c r="K2148">
        <f t="shared" si="267"/>
        <v>0.72103055200388566</v>
      </c>
      <c r="L2148">
        <f>VLOOKUP(D2148,[1]SOI!$A$1:$C$142,3)</f>
        <v>10.9</v>
      </c>
      <c r="M2148" s="2">
        <f t="shared" si="268"/>
        <v>-1487.6633230143498</v>
      </c>
      <c r="N2148">
        <f t="shared" si="269"/>
        <v>1548.0525951523425</v>
      </c>
      <c r="O2148" t="s">
        <v>8</v>
      </c>
    </row>
    <row r="2149" spans="1:15" x14ac:dyDescent="0.35">
      <c r="A2149">
        <v>2005</v>
      </c>
      <c r="B2149">
        <v>11</v>
      </c>
      <c r="C2149">
        <v>17</v>
      </c>
      <c r="D2149" s="1">
        <f t="shared" si="264"/>
        <v>38673</v>
      </c>
      <c r="E2149">
        <v>0</v>
      </c>
      <c r="F2149">
        <f t="shared" si="270"/>
        <v>0</v>
      </c>
      <c r="G2149">
        <f t="shared" si="265"/>
        <v>0</v>
      </c>
      <c r="H2149">
        <f t="shared" si="271"/>
        <v>0</v>
      </c>
      <c r="I2149">
        <v>2148</v>
      </c>
      <c r="J2149">
        <f t="shared" si="266"/>
        <v>-0.68039788905061027</v>
      </c>
      <c r="K2149">
        <f t="shared" si="267"/>
        <v>0.73284289760867127</v>
      </c>
      <c r="L2149">
        <f>VLOOKUP(D2149,[1]SOI!$A$1:$C$142,3)</f>
        <v>10.9</v>
      </c>
      <c r="M2149" s="2">
        <f t="shared" si="268"/>
        <v>-1461.4946656807108</v>
      </c>
      <c r="N2149">
        <f t="shared" si="269"/>
        <v>1574.1465440634258</v>
      </c>
      <c r="O2149" t="s">
        <v>8</v>
      </c>
    </row>
    <row r="2150" spans="1:15" x14ac:dyDescent="0.35">
      <c r="A2150">
        <v>2005</v>
      </c>
      <c r="B2150">
        <v>11</v>
      </c>
      <c r="C2150">
        <v>18</v>
      </c>
      <c r="D2150" s="1">
        <f t="shared" si="264"/>
        <v>38674</v>
      </c>
      <c r="E2150">
        <v>0</v>
      </c>
      <c r="F2150">
        <f t="shared" si="270"/>
        <v>0</v>
      </c>
      <c r="G2150">
        <f t="shared" si="265"/>
        <v>0</v>
      </c>
      <c r="H2150">
        <f t="shared" si="271"/>
        <v>0</v>
      </c>
      <c r="I2150">
        <v>2149</v>
      </c>
      <c r="J2150">
        <f t="shared" si="266"/>
        <v>-0.66769116633670289</v>
      </c>
      <c r="K2150">
        <f t="shared" si="267"/>
        <v>0.74443838320974109</v>
      </c>
      <c r="L2150">
        <f>VLOOKUP(D2150,[1]SOI!$A$1:$C$142,3)</f>
        <v>10.9</v>
      </c>
      <c r="M2150" s="2">
        <f t="shared" si="268"/>
        <v>-1434.8683164575746</v>
      </c>
      <c r="N2150">
        <f t="shared" si="269"/>
        <v>1599.7980855177336</v>
      </c>
      <c r="O2150" t="s">
        <v>8</v>
      </c>
    </row>
    <row r="2151" spans="1:15" x14ac:dyDescent="0.35">
      <c r="A2151">
        <v>2005</v>
      </c>
      <c r="B2151">
        <v>11</v>
      </c>
      <c r="C2151">
        <v>19</v>
      </c>
      <c r="D2151" s="1">
        <f t="shared" si="264"/>
        <v>38675</v>
      </c>
      <c r="E2151">
        <v>3</v>
      </c>
      <c r="F2151">
        <f t="shared" si="270"/>
        <v>0</v>
      </c>
      <c r="G2151">
        <f t="shared" si="265"/>
        <v>1</v>
      </c>
      <c r="H2151">
        <f t="shared" si="271"/>
        <v>0</v>
      </c>
      <c r="I2151">
        <v>2150</v>
      </c>
      <c r="J2151">
        <f t="shared" si="266"/>
        <v>-0.65478686306455325</v>
      </c>
      <c r="K2151">
        <f t="shared" si="267"/>
        <v>0.75581357751636213</v>
      </c>
      <c r="L2151">
        <f>VLOOKUP(D2151,[1]SOI!$A$1:$C$142,3)</f>
        <v>10.9</v>
      </c>
      <c r="M2151" s="2">
        <f t="shared" si="268"/>
        <v>-1407.7917555887896</v>
      </c>
      <c r="N2151">
        <f t="shared" si="269"/>
        <v>1624.9991916601787</v>
      </c>
      <c r="O2151" t="s">
        <v>8</v>
      </c>
    </row>
    <row r="2152" spans="1:15" x14ac:dyDescent="0.35">
      <c r="A2152">
        <v>2005</v>
      </c>
      <c r="B2152">
        <v>11</v>
      </c>
      <c r="C2152">
        <v>20</v>
      </c>
      <c r="D2152" s="1">
        <f t="shared" si="264"/>
        <v>38676</v>
      </c>
      <c r="E2152">
        <v>0</v>
      </c>
      <c r="F2152">
        <f t="shared" si="270"/>
        <v>3</v>
      </c>
      <c r="G2152">
        <f t="shared" si="265"/>
        <v>0</v>
      </c>
      <c r="H2152">
        <f t="shared" si="271"/>
        <v>1</v>
      </c>
      <c r="I2152">
        <v>2151</v>
      </c>
      <c r="J2152">
        <f t="shared" si="266"/>
        <v>-0.64168879782511512</v>
      </c>
      <c r="K2152">
        <f t="shared" si="267"/>
        <v>0.76696511442552495</v>
      </c>
      <c r="L2152">
        <f>VLOOKUP(D2152,[1]SOI!$A$1:$C$142,3)</f>
        <v>10.9</v>
      </c>
      <c r="M2152" s="2">
        <f t="shared" si="268"/>
        <v>-1380.2726041218227</v>
      </c>
      <c r="N2152">
        <f t="shared" si="269"/>
        <v>1649.7419611293042</v>
      </c>
      <c r="O2152" t="s">
        <v>8</v>
      </c>
    </row>
    <row r="2153" spans="1:15" x14ac:dyDescent="0.35">
      <c r="A2153">
        <v>2005</v>
      </c>
      <c r="B2153">
        <v>11</v>
      </c>
      <c r="C2153">
        <v>21</v>
      </c>
      <c r="D2153" s="1">
        <f t="shared" si="264"/>
        <v>38677</v>
      </c>
      <c r="E2153">
        <v>0</v>
      </c>
      <c r="F2153">
        <f t="shared" si="270"/>
        <v>0</v>
      </c>
      <c r="G2153">
        <f t="shared" si="265"/>
        <v>0</v>
      </c>
      <c r="H2153">
        <f t="shared" si="271"/>
        <v>0</v>
      </c>
      <c r="I2153">
        <v>2152</v>
      </c>
      <c r="J2153">
        <f t="shared" si="266"/>
        <v>-0.62840084654662054</v>
      </c>
      <c r="K2153">
        <f t="shared" si="267"/>
        <v>0.77788969401804697</v>
      </c>
      <c r="L2153">
        <f>VLOOKUP(D2153,[1]SOI!$A$1:$C$142,3)</f>
        <v>10.9</v>
      </c>
      <c r="M2153" s="2">
        <f t="shared" si="268"/>
        <v>-1352.3186217683274</v>
      </c>
      <c r="N2153">
        <f t="shared" si="269"/>
        <v>1674.018621526837</v>
      </c>
      <c r="O2153" t="s">
        <v>8</v>
      </c>
    </row>
    <row r="2154" spans="1:15" x14ac:dyDescent="0.35">
      <c r="A2154">
        <v>2005</v>
      </c>
      <c r="B2154">
        <v>11</v>
      </c>
      <c r="C2154">
        <v>22</v>
      </c>
      <c r="D2154" s="1">
        <f t="shared" si="264"/>
        <v>38678</v>
      </c>
      <c r="E2154">
        <v>0</v>
      </c>
      <c r="F2154">
        <f t="shared" si="270"/>
        <v>0</v>
      </c>
      <c r="G2154">
        <f t="shared" si="265"/>
        <v>0</v>
      </c>
      <c r="H2154">
        <f t="shared" si="271"/>
        <v>0</v>
      </c>
      <c r="I2154">
        <v>2153</v>
      </c>
      <c r="J2154">
        <f t="shared" si="266"/>
        <v>-0.61492694134763526</v>
      </c>
      <c r="K2154">
        <f t="shared" si="267"/>
        <v>0.78858408353506726</v>
      </c>
      <c r="L2154">
        <f>VLOOKUP(D2154,[1]SOI!$A$1:$C$142,3)</f>
        <v>10.9</v>
      </c>
      <c r="M2154" s="2">
        <f t="shared" si="268"/>
        <v>-1323.9377047214587</v>
      </c>
      <c r="N2154">
        <f t="shared" si="269"/>
        <v>1697.8215318509999</v>
      </c>
      <c r="O2154" t="s">
        <v>8</v>
      </c>
    </row>
    <row r="2155" spans="1:15" x14ac:dyDescent="0.35">
      <c r="A2155">
        <v>2005</v>
      </c>
      <c r="B2155">
        <v>11</v>
      </c>
      <c r="C2155">
        <v>23</v>
      </c>
      <c r="D2155" s="1">
        <f t="shared" si="264"/>
        <v>38679</v>
      </c>
      <c r="E2155">
        <v>0</v>
      </c>
      <c r="F2155">
        <f t="shared" si="270"/>
        <v>0</v>
      </c>
      <c r="G2155">
        <f t="shared" si="265"/>
        <v>0</v>
      </c>
      <c r="H2155">
        <f t="shared" si="271"/>
        <v>0</v>
      </c>
      <c r="I2155">
        <v>2154</v>
      </c>
      <c r="J2155">
        <f t="shared" si="266"/>
        <v>-0.60127106937348773</v>
      </c>
      <c r="K2155">
        <f t="shared" si="267"/>
        <v>0.79904511833466729</v>
      </c>
      <c r="L2155">
        <f>VLOOKUP(D2155,[1]SOI!$A$1:$C$142,3)</f>
        <v>10.9</v>
      </c>
      <c r="M2155" s="2">
        <f t="shared" si="268"/>
        <v>-1295.1378834304926</v>
      </c>
      <c r="N2155">
        <f t="shared" si="269"/>
        <v>1721.1431848928733</v>
      </c>
      <c r="O2155" t="s">
        <v>8</v>
      </c>
    </row>
    <row r="2156" spans="1:15" x14ac:dyDescent="0.35">
      <c r="A2156">
        <v>2005</v>
      </c>
      <c r="B2156">
        <v>11</v>
      </c>
      <c r="C2156">
        <v>24</v>
      </c>
      <c r="D2156" s="1">
        <f t="shared" si="264"/>
        <v>38680</v>
      </c>
      <c r="E2156">
        <v>0</v>
      </c>
      <c r="F2156">
        <f t="shared" si="270"/>
        <v>0</v>
      </c>
      <c r="G2156">
        <f t="shared" si="265"/>
        <v>0</v>
      </c>
      <c r="H2156">
        <f t="shared" si="271"/>
        <v>0</v>
      </c>
      <c r="I2156">
        <v>2155</v>
      </c>
      <c r="J2156">
        <f t="shared" si="266"/>
        <v>-0.5874372716163857</v>
      </c>
      <c r="K2156">
        <f t="shared" si="267"/>
        <v>0.80926970282835664</v>
      </c>
      <c r="L2156">
        <f>VLOOKUP(D2156,[1]SOI!$A$1:$C$142,3)</f>
        <v>10.9</v>
      </c>
      <c r="M2156" s="2">
        <f t="shared" si="268"/>
        <v>-1265.9273203333112</v>
      </c>
      <c r="N2156">
        <f t="shared" si="269"/>
        <v>1743.9762095951085</v>
      </c>
      <c r="O2156" t="s">
        <v>8</v>
      </c>
    </row>
    <row r="2157" spans="1:15" x14ac:dyDescent="0.35">
      <c r="A2157">
        <v>2005</v>
      </c>
      <c r="B2157">
        <v>11</v>
      </c>
      <c r="C2157">
        <v>25</v>
      </c>
      <c r="D2157" s="1">
        <f t="shared" si="264"/>
        <v>38681</v>
      </c>
      <c r="E2157">
        <v>2</v>
      </c>
      <c r="F2157">
        <f t="shared" si="270"/>
        <v>0</v>
      </c>
      <c r="G2157">
        <f t="shared" si="265"/>
        <v>1</v>
      </c>
      <c r="H2157">
        <f t="shared" si="271"/>
        <v>0</v>
      </c>
      <c r="I2157">
        <v>2156</v>
      </c>
      <c r="J2157">
        <f t="shared" si="266"/>
        <v>-0.57342964171965538</v>
      </c>
      <c r="K2157">
        <f t="shared" si="267"/>
        <v>0.81925481139708156</v>
      </c>
      <c r="L2157">
        <f>VLOOKUP(D2157,[1]SOI!$A$1:$C$142,3)</f>
        <v>10.9</v>
      </c>
      <c r="M2157" s="2">
        <f t="shared" si="268"/>
        <v>-1236.3143075475771</v>
      </c>
      <c r="N2157">
        <f t="shared" si="269"/>
        <v>1766.3133733721079</v>
      </c>
      <c r="O2157" t="s">
        <v>8</v>
      </c>
    </row>
    <row r="2158" spans="1:15" x14ac:dyDescent="0.35">
      <c r="A2158">
        <v>2005</v>
      </c>
      <c r="B2158">
        <v>11</v>
      </c>
      <c r="C2158">
        <v>26</v>
      </c>
      <c r="D2158" s="1">
        <f t="shared" si="264"/>
        <v>38682</v>
      </c>
      <c r="E2158">
        <v>1.2</v>
      </c>
      <c r="F2158">
        <f t="shared" si="270"/>
        <v>2</v>
      </c>
      <c r="G2158">
        <f t="shared" si="265"/>
        <v>1</v>
      </c>
      <c r="H2158">
        <f t="shared" si="271"/>
        <v>1</v>
      </c>
      <c r="I2158">
        <v>2157</v>
      </c>
      <c r="J2158">
        <f t="shared" si="266"/>
        <v>-0.55925232476634446</v>
      </c>
      <c r="K2158">
        <f t="shared" si="267"/>
        <v>0.82899748928657147</v>
      </c>
      <c r="L2158">
        <f>VLOOKUP(D2158,[1]SOI!$A$1:$C$142,3)</f>
        <v>10.9</v>
      </c>
      <c r="M2158" s="2">
        <f t="shared" si="268"/>
        <v>-1206.307264521005</v>
      </c>
      <c r="N2158">
        <f t="shared" si="269"/>
        <v>1788.1475843911346</v>
      </c>
      <c r="O2158" t="s">
        <v>8</v>
      </c>
    </row>
    <row r="2159" spans="1:15" x14ac:dyDescent="0.35">
      <c r="A2159">
        <v>2005</v>
      </c>
      <c r="B2159">
        <v>11</v>
      </c>
      <c r="C2159">
        <v>27</v>
      </c>
      <c r="D2159" s="1">
        <f t="shared" si="264"/>
        <v>38683</v>
      </c>
      <c r="E2159">
        <v>0</v>
      </c>
      <c r="F2159">
        <f t="shared" si="270"/>
        <v>1.2</v>
      </c>
      <c r="G2159">
        <f t="shared" si="265"/>
        <v>0</v>
      </c>
      <c r="H2159">
        <f t="shared" si="271"/>
        <v>1</v>
      </c>
      <c r="I2159">
        <v>2158</v>
      </c>
      <c r="J2159">
        <f t="shared" si="266"/>
        <v>-0.54490951605263038</v>
      </c>
      <c r="K2159">
        <f t="shared" si="267"/>
        <v>0.83849485348169439</v>
      </c>
      <c r="L2159">
        <f>VLOOKUP(D2159,[1]SOI!$A$1:$C$142,3)</f>
        <v>10.9</v>
      </c>
      <c r="M2159" s="2">
        <f t="shared" si="268"/>
        <v>-1175.9147356415763</v>
      </c>
      <c r="N2159">
        <f t="shared" si="269"/>
        <v>1809.4718938134965</v>
      </c>
      <c r="O2159" t="s">
        <v>8</v>
      </c>
    </row>
    <row r="2160" spans="1:15" x14ac:dyDescent="0.35">
      <c r="A2160">
        <v>2005</v>
      </c>
      <c r="B2160">
        <v>11</v>
      </c>
      <c r="C2160">
        <v>28</v>
      </c>
      <c r="D2160" s="1">
        <f t="shared" si="264"/>
        <v>38684</v>
      </c>
      <c r="E2160">
        <v>0</v>
      </c>
      <c r="F2160">
        <f t="shared" si="270"/>
        <v>0</v>
      </c>
      <c r="G2160">
        <f t="shared" si="265"/>
        <v>0</v>
      </c>
      <c r="H2160">
        <f t="shared" si="271"/>
        <v>0</v>
      </c>
      <c r="I2160">
        <v>2159</v>
      </c>
      <c r="J2160">
        <f t="shared" si="266"/>
        <v>-0.53040545984636511</v>
      </c>
      <c r="K2160">
        <f t="shared" si="267"/>
        <v>0.84774409355958702</v>
      </c>
      <c r="L2160">
        <f>VLOOKUP(D2160,[1]SOI!$A$1:$C$142,3)</f>
        <v>10.9</v>
      </c>
      <c r="M2160" s="2">
        <f t="shared" si="268"/>
        <v>-1145.1453878083023</v>
      </c>
      <c r="N2160">
        <f t="shared" si="269"/>
        <v>1830.2794979951484</v>
      </c>
      <c r="O2160" t="s">
        <v>8</v>
      </c>
    </row>
    <row r="2161" spans="1:15" x14ac:dyDescent="0.35">
      <c r="A2161">
        <v>2005</v>
      </c>
      <c r="B2161">
        <v>11</v>
      </c>
      <c r="C2161">
        <v>29</v>
      </c>
      <c r="D2161" s="1">
        <f t="shared" si="264"/>
        <v>38685</v>
      </c>
      <c r="E2161">
        <v>0</v>
      </c>
      <c r="F2161">
        <f t="shared" si="270"/>
        <v>0</v>
      </c>
      <c r="G2161">
        <f t="shared" si="265"/>
        <v>0</v>
      </c>
      <c r="H2161">
        <f t="shared" si="271"/>
        <v>0</v>
      </c>
      <c r="I2161">
        <v>2160</v>
      </c>
      <c r="J2161">
        <f t="shared" si="266"/>
        <v>-0.51574444813113418</v>
      </c>
      <c r="K2161">
        <f t="shared" si="267"/>
        <v>0.85674247252130076</v>
      </c>
      <c r="L2161">
        <f>VLOOKUP(D2161,[1]SOI!$A$1:$C$142,3)</f>
        <v>10.9</v>
      </c>
      <c r="M2161" s="2">
        <f t="shared" si="268"/>
        <v>-1114.0080079632498</v>
      </c>
      <c r="N2161">
        <f t="shared" si="269"/>
        <v>1850.5637406460096</v>
      </c>
      <c r="O2161" t="s">
        <v>8</v>
      </c>
    </row>
    <row r="2162" spans="1:15" x14ac:dyDescent="0.35">
      <c r="A2162">
        <v>2005</v>
      </c>
      <c r="B2162">
        <v>11</v>
      </c>
      <c r="C2162">
        <v>30</v>
      </c>
      <c r="D2162" s="1">
        <f t="shared" si="264"/>
        <v>38686</v>
      </c>
      <c r="E2162">
        <v>0</v>
      </c>
      <c r="F2162">
        <f t="shared" si="270"/>
        <v>0</v>
      </c>
      <c r="G2162">
        <f t="shared" si="265"/>
        <v>0</v>
      </c>
      <c r="H2162">
        <f t="shared" si="271"/>
        <v>0</v>
      </c>
      <c r="I2162">
        <v>2161</v>
      </c>
      <c r="J2162">
        <f t="shared" si="266"/>
        <v>-0.50093081933615879</v>
      </c>
      <c r="K2162">
        <f t="shared" si="267"/>
        <v>0.86548732760174174</v>
      </c>
      <c r="L2162">
        <f>VLOOKUP(D2162,[1]SOI!$A$1:$C$142,3)</f>
        <v>10.9</v>
      </c>
      <c r="M2162" s="2">
        <f t="shared" si="268"/>
        <v>-1082.5115005854391</v>
      </c>
      <c r="N2162">
        <f t="shared" si="269"/>
        <v>1870.3181149473639</v>
      </c>
      <c r="O2162" t="s">
        <v>8</v>
      </c>
    </row>
    <row r="2163" spans="1:15" x14ac:dyDescent="0.35">
      <c r="A2163">
        <v>2005</v>
      </c>
      <c r="B2163">
        <v>12</v>
      </c>
      <c r="C2163">
        <v>1</v>
      </c>
      <c r="D2163" s="1">
        <f t="shared" si="264"/>
        <v>38687</v>
      </c>
      <c r="E2163">
        <v>0</v>
      </c>
      <c r="F2163">
        <f t="shared" si="270"/>
        <v>0</v>
      </c>
      <c r="G2163">
        <f t="shared" si="265"/>
        <v>0</v>
      </c>
      <c r="H2163">
        <f t="shared" si="271"/>
        <v>0</v>
      </c>
      <c r="I2163">
        <v>2162</v>
      </c>
      <c r="J2163">
        <f t="shared" si="266"/>
        <v>-0.48596895705254595</v>
      </c>
      <c r="K2163">
        <f t="shared" si="267"/>
        <v>0.87397607105758957</v>
      </c>
      <c r="L2163">
        <f>VLOOKUP(D2163,[1]SOI!$A$1:$C$142,3)</f>
        <v>-2.7</v>
      </c>
      <c r="M2163" s="2">
        <f t="shared" si="268"/>
        <v>-1050.6648851476043</v>
      </c>
      <c r="N2163">
        <f t="shared" si="269"/>
        <v>1889.5362656265086</v>
      </c>
      <c r="O2163" t="s">
        <v>8</v>
      </c>
    </row>
    <row r="2164" spans="1:15" x14ac:dyDescent="0.35">
      <c r="A2164">
        <v>2005</v>
      </c>
      <c r="B2164">
        <v>12</v>
      </c>
      <c r="C2164">
        <v>2</v>
      </c>
      <c r="D2164" s="1">
        <f t="shared" si="264"/>
        <v>38688</v>
      </c>
      <c r="E2164">
        <v>0</v>
      </c>
      <c r="F2164">
        <f t="shared" si="270"/>
        <v>0</v>
      </c>
      <c r="G2164">
        <f t="shared" si="265"/>
        <v>0</v>
      </c>
      <c r="H2164">
        <f t="shared" si="271"/>
        <v>0</v>
      </c>
      <c r="I2164">
        <v>2163</v>
      </c>
      <c r="J2164">
        <f t="shared" si="266"/>
        <v>-0.47086328873605876</v>
      </c>
      <c r="K2164">
        <f t="shared" si="267"/>
        <v>0.88220619093308505</v>
      </c>
      <c r="L2164">
        <f>VLOOKUP(D2164,[1]SOI!$A$1:$C$142,3)</f>
        <v>-2.7</v>
      </c>
      <c r="M2164" s="2">
        <f t="shared" si="268"/>
        <v>-1018.4772935360951</v>
      </c>
      <c r="N2164">
        <f t="shared" si="269"/>
        <v>1908.2119909882629</v>
      </c>
      <c r="O2164" t="s">
        <v>8</v>
      </c>
    </row>
    <row r="2165" spans="1:15" x14ac:dyDescent="0.35">
      <c r="A2165">
        <v>2005</v>
      </c>
      <c r="B2165">
        <v>12</v>
      </c>
      <c r="C2165">
        <v>3</v>
      </c>
      <c r="D2165" s="1">
        <f t="shared" si="264"/>
        <v>38689</v>
      </c>
      <c r="E2165">
        <v>38.200000000000003</v>
      </c>
      <c r="F2165">
        <f t="shared" si="270"/>
        <v>0</v>
      </c>
      <c r="G2165">
        <f t="shared" si="265"/>
        <v>1</v>
      </c>
      <c r="H2165">
        <f t="shared" si="271"/>
        <v>0</v>
      </c>
      <c r="I2165">
        <v>2164</v>
      </c>
      <c r="J2165">
        <f t="shared" si="266"/>
        <v>-0.4556182843969665</v>
      </c>
      <c r="K2165">
        <f t="shared" si="267"/>
        <v>0.89017525180335411</v>
      </c>
      <c r="L2165">
        <f>VLOOKUP(D2165,[1]SOI!$A$1:$C$142,3)</f>
        <v>-2.7</v>
      </c>
      <c r="M2165" s="2">
        <f t="shared" si="268"/>
        <v>-985.95796743503547</v>
      </c>
      <c r="N2165">
        <f t="shared" si="269"/>
        <v>1926.3392449024582</v>
      </c>
      <c r="O2165" t="s">
        <v>8</v>
      </c>
    </row>
    <row r="2166" spans="1:15" x14ac:dyDescent="0.35">
      <c r="A2166">
        <v>2005</v>
      </c>
      <c r="B2166">
        <v>12</v>
      </c>
      <c r="C2166">
        <v>4</v>
      </c>
      <c r="D2166" s="1">
        <f t="shared" si="264"/>
        <v>38690</v>
      </c>
      <c r="E2166">
        <v>0</v>
      </c>
      <c r="F2166">
        <f t="shared" si="270"/>
        <v>38.200000000000003</v>
      </c>
      <c r="G2166">
        <f t="shared" si="265"/>
        <v>0</v>
      </c>
      <c r="H2166">
        <f t="shared" si="271"/>
        <v>1</v>
      </c>
      <c r="I2166">
        <v>2165</v>
      </c>
      <c r="J2166">
        <f t="shared" si="266"/>
        <v>-0.44023845527733418</v>
      </c>
      <c r="K2166">
        <f t="shared" si="267"/>
        <v>0.89788089549506878</v>
      </c>
      <c r="L2166">
        <f>VLOOKUP(D2166,[1]SOI!$A$1:$C$142,3)</f>
        <v>-2.7</v>
      </c>
      <c r="M2166" s="2">
        <f t="shared" si="268"/>
        <v>-953.11625567542853</v>
      </c>
      <c r="N2166">
        <f t="shared" si="269"/>
        <v>1943.912138746824</v>
      </c>
      <c r="O2166" t="s">
        <v>8</v>
      </c>
    </row>
    <row r="2167" spans="1:15" x14ac:dyDescent="0.35">
      <c r="A2167">
        <v>2005</v>
      </c>
      <c r="B2167">
        <v>12</v>
      </c>
      <c r="C2167">
        <v>5</v>
      </c>
      <c r="D2167" s="1">
        <f t="shared" si="264"/>
        <v>38691</v>
      </c>
      <c r="E2167">
        <v>0</v>
      </c>
      <c r="F2167">
        <f t="shared" si="270"/>
        <v>0</v>
      </c>
      <c r="G2167">
        <f t="shared" si="265"/>
        <v>0</v>
      </c>
      <c r="H2167">
        <f t="shared" si="271"/>
        <v>0</v>
      </c>
      <c r="I2167">
        <v>2166</v>
      </c>
      <c r="J2167">
        <f t="shared" si="266"/>
        <v>-0.42472835251601687</v>
      </c>
      <c r="K2167">
        <f t="shared" si="267"/>
        <v>0.90532084178429806</v>
      </c>
      <c r="L2167">
        <f>VLOOKUP(D2167,[1]SOI!$A$1:$C$142,3)</f>
        <v>-2.7</v>
      </c>
      <c r="M2167" s="2">
        <f t="shared" si="268"/>
        <v>-919.96161154969252</v>
      </c>
      <c r="N2167">
        <f t="shared" si="269"/>
        <v>1960.9249433047896</v>
      </c>
      <c r="O2167" t="s">
        <v>8</v>
      </c>
    </row>
    <row r="2168" spans="1:15" x14ac:dyDescent="0.35">
      <c r="A2168">
        <v>2005</v>
      </c>
      <c r="B2168">
        <v>12</v>
      </c>
      <c r="C2168">
        <v>6</v>
      </c>
      <c r="D2168" s="1">
        <f t="shared" si="264"/>
        <v>38692</v>
      </c>
      <c r="E2168">
        <v>0</v>
      </c>
      <c r="F2168">
        <f t="shared" si="270"/>
        <v>0</v>
      </c>
      <c r="G2168">
        <f t="shared" si="265"/>
        <v>0</v>
      </c>
      <c r="H2168">
        <f t="shared" si="271"/>
        <v>0</v>
      </c>
      <c r="I2168">
        <v>2167</v>
      </c>
      <c r="J2168">
        <f t="shared" si="266"/>
        <v>-0.40909256580197434</v>
      </c>
      <c r="K2168">
        <f t="shared" si="267"/>
        <v>0.9124928890712285</v>
      </c>
      <c r="L2168">
        <f>VLOOKUP(D2168,[1]SOI!$A$1:$C$142,3)</f>
        <v>-2.7</v>
      </c>
      <c r="M2168" s="2">
        <f t="shared" si="268"/>
        <v>-886.50359009287843</v>
      </c>
      <c r="N2168">
        <f t="shared" si="269"/>
        <v>1977.3720906173521</v>
      </c>
      <c r="O2168" t="s">
        <v>8</v>
      </c>
    </row>
    <row r="2169" spans="1:15" x14ac:dyDescent="0.35">
      <c r="A2169">
        <v>2005</v>
      </c>
      <c r="B2169">
        <v>12</v>
      </c>
      <c r="C2169">
        <v>7</v>
      </c>
      <c r="D2169" s="1">
        <f t="shared" si="264"/>
        <v>38693</v>
      </c>
      <c r="E2169">
        <v>33.200000000000003</v>
      </c>
      <c r="F2169">
        <f t="shared" si="270"/>
        <v>0</v>
      </c>
      <c r="G2169">
        <f t="shared" si="265"/>
        <v>1</v>
      </c>
      <c r="H2169">
        <f t="shared" si="271"/>
        <v>0</v>
      </c>
      <c r="I2169">
        <v>2168</v>
      </c>
      <c r="J2169">
        <f t="shared" si="266"/>
        <v>-0.39333572201605099</v>
      </c>
      <c r="K2169">
        <f t="shared" si="267"/>
        <v>0.91939491503168091</v>
      </c>
      <c r="L2169">
        <f>VLOOKUP(D2169,[1]SOI!$A$1:$C$142,3)</f>
        <v>-2.7</v>
      </c>
      <c r="M2169" s="2">
        <f t="shared" si="268"/>
        <v>-852.75184533079857</v>
      </c>
      <c r="N2169">
        <f t="shared" si="269"/>
        <v>1993.2481757886842</v>
      </c>
      <c r="O2169" t="s">
        <v>8</v>
      </c>
    </row>
    <row r="2170" spans="1:15" x14ac:dyDescent="0.35">
      <c r="A2170">
        <v>2005</v>
      </c>
      <c r="B2170">
        <v>12</v>
      </c>
      <c r="C2170">
        <v>8</v>
      </c>
      <c r="D2170" s="1">
        <f t="shared" si="264"/>
        <v>38694</v>
      </c>
      <c r="E2170">
        <v>0</v>
      </c>
      <c r="F2170">
        <f t="shared" si="270"/>
        <v>33.200000000000003</v>
      </c>
      <c r="G2170">
        <f t="shared" si="265"/>
        <v>0</v>
      </c>
      <c r="H2170">
        <f t="shared" si="271"/>
        <v>1</v>
      </c>
      <c r="I2170">
        <v>2169</v>
      </c>
      <c r="J2170">
        <f t="shared" si="266"/>
        <v>-0.37746248386181336</v>
      </c>
      <c r="K2170">
        <f t="shared" si="267"/>
        <v>0.9260248772451366</v>
      </c>
      <c r="L2170">
        <f>VLOOKUP(D2170,[1]SOI!$A$1:$C$142,3)</f>
        <v>-2.7</v>
      </c>
      <c r="M2170" s="2">
        <f t="shared" si="268"/>
        <v>-818.7161274962732</v>
      </c>
      <c r="N2170">
        <f t="shared" si="269"/>
        <v>2008.5479587447012</v>
      </c>
      <c r="O2170" t="s">
        <v>8</v>
      </c>
    </row>
    <row r="2171" spans="1:15" x14ac:dyDescent="0.35">
      <c r="A2171">
        <v>2005</v>
      </c>
      <c r="B2171">
        <v>12</v>
      </c>
      <c r="C2171">
        <v>9</v>
      </c>
      <c r="D2171" s="1">
        <f t="shared" si="264"/>
        <v>38695</v>
      </c>
      <c r="E2171">
        <v>0</v>
      </c>
      <c r="F2171">
        <f t="shared" si="270"/>
        <v>0</v>
      </c>
      <c r="G2171">
        <f t="shared" si="265"/>
        <v>0</v>
      </c>
      <c r="H2171">
        <f t="shared" si="271"/>
        <v>0</v>
      </c>
      <c r="I2171">
        <v>2170</v>
      </c>
      <c r="J2171">
        <f t="shared" si="266"/>
        <v>-0.36147754848581354</v>
      </c>
      <c r="K2171">
        <f t="shared" si="267"/>
        <v>0.93238081379910764</v>
      </c>
      <c r="L2171">
        <f>VLOOKUP(D2171,[1]SOI!$A$1:$C$142,3)</f>
        <v>-2.7</v>
      </c>
      <c r="M2171" s="2">
        <f t="shared" si="268"/>
        <v>-784.40628021421537</v>
      </c>
      <c r="N2171">
        <f t="shared" si="269"/>
        <v>2023.2663659440636</v>
      </c>
      <c r="O2171" t="s">
        <v>8</v>
      </c>
    </row>
    <row r="2172" spans="1:15" x14ac:dyDescent="0.35">
      <c r="A2172">
        <v>2005</v>
      </c>
      <c r="B2172">
        <v>12</v>
      </c>
      <c r="C2172">
        <v>10</v>
      </c>
      <c r="D2172" s="1">
        <f t="shared" si="264"/>
        <v>38696</v>
      </c>
      <c r="E2172">
        <v>0</v>
      </c>
      <c r="F2172">
        <f t="shared" si="270"/>
        <v>0</v>
      </c>
      <c r="G2172">
        <f t="shared" si="265"/>
        <v>0</v>
      </c>
      <c r="H2172">
        <f t="shared" si="271"/>
        <v>0</v>
      </c>
      <c r="I2172">
        <v>2171</v>
      </c>
      <c r="J2172">
        <f t="shared" si="266"/>
        <v>-0.34538564608760225</v>
      </c>
      <c r="K2172">
        <f t="shared" si="267"/>
        <v>0.93846084386971074</v>
      </c>
      <c r="L2172">
        <f>VLOOKUP(D2172,[1]SOI!$A$1:$C$142,3)</f>
        <v>-2.7</v>
      </c>
      <c r="M2172" s="2">
        <f t="shared" si="268"/>
        <v>-749.83223765618447</v>
      </c>
      <c r="N2172">
        <f t="shared" si="269"/>
        <v>2037.3984920411419</v>
      </c>
      <c r="O2172" t="s">
        <v>8</v>
      </c>
    </row>
    <row r="2173" spans="1:15" x14ac:dyDescent="0.35">
      <c r="A2173">
        <v>2005</v>
      </c>
      <c r="B2173">
        <v>12</v>
      </c>
      <c r="C2173">
        <v>11</v>
      </c>
      <c r="D2173" s="1">
        <f t="shared" si="264"/>
        <v>38697</v>
      </c>
      <c r="E2173">
        <v>0</v>
      </c>
      <c r="F2173">
        <f t="shared" si="270"/>
        <v>0</v>
      </c>
      <c r="G2173">
        <f t="shared" si="265"/>
        <v>0</v>
      </c>
      <c r="H2173">
        <f t="shared" si="271"/>
        <v>0</v>
      </c>
      <c r="I2173">
        <v>2172</v>
      </c>
      <c r="J2173">
        <f t="shared" si="266"/>
        <v>-0.32919153851999294</v>
      </c>
      <c r="K2173">
        <f t="shared" si="267"/>
        <v>0.94426316827822954</v>
      </c>
      <c r="L2173">
        <f>VLOOKUP(D2173,[1]SOI!$A$1:$C$142,3)</f>
        <v>-2.7</v>
      </c>
      <c r="M2173" s="2">
        <f t="shared" si="268"/>
        <v>-715.00402166542472</v>
      </c>
      <c r="N2173">
        <f t="shared" si="269"/>
        <v>2050.9396015003144</v>
      </c>
      <c r="O2173" t="s">
        <v>8</v>
      </c>
    </row>
    <row r="2174" spans="1:15" x14ac:dyDescent="0.35">
      <c r="A2174">
        <v>2005</v>
      </c>
      <c r="B2174">
        <v>12</v>
      </c>
      <c r="C2174">
        <v>12</v>
      </c>
      <c r="D2174" s="1">
        <f t="shared" si="264"/>
        <v>38698</v>
      </c>
      <c r="E2174">
        <v>0</v>
      </c>
      <c r="F2174">
        <f t="shared" si="270"/>
        <v>0</v>
      </c>
      <c r="G2174">
        <f t="shared" si="265"/>
        <v>0</v>
      </c>
      <c r="H2174">
        <f t="shared" si="271"/>
        <v>0</v>
      </c>
      <c r="I2174">
        <v>2173</v>
      </c>
      <c r="J2174">
        <f t="shared" si="266"/>
        <v>-0.31290001787995292</v>
      </c>
      <c r="K2174">
        <f t="shared" si="267"/>
        <v>0.94978607002352122</v>
      </c>
      <c r="L2174">
        <f>VLOOKUP(D2174,[1]SOI!$A$1:$C$142,3)</f>
        <v>-2.7</v>
      </c>
      <c r="M2174" s="2">
        <f t="shared" si="268"/>
        <v>-679.93173885313774</v>
      </c>
      <c r="N2174">
        <f t="shared" si="269"/>
        <v>2063.8851301611116</v>
      </c>
      <c r="O2174" t="s">
        <v>8</v>
      </c>
    </row>
    <row r="2175" spans="1:15" x14ac:dyDescent="0.35">
      <c r="A2175">
        <v>2005</v>
      </c>
      <c r="B2175">
        <v>12</v>
      </c>
      <c r="C2175">
        <v>13</v>
      </c>
      <c r="D2175" s="1">
        <f t="shared" si="264"/>
        <v>38699</v>
      </c>
      <c r="E2175">
        <v>6.2</v>
      </c>
      <c r="F2175">
        <f t="shared" si="270"/>
        <v>0</v>
      </c>
      <c r="G2175">
        <f t="shared" si="265"/>
        <v>1</v>
      </c>
      <c r="H2175">
        <f t="shared" si="271"/>
        <v>0</v>
      </c>
      <c r="I2175">
        <v>2174</v>
      </c>
      <c r="J2175">
        <f t="shared" si="266"/>
        <v>-0.29651590509055181</v>
      </c>
      <c r="K2175">
        <f t="shared" si="267"/>
        <v>0.95502791479010229</v>
      </c>
      <c r="L2175">
        <f>VLOOKUP(D2175,[1]SOI!$A$1:$C$142,3)</f>
        <v>-2.7</v>
      </c>
      <c r="M2175" s="2">
        <f t="shared" si="268"/>
        <v>-644.62557766685961</v>
      </c>
      <c r="N2175">
        <f t="shared" si="269"/>
        <v>2076.2306867536822</v>
      </c>
      <c r="O2175" t="s">
        <v>8</v>
      </c>
    </row>
    <row r="2176" spans="1:15" x14ac:dyDescent="0.35">
      <c r="A2176">
        <v>2005</v>
      </c>
      <c r="B2176">
        <v>12</v>
      </c>
      <c r="C2176">
        <v>14</v>
      </c>
      <c r="D2176" s="1">
        <f t="shared" si="264"/>
        <v>38700</v>
      </c>
      <c r="E2176">
        <v>0</v>
      </c>
      <c r="F2176">
        <f t="shared" si="270"/>
        <v>6.2</v>
      </c>
      <c r="G2176">
        <f t="shared" si="265"/>
        <v>0</v>
      </c>
      <c r="H2176">
        <f t="shared" si="271"/>
        <v>1</v>
      </c>
      <c r="I2176">
        <v>2175</v>
      </c>
      <c r="J2176">
        <f t="shared" si="266"/>
        <v>-0.28004404847434544</v>
      </c>
      <c r="K2176">
        <f t="shared" si="267"/>
        <v>0.95998715143177749</v>
      </c>
      <c r="L2176">
        <f>VLOOKUP(D2176,[1]SOI!$A$1:$C$142,3)</f>
        <v>-2.7</v>
      </c>
      <c r="M2176" s="2">
        <f t="shared" si="268"/>
        <v>-609.09580543170136</v>
      </c>
      <c r="N2176">
        <f t="shared" si="269"/>
        <v>2087.972054364116</v>
      </c>
      <c r="O2176" t="s">
        <v>8</v>
      </c>
    </row>
    <row r="2177" spans="1:15" x14ac:dyDescent="0.35">
      <c r="A2177">
        <v>2005</v>
      </c>
      <c r="B2177">
        <v>12</v>
      </c>
      <c r="C2177">
        <v>15</v>
      </c>
      <c r="D2177" s="1">
        <f t="shared" si="264"/>
        <v>38701</v>
      </c>
      <c r="E2177">
        <v>0</v>
      </c>
      <c r="F2177">
        <f t="shared" si="270"/>
        <v>0</v>
      </c>
      <c r="G2177">
        <f t="shared" si="265"/>
        <v>0</v>
      </c>
      <c r="H2177">
        <f t="shared" si="271"/>
        <v>0</v>
      </c>
      <c r="I2177">
        <v>2176</v>
      </c>
      <c r="J2177">
        <f t="shared" si="266"/>
        <v>-0.26348932231872002</v>
      </c>
      <c r="K2177">
        <f t="shared" si="267"/>
        <v>0.96466231243063583</v>
      </c>
      <c r="L2177">
        <f>VLOOKUP(D2177,[1]SOI!$A$1:$C$142,3)</f>
        <v>-2.7</v>
      </c>
      <c r="M2177" s="2">
        <f t="shared" si="268"/>
        <v>-573.35276536553476</v>
      </c>
      <c r="N2177">
        <f t="shared" si="269"/>
        <v>2099.1051918490634</v>
      </c>
      <c r="O2177" t="s">
        <v>8</v>
      </c>
    </row>
    <row r="2178" spans="1:15" x14ac:dyDescent="0.35">
      <c r="A2178">
        <v>2005</v>
      </c>
      <c r="B2178">
        <v>12</v>
      </c>
      <c r="C2178">
        <v>16</v>
      </c>
      <c r="D2178" s="1">
        <f t="shared" si="264"/>
        <v>38702</v>
      </c>
      <c r="E2178">
        <v>1.2</v>
      </c>
      <c r="F2178">
        <f t="shared" si="270"/>
        <v>0</v>
      </c>
      <c r="G2178">
        <f t="shared" si="265"/>
        <v>1</v>
      </c>
      <c r="H2178">
        <f t="shared" si="271"/>
        <v>0</v>
      </c>
      <c r="I2178">
        <v>2177</v>
      </c>
      <c r="J2178">
        <f t="shared" si="266"/>
        <v>-0.24685662543348488</v>
      </c>
      <c r="K2178">
        <f t="shared" si="267"/>
        <v>0.96905201433132171</v>
      </c>
      <c r="L2178">
        <f>VLOOKUP(D2178,[1]SOI!$A$1:$C$142,3)</f>
        <v>-2.7</v>
      </c>
      <c r="M2178" s="2">
        <f t="shared" si="268"/>
        <v>-537.4068735686966</v>
      </c>
      <c r="N2178">
        <f t="shared" si="269"/>
        <v>2109.6262351992873</v>
      </c>
      <c r="O2178" t="s">
        <v>8</v>
      </c>
    </row>
    <row r="2179" spans="1:15" x14ac:dyDescent="0.35">
      <c r="A2179">
        <v>2005</v>
      </c>
      <c r="B2179">
        <v>12</v>
      </c>
      <c r="C2179">
        <v>17</v>
      </c>
      <c r="D2179" s="1">
        <f t="shared" ref="D2179:D2242" si="272">DATE(A2179,B2179,C2179)</f>
        <v>38703</v>
      </c>
      <c r="E2179">
        <v>0</v>
      </c>
      <c r="F2179">
        <f t="shared" si="270"/>
        <v>1.2</v>
      </c>
      <c r="G2179">
        <f t="shared" ref="G2179:G2242" si="273">IF(E2179=0,0,1)</f>
        <v>0</v>
      </c>
      <c r="H2179">
        <f t="shared" si="271"/>
        <v>1</v>
      </c>
      <c r="I2179">
        <v>2178</v>
      </c>
      <c r="J2179">
        <f t="shared" ref="J2179:J2242" si="274">SIN(2*PI()*I2179/365.25)</f>
        <v>-0.23015087970124276</v>
      </c>
      <c r="K2179">
        <f t="shared" ref="K2179:K2242" si="275">COS(2*PI()*I2179/365.25)</f>
        <v>0.97315495815041919</v>
      </c>
      <c r="L2179">
        <f>VLOOKUP(D2179,[1]SOI!$A$1:$C$142,3)</f>
        <v>-2.7</v>
      </c>
      <c r="M2179" s="2">
        <f t="shared" ref="M2179:M2242" si="276">I2179*J2179</f>
        <v>-501.26861598930674</v>
      </c>
      <c r="N2179">
        <f t="shared" ref="N2179:N2242" si="277">I2179*K2179</f>
        <v>2119.5314988516129</v>
      </c>
      <c r="O2179" t="s">
        <v>8</v>
      </c>
    </row>
    <row r="2180" spans="1:15" x14ac:dyDescent="0.35">
      <c r="A2180">
        <v>2005</v>
      </c>
      <c r="B2180">
        <v>12</v>
      </c>
      <c r="C2180">
        <v>18</v>
      </c>
      <c r="D2180" s="1">
        <f t="shared" si="272"/>
        <v>38704</v>
      </c>
      <c r="E2180">
        <v>0</v>
      </c>
      <c r="F2180">
        <f t="shared" ref="F2180:F2243" si="278">E2179</f>
        <v>0</v>
      </c>
      <c r="G2180">
        <f t="shared" si="273"/>
        <v>0</v>
      </c>
      <c r="H2180">
        <f t="shared" ref="H2180:H2243" si="279">G2179</f>
        <v>0</v>
      </c>
      <c r="I2180">
        <v>2179</v>
      </c>
      <c r="J2180">
        <f t="shared" si="274"/>
        <v>-0.21337702862093239</v>
      </c>
      <c r="K2180">
        <f t="shared" si="275"/>
        <v>0.97696992976084063</v>
      </c>
      <c r="L2180">
        <f>VLOOKUP(D2180,[1]SOI!$A$1:$C$142,3)</f>
        <v>-2.7</v>
      </c>
      <c r="M2180" s="2">
        <f t="shared" si="276"/>
        <v>-464.94854536501168</v>
      </c>
      <c r="N2180">
        <f t="shared" si="277"/>
        <v>2128.8174769488719</v>
      </c>
      <c r="O2180" t="s">
        <v>8</v>
      </c>
    </row>
    <row r="2181" spans="1:15" x14ac:dyDescent="0.35">
      <c r="A2181">
        <v>2005</v>
      </c>
      <c r="B2181">
        <v>12</v>
      </c>
      <c r="C2181">
        <v>19</v>
      </c>
      <c r="D2181" s="1">
        <f t="shared" si="272"/>
        <v>38705</v>
      </c>
      <c r="E2181">
        <v>0.6</v>
      </c>
      <c r="F2181">
        <f t="shared" si="278"/>
        <v>0</v>
      </c>
      <c r="G2181">
        <f t="shared" si="273"/>
        <v>1</v>
      </c>
      <c r="H2181">
        <f t="shared" si="279"/>
        <v>0</v>
      </c>
      <c r="I2181">
        <v>2180</v>
      </c>
      <c r="J2181">
        <f t="shared" si="274"/>
        <v>-0.19654003584493987</v>
      </c>
      <c r="K2181">
        <f t="shared" si="275"/>
        <v>0.9804958002511126</v>
      </c>
      <c r="L2181">
        <f>VLOOKUP(D2181,[1]SOI!$A$1:$C$142,3)</f>
        <v>-2.7</v>
      </c>
      <c r="M2181" s="2">
        <f t="shared" si="276"/>
        <v>-428.45727814196891</v>
      </c>
      <c r="N2181">
        <f t="shared" si="277"/>
        <v>2137.4808445474255</v>
      </c>
      <c r="O2181" t="s">
        <v>8</v>
      </c>
    </row>
    <row r="2182" spans="1:15" x14ac:dyDescent="0.35">
      <c r="A2182">
        <v>2005</v>
      </c>
      <c r="B2182">
        <v>12</v>
      </c>
      <c r="C2182">
        <v>20</v>
      </c>
      <c r="D2182" s="1">
        <f t="shared" si="272"/>
        <v>38706</v>
      </c>
      <c r="E2182">
        <v>0</v>
      </c>
      <c r="F2182">
        <f t="shared" si="278"/>
        <v>0.6</v>
      </c>
      <c r="G2182">
        <f t="shared" si="273"/>
        <v>0</v>
      </c>
      <c r="H2182">
        <f t="shared" si="279"/>
        <v>1</v>
      </c>
      <c r="I2182">
        <v>2181</v>
      </c>
      <c r="J2182">
        <f t="shared" si="274"/>
        <v>-0.1796448837103157</v>
      </c>
      <c r="K2182">
        <f t="shared" si="275"/>
        <v>0.98373152625942972</v>
      </c>
      <c r="L2182">
        <f>VLOOKUP(D2182,[1]SOI!$A$1:$C$142,3)</f>
        <v>-2.7</v>
      </c>
      <c r="M2182" s="2">
        <f t="shared" si="276"/>
        <v>-391.80549137219856</v>
      </c>
      <c r="N2182">
        <f t="shared" si="277"/>
        <v>2145.5184587718163</v>
      </c>
      <c r="O2182" t="s">
        <v>8</v>
      </c>
    </row>
    <row r="2183" spans="1:15" x14ac:dyDescent="0.35">
      <c r="A2183">
        <v>2005</v>
      </c>
      <c r="B2183">
        <v>12</v>
      </c>
      <c r="C2183">
        <v>21</v>
      </c>
      <c r="D2183" s="1">
        <f t="shared" si="272"/>
        <v>38707</v>
      </c>
      <c r="E2183">
        <v>0</v>
      </c>
      <c r="F2183">
        <f t="shared" si="278"/>
        <v>0</v>
      </c>
      <c r="G2183">
        <f t="shared" si="273"/>
        <v>0</v>
      </c>
      <c r="H2183">
        <f t="shared" si="279"/>
        <v>0</v>
      </c>
      <c r="I2183">
        <v>2182</v>
      </c>
      <c r="J2183">
        <f t="shared" si="274"/>
        <v>-0.16269657176439339</v>
      </c>
      <c r="K2183">
        <f t="shared" si="275"/>
        <v>0.98667615028240829</v>
      </c>
      <c r="L2183">
        <f>VLOOKUP(D2183,[1]SOI!$A$1:$C$142,3)</f>
        <v>-2.7</v>
      </c>
      <c r="M2183" s="2">
        <f t="shared" si="276"/>
        <v>-355.00391958990639</v>
      </c>
      <c r="N2183">
        <f t="shared" si="277"/>
        <v>2152.9273599162148</v>
      </c>
      <c r="O2183" t="s">
        <v>8</v>
      </c>
    </row>
    <row r="2184" spans="1:15" x14ac:dyDescent="0.35">
      <c r="A2184">
        <v>2005</v>
      </c>
      <c r="B2184">
        <v>12</v>
      </c>
      <c r="C2184">
        <v>22</v>
      </c>
      <c r="D2184" s="1">
        <f t="shared" si="272"/>
        <v>38708</v>
      </c>
      <c r="E2184">
        <v>0.2</v>
      </c>
      <c r="F2184">
        <f t="shared" si="278"/>
        <v>0</v>
      </c>
      <c r="G2184">
        <f t="shared" si="273"/>
        <v>1</v>
      </c>
      <c r="H2184">
        <f t="shared" si="279"/>
        <v>0</v>
      </c>
      <c r="I2184">
        <v>2183</v>
      </c>
      <c r="J2184">
        <f t="shared" si="274"/>
        <v>-0.14570011528534985</v>
      </c>
      <c r="K2184">
        <f t="shared" si="275"/>
        <v>0.98932880095842546</v>
      </c>
      <c r="L2184">
        <f>VLOOKUP(D2184,[1]SOI!$A$1:$C$142,3)</f>
        <v>-2.7</v>
      </c>
      <c r="M2184" s="2">
        <f t="shared" si="276"/>
        <v>-318.06335166791871</v>
      </c>
      <c r="N2184">
        <f t="shared" si="277"/>
        <v>2159.7047724922427</v>
      </c>
      <c r="O2184" t="s">
        <v>8</v>
      </c>
    </row>
    <row r="2185" spans="1:15" x14ac:dyDescent="0.35">
      <c r="A2185">
        <v>2005</v>
      </c>
      <c r="B2185">
        <v>12</v>
      </c>
      <c r="C2185">
        <v>23</v>
      </c>
      <c r="D2185" s="1">
        <f t="shared" si="272"/>
        <v>38709</v>
      </c>
      <c r="E2185">
        <v>0</v>
      </c>
      <c r="F2185">
        <f t="shared" si="278"/>
        <v>0.2</v>
      </c>
      <c r="G2185">
        <f t="shared" si="273"/>
        <v>0</v>
      </c>
      <c r="H2185">
        <f t="shared" si="279"/>
        <v>1</v>
      </c>
      <c r="I2185">
        <v>2184</v>
      </c>
      <c r="J2185">
        <f t="shared" si="274"/>
        <v>-0.1286605437981039</v>
      </c>
      <c r="K2185">
        <f t="shared" si="275"/>
        <v>0.99168869332546905</v>
      </c>
      <c r="L2185">
        <f>VLOOKUP(D2185,[1]SOI!$A$1:$C$142,3)</f>
        <v>-2.7</v>
      </c>
      <c r="M2185" s="2">
        <f t="shared" si="276"/>
        <v>-280.99462765505893</v>
      </c>
      <c r="N2185">
        <f t="shared" si="277"/>
        <v>2165.8481062228243</v>
      </c>
      <c r="O2185" t="s">
        <v>8</v>
      </c>
    </row>
    <row r="2186" spans="1:15" x14ac:dyDescent="0.35">
      <c r="A2186">
        <v>2005</v>
      </c>
      <c r="B2186">
        <v>12</v>
      </c>
      <c r="C2186">
        <v>24</v>
      </c>
      <c r="D2186" s="1">
        <f t="shared" si="272"/>
        <v>38710</v>
      </c>
      <c r="E2186">
        <v>2</v>
      </c>
      <c r="F2186">
        <f t="shared" si="278"/>
        <v>0</v>
      </c>
      <c r="G2186">
        <f t="shared" si="273"/>
        <v>1</v>
      </c>
      <c r="H2186">
        <f t="shared" si="279"/>
        <v>0</v>
      </c>
      <c r="I2186">
        <v>2185</v>
      </c>
      <c r="J2186">
        <f t="shared" si="274"/>
        <v>-0.11158289958600608</v>
      </c>
      <c r="K2186">
        <f t="shared" si="275"/>
        <v>0.99375512905341989</v>
      </c>
      <c r="L2186">
        <f>VLOOKUP(D2186,[1]SOI!$A$1:$C$142,3)</f>
        <v>-2.7</v>
      </c>
      <c r="M2186" s="2">
        <f t="shared" si="276"/>
        <v>-243.80863559542328</v>
      </c>
      <c r="N2186">
        <f t="shared" si="277"/>
        <v>2171.3549569817224</v>
      </c>
      <c r="O2186" t="s">
        <v>8</v>
      </c>
    </row>
    <row r="2187" spans="1:15" x14ac:dyDescent="0.35">
      <c r="A2187">
        <v>2005</v>
      </c>
      <c r="B2187">
        <v>12</v>
      </c>
      <c r="C2187">
        <v>25</v>
      </c>
      <c r="D2187" s="1">
        <f t="shared" si="272"/>
        <v>38711</v>
      </c>
      <c r="E2187">
        <v>0</v>
      </c>
      <c r="F2187">
        <f t="shared" si="278"/>
        <v>2</v>
      </c>
      <c r="G2187">
        <f t="shared" si="273"/>
        <v>0</v>
      </c>
      <c r="H2187">
        <f t="shared" si="279"/>
        <v>1</v>
      </c>
      <c r="I2187">
        <v>2186</v>
      </c>
      <c r="J2187">
        <f t="shared" si="274"/>
        <v>-9.4472236198717446E-2</v>
      </c>
      <c r="K2187">
        <f t="shared" si="275"/>
        <v>0.99552749665070217</v>
      </c>
      <c r="L2187">
        <f>VLOOKUP(D2187,[1]SOI!$A$1:$C$142,3)</f>
        <v>-2.7</v>
      </c>
      <c r="M2187" s="2">
        <f t="shared" si="276"/>
        <v>-206.51630833039633</v>
      </c>
      <c r="N2187">
        <f t="shared" si="277"/>
        <v>2176.2231076784351</v>
      </c>
      <c r="O2187" t="s">
        <v>8</v>
      </c>
    </row>
    <row r="2188" spans="1:15" x14ac:dyDescent="0.35">
      <c r="A2188">
        <v>2005</v>
      </c>
      <c r="B2188">
        <v>12</v>
      </c>
      <c r="C2188">
        <v>26</v>
      </c>
      <c r="D2188" s="1">
        <f t="shared" si="272"/>
        <v>38712</v>
      </c>
      <c r="E2188">
        <v>0</v>
      </c>
      <c r="F2188">
        <f t="shared" si="278"/>
        <v>0</v>
      </c>
      <c r="G2188">
        <f t="shared" si="273"/>
        <v>0</v>
      </c>
      <c r="H2188">
        <f t="shared" si="279"/>
        <v>0</v>
      </c>
      <c r="I2188">
        <v>2187</v>
      </c>
      <c r="J2188">
        <f t="shared" si="274"/>
        <v>-7.7333616956818396E-2</v>
      </c>
      <c r="K2188">
        <f t="shared" si="275"/>
        <v>0.99700527164522856</v>
      </c>
      <c r="L2188">
        <f>VLOOKUP(D2188,[1]SOI!$A$1:$C$142,3)</f>
        <v>-2.7</v>
      </c>
      <c r="M2188" s="2">
        <f t="shared" si="276"/>
        <v>-169.12862028456183</v>
      </c>
      <c r="N2188">
        <f t="shared" si="277"/>
        <v>2180.4505290881148</v>
      </c>
      <c r="O2188" t="s">
        <v>8</v>
      </c>
    </row>
    <row r="2189" spans="1:15" x14ac:dyDescent="0.35">
      <c r="A2189">
        <v>2005</v>
      </c>
      <c r="B2189">
        <v>12</v>
      </c>
      <c r="C2189">
        <v>27</v>
      </c>
      <c r="D2189" s="1">
        <f t="shared" si="272"/>
        <v>38713</v>
      </c>
      <c r="E2189">
        <v>0</v>
      </c>
      <c r="F2189">
        <f t="shared" si="278"/>
        <v>0</v>
      </c>
      <c r="G2189">
        <f t="shared" si="273"/>
        <v>0</v>
      </c>
      <c r="H2189">
        <f t="shared" si="279"/>
        <v>0</v>
      </c>
      <c r="I2189">
        <v>2188</v>
      </c>
      <c r="J2189">
        <f t="shared" si="274"/>
        <v>-6.0172113453497746E-2</v>
      </c>
      <c r="K2189">
        <f t="shared" si="275"/>
        <v>0.99818801673960167</v>
      </c>
      <c r="L2189">
        <f>VLOOKUP(D2189,[1]SOI!$A$1:$C$142,3)</f>
        <v>-2.7</v>
      </c>
      <c r="M2189" s="2">
        <f t="shared" si="276"/>
        <v>-131.65658423625305</v>
      </c>
      <c r="N2189">
        <f t="shared" si="277"/>
        <v>2184.0353806262483</v>
      </c>
      <c r="O2189" t="s">
        <v>8</v>
      </c>
    </row>
    <row r="2190" spans="1:15" x14ac:dyDescent="0.35">
      <c r="A2190">
        <v>2005</v>
      </c>
      <c r="B2190">
        <v>12</v>
      </c>
      <c r="C2190">
        <v>28</v>
      </c>
      <c r="D2190" s="1">
        <f t="shared" si="272"/>
        <v>38714</v>
      </c>
      <c r="E2190">
        <v>0</v>
      </c>
      <c r="F2190">
        <f t="shared" si="278"/>
        <v>0</v>
      </c>
      <c r="G2190">
        <f t="shared" si="273"/>
        <v>0</v>
      </c>
      <c r="H2190">
        <f t="shared" si="279"/>
        <v>0</v>
      </c>
      <c r="I2190">
        <v>2189</v>
      </c>
      <c r="J2190">
        <f t="shared" si="274"/>
        <v>-4.299280405372289E-2</v>
      </c>
      <c r="K2190">
        <f t="shared" si="275"/>
        <v>0.99907538194052115</v>
      </c>
      <c r="L2190">
        <f>VLOOKUP(D2190,[1]SOI!$A$1:$C$142,3)</f>
        <v>-2.7</v>
      </c>
      <c r="M2190" s="2">
        <f t="shared" si="276"/>
        <v>-94.111248073599413</v>
      </c>
      <c r="N2190">
        <f t="shared" si="277"/>
        <v>2186.9760110678008</v>
      </c>
      <c r="O2190" t="s">
        <v>8</v>
      </c>
    </row>
    <row r="2191" spans="1:15" x14ac:dyDescent="0.35">
      <c r="A2191">
        <v>2005</v>
      </c>
      <c r="B2191">
        <v>12</v>
      </c>
      <c r="C2191">
        <v>29</v>
      </c>
      <c r="D2191" s="1">
        <f t="shared" si="272"/>
        <v>38715</v>
      </c>
      <c r="E2191">
        <v>0</v>
      </c>
      <c r="F2191">
        <f t="shared" si="278"/>
        <v>0</v>
      </c>
      <c r="G2191">
        <f t="shared" si="273"/>
        <v>0</v>
      </c>
      <c r="H2191">
        <f t="shared" si="279"/>
        <v>0</v>
      </c>
      <c r="I2191">
        <v>2190</v>
      </c>
      <c r="J2191">
        <f t="shared" si="274"/>
        <v>-2.5800772391547936E-2</v>
      </c>
      <c r="K2191">
        <f t="shared" si="275"/>
        <v>0.99966710466234687</v>
      </c>
      <c r="L2191">
        <f>VLOOKUP(D2191,[1]SOI!$A$1:$C$142,3)</f>
        <v>-2.7</v>
      </c>
      <c r="M2191" s="2">
        <f t="shared" si="276"/>
        <v>-56.503691537489978</v>
      </c>
      <c r="N2191">
        <f t="shared" si="277"/>
        <v>2189.2709592105398</v>
      </c>
      <c r="O2191" t="s">
        <v>8</v>
      </c>
    </row>
    <row r="2192" spans="1:15" x14ac:dyDescent="0.35">
      <c r="A2192">
        <v>2005</v>
      </c>
      <c r="B2192">
        <v>12</v>
      </c>
      <c r="C2192">
        <v>30</v>
      </c>
      <c r="D2192" s="1">
        <f t="shared" si="272"/>
        <v>38716</v>
      </c>
      <c r="E2192">
        <v>0</v>
      </c>
      <c r="F2192">
        <f t="shared" si="278"/>
        <v>0</v>
      </c>
      <c r="G2192">
        <f t="shared" si="273"/>
        <v>0</v>
      </c>
      <c r="H2192">
        <f t="shared" si="279"/>
        <v>0</v>
      </c>
      <c r="I2192">
        <v>2191</v>
      </c>
      <c r="J2192">
        <f t="shared" si="274"/>
        <v>-8.601105865713608E-3</v>
      </c>
      <c r="K2192">
        <f t="shared" si="275"/>
        <v>0.99996300980480612</v>
      </c>
      <c r="L2192">
        <f>VLOOKUP(D2192,[1]SOI!$A$1:$C$142,3)</f>
        <v>-2.7</v>
      </c>
      <c r="M2192" s="2">
        <f t="shared" si="276"/>
        <v>-18.845022951778514</v>
      </c>
      <c r="N2192">
        <f t="shared" si="277"/>
        <v>2190.9189544823303</v>
      </c>
      <c r="O2192" t="s">
        <v>8</v>
      </c>
    </row>
    <row r="2193" spans="1:15" x14ac:dyDescent="0.35">
      <c r="A2193">
        <v>2005</v>
      </c>
      <c r="B2193">
        <v>12</v>
      </c>
      <c r="C2193">
        <v>31</v>
      </c>
      <c r="D2193" s="1">
        <f t="shared" si="272"/>
        <v>38717</v>
      </c>
      <c r="E2193">
        <v>0</v>
      </c>
      <c r="F2193">
        <f t="shared" si="278"/>
        <v>0</v>
      </c>
      <c r="G2193">
        <f t="shared" si="273"/>
        <v>0</v>
      </c>
      <c r="H2193">
        <f t="shared" si="279"/>
        <v>0</v>
      </c>
      <c r="I2193">
        <v>2192</v>
      </c>
      <c r="J2193">
        <f t="shared" si="274"/>
        <v>8.6011058657177713E-3</v>
      </c>
      <c r="K2193">
        <f t="shared" si="275"/>
        <v>0.99996300980480612</v>
      </c>
      <c r="L2193">
        <f>VLOOKUP(D2193,[1]SOI!$A$1:$C$142,3)</f>
        <v>-2.7</v>
      </c>
      <c r="M2193" s="2">
        <f t="shared" si="276"/>
        <v>18.853624057653356</v>
      </c>
      <c r="N2193">
        <f t="shared" si="277"/>
        <v>2191.9189174921348</v>
      </c>
      <c r="O2193" t="s">
        <v>8</v>
      </c>
    </row>
    <row r="2194" spans="1:15" x14ac:dyDescent="0.35">
      <c r="A2194">
        <v>2006</v>
      </c>
      <c r="B2194">
        <v>1</v>
      </c>
      <c r="C2194">
        <v>1</v>
      </c>
      <c r="D2194" s="1">
        <f t="shared" si="272"/>
        <v>38718</v>
      </c>
      <c r="E2194">
        <v>0</v>
      </c>
      <c r="F2194">
        <f t="shared" si="278"/>
        <v>0</v>
      </c>
      <c r="G2194">
        <f t="shared" si="273"/>
        <v>0</v>
      </c>
      <c r="H2194">
        <f t="shared" si="279"/>
        <v>0</v>
      </c>
      <c r="I2194">
        <v>2193</v>
      </c>
      <c r="J2194">
        <f t="shared" si="274"/>
        <v>2.5800772391537895E-2</v>
      </c>
      <c r="K2194">
        <f t="shared" si="275"/>
        <v>0.99966710466234709</v>
      </c>
      <c r="L2194">
        <f>VLOOKUP(D2194,[1]SOI!$A$1:$C$142,3)</f>
        <v>0.6</v>
      </c>
      <c r="M2194" s="2">
        <f t="shared" si="276"/>
        <v>56.581093854642603</v>
      </c>
      <c r="N2194">
        <f t="shared" si="277"/>
        <v>2192.2699605245271</v>
      </c>
      <c r="O2194" t="s">
        <v>8</v>
      </c>
    </row>
    <row r="2195" spans="1:15" x14ac:dyDescent="0.35">
      <c r="A2195">
        <v>2006</v>
      </c>
      <c r="B2195">
        <v>1</v>
      </c>
      <c r="C2195">
        <v>2</v>
      </c>
      <c r="D2195" s="1">
        <f t="shared" si="272"/>
        <v>38719</v>
      </c>
      <c r="E2195">
        <v>12.4</v>
      </c>
      <c r="F2195">
        <f t="shared" si="278"/>
        <v>0</v>
      </c>
      <c r="G2195">
        <f t="shared" si="273"/>
        <v>1</v>
      </c>
      <c r="H2195">
        <f t="shared" si="279"/>
        <v>0</v>
      </c>
      <c r="I2195">
        <v>2194</v>
      </c>
      <c r="J2195">
        <f t="shared" si="274"/>
        <v>4.2992804053719955E-2</v>
      </c>
      <c r="K2195">
        <f t="shared" si="275"/>
        <v>0.99907538194052126</v>
      </c>
      <c r="L2195">
        <f>VLOOKUP(D2195,[1]SOI!$A$1:$C$142,3)</f>
        <v>0.6</v>
      </c>
      <c r="M2195" s="2">
        <f t="shared" si="276"/>
        <v>94.326212093861585</v>
      </c>
      <c r="N2195">
        <f t="shared" si="277"/>
        <v>2191.9713879775036</v>
      </c>
      <c r="O2195" t="s">
        <v>8</v>
      </c>
    </row>
    <row r="2196" spans="1:15" x14ac:dyDescent="0.35">
      <c r="A2196">
        <v>2006</v>
      </c>
      <c r="B2196">
        <v>1</v>
      </c>
      <c r="C2196">
        <v>3</v>
      </c>
      <c r="D2196" s="1">
        <f t="shared" si="272"/>
        <v>38720</v>
      </c>
      <c r="E2196">
        <v>0</v>
      </c>
      <c r="F2196">
        <f t="shared" si="278"/>
        <v>12.4</v>
      </c>
      <c r="G2196">
        <f t="shared" si="273"/>
        <v>0</v>
      </c>
      <c r="H2196">
        <f t="shared" si="279"/>
        <v>1</v>
      </c>
      <c r="I2196">
        <v>2195</v>
      </c>
      <c r="J2196">
        <f t="shared" si="274"/>
        <v>6.017211345349481E-2</v>
      </c>
      <c r="K2196">
        <f t="shared" si="275"/>
        <v>0.99818801673960189</v>
      </c>
      <c r="L2196">
        <f>VLOOKUP(D2196,[1]SOI!$A$1:$C$142,3)</f>
        <v>0.6</v>
      </c>
      <c r="M2196" s="2">
        <f t="shared" si="276"/>
        <v>132.07778903042112</v>
      </c>
      <c r="N2196">
        <f t="shared" si="277"/>
        <v>2191.022696743426</v>
      </c>
      <c r="O2196" t="s">
        <v>8</v>
      </c>
    </row>
    <row r="2197" spans="1:15" x14ac:dyDescent="0.35">
      <c r="A2197">
        <v>2006</v>
      </c>
      <c r="B2197">
        <v>1</v>
      </c>
      <c r="C2197">
        <v>4</v>
      </c>
      <c r="D2197" s="1">
        <f t="shared" si="272"/>
        <v>38721</v>
      </c>
      <c r="E2197">
        <v>0</v>
      </c>
      <c r="F2197">
        <f t="shared" si="278"/>
        <v>0</v>
      </c>
      <c r="G2197">
        <f t="shared" si="273"/>
        <v>0</v>
      </c>
      <c r="H2197">
        <f t="shared" si="279"/>
        <v>0</v>
      </c>
      <c r="I2197">
        <v>2196</v>
      </c>
      <c r="J2197">
        <f t="shared" si="274"/>
        <v>7.733361695682256E-2</v>
      </c>
      <c r="K2197">
        <f t="shared" si="275"/>
        <v>0.99700527164522834</v>
      </c>
      <c r="L2197">
        <f>VLOOKUP(D2197,[1]SOI!$A$1:$C$142,3)</f>
        <v>0.6</v>
      </c>
      <c r="M2197" s="2">
        <f t="shared" si="276"/>
        <v>169.82462283718235</v>
      </c>
      <c r="N2197">
        <f t="shared" si="277"/>
        <v>2189.4235765329213</v>
      </c>
      <c r="O2197" t="s">
        <v>8</v>
      </c>
    </row>
    <row r="2198" spans="1:15" x14ac:dyDescent="0.35">
      <c r="A2198">
        <v>2006</v>
      </c>
      <c r="B2198">
        <v>1</v>
      </c>
      <c r="C2198">
        <v>5</v>
      </c>
      <c r="D2198" s="1">
        <f t="shared" si="272"/>
        <v>38722</v>
      </c>
      <c r="E2198">
        <v>0</v>
      </c>
      <c r="F2198">
        <f t="shared" si="278"/>
        <v>0</v>
      </c>
      <c r="G2198">
        <f t="shared" si="273"/>
        <v>0</v>
      </c>
      <c r="H2198">
        <f t="shared" si="279"/>
        <v>0</v>
      </c>
      <c r="I2198">
        <v>2197</v>
      </c>
      <c r="J2198">
        <f t="shared" si="274"/>
        <v>9.4472236198714518E-2</v>
      </c>
      <c r="K2198">
        <f t="shared" si="275"/>
        <v>0.99552749665070239</v>
      </c>
      <c r="L2198">
        <f>VLOOKUP(D2198,[1]SOI!$A$1:$C$142,3)</f>
        <v>0.6</v>
      </c>
      <c r="M2198" s="2">
        <f t="shared" si="276"/>
        <v>207.55550292857581</v>
      </c>
      <c r="N2198">
        <f t="shared" si="277"/>
        <v>2187.1739101415933</v>
      </c>
      <c r="O2198" t="s">
        <v>8</v>
      </c>
    </row>
    <row r="2199" spans="1:15" x14ac:dyDescent="0.35">
      <c r="A2199">
        <v>2006</v>
      </c>
      <c r="B2199">
        <v>1</v>
      </c>
      <c r="C2199">
        <v>6</v>
      </c>
      <c r="D2199" s="1">
        <f t="shared" si="272"/>
        <v>38723</v>
      </c>
      <c r="E2199">
        <v>0</v>
      </c>
      <c r="F2199">
        <f t="shared" si="278"/>
        <v>0</v>
      </c>
      <c r="G2199">
        <f t="shared" si="273"/>
        <v>0</v>
      </c>
      <c r="H2199">
        <f t="shared" si="279"/>
        <v>0</v>
      </c>
      <c r="I2199">
        <v>2198</v>
      </c>
      <c r="J2199">
        <f t="shared" si="274"/>
        <v>0.11158289958600315</v>
      </c>
      <c r="K2199">
        <f t="shared" si="275"/>
        <v>0.99375512905342023</v>
      </c>
      <c r="L2199">
        <f>VLOOKUP(D2199,[1]SOI!$A$1:$C$142,3)</f>
        <v>0.6</v>
      </c>
      <c r="M2199" s="2">
        <f t="shared" si="276"/>
        <v>245.25921329003492</v>
      </c>
      <c r="N2199">
        <f t="shared" si="277"/>
        <v>2184.2737736594177</v>
      </c>
      <c r="O2199" t="s">
        <v>8</v>
      </c>
    </row>
    <row r="2200" spans="1:15" x14ac:dyDescent="0.35">
      <c r="A2200">
        <v>2006</v>
      </c>
      <c r="B2200">
        <v>1</v>
      </c>
      <c r="C2200">
        <v>7</v>
      </c>
      <c r="D2200" s="1">
        <f t="shared" si="272"/>
        <v>38724</v>
      </c>
      <c r="E2200">
        <v>0</v>
      </c>
      <c r="F2200">
        <f t="shared" si="278"/>
        <v>0</v>
      </c>
      <c r="G2200">
        <f t="shared" si="273"/>
        <v>0</v>
      </c>
      <c r="H2200">
        <f t="shared" si="279"/>
        <v>0</v>
      </c>
      <c r="I2200">
        <v>2199</v>
      </c>
      <c r="J2200">
        <f t="shared" si="274"/>
        <v>0.12866054379810099</v>
      </c>
      <c r="K2200">
        <f t="shared" si="275"/>
        <v>0.99168869332546938</v>
      </c>
      <c r="L2200">
        <f>VLOOKUP(D2200,[1]SOI!$A$1:$C$142,3)</f>
        <v>0.6</v>
      </c>
      <c r="M2200" s="2">
        <f t="shared" si="276"/>
        <v>282.92453581202409</v>
      </c>
      <c r="N2200">
        <f t="shared" si="277"/>
        <v>2180.7234366227071</v>
      </c>
      <c r="O2200" t="s">
        <v>8</v>
      </c>
    </row>
    <row r="2201" spans="1:15" x14ac:dyDescent="0.35">
      <c r="A2201">
        <v>2006</v>
      </c>
      <c r="B2201">
        <v>1</v>
      </c>
      <c r="C2201">
        <v>8</v>
      </c>
      <c r="D2201" s="1">
        <f t="shared" si="272"/>
        <v>38725</v>
      </c>
      <c r="E2201">
        <v>0</v>
      </c>
      <c r="F2201">
        <f t="shared" si="278"/>
        <v>0</v>
      </c>
      <c r="G2201">
        <f t="shared" si="273"/>
        <v>0</v>
      </c>
      <c r="H2201">
        <f t="shared" si="279"/>
        <v>0</v>
      </c>
      <c r="I2201">
        <v>2200</v>
      </c>
      <c r="J2201">
        <f t="shared" si="274"/>
        <v>0.14570011528534693</v>
      </c>
      <c r="K2201">
        <f t="shared" si="275"/>
        <v>0.9893288009584259</v>
      </c>
      <c r="L2201">
        <f>VLOOKUP(D2201,[1]SOI!$A$1:$C$142,3)</f>
        <v>0.6</v>
      </c>
      <c r="M2201" s="2">
        <f t="shared" si="276"/>
        <v>320.54025362776326</v>
      </c>
      <c r="N2201">
        <f t="shared" si="277"/>
        <v>2176.5233621085372</v>
      </c>
      <c r="O2201" t="s">
        <v>8</v>
      </c>
    </row>
    <row r="2202" spans="1:15" x14ac:dyDescent="0.35">
      <c r="A2202">
        <v>2006</v>
      </c>
      <c r="B2202">
        <v>1</v>
      </c>
      <c r="C2202">
        <v>9</v>
      </c>
      <c r="D2202" s="1">
        <f t="shared" si="272"/>
        <v>38726</v>
      </c>
      <c r="E2202">
        <v>0</v>
      </c>
      <c r="F2202">
        <f t="shared" si="278"/>
        <v>0</v>
      </c>
      <c r="G2202">
        <f t="shared" si="273"/>
        <v>0</v>
      </c>
      <c r="H2202">
        <f t="shared" si="279"/>
        <v>0</v>
      </c>
      <c r="I2202">
        <v>2201</v>
      </c>
      <c r="J2202">
        <f t="shared" si="274"/>
        <v>0.16269657176439051</v>
      </c>
      <c r="K2202">
        <f t="shared" si="275"/>
        <v>0.98667615028240874</v>
      </c>
      <c r="L2202">
        <f>VLOOKUP(D2202,[1]SOI!$A$1:$C$142,3)</f>
        <v>0.6</v>
      </c>
      <c r="M2202" s="2">
        <f t="shared" si="276"/>
        <v>358.0951544534235</v>
      </c>
      <c r="N2202">
        <f t="shared" si="277"/>
        <v>2171.6742067715818</v>
      </c>
      <c r="O2202" t="s">
        <v>8</v>
      </c>
    </row>
    <row r="2203" spans="1:15" x14ac:dyDescent="0.35">
      <c r="A2203">
        <v>2006</v>
      </c>
      <c r="B2203">
        <v>1</v>
      </c>
      <c r="C2203">
        <v>10</v>
      </c>
      <c r="D2203" s="1">
        <f t="shared" si="272"/>
        <v>38727</v>
      </c>
      <c r="E2203">
        <v>0</v>
      </c>
      <c r="F2203">
        <f t="shared" si="278"/>
        <v>0</v>
      </c>
      <c r="G2203">
        <f t="shared" si="273"/>
        <v>0</v>
      </c>
      <c r="H2203">
        <f t="shared" si="279"/>
        <v>0</v>
      </c>
      <c r="I2203">
        <v>2202</v>
      </c>
      <c r="J2203">
        <f t="shared" si="274"/>
        <v>0.17964488371031281</v>
      </c>
      <c r="K2203">
        <f t="shared" si="275"/>
        <v>0.98373152625943028</v>
      </c>
      <c r="L2203">
        <f>VLOOKUP(D2203,[1]SOI!$A$1:$C$142,3)</f>
        <v>0.6</v>
      </c>
      <c r="M2203" s="2">
        <f t="shared" si="276"/>
        <v>395.5780339301088</v>
      </c>
      <c r="N2203">
        <f t="shared" si="277"/>
        <v>2166.1768208232656</v>
      </c>
      <c r="O2203" t="s">
        <v>8</v>
      </c>
    </row>
    <row r="2204" spans="1:15" x14ac:dyDescent="0.35">
      <c r="A2204">
        <v>2006</v>
      </c>
      <c r="B2204">
        <v>1</v>
      </c>
      <c r="C2204">
        <v>11</v>
      </c>
      <c r="D2204" s="1">
        <f t="shared" si="272"/>
        <v>38728</v>
      </c>
      <c r="E2204">
        <v>11.2</v>
      </c>
      <c r="F2204">
        <f t="shared" si="278"/>
        <v>0</v>
      </c>
      <c r="G2204">
        <f t="shared" si="273"/>
        <v>1</v>
      </c>
      <c r="H2204">
        <f t="shared" si="279"/>
        <v>0</v>
      </c>
      <c r="I2204">
        <v>2203</v>
      </c>
      <c r="J2204">
        <f t="shared" si="274"/>
        <v>0.19654003584493698</v>
      </c>
      <c r="K2204">
        <f t="shared" si="275"/>
        <v>0.98049580025111316</v>
      </c>
      <c r="L2204">
        <f>VLOOKUP(D2204,[1]SOI!$A$1:$C$142,3)</f>
        <v>0.6</v>
      </c>
      <c r="M2204" s="2">
        <f t="shared" si="276"/>
        <v>432.97769896639619</v>
      </c>
      <c r="N2204">
        <f t="shared" si="277"/>
        <v>2160.0322479532024</v>
      </c>
      <c r="O2204" t="s">
        <v>8</v>
      </c>
    </row>
    <row r="2205" spans="1:15" x14ac:dyDescent="0.35">
      <c r="A2205">
        <v>2006</v>
      </c>
      <c r="B2205">
        <v>1</v>
      </c>
      <c r="C2205">
        <v>12</v>
      </c>
      <c r="D2205" s="1">
        <f t="shared" si="272"/>
        <v>38729</v>
      </c>
      <c r="E2205">
        <v>2.6</v>
      </c>
      <c r="F2205">
        <f t="shared" si="278"/>
        <v>11.2</v>
      </c>
      <c r="G2205">
        <f t="shared" si="273"/>
        <v>1</v>
      </c>
      <c r="H2205">
        <f t="shared" si="279"/>
        <v>1</v>
      </c>
      <c r="I2205">
        <v>2204</v>
      </c>
      <c r="J2205">
        <f t="shared" si="274"/>
        <v>0.21337702862092259</v>
      </c>
      <c r="K2205">
        <f t="shared" si="275"/>
        <v>0.97696992976084274</v>
      </c>
      <c r="L2205">
        <f>VLOOKUP(D2205,[1]SOI!$A$1:$C$142,3)</f>
        <v>0.6</v>
      </c>
      <c r="M2205" s="2">
        <f t="shared" si="276"/>
        <v>470.28297108051339</v>
      </c>
      <c r="N2205">
        <f t="shared" si="277"/>
        <v>2153.2417251928973</v>
      </c>
      <c r="O2205" t="s">
        <v>8</v>
      </c>
    </row>
    <row r="2206" spans="1:15" x14ac:dyDescent="0.35">
      <c r="A2206">
        <v>2006</v>
      </c>
      <c r="B2206">
        <v>1</v>
      </c>
      <c r="C2206">
        <v>13</v>
      </c>
      <c r="D2206" s="1">
        <f t="shared" si="272"/>
        <v>38730</v>
      </c>
      <c r="E2206">
        <v>0.4</v>
      </c>
      <c r="F2206">
        <f t="shared" si="278"/>
        <v>2.6</v>
      </c>
      <c r="G2206">
        <f t="shared" si="273"/>
        <v>1</v>
      </c>
      <c r="H2206">
        <f t="shared" si="279"/>
        <v>1</v>
      </c>
      <c r="I2206">
        <v>2205</v>
      </c>
      <c r="J2206">
        <f t="shared" si="274"/>
        <v>0.2301508797012399</v>
      </c>
      <c r="K2206">
        <f t="shared" si="275"/>
        <v>0.97315495815041986</v>
      </c>
      <c r="L2206">
        <f>VLOOKUP(D2206,[1]SOI!$A$1:$C$142,3)</f>
        <v>0.6</v>
      </c>
      <c r="M2206" s="2">
        <f t="shared" si="276"/>
        <v>507.48268974123397</v>
      </c>
      <c r="N2206">
        <f t="shared" si="277"/>
        <v>2145.8066827216758</v>
      </c>
      <c r="O2206" t="s">
        <v>8</v>
      </c>
    </row>
    <row r="2207" spans="1:15" x14ac:dyDescent="0.35">
      <c r="A2207">
        <v>2006</v>
      </c>
      <c r="B2207">
        <v>1</v>
      </c>
      <c r="C2207">
        <v>14</v>
      </c>
      <c r="D2207" s="1">
        <f t="shared" si="272"/>
        <v>38731</v>
      </c>
      <c r="E2207">
        <v>0</v>
      </c>
      <c r="F2207">
        <f t="shared" si="278"/>
        <v>0.4</v>
      </c>
      <c r="G2207">
        <f t="shared" si="273"/>
        <v>0</v>
      </c>
      <c r="H2207">
        <f t="shared" si="279"/>
        <v>1</v>
      </c>
      <c r="I2207">
        <v>2206</v>
      </c>
      <c r="J2207">
        <f t="shared" si="274"/>
        <v>0.24685662543348202</v>
      </c>
      <c r="K2207">
        <f t="shared" si="275"/>
        <v>0.96905201433132249</v>
      </c>
      <c r="L2207">
        <f>VLOOKUP(D2207,[1]SOI!$A$1:$C$142,3)</f>
        <v>0.6</v>
      </c>
      <c r="M2207" s="2">
        <f t="shared" si="276"/>
        <v>544.56571570626136</v>
      </c>
      <c r="N2207">
        <f t="shared" si="277"/>
        <v>2137.7287436148972</v>
      </c>
      <c r="O2207" t="s">
        <v>8</v>
      </c>
    </row>
    <row r="2208" spans="1:15" x14ac:dyDescent="0.35">
      <c r="A2208">
        <v>2006</v>
      </c>
      <c r="B2208">
        <v>1</v>
      </c>
      <c r="C2208">
        <v>15</v>
      </c>
      <c r="D2208" s="1">
        <f t="shared" si="272"/>
        <v>38732</v>
      </c>
      <c r="E2208">
        <v>0</v>
      </c>
      <c r="F2208">
        <f t="shared" si="278"/>
        <v>0</v>
      </c>
      <c r="G2208">
        <f t="shared" si="273"/>
        <v>0</v>
      </c>
      <c r="H2208">
        <f t="shared" si="279"/>
        <v>0</v>
      </c>
      <c r="I2208">
        <v>2207</v>
      </c>
      <c r="J2208">
        <f t="shared" si="274"/>
        <v>0.26348932231871713</v>
      </c>
      <c r="K2208">
        <f t="shared" si="275"/>
        <v>0.9646623124306366</v>
      </c>
      <c r="L2208">
        <f>VLOOKUP(D2208,[1]SOI!$A$1:$C$142,3)</f>
        <v>0.6</v>
      </c>
      <c r="M2208" s="2">
        <f t="shared" si="276"/>
        <v>581.52093435740869</v>
      </c>
      <c r="N2208">
        <f t="shared" si="277"/>
        <v>2129.0097235344151</v>
      </c>
      <c r="O2208" t="s">
        <v>8</v>
      </c>
    </row>
    <row r="2209" spans="1:15" x14ac:dyDescent="0.35">
      <c r="A2209">
        <v>2006</v>
      </c>
      <c r="B2209">
        <v>1</v>
      </c>
      <c r="C2209">
        <v>16</v>
      </c>
      <c r="D2209" s="1">
        <f t="shared" si="272"/>
        <v>38733</v>
      </c>
      <c r="E2209">
        <v>0</v>
      </c>
      <c r="F2209">
        <f t="shared" si="278"/>
        <v>0</v>
      </c>
      <c r="G2209">
        <f t="shared" si="273"/>
        <v>0</v>
      </c>
      <c r="H2209">
        <f t="shared" si="279"/>
        <v>0</v>
      </c>
      <c r="I2209">
        <v>2208</v>
      </c>
      <c r="J2209">
        <f t="shared" si="274"/>
        <v>0.28004404847434261</v>
      </c>
      <c r="K2209">
        <f t="shared" si="275"/>
        <v>0.95998715143177826</v>
      </c>
      <c r="L2209">
        <f>VLOOKUP(D2209,[1]SOI!$A$1:$C$142,3)</f>
        <v>0.6</v>
      </c>
      <c r="M2209" s="2">
        <f t="shared" si="276"/>
        <v>618.33725903134848</v>
      </c>
      <c r="N2209">
        <f t="shared" si="277"/>
        <v>2119.6516303613662</v>
      </c>
      <c r="O2209" t="s">
        <v>8</v>
      </c>
    </row>
    <row r="2210" spans="1:15" x14ac:dyDescent="0.35">
      <c r="A2210">
        <v>2006</v>
      </c>
      <c r="B2210">
        <v>1</v>
      </c>
      <c r="C2210">
        <v>17</v>
      </c>
      <c r="D2210" s="1">
        <f t="shared" si="272"/>
        <v>38734</v>
      </c>
      <c r="E2210">
        <v>0</v>
      </c>
      <c r="F2210">
        <f t="shared" si="278"/>
        <v>0</v>
      </c>
      <c r="G2210">
        <f t="shared" si="273"/>
        <v>0</v>
      </c>
      <c r="H2210">
        <f t="shared" si="279"/>
        <v>0</v>
      </c>
      <c r="I2210">
        <v>2209</v>
      </c>
      <c r="J2210">
        <f t="shared" si="274"/>
        <v>0.29651590509054898</v>
      </c>
      <c r="K2210">
        <f t="shared" si="275"/>
        <v>0.95502791479010318</v>
      </c>
      <c r="L2210">
        <f>VLOOKUP(D2210,[1]SOI!$A$1:$C$142,3)</f>
        <v>0.6</v>
      </c>
      <c r="M2210" s="2">
        <f t="shared" si="276"/>
        <v>655.00363434502265</v>
      </c>
      <c r="N2210">
        <f t="shared" si="277"/>
        <v>2109.6566637713381</v>
      </c>
      <c r="O2210" t="s">
        <v>8</v>
      </c>
    </row>
    <row r="2211" spans="1:15" x14ac:dyDescent="0.35">
      <c r="A2211">
        <v>2006</v>
      </c>
      <c r="B2211">
        <v>1</v>
      </c>
      <c r="C2211">
        <v>18</v>
      </c>
      <c r="D2211" s="1">
        <f t="shared" si="272"/>
        <v>38735</v>
      </c>
      <c r="E2211">
        <v>0</v>
      </c>
      <c r="F2211">
        <f t="shared" si="278"/>
        <v>0</v>
      </c>
      <c r="G2211">
        <f t="shared" si="273"/>
        <v>0</v>
      </c>
      <c r="H2211">
        <f t="shared" si="279"/>
        <v>0</v>
      </c>
      <c r="I2211">
        <v>2210</v>
      </c>
      <c r="J2211">
        <f t="shared" si="274"/>
        <v>0.31290001787995014</v>
      </c>
      <c r="K2211">
        <f t="shared" si="275"/>
        <v>0.94978607002352211</v>
      </c>
      <c r="L2211">
        <f>VLOOKUP(D2211,[1]SOI!$A$1:$C$142,3)</f>
        <v>0.6</v>
      </c>
      <c r="M2211" s="2">
        <f t="shared" si="276"/>
        <v>691.50903951468979</v>
      </c>
      <c r="N2211">
        <f t="shared" si="277"/>
        <v>2099.027214751984</v>
      </c>
      <c r="O2211" t="s">
        <v>8</v>
      </c>
    </row>
    <row r="2212" spans="1:15" x14ac:dyDescent="0.35">
      <c r="A2212">
        <v>2006</v>
      </c>
      <c r="B2212">
        <v>1</v>
      </c>
      <c r="C2212">
        <v>19</v>
      </c>
      <c r="D2212" s="1">
        <f t="shared" si="272"/>
        <v>38736</v>
      </c>
      <c r="E2212">
        <v>0</v>
      </c>
      <c r="F2212">
        <f t="shared" si="278"/>
        <v>0</v>
      </c>
      <c r="G2212">
        <f t="shared" si="273"/>
        <v>0</v>
      </c>
      <c r="H2212">
        <f t="shared" si="279"/>
        <v>0</v>
      </c>
      <c r="I2212">
        <v>2211</v>
      </c>
      <c r="J2212">
        <f t="shared" si="274"/>
        <v>0.32919153851999017</v>
      </c>
      <c r="K2212">
        <f t="shared" si="275"/>
        <v>0.94426316827823054</v>
      </c>
      <c r="L2212">
        <f>VLOOKUP(D2212,[1]SOI!$A$1:$C$142,3)</f>
        <v>0.6</v>
      </c>
      <c r="M2212" s="2">
        <f t="shared" si="276"/>
        <v>727.84249166769825</v>
      </c>
      <c r="N2212">
        <f t="shared" si="277"/>
        <v>2087.7658650631679</v>
      </c>
      <c r="O2212" t="s">
        <v>8</v>
      </c>
    </row>
    <row r="2213" spans="1:15" x14ac:dyDescent="0.35">
      <c r="A2213">
        <v>2006</v>
      </c>
      <c r="B2213">
        <v>1</v>
      </c>
      <c r="C2213">
        <v>20</v>
      </c>
      <c r="D2213" s="1">
        <f t="shared" si="272"/>
        <v>38737</v>
      </c>
      <c r="E2213">
        <v>0</v>
      </c>
      <c r="F2213">
        <f t="shared" si="278"/>
        <v>0</v>
      </c>
      <c r="G2213">
        <f t="shared" si="273"/>
        <v>0</v>
      </c>
      <c r="H2213">
        <f t="shared" si="279"/>
        <v>0</v>
      </c>
      <c r="I2213">
        <v>2212</v>
      </c>
      <c r="J2213">
        <f t="shared" si="274"/>
        <v>0.34538564608759953</v>
      </c>
      <c r="K2213">
        <f t="shared" si="275"/>
        <v>0.93846084386971174</v>
      </c>
      <c r="L2213">
        <f>VLOOKUP(D2213,[1]SOI!$A$1:$C$142,3)</f>
        <v>0.6</v>
      </c>
      <c r="M2213" s="2">
        <f t="shared" si="276"/>
        <v>763.99304914577021</v>
      </c>
      <c r="N2213">
        <f t="shared" si="277"/>
        <v>2075.8753866398024</v>
      </c>
      <c r="O2213" t="s">
        <v>8</v>
      </c>
    </row>
    <row r="2214" spans="1:15" x14ac:dyDescent="0.35">
      <c r="A2214">
        <v>2006</v>
      </c>
      <c r="B2214">
        <v>1</v>
      </c>
      <c r="C2214">
        <v>21</v>
      </c>
      <c r="D2214" s="1">
        <f t="shared" si="272"/>
        <v>38738</v>
      </c>
      <c r="E2214">
        <v>4.4000000000000004</v>
      </c>
      <c r="F2214">
        <f t="shared" si="278"/>
        <v>0</v>
      </c>
      <c r="G2214">
        <f t="shared" si="273"/>
        <v>1</v>
      </c>
      <c r="H2214">
        <f t="shared" si="279"/>
        <v>0</v>
      </c>
      <c r="I2214">
        <v>2213</v>
      </c>
      <c r="J2214">
        <f t="shared" si="274"/>
        <v>0.36147754848581082</v>
      </c>
      <c r="K2214">
        <f t="shared" si="275"/>
        <v>0.93238081379910875</v>
      </c>
      <c r="L2214">
        <f>VLOOKUP(D2214,[1]SOI!$A$1:$C$142,3)</f>
        <v>0.6</v>
      </c>
      <c r="M2214" s="2">
        <f t="shared" si="276"/>
        <v>799.94981479909939</v>
      </c>
      <c r="N2214">
        <f t="shared" si="277"/>
        <v>2063.3587409374277</v>
      </c>
      <c r="O2214" t="s">
        <v>8</v>
      </c>
    </row>
    <row r="2215" spans="1:15" x14ac:dyDescent="0.35">
      <c r="A2215">
        <v>2006</v>
      </c>
      <c r="B2215">
        <v>1</v>
      </c>
      <c r="C2215">
        <v>22</v>
      </c>
      <c r="D2215" s="1">
        <f t="shared" si="272"/>
        <v>38739</v>
      </c>
      <c r="E2215">
        <v>0</v>
      </c>
      <c r="F2215">
        <f t="shared" si="278"/>
        <v>4.4000000000000004</v>
      </c>
      <c r="G2215">
        <f t="shared" si="273"/>
        <v>0</v>
      </c>
      <c r="H2215">
        <f t="shared" si="279"/>
        <v>1</v>
      </c>
      <c r="I2215">
        <v>2214</v>
      </c>
      <c r="J2215">
        <f t="shared" si="274"/>
        <v>0.37746248386181064</v>
      </c>
      <c r="K2215">
        <f t="shared" si="275"/>
        <v>0.92602487724513771</v>
      </c>
      <c r="L2215">
        <f>VLOOKUP(D2215,[1]SOI!$A$1:$C$142,3)</f>
        <v>0.6</v>
      </c>
      <c r="M2215" s="2">
        <f t="shared" si="276"/>
        <v>835.7019392700488</v>
      </c>
      <c r="N2215">
        <f t="shared" si="277"/>
        <v>2050.2190782207349</v>
      </c>
      <c r="O2215" t="s">
        <v>8</v>
      </c>
    </row>
    <row r="2216" spans="1:15" x14ac:dyDescent="0.35">
      <c r="A2216">
        <v>2006</v>
      </c>
      <c r="B2216">
        <v>1</v>
      </c>
      <c r="C2216">
        <v>23</v>
      </c>
      <c r="D2216" s="1">
        <f t="shared" si="272"/>
        <v>38740</v>
      </c>
      <c r="E2216">
        <v>0</v>
      </c>
      <c r="F2216">
        <f t="shared" si="278"/>
        <v>0</v>
      </c>
      <c r="G2216">
        <f t="shared" si="273"/>
        <v>0</v>
      </c>
      <c r="H2216">
        <f t="shared" si="279"/>
        <v>0</v>
      </c>
      <c r="I2216">
        <v>2215</v>
      </c>
      <c r="J2216">
        <f t="shared" si="274"/>
        <v>0.39333572201604178</v>
      </c>
      <c r="K2216">
        <f t="shared" si="275"/>
        <v>0.91939491503168491</v>
      </c>
      <c r="L2216">
        <f>VLOOKUP(D2216,[1]SOI!$A$1:$C$142,3)</f>
        <v>0.6</v>
      </c>
      <c r="M2216" s="2">
        <f t="shared" si="276"/>
        <v>871.23862426553251</v>
      </c>
      <c r="N2216">
        <f t="shared" si="277"/>
        <v>2036.4597367951822</v>
      </c>
      <c r="O2216" t="s">
        <v>8</v>
      </c>
    </row>
    <row r="2217" spans="1:15" x14ac:dyDescent="0.35">
      <c r="A2217">
        <v>2006</v>
      </c>
      <c r="B2217">
        <v>1</v>
      </c>
      <c r="C2217">
        <v>24</v>
      </c>
      <c r="D2217" s="1">
        <f t="shared" si="272"/>
        <v>38741</v>
      </c>
      <c r="E2217">
        <v>0</v>
      </c>
      <c r="F2217">
        <f t="shared" si="278"/>
        <v>0</v>
      </c>
      <c r="G2217">
        <f t="shared" si="273"/>
        <v>0</v>
      </c>
      <c r="H2217">
        <f t="shared" si="279"/>
        <v>0</v>
      </c>
      <c r="I2217">
        <v>2216</v>
      </c>
      <c r="J2217">
        <f t="shared" si="274"/>
        <v>0.40909256580197817</v>
      </c>
      <c r="K2217">
        <f t="shared" si="275"/>
        <v>0.91249288907122683</v>
      </c>
      <c r="L2217">
        <f>VLOOKUP(D2217,[1]SOI!$A$1:$C$142,3)</f>
        <v>0.6</v>
      </c>
      <c r="M2217" s="2">
        <f t="shared" si="276"/>
        <v>906.54912581718361</v>
      </c>
      <c r="N2217">
        <f t="shared" si="277"/>
        <v>2022.0842421818386</v>
      </c>
      <c r="O2217" t="s">
        <v>8</v>
      </c>
    </row>
    <row r="2218" spans="1:15" x14ac:dyDescent="0.35">
      <c r="A2218">
        <v>2006</v>
      </c>
      <c r="B2218">
        <v>1</v>
      </c>
      <c r="C2218">
        <v>25</v>
      </c>
      <c r="D2218" s="1">
        <f t="shared" si="272"/>
        <v>38742</v>
      </c>
      <c r="E2218">
        <v>0</v>
      </c>
      <c r="F2218">
        <f t="shared" si="278"/>
        <v>0</v>
      </c>
      <c r="G2218">
        <f t="shared" si="273"/>
        <v>0</v>
      </c>
      <c r="H2218">
        <f t="shared" si="279"/>
        <v>0</v>
      </c>
      <c r="I2218">
        <v>2217</v>
      </c>
      <c r="J2218">
        <f t="shared" si="274"/>
        <v>0.42472835251602065</v>
      </c>
      <c r="K2218">
        <f t="shared" si="275"/>
        <v>0.90532084178429628</v>
      </c>
      <c r="L2218">
        <f>VLOOKUP(D2218,[1]SOI!$A$1:$C$142,3)</f>
        <v>0.6</v>
      </c>
      <c r="M2218" s="2">
        <f t="shared" si="276"/>
        <v>941.62275752801781</v>
      </c>
      <c r="N2218">
        <f t="shared" si="277"/>
        <v>2007.0963062357848</v>
      </c>
      <c r="O2218" t="s">
        <v>8</v>
      </c>
    </row>
    <row r="2219" spans="1:15" x14ac:dyDescent="0.35">
      <c r="A2219">
        <v>2006</v>
      </c>
      <c r="B2219">
        <v>1</v>
      </c>
      <c r="C2219">
        <v>26</v>
      </c>
      <c r="D2219" s="1">
        <f t="shared" si="272"/>
        <v>38743</v>
      </c>
      <c r="E2219">
        <v>0</v>
      </c>
      <c r="F2219">
        <f t="shared" si="278"/>
        <v>0</v>
      </c>
      <c r="G2219">
        <f t="shared" si="273"/>
        <v>0</v>
      </c>
      <c r="H2219">
        <f t="shared" si="279"/>
        <v>0</v>
      </c>
      <c r="I2219">
        <v>2218</v>
      </c>
      <c r="J2219">
        <f t="shared" si="274"/>
        <v>0.44023845527732519</v>
      </c>
      <c r="K2219">
        <f t="shared" si="275"/>
        <v>0.89788089549507322</v>
      </c>
      <c r="L2219">
        <f>VLOOKUP(D2219,[1]SOI!$A$1:$C$142,3)</f>
        <v>0.6</v>
      </c>
      <c r="M2219" s="2">
        <f t="shared" si="276"/>
        <v>976.44889380510722</v>
      </c>
      <c r="N2219">
        <f t="shared" si="277"/>
        <v>1991.4998262080724</v>
      </c>
      <c r="O2219" t="s">
        <v>8</v>
      </c>
    </row>
    <row r="2220" spans="1:15" x14ac:dyDescent="0.35">
      <c r="A2220">
        <v>2006</v>
      </c>
      <c r="B2220">
        <v>1</v>
      </c>
      <c r="C2220">
        <v>27</v>
      </c>
      <c r="D2220" s="1">
        <f t="shared" si="272"/>
        <v>38744</v>
      </c>
      <c r="E2220">
        <v>0.6</v>
      </c>
      <c r="F2220">
        <f t="shared" si="278"/>
        <v>0</v>
      </c>
      <c r="G2220">
        <f t="shared" si="273"/>
        <v>1</v>
      </c>
      <c r="H2220">
        <f t="shared" si="279"/>
        <v>0</v>
      </c>
      <c r="I2220">
        <v>2219</v>
      </c>
      <c r="J2220">
        <f t="shared" si="274"/>
        <v>0.45561828439696389</v>
      </c>
      <c r="K2220">
        <f t="shared" si="275"/>
        <v>0.89017525180335544</v>
      </c>
      <c r="L2220">
        <f>VLOOKUP(D2220,[1]SOI!$A$1:$C$142,3)</f>
        <v>0.6</v>
      </c>
      <c r="M2220" s="2">
        <f t="shared" si="276"/>
        <v>1011.0169730768629</v>
      </c>
      <c r="N2220">
        <f t="shared" si="277"/>
        <v>1975.2988837516457</v>
      </c>
      <c r="O2220" t="s">
        <v>8</v>
      </c>
    </row>
    <row r="2221" spans="1:15" x14ac:dyDescent="0.35">
      <c r="A2221">
        <v>2006</v>
      </c>
      <c r="B2221">
        <v>1</v>
      </c>
      <c r="C2221">
        <v>28</v>
      </c>
      <c r="D2221" s="1">
        <f t="shared" si="272"/>
        <v>38745</v>
      </c>
      <c r="E2221">
        <v>3.2</v>
      </c>
      <c r="F2221">
        <f t="shared" si="278"/>
        <v>0.6</v>
      </c>
      <c r="G2221">
        <f t="shared" si="273"/>
        <v>1</v>
      </c>
      <c r="H2221">
        <f t="shared" si="279"/>
        <v>1</v>
      </c>
      <c r="I2221">
        <v>2220</v>
      </c>
      <c r="J2221">
        <f t="shared" si="274"/>
        <v>0.47086328873605615</v>
      </c>
      <c r="K2221">
        <f t="shared" si="275"/>
        <v>0.8822061909330865</v>
      </c>
      <c r="L2221">
        <f>VLOOKUP(D2221,[1]SOI!$A$1:$C$142,3)</f>
        <v>0.6</v>
      </c>
      <c r="M2221" s="2">
        <f t="shared" si="276"/>
        <v>1045.3165009940446</v>
      </c>
      <c r="N2221">
        <f t="shared" si="277"/>
        <v>1958.497743871452</v>
      </c>
      <c r="O2221" t="s">
        <v>8</v>
      </c>
    </row>
    <row r="2222" spans="1:15" x14ac:dyDescent="0.35">
      <c r="A2222">
        <v>2006</v>
      </c>
      <c r="B2222">
        <v>1</v>
      </c>
      <c r="C2222">
        <v>29</v>
      </c>
      <c r="D2222" s="1">
        <f t="shared" si="272"/>
        <v>38746</v>
      </c>
      <c r="E2222">
        <v>15.8</v>
      </c>
      <c r="F2222">
        <f t="shared" si="278"/>
        <v>3.2</v>
      </c>
      <c r="G2222">
        <f t="shared" si="273"/>
        <v>1</v>
      </c>
      <c r="H2222">
        <f t="shared" si="279"/>
        <v>1</v>
      </c>
      <c r="I2222">
        <v>2221</v>
      </c>
      <c r="J2222">
        <f t="shared" si="274"/>
        <v>0.48596895705254955</v>
      </c>
      <c r="K2222">
        <f t="shared" si="275"/>
        <v>0.87397607105758746</v>
      </c>
      <c r="L2222">
        <f>VLOOKUP(D2222,[1]SOI!$A$1:$C$142,3)</f>
        <v>0.6</v>
      </c>
      <c r="M2222" s="2">
        <f t="shared" si="276"/>
        <v>1079.3370536137127</v>
      </c>
      <c r="N2222">
        <f t="shared" si="277"/>
        <v>1941.1008538189017</v>
      </c>
      <c r="O2222" t="s">
        <v>8</v>
      </c>
    </row>
    <row r="2223" spans="1:15" x14ac:dyDescent="0.35">
      <c r="A2223">
        <v>2006</v>
      </c>
      <c r="B2223">
        <v>1</v>
      </c>
      <c r="C2223">
        <v>30</v>
      </c>
      <c r="D2223" s="1">
        <f t="shared" si="272"/>
        <v>38747</v>
      </c>
      <c r="E2223">
        <v>2.8</v>
      </c>
      <c r="F2223">
        <f t="shared" si="278"/>
        <v>15.8</v>
      </c>
      <c r="G2223">
        <f t="shared" si="273"/>
        <v>1</v>
      </c>
      <c r="H2223">
        <f t="shared" si="279"/>
        <v>1</v>
      </c>
      <c r="I2223">
        <v>2222</v>
      </c>
      <c r="J2223">
        <f t="shared" si="274"/>
        <v>0.50093081933616235</v>
      </c>
      <c r="K2223">
        <f t="shared" si="275"/>
        <v>0.86548732760173963</v>
      </c>
      <c r="L2223">
        <f>VLOOKUP(D2223,[1]SOI!$A$1:$C$142,3)</f>
        <v>0.6</v>
      </c>
      <c r="M2223" s="2">
        <f t="shared" si="276"/>
        <v>1113.0682805649528</v>
      </c>
      <c r="N2223">
        <f t="shared" si="277"/>
        <v>1923.1128419310655</v>
      </c>
      <c r="O2223" t="s">
        <v>8</v>
      </c>
    </row>
    <row r="2224" spans="1:15" x14ac:dyDescent="0.35">
      <c r="A2224">
        <v>2006</v>
      </c>
      <c r="B2224">
        <v>1</v>
      </c>
      <c r="C2224">
        <v>31</v>
      </c>
      <c r="D2224" s="1">
        <f t="shared" si="272"/>
        <v>38748</v>
      </c>
      <c r="E2224">
        <v>0.8</v>
      </c>
      <c r="F2224">
        <f t="shared" si="278"/>
        <v>2.8</v>
      </c>
      <c r="G2224">
        <f t="shared" si="273"/>
        <v>1</v>
      </c>
      <c r="H2224">
        <f t="shared" si="279"/>
        <v>1</v>
      </c>
      <c r="I2224">
        <v>2223</v>
      </c>
      <c r="J2224">
        <f t="shared" si="274"/>
        <v>0.51574444813112563</v>
      </c>
      <c r="K2224">
        <f t="shared" si="275"/>
        <v>0.85674247252130598</v>
      </c>
      <c r="L2224">
        <f>VLOOKUP(D2224,[1]SOI!$A$1:$C$142,3)</f>
        <v>0.6</v>
      </c>
      <c r="M2224" s="2">
        <f t="shared" si="276"/>
        <v>1146.4999081954923</v>
      </c>
      <c r="N2224">
        <f t="shared" si="277"/>
        <v>1904.5385164148631</v>
      </c>
      <c r="O2224" t="s">
        <v>8</v>
      </c>
    </row>
    <row r="2225" spans="1:15" x14ac:dyDescent="0.35">
      <c r="A2225">
        <v>2006</v>
      </c>
      <c r="B2225">
        <v>2</v>
      </c>
      <c r="C2225">
        <v>1</v>
      </c>
      <c r="D2225" s="1">
        <f t="shared" si="272"/>
        <v>38749</v>
      </c>
      <c r="E2225">
        <v>0</v>
      </c>
      <c r="F2225">
        <f t="shared" si="278"/>
        <v>0.8</v>
      </c>
      <c r="G2225">
        <f t="shared" si="273"/>
        <v>0</v>
      </c>
      <c r="H2225">
        <f t="shared" si="279"/>
        <v>1</v>
      </c>
      <c r="I2225">
        <v>2224</v>
      </c>
      <c r="J2225">
        <f t="shared" si="274"/>
        <v>0.53040545984636267</v>
      </c>
      <c r="K2225">
        <f t="shared" si="275"/>
        <v>0.84774409355958857</v>
      </c>
      <c r="L2225">
        <f>VLOOKUP(D2225,[1]SOI!$A$1:$C$142,3)</f>
        <v>12.7</v>
      </c>
      <c r="M2225" s="2">
        <f t="shared" si="276"/>
        <v>1179.6217426983105</v>
      </c>
      <c r="N2225">
        <f t="shared" si="277"/>
        <v>1885.382864076525</v>
      </c>
      <c r="O2225" t="s">
        <v>8</v>
      </c>
    </row>
    <row r="2226" spans="1:15" x14ac:dyDescent="0.35">
      <c r="A2226">
        <v>2006</v>
      </c>
      <c r="B2226">
        <v>2</v>
      </c>
      <c r="C2226">
        <v>2</v>
      </c>
      <c r="D2226" s="1">
        <f t="shared" si="272"/>
        <v>38750</v>
      </c>
      <c r="E2226">
        <v>5.2</v>
      </c>
      <c r="F2226">
        <f t="shared" si="278"/>
        <v>0</v>
      </c>
      <c r="G2226">
        <f t="shared" si="273"/>
        <v>1</v>
      </c>
      <c r="H2226">
        <f t="shared" si="279"/>
        <v>0</v>
      </c>
      <c r="I2226">
        <v>2225</v>
      </c>
      <c r="J2226">
        <f t="shared" si="274"/>
        <v>0.54490951605262783</v>
      </c>
      <c r="K2226">
        <f t="shared" si="275"/>
        <v>0.83849485348169606</v>
      </c>
      <c r="L2226">
        <f>VLOOKUP(D2226,[1]SOI!$A$1:$C$142,3)</f>
        <v>12.7</v>
      </c>
      <c r="M2226" s="2">
        <f t="shared" si="276"/>
        <v>1212.4236732170968</v>
      </c>
      <c r="N2226">
        <f t="shared" si="277"/>
        <v>1865.6510489967736</v>
      </c>
      <c r="O2226" t="s">
        <v>8</v>
      </c>
    </row>
    <row r="2227" spans="1:15" x14ac:dyDescent="0.35">
      <c r="A2227">
        <v>2006</v>
      </c>
      <c r="B2227">
        <v>2</v>
      </c>
      <c r="C2227">
        <v>3</v>
      </c>
      <c r="D2227" s="1">
        <f t="shared" si="272"/>
        <v>38751</v>
      </c>
      <c r="E2227">
        <v>0</v>
      </c>
      <c r="F2227">
        <f t="shared" si="278"/>
        <v>5.2</v>
      </c>
      <c r="G2227">
        <f t="shared" si="273"/>
        <v>0</v>
      </c>
      <c r="H2227">
        <f t="shared" si="279"/>
        <v>1</v>
      </c>
      <c r="I2227">
        <v>2226</v>
      </c>
      <c r="J2227">
        <f t="shared" si="274"/>
        <v>0.55925232476634201</v>
      </c>
      <c r="K2227">
        <f t="shared" si="275"/>
        <v>0.82899748928657313</v>
      </c>
      <c r="L2227">
        <f>VLOOKUP(D2227,[1]SOI!$A$1:$C$142,3)</f>
        <v>12.7</v>
      </c>
      <c r="M2227" s="2">
        <f t="shared" si="276"/>
        <v>1244.8956749298773</v>
      </c>
      <c r="N2227">
        <f t="shared" si="277"/>
        <v>1845.3484111519117</v>
      </c>
      <c r="O2227" t="s">
        <v>8</v>
      </c>
    </row>
    <row r="2228" spans="1:15" x14ac:dyDescent="0.35">
      <c r="A2228">
        <v>2006</v>
      </c>
      <c r="B2228">
        <v>2</v>
      </c>
      <c r="C2228">
        <v>4</v>
      </c>
      <c r="D2228" s="1">
        <f t="shared" si="272"/>
        <v>38752</v>
      </c>
      <c r="E2228">
        <v>0</v>
      </c>
      <c r="F2228">
        <f t="shared" si="278"/>
        <v>0</v>
      </c>
      <c r="G2228">
        <f t="shared" si="273"/>
        <v>0</v>
      </c>
      <c r="H2228">
        <f t="shared" si="279"/>
        <v>0</v>
      </c>
      <c r="I2228">
        <v>2227</v>
      </c>
      <c r="J2228">
        <f t="shared" si="274"/>
        <v>0.57342964171965305</v>
      </c>
      <c r="K2228">
        <f t="shared" si="275"/>
        <v>0.81925481139708323</v>
      </c>
      <c r="L2228">
        <f>VLOOKUP(D2228,[1]SOI!$A$1:$C$142,3)</f>
        <v>12.7</v>
      </c>
      <c r="M2228" s="2">
        <f t="shared" si="276"/>
        <v>1277.0278121096674</v>
      </c>
      <c r="N2228">
        <f t="shared" si="277"/>
        <v>1824.4804649813043</v>
      </c>
      <c r="O2228" t="s">
        <v>8</v>
      </c>
    </row>
    <row r="2229" spans="1:15" x14ac:dyDescent="0.35">
      <c r="A2229">
        <v>2006</v>
      </c>
      <c r="B2229">
        <v>2</v>
      </c>
      <c r="C2229">
        <v>5</v>
      </c>
      <c r="D2229" s="1">
        <f t="shared" si="272"/>
        <v>38753</v>
      </c>
      <c r="E2229">
        <v>0</v>
      </c>
      <c r="F2229">
        <f t="shared" si="278"/>
        <v>0</v>
      </c>
      <c r="G2229">
        <f t="shared" si="273"/>
        <v>0</v>
      </c>
      <c r="H2229">
        <f t="shared" si="279"/>
        <v>0</v>
      </c>
      <c r="I2229">
        <v>2228</v>
      </c>
      <c r="J2229">
        <f t="shared" si="274"/>
        <v>0.58743727161638337</v>
      </c>
      <c r="K2229">
        <f t="shared" si="275"/>
        <v>0.80926970282835842</v>
      </c>
      <c r="L2229">
        <f>VLOOKUP(D2229,[1]SOI!$A$1:$C$142,3)</f>
        <v>12.7</v>
      </c>
      <c r="M2229" s="2">
        <f t="shared" si="276"/>
        <v>1308.8102411613022</v>
      </c>
      <c r="N2229">
        <f t="shared" si="277"/>
        <v>1803.0528979015826</v>
      </c>
      <c r="O2229" t="s">
        <v>8</v>
      </c>
    </row>
    <row r="2230" spans="1:15" x14ac:dyDescent="0.35">
      <c r="A2230">
        <v>2006</v>
      </c>
      <c r="B2230">
        <v>2</v>
      </c>
      <c r="C2230">
        <v>6</v>
      </c>
      <c r="D2230" s="1">
        <f t="shared" si="272"/>
        <v>38754</v>
      </c>
      <c r="E2230">
        <v>0</v>
      </c>
      <c r="F2230">
        <f t="shared" si="278"/>
        <v>0</v>
      </c>
      <c r="G2230">
        <f t="shared" si="273"/>
        <v>0</v>
      </c>
      <c r="H2230">
        <f t="shared" si="279"/>
        <v>0</v>
      </c>
      <c r="I2230">
        <v>2229</v>
      </c>
      <c r="J2230">
        <f t="shared" si="274"/>
        <v>0.60127106937347974</v>
      </c>
      <c r="K2230">
        <f t="shared" si="275"/>
        <v>0.79904511833467329</v>
      </c>
      <c r="L2230">
        <f>VLOOKUP(D2230,[1]SOI!$A$1:$C$142,3)</f>
        <v>12.7</v>
      </c>
      <c r="M2230" s="2">
        <f t="shared" si="276"/>
        <v>1340.2332136334862</v>
      </c>
      <c r="N2230">
        <f t="shared" si="277"/>
        <v>1781.0715687679867</v>
      </c>
      <c r="O2230" t="s">
        <v>8</v>
      </c>
    </row>
    <row r="2231" spans="1:15" x14ac:dyDescent="0.35">
      <c r="A2231">
        <v>2006</v>
      </c>
      <c r="B2231">
        <v>2</v>
      </c>
      <c r="C2231">
        <v>7</v>
      </c>
      <c r="D2231" s="1">
        <f t="shared" si="272"/>
        <v>38755</v>
      </c>
      <c r="E2231">
        <v>0</v>
      </c>
      <c r="F2231">
        <f t="shared" si="278"/>
        <v>0</v>
      </c>
      <c r="G2231">
        <f t="shared" si="273"/>
        <v>0</v>
      </c>
      <c r="H2231">
        <f t="shared" si="279"/>
        <v>0</v>
      </c>
      <c r="I2231">
        <v>2230</v>
      </c>
      <c r="J2231">
        <f t="shared" si="274"/>
        <v>0.61492694134763293</v>
      </c>
      <c r="K2231">
        <f t="shared" si="275"/>
        <v>0.78858408353506904</v>
      </c>
      <c r="L2231">
        <f>VLOOKUP(D2231,[1]SOI!$A$1:$C$142,3)</f>
        <v>12.7</v>
      </c>
      <c r="M2231" s="2">
        <f t="shared" si="276"/>
        <v>1371.2870792052215</v>
      </c>
      <c r="N2231">
        <f t="shared" si="277"/>
        <v>1758.5425062832039</v>
      </c>
      <c r="O2231" t="s">
        <v>8</v>
      </c>
    </row>
    <row r="2232" spans="1:15" x14ac:dyDescent="0.35">
      <c r="A2232">
        <v>2006</v>
      </c>
      <c r="B2232">
        <v>2</v>
      </c>
      <c r="C2232">
        <v>8</v>
      </c>
      <c r="D2232" s="1">
        <f t="shared" si="272"/>
        <v>38756</v>
      </c>
      <c r="E2232">
        <v>0</v>
      </c>
      <c r="F2232">
        <f t="shared" si="278"/>
        <v>0</v>
      </c>
      <c r="G2232">
        <f t="shared" si="273"/>
        <v>0</v>
      </c>
      <c r="H2232">
        <f t="shared" si="279"/>
        <v>0</v>
      </c>
      <c r="I2232">
        <v>2231</v>
      </c>
      <c r="J2232">
        <f t="shared" si="274"/>
        <v>0.62840084654661821</v>
      </c>
      <c r="K2232">
        <f t="shared" si="275"/>
        <v>0.77788969401804875</v>
      </c>
      <c r="L2232">
        <f>VLOOKUP(D2232,[1]SOI!$A$1:$C$142,3)</f>
        <v>12.7</v>
      </c>
      <c r="M2232" s="2">
        <f t="shared" si="276"/>
        <v>1401.9622886455052</v>
      </c>
      <c r="N2232">
        <f t="shared" si="277"/>
        <v>1735.4719073542667</v>
      </c>
      <c r="O2232" t="s">
        <v>8</v>
      </c>
    </row>
    <row r="2233" spans="1:15" x14ac:dyDescent="0.35">
      <c r="A2233">
        <v>2006</v>
      </c>
      <c r="B2233">
        <v>2</v>
      </c>
      <c r="C2233">
        <v>9</v>
      </c>
      <c r="D2233" s="1">
        <f t="shared" si="272"/>
        <v>38757</v>
      </c>
      <c r="E2233">
        <v>0.4</v>
      </c>
      <c r="F2233">
        <f t="shared" si="278"/>
        <v>0</v>
      </c>
      <c r="G2233">
        <f t="shared" si="273"/>
        <v>1</v>
      </c>
      <c r="H2233">
        <f t="shared" si="279"/>
        <v>0</v>
      </c>
      <c r="I2233">
        <v>2232</v>
      </c>
      <c r="J2233">
        <f t="shared" si="274"/>
        <v>0.6416887978251129</v>
      </c>
      <c r="K2233">
        <f t="shared" si="275"/>
        <v>0.76696511442552684</v>
      </c>
      <c r="L2233">
        <f>VLOOKUP(D2233,[1]SOI!$A$1:$C$142,3)</f>
        <v>12.7</v>
      </c>
      <c r="M2233" s="2">
        <f t="shared" si="276"/>
        <v>1432.2493967456519</v>
      </c>
      <c r="N2233">
        <f t="shared" si="277"/>
        <v>1711.8661353977759</v>
      </c>
      <c r="O2233" t="s">
        <v>8</v>
      </c>
    </row>
    <row r="2234" spans="1:15" x14ac:dyDescent="0.35">
      <c r="A2234">
        <v>2006</v>
      </c>
      <c r="B2234">
        <v>2</v>
      </c>
      <c r="C2234">
        <v>10</v>
      </c>
      <c r="D2234" s="1">
        <f t="shared" si="272"/>
        <v>38758</v>
      </c>
      <c r="E2234">
        <v>19</v>
      </c>
      <c r="F2234">
        <f t="shared" si="278"/>
        <v>0.4</v>
      </c>
      <c r="G2234">
        <f t="shared" si="273"/>
        <v>1</v>
      </c>
      <c r="H2234">
        <f t="shared" si="279"/>
        <v>1</v>
      </c>
      <c r="I2234">
        <v>2233</v>
      </c>
      <c r="J2234">
        <f t="shared" si="274"/>
        <v>0.65478686306455103</v>
      </c>
      <c r="K2234">
        <f t="shared" si="275"/>
        <v>0.75581357751636413</v>
      </c>
      <c r="L2234">
        <f>VLOOKUP(D2234,[1]SOI!$A$1:$C$142,3)</f>
        <v>12.7</v>
      </c>
      <c r="M2234" s="2">
        <f t="shared" si="276"/>
        <v>1462.1390652231426</v>
      </c>
      <c r="N2234">
        <f t="shared" si="277"/>
        <v>1687.731718594041</v>
      </c>
      <c r="O2234" t="s">
        <v>8</v>
      </c>
    </row>
    <row r="2235" spans="1:15" x14ac:dyDescent="0.35">
      <c r="A2235">
        <v>2006</v>
      </c>
      <c r="B2235">
        <v>2</v>
      </c>
      <c r="C2235">
        <v>11</v>
      </c>
      <c r="D2235" s="1">
        <f t="shared" si="272"/>
        <v>38759</v>
      </c>
      <c r="E2235">
        <v>0</v>
      </c>
      <c r="F2235">
        <f t="shared" si="278"/>
        <v>19</v>
      </c>
      <c r="G2235">
        <f t="shared" si="273"/>
        <v>0</v>
      </c>
      <c r="H2235">
        <f t="shared" si="279"/>
        <v>1</v>
      </c>
      <c r="I2235">
        <v>2234</v>
      </c>
      <c r="J2235">
        <f t="shared" si="274"/>
        <v>0.66769116633669534</v>
      </c>
      <c r="K2235">
        <f t="shared" si="275"/>
        <v>0.74443838320974787</v>
      </c>
      <c r="L2235">
        <f>VLOOKUP(D2235,[1]SOI!$A$1:$C$142,3)</f>
        <v>12.7</v>
      </c>
      <c r="M2235" s="2">
        <f t="shared" si="276"/>
        <v>1491.6220655961774</v>
      </c>
      <c r="N2235">
        <f t="shared" si="277"/>
        <v>1663.0753480905767</v>
      </c>
      <c r="O2235" t="s">
        <v>8</v>
      </c>
    </row>
    <row r="2236" spans="1:15" x14ac:dyDescent="0.35">
      <c r="A2236">
        <v>2006</v>
      </c>
      <c r="B2236">
        <v>2</v>
      </c>
      <c r="C2236">
        <v>12</v>
      </c>
      <c r="D2236" s="1">
        <f t="shared" si="272"/>
        <v>38760</v>
      </c>
      <c r="E2236">
        <v>0</v>
      </c>
      <c r="F2236">
        <f t="shared" si="278"/>
        <v>0</v>
      </c>
      <c r="G2236">
        <f t="shared" si="273"/>
        <v>0</v>
      </c>
      <c r="H2236">
        <f t="shared" si="279"/>
        <v>0</v>
      </c>
      <c r="I2236">
        <v>2235</v>
      </c>
      <c r="J2236">
        <f t="shared" si="274"/>
        <v>0.68039788905060816</v>
      </c>
      <c r="K2236">
        <f t="shared" si="275"/>
        <v>0.73284289760867327</v>
      </c>
      <c r="L2236">
        <f>VLOOKUP(D2236,[1]SOI!$A$1:$C$142,3)</f>
        <v>12.7</v>
      </c>
      <c r="M2236" s="2">
        <f t="shared" si="276"/>
        <v>1520.6892820281093</v>
      </c>
      <c r="N2236">
        <f t="shared" si="277"/>
        <v>1637.9038761553848</v>
      </c>
      <c r="O2236" t="s">
        <v>8</v>
      </c>
    </row>
    <row r="2237" spans="1:15" x14ac:dyDescent="0.35">
      <c r="A2237">
        <v>2006</v>
      </c>
      <c r="B2237">
        <v>2</v>
      </c>
      <c r="C2237">
        <v>13</v>
      </c>
      <c r="D2237" s="1">
        <f t="shared" si="272"/>
        <v>38761</v>
      </c>
      <c r="E2237">
        <v>0.2</v>
      </c>
      <c r="F2237">
        <f t="shared" si="278"/>
        <v>0</v>
      </c>
      <c r="G2237">
        <f t="shared" si="273"/>
        <v>1</v>
      </c>
      <c r="H2237">
        <f t="shared" si="279"/>
        <v>0</v>
      </c>
      <c r="I2237">
        <v>2236</v>
      </c>
      <c r="J2237">
        <f t="shared" si="274"/>
        <v>0.69290327108260141</v>
      </c>
      <c r="K2237">
        <f t="shared" si="275"/>
        <v>0.72103055200388766</v>
      </c>
      <c r="L2237">
        <f>VLOOKUP(D2237,[1]SOI!$A$1:$C$142,3)</f>
        <v>12.7</v>
      </c>
      <c r="M2237" s="2">
        <f t="shared" si="276"/>
        <v>1549.3317141406967</v>
      </c>
      <c r="N2237">
        <f t="shared" si="277"/>
        <v>1612.2243142806929</v>
      </c>
      <c r="O2237" t="s">
        <v>8</v>
      </c>
    </row>
    <row r="2238" spans="1:15" x14ac:dyDescent="0.35">
      <c r="A2238">
        <v>2006</v>
      </c>
      <c r="B2238">
        <v>2</v>
      </c>
      <c r="C2238">
        <v>14</v>
      </c>
      <c r="D2238" s="1">
        <f t="shared" si="272"/>
        <v>38762</v>
      </c>
      <c r="E2238">
        <v>0</v>
      </c>
      <c r="F2238">
        <f t="shared" si="278"/>
        <v>0.2</v>
      </c>
      <c r="G2238">
        <f t="shared" si="273"/>
        <v>0</v>
      </c>
      <c r="H2238">
        <f t="shared" si="279"/>
        <v>1</v>
      </c>
      <c r="I2238">
        <v>2237</v>
      </c>
      <c r="J2238">
        <f t="shared" si="274"/>
        <v>0.70520361188893954</v>
      </c>
      <c r="K2238">
        <f t="shared" si="275"/>
        <v>0.7090048418584981</v>
      </c>
      <c r="L2238">
        <f>VLOOKUP(D2238,[1]SOI!$A$1:$C$142,3)</f>
        <v>12.7</v>
      </c>
      <c r="M2238" s="2">
        <f t="shared" si="276"/>
        <v>1577.5404797955578</v>
      </c>
      <c r="N2238">
        <f t="shared" si="277"/>
        <v>1586.0438312374602</v>
      </c>
      <c r="O2238" t="s">
        <v>8</v>
      </c>
    </row>
    <row r="2239" spans="1:15" x14ac:dyDescent="0.35">
      <c r="A2239">
        <v>2006</v>
      </c>
      <c r="B2239">
        <v>2</v>
      </c>
      <c r="C2239">
        <v>15</v>
      </c>
      <c r="D2239" s="1">
        <f t="shared" si="272"/>
        <v>38763</v>
      </c>
      <c r="E2239">
        <v>0</v>
      </c>
      <c r="F2239">
        <f t="shared" si="278"/>
        <v>0</v>
      </c>
      <c r="G2239">
        <f t="shared" si="273"/>
        <v>0</v>
      </c>
      <c r="H2239">
        <f t="shared" si="279"/>
        <v>0</v>
      </c>
      <c r="I2239">
        <v>2238</v>
      </c>
      <c r="J2239">
        <f t="shared" si="274"/>
        <v>0.71729527160088469</v>
      </c>
      <c r="K2239">
        <f t="shared" si="275"/>
        <v>0.69676932577361139</v>
      </c>
      <c r="L2239">
        <f>VLOOKUP(D2239,[1]SOI!$A$1:$C$142,3)</f>
        <v>12.7</v>
      </c>
      <c r="M2239" s="2">
        <f t="shared" si="276"/>
        <v>1605.30681784278</v>
      </c>
      <c r="N2239">
        <f t="shared" si="277"/>
        <v>1559.3697510813422</v>
      </c>
      <c r="O2239" t="s">
        <v>8</v>
      </c>
    </row>
    <row r="2240" spans="1:15" x14ac:dyDescent="0.35">
      <c r="A2240">
        <v>2006</v>
      </c>
      <c r="B2240">
        <v>2</v>
      </c>
      <c r="C2240">
        <v>16</v>
      </c>
      <c r="D2240" s="1">
        <f t="shared" si="272"/>
        <v>38764</v>
      </c>
      <c r="E2240">
        <v>0</v>
      </c>
      <c r="F2240">
        <f t="shared" si="278"/>
        <v>0</v>
      </c>
      <c r="G2240">
        <f t="shared" si="273"/>
        <v>0</v>
      </c>
      <c r="H2240">
        <f t="shared" si="279"/>
        <v>0</v>
      </c>
      <c r="I2240">
        <v>2239</v>
      </c>
      <c r="J2240">
        <f t="shared" si="274"/>
        <v>0.72917467210179177</v>
      </c>
      <c r="K2240">
        <f t="shared" si="275"/>
        <v>0.68432762443528783</v>
      </c>
      <c r="L2240">
        <f>VLOOKUP(D2240,[1]SOI!$A$1:$C$142,3)</f>
        <v>12.7</v>
      </c>
      <c r="M2240" s="2">
        <f t="shared" si="276"/>
        <v>1632.6220908359116</v>
      </c>
      <c r="N2240">
        <f t="shared" si="277"/>
        <v>1532.2095511106095</v>
      </c>
      <c r="O2240" t="s">
        <v>8</v>
      </c>
    </row>
    <row r="2241" spans="1:15" x14ac:dyDescent="0.35">
      <c r="A2241">
        <v>2006</v>
      </c>
      <c r="B2241">
        <v>2</v>
      </c>
      <c r="C2241">
        <v>17</v>
      </c>
      <c r="D2241" s="1">
        <f t="shared" si="272"/>
        <v>38765</v>
      </c>
      <c r="E2241">
        <v>0</v>
      </c>
      <c r="F2241">
        <f t="shared" si="278"/>
        <v>0</v>
      </c>
      <c r="G2241">
        <f t="shared" si="273"/>
        <v>0</v>
      </c>
      <c r="H2241">
        <f t="shared" si="279"/>
        <v>0</v>
      </c>
      <c r="I2241">
        <v>2240</v>
      </c>
      <c r="J2241">
        <f t="shared" si="274"/>
        <v>0.74083829808592683</v>
      </c>
      <c r="K2241">
        <f t="shared" si="275"/>
        <v>0.67168341954312627</v>
      </c>
      <c r="L2241">
        <f>VLOOKUP(D2241,[1]SOI!$A$1:$C$142,3)</f>
        <v>12.7</v>
      </c>
      <c r="M2241" s="2">
        <f t="shared" si="276"/>
        <v>1659.4777877124761</v>
      </c>
      <c r="N2241">
        <f t="shared" si="277"/>
        <v>1504.5708597766029</v>
      </c>
      <c r="O2241" t="s">
        <v>8</v>
      </c>
    </row>
    <row r="2242" spans="1:15" x14ac:dyDescent="0.35">
      <c r="A2242">
        <v>2006</v>
      </c>
      <c r="B2242">
        <v>2</v>
      </c>
      <c r="C2242">
        <v>18</v>
      </c>
      <c r="D2242" s="1">
        <f t="shared" si="272"/>
        <v>38766</v>
      </c>
      <c r="E2242">
        <v>0</v>
      </c>
      <c r="F2242">
        <f t="shared" si="278"/>
        <v>0</v>
      </c>
      <c r="G2242">
        <f t="shared" si="273"/>
        <v>0</v>
      </c>
      <c r="H2242">
        <f t="shared" si="279"/>
        <v>0</v>
      </c>
      <c r="I2242">
        <v>2241</v>
      </c>
      <c r="J2242">
        <f t="shared" si="274"/>
        <v>0.75228269809872095</v>
      </c>
      <c r="K2242">
        <f t="shared" si="275"/>
        <v>0.65884045272076963</v>
      </c>
      <c r="L2242">
        <f>VLOOKUP(D2242,[1]SOI!$A$1:$C$142,3)</f>
        <v>12.7</v>
      </c>
      <c r="M2242" s="2">
        <f t="shared" si="276"/>
        <v>1685.8655264392337</v>
      </c>
      <c r="N2242">
        <f t="shared" si="277"/>
        <v>1476.4614545472448</v>
      </c>
      <c r="O2242" t="s">
        <v>8</v>
      </c>
    </row>
    <row r="2243" spans="1:15" x14ac:dyDescent="0.35">
      <c r="A2243">
        <v>2006</v>
      </c>
      <c r="B2243">
        <v>2</v>
      </c>
      <c r="C2243">
        <v>19</v>
      </c>
      <c r="D2243" s="1">
        <f t="shared" ref="D2243:D2306" si="280">DATE(A2243,B2243,C2243)</f>
        <v>38767</v>
      </c>
      <c r="E2243">
        <v>0.2</v>
      </c>
      <c r="F2243">
        <f t="shared" si="278"/>
        <v>0</v>
      </c>
      <c r="G2243">
        <f t="shared" ref="G2243:G2306" si="281">IF(E2243=0,0,1)</f>
        <v>1</v>
      </c>
      <c r="H2243">
        <f t="shared" si="279"/>
        <v>0</v>
      </c>
      <c r="I2243">
        <v>2242</v>
      </c>
      <c r="J2243">
        <f t="shared" ref="J2243:J2306" si="282">SIN(2*PI()*I2243/365.25)</f>
        <v>0.76350448555808736</v>
      </c>
      <c r="K2243">
        <f t="shared" ref="K2243:K2306" si="283">COS(2*PI()*I2243/365.25)</f>
        <v>0.64580252440872388</v>
      </c>
      <c r="L2243">
        <f>VLOOKUP(D2243,[1]SOI!$A$1:$C$142,3)</f>
        <v>12.7</v>
      </c>
      <c r="M2243" s="2">
        <f t="shared" ref="M2243:M2306" si="284">I2243*J2243</f>
        <v>1711.7770566212318</v>
      </c>
      <c r="N2243">
        <f t="shared" ref="N2243:N2306" si="285">I2243*K2243</f>
        <v>1447.8892597243589</v>
      </c>
      <c r="O2243" t="s">
        <v>8</v>
      </c>
    </row>
    <row r="2244" spans="1:15" x14ac:dyDescent="0.35">
      <c r="A2244">
        <v>2006</v>
      </c>
      <c r="B2244">
        <v>2</v>
      </c>
      <c r="C2244">
        <v>20</v>
      </c>
      <c r="D2244" s="1">
        <f t="shared" si="280"/>
        <v>38768</v>
      </c>
      <c r="E2244">
        <v>0</v>
      </c>
      <c r="F2244">
        <f t="shared" ref="F2244:F2307" si="286">E2243</f>
        <v>0.2</v>
      </c>
      <c r="G2244">
        <f t="shared" si="281"/>
        <v>0</v>
      </c>
      <c r="H2244">
        <f t="shared" ref="H2244:H2307" si="287">G2243</f>
        <v>1</v>
      </c>
      <c r="I2244">
        <v>2243</v>
      </c>
      <c r="J2244">
        <f t="shared" si="282"/>
        <v>0.77450033975656196</v>
      </c>
      <c r="K2244">
        <f t="shared" si="283"/>
        <v>0.63257349273975283</v>
      </c>
      <c r="L2244">
        <f>VLOOKUP(D2244,[1]SOI!$A$1:$C$142,3)</f>
        <v>12.7</v>
      </c>
      <c r="M2244" s="2">
        <f t="shared" si="284"/>
        <v>1737.2042620739685</v>
      </c>
      <c r="N2244">
        <f t="shared" si="285"/>
        <v>1418.8623442152657</v>
      </c>
      <c r="O2244" t="s">
        <v>8</v>
      </c>
    </row>
    <row r="2245" spans="1:15" x14ac:dyDescent="0.35">
      <c r="A2245">
        <v>2006</v>
      </c>
      <c r="B2245">
        <v>2</v>
      </c>
      <c r="C2245">
        <v>21</v>
      </c>
      <c r="D2245" s="1">
        <f t="shared" si="280"/>
        <v>38769</v>
      </c>
      <c r="E2245">
        <v>0</v>
      </c>
      <c r="F2245">
        <f t="shared" si="286"/>
        <v>0</v>
      </c>
      <c r="G2245">
        <f t="shared" si="281"/>
        <v>0</v>
      </c>
      <c r="H2245">
        <f t="shared" si="287"/>
        <v>0</v>
      </c>
      <c r="I2245">
        <v>2244</v>
      </c>
      <c r="J2245">
        <f t="shared" si="282"/>
        <v>0.78526700684399486</v>
      </c>
      <c r="K2245">
        <f t="shared" si="283"/>
        <v>0.61915727239714569</v>
      </c>
      <c r="L2245">
        <f>VLOOKUP(D2245,[1]SOI!$A$1:$C$142,3)</f>
        <v>12.7</v>
      </c>
      <c r="M2245" s="2">
        <f t="shared" si="284"/>
        <v>1762.1391633579244</v>
      </c>
      <c r="N2245">
        <f t="shared" si="285"/>
        <v>1389.3889192591948</v>
      </c>
      <c r="O2245" t="s">
        <v>8</v>
      </c>
    </row>
    <row r="2246" spans="1:15" x14ac:dyDescent="0.35">
      <c r="A2246">
        <v>2006</v>
      </c>
      <c r="B2246">
        <v>2</v>
      </c>
      <c r="C2246">
        <v>22</v>
      </c>
      <c r="D2246" s="1">
        <f t="shared" si="280"/>
        <v>38770</v>
      </c>
      <c r="E2246">
        <v>0</v>
      </c>
      <c r="F2246">
        <f t="shared" si="286"/>
        <v>0</v>
      </c>
      <c r="G2246">
        <f t="shared" si="281"/>
        <v>0</v>
      </c>
      <c r="H2246">
        <f t="shared" si="287"/>
        <v>0</v>
      </c>
      <c r="I2246">
        <v>2245</v>
      </c>
      <c r="J2246">
        <f t="shared" si="282"/>
        <v>0.79580130079036704</v>
      </c>
      <c r="K2246">
        <f t="shared" si="283"/>
        <v>0.60555783345635927</v>
      </c>
      <c r="L2246">
        <f>VLOOKUP(D2246,[1]SOI!$A$1:$C$142,3)</f>
        <v>12.7</v>
      </c>
      <c r="M2246" s="2">
        <f t="shared" si="284"/>
        <v>1786.5739202743739</v>
      </c>
      <c r="N2246">
        <f t="shared" si="285"/>
        <v>1359.4773361095265</v>
      </c>
      <c r="O2246" t="s">
        <v>8</v>
      </c>
    </row>
    <row r="2247" spans="1:15" x14ac:dyDescent="0.35">
      <c r="A2247">
        <v>2006</v>
      </c>
      <c r="B2247">
        <v>2</v>
      </c>
      <c r="C2247">
        <v>23</v>
      </c>
      <c r="D2247" s="1">
        <f t="shared" si="280"/>
        <v>38771</v>
      </c>
      <c r="E2247">
        <v>0</v>
      </c>
      <c r="F2247">
        <f t="shared" si="286"/>
        <v>0</v>
      </c>
      <c r="G2247">
        <f t="shared" si="281"/>
        <v>0</v>
      </c>
      <c r="H2247">
        <f t="shared" si="287"/>
        <v>0</v>
      </c>
      <c r="I2247">
        <v>2246</v>
      </c>
      <c r="J2247">
        <f t="shared" si="282"/>
        <v>0.80610010432863211</v>
      </c>
      <c r="K2247">
        <f t="shared" si="283"/>
        <v>0.59177920021015307</v>
      </c>
      <c r="L2247">
        <f>VLOOKUP(D2247,[1]SOI!$A$1:$C$142,3)</f>
        <v>12.7</v>
      </c>
      <c r="M2247" s="2">
        <f t="shared" si="284"/>
        <v>1810.5008343221077</v>
      </c>
      <c r="N2247">
        <f t="shared" si="285"/>
        <v>1329.1360836720037</v>
      </c>
      <c r="O2247" t="s">
        <v>8</v>
      </c>
    </row>
    <row r="2248" spans="1:15" x14ac:dyDescent="0.35">
      <c r="A2248">
        <v>2006</v>
      </c>
      <c r="B2248">
        <v>2</v>
      </c>
      <c r="C2248">
        <v>24</v>
      </c>
      <c r="D2248" s="1">
        <f t="shared" si="280"/>
        <v>38772</v>
      </c>
      <c r="E2248">
        <v>0</v>
      </c>
      <c r="F2248">
        <f t="shared" si="286"/>
        <v>0</v>
      </c>
      <c r="G2248">
        <f t="shared" si="281"/>
        <v>0</v>
      </c>
      <c r="H2248">
        <f t="shared" si="287"/>
        <v>0</v>
      </c>
      <c r="I2248">
        <v>2247</v>
      </c>
      <c r="J2248">
        <f t="shared" si="282"/>
        <v>0.81616036987711837</v>
      </c>
      <c r="K2248">
        <f t="shared" si="283"/>
        <v>0.5778254499777985</v>
      </c>
      <c r="L2248">
        <f>VLOOKUP(D2248,[1]SOI!$A$1:$C$142,3)</f>
        <v>12.7</v>
      </c>
      <c r="M2248" s="2">
        <f t="shared" si="284"/>
        <v>1833.9123511138851</v>
      </c>
      <c r="N2248">
        <f t="shared" si="285"/>
        <v>1298.3737861001132</v>
      </c>
      <c r="O2248" t="s">
        <v>8</v>
      </c>
    </row>
    <row r="2249" spans="1:15" x14ac:dyDescent="0.35">
      <c r="A2249">
        <v>2006</v>
      </c>
      <c r="B2249">
        <v>2</v>
      </c>
      <c r="C2249">
        <v>25</v>
      </c>
      <c r="D2249" s="1">
        <f t="shared" si="280"/>
        <v>38773</v>
      </c>
      <c r="E2249">
        <v>0.4</v>
      </c>
      <c r="F2249">
        <f t="shared" si="286"/>
        <v>0</v>
      </c>
      <c r="G2249">
        <f t="shared" si="281"/>
        <v>1</v>
      </c>
      <c r="H2249">
        <f t="shared" si="287"/>
        <v>0</v>
      </c>
      <c r="I2249">
        <v>2248</v>
      </c>
      <c r="J2249">
        <f t="shared" si="282"/>
        <v>0.82597912044139621</v>
      </c>
      <c r="K2249">
        <f t="shared" si="283"/>
        <v>0.56370071189848381</v>
      </c>
      <c r="L2249">
        <f>VLOOKUP(D2249,[1]SOI!$A$1:$C$142,3)</f>
        <v>12.7</v>
      </c>
      <c r="M2249" s="2">
        <f t="shared" si="284"/>
        <v>1856.8010627522588</v>
      </c>
      <c r="N2249">
        <f t="shared" si="285"/>
        <v>1267.1992003477917</v>
      </c>
      <c r="O2249" t="s">
        <v>8</v>
      </c>
    </row>
    <row r="2250" spans="1:15" x14ac:dyDescent="0.35">
      <c r="A2250">
        <v>2006</v>
      </c>
      <c r="B2250">
        <v>2</v>
      </c>
      <c r="C2250">
        <v>26</v>
      </c>
      <c r="D2250" s="1">
        <f t="shared" si="280"/>
        <v>38774</v>
      </c>
      <c r="E2250">
        <v>47</v>
      </c>
      <c r="F2250">
        <f t="shared" si="286"/>
        <v>0.4</v>
      </c>
      <c r="G2250">
        <f t="shared" si="281"/>
        <v>1</v>
      </c>
      <c r="H2250">
        <f t="shared" si="287"/>
        <v>1</v>
      </c>
      <c r="I2250">
        <v>2249</v>
      </c>
      <c r="J2250">
        <f t="shared" si="282"/>
        <v>0.83555345049521335</v>
      </c>
      <c r="K2250">
        <f t="shared" si="283"/>
        <v>0.54940916570944009</v>
      </c>
      <c r="L2250">
        <f>VLOOKUP(D2250,[1]SOI!$A$1:$C$142,3)</f>
        <v>12.7</v>
      </c>
      <c r="M2250" s="2">
        <f t="shared" si="284"/>
        <v>1879.1597101637349</v>
      </c>
      <c r="N2250">
        <f t="shared" si="285"/>
        <v>1235.6212136805307</v>
      </c>
      <c r="O2250" t="s">
        <v>8</v>
      </c>
    </row>
    <row r="2251" spans="1:15" x14ac:dyDescent="0.35">
      <c r="A2251">
        <v>2006</v>
      </c>
      <c r="B2251">
        <v>2</v>
      </c>
      <c r="C2251">
        <v>27</v>
      </c>
      <c r="D2251" s="1">
        <f t="shared" si="280"/>
        <v>38775</v>
      </c>
      <c r="E2251">
        <v>0</v>
      </c>
      <c r="F2251">
        <f t="shared" si="286"/>
        <v>47</v>
      </c>
      <c r="G2251">
        <f t="shared" si="281"/>
        <v>0</v>
      </c>
      <c r="H2251">
        <f t="shared" si="287"/>
        <v>1</v>
      </c>
      <c r="I2251">
        <v>2250</v>
      </c>
      <c r="J2251">
        <f t="shared" si="282"/>
        <v>0.8448805268402666</v>
      </c>
      <c r="K2251">
        <f t="shared" si="283"/>
        <v>0.53495504050911946</v>
      </c>
      <c r="L2251">
        <f>VLOOKUP(D2251,[1]SOI!$A$1:$C$142,3)</f>
        <v>12.7</v>
      </c>
      <c r="M2251" s="2">
        <f t="shared" si="284"/>
        <v>1900.9811853905999</v>
      </c>
      <c r="N2251">
        <f t="shared" si="285"/>
        <v>1203.6488411455189</v>
      </c>
      <c r="O2251" t="s">
        <v>8</v>
      </c>
    </row>
    <row r="2252" spans="1:15" x14ac:dyDescent="0.35">
      <c r="A2252">
        <v>2006</v>
      </c>
      <c r="B2252">
        <v>2</v>
      </c>
      <c r="C2252">
        <v>28</v>
      </c>
      <c r="D2252" s="1">
        <f t="shared" si="280"/>
        <v>38776</v>
      </c>
      <c r="E2252">
        <v>0</v>
      </c>
      <c r="F2252">
        <f t="shared" si="286"/>
        <v>0</v>
      </c>
      <c r="G2252">
        <f t="shared" si="281"/>
        <v>0</v>
      </c>
      <c r="H2252">
        <f t="shared" si="287"/>
        <v>0</v>
      </c>
      <c r="I2252">
        <v>2251</v>
      </c>
      <c r="J2252">
        <f t="shared" si="282"/>
        <v>0.85395758944460709</v>
      </c>
      <c r="K2252">
        <f t="shared" si="283"/>
        <v>0.52034261350571309</v>
      </c>
      <c r="L2252">
        <f>VLOOKUP(D2252,[1]SOI!$A$1:$C$142,3)</f>
        <v>12.7</v>
      </c>
      <c r="M2252" s="2">
        <f t="shared" si="284"/>
        <v>1922.2585338398105</v>
      </c>
      <c r="N2252">
        <f t="shared" si="285"/>
        <v>1171.2912230013601</v>
      </c>
      <c r="O2252" t="s">
        <v>8</v>
      </c>
    </row>
    <row r="2253" spans="1:15" x14ac:dyDescent="0.35">
      <c r="A2253">
        <v>2006</v>
      </c>
      <c r="B2253">
        <v>3</v>
      </c>
      <c r="C2253">
        <v>1</v>
      </c>
      <c r="D2253" s="1">
        <f t="shared" si="280"/>
        <v>38777</v>
      </c>
      <c r="E2253">
        <v>0</v>
      </c>
      <c r="F2253">
        <f t="shared" si="286"/>
        <v>0</v>
      </c>
      <c r="G2253">
        <f t="shared" si="281"/>
        <v>0</v>
      </c>
      <c r="H2253">
        <f t="shared" si="287"/>
        <v>0</v>
      </c>
      <c r="I2253">
        <v>2252</v>
      </c>
      <c r="J2253">
        <f t="shared" si="282"/>
        <v>0.86278195225937437</v>
      </c>
      <c r="K2253">
        <f t="shared" si="283"/>
        <v>0.5055762087514627</v>
      </c>
      <c r="L2253">
        <f>VLOOKUP(D2253,[1]SOI!$A$1:$C$142,3)</f>
        <v>0.1</v>
      </c>
      <c r="M2253" s="2">
        <f t="shared" si="284"/>
        <v>1942.984956488111</v>
      </c>
      <c r="N2253">
        <f t="shared" si="285"/>
        <v>1138.557622108294</v>
      </c>
      <c r="O2253" t="s">
        <v>8</v>
      </c>
    </row>
    <row r="2254" spans="1:15" x14ac:dyDescent="0.35">
      <c r="A2254">
        <v>2006</v>
      </c>
      <c r="B2254">
        <v>3</v>
      </c>
      <c r="C2254">
        <v>2</v>
      </c>
      <c r="D2254" s="1">
        <f t="shared" si="280"/>
        <v>38778</v>
      </c>
      <c r="E2254">
        <v>0</v>
      </c>
      <c r="F2254">
        <f t="shared" si="286"/>
        <v>0</v>
      </c>
      <c r="G2254">
        <f t="shared" si="281"/>
        <v>0</v>
      </c>
      <c r="H2254">
        <f t="shared" si="287"/>
        <v>0</v>
      </c>
      <c r="I2254">
        <v>2253</v>
      </c>
      <c r="J2254">
        <f t="shared" si="282"/>
        <v>0.87135100401364129</v>
      </c>
      <c r="K2254">
        <f t="shared" si="283"/>
        <v>0.49066019586310378</v>
      </c>
      <c r="L2254">
        <f>VLOOKUP(D2254,[1]SOI!$A$1:$C$142,3)</f>
        <v>0.1</v>
      </c>
      <c r="M2254" s="2">
        <f t="shared" si="284"/>
        <v>1963.1538120427338</v>
      </c>
      <c r="N2254">
        <f t="shared" si="285"/>
        <v>1105.4574212795728</v>
      </c>
      <c r="O2254" t="s">
        <v>8</v>
      </c>
    </row>
    <row r="2255" spans="1:15" x14ac:dyDescent="0.35">
      <c r="A2255">
        <v>2006</v>
      </c>
      <c r="B2255">
        <v>3</v>
      </c>
      <c r="C2255">
        <v>3</v>
      </c>
      <c r="D2255" s="1">
        <f t="shared" si="280"/>
        <v>38779</v>
      </c>
      <c r="E2255">
        <v>0</v>
      </c>
      <c r="F2255">
        <f t="shared" si="286"/>
        <v>0</v>
      </c>
      <c r="G2255">
        <f t="shared" si="281"/>
        <v>0</v>
      </c>
      <c r="H2255">
        <f t="shared" si="287"/>
        <v>0</v>
      </c>
      <c r="I2255">
        <v>2254</v>
      </c>
      <c r="J2255">
        <f t="shared" si="282"/>
        <v>0.87966220898712744</v>
      </c>
      <c r="K2255">
        <f t="shared" si="283"/>
        <v>0.47559898872883166</v>
      </c>
      <c r="L2255">
        <f>VLOOKUP(D2255,[1]SOI!$A$1:$C$142,3)</f>
        <v>0.1</v>
      </c>
      <c r="M2255" s="2">
        <f t="shared" si="284"/>
        <v>1982.7586190569853</v>
      </c>
      <c r="N2255">
        <f t="shared" si="285"/>
        <v>1072.0001205947865</v>
      </c>
      <c r="O2255" t="s">
        <v>8</v>
      </c>
    </row>
    <row r="2256" spans="1:15" x14ac:dyDescent="0.35">
      <c r="A2256">
        <v>2006</v>
      </c>
      <c r="B2256">
        <v>3</v>
      </c>
      <c r="C2256">
        <v>4</v>
      </c>
      <c r="D2256" s="1">
        <f t="shared" si="280"/>
        <v>38780</v>
      </c>
      <c r="E2256">
        <v>0</v>
      </c>
      <c r="F2256">
        <f t="shared" si="286"/>
        <v>0</v>
      </c>
      <c r="G2256">
        <f t="shared" si="281"/>
        <v>0</v>
      </c>
      <c r="H2256">
        <f t="shared" si="287"/>
        <v>0</v>
      </c>
      <c r="I2256">
        <v>2255</v>
      </c>
      <c r="J2256">
        <f t="shared" si="282"/>
        <v>0.88771310776057377</v>
      </c>
      <c r="K2256">
        <f t="shared" si="283"/>
        <v>0.46039704420213651</v>
      </c>
      <c r="L2256">
        <f>VLOOKUP(D2256,[1]SOI!$A$1:$C$142,3)</f>
        <v>0.1</v>
      </c>
      <c r="M2256" s="2">
        <f t="shared" si="284"/>
        <v>2001.7930580000939</v>
      </c>
      <c r="N2256">
        <f t="shared" si="285"/>
        <v>1038.1953346758178</v>
      </c>
      <c r="O2256" t="s">
        <v>8</v>
      </c>
    </row>
    <row r="2257" spans="1:15" x14ac:dyDescent="0.35">
      <c r="A2257">
        <v>2006</v>
      </c>
      <c r="B2257">
        <v>3</v>
      </c>
      <c r="C2257">
        <v>5</v>
      </c>
      <c r="D2257" s="1">
        <f t="shared" si="280"/>
        <v>38781</v>
      </c>
      <c r="E2257">
        <v>0</v>
      </c>
      <c r="F2257">
        <f t="shared" si="286"/>
        <v>0</v>
      </c>
      <c r="G2257">
        <f t="shared" si="281"/>
        <v>0</v>
      </c>
      <c r="H2257">
        <f t="shared" si="287"/>
        <v>0</v>
      </c>
      <c r="I2257">
        <v>2256</v>
      </c>
      <c r="J2257">
        <f t="shared" si="282"/>
        <v>0.89550131794350307</v>
      </c>
      <c r="K2257">
        <f t="shared" si="283"/>
        <v>0.44505886078298573</v>
      </c>
      <c r="L2257">
        <f>VLOOKUP(D2257,[1]SOI!$A$1:$C$142,3)</f>
        <v>0.1</v>
      </c>
      <c r="M2257" s="2">
        <f t="shared" si="284"/>
        <v>2020.2509732805429</v>
      </c>
      <c r="N2257">
        <f t="shared" si="285"/>
        <v>1004.0527899264158</v>
      </c>
      <c r="O2257" t="s">
        <v>8</v>
      </c>
    </row>
    <row r="2258" spans="1:15" x14ac:dyDescent="0.35">
      <c r="A2258">
        <v>2006</v>
      </c>
      <c r="B2258">
        <v>3</v>
      </c>
      <c r="C2258">
        <v>6</v>
      </c>
      <c r="D2258" s="1">
        <f t="shared" si="280"/>
        <v>38782</v>
      </c>
      <c r="E2258">
        <v>0</v>
      </c>
      <c r="F2258">
        <f t="shared" si="286"/>
        <v>0</v>
      </c>
      <c r="G2258">
        <f t="shared" si="281"/>
        <v>0</v>
      </c>
      <c r="H2258">
        <f t="shared" si="287"/>
        <v>0</v>
      </c>
      <c r="I2258">
        <v>2257</v>
      </c>
      <c r="J2258">
        <f t="shared" si="282"/>
        <v>0.90302453487922207</v>
      </c>
      <c r="K2258">
        <f t="shared" si="283"/>
        <v>0.42958897728662071</v>
      </c>
      <c r="L2258">
        <f>VLOOKUP(D2258,[1]SOI!$A$1:$C$142,3)</f>
        <v>0.1</v>
      </c>
      <c r="M2258" s="2">
        <f t="shared" si="284"/>
        <v>2038.1263752224042</v>
      </c>
      <c r="N2258">
        <f t="shared" si="285"/>
        <v>969.58232173590295</v>
      </c>
      <c r="O2258" t="s">
        <v>8</v>
      </c>
    </row>
    <row r="2259" spans="1:15" x14ac:dyDescent="0.35">
      <c r="A2259">
        <v>2006</v>
      </c>
      <c r="B2259">
        <v>3</v>
      </c>
      <c r="C2259">
        <v>7</v>
      </c>
      <c r="D2259" s="1">
        <f t="shared" si="280"/>
        <v>38783</v>
      </c>
      <c r="E2259">
        <v>0</v>
      </c>
      <c r="F2259">
        <f t="shared" si="286"/>
        <v>0</v>
      </c>
      <c r="G2259">
        <f t="shared" si="281"/>
        <v>0</v>
      </c>
      <c r="H2259">
        <f t="shared" si="287"/>
        <v>0</v>
      </c>
      <c r="I2259">
        <v>2258</v>
      </c>
      <c r="J2259">
        <f t="shared" si="282"/>
        <v>0.91028053232680251</v>
      </c>
      <c r="K2259">
        <f t="shared" si="283"/>
        <v>0.41399197150045453</v>
      </c>
      <c r="L2259">
        <f>VLOOKUP(D2259,[1]SOI!$A$1:$C$142,3)</f>
        <v>0.1</v>
      </c>
      <c r="M2259" s="2">
        <f t="shared" si="284"/>
        <v>2055.4134419939201</v>
      </c>
      <c r="N2259">
        <f t="shared" si="285"/>
        <v>934.79387164802631</v>
      </c>
      <c r="O2259" t="s">
        <v>8</v>
      </c>
    </row>
    <row r="2260" spans="1:15" x14ac:dyDescent="0.35">
      <c r="A2260">
        <v>2006</v>
      </c>
      <c r="B2260">
        <v>3</v>
      </c>
      <c r="C2260">
        <v>8</v>
      </c>
      <c r="D2260" s="1">
        <f t="shared" si="280"/>
        <v>38784</v>
      </c>
      <c r="E2260">
        <v>0</v>
      </c>
      <c r="F2260">
        <f t="shared" si="286"/>
        <v>0</v>
      </c>
      <c r="G2260">
        <f t="shared" si="281"/>
        <v>0</v>
      </c>
      <c r="H2260">
        <f t="shared" si="287"/>
        <v>0</v>
      </c>
      <c r="I2260">
        <v>2259</v>
      </c>
      <c r="J2260">
        <f t="shared" si="282"/>
        <v>0.91726716311985901</v>
      </c>
      <c r="K2260">
        <f t="shared" si="283"/>
        <v>0.39827245882943751</v>
      </c>
      <c r="L2260">
        <f>VLOOKUP(D2260,[1]SOI!$A$1:$C$142,3)</f>
        <v>0.1</v>
      </c>
      <c r="M2260" s="2">
        <f t="shared" si="284"/>
        <v>2072.1065214877617</v>
      </c>
      <c r="N2260">
        <f t="shared" si="285"/>
        <v>899.69748449569931</v>
      </c>
      <c r="O2260" t="s">
        <v>8</v>
      </c>
    </row>
    <row r="2261" spans="1:15" x14ac:dyDescent="0.35">
      <c r="A2261">
        <v>2006</v>
      </c>
      <c r="B2261">
        <v>3</v>
      </c>
      <c r="C2261">
        <v>9</v>
      </c>
      <c r="D2261" s="1">
        <f t="shared" si="280"/>
        <v>38785</v>
      </c>
      <c r="E2261">
        <v>0</v>
      </c>
      <c r="F2261">
        <f t="shared" si="286"/>
        <v>0</v>
      </c>
      <c r="G2261">
        <f t="shared" si="281"/>
        <v>0</v>
      </c>
      <c r="H2261">
        <f t="shared" si="287"/>
        <v>0</v>
      </c>
      <c r="I2261">
        <v>2260</v>
      </c>
      <c r="J2261">
        <f t="shared" si="282"/>
        <v>0.92398235980194166</v>
      </c>
      <c r="K2261">
        <f t="shared" si="283"/>
        <v>0.38243509093025863</v>
      </c>
      <c r="L2261">
        <f>VLOOKUP(D2261,[1]SOI!$A$1:$C$142,3)</f>
        <v>0.1</v>
      </c>
      <c r="M2261" s="2">
        <f t="shared" si="284"/>
        <v>2088.2001331523879</v>
      </c>
      <c r="N2261">
        <f t="shared" si="285"/>
        <v>864.30330550238455</v>
      </c>
      <c r="O2261" t="s">
        <v>8</v>
      </c>
    </row>
    <row r="2262" spans="1:15" x14ac:dyDescent="0.35">
      <c r="A2262">
        <v>2006</v>
      </c>
      <c r="B2262">
        <v>3</v>
      </c>
      <c r="C2262">
        <v>10</v>
      </c>
      <c r="D2262" s="1">
        <f t="shared" si="280"/>
        <v>38786</v>
      </c>
      <c r="E2262">
        <v>0</v>
      </c>
      <c r="F2262">
        <f t="shared" si="286"/>
        <v>0</v>
      </c>
      <c r="G2262">
        <f t="shared" si="281"/>
        <v>0</v>
      </c>
      <c r="H2262">
        <f t="shared" si="287"/>
        <v>0</v>
      </c>
      <c r="I2262">
        <v>2261</v>
      </c>
      <c r="J2262">
        <f t="shared" si="282"/>
        <v>0.93042413523831224</v>
      </c>
      <c r="K2262">
        <f t="shared" si="283"/>
        <v>0.36648455433488453</v>
      </c>
      <c r="L2262">
        <f>VLOOKUP(D2262,[1]SOI!$A$1:$C$142,3)</f>
        <v>0.1</v>
      </c>
      <c r="M2262" s="2">
        <f t="shared" si="284"/>
        <v>2103.6889697738238</v>
      </c>
      <c r="N2262">
        <f t="shared" si="285"/>
        <v>828.62157735117387</v>
      </c>
      <c r="O2262" t="s">
        <v>8</v>
      </c>
    </row>
    <row r="2263" spans="1:15" x14ac:dyDescent="0.35">
      <c r="A2263">
        <v>2006</v>
      </c>
      <c r="B2263">
        <v>3</v>
      </c>
      <c r="C2263">
        <v>11</v>
      </c>
      <c r="D2263" s="1">
        <f t="shared" si="280"/>
        <v>38787</v>
      </c>
      <c r="E2263">
        <v>0</v>
      </c>
      <c r="F2263">
        <f t="shared" si="286"/>
        <v>0</v>
      </c>
      <c r="G2263">
        <f t="shared" si="281"/>
        <v>0</v>
      </c>
      <c r="H2263">
        <f t="shared" si="287"/>
        <v>0</v>
      </c>
      <c r="I2263">
        <v>2262</v>
      </c>
      <c r="J2263">
        <f t="shared" si="282"/>
        <v>0.9365905832039807</v>
      </c>
      <c r="K2263">
        <f t="shared" si="283"/>
        <v>0.35042556906371319</v>
      </c>
      <c r="L2263">
        <f>VLOOKUP(D2263,[1]SOI!$A$1:$C$142,3)</f>
        <v>0.1</v>
      </c>
      <c r="M2263" s="2">
        <f t="shared" si="284"/>
        <v>2118.5678992074045</v>
      </c>
      <c r="N2263">
        <f t="shared" si="285"/>
        <v>792.6626372221192</v>
      </c>
      <c r="O2263" t="s">
        <v>8</v>
      </c>
    </row>
    <row r="2264" spans="1:15" x14ac:dyDescent="0.35">
      <c r="A2264">
        <v>2006</v>
      </c>
      <c r="B2264">
        <v>3</v>
      </c>
      <c r="C2264">
        <v>12</v>
      </c>
      <c r="D2264" s="1">
        <f t="shared" si="280"/>
        <v>38788</v>
      </c>
      <c r="E2264">
        <v>0</v>
      </c>
      <c r="F2264">
        <f t="shared" si="286"/>
        <v>0</v>
      </c>
      <c r="G2264">
        <f t="shared" si="281"/>
        <v>0</v>
      </c>
      <c r="H2264">
        <f t="shared" si="287"/>
        <v>0</v>
      </c>
      <c r="I2264">
        <v>2263</v>
      </c>
      <c r="J2264">
        <f t="shared" si="282"/>
        <v>0.94247987894778562</v>
      </c>
      <c r="K2264">
        <f t="shared" si="283"/>
        <v>0.33426288722885061</v>
      </c>
      <c r="L2264">
        <f>VLOOKUP(D2264,[1]SOI!$A$1:$C$142,3)</f>
        <v>0.1</v>
      </c>
      <c r="M2264" s="2">
        <f t="shared" si="284"/>
        <v>2132.831966058839</v>
      </c>
      <c r="N2264">
        <f t="shared" si="285"/>
        <v>756.4369137988889</v>
      </c>
      <c r="O2264" t="s">
        <v>8</v>
      </c>
    </row>
    <row r="2265" spans="1:15" x14ac:dyDescent="0.35">
      <c r="A2265">
        <v>2006</v>
      </c>
      <c r="B2265">
        <v>3</v>
      </c>
      <c r="C2265">
        <v>13</v>
      </c>
      <c r="D2265" s="1">
        <f t="shared" si="280"/>
        <v>38789</v>
      </c>
      <c r="E2265">
        <v>15.2</v>
      </c>
      <c r="F2265">
        <f t="shared" si="286"/>
        <v>0</v>
      </c>
      <c r="G2265">
        <f t="shared" si="281"/>
        <v>1</v>
      </c>
      <c r="H2265">
        <f t="shared" si="287"/>
        <v>0</v>
      </c>
      <c r="I2265">
        <v>2264</v>
      </c>
      <c r="J2265">
        <f t="shared" si="282"/>
        <v>0.9480902797323667</v>
      </c>
      <c r="K2265">
        <f t="shared" si="283"/>
        <v>0.31800129162788426</v>
      </c>
      <c r="L2265">
        <f>VLOOKUP(D2265,[1]SOI!$A$1:$C$142,3)</f>
        <v>0.1</v>
      </c>
      <c r="M2265" s="2">
        <f t="shared" si="284"/>
        <v>2146.476393314078</v>
      </c>
      <c r="N2265">
        <f t="shared" si="285"/>
        <v>719.95492424552992</v>
      </c>
      <c r="O2265" t="s">
        <v>8</v>
      </c>
    </row>
    <row r="2266" spans="1:15" x14ac:dyDescent="0.35">
      <c r="A2266">
        <v>2006</v>
      </c>
      <c r="B2266">
        <v>3</v>
      </c>
      <c r="C2266">
        <v>14</v>
      </c>
      <c r="D2266" s="1">
        <f t="shared" si="280"/>
        <v>38790</v>
      </c>
      <c r="E2266">
        <v>0.2</v>
      </c>
      <c r="F2266">
        <f t="shared" si="286"/>
        <v>15.2</v>
      </c>
      <c r="G2266">
        <f t="shared" si="281"/>
        <v>1</v>
      </c>
      <c r="H2266">
        <f t="shared" si="287"/>
        <v>1</v>
      </c>
      <c r="I2266">
        <v>2265</v>
      </c>
      <c r="J2266">
        <f t="shared" si="282"/>
        <v>0.95342012534986686</v>
      </c>
      <c r="K2266">
        <f t="shared" si="283"/>
        <v>0.30164559432858318</v>
      </c>
      <c r="L2266">
        <f>VLOOKUP(D2266,[1]SOI!$A$1:$C$142,3)</f>
        <v>0.1</v>
      </c>
      <c r="M2266" s="2">
        <f t="shared" si="284"/>
        <v>2159.4965839174483</v>
      </c>
      <c r="N2266">
        <f t="shared" si="285"/>
        <v>683.22727115424095</v>
      </c>
      <c r="O2266" t="s">
        <v>8</v>
      </c>
    </row>
    <row r="2267" spans="1:15" x14ac:dyDescent="0.35">
      <c r="A2267">
        <v>2006</v>
      </c>
      <c r="B2267">
        <v>3</v>
      </c>
      <c r="C2267">
        <v>15</v>
      </c>
      <c r="D2267" s="1">
        <f t="shared" si="280"/>
        <v>38791</v>
      </c>
      <c r="E2267">
        <v>0</v>
      </c>
      <c r="F2267">
        <f t="shared" si="286"/>
        <v>0.2</v>
      </c>
      <c r="G2267">
        <f t="shared" si="281"/>
        <v>0</v>
      </c>
      <c r="H2267">
        <f t="shared" si="287"/>
        <v>1</v>
      </c>
      <c r="I2267">
        <v>2266</v>
      </c>
      <c r="J2267">
        <f t="shared" si="282"/>
        <v>0.95846783861322338</v>
      </c>
      <c r="K2267">
        <f t="shared" si="283"/>
        <v>0.28520063524490258</v>
      </c>
      <c r="L2267">
        <f>VLOOKUP(D2267,[1]SOI!$A$1:$C$142,3)</f>
        <v>0.1</v>
      </c>
      <c r="M2267" s="2">
        <f t="shared" si="284"/>
        <v>2171.8881222975642</v>
      </c>
      <c r="N2267">
        <f t="shared" si="285"/>
        <v>646.26463946494925</v>
      </c>
      <c r="O2267" t="s">
        <v>8</v>
      </c>
    </row>
    <row r="2268" spans="1:15" x14ac:dyDescent="0.35">
      <c r="A2268">
        <v>2006</v>
      </c>
      <c r="B2268">
        <v>3</v>
      </c>
      <c r="C2268">
        <v>16</v>
      </c>
      <c r="D2268" s="1">
        <f t="shared" si="280"/>
        <v>38792</v>
      </c>
      <c r="E2268">
        <v>0.2</v>
      </c>
      <c r="F2268">
        <f t="shared" si="286"/>
        <v>0</v>
      </c>
      <c r="G2268">
        <f t="shared" si="281"/>
        <v>1</v>
      </c>
      <c r="H2268">
        <f t="shared" si="287"/>
        <v>0</v>
      </c>
      <c r="I2268">
        <v>2267</v>
      </c>
      <c r="J2268">
        <f t="shared" si="282"/>
        <v>0.96323192582286954</v>
      </c>
      <c r="K2268">
        <f t="shared" si="283"/>
        <v>0.26867128070481594</v>
      </c>
      <c r="L2268">
        <f>VLOOKUP(D2268,[1]SOI!$A$1:$C$142,3)</f>
        <v>0.1</v>
      </c>
      <c r="M2268" s="2">
        <f t="shared" si="284"/>
        <v>2183.6467758404451</v>
      </c>
      <c r="N2268">
        <f t="shared" si="285"/>
        <v>609.07779335781777</v>
      </c>
      <c r="O2268" t="s">
        <v>8</v>
      </c>
    </row>
    <row r="2269" spans="1:15" x14ac:dyDescent="0.35">
      <c r="A2269">
        <v>2006</v>
      </c>
      <c r="B2269">
        <v>3</v>
      </c>
      <c r="C2269">
        <v>17</v>
      </c>
      <c r="D2269" s="1">
        <f t="shared" si="280"/>
        <v>38793</v>
      </c>
      <c r="E2269">
        <v>0.4</v>
      </c>
      <c r="F2269">
        <f t="shared" si="286"/>
        <v>0.2</v>
      </c>
      <c r="G2269">
        <f t="shared" si="281"/>
        <v>1</v>
      </c>
      <c r="H2269">
        <f t="shared" si="287"/>
        <v>1</v>
      </c>
      <c r="I2269">
        <v>2268</v>
      </c>
      <c r="J2269">
        <f t="shared" si="282"/>
        <v>0.9677109772087531</v>
      </c>
      <c r="K2269">
        <f t="shared" si="283"/>
        <v>0.25206242201026352</v>
      </c>
      <c r="L2269">
        <f>VLOOKUP(D2269,[1]SOI!$A$1:$C$142,3)</f>
        <v>0.1</v>
      </c>
      <c r="M2269" s="2">
        <f t="shared" si="284"/>
        <v>2194.7684963094521</v>
      </c>
      <c r="N2269">
        <f t="shared" si="285"/>
        <v>571.67757311927767</v>
      </c>
      <c r="O2269" t="s">
        <v>8</v>
      </c>
    </row>
    <row r="2270" spans="1:15" x14ac:dyDescent="0.35">
      <c r="A2270">
        <v>2006</v>
      </c>
      <c r="B2270">
        <v>3</v>
      </c>
      <c r="C2270">
        <v>18</v>
      </c>
      <c r="D2270" s="1">
        <f t="shared" si="280"/>
        <v>38794</v>
      </c>
      <c r="E2270">
        <v>0</v>
      </c>
      <c r="F2270">
        <f t="shared" si="286"/>
        <v>0.4</v>
      </c>
      <c r="G2270">
        <f t="shared" si="281"/>
        <v>0</v>
      </c>
      <c r="H2270">
        <f t="shared" si="287"/>
        <v>1</v>
      </c>
      <c r="I2270">
        <v>2269</v>
      </c>
      <c r="J2270">
        <f t="shared" si="282"/>
        <v>0.97190366734750799</v>
      </c>
      <c r="K2270">
        <f t="shared" si="283"/>
        <v>0.23537897398974383</v>
      </c>
      <c r="L2270">
        <f>VLOOKUP(D2270,[1]SOI!$A$1:$C$142,3)</f>
        <v>0.1</v>
      </c>
      <c r="M2270" s="2">
        <f t="shared" si="284"/>
        <v>2205.2494212114957</v>
      </c>
      <c r="N2270">
        <f t="shared" si="285"/>
        <v>534.07489198272879</v>
      </c>
      <c r="O2270" t="s">
        <v>8</v>
      </c>
    </row>
    <row r="2271" spans="1:15" x14ac:dyDescent="0.35">
      <c r="A2271">
        <v>2006</v>
      </c>
      <c r="B2271">
        <v>3</v>
      </c>
      <c r="C2271">
        <v>19</v>
      </c>
      <c r="D2271" s="1">
        <f t="shared" si="280"/>
        <v>38795</v>
      </c>
      <c r="E2271">
        <v>0</v>
      </c>
      <c r="F2271">
        <f t="shared" si="286"/>
        <v>0</v>
      </c>
      <c r="G2271">
        <f t="shared" si="281"/>
        <v>0</v>
      </c>
      <c r="H2271">
        <f t="shared" si="287"/>
        <v>0</v>
      </c>
      <c r="I2271">
        <v>2270</v>
      </c>
      <c r="J2271">
        <f t="shared" si="282"/>
        <v>0.97580875555466684</v>
      </c>
      <c r="K2271">
        <f t="shared" si="283"/>
        <v>0.21862587354394394</v>
      </c>
      <c r="L2271">
        <f>VLOOKUP(D2271,[1]SOI!$A$1:$C$142,3)</f>
        <v>0.1</v>
      </c>
      <c r="M2271" s="2">
        <f t="shared" si="284"/>
        <v>2215.0858751090936</v>
      </c>
      <c r="N2271">
        <f t="shared" si="285"/>
        <v>496.28073294475274</v>
      </c>
      <c r="O2271" t="s">
        <v>8</v>
      </c>
    </row>
    <row r="2272" spans="1:15" x14ac:dyDescent="0.35">
      <c r="A2272">
        <v>2006</v>
      </c>
      <c r="B2272">
        <v>3</v>
      </c>
      <c r="C2272">
        <v>20</v>
      </c>
      <c r="D2272" s="1">
        <f t="shared" si="280"/>
        <v>38796</v>
      </c>
      <c r="E2272">
        <v>0</v>
      </c>
      <c r="F2272">
        <f t="shared" si="286"/>
        <v>0</v>
      </c>
      <c r="G2272">
        <f t="shared" si="281"/>
        <v>0</v>
      </c>
      <c r="H2272">
        <f t="shared" si="287"/>
        <v>0</v>
      </c>
      <c r="I2272">
        <v>2271</v>
      </c>
      <c r="J2272">
        <f t="shared" si="282"/>
        <v>0.9794250862518068</v>
      </c>
      <c r="K2272">
        <f t="shared" si="283"/>
        <v>0.20180807818479643</v>
      </c>
      <c r="L2272">
        <f>VLOOKUP(D2272,[1]SOI!$A$1:$C$142,3)</f>
        <v>0.1</v>
      </c>
      <c r="M2272" s="2">
        <f t="shared" si="284"/>
        <v>2224.274370877853</v>
      </c>
      <c r="N2272">
        <f t="shared" si="285"/>
        <v>458.30614555767266</v>
      </c>
      <c r="O2272" t="s">
        <v>8</v>
      </c>
    </row>
    <row r="2273" spans="1:15" x14ac:dyDescent="0.35">
      <c r="A2273">
        <v>2006</v>
      </c>
      <c r="B2273">
        <v>3</v>
      </c>
      <c r="C2273">
        <v>21</v>
      </c>
      <c r="D2273" s="1">
        <f t="shared" si="280"/>
        <v>38797</v>
      </c>
      <c r="E2273">
        <v>0</v>
      </c>
      <c r="F2273">
        <f t="shared" si="286"/>
        <v>0</v>
      </c>
      <c r="G2273">
        <f t="shared" si="281"/>
        <v>0</v>
      </c>
      <c r="H2273">
        <f t="shared" si="287"/>
        <v>0</v>
      </c>
      <c r="I2273">
        <v>2272</v>
      </c>
      <c r="J2273">
        <f t="shared" si="282"/>
        <v>0.98275158930848883</v>
      </c>
      <c r="K2273">
        <f t="shared" si="283"/>
        <v>0.18493056456854121</v>
      </c>
      <c r="L2273">
        <f>VLOOKUP(D2273,[1]SOI!$A$1:$C$142,3)</f>
        <v>0.1</v>
      </c>
      <c r="M2273" s="2">
        <f t="shared" si="284"/>
        <v>2232.8116109088865</v>
      </c>
      <c r="N2273">
        <f t="shared" si="285"/>
        <v>420.1622426997256</v>
      </c>
      <c r="O2273" t="s">
        <v>8</v>
      </c>
    </row>
    <row r="2274" spans="1:15" x14ac:dyDescent="0.35">
      <c r="A2274">
        <v>2006</v>
      </c>
      <c r="B2274">
        <v>3</v>
      </c>
      <c r="C2274">
        <v>22</v>
      </c>
      <c r="D2274" s="1">
        <f t="shared" si="280"/>
        <v>38798</v>
      </c>
      <c r="E2274">
        <v>0</v>
      </c>
      <c r="F2274">
        <f t="shared" si="286"/>
        <v>0</v>
      </c>
      <c r="G2274">
        <f t="shared" si="281"/>
        <v>0</v>
      </c>
      <c r="H2274">
        <f t="shared" si="287"/>
        <v>0</v>
      </c>
      <c r="I2274">
        <v>2273</v>
      </c>
      <c r="J2274">
        <f t="shared" si="282"/>
        <v>0.98578728035894048</v>
      </c>
      <c r="K2274">
        <f t="shared" si="283"/>
        <v>0.16799832702299047</v>
      </c>
      <c r="L2274">
        <f>VLOOKUP(D2274,[1]SOI!$A$1:$C$142,3)</f>
        <v>0.1</v>
      </c>
      <c r="M2274" s="2">
        <f t="shared" si="284"/>
        <v>2240.6944882558719</v>
      </c>
      <c r="N2274">
        <f t="shared" si="285"/>
        <v>381.86019732325735</v>
      </c>
      <c r="O2274" t="s">
        <v>8</v>
      </c>
    </row>
    <row r="2275" spans="1:15" x14ac:dyDescent="0.35">
      <c r="A2275">
        <v>2006</v>
      </c>
      <c r="B2275">
        <v>3</v>
      </c>
      <c r="C2275">
        <v>23</v>
      </c>
      <c r="D2275" s="1">
        <f t="shared" si="280"/>
        <v>38799</v>
      </c>
      <c r="E2275">
        <v>0</v>
      </c>
      <c r="F2275">
        <f t="shared" si="286"/>
        <v>0</v>
      </c>
      <c r="G2275">
        <f t="shared" si="281"/>
        <v>0</v>
      </c>
      <c r="H2275">
        <f t="shared" si="287"/>
        <v>0</v>
      </c>
      <c r="I2275">
        <v>2274</v>
      </c>
      <c r="J2275">
        <f t="shared" si="282"/>
        <v>0.98853126109334299</v>
      </c>
      <c r="K2275">
        <f t="shared" si="283"/>
        <v>0.15101637606963345</v>
      </c>
      <c r="L2275">
        <f>VLOOKUP(D2275,[1]SOI!$A$1:$C$142,3)</f>
        <v>0.1</v>
      </c>
      <c r="M2275" s="2">
        <f t="shared" si="284"/>
        <v>2247.920087726262</v>
      </c>
      <c r="N2275">
        <f t="shared" si="285"/>
        <v>343.41123918234643</v>
      </c>
      <c r="O2275" t="s">
        <v>8</v>
      </c>
    </row>
    <row r="2276" spans="1:15" x14ac:dyDescent="0.35">
      <c r="A2276">
        <v>2006</v>
      </c>
      <c r="B2276">
        <v>3</v>
      </c>
      <c r="C2276">
        <v>24</v>
      </c>
      <c r="D2276" s="1">
        <f t="shared" si="280"/>
        <v>38800</v>
      </c>
      <c r="E2276">
        <v>0</v>
      </c>
      <c r="F2276">
        <f t="shared" si="286"/>
        <v>0</v>
      </c>
      <c r="G2276">
        <f t="shared" si="281"/>
        <v>0</v>
      </c>
      <c r="H2276">
        <f t="shared" si="287"/>
        <v>0</v>
      </c>
      <c r="I2276">
        <v>2275</v>
      </c>
      <c r="J2276">
        <f t="shared" si="282"/>
        <v>0.99098271952364925</v>
      </c>
      <c r="K2276">
        <f t="shared" si="283"/>
        <v>0.13398973694097757</v>
      </c>
      <c r="L2276">
        <f>VLOOKUP(D2276,[1]SOI!$A$1:$C$142,3)</f>
        <v>0.1</v>
      </c>
      <c r="M2276" s="2">
        <f t="shared" si="284"/>
        <v>2254.4856869163023</v>
      </c>
      <c r="N2276">
        <f t="shared" si="285"/>
        <v>304.82665154072396</v>
      </c>
      <c r="O2276" t="s">
        <v>8</v>
      </c>
    </row>
    <row r="2277" spans="1:15" x14ac:dyDescent="0.35">
      <c r="A2277">
        <v>2006</v>
      </c>
      <c r="B2277">
        <v>3</v>
      </c>
      <c r="C2277">
        <v>25</v>
      </c>
      <c r="D2277" s="1">
        <f t="shared" si="280"/>
        <v>38801</v>
      </c>
      <c r="E2277">
        <v>0</v>
      </c>
      <c r="F2277">
        <f t="shared" si="286"/>
        <v>0</v>
      </c>
      <c r="G2277">
        <f t="shared" si="281"/>
        <v>0</v>
      </c>
      <c r="H2277">
        <f t="shared" si="287"/>
        <v>0</v>
      </c>
      <c r="I2277">
        <v>2276</v>
      </c>
      <c r="J2277">
        <f t="shared" si="282"/>
        <v>0.99314093022386951</v>
      </c>
      <c r="K2277">
        <f t="shared" si="283"/>
        <v>0.11692344809347326</v>
      </c>
      <c r="L2277">
        <f>VLOOKUP(D2277,[1]SOI!$A$1:$C$142,3)</f>
        <v>0.1</v>
      </c>
      <c r="M2277" s="2">
        <f t="shared" si="284"/>
        <v>2260.388757189527</v>
      </c>
      <c r="N2277">
        <f t="shared" si="285"/>
        <v>266.11776786074512</v>
      </c>
      <c r="O2277" t="s">
        <v>8</v>
      </c>
    </row>
    <row r="2278" spans="1:15" x14ac:dyDescent="0.35">
      <c r="A2278">
        <v>2006</v>
      </c>
      <c r="B2278">
        <v>3</v>
      </c>
      <c r="C2278">
        <v>26</v>
      </c>
      <c r="D2278" s="1">
        <f t="shared" si="280"/>
        <v>38802</v>
      </c>
      <c r="E2278">
        <v>0</v>
      </c>
      <c r="F2278">
        <f t="shared" si="286"/>
        <v>0</v>
      </c>
      <c r="G2278">
        <f t="shared" si="281"/>
        <v>0</v>
      </c>
      <c r="H2278">
        <f t="shared" si="287"/>
        <v>0</v>
      </c>
      <c r="I2278">
        <v>2277</v>
      </c>
      <c r="J2278">
        <f t="shared" si="282"/>
        <v>0.99500525454473543</v>
      </c>
      <c r="K2278">
        <f t="shared" si="283"/>
        <v>9.9822559716560691E-2</v>
      </c>
      <c r="L2278">
        <f>VLOOKUP(D2278,[1]SOI!$A$1:$C$142,3)</f>
        <v>0.1</v>
      </c>
      <c r="M2278" s="2">
        <f t="shared" si="284"/>
        <v>2265.6269645983625</v>
      </c>
      <c r="N2278">
        <f t="shared" si="285"/>
        <v>227.29596847460869</v>
      </c>
      <c r="O2278" t="s">
        <v>8</v>
      </c>
    </row>
    <row r="2279" spans="1:15" x14ac:dyDescent="0.35">
      <c r="A2279">
        <v>2006</v>
      </c>
      <c r="B2279">
        <v>3</v>
      </c>
      <c r="C2279">
        <v>27</v>
      </c>
      <c r="D2279" s="1">
        <f t="shared" si="280"/>
        <v>38803</v>
      </c>
      <c r="E2279">
        <v>0</v>
      </c>
      <c r="F2279">
        <f t="shared" si="286"/>
        <v>0</v>
      </c>
      <c r="G2279">
        <f t="shared" si="281"/>
        <v>0</v>
      </c>
      <c r="H2279">
        <f t="shared" si="287"/>
        <v>0</v>
      </c>
      <c r="I2279">
        <v>2278</v>
      </c>
      <c r="J2279">
        <f t="shared" si="282"/>
        <v>0.99657514080268561</v>
      </c>
      <c r="K2279">
        <f t="shared" si="283"/>
        <v>8.2692132238244509E-2</v>
      </c>
      <c r="L2279">
        <f>VLOOKUP(D2279,[1]SOI!$A$1:$C$142,3)</f>
        <v>0.1</v>
      </c>
      <c r="M2279" s="2">
        <f t="shared" si="284"/>
        <v>2270.1981707485179</v>
      </c>
      <c r="N2279">
        <f t="shared" si="285"/>
        <v>188.372677238721</v>
      </c>
      <c r="O2279" t="s">
        <v>8</v>
      </c>
    </row>
    <row r="2280" spans="1:15" x14ac:dyDescent="0.35">
      <c r="A2280">
        <v>2006</v>
      </c>
      <c r="B2280">
        <v>3</v>
      </c>
      <c r="C2280">
        <v>28</v>
      </c>
      <c r="D2280" s="1">
        <f t="shared" si="280"/>
        <v>38804</v>
      </c>
      <c r="E2280">
        <v>0</v>
      </c>
      <c r="F2280">
        <f t="shared" si="286"/>
        <v>0</v>
      </c>
      <c r="G2280">
        <f t="shared" si="281"/>
        <v>0</v>
      </c>
      <c r="H2280">
        <f t="shared" si="287"/>
        <v>0</v>
      </c>
      <c r="I2280">
        <v>2279</v>
      </c>
      <c r="J2280">
        <f t="shared" si="282"/>
        <v>0.99785012444312071</v>
      </c>
      <c r="K2280">
        <f t="shared" si="283"/>
        <v>6.5537234827603486E-2</v>
      </c>
      <c r="L2280">
        <f>VLOOKUP(D2280,[1]SOI!$A$1:$C$142,3)</f>
        <v>0.1</v>
      </c>
      <c r="M2280" s="2">
        <f t="shared" si="284"/>
        <v>2274.1004336058722</v>
      </c>
      <c r="N2280">
        <f t="shared" si="285"/>
        <v>149.35935817210833</v>
      </c>
      <c r="O2280" t="s">
        <v>8</v>
      </c>
    </row>
    <row r="2281" spans="1:15" x14ac:dyDescent="0.35">
      <c r="A2281">
        <v>2006</v>
      </c>
      <c r="B2281">
        <v>3</v>
      </c>
      <c r="C2281">
        <v>29</v>
      </c>
      <c r="D2281" s="1">
        <f t="shared" si="280"/>
        <v>38805</v>
      </c>
      <c r="E2281">
        <v>0</v>
      </c>
      <c r="F2281">
        <f t="shared" si="286"/>
        <v>0</v>
      </c>
      <c r="G2281">
        <f t="shared" si="281"/>
        <v>0</v>
      </c>
      <c r="H2281">
        <f t="shared" si="287"/>
        <v>0</v>
      </c>
      <c r="I2281">
        <v>2280</v>
      </c>
      <c r="J2281">
        <f t="shared" si="282"/>
        <v>0.99882982817786836</v>
      </c>
      <c r="K2281">
        <f t="shared" si="283"/>
        <v>4.8362943894784245E-2</v>
      </c>
      <c r="L2281">
        <f>VLOOKUP(D2281,[1]SOI!$A$1:$C$142,3)</f>
        <v>0.1</v>
      </c>
      <c r="M2281" s="2">
        <f t="shared" si="284"/>
        <v>2277.3320082455398</v>
      </c>
      <c r="N2281">
        <f t="shared" si="285"/>
        <v>110.26751208010808</v>
      </c>
      <c r="O2281" t="s">
        <v>8</v>
      </c>
    </row>
    <row r="2282" spans="1:15" x14ac:dyDescent="0.35">
      <c r="A2282">
        <v>2006</v>
      </c>
      <c r="B2282">
        <v>3</v>
      </c>
      <c r="C2282">
        <v>30</v>
      </c>
      <c r="D2282" s="1">
        <f t="shared" si="280"/>
        <v>38806</v>
      </c>
      <c r="E2282">
        <v>0</v>
      </c>
      <c r="F2282">
        <f t="shared" si="286"/>
        <v>0</v>
      </c>
      <c r="G2282">
        <f t="shared" si="281"/>
        <v>0</v>
      </c>
      <c r="H2282">
        <f t="shared" si="287"/>
        <v>0</v>
      </c>
      <c r="I2282">
        <v>2281</v>
      </c>
      <c r="J2282">
        <f t="shared" si="282"/>
        <v>0.9995139620968313</v>
      </c>
      <c r="K2282">
        <f t="shared" si="283"/>
        <v>3.1174341588781598E-2</v>
      </c>
      <c r="L2282">
        <f>VLOOKUP(D2282,[1]SOI!$A$1:$C$142,3)</f>
        <v>0.1</v>
      </c>
      <c r="M2282" s="2">
        <f t="shared" si="284"/>
        <v>2279.8913475428722</v>
      </c>
      <c r="N2282">
        <f t="shared" si="285"/>
        <v>71.108673164010824</v>
      </c>
      <c r="O2282" t="s">
        <v>8</v>
      </c>
    </row>
    <row r="2283" spans="1:15" x14ac:dyDescent="0.35">
      <c r="A2283">
        <v>2006</v>
      </c>
      <c r="B2283">
        <v>3</v>
      </c>
      <c r="C2283">
        <v>31</v>
      </c>
      <c r="D2283" s="1">
        <f t="shared" si="280"/>
        <v>38807</v>
      </c>
      <c r="E2283">
        <v>0</v>
      </c>
      <c r="F2283">
        <f t="shared" si="286"/>
        <v>0</v>
      </c>
      <c r="G2283">
        <f t="shared" si="281"/>
        <v>0</v>
      </c>
      <c r="H2283">
        <f t="shared" si="287"/>
        <v>0</v>
      </c>
      <c r="I2283">
        <v>2282</v>
      </c>
      <c r="J2283">
        <f t="shared" si="282"/>
        <v>0.99990232375377652</v>
      </c>
      <c r="K2283">
        <f t="shared" si="283"/>
        <v>1.3976514293555894E-2</v>
      </c>
      <c r="L2283">
        <f>VLOOKUP(D2283,[1]SOI!$A$1:$C$142,3)</f>
        <v>0.1</v>
      </c>
      <c r="M2283" s="2">
        <f t="shared" si="284"/>
        <v>2281.7771028061179</v>
      </c>
      <c r="N2283">
        <f t="shared" si="285"/>
        <v>31.894405617894549</v>
      </c>
      <c r="O2283" t="s">
        <v>8</v>
      </c>
    </row>
    <row r="2284" spans="1:15" x14ac:dyDescent="0.35">
      <c r="A2284">
        <v>2006</v>
      </c>
      <c r="B2284">
        <v>4</v>
      </c>
      <c r="C2284">
        <v>1</v>
      </c>
      <c r="D2284" s="1">
        <f t="shared" si="280"/>
        <v>38808</v>
      </c>
      <c r="E2284">
        <v>8.1999999999999993</v>
      </c>
      <c r="F2284">
        <f t="shared" si="286"/>
        <v>0</v>
      </c>
      <c r="G2284">
        <f t="shared" si="281"/>
        <v>1</v>
      </c>
      <c r="H2284">
        <f t="shared" si="287"/>
        <v>0</v>
      </c>
      <c r="I2284">
        <v>2283</v>
      </c>
      <c r="J2284">
        <f t="shared" si="282"/>
        <v>0.99999479822624138</v>
      </c>
      <c r="K2284">
        <f t="shared" si="283"/>
        <v>-3.2254488771097643E-3</v>
      </c>
      <c r="L2284">
        <f>VLOOKUP(D2284,[1]SOI!$A$1:$C$142,3)</f>
        <v>13.8</v>
      </c>
      <c r="M2284" s="2">
        <f t="shared" si="284"/>
        <v>2282.9881243505092</v>
      </c>
      <c r="N2284">
        <f t="shared" si="285"/>
        <v>-7.3636997864415914</v>
      </c>
      <c r="O2284" t="s">
        <v>8</v>
      </c>
    </row>
    <row r="2285" spans="1:15" x14ac:dyDescent="0.35">
      <c r="A2285">
        <v>2006</v>
      </c>
      <c r="B2285">
        <v>4</v>
      </c>
      <c r="C2285">
        <v>2</v>
      </c>
      <c r="D2285" s="1">
        <f t="shared" si="280"/>
        <v>38809</v>
      </c>
      <c r="E2285">
        <v>0.4</v>
      </c>
      <c r="F2285">
        <f t="shared" si="286"/>
        <v>8.1999999999999993</v>
      </c>
      <c r="G2285">
        <f t="shared" si="281"/>
        <v>1</v>
      </c>
      <c r="H2285">
        <f t="shared" si="287"/>
        <v>1</v>
      </c>
      <c r="I2285">
        <v>2284</v>
      </c>
      <c r="J2285">
        <f t="shared" si="282"/>
        <v>0.9997913581495419</v>
      </c>
      <c r="K2285">
        <f t="shared" si="283"/>
        <v>-2.0426457585553101E-2</v>
      </c>
      <c r="L2285">
        <f>VLOOKUP(D2285,[1]SOI!$A$1:$C$142,3)</f>
        <v>13.8</v>
      </c>
      <c r="M2285" s="2">
        <f t="shared" si="284"/>
        <v>2283.5234620135539</v>
      </c>
      <c r="N2285">
        <f t="shared" si="285"/>
        <v>-46.654029125403284</v>
      </c>
      <c r="O2285" t="s">
        <v>8</v>
      </c>
    </row>
    <row r="2286" spans="1:15" x14ac:dyDescent="0.35">
      <c r="A2286">
        <v>2006</v>
      </c>
      <c r="B2286">
        <v>4</v>
      </c>
      <c r="C2286">
        <v>3</v>
      </c>
      <c r="D2286" s="1">
        <f t="shared" si="280"/>
        <v>38810</v>
      </c>
      <c r="E2286">
        <v>0</v>
      </c>
      <c r="F2286">
        <f t="shared" si="286"/>
        <v>0.4</v>
      </c>
      <c r="G2286">
        <f t="shared" si="281"/>
        <v>0</v>
      </c>
      <c r="H2286">
        <f t="shared" si="287"/>
        <v>1</v>
      </c>
      <c r="I2286">
        <v>2285</v>
      </c>
      <c r="J2286">
        <f t="shared" si="282"/>
        <v>0.99929206372486978</v>
      </c>
      <c r="K2286">
        <f t="shared" si="283"/>
        <v>-3.762142177657387E-2</v>
      </c>
      <c r="L2286">
        <f>VLOOKUP(D2286,[1]SOI!$A$1:$C$142,3)</f>
        <v>13.8</v>
      </c>
      <c r="M2286" s="2">
        <f t="shared" si="284"/>
        <v>2283.3823656113273</v>
      </c>
      <c r="N2286">
        <f t="shared" si="285"/>
        <v>-85.964948759471298</v>
      </c>
      <c r="O2286" t="s">
        <v>8</v>
      </c>
    </row>
    <row r="2287" spans="1:15" x14ac:dyDescent="0.35">
      <c r="A2287">
        <v>2006</v>
      </c>
      <c r="B2287">
        <v>4</v>
      </c>
      <c r="C2287">
        <v>4</v>
      </c>
      <c r="D2287" s="1">
        <f t="shared" si="280"/>
        <v>38811</v>
      </c>
      <c r="E2287">
        <v>0</v>
      </c>
      <c r="F2287">
        <f t="shared" si="286"/>
        <v>0</v>
      </c>
      <c r="G2287">
        <f t="shared" si="281"/>
        <v>0</v>
      </c>
      <c r="H2287">
        <f t="shared" si="287"/>
        <v>0</v>
      </c>
      <c r="I2287">
        <v>2286</v>
      </c>
      <c r="J2287">
        <f t="shared" si="282"/>
        <v>0.99849706270147798</v>
      </c>
      <c r="K2287">
        <f t="shared" si="283"/>
        <v>-5.4805253183620478E-2</v>
      </c>
      <c r="L2287">
        <f>VLOOKUP(D2287,[1]SOI!$A$1:$C$142,3)</f>
        <v>13.8</v>
      </c>
      <c r="M2287" s="2">
        <f t="shared" si="284"/>
        <v>2282.5642853355785</v>
      </c>
      <c r="N2287">
        <f t="shared" si="285"/>
        <v>-125.28480877775641</v>
      </c>
      <c r="O2287" t="s">
        <v>8</v>
      </c>
    </row>
    <row r="2288" spans="1:15" x14ac:dyDescent="0.35">
      <c r="A2288">
        <v>2006</v>
      </c>
      <c r="B2288">
        <v>4</v>
      </c>
      <c r="C2288">
        <v>5</v>
      </c>
      <c r="D2288" s="1">
        <f t="shared" si="280"/>
        <v>38812</v>
      </c>
      <c r="E2288">
        <v>0</v>
      </c>
      <c r="F2288">
        <f t="shared" si="286"/>
        <v>0</v>
      </c>
      <c r="G2288">
        <f t="shared" si="281"/>
        <v>0</v>
      </c>
      <c r="H2288">
        <f t="shared" si="287"/>
        <v>0</v>
      </c>
      <c r="I2288">
        <v>2287</v>
      </c>
      <c r="J2288">
        <f t="shared" si="282"/>
        <v>0.99740659033295975</v>
      </c>
      <c r="K2288">
        <f t="shared" si="283"/>
        <v>-7.1972866834518312E-2</v>
      </c>
      <c r="L2288">
        <f>VLOOKUP(D2288,[1]SOI!$A$1:$C$142,3)</f>
        <v>13.8</v>
      </c>
      <c r="M2288" s="2">
        <f t="shared" si="284"/>
        <v>2281.0688720914791</v>
      </c>
      <c r="N2288">
        <f t="shared" si="285"/>
        <v>-164.60194645054338</v>
      </c>
      <c r="O2288" t="s">
        <v>8</v>
      </c>
    </row>
    <row r="2289" spans="1:15" x14ac:dyDescent="0.35">
      <c r="A2289">
        <v>2006</v>
      </c>
      <c r="B2289">
        <v>4</v>
      </c>
      <c r="C2289">
        <v>6</v>
      </c>
      <c r="D2289" s="1">
        <f t="shared" si="280"/>
        <v>38813</v>
      </c>
      <c r="E2289">
        <v>6</v>
      </c>
      <c r="F2289">
        <f t="shared" si="286"/>
        <v>0</v>
      </c>
      <c r="G2289">
        <f t="shared" si="281"/>
        <v>1</v>
      </c>
      <c r="H2289">
        <f t="shared" si="287"/>
        <v>0</v>
      </c>
      <c r="I2289">
        <v>2288</v>
      </c>
      <c r="J2289">
        <f t="shared" si="282"/>
        <v>0.99602096930763306</v>
      </c>
      <c r="K2289">
        <f t="shared" si="283"/>
        <v>-8.9119182556187726E-2</v>
      </c>
      <c r="L2289">
        <f>VLOOKUP(D2289,[1]SOI!$A$1:$C$142,3)</f>
        <v>13.8</v>
      </c>
      <c r="M2289" s="2">
        <f t="shared" si="284"/>
        <v>2278.8959777758646</v>
      </c>
      <c r="N2289">
        <f t="shared" si="285"/>
        <v>-203.90468968855751</v>
      </c>
      <c r="O2289" t="s">
        <v>8</v>
      </c>
    </row>
    <row r="2290" spans="1:15" x14ac:dyDescent="0.35">
      <c r="A2290">
        <v>2006</v>
      </c>
      <c r="B2290">
        <v>4</v>
      </c>
      <c r="C2290">
        <v>7</v>
      </c>
      <c r="D2290" s="1">
        <f t="shared" si="280"/>
        <v>38814</v>
      </c>
      <c r="E2290">
        <v>0.6</v>
      </c>
      <c r="F2290">
        <f t="shared" si="286"/>
        <v>6</v>
      </c>
      <c r="G2290">
        <f t="shared" si="281"/>
        <v>1</v>
      </c>
      <c r="H2290">
        <f t="shared" si="287"/>
        <v>1</v>
      </c>
      <c r="I2290">
        <v>2289</v>
      </c>
      <c r="J2290">
        <f t="shared" si="282"/>
        <v>0.99434060965305238</v>
      </c>
      <c r="K2290">
        <f t="shared" si="283"/>
        <v>-0.10623912647794193</v>
      </c>
      <c r="L2290">
        <f>VLOOKUP(D2290,[1]SOI!$A$1:$C$142,3)</f>
        <v>13.8</v>
      </c>
      <c r="M2290" s="2">
        <f t="shared" si="284"/>
        <v>2276.0456554958369</v>
      </c>
      <c r="N2290">
        <f t="shared" si="285"/>
        <v>-243.18136050800908</v>
      </c>
      <c r="O2290" t="s">
        <v>8</v>
      </c>
    </row>
    <row r="2291" spans="1:15" x14ac:dyDescent="0.35">
      <c r="A2291">
        <v>2006</v>
      </c>
      <c r="B2291">
        <v>4</v>
      </c>
      <c r="C2291">
        <v>8</v>
      </c>
      <c r="D2291" s="1">
        <f t="shared" si="280"/>
        <v>38815</v>
      </c>
      <c r="E2291">
        <v>0</v>
      </c>
      <c r="F2291">
        <f t="shared" si="286"/>
        <v>0.6</v>
      </c>
      <c r="G2291">
        <f t="shared" si="281"/>
        <v>0</v>
      </c>
      <c r="H2291">
        <f t="shared" si="287"/>
        <v>1</v>
      </c>
      <c r="I2291">
        <v>2290</v>
      </c>
      <c r="J2291">
        <f t="shared" si="282"/>
        <v>0.99236600861467261</v>
      </c>
      <c r="K2291">
        <f t="shared" si="283"/>
        <v>-0.12332763253295519</v>
      </c>
      <c r="L2291">
        <f>VLOOKUP(D2291,[1]SOI!$A$1:$C$142,3)</f>
        <v>13.8</v>
      </c>
      <c r="M2291" s="2">
        <f t="shared" si="284"/>
        <v>2272.5181597276005</v>
      </c>
      <c r="N2291">
        <f t="shared" si="285"/>
        <v>-282.42027850046736</v>
      </c>
      <c r="O2291" t="s">
        <v>8</v>
      </c>
    </row>
    <row r="2292" spans="1:15" x14ac:dyDescent="0.35">
      <c r="A2292">
        <v>2006</v>
      </c>
      <c r="B2292">
        <v>4</v>
      </c>
      <c r="C2292">
        <v>9</v>
      </c>
      <c r="D2292" s="1">
        <f t="shared" si="280"/>
        <v>38816</v>
      </c>
      <c r="E2292">
        <v>0</v>
      </c>
      <c r="F2292">
        <f t="shared" si="286"/>
        <v>0</v>
      </c>
      <c r="G2292">
        <f t="shared" si="281"/>
        <v>0</v>
      </c>
      <c r="H2292">
        <f t="shared" si="287"/>
        <v>0</v>
      </c>
      <c r="I2292">
        <v>2291</v>
      </c>
      <c r="J2292">
        <f t="shared" si="282"/>
        <v>0.99009775050870974</v>
      </c>
      <c r="K2292">
        <f t="shared" si="283"/>
        <v>-0.14037964395735111</v>
      </c>
      <c r="L2292">
        <f>VLOOKUP(D2292,[1]SOI!$A$1:$C$142,3)</f>
        <v>13.8</v>
      </c>
      <c r="M2292" s="2">
        <f t="shared" si="284"/>
        <v>2268.3139464154542</v>
      </c>
      <c r="N2292">
        <f t="shared" si="285"/>
        <v>-321.60976430629142</v>
      </c>
      <c r="O2292" t="s">
        <v>8</v>
      </c>
    </row>
    <row r="2293" spans="1:15" x14ac:dyDescent="0.35">
      <c r="A2293">
        <v>2006</v>
      </c>
      <c r="B2293">
        <v>4</v>
      </c>
      <c r="C2293">
        <v>10</v>
      </c>
      <c r="D2293" s="1">
        <f t="shared" si="280"/>
        <v>38817</v>
      </c>
      <c r="E2293">
        <v>0</v>
      </c>
      <c r="F2293">
        <f t="shared" si="286"/>
        <v>0</v>
      </c>
      <c r="G2293">
        <f t="shared" si="281"/>
        <v>0</v>
      </c>
      <c r="H2293">
        <f t="shared" si="287"/>
        <v>0</v>
      </c>
      <c r="I2293">
        <v>2292</v>
      </c>
      <c r="J2293">
        <f t="shared" si="282"/>
        <v>0.98753650654923042</v>
      </c>
      <c r="K2293">
        <f t="shared" si="283"/>
        <v>-0.15739011478660878</v>
      </c>
      <c r="L2293">
        <f>VLOOKUP(D2293,[1]SOI!$A$1:$C$142,3)</f>
        <v>13.8</v>
      </c>
      <c r="M2293" s="2">
        <f t="shared" si="284"/>
        <v>2263.4336730108362</v>
      </c>
      <c r="N2293">
        <f t="shared" si="285"/>
        <v>-360.73814309090733</v>
      </c>
      <c r="O2293" t="s">
        <v>8</v>
      </c>
    </row>
    <row r="2294" spans="1:15" x14ac:dyDescent="0.35">
      <c r="A2294">
        <v>2006</v>
      </c>
      <c r="B2294">
        <v>4</v>
      </c>
      <c r="C2294">
        <v>11</v>
      </c>
      <c r="D2294" s="1">
        <f t="shared" si="280"/>
        <v>38818</v>
      </c>
      <c r="E2294">
        <v>0</v>
      </c>
      <c r="F2294">
        <f t="shared" si="286"/>
        <v>0</v>
      </c>
      <c r="G2294">
        <f t="shared" si="281"/>
        <v>0</v>
      </c>
      <c r="H2294">
        <f t="shared" si="287"/>
        <v>0</v>
      </c>
      <c r="I2294">
        <v>2293</v>
      </c>
      <c r="J2294">
        <f t="shared" si="282"/>
        <v>0.98468303464952833</v>
      </c>
      <c r="K2294">
        <f t="shared" si="283"/>
        <v>-0.1743540113487376</v>
      </c>
      <c r="L2294">
        <f>VLOOKUP(D2294,[1]SOI!$A$1:$C$142,3)</f>
        <v>13.8</v>
      </c>
      <c r="M2294" s="2">
        <f t="shared" si="284"/>
        <v>2257.8781984513685</v>
      </c>
      <c r="N2294">
        <f t="shared" si="285"/>
        <v>-399.79374802265534</v>
      </c>
      <c r="O2294" t="s">
        <v>8</v>
      </c>
    </row>
    <row r="2295" spans="1:15" x14ac:dyDescent="0.35">
      <c r="A2295">
        <v>2006</v>
      </c>
      <c r="B2295">
        <v>4</v>
      </c>
      <c r="C2295">
        <v>12</v>
      </c>
      <c r="D2295" s="1">
        <f t="shared" si="280"/>
        <v>38819</v>
      </c>
      <c r="E2295">
        <v>0</v>
      </c>
      <c r="F2295">
        <f t="shared" si="286"/>
        <v>0</v>
      </c>
      <c r="G2295">
        <f t="shared" si="281"/>
        <v>0</v>
      </c>
      <c r="H2295">
        <f t="shared" si="287"/>
        <v>0</v>
      </c>
      <c r="I2295">
        <v>2294</v>
      </c>
      <c r="J2295">
        <f t="shared" si="282"/>
        <v>0.98153817919784681</v>
      </c>
      <c r="K2295">
        <f t="shared" si="283"/>
        <v>-0.19126631375382203</v>
      </c>
      <c r="L2295">
        <f>VLOOKUP(D2295,[1]SOI!$A$1:$C$142,3)</f>
        <v>13.8</v>
      </c>
      <c r="M2295" s="2">
        <f t="shared" si="284"/>
        <v>2251.6485830798606</v>
      </c>
      <c r="N2295">
        <f t="shared" si="285"/>
        <v>-438.7649237512677</v>
      </c>
      <c r="O2295" t="s">
        <v>8</v>
      </c>
    </row>
    <row r="2296" spans="1:15" x14ac:dyDescent="0.35">
      <c r="A2296">
        <v>2006</v>
      </c>
      <c r="B2296">
        <v>4</v>
      </c>
      <c r="C2296">
        <v>13</v>
      </c>
      <c r="D2296" s="1">
        <f t="shared" si="280"/>
        <v>38820</v>
      </c>
      <c r="E2296">
        <v>0</v>
      </c>
      <c r="F2296">
        <f t="shared" si="286"/>
        <v>0</v>
      </c>
      <c r="G2296">
        <f t="shared" si="281"/>
        <v>0</v>
      </c>
      <c r="H2296">
        <f t="shared" si="287"/>
        <v>0</v>
      </c>
      <c r="I2296">
        <v>2295</v>
      </c>
      <c r="J2296">
        <f t="shared" si="282"/>
        <v>0.97810287080751135</v>
      </c>
      <c r="K2296">
        <f t="shared" si="283"/>
        <v>-0.20812201737948066</v>
      </c>
      <c r="L2296">
        <f>VLOOKUP(D2296,[1]SOI!$A$1:$C$142,3)</f>
        <v>13.8</v>
      </c>
      <c r="M2296" s="2">
        <f t="shared" si="284"/>
        <v>2244.7460885032388</v>
      </c>
      <c r="N2296">
        <f t="shared" si="285"/>
        <v>-477.64002988590812</v>
      </c>
      <c r="O2296" t="s">
        <v>8</v>
      </c>
    </row>
    <row r="2297" spans="1:15" x14ac:dyDescent="0.35">
      <c r="A2297">
        <v>2006</v>
      </c>
      <c r="B2297">
        <v>4</v>
      </c>
      <c r="C2297">
        <v>14</v>
      </c>
      <c r="D2297" s="1">
        <f t="shared" si="280"/>
        <v>38821</v>
      </c>
      <c r="E2297">
        <v>1.4</v>
      </c>
      <c r="F2297">
        <f t="shared" si="286"/>
        <v>0</v>
      </c>
      <c r="G2297">
        <f t="shared" si="281"/>
        <v>1</v>
      </c>
      <c r="H2297">
        <f t="shared" si="287"/>
        <v>0</v>
      </c>
      <c r="I2297">
        <v>2296</v>
      </c>
      <c r="J2297">
        <f t="shared" si="282"/>
        <v>0.97437812604154039</v>
      </c>
      <c r="K2297">
        <f t="shared" si="283"/>
        <v>-0.22491613435184238</v>
      </c>
      <c r="L2297">
        <f>VLOOKUP(D2297,[1]SOI!$A$1:$C$142,3)</f>
        <v>13.8</v>
      </c>
      <c r="M2297" s="2">
        <f t="shared" si="284"/>
        <v>2237.1721773913769</v>
      </c>
      <c r="N2297">
        <f t="shared" si="285"/>
        <v>-516.4074444718301</v>
      </c>
      <c r="O2297" t="s">
        <v>8</v>
      </c>
    </row>
    <row r="2298" spans="1:15" x14ac:dyDescent="0.35">
      <c r="A2298">
        <v>2006</v>
      </c>
      <c r="B2298">
        <v>4</v>
      </c>
      <c r="C2298">
        <v>15</v>
      </c>
      <c r="D2298" s="1">
        <f t="shared" si="280"/>
        <v>38822</v>
      </c>
      <c r="E2298">
        <v>10.8</v>
      </c>
      <c r="F2298">
        <f t="shared" si="286"/>
        <v>1.4</v>
      </c>
      <c r="G2298">
        <f t="shared" si="281"/>
        <v>1</v>
      </c>
      <c r="H2298">
        <f t="shared" si="287"/>
        <v>1</v>
      </c>
      <c r="I2298">
        <v>2297</v>
      </c>
      <c r="J2298">
        <f t="shared" si="282"/>
        <v>0.97036504711183535</v>
      </c>
      <c r="K2298">
        <f t="shared" si="283"/>
        <v>-0.2416436950215036</v>
      </c>
      <c r="L2298">
        <f>VLOOKUP(D2298,[1]SOI!$A$1:$C$142,3)</f>
        <v>13.8</v>
      </c>
      <c r="M2298" s="2">
        <f t="shared" si="284"/>
        <v>2228.9285132158857</v>
      </c>
      <c r="N2298">
        <f t="shared" si="285"/>
        <v>-555.05556746439379</v>
      </c>
      <c r="O2298" t="s">
        <v>8</v>
      </c>
    </row>
    <row r="2299" spans="1:15" x14ac:dyDescent="0.35">
      <c r="A2299">
        <v>2006</v>
      </c>
      <c r="B2299">
        <v>4</v>
      </c>
      <c r="C2299">
        <v>16</v>
      </c>
      <c r="D2299" s="1">
        <f t="shared" si="280"/>
        <v>38823</v>
      </c>
      <c r="E2299">
        <v>2.8</v>
      </c>
      <c r="F2299">
        <f t="shared" si="286"/>
        <v>10.8</v>
      </c>
      <c r="G2299">
        <f t="shared" si="281"/>
        <v>1</v>
      </c>
      <c r="H2299">
        <f t="shared" si="287"/>
        <v>1</v>
      </c>
      <c r="I2299">
        <v>2298</v>
      </c>
      <c r="J2299">
        <f t="shared" si="282"/>
        <v>0.96606482155302098</v>
      </c>
      <c r="K2299">
        <f t="shared" si="283"/>
        <v>-0.25829974943412098</v>
      </c>
      <c r="L2299">
        <f>VLOOKUP(D2299,[1]SOI!$A$1:$C$142,3)</f>
        <v>13.8</v>
      </c>
      <c r="M2299" s="2">
        <f t="shared" si="284"/>
        <v>2220.0169599288424</v>
      </c>
      <c r="N2299">
        <f t="shared" si="285"/>
        <v>-593.57282419961007</v>
      </c>
      <c r="O2299" t="s">
        <v>8</v>
      </c>
    </row>
    <row r="2300" spans="1:15" x14ac:dyDescent="0.35">
      <c r="A2300">
        <v>2006</v>
      </c>
      <c r="B2300">
        <v>4</v>
      </c>
      <c r="C2300">
        <v>17</v>
      </c>
      <c r="D2300" s="1">
        <f t="shared" si="280"/>
        <v>38824</v>
      </c>
      <c r="E2300">
        <v>0</v>
      </c>
      <c r="F2300">
        <f t="shared" si="286"/>
        <v>2.8</v>
      </c>
      <c r="G2300">
        <f t="shared" si="281"/>
        <v>0</v>
      </c>
      <c r="H2300">
        <f t="shared" si="287"/>
        <v>1</v>
      </c>
      <c r="I2300">
        <v>2299</v>
      </c>
      <c r="J2300">
        <f t="shared" si="282"/>
        <v>0.9614787218710189</v>
      </c>
      <c r="K2300">
        <f t="shared" si="283"/>
        <v>-0.27487936879524427</v>
      </c>
      <c r="L2300">
        <f>VLOOKUP(D2300,[1]SOI!$A$1:$C$142,3)</f>
        <v>13.8</v>
      </c>
      <c r="M2300" s="2">
        <f t="shared" si="284"/>
        <v>2210.4395815814723</v>
      </c>
      <c r="N2300">
        <f t="shared" si="285"/>
        <v>-631.94766886026662</v>
      </c>
      <c r="O2300" t="s">
        <v>8</v>
      </c>
    </row>
    <row r="2301" spans="1:15" x14ac:dyDescent="0.35">
      <c r="A2301">
        <v>2006</v>
      </c>
      <c r="B2301">
        <v>4</v>
      </c>
      <c r="C2301">
        <v>18</v>
      </c>
      <c r="D2301" s="1">
        <f t="shared" si="280"/>
        <v>38825</v>
      </c>
      <c r="E2301">
        <v>0</v>
      </c>
      <c r="F2301">
        <f t="shared" si="286"/>
        <v>0</v>
      </c>
      <c r="G2301">
        <f t="shared" si="281"/>
        <v>0</v>
      </c>
      <c r="H2301">
        <f t="shared" si="287"/>
        <v>0</v>
      </c>
      <c r="I2301">
        <v>2300</v>
      </c>
      <c r="J2301">
        <f t="shared" si="282"/>
        <v>0.95660810516651196</v>
      </c>
      <c r="K2301">
        <f t="shared" si="283"/>
        <v>-0.29137764692875051</v>
      </c>
      <c r="L2301">
        <f>VLOOKUP(D2301,[1]SOI!$A$1:$C$142,3)</f>
        <v>13.8</v>
      </c>
      <c r="M2301" s="2">
        <f t="shared" si="284"/>
        <v>2200.1986418829774</v>
      </c>
      <c r="N2301">
        <f t="shared" si="285"/>
        <v>-670.16858793612619</v>
      </c>
      <c r="O2301" t="s">
        <v>8</v>
      </c>
    </row>
    <row r="2302" spans="1:15" x14ac:dyDescent="0.35">
      <c r="A2302">
        <v>2006</v>
      </c>
      <c r="B2302">
        <v>4</v>
      </c>
      <c r="C2302">
        <v>19</v>
      </c>
      <c r="D2302" s="1">
        <f t="shared" si="280"/>
        <v>38826</v>
      </c>
      <c r="E2302">
        <v>0</v>
      </c>
      <c r="F2302">
        <f t="shared" si="286"/>
        <v>0</v>
      </c>
      <c r="G2302">
        <f t="shared" si="281"/>
        <v>0</v>
      </c>
      <c r="H2302">
        <f t="shared" si="287"/>
        <v>0</v>
      </c>
      <c r="I2302">
        <v>2301</v>
      </c>
      <c r="J2302">
        <f t="shared" si="282"/>
        <v>0.95145441273333764</v>
      </c>
      <c r="K2302">
        <f t="shared" si="283"/>
        <v>-0.30778970172872849</v>
      </c>
      <c r="L2302">
        <f>VLOOKUP(D2302,[1]SOI!$A$1:$C$142,3)</f>
        <v>13.8</v>
      </c>
      <c r="M2302" s="2">
        <f t="shared" si="284"/>
        <v>2189.2966036994098</v>
      </c>
      <c r="N2302">
        <f t="shared" si="285"/>
        <v>-708.22410367780424</v>
      </c>
      <c r="O2302" t="s">
        <v>8</v>
      </c>
    </row>
    <row r="2303" spans="1:15" x14ac:dyDescent="0.35">
      <c r="A2303">
        <v>2006</v>
      </c>
      <c r="B2303">
        <v>4</v>
      </c>
      <c r="C2303">
        <v>20</v>
      </c>
      <c r="D2303" s="1">
        <f t="shared" si="280"/>
        <v>38827</v>
      </c>
      <c r="E2303">
        <v>4.2</v>
      </c>
      <c r="F2303">
        <f t="shared" si="286"/>
        <v>0</v>
      </c>
      <c r="G2303">
        <f t="shared" si="281"/>
        <v>1</v>
      </c>
      <c r="H2303">
        <f t="shared" si="287"/>
        <v>0</v>
      </c>
      <c r="I2303">
        <v>2302</v>
      </c>
      <c r="J2303">
        <f t="shared" si="282"/>
        <v>0.94601916963200794</v>
      </c>
      <c r="K2303">
        <f t="shared" si="283"/>
        <v>-0.32411067660409804</v>
      </c>
      <c r="L2303">
        <f>VLOOKUP(D2303,[1]SOI!$A$1:$C$142,3)</f>
        <v>13.8</v>
      </c>
      <c r="M2303" s="2">
        <f t="shared" si="284"/>
        <v>2177.7361284928825</v>
      </c>
      <c r="N2303">
        <f t="shared" si="285"/>
        <v>-746.1027775426337</v>
      </c>
      <c r="O2303" t="s">
        <v>8</v>
      </c>
    </row>
    <row r="2304" spans="1:15" x14ac:dyDescent="0.35">
      <c r="A2304">
        <v>2006</v>
      </c>
      <c r="B2304">
        <v>4</v>
      </c>
      <c r="C2304">
        <v>21</v>
      </c>
      <c r="D2304" s="1">
        <f t="shared" si="280"/>
        <v>38828</v>
      </c>
      <c r="E2304">
        <v>7.2</v>
      </c>
      <c r="F2304">
        <f t="shared" si="286"/>
        <v>4.2</v>
      </c>
      <c r="G2304">
        <f t="shared" si="281"/>
        <v>1</v>
      </c>
      <c r="H2304">
        <f t="shared" si="287"/>
        <v>1</v>
      </c>
      <c r="I2304">
        <v>2303</v>
      </c>
      <c r="J2304">
        <f t="shared" si="282"/>
        <v>0.94030398423840156</v>
      </c>
      <c r="K2304">
        <f t="shared" si="283"/>
        <v>-0.34033574191581434</v>
      </c>
      <c r="L2304">
        <f>VLOOKUP(D2304,[1]SOI!$A$1:$C$142,3)</f>
        <v>13.8</v>
      </c>
      <c r="M2304" s="2">
        <f t="shared" si="284"/>
        <v>2165.5200757010389</v>
      </c>
      <c r="N2304">
        <f t="shared" si="285"/>
        <v>-783.79321363212046</v>
      </c>
      <c r="O2304" t="s">
        <v>8</v>
      </c>
    </row>
    <row r="2305" spans="1:15" x14ac:dyDescent="0.35">
      <c r="A2305">
        <v>2006</v>
      </c>
      <c r="B2305">
        <v>4</v>
      </c>
      <c r="C2305">
        <v>22</v>
      </c>
      <c r="D2305" s="1">
        <f t="shared" si="280"/>
        <v>38829</v>
      </c>
      <c r="E2305">
        <v>0.4</v>
      </c>
      <c r="F2305">
        <f t="shared" si="286"/>
        <v>7.2</v>
      </c>
      <c r="G2305">
        <f t="shared" si="281"/>
        <v>1</v>
      </c>
      <c r="H2305">
        <f t="shared" si="287"/>
        <v>1</v>
      </c>
      <c r="I2305">
        <v>2304</v>
      </c>
      <c r="J2305">
        <f t="shared" si="282"/>
        <v>0.93431054776782041</v>
      </c>
      <c r="K2305">
        <f t="shared" si="283"/>
        <v>-0.35646009640602888</v>
      </c>
      <c r="L2305">
        <f>VLOOKUP(D2305,[1]SOI!$A$1:$C$142,3)</f>
        <v>13.8</v>
      </c>
      <c r="M2305" s="2">
        <f t="shared" si="284"/>
        <v>2152.6515020570582</v>
      </c>
      <c r="N2305">
        <f t="shared" si="285"/>
        <v>-821.2840621194905</v>
      </c>
      <c r="O2305" t="s">
        <v>8</v>
      </c>
    </row>
    <row r="2306" spans="1:15" x14ac:dyDescent="0.35">
      <c r="A2306">
        <v>2006</v>
      </c>
      <c r="B2306">
        <v>4</v>
      </c>
      <c r="C2306">
        <v>23</v>
      </c>
      <c r="D2306" s="1">
        <f t="shared" si="280"/>
        <v>38830</v>
      </c>
      <c r="E2306">
        <v>0</v>
      </c>
      <c r="F2306">
        <f t="shared" si="286"/>
        <v>0.4</v>
      </c>
      <c r="G2306">
        <f t="shared" si="281"/>
        <v>0</v>
      </c>
      <c r="H2306">
        <f t="shared" si="287"/>
        <v>1</v>
      </c>
      <c r="I2306">
        <v>2305</v>
      </c>
      <c r="J2306">
        <f t="shared" si="282"/>
        <v>0.92804063377454338</v>
      </c>
      <c r="K2306">
        <f t="shared" si="283"/>
        <v>-0.3724789686188254</v>
      </c>
      <c r="L2306">
        <f>VLOOKUP(D2306,[1]SOI!$A$1:$C$142,3)</f>
        <v>13.8</v>
      </c>
      <c r="M2306" s="2">
        <f t="shared" si="284"/>
        <v>2139.1336608503225</v>
      </c>
      <c r="N2306">
        <f t="shared" si="285"/>
        <v>-858.56402266639259</v>
      </c>
      <c r="O2306" t="s">
        <v>8</v>
      </c>
    </row>
    <row r="2307" spans="1:15" x14ac:dyDescent="0.35">
      <c r="A2307">
        <v>2006</v>
      </c>
      <c r="B2307">
        <v>4</v>
      </c>
      <c r="C2307">
        <v>24</v>
      </c>
      <c r="D2307" s="1">
        <f t="shared" ref="D2307:D2370" si="288">DATE(A2307,B2307,C2307)</f>
        <v>38831</v>
      </c>
      <c r="E2307">
        <v>0.2</v>
      </c>
      <c r="F2307">
        <f t="shared" si="286"/>
        <v>0</v>
      </c>
      <c r="G2307">
        <f t="shared" ref="G2307:G2370" si="289">IF(E2307=0,0,1)</f>
        <v>1</v>
      </c>
      <c r="H2307">
        <f t="shared" si="287"/>
        <v>0</v>
      </c>
      <c r="I2307">
        <v>2306</v>
      </c>
      <c r="J2307">
        <f t="shared" ref="J2307:J2370" si="290">SIN(2*PI()*I2307/365.25)</f>
        <v>0.92149609762699425</v>
      </c>
      <c r="K2307">
        <f t="shared" ref="K2307:K2370" si="291">COS(2*PI()*I2307/365.25)</f>
        <v>-0.38838761831219726</v>
      </c>
      <c r="L2307">
        <f>VLOOKUP(D2307,[1]SOI!$A$1:$C$142,3)</f>
        <v>13.8</v>
      </c>
      <c r="M2307" s="2">
        <f t="shared" ref="M2307:M2370" si="292">I2307*J2307</f>
        <v>2124.9700011278487</v>
      </c>
      <c r="N2307">
        <f t="shared" ref="N2307:N2370" si="293">I2307*K2307</f>
        <v>-895.6218478279269</v>
      </c>
      <c r="O2307" t="s">
        <v>8</v>
      </c>
    </row>
    <row r="2308" spans="1:15" x14ac:dyDescent="0.35">
      <c r="A2308">
        <v>2006</v>
      </c>
      <c r="B2308">
        <v>4</v>
      </c>
      <c r="C2308">
        <v>25</v>
      </c>
      <c r="D2308" s="1">
        <f t="shared" si="288"/>
        <v>38832</v>
      </c>
      <c r="E2308">
        <v>0</v>
      </c>
      <c r="F2308">
        <f t="shared" ref="F2308:F2371" si="294">E2307</f>
        <v>0.2</v>
      </c>
      <c r="G2308">
        <f t="shared" si="289"/>
        <v>0</v>
      </c>
      <c r="H2308">
        <f t="shared" ref="H2308:H2371" si="295">G2307</f>
        <v>1</v>
      </c>
      <c r="I2308">
        <v>2307</v>
      </c>
      <c r="J2308">
        <f t="shared" si="290"/>
        <v>0.91467887595871078</v>
      </c>
      <c r="K2308">
        <f t="shared" si="291"/>
        <v>-0.40418133786075455</v>
      </c>
      <c r="L2308">
        <f>VLOOKUP(D2308,[1]SOI!$A$1:$C$142,3)</f>
        <v>13.8</v>
      </c>
      <c r="M2308" s="2">
        <f t="shared" si="292"/>
        <v>2110.1641668367456</v>
      </c>
      <c r="N2308">
        <f t="shared" si="293"/>
        <v>-932.44634644476071</v>
      </c>
      <c r="O2308" t="s">
        <v>8</v>
      </c>
    </row>
    <row r="2309" spans="1:15" x14ac:dyDescent="0.35">
      <c r="A2309">
        <v>2006</v>
      </c>
      <c r="B2309">
        <v>4</v>
      </c>
      <c r="C2309">
        <v>26</v>
      </c>
      <c r="D2309" s="1">
        <f t="shared" si="288"/>
        <v>38833</v>
      </c>
      <c r="E2309">
        <v>0</v>
      </c>
      <c r="F2309">
        <f t="shared" si="294"/>
        <v>0</v>
      </c>
      <c r="G2309">
        <f t="shared" si="289"/>
        <v>0</v>
      </c>
      <c r="H2309">
        <f t="shared" si="295"/>
        <v>0</v>
      </c>
      <c r="I2309">
        <v>2308</v>
      </c>
      <c r="J2309">
        <f t="shared" si="290"/>
        <v>0.90759098609526301</v>
      </c>
      <c r="K2309">
        <f t="shared" si="291"/>
        <v>-0.41985545364878635</v>
      </c>
      <c r="L2309">
        <f>VLOOKUP(D2309,[1]SOI!$A$1:$C$142,3)</f>
        <v>13.8</v>
      </c>
      <c r="M2309" s="2">
        <f t="shared" si="292"/>
        <v>2094.7199959078671</v>
      </c>
      <c r="N2309">
        <f t="shared" si="293"/>
        <v>-969.02638702139893</v>
      </c>
      <c r="O2309" t="s">
        <v>8</v>
      </c>
    </row>
    <row r="2310" spans="1:15" x14ac:dyDescent="0.35">
      <c r="A2310">
        <v>2006</v>
      </c>
      <c r="B2310">
        <v>4</v>
      </c>
      <c r="C2310">
        <v>27</v>
      </c>
      <c r="D2310" s="1">
        <f t="shared" si="288"/>
        <v>38834</v>
      </c>
      <c r="E2310">
        <v>0</v>
      </c>
      <c r="F2310">
        <f t="shared" si="294"/>
        <v>0</v>
      </c>
      <c r="G2310">
        <f t="shared" si="289"/>
        <v>0</v>
      </c>
      <c r="H2310">
        <f t="shared" si="295"/>
        <v>0</v>
      </c>
      <c r="I2310">
        <v>2309</v>
      </c>
      <c r="J2310">
        <f t="shared" si="290"/>
        <v>0.90023452545729776</v>
      </c>
      <c r="K2310">
        <f t="shared" si="291"/>
        <v>-0.43540532745325239</v>
      </c>
      <c r="L2310">
        <f>VLOOKUP(D2310,[1]SOI!$A$1:$C$142,3)</f>
        <v>13.8</v>
      </c>
      <c r="M2310" s="2">
        <f t="shared" si="292"/>
        <v>2078.6415192809004</v>
      </c>
      <c r="N2310">
        <f t="shared" si="293"/>
        <v>-1005.3509010895598</v>
      </c>
      <c r="O2310" t="s">
        <v>8</v>
      </c>
    </row>
    <row r="2311" spans="1:15" x14ac:dyDescent="0.35">
      <c r="A2311">
        <v>2006</v>
      </c>
      <c r="B2311">
        <v>4</v>
      </c>
      <c r="C2311">
        <v>28</v>
      </c>
      <c r="D2311" s="1">
        <f t="shared" si="288"/>
        <v>38835</v>
      </c>
      <c r="E2311">
        <v>0</v>
      </c>
      <c r="F2311">
        <f t="shared" si="294"/>
        <v>0</v>
      </c>
      <c r="G2311">
        <f t="shared" si="289"/>
        <v>0</v>
      </c>
      <c r="H2311">
        <f t="shared" si="295"/>
        <v>0</v>
      </c>
      <c r="I2311">
        <v>2310</v>
      </c>
      <c r="J2311">
        <f t="shared" si="290"/>
        <v>0.89261167093986582</v>
      </c>
      <c r="K2311">
        <f t="shared" si="291"/>
        <v>-0.45082635781633335</v>
      </c>
      <c r="L2311">
        <f>VLOOKUP(D2311,[1]SOI!$A$1:$C$142,3)</f>
        <v>13.8</v>
      </c>
      <c r="M2311" s="2">
        <f t="shared" si="292"/>
        <v>2061.9329598710901</v>
      </c>
      <c r="N2311">
        <f t="shared" si="293"/>
        <v>-1041.4088865557301</v>
      </c>
      <c r="O2311" t="s">
        <v>8</v>
      </c>
    </row>
    <row r="2312" spans="1:15" x14ac:dyDescent="0.35">
      <c r="A2312">
        <v>2006</v>
      </c>
      <c r="B2312">
        <v>4</v>
      </c>
      <c r="C2312">
        <v>29</v>
      </c>
      <c r="D2312" s="1">
        <f t="shared" si="288"/>
        <v>38836</v>
      </c>
      <c r="E2312">
        <v>1.8</v>
      </c>
      <c r="F2312">
        <f t="shared" si="294"/>
        <v>0</v>
      </c>
      <c r="G2312">
        <f t="shared" si="289"/>
        <v>1</v>
      </c>
      <c r="H2312">
        <f t="shared" si="295"/>
        <v>0</v>
      </c>
      <c r="I2312">
        <v>2311</v>
      </c>
      <c r="J2312">
        <f t="shared" si="290"/>
        <v>0.88472467826826195</v>
      </c>
      <c r="K2312">
        <f t="shared" si="291"/>
        <v>-0.46611398140703775</v>
      </c>
      <c r="L2312">
        <f>VLOOKUP(D2312,[1]SOI!$A$1:$C$142,3)</f>
        <v>13.8</v>
      </c>
      <c r="M2312" s="2">
        <f t="shared" si="292"/>
        <v>2044.5987314779534</v>
      </c>
      <c r="N2312">
        <f t="shared" si="293"/>
        <v>-1077.1894110316641</v>
      </c>
      <c r="O2312" t="s">
        <v>8</v>
      </c>
    </row>
    <row r="2313" spans="1:15" x14ac:dyDescent="0.35">
      <c r="A2313">
        <v>2006</v>
      </c>
      <c r="B2313">
        <v>4</v>
      </c>
      <c r="C2313">
        <v>30</v>
      </c>
      <c r="D2313" s="1">
        <f t="shared" si="288"/>
        <v>38837</v>
      </c>
      <c r="E2313">
        <v>1</v>
      </c>
      <c r="F2313">
        <f t="shared" si="294"/>
        <v>1.8</v>
      </c>
      <c r="G2313">
        <f t="shared" si="289"/>
        <v>1</v>
      </c>
      <c r="H2313">
        <f t="shared" si="295"/>
        <v>1</v>
      </c>
      <c r="I2313">
        <v>2312</v>
      </c>
      <c r="J2313">
        <f t="shared" si="290"/>
        <v>0.87657588133050712</v>
      </c>
      <c r="K2313">
        <f t="shared" si="291"/>
        <v>-0.48126367437159095</v>
      </c>
      <c r="L2313">
        <f>VLOOKUP(D2313,[1]SOI!$A$1:$C$142,3)</f>
        <v>13.8</v>
      </c>
      <c r="M2313" s="2">
        <f t="shared" si="292"/>
        <v>2026.6434376361324</v>
      </c>
      <c r="N2313">
        <f t="shared" si="293"/>
        <v>-1112.6816151471182</v>
      </c>
      <c r="O2313" t="s">
        <v>8</v>
      </c>
    </row>
    <row r="2314" spans="1:15" x14ac:dyDescent="0.35">
      <c r="A2314">
        <v>2006</v>
      </c>
      <c r="B2314">
        <v>5</v>
      </c>
      <c r="C2314">
        <v>1</v>
      </c>
      <c r="D2314" s="1">
        <f t="shared" si="288"/>
        <v>38838</v>
      </c>
      <c r="E2314">
        <v>12.2</v>
      </c>
      <c r="F2314">
        <f t="shared" si="294"/>
        <v>1</v>
      </c>
      <c r="G2314">
        <f t="shared" si="289"/>
        <v>1</v>
      </c>
      <c r="H2314">
        <f t="shared" si="295"/>
        <v>1</v>
      </c>
      <c r="I2314">
        <v>2313</v>
      </c>
      <c r="J2314">
        <f t="shared" si="290"/>
        <v>0.86816769148671669</v>
      </c>
      <c r="K2314">
        <f t="shared" si="291"/>
        <v>-0.49627095367210955</v>
      </c>
      <c r="L2314">
        <f>VLOOKUP(D2314,[1]SOI!$A$1:$C$142,3)</f>
        <v>15.2</v>
      </c>
      <c r="M2314" s="2">
        <f t="shared" si="292"/>
        <v>2008.0718704087758</v>
      </c>
      <c r="N2314">
        <f t="shared" si="293"/>
        <v>-1147.8747158435895</v>
      </c>
      <c r="O2314" t="s">
        <v>8</v>
      </c>
    </row>
    <row r="2315" spans="1:15" x14ac:dyDescent="0.35">
      <c r="A2315">
        <v>2006</v>
      </c>
      <c r="B2315">
        <v>5</v>
      </c>
      <c r="C2315">
        <v>2</v>
      </c>
      <c r="D2315" s="1">
        <f t="shared" si="288"/>
        <v>38839</v>
      </c>
      <c r="E2315">
        <v>3.6</v>
      </c>
      <c r="F2315">
        <f t="shared" si="294"/>
        <v>12.2</v>
      </c>
      <c r="G2315">
        <f t="shared" si="289"/>
        <v>1</v>
      </c>
      <c r="H2315">
        <f t="shared" si="295"/>
        <v>1</v>
      </c>
      <c r="I2315">
        <v>2314</v>
      </c>
      <c r="J2315">
        <f t="shared" si="290"/>
        <v>0.85950259685554387</v>
      </c>
      <c r="K2315">
        <f t="shared" si="291"/>
        <v>-0.51113137841319856</v>
      </c>
      <c r="L2315">
        <f>VLOOKUP(D2315,[1]SOI!$A$1:$C$142,3)</f>
        <v>15.2</v>
      </c>
      <c r="M2315" s="2">
        <f t="shared" si="292"/>
        <v>1988.8890091237286</v>
      </c>
      <c r="N2315">
        <f t="shared" si="293"/>
        <v>-1182.7580096481415</v>
      </c>
      <c r="O2315" t="s">
        <v>8</v>
      </c>
    </row>
    <row r="2316" spans="1:15" x14ac:dyDescent="0.35">
      <c r="A2316">
        <v>2006</v>
      </c>
      <c r="B2316">
        <v>5</v>
      </c>
      <c r="C2316">
        <v>3</v>
      </c>
      <c r="D2316" s="1">
        <f t="shared" si="288"/>
        <v>38840</v>
      </c>
      <c r="E2316">
        <v>6.4</v>
      </c>
      <c r="F2316">
        <f t="shared" si="294"/>
        <v>3.6</v>
      </c>
      <c r="G2316">
        <f t="shared" si="289"/>
        <v>1</v>
      </c>
      <c r="H2316">
        <f t="shared" si="295"/>
        <v>1</v>
      </c>
      <c r="I2316">
        <v>2315</v>
      </c>
      <c r="J2316">
        <f t="shared" si="290"/>
        <v>0.85058316157789082</v>
      </c>
      <c r="K2316">
        <f t="shared" si="291"/>
        <v>-0.52584055115610817</v>
      </c>
      <c r="L2316">
        <f>VLOOKUP(D2316,[1]SOI!$A$1:$C$142,3)</f>
        <v>15.2</v>
      </c>
      <c r="M2316" s="2">
        <f t="shared" si="292"/>
        <v>1969.1000190528173</v>
      </c>
      <c r="N2316">
        <f t="shared" si="293"/>
        <v>-1217.3208759263905</v>
      </c>
      <c r="O2316" t="s">
        <v>8</v>
      </c>
    </row>
    <row r="2317" spans="1:15" x14ac:dyDescent="0.35">
      <c r="A2317">
        <v>2006</v>
      </c>
      <c r="B2317">
        <v>5</v>
      </c>
      <c r="C2317">
        <v>4</v>
      </c>
      <c r="D2317" s="1">
        <f t="shared" si="288"/>
        <v>38841</v>
      </c>
      <c r="E2317">
        <v>0</v>
      </c>
      <c r="F2317">
        <f t="shared" si="294"/>
        <v>6.4</v>
      </c>
      <c r="G2317">
        <f t="shared" si="289"/>
        <v>0</v>
      </c>
      <c r="H2317">
        <f t="shared" si="295"/>
        <v>1</v>
      </c>
      <c r="I2317">
        <v>2316</v>
      </c>
      <c r="J2317">
        <f t="shared" si="290"/>
        <v>0.84141202505815971</v>
      </c>
      <c r="K2317">
        <f t="shared" si="291"/>
        <v>-0.54039411921996972</v>
      </c>
      <c r="L2317">
        <f>VLOOKUP(D2317,[1]SOI!$A$1:$C$142,3)</f>
        <v>15.2</v>
      </c>
      <c r="M2317" s="2">
        <f t="shared" si="292"/>
        <v>1948.710250034698</v>
      </c>
      <c r="N2317">
        <f t="shared" si="293"/>
        <v>-1251.5527801134499</v>
      </c>
      <c r="O2317" t="s">
        <v>8</v>
      </c>
    </row>
    <row r="2318" spans="1:15" x14ac:dyDescent="0.35">
      <c r="A2318">
        <v>2006</v>
      </c>
      <c r="B2318">
        <v>5</v>
      </c>
      <c r="C2318">
        <v>5</v>
      </c>
      <c r="D2318" s="1">
        <f t="shared" si="288"/>
        <v>38842</v>
      </c>
      <c r="E2318">
        <v>0</v>
      </c>
      <c r="F2318">
        <f t="shared" si="294"/>
        <v>0</v>
      </c>
      <c r="G2318">
        <f t="shared" si="289"/>
        <v>0</v>
      </c>
      <c r="H2318">
        <f t="shared" si="295"/>
        <v>0</v>
      </c>
      <c r="I2318">
        <v>2317</v>
      </c>
      <c r="J2318">
        <f t="shared" si="290"/>
        <v>0.8319919011831961</v>
      </c>
      <c r="K2318">
        <f t="shared" si="291"/>
        <v>-0.55478777596984863</v>
      </c>
      <c r="L2318">
        <f>VLOOKUP(D2318,[1]SOI!$A$1:$C$142,3)</f>
        <v>15.2</v>
      </c>
      <c r="M2318" s="2">
        <f t="shared" si="292"/>
        <v>1927.7252350414653</v>
      </c>
      <c r="N2318">
        <f t="shared" si="293"/>
        <v>-1285.4432769221394</v>
      </c>
      <c r="O2318" t="s">
        <v>8</v>
      </c>
    </row>
    <row r="2319" spans="1:15" x14ac:dyDescent="0.35">
      <c r="A2319">
        <v>2006</v>
      </c>
      <c r="B2319">
        <v>5</v>
      </c>
      <c r="C2319">
        <v>6</v>
      </c>
      <c r="D2319" s="1">
        <f t="shared" si="288"/>
        <v>38843</v>
      </c>
      <c r="E2319">
        <v>11.8</v>
      </c>
      <c r="F2319">
        <f t="shared" si="294"/>
        <v>0</v>
      </c>
      <c r="G2319">
        <f t="shared" si="289"/>
        <v>1</v>
      </c>
      <c r="H2319">
        <f t="shared" si="295"/>
        <v>0</v>
      </c>
      <c r="I2319">
        <v>2318</v>
      </c>
      <c r="J2319">
        <f t="shared" si="290"/>
        <v>0.82232557751920965</v>
      </c>
      <c r="K2319">
        <f t="shared" si="291"/>
        <v>-0.56901726209114101</v>
      </c>
      <c r="L2319">
        <f>VLOOKUP(D2319,[1]SOI!$A$1:$C$142,3)</f>
        <v>15.2</v>
      </c>
      <c r="M2319" s="2">
        <f t="shared" si="292"/>
        <v>1906.1506886895279</v>
      </c>
      <c r="N2319">
        <f t="shared" si="293"/>
        <v>-1318.9820135272648</v>
      </c>
      <c r="O2319" t="s">
        <v>8</v>
      </c>
    </row>
    <row r="2320" spans="1:15" x14ac:dyDescent="0.35">
      <c r="A2320">
        <v>2006</v>
      </c>
      <c r="B2320">
        <v>5</v>
      </c>
      <c r="C2320">
        <v>7</v>
      </c>
      <c r="D2320" s="1">
        <f t="shared" si="288"/>
        <v>38844</v>
      </c>
      <c r="E2320">
        <v>6</v>
      </c>
      <c r="F2320">
        <f t="shared" si="294"/>
        <v>11.8</v>
      </c>
      <c r="G2320">
        <f t="shared" si="289"/>
        <v>1</v>
      </c>
      <c r="H2320">
        <f t="shared" si="295"/>
        <v>1</v>
      </c>
      <c r="I2320">
        <v>2319</v>
      </c>
      <c r="J2320">
        <f t="shared" si="290"/>
        <v>0.81241591448688899</v>
      </c>
      <c r="K2320">
        <f t="shared" si="291"/>
        <v>-0.58307836684997316</v>
      </c>
      <c r="L2320">
        <f>VLOOKUP(D2320,[1]SOI!$A$1:$C$142,3)</f>
        <v>15.2</v>
      </c>
      <c r="M2320" s="2">
        <f t="shared" si="292"/>
        <v>1883.9925056950956</v>
      </c>
      <c r="N2320">
        <f t="shared" si="293"/>
        <v>-1352.1587327250877</v>
      </c>
      <c r="O2320" t="s">
        <v>8</v>
      </c>
    </row>
    <row r="2321" spans="1:15" x14ac:dyDescent="0.35">
      <c r="A2321">
        <v>2006</v>
      </c>
      <c r="B2321">
        <v>5</v>
      </c>
      <c r="C2321">
        <v>8</v>
      </c>
      <c r="D2321" s="1">
        <f t="shared" si="288"/>
        <v>38845</v>
      </c>
      <c r="E2321">
        <v>5.2</v>
      </c>
      <c r="F2321">
        <f t="shared" si="294"/>
        <v>6</v>
      </c>
      <c r="G2321">
        <f t="shared" si="289"/>
        <v>1</v>
      </c>
      <c r="H2321">
        <f t="shared" si="295"/>
        <v>1</v>
      </c>
      <c r="I2321">
        <v>2320</v>
      </c>
      <c r="J2321">
        <f t="shared" si="290"/>
        <v>0.80226584451496064</v>
      </c>
      <c r="K2321">
        <f t="shared" si="291"/>
        <v>-0.5969669293392198</v>
      </c>
      <c r="L2321">
        <f>VLOOKUP(D2321,[1]SOI!$A$1:$C$142,3)</f>
        <v>15.2</v>
      </c>
      <c r="M2321" s="2">
        <f t="shared" si="292"/>
        <v>1861.2567592747087</v>
      </c>
      <c r="N2321">
        <f t="shared" si="293"/>
        <v>-1384.9632760669899</v>
      </c>
      <c r="O2321" t="s">
        <v>8</v>
      </c>
    </row>
    <row r="2322" spans="1:15" x14ac:dyDescent="0.35">
      <c r="A2322">
        <v>2006</v>
      </c>
      <c r="B2322">
        <v>5</v>
      </c>
      <c r="C2322">
        <v>9</v>
      </c>
      <c r="D2322" s="1">
        <f t="shared" si="288"/>
        <v>38846</v>
      </c>
      <c r="E2322">
        <v>0</v>
      </c>
      <c r="F2322">
        <f t="shared" si="294"/>
        <v>5.2</v>
      </c>
      <c r="G2322">
        <f t="shared" si="289"/>
        <v>0</v>
      </c>
      <c r="H2322">
        <f t="shared" si="295"/>
        <v>1</v>
      </c>
      <c r="I2322">
        <v>2321</v>
      </c>
      <c r="J2322">
        <f t="shared" si="290"/>
        <v>0.79187837117241977</v>
      </c>
      <c r="K2322">
        <f t="shared" si="291"/>
        <v>-0.6106788397098063</v>
      </c>
      <c r="L2322">
        <f>VLOOKUP(D2322,[1]SOI!$A$1:$C$142,3)</f>
        <v>15.2</v>
      </c>
      <c r="M2322" s="2">
        <f t="shared" si="292"/>
        <v>1837.9496994911863</v>
      </c>
      <c r="N2322">
        <f t="shared" si="293"/>
        <v>-1417.3855869664603</v>
      </c>
      <c r="O2322" t="s">
        <v>8</v>
      </c>
    </row>
    <row r="2323" spans="1:15" x14ac:dyDescent="0.35">
      <c r="A2323">
        <v>2006</v>
      </c>
      <c r="B2323">
        <v>5</v>
      </c>
      <c r="C2323">
        <v>10</v>
      </c>
      <c r="D2323" s="1">
        <f t="shared" si="288"/>
        <v>38847</v>
      </c>
      <c r="E2323">
        <v>7</v>
      </c>
      <c r="F2323">
        <f t="shared" si="294"/>
        <v>0</v>
      </c>
      <c r="G2323">
        <f t="shared" si="289"/>
        <v>1</v>
      </c>
      <c r="H2323">
        <f t="shared" si="295"/>
        <v>0</v>
      </c>
      <c r="I2323">
        <v>2322</v>
      </c>
      <c r="J2323">
        <f t="shared" si="290"/>
        <v>0.7812565682797511</v>
      </c>
      <c r="K2323">
        <f t="shared" si="291"/>
        <v>-0.62421004038684491</v>
      </c>
      <c r="L2323">
        <f>VLOOKUP(D2323,[1]SOI!$A$1:$C$142,3)</f>
        <v>15.2</v>
      </c>
      <c r="M2323" s="2">
        <f t="shared" si="292"/>
        <v>1814.077751545582</v>
      </c>
      <c r="N2323">
        <f t="shared" si="293"/>
        <v>-1449.4157137782538</v>
      </c>
      <c r="O2323" t="s">
        <v>8</v>
      </c>
    </row>
    <row r="2324" spans="1:15" x14ac:dyDescent="0.35">
      <c r="A2324">
        <v>2006</v>
      </c>
      <c r="B2324">
        <v>5</v>
      </c>
      <c r="C2324">
        <v>11</v>
      </c>
      <c r="D2324" s="1">
        <f t="shared" si="288"/>
        <v>38848</v>
      </c>
      <c r="E2324">
        <v>0</v>
      </c>
      <c r="F2324">
        <f t="shared" si="294"/>
        <v>7</v>
      </c>
      <c r="G2324">
        <f t="shared" si="289"/>
        <v>0</v>
      </c>
      <c r="H2324">
        <f t="shared" si="295"/>
        <v>1</v>
      </c>
      <c r="I2324">
        <v>2323</v>
      </c>
      <c r="J2324">
        <f t="shared" si="290"/>
        <v>0.77040357899931888</v>
      </c>
      <c r="K2324">
        <f t="shared" si="291"/>
        <v>-0.63755652727035916</v>
      </c>
      <c r="L2324">
        <f>VLOOKUP(D2324,[1]SOI!$A$1:$C$142,3)</f>
        <v>15.2</v>
      </c>
      <c r="M2324" s="2">
        <f t="shared" si="292"/>
        <v>1789.6475140154178</v>
      </c>
      <c r="N2324">
        <f t="shared" si="293"/>
        <v>-1481.0438128490443</v>
      </c>
      <c r="O2324" t="s">
        <v>8</v>
      </c>
    </row>
    <row r="2325" spans="1:15" x14ac:dyDescent="0.35">
      <c r="A2325">
        <v>2006</v>
      </c>
      <c r="B2325">
        <v>5</v>
      </c>
      <c r="C2325">
        <v>12</v>
      </c>
      <c r="D2325" s="1">
        <f t="shared" si="288"/>
        <v>38849</v>
      </c>
      <c r="E2325">
        <v>0</v>
      </c>
      <c r="F2325">
        <f t="shared" si="294"/>
        <v>0</v>
      </c>
      <c r="G2325">
        <f t="shared" si="289"/>
        <v>0</v>
      </c>
      <c r="H2325">
        <f t="shared" si="295"/>
        <v>0</v>
      </c>
      <c r="I2325">
        <v>2324</v>
      </c>
      <c r="J2325">
        <f t="shared" si="290"/>
        <v>0.75932261490525899</v>
      </c>
      <c r="K2325">
        <f t="shared" si="291"/>
        <v>-0.65071435092015595</v>
      </c>
      <c r="L2325">
        <f>VLOOKUP(D2325,[1]SOI!$A$1:$C$142,3)</f>
        <v>15.2</v>
      </c>
      <c r="M2325" s="2">
        <f t="shared" si="292"/>
        <v>1764.665757039822</v>
      </c>
      <c r="N2325">
        <f t="shared" si="293"/>
        <v>-1512.2601515384424</v>
      </c>
      <c r="O2325" t="s">
        <v>8</v>
      </c>
    </row>
    <row r="2326" spans="1:15" x14ac:dyDescent="0.35">
      <c r="A2326">
        <v>2006</v>
      </c>
      <c r="B2326">
        <v>5</v>
      </c>
      <c r="C2326">
        <v>13</v>
      </c>
      <c r="D2326" s="1">
        <f t="shared" si="288"/>
        <v>38850</v>
      </c>
      <c r="E2326">
        <v>0</v>
      </c>
      <c r="F2326">
        <f t="shared" si="294"/>
        <v>0</v>
      </c>
      <c r="G2326">
        <f t="shared" si="289"/>
        <v>0</v>
      </c>
      <c r="H2326">
        <f t="shared" si="295"/>
        <v>0</v>
      </c>
      <c r="I2326">
        <v>2325</v>
      </c>
      <c r="J2326">
        <f t="shared" si="290"/>
        <v>0.74801695503312704</v>
      </c>
      <c r="K2326">
        <f t="shared" si="291"/>
        <v>-0.66367961772452277</v>
      </c>
      <c r="L2326">
        <f>VLOOKUP(D2326,[1]SOI!$A$1:$C$142,3)</f>
        <v>15.2</v>
      </c>
      <c r="M2326" s="2">
        <f t="shared" si="292"/>
        <v>1739.1394204520204</v>
      </c>
      <c r="N2326">
        <f t="shared" si="293"/>
        <v>-1543.0551112095154</v>
      </c>
      <c r="O2326" t="s">
        <v>8</v>
      </c>
    </row>
    <row r="2327" spans="1:15" x14ac:dyDescent="0.35">
      <c r="A2327">
        <v>2006</v>
      </c>
      <c r="B2327">
        <v>5</v>
      </c>
      <c r="C2327">
        <v>14</v>
      </c>
      <c r="D2327" s="1">
        <f t="shared" si="288"/>
        <v>38851</v>
      </c>
      <c r="E2327">
        <v>0</v>
      </c>
      <c r="F2327">
        <f t="shared" si="294"/>
        <v>0</v>
      </c>
      <c r="G2327">
        <f t="shared" si="289"/>
        <v>0</v>
      </c>
      <c r="H2327">
        <f t="shared" si="295"/>
        <v>0</v>
      </c>
      <c r="I2327">
        <v>2326</v>
      </c>
      <c r="J2327">
        <f t="shared" si="290"/>
        <v>0.73648994490956066</v>
      </c>
      <c r="K2327">
        <f t="shared" si="291"/>
        <v>-0.6764484910524321</v>
      </c>
      <c r="L2327">
        <f>VLOOKUP(D2327,[1]SOI!$A$1:$C$142,3)</f>
        <v>15.2</v>
      </c>
      <c r="M2327" s="2">
        <f t="shared" si="292"/>
        <v>1713.075611859638</v>
      </c>
      <c r="N2327">
        <f t="shared" si="293"/>
        <v>-1573.4191901879572</v>
      </c>
      <c r="O2327" t="s">
        <v>8</v>
      </c>
    </row>
    <row r="2328" spans="1:15" x14ac:dyDescent="0.35">
      <c r="A2328">
        <v>2006</v>
      </c>
      <c r="B2328">
        <v>5</v>
      </c>
      <c r="C2328">
        <v>15</v>
      </c>
      <c r="D2328" s="1">
        <f t="shared" si="288"/>
        <v>38852</v>
      </c>
      <c r="E2328">
        <v>2.6</v>
      </c>
      <c r="F2328">
        <f t="shared" si="294"/>
        <v>0</v>
      </c>
      <c r="G2328">
        <f t="shared" si="289"/>
        <v>1</v>
      </c>
      <c r="H2328">
        <f t="shared" si="295"/>
        <v>0</v>
      </c>
      <c r="I2328">
        <v>2327</v>
      </c>
      <c r="J2328">
        <f t="shared" si="290"/>
        <v>0.72474499556230676</v>
      </c>
      <c r="K2328">
        <f t="shared" si="291"/>
        <v>-0.6890171923888343</v>
      </c>
      <c r="L2328">
        <f>VLOOKUP(D2328,[1]SOI!$A$1:$C$142,3)</f>
        <v>15.2</v>
      </c>
      <c r="M2328" s="2">
        <f t="shared" si="292"/>
        <v>1686.4816046734879</v>
      </c>
      <c r="N2328">
        <f t="shared" si="293"/>
        <v>-1603.3430066888175</v>
      </c>
      <c r="O2328" t="s">
        <v>8</v>
      </c>
    </row>
    <row r="2329" spans="1:15" x14ac:dyDescent="0.35">
      <c r="A2329">
        <v>2006</v>
      </c>
      <c r="B2329">
        <v>5</v>
      </c>
      <c r="C2329">
        <v>16</v>
      </c>
      <c r="D2329" s="1">
        <f t="shared" si="288"/>
        <v>38853</v>
      </c>
      <c r="E2329">
        <v>0</v>
      </c>
      <c r="F2329">
        <f t="shared" si="294"/>
        <v>2.6</v>
      </c>
      <c r="G2329">
        <f t="shared" si="289"/>
        <v>0</v>
      </c>
      <c r="H2329">
        <f t="shared" si="295"/>
        <v>1</v>
      </c>
      <c r="I2329">
        <v>2328</v>
      </c>
      <c r="J2329">
        <f t="shared" si="290"/>
        <v>0.71278558251085</v>
      </c>
      <c r="K2329">
        <f t="shared" si="291"/>
        <v>-0.70138200245277771</v>
      </c>
      <c r="L2329">
        <f>VLOOKUP(D2329,[1]SOI!$A$1:$C$142,3)</f>
        <v>15.2</v>
      </c>
      <c r="M2329" s="2">
        <f t="shared" si="292"/>
        <v>1659.3648360852587</v>
      </c>
      <c r="N2329">
        <f t="shared" si="293"/>
        <v>-1632.8173017100664</v>
      </c>
      <c r="O2329" t="s">
        <v>8</v>
      </c>
    </row>
    <row r="2330" spans="1:15" x14ac:dyDescent="0.35">
      <c r="A2330">
        <v>2006</v>
      </c>
      <c r="B2330">
        <v>5</v>
      </c>
      <c r="C2330">
        <v>17</v>
      </c>
      <c r="D2330" s="1">
        <f t="shared" si="288"/>
        <v>38854</v>
      </c>
      <c r="E2330">
        <v>0</v>
      </c>
      <c r="F2330">
        <f t="shared" si="294"/>
        <v>0</v>
      </c>
      <c r="G2330">
        <f t="shared" si="289"/>
        <v>0</v>
      </c>
      <c r="H2330">
        <f t="shared" si="295"/>
        <v>0</v>
      </c>
      <c r="I2330">
        <v>2329</v>
      </c>
      <c r="J2330">
        <f t="shared" si="290"/>
        <v>0.70061524473790593</v>
      </c>
      <c r="K2330">
        <f t="shared" si="291"/>
        <v>-0.71353926229804909</v>
      </c>
      <c r="L2330">
        <f>VLOOKUP(D2330,[1]SOI!$A$1:$C$142,3)</f>
        <v>15.2</v>
      </c>
      <c r="M2330" s="2">
        <f t="shared" si="292"/>
        <v>1631.7329049945829</v>
      </c>
      <c r="N2330">
        <f t="shared" si="293"/>
        <v>-1661.8329418921564</v>
      </c>
      <c r="O2330" t="s">
        <v>8</v>
      </c>
    </row>
    <row r="2331" spans="1:15" x14ac:dyDescent="0.35">
      <c r="A2331">
        <v>2006</v>
      </c>
      <c r="B2331">
        <v>5</v>
      </c>
      <c r="C2331">
        <v>18</v>
      </c>
      <c r="D2331" s="1">
        <f t="shared" si="288"/>
        <v>38855</v>
      </c>
      <c r="E2331">
        <v>0</v>
      </c>
      <c r="F2331">
        <f t="shared" si="294"/>
        <v>0</v>
      </c>
      <c r="G2331">
        <f t="shared" si="289"/>
        <v>0</v>
      </c>
      <c r="H2331">
        <f t="shared" si="295"/>
        <v>0</v>
      </c>
      <c r="I2331">
        <v>2330</v>
      </c>
      <c r="J2331">
        <f t="shared" si="290"/>
        <v>0.68823758364222853</v>
      </c>
      <c r="K2331">
        <f t="shared" si="291"/>
        <v>-0.72548537439586358</v>
      </c>
      <c r="L2331">
        <f>VLOOKUP(D2331,[1]SOI!$A$1:$C$142,3)</f>
        <v>15.2</v>
      </c>
      <c r="M2331" s="2">
        <f t="shared" si="292"/>
        <v>1603.5935698863925</v>
      </c>
      <c r="N2331">
        <f t="shared" si="293"/>
        <v>-1690.3809223423621</v>
      </c>
      <c r="O2331" t="s">
        <v>8</v>
      </c>
    </row>
    <row r="2332" spans="1:15" x14ac:dyDescent="0.35">
      <c r="A2332">
        <v>2006</v>
      </c>
      <c r="B2332">
        <v>5</v>
      </c>
      <c r="C2332">
        <v>19</v>
      </c>
      <c r="D2332" s="1">
        <f t="shared" si="288"/>
        <v>38856</v>
      </c>
      <c r="E2332">
        <v>0</v>
      </c>
      <c r="F2332">
        <f t="shared" si="294"/>
        <v>0</v>
      </c>
      <c r="G2332">
        <f t="shared" si="289"/>
        <v>0</v>
      </c>
      <c r="H2332">
        <f t="shared" si="295"/>
        <v>0</v>
      </c>
      <c r="I2332">
        <v>2331</v>
      </c>
      <c r="J2332">
        <f t="shared" si="290"/>
        <v>0.67565626197287343</v>
      </c>
      <c r="K2332">
        <f t="shared" si="291"/>
        <v>-0.73721680369945708</v>
      </c>
      <c r="L2332">
        <f>VLOOKUP(D2332,[1]SOI!$A$1:$C$142,3)</f>
        <v>15.2</v>
      </c>
      <c r="M2332" s="2">
        <f t="shared" si="292"/>
        <v>1574.954746658768</v>
      </c>
      <c r="N2332">
        <f t="shared" si="293"/>
        <v>-1718.4523694234344</v>
      </c>
      <c r="O2332" t="s">
        <v>8</v>
      </c>
    </row>
    <row r="2333" spans="1:15" x14ac:dyDescent="0.35">
      <c r="A2333">
        <v>2006</v>
      </c>
      <c r="B2333">
        <v>5</v>
      </c>
      <c r="C2333">
        <v>20</v>
      </c>
      <c r="D2333" s="1">
        <f t="shared" si="288"/>
        <v>38857</v>
      </c>
      <c r="E2333">
        <v>0</v>
      </c>
      <c r="F2333">
        <f t="shared" si="294"/>
        <v>0</v>
      </c>
      <c r="G2333">
        <f t="shared" si="289"/>
        <v>0</v>
      </c>
      <c r="H2333">
        <f t="shared" si="295"/>
        <v>0</v>
      </c>
      <c r="I2333">
        <v>2332</v>
      </c>
      <c r="J2333">
        <f t="shared" si="290"/>
        <v>0.66287500274533651</v>
      </c>
      <c r="K2333">
        <f t="shared" si="291"/>
        <v>-0.74873007869015795</v>
      </c>
      <c r="L2333">
        <f>VLOOKUP(D2333,[1]SOI!$A$1:$C$142,3)</f>
        <v>15.2</v>
      </c>
      <c r="M2333" s="2">
        <f t="shared" si="292"/>
        <v>1545.8245064021248</v>
      </c>
      <c r="N2333">
        <f t="shared" si="293"/>
        <v>-1746.0385435054484</v>
      </c>
      <c r="O2333" t="s">
        <v>8</v>
      </c>
    </row>
    <row r="2334" spans="1:15" x14ac:dyDescent="0.35">
      <c r="A2334">
        <v>2006</v>
      </c>
      <c r="B2334">
        <v>5</v>
      </c>
      <c r="C2334">
        <v>21</v>
      </c>
      <c r="D2334" s="1">
        <f t="shared" si="288"/>
        <v>38858</v>
      </c>
      <c r="E2334">
        <v>0</v>
      </c>
      <c r="F2334">
        <f t="shared" si="294"/>
        <v>0</v>
      </c>
      <c r="G2334">
        <f t="shared" si="289"/>
        <v>0</v>
      </c>
      <c r="H2334">
        <f t="shared" si="295"/>
        <v>0</v>
      </c>
      <c r="I2334">
        <v>2333</v>
      </c>
      <c r="J2334">
        <f t="shared" si="290"/>
        <v>0.64989758813985932</v>
      </c>
      <c r="K2334">
        <f t="shared" si="291"/>
        <v>-0.76002179240466106</v>
      </c>
      <c r="L2334">
        <f>VLOOKUP(D2334,[1]SOI!$A$1:$C$142,3)</f>
        <v>15.2</v>
      </c>
      <c r="M2334" s="2">
        <f t="shared" si="292"/>
        <v>1516.2110731302919</v>
      </c>
      <c r="N2334">
        <f t="shared" si="293"/>
        <v>-1773.1308416800744</v>
      </c>
      <c r="O2334" t="s">
        <v>8</v>
      </c>
    </row>
    <row r="2335" spans="1:15" x14ac:dyDescent="0.35">
      <c r="A2335">
        <v>2006</v>
      </c>
      <c r="B2335">
        <v>5</v>
      </c>
      <c r="C2335">
        <v>22</v>
      </c>
      <c r="D2335" s="1">
        <f t="shared" si="288"/>
        <v>38859</v>
      </c>
      <c r="E2335">
        <v>7.6</v>
      </c>
      <c r="F2335">
        <f t="shared" si="294"/>
        <v>0</v>
      </c>
      <c r="G2335">
        <f t="shared" si="289"/>
        <v>1</v>
      </c>
      <c r="H2335">
        <f t="shared" si="295"/>
        <v>0</v>
      </c>
      <c r="I2335">
        <v>2334</v>
      </c>
      <c r="J2335">
        <f t="shared" si="290"/>
        <v>0.63672785838219947</v>
      </c>
      <c r="K2335">
        <f t="shared" si="291"/>
        <v>-0.7710886034432215</v>
      </c>
      <c r="L2335">
        <f>VLOOKUP(D2335,[1]SOI!$A$1:$C$142,3)</f>
        <v>15.2</v>
      </c>
      <c r="M2335" s="2">
        <f t="shared" si="292"/>
        <v>1486.1228214640537</v>
      </c>
      <c r="N2335">
        <f t="shared" si="293"/>
        <v>-1799.7208004364791</v>
      </c>
      <c r="O2335" t="s">
        <v>8</v>
      </c>
    </row>
    <row r="2336" spans="1:15" x14ac:dyDescent="0.35">
      <c r="A2336">
        <v>2006</v>
      </c>
      <c r="B2336">
        <v>5</v>
      </c>
      <c r="C2336">
        <v>23</v>
      </c>
      <c r="D2336" s="1">
        <f t="shared" si="288"/>
        <v>38860</v>
      </c>
      <c r="E2336">
        <v>1.4</v>
      </c>
      <c r="F2336">
        <f t="shared" si="294"/>
        <v>7.6</v>
      </c>
      <c r="G2336">
        <f t="shared" si="289"/>
        <v>1</v>
      </c>
      <c r="H2336">
        <f t="shared" si="295"/>
        <v>1</v>
      </c>
      <c r="I2336">
        <v>2335</v>
      </c>
      <c r="J2336">
        <f t="shared" si="290"/>
        <v>0.62336971060727808</v>
      </c>
      <c r="K2336">
        <f t="shared" si="291"/>
        <v>-0.78192723695840038</v>
      </c>
      <c r="L2336">
        <f>VLOOKUP(D2336,[1]SOI!$A$1:$C$142,3)</f>
        <v>15.2</v>
      </c>
      <c r="M2336" s="2">
        <f t="shared" si="292"/>
        <v>1455.5682742679944</v>
      </c>
      <c r="N2336">
        <f t="shared" si="293"/>
        <v>-1825.8000982978649</v>
      </c>
      <c r="O2336" t="s">
        <v>8</v>
      </c>
    </row>
    <row r="2337" spans="1:15" x14ac:dyDescent="0.35">
      <c r="A2337">
        <v>2006</v>
      </c>
      <c r="B2337">
        <v>5</v>
      </c>
      <c r="C2337">
        <v>24</v>
      </c>
      <c r="D2337" s="1">
        <f t="shared" si="288"/>
        <v>38861</v>
      </c>
      <c r="E2337">
        <v>0</v>
      </c>
      <c r="F2337">
        <f t="shared" si="294"/>
        <v>1.4</v>
      </c>
      <c r="G2337">
        <f t="shared" si="289"/>
        <v>0</v>
      </c>
      <c r="H2337">
        <f t="shared" si="295"/>
        <v>1</v>
      </c>
      <c r="I2337">
        <v>2336</v>
      </c>
      <c r="J2337">
        <f t="shared" si="290"/>
        <v>0.60982709770593369</v>
      </c>
      <c r="K2337">
        <f t="shared" si="291"/>
        <v>-0.79253448562416362</v>
      </c>
      <c r="L2337">
        <f>VLOOKUP(D2337,[1]SOI!$A$1:$C$142,3)</f>
        <v>15.2</v>
      </c>
      <c r="M2337" s="2">
        <f t="shared" si="292"/>
        <v>1424.5561002410611</v>
      </c>
      <c r="N2337">
        <f t="shared" si="293"/>
        <v>-1851.3605584180461</v>
      </c>
      <c r="O2337" t="s">
        <v>8</v>
      </c>
    </row>
    <row r="2338" spans="1:15" x14ac:dyDescent="0.35">
      <c r="A2338">
        <v>2006</v>
      </c>
      <c r="B2338">
        <v>5</v>
      </c>
      <c r="C2338">
        <v>25</v>
      </c>
      <c r="D2338" s="1">
        <f t="shared" si="288"/>
        <v>38862</v>
      </c>
      <c r="E2338">
        <v>0</v>
      </c>
      <c r="F2338">
        <f t="shared" si="294"/>
        <v>0</v>
      </c>
      <c r="G2338">
        <f t="shared" si="289"/>
        <v>0</v>
      </c>
      <c r="H2338">
        <f t="shared" si="295"/>
        <v>0</v>
      </c>
      <c r="I2338">
        <v>2337</v>
      </c>
      <c r="J2338">
        <f t="shared" si="290"/>
        <v>0.59610402715520361</v>
      </c>
      <c r="K2338">
        <f t="shared" si="291"/>
        <v>-0.80290721058497683</v>
      </c>
      <c r="L2338">
        <f>VLOOKUP(D2338,[1]SOI!$A$1:$C$142,3)</f>
        <v>15.2</v>
      </c>
      <c r="M2338" s="2">
        <f t="shared" si="292"/>
        <v>1393.0951114617108</v>
      </c>
      <c r="N2338">
        <f t="shared" si="293"/>
        <v>-1876.3941511370908</v>
      </c>
      <c r="O2338" t="s">
        <v>8</v>
      </c>
    </row>
    <row r="2339" spans="1:15" x14ac:dyDescent="0.35">
      <c r="A2339">
        <v>2006</v>
      </c>
      <c r="B2339">
        <v>5</v>
      </c>
      <c r="C2339">
        <v>26</v>
      </c>
      <c r="D2339" s="1">
        <f t="shared" si="288"/>
        <v>38863</v>
      </c>
      <c r="E2339">
        <v>0</v>
      </c>
      <c r="F2339">
        <f t="shared" si="294"/>
        <v>0</v>
      </c>
      <c r="G2339">
        <f t="shared" si="289"/>
        <v>0</v>
      </c>
      <c r="H2339">
        <f t="shared" si="295"/>
        <v>0</v>
      </c>
      <c r="I2339">
        <v>2338</v>
      </c>
      <c r="J2339">
        <f t="shared" si="290"/>
        <v>0.58220455983244657</v>
      </c>
      <c r="K2339">
        <f t="shared" si="291"/>
        <v>-0.81304234238464301</v>
      </c>
      <c r="L2339">
        <f>VLOOKUP(D2339,[1]SOI!$A$1:$C$142,3)</f>
        <v>15.2</v>
      </c>
      <c r="M2339" s="2">
        <f t="shared" si="292"/>
        <v>1361.19426088826</v>
      </c>
      <c r="N2339">
        <f t="shared" si="293"/>
        <v>-1900.8929964952954</v>
      </c>
      <c r="O2339" t="s">
        <v>8</v>
      </c>
    </row>
    <row r="2340" spans="1:15" x14ac:dyDescent="0.35">
      <c r="A2340">
        <v>2006</v>
      </c>
      <c r="B2340">
        <v>5</v>
      </c>
      <c r="C2340">
        <v>27</v>
      </c>
      <c r="D2340" s="1">
        <f t="shared" si="288"/>
        <v>38864</v>
      </c>
      <c r="E2340">
        <v>0</v>
      </c>
      <c r="F2340">
        <f t="shared" si="294"/>
        <v>0</v>
      </c>
      <c r="G2340">
        <f t="shared" si="289"/>
        <v>0</v>
      </c>
      <c r="H2340">
        <f t="shared" si="295"/>
        <v>0</v>
      </c>
      <c r="I2340">
        <v>2339</v>
      </c>
      <c r="J2340">
        <f t="shared" si="290"/>
        <v>0.56813280881367023</v>
      </c>
      <c r="K2340">
        <f t="shared" si="291"/>
        <v>-0.82293688187460012</v>
      </c>
      <c r="L2340">
        <f>VLOOKUP(D2340,[1]SOI!$A$1:$C$142,3)</f>
        <v>15.2</v>
      </c>
      <c r="M2340" s="2">
        <f t="shared" si="292"/>
        <v>1328.8626398151746</v>
      </c>
      <c r="N2340">
        <f t="shared" si="293"/>
        <v>-1924.8493667046896</v>
      </c>
      <c r="O2340" t="s">
        <v>8</v>
      </c>
    </row>
    <row r="2341" spans="1:15" x14ac:dyDescent="0.35">
      <c r="A2341">
        <v>2006</v>
      </c>
      <c r="B2341">
        <v>5</v>
      </c>
      <c r="C2341">
        <v>28</v>
      </c>
      <c r="D2341" s="1">
        <f t="shared" si="288"/>
        <v>38865</v>
      </c>
      <c r="E2341">
        <v>0</v>
      </c>
      <c r="F2341">
        <f t="shared" si="294"/>
        <v>0</v>
      </c>
      <c r="G2341">
        <f t="shared" si="289"/>
        <v>0</v>
      </c>
      <c r="H2341">
        <f t="shared" si="295"/>
        <v>0</v>
      </c>
      <c r="I2341">
        <v>2340</v>
      </c>
      <c r="J2341">
        <f t="shared" si="290"/>
        <v>0.5538929381563823</v>
      </c>
      <c r="K2341">
        <f t="shared" si="291"/>
        <v>-0.83258790110143333</v>
      </c>
      <c r="L2341">
        <f>VLOOKUP(D2341,[1]SOI!$A$1:$C$142,3)</f>
        <v>15.2</v>
      </c>
      <c r="M2341" s="2">
        <f t="shared" si="292"/>
        <v>1296.1094752859346</v>
      </c>
      <c r="N2341">
        <f t="shared" si="293"/>
        <v>-1948.255688577354</v>
      </c>
      <c r="O2341" t="s">
        <v>8</v>
      </c>
    </row>
    <row r="2342" spans="1:15" x14ac:dyDescent="0.35">
      <c r="A2342">
        <v>2006</v>
      </c>
      <c r="B2342">
        <v>5</v>
      </c>
      <c r="C2342">
        <v>29</v>
      </c>
      <c r="D2342" s="1">
        <f t="shared" si="288"/>
        <v>38866</v>
      </c>
      <c r="E2342">
        <v>2.8</v>
      </c>
      <c r="F2342">
        <f t="shared" si="294"/>
        <v>0</v>
      </c>
      <c r="G2342">
        <f t="shared" si="289"/>
        <v>1</v>
      </c>
      <c r="H2342">
        <f t="shared" si="295"/>
        <v>0</v>
      </c>
      <c r="I2342">
        <v>2341</v>
      </c>
      <c r="J2342">
        <f t="shared" si="290"/>
        <v>0.53948916166741334</v>
      </c>
      <c r="K2342">
        <f t="shared" si="291"/>
        <v>-0.84199254417327929</v>
      </c>
      <c r="L2342">
        <f>VLOOKUP(D2342,[1]SOI!$A$1:$C$142,3)</f>
        <v>15.2</v>
      </c>
      <c r="M2342" s="2">
        <f t="shared" si="292"/>
        <v>1262.9441274634146</v>
      </c>
      <c r="N2342">
        <f t="shared" si="293"/>
        <v>-1971.1045459096467</v>
      </c>
      <c r="O2342" t="s">
        <v>8</v>
      </c>
    </row>
    <row r="2343" spans="1:15" x14ac:dyDescent="0.35">
      <c r="A2343">
        <v>2006</v>
      </c>
      <c r="B2343">
        <v>5</v>
      </c>
      <c r="C2343">
        <v>30</v>
      </c>
      <c r="D2343" s="1">
        <f t="shared" si="288"/>
        <v>38867</v>
      </c>
      <c r="E2343">
        <v>0.4</v>
      </c>
      <c r="F2343">
        <f t="shared" si="294"/>
        <v>2.8</v>
      </c>
      <c r="G2343">
        <f t="shared" si="289"/>
        <v>1</v>
      </c>
      <c r="H2343">
        <f t="shared" si="295"/>
        <v>1</v>
      </c>
      <c r="I2343">
        <v>2342</v>
      </c>
      <c r="J2343">
        <f t="shared" si="290"/>
        <v>0.52492574165596095</v>
      </c>
      <c r="K2343">
        <f t="shared" si="291"/>
        <v>-0.85114802810494683</v>
      </c>
      <c r="L2343">
        <f>VLOOKUP(D2343,[1]SOI!$A$1:$C$142,3)</f>
        <v>15.2</v>
      </c>
      <c r="M2343" s="2">
        <f t="shared" si="292"/>
        <v>1229.3760869582607</v>
      </c>
      <c r="N2343">
        <f t="shared" si="293"/>
        <v>-1993.3886818217854</v>
      </c>
      <c r="O2343" t="s">
        <v>8</v>
      </c>
    </row>
    <row r="2344" spans="1:15" x14ac:dyDescent="0.35">
      <c r="A2344">
        <v>2006</v>
      </c>
      <c r="B2344">
        <v>5</v>
      </c>
      <c r="C2344">
        <v>31</v>
      </c>
      <c r="D2344" s="1">
        <f t="shared" si="288"/>
        <v>38868</v>
      </c>
      <c r="E2344">
        <v>0</v>
      </c>
      <c r="F2344">
        <f t="shared" si="294"/>
        <v>0.4</v>
      </c>
      <c r="G2344">
        <f t="shared" si="289"/>
        <v>0</v>
      </c>
      <c r="H2344">
        <f t="shared" si="295"/>
        <v>1</v>
      </c>
      <c r="I2344">
        <v>2343</v>
      </c>
      <c r="J2344">
        <f t="shared" si="290"/>
        <v>0.51020698767230943</v>
      </c>
      <c r="K2344">
        <f t="shared" si="291"/>
        <v>-0.86005164364144315</v>
      </c>
      <c r="L2344">
        <f>VLOOKUP(D2344,[1]SOI!$A$1:$C$142,3)</f>
        <v>15.2</v>
      </c>
      <c r="M2344" s="2">
        <f t="shared" si="292"/>
        <v>1195.414972116221</v>
      </c>
      <c r="N2344">
        <f t="shared" si="293"/>
        <v>-2015.1010010519012</v>
      </c>
      <c r="O2344" t="s">
        <v>8</v>
      </c>
    </row>
    <row r="2345" spans="1:15" x14ac:dyDescent="0.35">
      <c r="A2345">
        <v>2006</v>
      </c>
      <c r="B2345">
        <v>6</v>
      </c>
      <c r="C2345">
        <v>1</v>
      </c>
      <c r="D2345" s="1">
        <f t="shared" si="288"/>
        <v>38869</v>
      </c>
      <c r="E2345">
        <v>0</v>
      </c>
      <c r="F2345">
        <f t="shared" si="294"/>
        <v>0</v>
      </c>
      <c r="G2345">
        <f t="shared" si="289"/>
        <v>0</v>
      </c>
      <c r="H2345">
        <f t="shared" si="295"/>
        <v>0</v>
      </c>
      <c r="I2345">
        <v>2344</v>
      </c>
      <c r="J2345">
        <f t="shared" si="290"/>
        <v>0.49533725523257072</v>
      </c>
      <c r="K2345">
        <f t="shared" si="291"/>
        <v>-0.868700756059682</v>
      </c>
      <c r="L2345">
        <f>VLOOKUP(D2345,[1]SOI!$A$1:$C$142,3)</f>
        <v>-9.8000000000000007</v>
      </c>
      <c r="M2345" s="2">
        <f t="shared" si="292"/>
        <v>1161.0705262651459</v>
      </c>
      <c r="N2345">
        <f t="shared" si="293"/>
        <v>-2036.2345722038947</v>
      </c>
      <c r="O2345" t="s">
        <v>8</v>
      </c>
    </row>
    <row r="2346" spans="1:15" x14ac:dyDescent="0.35">
      <c r="A2346">
        <v>2006</v>
      </c>
      <c r="B2346">
        <v>6</v>
      </c>
      <c r="C2346">
        <v>2</v>
      </c>
      <c r="D2346" s="1">
        <f t="shared" si="288"/>
        <v>38870</v>
      </c>
      <c r="E2346">
        <v>0.2</v>
      </c>
      <c r="F2346">
        <f t="shared" si="294"/>
        <v>0</v>
      </c>
      <c r="G2346">
        <f t="shared" si="289"/>
        <v>1</v>
      </c>
      <c r="H2346">
        <f t="shared" si="295"/>
        <v>0</v>
      </c>
      <c r="I2346">
        <v>2345</v>
      </c>
      <c r="J2346">
        <f t="shared" si="290"/>
        <v>0.4803209445297924</v>
      </c>
      <c r="K2346">
        <f t="shared" si="291"/>
        <v>-0.87709280594815509</v>
      </c>
      <c r="L2346">
        <f>VLOOKUP(D2346,[1]SOI!$A$1:$C$142,3)</f>
        <v>-9.8000000000000007</v>
      </c>
      <c r="M2346" s="2">
        <f t="shared" si="292"/>
        <v>1126.3526149223633</v>
      </c>
      <c r="N2346">
        <f t="shared" si="293"/>
        <v>-2056.7826299484236</v>
      </c>
      <c r="O2346" t="s">
        <v>8</v>
      </c>
    </row>
    <row r="2347" spans="1:15" x14ac:dyDescent="0.35">
      <c r="A2347">
        <v>2006</v>
      </c>
      <c r="B2347">
        <v>6</v>
      </c>
      <c r="C2347">
        <v>3</v>
      </c>
      <c r="D2347" s="1">
        <f t="shared" si="288"/>
        <v>38871</v>
      </c>
      <c r="E2347">
        <v>1.8</v>
      </c>
      <c r="F2347">
        <f t="shared" si="294"/>
        <v>0.2</v>
      </c>
      <c r="G2347">
        <f t="shared" si="289"/>
        <v>1</v>
      </c>
      <c r="H2347">
        <f t="shared" si="295"/>
        <v>1</v>
      </c>
      <c r="I2347">
        <v>2346</v>
      </c>
      <c r="J2347">
        <f t="shared" si="290"/>
        <v>0.46516249913190683</v>
      </c>
      <c r="K2347">
        <f t="shared" si="291"/>
        <v>-0.88522530996428184</v>
      </c>
      <c r="L2347">
        <f>VLOOKUP(D2347,[1]SOI!$A$1:$C$142,3)</f>
        <v>-9.8000000000000007</v>
      </c>
      <c r="M2347" s="2">
        <f t="shared" si="292"/>
        <v>1091.2712229634535</v>
      </c>
      <c r="N2347">
        <f t="shared" si="293"/>
        <v>-2076.7385771762051</v>
      </c>
      <c r="O2347" t="s">
        <v>8</v>
      </c>
    </row>
    <row r="2348" spans="1:15" x14ac:dyDescent="0.35">
      <c r="A2348">
        <v>2006</v>
      </c>
      <c r="B2348">
        <v>6</v>
      </c>
      <c r="C2348">
        <v>4</v>
      </c>
      <c r="D2348" s="1">
        <f t="shared" si="288"/>
        <v>38872</v>
      </c>
      <c r="E2348">
        <v>0</v>
      </c>
      <c r="F2348">
        <f t="shared" si="294"/>
        <v>1.8</v>
      </c>
      <c r="G2348">
        <f t="shared" si="289"/>
        <v>0</v>
      </c>
      <c r="H2348">
        <f t="shared" si="295"/>
        <v>1</v>
      </c>
      <c r="I2348">
        <v>2347</v>
      </c>
      <c r="J2348">
        <f t="shared" si="290"/>
        <v>0.44986640466678313</v>
      </c>
      <c r="K2348">
        <f t="shared" si="291"/>
        <v>-0.89309586156928422</v>
      </c>
      <c r="L2348">
        <f>VLOOKUP(D2348,[1]SOI!$A$1:$C$142,3)</f>
        <v>-9.8000000000000007</v>
      </c>
      <c r="M2348" s="2">
        <f t="shared" si="292"/>
        <v>1055.8364517529401</v>
      </c>
      <c r="N2348">
        <f t="shared" si="293"/>
        <v>-2096.09598710311</v>
      </c>
      <c r="O2348" t="s">
        <v>8</v>
      </c>
    </row>
    <row r="2349" spans="1:15" x14ac:dyDescent="0.35">
      <c r="A2349">
        <v>2006</v>
      </c>
      <c r="B2349">
        <v>6</v>
      </c>
      <c r="C2349">
        <v>5</v>
      </c>
      <c r="D2349" s="1">
        <f t="shared" si="288"/>
        <v>38873</v>
      </c>
      <c r="E2349">
        <v>0</v>
      </c>
      <c r="F2349">
        <f t="shared" si="294"/>
        <v>0</v>
      </c>
      <c r="G2349">
        <f t="shared" si="289"/>
        <v>0</v>
      </c>
      <c r="H2349">
        <f t="shared" si="295"/>
        <v>0</v>
      </c>
      <c r="I2349">
        <v>2348</v>
      </c>
      <c r="J2349">
        <f t="shared" si="290"/>
        <v>0.43443718749486399</v>
      </c>
      <c r="K2349">
        <f t="shared" si="291"/>
        <v>-0.90070213174031755</v>
      </c>
      <c r="L2349">
        <f>VLOOKUP(D2349,[1]SOI!$A$1:$C$142,3)</f>
        <v>-9.8000000000000007</v>
      </c>
      <c r="M2349" s="2">
        <f t="shared" si="292"/>
        <v>1020.0585162379407</v>
      </c>
      <c r="N2349">
        <f t="shared" si="293"/>
        <v>-2114.8486053262654</v>
      </c>
      <c r="O2349" t="s">
        <v>8</v>
      </c>
    </row>
    <row r="2350" spans="1:15" x14ac:dyDescent="0.35">
      <c r="A2350">
        <v>2006</v>
      </c>
      <c r="B2350">
        <v>6</v>
      </c>
      <c r="C2350">
        <v>6</v>
      </c>
      <c r="D2350" s="1">
        <f t="shared" si="288"/>
        <v>38874</v>
      </c>
      <c r="E2350">
        <v>0</v>
      </c>
      <c r="F2350">
        <f t="shared" si="294"/>
        <v>0</v>
      </c>
      <c r="G2350">
        <f t="shared" si="289"/>
        <v>0</v>
      </c>
      <c r="H2350">
        <f t="shared" si="295"/>
        <v>0</v>
      </c>
      <c r="I2350">
        <v>2349</v>
      </c>
      <c r="J2350">
        <f t="shared" si="290"/>
        <v>0.41887941336974288</v>
      </c>
      <c r="K2350">
        <f t="shared" si="291"/>
        <v>-0.90804186965966505</v>
      </c>
      <c r="L2350">
        <f>VLOOKUP(D2350,[1]SOI!$A$1:$C$142,3)</f>
        <v>-9.8000000000000007</v>
      </c>
      <c r="M2350" s="2">
        <f t="shared" si="292"/>
        <v>983.94774200552604</v>
      </c>
      <c r="N2350">
        <f t="shared" si="293"/>
        <v>-2132.9903518305532</v>
      </c>
      <c r="O2350" t="s">
        <v>8</v>
      </c>
    </row>
    <row r="2351" spans="1:15" x14ac:dyDescent="0.35">
      <c r="A2351">
        <v>2006</v>
      </c>
      <c r="B2351">
        <v>6</v>
      </c>
      <c r="C2351">
        <v>7</v>
      </c>
      <c r="D2351" s="1">
        <f t="shared" si="288"/>
        <v>38875</v>
      </c>
      <c r="E2351">
        <v>0</v>
      </c>
      <c r="F2351">
        <f t="shared" si="294"/>
        <v>0</v>
      </c>
      <c r="G2351">
        <f t="shared" si="289"/>
        <v>0</v>
      </c>
      <c r="H2351">
        <f t="shared" si="295"/>
        <v>0</v>
      </c>
      <c r="I2351">
        <v>2350</v>
      </c>
      <c r="J2351">
        <f t="shared" si="290"/>
        <v>0.40319768608709039</v>
      </c>
      <c r="K2351">
        <f t="shared" si="291"/>
        <v>-0.91511290338078843</v>
      </c>
      <c r="L2351">
        <f>VLOOKUP(D2351,[1]SOI!$A$1:$C$142,3)</f>
        <v>-9.8000000000000007</v>
      </c>
      <c r="M2351" s="2">
        <f t="shared" si="292"/>
        <v>947.51456230466238</v>
      </c>
      <c r="N2351">
        <f t="shared" si="293"/>
        <v>-2150.5153229448529</v>
      </c>
      <c r="O2351" t="s">
        <v>8</v>
      </c>
    </row>
    <row r="2352" spans="1:15" x14ac:dyDescent="0.35">
      <c r="A2352">
        <v>2006</v>
      </c>
      <c r="B2352">
        <v>6</v>
      </c>
      <c r="C2352">
        <v>8</v>
      </c>
      <c r="D2352" s="1">
        <f t="shared" si="288"/>
        <v>38876</v>
      </c>
      <c r="E2352">
        <v>0</v>
      </c>
      <c r="F2352">
        <f t="shared" si="294"/>
        <v>0</v>
      </c>
      <c r="G2352">
        <f t="shared" si="289"/>
        <v>0</v>
      </c>
      <c r="H2352">
        <f t="shared" si="295"/>
        <v>0</v>
      </c>
      <c r="I2352">
        <v>2351</v>
      </c>
      <c r="J2352">
        <f t="shared" si="290"/>
        <v>0.38739664612229124</v>
      </c>
      <c r="K2352">
        <f t="shared" si="291"/>
        <v>-0.92191314047105344</v>
      </c>
      <c r="L2352">
        <f>VLOOKUP(D2352,[1]SOI!$A$1:$C$142,3)</f>
        <v>-9.8000000000000007</v>
      </c>
      <c r="M2352" s="2">
        <f t="shared" si="292"/>
        <v>910.76951503350676</v>
      </c>
      <c r="N2352">
        <f t="shared" si="293"/>
        <v>-2167.4177932474468</v>
      </c>
      <c r="O2352" t="s">
        <v>8</v>
      </c>
    </row>
    <row r="2353" spans="1:15" x14ac:dyDescent="0.35">
      <c r="A2353">
        <v>2006</v>
      </c>
      <c r="B2353">
        <v>6</v>
      </c>
      <c r="C2353">
        <v>9</v>
      </c>
      <c r="D2353" s="1">
        <f t="shared" si="288"/>
        <v>38877</v>
      </c>
      <c r="E2353">
        <v>0</v>
      </c>
      <c r="F2353">
        <f t="shared" si="294"/>
        <v>0</v>
      </c>
      <c r="G2353">
        <f t="shared" si="289"/>
        <v>0</v>
      </c>
      <c r="H2353">
        <f t="shared" si="295"/>
        <v>0</v>
      </c>
      <c r="I2353">
        <v>2352</v>
      </c>
      <c r="J2353">
        <f t="shared" si="290"/>
        <v>0.37148096925728519</v>
      </c>
      <c r="K2353">
        <f t="shared" si="291"/>
        <v>-0.92844056863089941</v>
      </c>
      <c r="L2353">
        <f>VLOOKUP(D2353,[1]SOI!$A$1:$C$142,3)</f>
        <v>-9.8000000000000007</v>
      </c>
      <c r="M2353" s="2">
        <f t="shared" si="292"/>
        <v>873.72323969313481</v>
      </c>
      <c r="N2353">
        <f t="shared" si="293"/>
        <v>-2183.6922174198753</v>
      </c>
      <c r="O2353" t="s">
        <v>8</v>
      </c>
    </row>
    <row r="2354" spans="1:15" x14ac:dyDescent="0.35">
      <c r="A2354">
        <v>2006</v>
      </c>
      <c r="B2354">
        <v>6</v>
      </c>
      <c r="C2354">
        <v>10</v>
      </c>
      <c r="D2354" s="1">
        <f t="shared" si="288"/>
        <v>38878</v>
      </c>
      <c r="E2354">
        <v>0</v>
      </c>
      <c r="F2354">
        <f t="shared" si="294"/>
        <v>0</v>
      </c>
      <c r="G2354">
        <f t="shared" si="289"/>
        <v>0</v>
      </c>
      <c r="H2354">
        <f t="shared" si="295"/>
        <v>0</v>
      </c>
      <c r="I2354">
        <v>2353</v>
      </c>
      <c r="J2354">
        <f t="shared" si="290"/>
        <v>0.35545536519693499</v>
      </c>
      <c r="K2354">
        <f t="shared" si="291"/>
        <v>-0.93469325628930988</v>
      </c>
      <c r="L2354">
        <f>VLOOKUP(D2354,[1]SOI!$A$1:$C$142,3)</f>
        <v>-9.8000000000000007</v>
      </c>
      <c r="M2354" s="2">
        <f t="shared" si="292"/>
        <v>836.38647430838807</v>
      </c>
      <c r="N2354">
        <f t="shared" si="293"/>
        <v>-2199.3332320487461</v>
      </c>
      <c r="O2354" t="s">
        <v>8</v>
      </c>
    </row>
    <row r="2355" spans="1:15" x14ac:dyDescent="0.35">
      <c r="A2355">
        <v>2006</v>
      </c>
      <c r="B2355">
        <v>6</v>
      </c>
      <c r="C2355">
        <v>11</v>
      </c>
      <c r="D2355" s="1">
        <f t="shared" si="288"/>
        <v>38879</v>
      </c>
      <c r="E2355">
        <v>0</v>
      </c>
      <c r="F2355">
        <f t="shared" si="294"/>
        <v>0</v>
      </c>
      <c r="G2355">
        <f t="shared" si="289"/>
        <v>0</v>
      </c>
      <c r="H2355">
        <f t="shared" si="295"/>
        <v>0</v>
      </c>
      <c r="I2355">
        <v>2354</v>
      </c>
      <c r="J2355">
        <f t="shared" si="290"/>
        <v>0.33932457617528949</v>
      </c>
      <c r="K2355">
        <f t="shared" si="291"/>
        <v>-0.94066935317541844</v>
      </c>
      <c r="L2355">
        <f>VLOOKUP(D2355,[1]SOI!$A$1:$C$142,3)</f>
        <v>-9.8000000000000007</v>
      </c>
      <c r="M2355" s="2">
        <f t="shared" si="292"/>
        <v>798.77005231663145</v>
      </c>
      <c r="N2355">
        <f t="shared" si="293"/>
        <v>-2214.3356573749352</v>
      </c>
      <c r="O2355" t="s">
        <v>8</v>
      </c>
    </row>
    <row r="2356" spans="1:15" x14ac:dyDescent="0.35">
      <c r="A2356">
        <v>2006</v>
      </c>
      <c r="B2356">
        <v>6</v>
      </c>
      <c r="C2356">
        <v>12</v>
      </c>
      <c r="D2356" s="1">
        <f t="shared" si="288"/>
        <v>38880</v>
      </c>
      <c r="E2356">
        <v>1.6</v>
      </c>
      <c r="F2356">
        <f t="shared" si="294"/>
        <v>0</v>
      </c>
      <c r="G2356">
        <f t="shared" si="289"/>
        <v>1</v>
      </c>
      <c r="H2356">
        <f t="shared" si="295"/>
        <v>0</v>
      </c>
      <c r="I2356">
        <v>2355</v>
      </c>
      <c r="J2356">
        <f t="shared" si="290"/>
        <v>0.32309337555235296</v>
      </c>
      <c r="K2356">
        <f t="shared" si="291"/>
        <v>-0.94636709086600546</v>
      </c>
      <c r="L2356">
        <f>VLOOKUP(D2356,[1]SOI!$A$1:$C$142,3)</f>
        <v>-9.8000000000000007</v>
      </c>
      <c r="M2356" s="2">
        <f t="shared" si="292"/>
        <v>760.88489942579122</v>
      </c>
      <c r="N2356">
        <f t="shared" si="293"/>
        <v>-2228.6944989894428</v>
      </c>
      <c r="O2356" t="s">
        <v>8</v>
      </c>
    </row>
    <row r="2357" spans="1:15" x14ac:dyDescent="0.35">
      <c r="A2357">
        <v>2006</v>
      </c>
      <c r="B2357">
        <v>6</v>
      </c>
      <c r="C2357">
        <v>13</v>
      </c>
      <c r="D2357" s="1">
        <f t="shared" si="288"/>
        <v>38881</v>
      </c>
      <c r="E2357">
        <v>0</v>
      </c>
      <c r="F2357">
        <f t="shared" si="294"/>
        <v>1.6</v>
      </c>
      <c r="G2357">
        <f t="shared" si="289"/>
        <v>0</v>
      </c>
      <c r="H2357">
        <f t="shared" si="295"/>
        <v>1</v>
      </c>
      <c r="I2357">
        <v>2356</v>
      </c>
      <c r="J2357">
        <f t="shared" si="290"/>
        <v>0.30676656640150446</v>
      </c>
      <c r="K2357">
        <f t="shared" si="291"/>
        <v>-0.95178478330882732</v>
      </c>
      <c r="L2357">
        <f>VLOOKUP(D2357,[1]SOI!$A$1:$C$142,3)</f>
        <v>-9.8000000000000007</v>
      </c>
      <c r="M2357" s="2">
        <f t="shared" si="292"/>
        <v>722.74203044194451</v>
      </c>
      <c r="N2357">
        <f t="shared" si="293"/>
        <v>-2242.4049494755973</v>
      </c>
      <c r="O2357" t="s">
        <v>8</v>
      </c>
    </row>
    <row r="2358" spans="1:15" x14ac:dyDescent="0.35">
      <c r="A2358">
        <v>2006</v>
      </c>
      <c r="B2358">
        <v>6</v>
      </c>
      <c r="C2358">
        <v>14</v>
      </c>
      <c r="D2358" s="1">
        <f t="shared" si="288"/>
        <v>38882</v>
      </c>
      <c r="E2358">
        <v>0</v>
      </c>
      <c r="F2358">
        <f t="shared" si="294"/>
        <v>0</v>
      </c>
      <c r="G2358">
        <f t="shared" si="289"/>
        <v>0</v>
      </c>
      <c r="H2358">
        <f t="shared" si="295"/>
        <v>0</v>
      </c>
      <c r="I2358">
        <v>2357</v>
      </c>
      <c r="J2358">
        <f t="shared" si="290"/>
        <v>0.29034898008826499</v>
      </c>
      <c r="K2358">
        <f t="shared" si="291"/>
        <v>-0.95692082732152106</v>
      </c>
      <c r="L2358">
        <f>VLOOKUP(D2358,[1]SOI!$A$1:$C$142,3)</f>
        <v>-9.8000000000000007</v>
      </c>
      <c r="M2358" s="2">
        <f t="shared" si="292"/>
        <v>684.35254606804062</v>
      </c>
      <c r="N2358">
        <f t="shared" si="293"/>
        <v>-2255.4623899968251</v>
      </c>
      <c r="O2358" t="s">
        <v>8</v>
      </c>
    </row>
    <row r="2359" spans="1:15" x14ac:dyDescent="0.35">
      <c r="A2359">
        <v>2006</v>
      </c>
      <c r="B2359">
        <v>6</v>
      </c>
      <c r="C2359">
        <v>15</v>
      </c>
      <c r="D2359" s="1">
        <f t="shared" si="288"/>
        <v>38883</v>
      </c>
      <c r="E2359">
        <v>0</v>
      </c>
      <c r="F2359">
        <f t="shared" si="294"/>
        <v>0</v>
      </c>
      <c r="G2359">
        <f t="shared" si="289"/>
        <v>0</v>
      </c>
      <c r="H2359">
        <f t="shared" si="295"/>
        <v>0</v>
      </c>
      <c r="I2359">
        <v>2358</v>
      </c>
      <c r="J2359">
        <f t="shared" si="290"/>
        <v>0.27384547484055832</v>
      </c>
      <c r="K2359">
        <f t="shared" si="291"/>
        <v>-0.9617737030660326</v>
      </c>
      <c r="L2359">
        <f>VLOOKUP(D2359,[1]SOI!$A$1:$C$142,3)</f>
        <v>-9.8000000000000007</v>
      </c>
      <c r="M2359" s="2">
        <f t="shared" si="292"/>
        <v>645.72762967403651</v>
      </c>
      <c r="N2359">
        <f t="shared" si="293"/>
        <v>-2267.8623918297048</v>
      </c>
      <c r="O2359" t="s">
        <v>8</v>
      </c>
    </row>
    <row r="2360" spans="1:15" x14ac:dyDescent="0.35">
      <c r="A2360">
        <v>2006</v>
      </c>
      <c r="B2360">
        <v>6</v>
      </c>
      <c r="C2360">
        <v>16</v>
      </c>
      <c r="D2360" s="1">
        <f t="shared" si="288"/>
        <v>38884</v>
      </c>
      <c r="E2360">
        <v>1.4</v>
      </c>
      <c r="F2360">
        <f t="shared" si="294"/>
        <v>0</v>
      </c>
      <c r="G2360">
        <f t="shared" si="289"/>
        <v>1</v>
      </c>
      <c r="H2360">
        <f t="shared" si="295"/>
        <v>0</v>
      </c>
      <c r="I2360">
        <v>2359</v>
      </c>
      <c r="J2360">
        <f t="shared" si="290"/>
        <v>0.25726093431108943</v>
      </c>
      <c r="K2360">
        <f t="shared" si="291"/>
        <v>-0.96634197449835801</v>
      </c>
      <c r="L2360">
        <f>VLOOKUP(D2360,[1]SOI!$A$1:$C$142,3)</f>
        <v>-9.8000000000000007</v>
      </c>
      <c r="M2360" s="2">
        <f t="shared" si="292"/>
        <v>606.87854403986</v>
      </c>
      <c r="N2360">
        <f t="shared" si="293"/>
        <v>-2279.6007178416266</v>
      </c>
      <c r="O2360" t="s">
        <v>8</v>
      </c>
    </row>
    <row r="2361" spans="1:15" x14ac:dyDescent="0.35">
      <c r="A2361">
        <v>2006</v>
      </c>
      <c r="B2361">
        <v>6</v>
      </c>
      <c r="C2361">
        <v>17</v>
      </c>
      <c r="D2361" s="1">
        <f t="shared" si="288"/>
        <v>38885</v>
      </c>
      <c r="E2361">
        <v>0</v>
      </c>
      <c r="F2361">
        <f t="shared" si="294"/>
        <v>1.4</v>
      </c>
      <c r="G2361">
        <f t="shared" si="289"/>
        <v>0</v>
      </c>
      <c r="H2361">
        <f t="shared" si="295"/>
        <v>1</v>
      </c>
      <c r="I2361">
        <v>2360</v>
      </c>
      <c r="J2361">
        <f t="shared" si="290"/>
        <v>0.24060026613222751</v>
      </c>
      <c r="K2361">
        <f t="shared" si="291"/>
        <v>-0.97062428979348203</v>
      </c>
      <c r="L2361">
        <f>VLOOKUP(D2361,[1]SOI!$A$1:$C$142,3)</f>
        <v>-9.8000000000000007</v>
      </c>
      <c r="M2361" s="2">
        <f t="shared" si="292"/>
        <v>567.81662807205691</v>
      </c>
      <c r="N2361">
        <f t="shared" si="293"/>
        <v>-2290.6733239126174</v>
      </c>
      <c r="O2361" t="s">
        <v>8</v>
      </c>
    </row>
    <row r="2362" spans="1:15" x14ac:dyDescent="0.35">
      <c r="A2362">
        <v>2006</v>
      </c>
      <c r="B2362">
        <v>6</v>
      </c>
      <c r="C2362">
        <v>18</v>
      </c>
      <c r="D2362" s="1">
        <f t="shared" si="288"/>
        <v>38886</v>
      </c>
      <c r="E2362">
        <v>0</v>
      </c>
      <c r="F2362">
        <f t="shared" si="294"/>
        <v>0</v>
      </c>
      <c r="G2362">
        <f t="shared" si="289"/>
        <v>0</v>
      </c>
      <c r="H2362">
        <f t="shared" si="295"/>
        <v>0</v>
      </c>
      <c r="I2362">
        <v>2361</v>
      </c>
      <c r="J2362">
        <f t="shared" si="290"/>
        <v>0.22386840046373097</v>
      </c>
      <c r="K2362">
        <f t="shared" si="291"/>
        <v>-0.97461938174541274</v>
      </c>
      <c r="L2362">
        <f>VLOOKUP(D2362,[1]SOI!$A$1:$C$142,3)</f>
        <v>-9.8000000000000007</v>
      </c>
      <c r="M2362" s="2">
        <f t="shared" si="292"/>
        <v>528.55329349486885</v>
      </c>
      <c r="N2362">
        <f t="shared" si="293"/>
        <v>-2301.0763603009195</v>
      </c>
      <c r="O2362" t="s">
        <v>8</v>
      </c>
    </row>
    <row r="2363" spans="1:15" x14ac:dyDescent="0.35">
      <c r="A2363">
        <v>2006</v>
      </c>
      <c r="B2363">
        <v>6</v>
      </c>
      <c r="C2363">
        <v>19</v>
      </c>
      <c r="D2363" s="1">
        <f t="shared" si="288"/>
        <v>38887</v>
      </c>
      <c r="E2363">
        <v>0</v>
      </c>
      <c r="F2363">
        <f t="shared" si="294"/>
        <v>0</v>
      </c>
      <c r="G2363">
        <f t="shared" si="289"/>
        <v>0</v>
      </c>
      <c r="H2363">
        <f t="shared" si="295"/>
        <v>0</v>
      </c>
      <c r="I2363">
        <v>2362</v>
      </c>
      <c r="J2363">
        <f t="shared" si="290"/>
        <v>0.20707028853384096</v>
      </c>
      <c r="K2363">
        <f t="shared" si="291"/>
        <v>-0.97832606814216694</v>
      </c>
      <c r="L2363">
        <f>VLOOKUP(D2363,[1]SOI!$A$1:$C$142,3)</f>
        <v>-9.8000000000000007</v>
      </c>
      <c r="M2363" s="2">
        <f t="shared" si="292"/>
        <v>489.10002151693237</v>
      </c>
      <c r="N2363">
        <f t="shared" si="293"/>
        <v>-2310.8061729517981</v>
      </c>
      <c r="O2363" t="s">
        <v>8</v>
      </c>
    </row>
    <row r="2364" spans="1:15" x14ac:dyDescent="0.35">
      <c r="A2364">
        <v>2006</v>
      </c>
      <c r="B2364">
        <v>6</v>
      </c>
      <c r="C2364">
        <v>20</v>
      </c>
      <c r="D2364" s="1">
        <f t="shared" si="288"/>
        <v>38888</v>
      </c>
      <c r="E2364">
        <v>0</v>
      </c>
      <c r="F2364">
        <f t="shared" si="294"/>
        <v>0</v>
      </c>
      <c r="G2364">
        <f t="shared" si="289"/>
        <v>0</v>
      </c>
      <c r="H2364">
        <f t="shared" si="295"/>
        <v>0</v>
      </c>
      <c r="I2364">
        <v>2363</v>
      </c>
      <c r="J2364">
        <f t="shared" si="290"/>
        <v>0.1902109011741332</v>
      </c>
      <c r="K2364">
        <f t="shared" si="291"/>
        <v>-0.98174325211560487</v>
      </c>
      <c r="L2364">
        <f>VLOOKUP(D2364,[1]SOI!$A$1:$C$142,3)</f>
        <v>-9.8000000000000007</v>
      </c>
      <c r="M2364" s="2">
        <f t="shared" si="292"/>
        <v>449.46835947447676</v>
      </c>
      <c r="N2364">
        <f t="shared" si="293"/>
        <v>-2319.8593047491745</v>
      </c>
      <c r="O2364" t="s">
        <v>8</v>
      </c>
    </row>
    <row r="2365" spans="1:15" x14ac:dyDescent="0.35">
      <c r="A2365">
        <v>2006</v>
      </c>
      <c r="B2365">
        <v>6</v>
      </c>
      <c r="C2365">
        <v>21</v>
      </c>
      <c r="D2365" s="1">
        <f t="shared" si="288"/>
        <v>38889</v>
      </c>
      <c r="E2365">
        <v>0</v>
      </c>
      <c r="F2365">
        <f t="shared" si="294"/>
        <v>0</v>
      </c>
      <c r="G2365">
        <f t="shared" si="289"/>
        <v>0</v>
      </c>
      <c r="H2365">
        <f t="shared" si="295"/>
        <v>0</v>
      </c>
      <c r="I2365">
        <v>2364</v>
      </c>
      <c r="J2365">
        <f t="shared" si="290"/>
        <v>0.17329522734857583</v>
      </c>
      <c r="K2365">
        <f t="shared" si="291"/>
        <v>-0.98486992246601046</v>
      </c>
      <c r="L2365">
        <f>VLOOKUP(D2365,[1]SOI!$A$1:$C$142,3)</f>
        <v>-9.8000000000000007</v>
      </c>
      <c r="M2365" s="2">
        <f t="shared" si="292"/>
        <v>409.66991745203325</v>
      </c>
      <c r="N2365">
        <f t="shared" si="293"/>
        <v>-2328.2324967096488</v>
      </c>
      <c r="O2365" t="s">
        <v>8</v>
      </c>
    </row>
    <row r="2366" spans="1:15" x14ac:dyDescent="0.35">
      <c r="A2366">
        <v>2006</v>
      </c>
      <c r="B2366">
        <v>6</v>
      </c>
      <c r="C2366">
        <v>22</v>
      </c>
      <c r="D2366" s="1">
        <f t="shared" si="288"/>
        <v>38890</v>
      </c>
      <c r="E2366">
        <v>0</v>
      </c>
      <c r="F2366">
        <f t="shared" si="294"/>
        <v>0</v>
      </c>
      <c r="G2366">
        <f t="shared" si="289"/>
        <v>0</v>
      </c>
      <c r="H2366">
        <f t="shared" si="295"/>
        <v>0</v>
      </c>
      <c r="I2366">
        <v>2365</v>
      </c>
      <c r="J2366">
        <f t="shared" si="290"/>
        <v>0.15632827267718696</v>
      </c>
      <c r="K2366">
        <f t="shared" si="291"/>
        <v>-0.98770515396132619</v>
      </c>
      <c r="L2366">
        <f>VLOOKUP(D2366,[1]SOI!$A$1:$C$142,3)</f>
        <v>-9.8000000000000007</v>
      </c>
      <c r="M2366" s="2">
        <f t="shared" si="292"/>
        <v>369.71636488154718</v>
      </c>
      <c r="N2366">
        <f t="shared" si="293"/>
        <v>-2335.9226891185363</v>
      </c>
      <c r="O2366" t="s">
        <v>8</v>
      </c>
    </row>
    <row r="2367" spans="1:15" x14ac:dyDescent="0.35">
      <c r="A2367">
        <v>2006</v>
      </c>
      <c r="B2367">
        <v>6</v>
      </c>
      <c r="C2367">
        <v>23</v>
      </c>
      <c r="D2367" s="1">
        <f t="shared" si="288"/>
        <v>38891</v>
      </c>
      <c r="E2367">
        <v>3.4</v>
      </c>
      <c r="F2367">
        <f t="shared" si="294"/>
        <v>0</v>
      </c>
      <c r="G2367">
        <f t="shared" si="289"/>
        <v>1</v>
      </c>
      <c r="H2367">
        <f t="shared" si="295"/>
        <v>0</v>
      </c>
      <c r="I2367">
        <v>2366</v>
      </c>
      <c r="J2367">
        <f t="shared" si="290"/>
        <v>0.13931505795483284</v>
      </c>
      <c r="K2367">
        <f t="shared" si="291"/>
        <v>-0.99024810761093685</v>
      </c>
      <c r="L2367">
        <f>VLOOKUP(D2367,[1]SOI!$A$1:$C$142,3)</f>
        <v>-9.8000000000000007</v>
      </c>
      <c r="M2367" s="2">
        <f t="shared" si="292"/>
        <v>329.61942712113449</v>
      </c>
      <c r="N2367">
        <f t="shared" si="293"/>
        <v>-2342.9270226074764</v>
      </c>
      <c r="O2367" t="s">
        <v>8</v>
      </c>
    </row>
    <row r="2368" spans="1:15" x14ac:dyDescent="0.35">
      <c r="A2368">
        <v>2006</v>
      </c>
      <c r="B2368">
        <v>6</v>
      </c>
      <c r="C2368">
        <v>24</v>
      </c>
      <c r="D2368" s="1">
        <f t="shared" si="288"/>
        <v>38892</v>
      </c>
      <c r="E2368">
        <v>0</v>
      </c>
      <c r="F2368">
        <f t="shared" si="294"/>
        <v>3.4</v>
      </c>
      <c r="G2368">
        <f t="shared" si="289"/>
        <v>0</v>
      </c>
      <c r="H2368">
        <f t="shared" si="295"/>
        <v>1</v>
      </c>
      <c r="I2368">
        <v>2367</v>
      </c>
      <c r="J2368">
        <f t="shared" si="290"/>
        <v>0.12226061766546611</v>
      </c>
      <c r="K2368">
        <f t="shared" si="291"/>
        <v>-0.99249803091394528</v>
      </c>
      <c r="L2368">
        <f>VLOOKUP(D2368,[1]SOI!$A$1:$C$142,3)</f>
        <v>-9.8000000000000007</v>
      </c>
      <c r="M2368" s="2">
        <f t="shared" si="292"/>
        <v>289.39088201415831</v>
      </c>
      <c r="N2368">
        <f t="shared" si="293"/>
        <v>-2349.2428391733083</v>
      </c>
      <c r="O2368" t="s">
        <v>8</v>
      </c>
    </row>
    <row r="2369" spans="1:15" x14ac:dyDescent="0.35">
      <c r="A2369">
        <v>2006</v>
      </c>
      <c r="B2369">
        <v>6</v>
      </c>
      <c r="C2369">
        <v>25</v>
      </c>
      <c r="D2369" s="1">
        <f t="shared" si="288"/>
        <v>38893</v>
      </c>
      <c r="E2369">
        <v>0.4</v>
      </c>
      <c r="F2369">
        <f t="shared" si="294"/>
        <v>0</v>
      </c>
      <c r="G2369">
        <f t="shared" si="289"/>
        <v>1</v>
      </c>
      <c r="H2369">
        <f t="shared" si="295"/>
        <v>0</v>
      </c>
      <c r="I2369">
        <v>2368</v>
      </c>
      <c r="J2369">
        <f t="shared" si="290"/>
        <v>0.10516999849234798</v>
      </c>
      <c r="K2369">
        <f t="shared" si="291"/>
        <v>-0.9944542580818484</v>
      </c>
      <c r="L2369">
        <f>VLOOKUP(D2369,[1]SOI!$A$1:$C$142,3)</f>
        <v>-9.8000000000000007</v>
      </c>
      <c r="M2369" s="2">
        <f t="shared" si="292"/>
        <v>249.04255642988002</v>
      </c>
      <c r="N2369">
        <f t="shared" si="293"/>
        <v>-2354.867683137817</v>
      </c>
      <c r="O2369" t="s">
        <v>8</v>
      </c>
    </row>
    <row r="2370" spans="1:15" x14ac:dyDescent="0.35">
      <c r="A2370">
        <v>2006</v>
      </c>
      <c r="B2370">
        <v>6</v>
      </c>
      <c r="C2370">
        <v>26</v>
      </c>
      <c r="D2370" s="1">
        <f t="shared" si="288"/>
        <v>38894</v>
      </c>
      <c r="E2370">
        <v>0</v>
      </c>
      <c r="F2370">
        <f t="shared" si="294"/>
        <v>0.4</v>
      </c>
      <c r="G2370">
        <f t="shared" si="289"/>
        <v>0</v>
      </c>
      <c r="H2370">
        <f t="shared" si="295"/>
        <v>1</v>
      </c>
      <c r="I2370">
        <v>2369</v>
      </c>
      <c r="J2370">
        <f t="shared" si="290"/>
        <v>8.8048257824660456E-2</v>
      </c>
      <c r="K2370">
        <f t="shared" si="291"/>
        <v>-0.99611621023555386</v>
      </c>
      <c r="L2370">
        <f>VLOOKUP(D2370,[1]SOI!$A$1:$C$142,3)</f>
        <v>-9.8000000000000007</v>
      </c>
      <c r="M2370" s="2">
        <f t="shared" si="292"/>
        <v>208.58632278662063</v>
      </c>
      <c r="N2370">
        <f t="shared" si="293"/>
        <v>-2359.7993020480271</v>
      </c>
      <c r="O2370" t="s">
        <v>8</v>
      </c>
    </row>
    <row r="2371" spans="1:15" x14ac:dyDescent="0.35">
      <c r="A2371">
        <v>2006</v>
      </c>
      <c r="B2371">
        <v>6</v>
      </c>
      <c r="C2371">
        <v>27</v>
      </c>
      <c r="D2371" s="1">
        <f t="shared" ref="D2371:D2434" si="296">DATE(A2371,B2371,C2371)</f>
        <v>38895</v>
      </c>
      <c r="E2371">
        <v>0</v>
      </c>
      <c r="F2371">
        <f t="shared" si="294"/>
        <v>0</v>
      </c>
      <c r="G2371">
        <f t="shared" ref="G2371:G2434" si="297">IF(E2371=0,0,1)</f>
        <v>0</v>
      </c>
      <c r="H2371">
        <f t="shared" si="295"/>
        <v>0</v>
      </c>
      <c r="I2371">
        <v>2370</v>
      </c>
      <c r="J2371">
        <f t="shared" ref="J2371:J2434" si="298">SIN(2*PI()*I2371/365.25)</f>
        <v>7.0900462260915301E-2</v>
      </c>
      <c r="K2371">
        <f t="shared" ref="K2371:K2434" si="299">COS(2*PI()*I2371/365.25)</f>
        <v>-0.99748339557668253</v>
      </c>
      <c r="L2371">
        <f>VLOOKUP(D2371,[1]SOI!$A$1:$C$142,3)</f>
        <v>-9.8000000000000007</v>
      </c>
      <c r="M2371" s="2">
        <f t="shared" ref="M2371:M2434" si="300">I2371*J2371</f>
        <v>168.03409555836927</v>
      </c>
      <c r="N2371">
        <f t="shared" ref="N2371:N2434" si="301">I2371*K2371</f>
        <v>-2364.0356475167378</v>
      </c>
      <c r="O2371" t="s">
        <v>8</v>
      </c>
    </row>
    <row r="2372" spans="1:15" x14ac:dyDescent="0.35">
      <c r="A2372">
        <v>2006</v>
      </c>
      <c r="B2372">
        <v>6</v>
      </c>
      <c r="C2372">
        <v>28</v>
      </c>
      <c r="D2372" s="1">
        <f t="shared" si="296"/>
        <v>38896</v>
      </c>
      <c r="E2372">
        <v>0</v>
      </c>
      <c r="F2372">
        <f t="shared" ref="F2372:F2435" si="302">E2371</f>
        <v>0</v>
      </c>
      <c r="G2372">
        <f t="shared" si="297"/>
        <v>0</v>
      </c>
      <c r="H2372">
        <f t="shared" ref="H2372:H2435" si="303">G2371</f>
        <v>0</v>
      </c>
      <c r="I2372">
        <v>2371</v>
      </c>
      <c r="J2372">
        <f t="shared" si="298"/>
        <v>5.3731686109708375E-2</v>
      </c>
      <c r="K2372">
        <f t="shared" si="299"/>
        <v>-0.9985554095330953</v>
      </c>
      <c r="L2372">
        <f>VLOOKUP(D2372,[1]SOI!$A$1:$C$142,3)</f>
        <v>-9.8000000000000007</v>
      </c>
      <c r="M2372" s="2">
        <f t="shared" si="300"/>
        <v>127.39782776611855</v>
      </c>
      <c r="N2372">
        <f t="shared" si="301"/>
        <v>-2367.5748760029687</v>
      </c>
      <c r="O2372" t="s">
        <v>8</v>
      </c>
    </row>
    <row r="2373" spans="1:15" x14ac:dyDescent="0.35">
      <c r="A2373">
        <v>2006</v>
      </c>
      <c r="B2373">
        <v>6</v>
      </c>
      <c r="C2373">
        <v>29</v>
      </c>
      <c r="D2373" s="1">
        <f t="shared" si="296"/>
        <v>38897</v>
      </c>
      <c r="E2373">
        <v>0</v>
      </c>
      <c r="F2373">
        <f t="shared" si="302"/>
        <v>0</v>
      </c>
      <c r="G2373">
        <f t="shared" si="297"/>
        <v>0</v>
      </c>
      <c r="H2373">
        <f t="shared" si="303"/>
        <v>0</v>
      </c>
      <c r="I2373">
        <v>2372</v>
      </c>
      <c r="J2373">
        <f t="shared" si="298"/>
        <v>3.6547009888121887E-2</v>
      </c>
      <c r="K2373">
        <f t="shared" si="299"/>
        <v>-0.9993319348786156</v>
      </c>
      <c r="L2373">
        <f>VLOOKUP(D2373,[1]SOI!$A$1:$C$142,3)</f>
        <v>-9.8000000000000007</v>
      </c>
      <c r="M2373" s="2">
        <f t="shared" si="300"/>
        <v>86.689507454625115</v>
      </c>
      <c r="N2373">
        <f t="shared" si="301"/>
        <v>-2370.4153495320761</v>
      </c>
      <c r="O2373" t="s">
        <v>8</v>
      </c>
    </row>
    <row r="2374" spans="1:15" x14ac:dyDescent="0.35">
      <c r="A2374">
        <v>2006</v>
      </c>
      <c r="B2374">
        <v>6</v>
      </c>
      <c r="C2374">
        <v>30</v>
      </c>
      <c r="D2374" s="1">
        <f t="shared" si="296"/>
        <v>38898</v>
      </c>
      <c r="E2374">
        <v>0</v>
      </c>
      <c r="F2374">
        <f t="shared" si="302"/>
        <v>0</v>
      </c>
      <c r="G2374">
        <f t="shared" si="297"/>
        <v>0</v>
      </c>
      <c r="H2374">
        <f t="shared" si="303"/>
        <v>0</v>
      </c>
      <c r="I2374">
        <v>2373</v>
      </c>
      <c r="J2374">
        <f t="shared" si="298"/>
        <v>1.9351518818324653E-2</v>
      </c>
      <c r="K2374">
        <f t="shared" si="299"/>
        <v>-0.99981274182690028</v>
      </c>
      <c r="L2374">
        <f>VLOOKUP(D2374,[1]SOI!$A$1:$C$142,3)</f>
        <v>-9.8000000000000007</v>
      </c>
      <c r="M2374" s="2">
        <f t="shared" si="300"/>
        <v>45.921154155884402</v>
      </c>
      <c r="N2374">
        <f t="shared" si="301"/>
        <v>-2372.5556363552341</v>
      </c>
      <c r="O2374" t="s">
        <v>8</v>
      </c>
    </row>
    <row r="2375" spans="1:15" x14ac:dyDescent="0.35">
      <c r="A2375">
        <v>2006</v>
      </c>
      <c r="B2375">
        <v>7</v>
      </c>
      <c r="C2375">
        <v>1</v>
      </c>
      <c r="D2375" s="1">
        <f t="shared" si="296"/>
        <v>38899</v>
      </c>
      <c r="E2375">
        <v>0</v>
      </c>
      <c r="F2375">
        <f t="shared" si="302"/>
        <v>0</v>
      </c>
      <c r="G2375">
        <f t="shared" si="297"/>
        <v>0</v>
      </c>
      <c r="H2375">
        <f t="shared" si="303"/>
        <v>0</v>
      </c>
      <c r="I2375">
        <v>2374</v>
      </c>
      <c r="J2375">
        <f t="shared" si="298"/>
        <v>2.1503013227730729E-3</v>
      </c>
      <c r="K2375">
        <f t="shared" si="299"/>
        <v>-0.99999768809943823</v>
      </c>
      <c r="L2375">
        <f>VLOOKUP(D2375,[1]SOI!$A$1:$C$142,3)</f>
        <v>-5.5</v>
      </c>
      <c r="M2375" s="2">
        <f t="shared" si="300"/>
        <v>5.1048153402632748</v>
      </c>
      <c r="N2375">
        <f t="shared" si="301"/>
        <v>-2373.9945115480664</v>
      </c>
      <c r="O2375" t="s">
        <v>8</v>
      </c>
    </row>
    <row r="2376" spans="1:15" x14ac:dyDescent="0.35">
      <c r="A2376">
        <v>2006</v>
      </c>
      <c r="B2376">
        <v>7</v>
      </c>
      <c r="C2376">
        <v>2</v>
      </c>
      <c r="D2376" s="1">
        <f t="shared" si="296"/>
        <v>38900</v>
      </c>
      <c r="E2376">
        <v>2</v>
      </c>
      <c r="F2376">
        <f t="shared" si="302"/>
        <v>0</v>
      </c>
      <c r="G2376">
        <f t="shared" si="297"/>
        <v>1</v>
      </c>
      <c r="H2376">
        <f t="shared" si="303"/>
        <v>0</v>
      </c>
      <c r="I2376">
        <v>2375</v>
      </c>
      <c r="J2376">
        <f t="shared" si="298"/>
        <v>-1.5051552481527831E-2</v>
      </c>
      <c r="K2376">
        <f t="shared" si="299"/>
        <v>-0.9998867189676518</v>
      </c>
      <c r="L2376">
        <f>VLOOKUP(D2376,[1]SOI!$A$1:$C$142,3)</f>
        <v>-5.5</v>
      </c>
      <c r="M2376" s="2">
        <f t="shared" si="300"/>
        <v>-35.747437143628595</v>
      </c>
      <c r="N2376">
        <f t="shared" si="301"/>
        <v>-2374.7309575481731</v>
      </c>
      <c r="O2376" t="s">
        <v>8</v>
      </c>
    </row>
    <row r="2377" spans="1:15" x14ac:dyDescent="0.35">
      <c r="A2377">
        <v>2006</v>
      </c>
      <c r="B2377">
        <v>7</v>
      </c>
      <c r="C2377">
        <v>3</v>
      </c>
      <c r="D2377" s="1">
        <f t="shared" si="296"/>
        <v>38901</v>
      </c>
      <c r="E2377">
        <v>12.4</v>
      </c>
      <c r="F2377">
        <f t="shared" si="302"/>
        <v>2</v>
      </c>
      <c r="G2377">
        <f t="shared" si="297"/>
        <v>1</v>
      </c>
      <c r="H2377">
        <f t="shared" si="303"/>
        <v>1</v>
      </c>
      <c r="I2377">
        <v>2376</v>
      </c>
      <c r="J2377">
        <f t="shared" si="298"/>
        <v>-3.2248952289300359E-2</v>
      </c>
      <c r="K2377">
        <f t="shared" si="299"/>
        <v>-0.99947986726909233</v>
      </c>
      <c r="L2377">
        <f>VLOOKUP(D2377,[1]SOI!$A$1:$C$142,3)</f>
        <v>-5.5</v>
      </c>
      <c r="M2377" s="2">
        <f t="shared" si="300"/>
        <v>-76.623510639377656</v>
      </c>
      <c r="N2377">
        <f t="shared" si="301"/>
        <v>-2374.7641646313632</v>
      </c>
      <c r="O2377" t="s">
        <v>8</v>
      </c>
    </row>
    <row r="2378" spans="1:15" x14ac:dyDescent="0.35">
      <c r="A2378">
        <v>2006</v>
      </c>
      <c r="B2378">
        <v>7</v>
      </c>
      <c r="C2378">
        <v>4</v>
      </c>
      <c r="D2378" s="1">
        <f t="shared" si="296"/>
        <v>38902</v>
      </c>
      <c r="E2378">
        <v>0</v>
      </c>
      <c r="F2378">
        <f t="shared" si="302"/>
        <v>12.4</v>
      </c>
      <c r="G2378">
        <f t="shared" si="297"/>
        <v>0</v>
      </c>
      <c r="H2378">
        <f t="shared" si="303"/>
        <v>1</v>
      </c>
      <c r="I2378">
        <v>2377</v>
      </c>
      <c r="J2378">
        <f t="shared" si="298"/>
        <v>-4.9436809113254737E-2</v>
      </c>
      <c r="K2378">
        <f t="shared" si="299"/>
        <v>-0.99877725339772316</v>
      </c>
      <c r="L2378">
        <f>VLOOKUP(D2378,[1]SOI!$A$1:$C$142,3)</f>
        <v>-5.5</v>
      </c>
      <c r="M2378" s="2">
        <f t="shared" si="300"/>
        <v>-117.51129526220652</v>
      </c>
      <c r="N2378">
        <f t="shared" si="301"/>
        <v>-2374.0935313263881</v>
      </c>
      <c r="O2378" t="s">
        <v>8</v>
      </c>
    </row>
    <row r="2379" spans="1:15" x14ac:dyDescent="0.35">
      <c r="A2379">
        <v>2006</v>
      </c>
      <c r="B2379">
        <v>7</v>
      </c>
      <c r="C2379">
        <v>5</v>
      </c>
      <c r="D2379" s="1">
        <f t="shared" si="296"/>
        <v>38903</v>
      </c>
      <c r="E2379">
        <v>0</v>
      </c>
      <c r="F2379">
        <f t="shared" si="302"/>
        <v>0</v>
      </c>
      <c r="G2379">
        <f t="shared" si="297"/>
        <v>0</v>
      </c>
      <c r="H2379">
        <f t="shared" si="303"/>
        <v>0</v>
      </c>
      <c r="I2379">
        <v>2378</v>
      </c>
      <c r="J2379">
        <f t="shared" si="298"/>
        <v>-6.6610036790030719E-2</v>
      </c>
      <c r="K2379">
        <f t="shared" si="299"/>
        <v>-0.99777908526829262</v>
      </c>
      <c r="L2379">
        <f>VLOOKUP(D2379,[1]SOI!$A$1:$C$142,3)</f>
        <v>-5.5</v>
      </c>
      <c r="M2379" s="2">
        <f t="shared" si="300"/>
        <v>-158.39866748669306</v>
      </c>
      <c r="N2379">
        <f t="shared" si="301"/>
        <v>-2372.7186647680001</v>
      </c>
      <c r="O2379" t="s">
        <v>8</v>
      </c>
    </row>
    <row r="2380" spans="1:15" x14ac:dyDescent="0.35">
      <c r="A2380">
        <v>2006</v>
      </c>
      <c r="B2380">
        <v>7</v>
      </c>
      <c r="C2380">
        <v>6</v>
      </c>
      <c r="D2380" s="1">
        <f t="shared" si="296"/>
        <v>38904</v>
      </c>
      <c r="E2380">
        <v>2.2000000000000002</v>
      </c>
      <c r="F2380">
        <f t="shared" si="302"/>
        <v>0</v>
      </c>
      <c r="G2380">
        <f t="shared" si="297"/>
        <v>1</v>
      </c>
      <c r="H2380">
        <f t="shared" si="303"/>
        <v>0</v>
      </c>
      <c r="I2380">
        <v>2379</v>
      </c>
      <c r="J2380">
        <f t="shared" si="298"/>
        <v>-8.376355348526808E-2</v>
      </c>
      <c r="K2380">
        <f t="shared" si="299"/>
        <v>-0.99648565825480928</v>
      </c>
      <c r="L2380">
        <f>VLOOKUP(D2380,[1]SOI!$A$1:$C$142,3)</f>
        <v>-5.5</v>
      </c>
      <c r="M2380" s="2">
        <f t="shared" si="300"/>
        <v>-199.27349374145277</v>
      </c>
      <c r="N2380">
        <f t="shared" si="301"/>
        <v>-2370.6393809881911</v>
      </c>
      <c r="O2380" t="s">
        <v>8</v>
      </c>
    </row>
    <row r="2381" spans="1:15" x14ac:dyDescent="0.35">
      <c r="A2381">
        <v>2006</v>
      </c>
      <c r="B2381">
        <v>7</v>
      </c>
      <c r="C2381">
        <v>7</v>
      </c>
      <c r="D2381" s="1">
        <f t="shared" si="296"/>
        <v>38905</v>
      </c>
      <c r="E2381">
        <v>0</v>
      </c>
      <c r="F2381">
        <f t="shared" si="302"/>
        <v>2.2000000000000002</v>
      </c>
      <c r="G2381">
        <f t="shared" si="297"/>
        <v>0</v>
      </c>
      <c r="H2381">
        <f t="shared" si="303"/>
        <v>1</v>
      </c>
      <c r="I2381">
        <v>2380</v>
      </c>
      <c r="J2381">
        <f t="shared" si="298"/>
        <v>-0.1008922831973961</v>
      </c>
      <c r="K2381">
        <f t="shared" si="299"/>
        <v>-0.99489735510313648</v>
      </c>
      <c r="L2381">
        <f>VLOOKUP(D2381,[1]SOI!$A$1:$C$142,3)</f>
        <v>-5.5</v>
      </c>
      <c r="M2381" s="2">
        <f t="shared" si="300"/>
        <v>-240.12363400980271</v>
      </c>
      <c r="N2381">
        <f t="shared" si="301"/>
        <v>-2367.855705145465</v>
      </c>
      <c r="O2381" t="s">
        <v>8</v>
      </c>
    </row>
    <row r="2382" spans="1:15" x14ac:dyDescent="0.35">
      <c r="A2382">
        <v>2006</v>
      </c>
      <c r="B2382">
        <v>7</v>
      </c>
      <c r="C2382">
        <v>8</v>
      </c>
      <c r="D2382" s="1">
        <f t="shared" si="296"/>
        <v>38906</v>
      </c>
      <c r="E2382">
        <v>2.2000000000000002</v>
      </c>
      <c r="F2382">
        <f t="shared" si="302"/>
        <v>0</v>
      </c>
      <c r="G2382">
        <f t="shared" si="297"/>
        <v>1</v>
      </c>
      <c r="H2382">
        <f t="shared" si="303"/>
        <v>0</v>
      </c>
      <c r="I2382">
        <v>2381</v>
      </c>
      <c r="J2382">
        <f t="shared" si="298"/>
        <v>-0.11799115725973232</v>
      </c>
      <c r="K2382">
        <f t="shared" si="299"/>
        <v>-0.99301464581772869</v>
      </c>
      <c r="L2382">
        <f>VLOOKUP(D2382,[1]SOI!$A$1:$C$142,3)</f>
        <v>-5.5</v>
      </c>
      <c r="M2382" s="2">
        <f t="shared" si="300"/>
        <v>-280.93694543542267</v>
      </c>
      <c r="N2382">
        <f t="shared" si="301"/>
        <v>-2364.3678716920122</v>
      </c>
      <c r="O2382" t="s">
        <v>8</v>
      </c>
    </row>
    <row r="2383" spans="1:15" x14ac:dyDescent="0.35">
      <c r="A2383">
        <v>2006</v>
      </c>
      <c r="B2383">
        <v>7</v>
      </c>
      <c r="C2383">
        <v>9</v>
      </c>
      <c r="D2383" s="1">
        <f t="shared" si="296"/>
        <v>38907</v>
      </c>
      <c r="E2383">
        <v>0.6</v>
      </c>
      <c r="F2383">
        <f t="shared" si="302"/>
        <v>2.2000000000000002</v>
      </c>
      <c r="G2383">
        <f t="shared" si="297"/>
        <v>1</v>
      </c>
      <c r="H2383">
        <f t="shared" si="303"/>
        <v>1</v>
      </c>
      <c r="I2383">
        <v>2382</v>
      </c>
      <c r="J2383">
        <f t="shared" si="298"/>
        <v>-0.13505511584034724</v>
      </c>
      <c r="K2383">
        <f t="shared" si="299"/>
        <v>-0.99083808752255298</v>
      </c>
      <c r="L2383">
        <f>VLOOKUP(D2383,[1]SOI!$A$1:$C$142,3)</f>
        <v>-5.5</v>
      </c>
      <c r="M2383" s="2">
        <f t="shared" si="300"/>
        <v>-321.7012859317071</v>
      </c>
      <c r="N2383">
        <f t="shared" si="301"/>
        <v>-2360.1763244787212</v>
      </c>
      <c r="O2383" t="s">
        <v>8</v>
      </c>
    </row>
    <row r="2384" spans="1:15" x14ac:dyDescent="0.35">
      <c r="A2384">
        <v>2006</v>
      </c>
      <c r="B2384">
        <v>7</v>
      </c>
      <c r="C2384">
        <v>10</v>
      </c>
      <c r="D2384" s="1">
        <f t="shared" si="296"/>
        <v>38908</v>
      </c>
      <c r="E2384">
        <v>0</v>
      </c>
      <c r="F2384">
        <f t="shared" si="302"/>
        <v>0.6</v>
      </c>
      <c r="G2384">
        <f t="shared" si="297"/>
        <v>0</v>
      </c>
      <c r="H2384">
        <f t="shared" si="303"/>
        <v>1</v>
      </c>
      <c r="I2384">
        <v>2383</v>
      </c>
      <c r="J2384">
        <f t="shared" si="298"/>
        <v>-0.15207910943934305</v>
      </c>
      <c r="K2384">
        <f t="shared" si="299"/>
        <v>-0.98836832429622934</v>
      </c>
      <c r="L2384">
        <f>VLOOKUP(D2384,[1]SOI!$A$1:$C$142,3)</f>
        <v>-5.5</v>
      </c>
      <c r="M2384" s="2">
        <f t="shared" si="300"/>
        <v>-362.40451779395448</v>
      </c>
      <c r="N2384">
        <f t="shared" si="301"/>
        <v>-2355.2817167979147</v>
      </c>
      <c r="O2384" t="s">
        <v>8</v>
      </c>
    </row>
    <row r="2385" spans="1:15" x14ac:dyDescent="0.35">
      <c r="A2385">
        <v>2006</v>
      </c>
      <c r="B2385">
        <v>7</v>
      </c>
      <c r="C2385">
        <v>11</v>
      </c>
      <c r="D2385" s="1">
        <f t="shared" si="296"/>
        <v>38909</v>
      </c>
      <c r="E2385">
        <v>0</v>
      </c>
      <c r="F2385">
        <f t="shared" si="302"/>
        <v>0</v>
      </c>
      <c r="G2385">
        <f t="shared" si="297"/>
        <v>0</v>
      </c>
      <c r="H2385">
        <f t="shared" si="303"/>
        <v>0</v>
      </c>
      <c r="I2385">
        <v>2384</v>
      </c>
      <c r="J2385">
        <f t="shared" si="298"/>
        <v>-0.1690581003831452</v>
      </c>
      <c r="K2385">
        <f t="shared" si="299"/>
        <v>-0.98560608698142804</v>
      </c>
      <c r="L2385">
        <f>VLOOKUP(D2385,[1]SOI!$A$1:$C$142,3)</f>
        <v>-5.5</v>
      </c>
      <c r="M2385" s="2">
        <f t="shared" si="300"/>
        <v>-403.03451131341814</v>
      </c>
      <c r="N2385">
        <f t="shared" si="301"/>
        <v>-2349.6849113637245</v>
      </c>
      <c r="O2385" t="s">
        <v>8</v>
      </c>
    </row>
    <row r="2386" spans="1:15" x14ac:dyDescent="0.35">
      <c r="A2386">
        <v>2006</v>
      </c>
      <c r="B2386">
        <v>7</v>
      </c>
      <c r="C2386">
        <v>12</v>
      </c>
      <c r="D2386" s="1">
        <f t="shared" si="296"/>
        <v>38910</v>
      </c>
      <c r="E2386">
        <v>2.8</v>
      </c>
      <c r="F2386">
        <f t="shared" si="302"/>
        <v>0</v>
      </c>
      <c r="G2386">
        <f t="shared" si="297"/>
        <v>1</v>
      </c>
      <c r="H2386">
        <f t="shared" si="303"/>
        <v>0</v>
      </c>
      <c r="I2386">
        <v>2385</v>
      </c>
      <c r="J2386">
        <f t="shared" si="298"/>
        <v>-0.18598706431516066</v>
      </c>
      <c r="K2386">
        <f t="shared" si="299"/>
        <v>-0.98255219296861185</v>
      </c>
      <c r="L2386">
        <f>VLOOKUP(D2386,[1]SOI!$A$1:$C$142,3)</f>
        <v>-5.5</v>
      </c>
      <c r="M2386" s="2">
        <f t="shared" si="300"/>
        <v>-443.57914839165818</v>
      </c>
      <c r="N2386">
        <f t="shared" si="301"/>
        <v>-2343.3869802301392</v>
      </c>
      <c r="O2386" t="s">
        <v>8</v>
      </c>
    </row>
    <row r="2387" spans="1:15" x14ac:dyDescent="0.35">
      <c r="A2387">
        <v>2006</v>
      </c>
      <c r="B2387">
        <v>7</v>
      </c>
      <c r="C2387">
        <v>13</v>
      </c>
      <c r="D2387" s="1">
        <f t="shared" si="296"/>
        <v>38911</v>
      </c>
      <c r="E2387">
        <v>0.2</v>
      </c>
      <c r="F2387">
        <f t="shared" si="302"/>
        <v>2.8</v>
      </c>
      <c r="G2387">
        <f t="shared" si="297"/>
        <v>1</v>
      </c>
      <c r="H2387">
        <f t="shared" si="303"/>
        <v>1</v>
      </c>
      <c r="I2387">
        <v>2386</v>
      </c>
      <c r="J2387">
        <f t="shared" si="298"/>
        <v>-0.20286099168260113</v>
      </c>
      <c r="K2387">
        <f t="shared" si="299"/>
        <v>-0.97920754595415149</v>
      </c>
      <c r="L2387">
        <f>VLOOKUP(D2387,[1]SOI!$A$1:$C$142,3)</f>
        <v>-5.5</v>
      </c>
      <c r="M2387" s="2">
        <f t="shared" si="300"/>
        <v>-484.02632615468633</v>
      </c>
      <c r="N2387">
        <f t="shared" si="301"/>
        <v>-2336.3892046466053</v>
      </c>
      <c r="O2387" t="s">
        <v>8</v>
      </c>
    </row>
    <row r="2388" spans="1:15" x14ac:dyDescent="0.35">
      <c r="A2388">
        <v>2006</v>
      </c>
      <c r="B2388">
        <v>7</v>
      </c>
      <c r="C2388">
        <v>14</v>
      </c>
      <c r="D2388" s="1">
        <f t="shared" si="296"/>
        <v>38912</v>
      </c>
      <c r="E2388">
        <v>0</v>
      </c>
      <c r="F2388">
        <f t="shared" si="302"/>
        <v>0.2</v>
      </c>
      <c r="G2388">
        <f t="shared" si="297"/>
        <v>0</v>
      </c>
      <c r="H2388">
        <f t="shared" si="303"/>
        <v>1</v>
      </c>
      <c r="I2388">
        <v>2387</v>
      </c>
      <c r="J2388">
        <f t="shared" si="298"/>
        <v>-0.2196748892188832</v>
      </c>
      <c r="K2388">
        <f t="shared" si="299"/>
        <v>-0.9755731356729086</v>
      </c>
      <c r="L2388">
        <f>VLOOKUP(D2388,[1]SOI!$A$1:$C$142,3)</f>
        <v>-5.5</v>
      </c>
      <c r="M2388" s="2">
        <f t="shared" si="300"/>
        <v>-524.36396056547426</v>
      </c>
      <c r="N2388">
        <f t="shared" si="301"/>
        <v>-2328.6930748512327</v>
      </c>
      <c r="O2388" t="s">
        <v>8</v>
      </c>
    </row>
    <row r="2389" spans="1:15" x14ac:dyDescent="0.35">
      <c r="A2389">
        <v>2006</v>
      </c>
      <c r="B2389">
        <v>7</v>
      </c>
      <c r="C2389">
        <v>15</v>
      </c>
      <c r="D2389" s="1">
        <f t="shared" si="296"/>
        <v>38913</v>
      </c>
      <c r="E2389">
        <v>4.8</v>
      </c>
      <c r="F2389">
        <f t="shared" si="302"/>
        <v>0</v>
      </c>
      <c r="G2389">
        <f t="shared" si="297"/>
        <v>1</v>
      </c>
      <c r="H2389">
        <f t="shared" si="303"/>
        <v>0</v>
      </c>
      <c r="I2389">
        <v>2388</v>
      </c>
      <c r="J2389">
        <f t="shared" si="298"/>
        <v>-0.23642378142120934</v>
      </c>
      <c r="K2389">
        <f t="shared" si="299"/>
        <v>-0.9716500376053594</v>
      </c>
      <c r="L2389">
        <f>VLOOKUP(D2389,[1]SOI!$A$1:$C$142,3)</f>
        <v>-5.5</v>
      </c>
      <c r="M2389" s="2">
        <f t="shared" si="300"/>
        <v>-564.57999003384793</v>
      </c>
      <c r="N2389">
        <f t="shared" si="301"/>
        <v>-2320.3002898015984</v>
      </c>
      <c r="O2389" t="s">
        <v>8</v>
      </c>
    </row>
    <row r="2390" spans="1:15" x14ac:dyDescent="0.35">
      <c r="A2390">
        <v>2006</v>
      </c>
      <c r="B2390">
        <v>7</v>
      </c>
      <c r="C2390">
        <v>16</v>
      </c>
      <c r="D2390" s="1">
        <f t="shared" si="296"/>
        <v>38914</v>
      </c>
      <c r="E2390">
        <v>9.1999999999999993</v>
      </c>
      <c r="F2390">
        <f t="shared" si="302"/>
        <v>4.8</v>
      </c>
      <c r="G2390">
        <f t="shared" si="297"/>
        <v>1</v>
      </c>
      <c r="H2390">
        <f t="shared" si="303"/>
        <v>1</v>
      </c>
      <c r="I2390">
        <v>2389</v>
      </c>
      <c r="J2390">
        <f t="shared" si="298"/>
        <v>-0.253102712022927</v>
      </c>
      <c r="K2390">
        <f t="shared" si="299"/>
        <v>-0.96743941265933509</v>
      </c>
      <c r="L2390">
        <f>VLOOKUP(D2390,[1]SOI!$A$1:$C$142,3)</f>
        <v>-5.5</v>
      </c>
      <c r="M2390" s="2">
        <f t="shared" si="300"/>
        <v>-604.6623790227726</v>
      </c>
      <c r="N2390">
        <f t="shared" si="301"/>
        <v>-2311.2127568431515</v>
      </c>
      <c r="O2390" t="s">
        <v>8</v>
      </c>
    </row>
    <row r="2391" spans="1:15" x14ac:dyDescent="0.35">
      <c r="A2391">
        <v>2006</v>
      </c>
      <c r="B2391">
        <v>7</v>
      </c>
      <c r="C2391">
        <v>17</v>
      </c>
      <c r="D2391" s="1">
        <f t="shared" si="296"/>
        <v>38915</v>
      </c>
      <c r="E2391">
        <v>0</v>
      </c>
      <c r="F2391">
        <f t="shared" si="302"/>
        <v>9.1999999999999993</v>
      </c>
      <c r="G2391">
        <f t="shared" si="297"/>
        <v>0</v>
      </c>
      <c r="H2391">
        <f t="shared" si="303"/>
        <v>1</v>
      </c>
      <c r="I2391">
        <v>2390</v>
      </c>
      <c r="J2391">
        <f t="shared" si="298"/>
        <v>-0.26970674546012602</v>
      </c>
      <c r="K2391">
        <f t="shared" si="299"/>
        <v>-0.96294250682650151</v>
      </c>
      <c r="L2391">
        <f>VLOOKUP(D2391,[1]SOI!$A$1:$C$142,3)</f>
        <v>-5.5</v>
      </c>
      <c r="M2391" s="2">
        <f t="shared" si="300"/>
        <v>-644.59912164970115</v>
      </c>
      <c r="N2391">
        <f t="shared" si="301"/>
        <v>-2301.4325913153384</v>
      </c>
      <c r="O2391" t="s">
        <v>8</v>
      </c>
    </row>
    <row r="2392" spans="1:15" x14ac:dyDescent="0.35">
      <c r="A2392">
        <v>2006</v>
      </c>
      <c r="B2392">
        <v>7</v>
      </c>
      <c r="C2392">
        <v>18</v>
      </c>
      <c r="D2392" s="1">
        <f t="shared" si="296"/>
        <v>38916</v>
      </c>
      <c r="E2392">
        <v>0</v>
      </c>
      <c r="F2392">
        <f t="shared" si="302"/>
        <v>0</v>
      </c>
      <c r="G2392">
        <f t="shared" si="297"/>
        <v>0</v>
      </c>
      <c r="H2392">
        <f t="shared" si="303"/>
        <v>0</v>
      </c>
      <c r="I2392">
        <v>2391</v>
      </c>
      <c r="J2392">
        <f t="shared" si="298"/>
        <v>-0.28623096833217904</v>
      </c>
      <c r="K2392">
        <f t="shared" si="299"/>
        <v>-0.95816065081364254</v>
      </c>
      <c r="L2392">
        <f>VLOOKUP(D2392,[1]SOI!$A$1:$C$142,3)</f>
        <v>-5.5</v>
      </c>
      <c r="M2392" s="2">
        <f t="shared" si="300"/>
        <v>-684.37824528224007</v>
      </c>
      <c r="N2392">
        <f t="shared" si="301"/>
        <v>-2290.9621160954193</v>
      </c>
      <c r="O2392" t="s">
        <v>8</v>
      </c>
    </row>
    <row r="2393" spans="1:15" x14ac:dyDescent="0.35">
      <c r="A2393">
        <v>2006</v>
      </c>
      <c r="B2393">
        <v>7</v>
      </c>
      <c r="C2393">
        <v>19</v>
      </c>
      <c r="D2393" s="1">
        <f t="shared" si="296"/>
        <v>38917</v>
      </c>
      <c r="E2393">
        <v>0</v>
      </c>
      <c r="F2393">
        <f t="shared" si="302"/>
        <v>0</v>
      </c>
      <c r="G2393">
        <f t="shared" si="297"/>
        <v>0</v>
      </c>
      <c r="H2393">
        <f t="shared" si="303"/>
        <v>0</v>
      </c>
      <c r="I2393">
        <v>2392</v>
      </c>
      <c r="J2393">
        <f t="shared" si="298"/>
        <v>-0.30267049085568909</v>
      </c>
      <c r="K2393">
        <f t="shared" si="299"/>
        <v>-0.95309525964888542</v>
      </c>
      <c r="L2393">
        <f>VLOOKUP(D2393,[1]SOI!$A$1:$C$142,3)</f>
        <v>-5.5</v>
      </c>
      <c r="M2393" s="2">
        <f t="shared" si="300"/>
        <v>-723.9878141268083</v>
      </c>
      <c r="N2393">
        <f t="shared" si="301"/>
        <v>-2279.8038610801341</v>
      </c>
      <c r="O2393" t="s">
        <v>8</v>
      </c>
    </row>
    <row r="2394" spans="1:15" x14ac:dyDescent="0.35">
      <c r="A2394">
        <v>2006</v>
      </c>
      <c r="B2394">
        <v>7</v>
      </c>
      <c r="C2394">
        <v>20</v>
      </c>
      <c r="D2394" s="1">
        <f t="shared" si="296"/>
        <v>38918</v>
      </c>
      <c r="E2394">
        <v>0</v>
      </c>
      <c r="F2394">
        <f t="shared" si="302"/>
        <v>0</v>
      </c>
      <c r="G2394">
        <f t="shared" si="297"/>
        <v>0</v>
      </c>
      <c r="H2394">
        <f t="shared" si="303"/>
        <v>0</v>
      </c>
      <c r="I2394">
        <v>2393</v>
      </c>
      <c r="J2394">
        <f t="shared" si="298"/>
        <v>-0.31902044831145498</v>
      </c>
      <c r="K2394">
        <f t="shared" si="299"/>
        <v>-0.94774783226296977</v>
      </c>
      <c r="L2394">
        <f>VLOOKUP(D2394,[1]SOI!$A$1:$C$142,3)</f>
        <v>-5.5</v>
      </c>
      <c r="M2394" s="2">
        <f t="shared" si="300"/>
        <v>-763.41593280931181</v>
      </c>
      <c r="N2394">
        <f t="shared" si="301"/>
        <v>-2267.9605626052867</v>
      </c>
      <c r="O2394" t="s">
        <v>8</v>
      </c>
    </row>
    <row r="2395" spans="1:15" x14ac:dyDescent="0.35">
      <c r="A2395">
        <v>2006</v>
      </c>
      <c r="B2395">
        <v>7</v>
      </c>
      <c r="C2395">
        <v>21</v>
      </c>
      <c r="D2395" s="1">
        <f t="shared" si="296"/>
        <v>38919</v>
      </c>
      <c r="E2395">
        <v>0</v>
      </c>
      <c r="F2395">
        <f t="shared" si="302"/>
        <v>0</v>
      </c>
      <c r="G2395">
        <f t="shared" si="297"/>
        <v>0</v>
      </c>
      <c r="H2395">
        <f t="shared" si="303"/>
        <v>0</v>
      </c>
      <c r="I2395">
        <v>2394</v>
      </c>
      <c r="J2395">
        <f t="shared" si="298"/>
        <v>-0.3352760024840134</v>
      </c>
      <c r="K2395">
        <f t="shared" si="299"/>
        <v>-0.94211995104569346</v>
      </c>
      <c r="L2395">
        <f>VLOOKUP(D2395,[1]SOI!$A$1:$C$142,3)</f>
        <v>-5.5</v>
      </c>
      <c r="M2395" s="2">
        <f t="shared" si="300"/>
        <v>-802.65074994672807</v>
      </c>
      <c r="N2395">
        <f t="shared" si="301"/>
        <v>-2255.4351628033901</v>
      </c>
      <c r="O2395" t="s">
        <v>8</v>
      </c>
    </row>
    <row r="2396" spans="1:15" x14ac:dyDescent="0.35">
      <c r="A2396">
        <v>2006</v>
      </c>
      <c r="B2396">
        <v>7</v>
      </c>
      <c r="C2396">
        <v>22</v>
      </c>
      <c r="D2396" s="1">
        <f t="shared" si="296"/>
        <v>38920</v>
      </c>
      <c r="E2396">
        <v>0</v>
      </c>
      <c r="F2396">
        <f t="shared" si="302"/>
        <v>0</v>
      </c>
      <c r="G2396">
        <f t="shared" si="297"/>
        <v>0</v>
      </c>
      <c r="H2396">
        <f t="shared" si="303"/>
        <v>0</v>
      </c>
      <c r="I2396">
        <v>2395</v>
      </c>
      <c r="J2396">
        <f t="shared" si="298"/>
        <v>-0.35143234309337124</v>
      </c>
      <c r="K2396">
        <f t="shared" si="299"/>
        <v>-0.93621328137764792</v>
      </c>
      <c r="L2396">
        <f>VLOOKUP(D2396,[1]SOI!$A$1:$C$142,3)</f>
        <v>-5.5</v>
      </c>
      <c r="M2396" s="2">
        <f t="shared" si="300"/>
        <v>-841.68046170862408</v>
      </c>
      <c r="N2396">
        <f t="shared" si="301"/>
        <v>-2242.2308088994669</v>
      </c>
      <c r="O2396" t="s">
        <v>8</v>
      </c>
    </row>
    <row r="2397" spans="1:15" x14ac:dyDescent="0.35">
      <c r="A2397">
        <v>2006</v>
      </c>
      <c r="B2397">
        <v>7</v>
      </c>
      <c r="C2397">
        <v>23</v>
      </c>
      <c r="D2397" s="1">
        <f t="shared" si="296"/>
        <v>38921</v>
      </c>
      <c r="E2397">
        <v>0.8</v>
      </c>
      <c r="F2397">
        <f t="shared" si="302"/>
        <v>0</v>
      </c>
      <c r="G2397">
        <f t="shared" si="297"/>
        <v>1</v>
      </c>
      <c r="H2397">
        <f t="shared" si="303"/>
        <v>0</v>
      </c>
      <c r="I2397">
        <v>2396</v>
      </c>
      <c r="J2397">
        <f t="shared" si="298"/>
        <v>-0.36748468921840505</v>
      </c>
      <c r="K2397">
        <f t="shared" si="299"/>
        <v>-0.93002957113741935</v>
      </c>
      <c r="L2397">
        <f>VLOOKUP(D2397,[1]SOI!$A$1:$C$142,3)</f>
        <v>-5.5</v>
      </c>
      <c r="M2397" s="2">
        <f t="shared" si="300"/>
        <v>-880.49331536729846</v>
      </c>
      <c r="N2397">
        <f t="shared" si="301"/>
        <v>-2228.3508524452568</v>
      </c>
      <c r="O2397" t="s">
        <v>8</v>
      </c>
    </row>
    <row r="2398" spans="1:15" x14ac:dyDescent="0.35">
      <c r="A2398">
        <v>2006</v>
      </c>
      <c r="B2398">
        <v>7</v>
      </c>
      <c r="C2398">
        <v>24</v>
      </c>
      <c r="D2398" s="1">
        <f t="shared" si="296"/>
        <v>38922</v>
      </c>
      <c r="E2398">
        <v>10</v>
      </c>
      <c r="F2398">
        <f t="shared" si="302"/>
        <v>0.8</v>
      </c>
      <c r="G2398">
        <f t="shared" si="297"/>
        <v>1</v>
      </c>
      <c r="H2398">
        <f t="shared" si="303"/>
        <v>1</v>
      </c>
      <c r="I2398">
        <v>2397</v>
      </c>
      <c r="J2398">
        <f t="shared" si="298"/>
        <v>-0.38342829071163897</v>
      </c>
      <c r="K2398">
        <f t="shared" si="299"/>
        <v>-0.92357065018435425</v>
      </c>
      <c r="L2398">
        <f>VLOOKUP(D2398,[1]SOI!$A$1:$C$142,3)</f>
        <v>-5.5</v>
      </c>
      <c r="M2398" s="2">
        <f t="shared" si="300"/>
        <v>-919.07761283579862</v>
      </c>
      <c r="N2398">
        <f t="shared" si="301"/>
        <v>-2213.7988484918969</v>
      </c>
      <c r="O2398" t="s">
        <v>8</v>
      </c>
    </row>
    <row r="2399" spans="1:15" x14ac:dyDescent="0.35">
      <c r="A2399">
        <v>2006</v>
      </c>
      <c r="B2399">
        <v>7</v>
      </c>
      <c r="C2399">
        <v>25</v>
      </c>
      <c r="D2399" s="1">
        <f t="shared" si="296"/>
        <v>38923</v>
      </c>
      <c r="E2399">
        <v>0</v>
      </c>
      <c r="F2399">
        <f t="shared" si="302"/>
        <v>10</v>
      </c>
      <c r="G2399">
        <f t="shared" si="297"/>
        <v>0</v>
      </c>
      <c r="H2399">
        <f t="shared" si="303"/>
        <v>1</v>
      </c>
      <c r="I2399">
        <v>2398</v>
      </c>
      <c r="J2399">
        <f t="shared" si="298"/>
        <v>-0.39925842960488334</v>
      </c>
      <c r="K2399">
        <f t="shared" si="299"/>
        <v>-0.91683842981707653</v>
      </c>
      <c r="L2399">
        <f>VLOOKUP(D2399,[1]SOI!$A$1:$C$142,3)</f>
        <v>-5.5</v>
      </c>
      <c r="M2399" s="2">
        <f t="shared" si="300"/>
        <v>-957.42171419251019</v>
      </c>
      <c r="N2399">
        <f t="shared" si="301"/>
        <v>-2198.5785547013497</v>
      </c>
      <c r="O2399" t="s">
        <v>8</v>
      </c>
    </row>
    <row r="2400" spans="1:15" x14ac:dyDescent="0.35">
      <c r="A2400">
        <v>2006</v>
      </c>
      <c r="B2400">
        <v>7</v>
      </c>
      <c r="C2400">
        <v>26</v>
      </c>
      <c r="D2400" s="1">
        <f t="shared" si="296"/>
        <v>38924</v>
      </c>
      <c r="E2400">
        <v>0.2</v>
      </c>
      <c r="F2400">
        <f t="shared" si="302"/>
        <v>0</v>
      </c>
      <c r="G2400">
        <f t="shared" si="297"/>
        <v>1</v>
      </c>
      <c r="H2400">
        <f t="shared" si="303"/>
        <v>0</v>
      </c>
      <c r="I2400">
        <v>2399</v>
      </c>
      <c r="J2400">
        <f t="shared" si="298"/>
        <v>-0.41497042150535063</v>
      </c>
      <c r="K2400">
        <f t="shared" si="299"/>
        <v>-0.90983490220790697</v>
      </c>
      <c r="L2400">
        <f>VLOOKUP(D2400,[1]SOI!$A$1:$C$142,3)</f>
        <v>-5.5</v>
      </c>
      <c r="M2400" s="2">
        <f t="shared" si="300"/>
        <v>-995.5140411913361</v>
      </c>
      <c r="N2400">
        <f t="shared" si="301"/>
        <v>-2182.6939303967688</v>
      </c>
      <c r="O2400" t="s">
        <v>8</v>
      </c>
    </row>
    <row r="2401" spans="1:15" x14ac:dyDescent="0.35">
      <c r="A2401">
        <v>2006</v>
      </c>
      <c r="B2401">
        <v>7</v>
      </c>
      <c r="C2401">
        <v>27</v>
      </c>
      <c r="D2401" s="1">
        <f t="shared" si="296"/>
        <v>38925</v>
      </c>
      <c r="E2401">
        <v>0</v>
      </c>
      <c r="F2401">
        <f t="shared" si="302"/>
        <v>0.2</v>
      </c>
      <c r="G2401">
        <f t="shared" si="297"/>
        <v>0</v>
      </c>
      <c r="H2401">
        <f t="shared" si="303"/>
        <v>1</v>
      </c>
      <c r="I2401">
        <v>2400</v>
      </c>
      <c r="J2401">
        <f t="shared" si="298"/>
        <v>-0.4305596169818689</v>
      </c>
      <c r="K2401">
        <f t="shared" si="299"/>
        <v>-0.90256213981333511</v>
      </c>
      <c r="L2401">
        <f>VLOOKUP(D2401,[1]SOI!$A$1:$C$142,3)</f>
        <v>-5.5</v>
      </c>
      <c r="M2401" s="2">
        <f t="shared" si="300"/>
        <v>-1033.3430807564853</v>
      </c>
      <c r="N2401">
        <f t="shared" si="301"/>
        <v>-2166.1491355520043</v>
      </c>
      <c r="O2401" t="s">
        <v>8</v>
      </c>
    </row>
    <row r="2402" spans="1:15" x14ac:dyDescent="0.35">
      <c r="A2402">
        <v>2006</v>
      </c>
      <c r="B2402">
        <v>7</v>
      </c>
      <c r="C2402">
        <v>28</v>
      </c>
      <c r="D2402" s="1">
        <f t="shared" si="296"/>
        <v>38926</v>
      </c>
      <c r="E2402">
        <v>0</v>
      </c>
      <c r="F2402">
        <f t="shared" si="302"/>
        <v>0</v>
      </c>
      <c r="G2402">
        <f t="shared" si="297"/>
        <v>0</v>
      </c>
      <c r="H2402">
        <f t="shared" si="303"/>
        <v>0</v>
      </c>
      <c r="I2402">
        <v>2401</v>
      </c>
      <c r="J2402">
        <f t="shared" si="298"/>
        <v>-0.44602140294068404</v>
      </c>
      <c r="K2402">
        <f t="shared" si="299"/>
        <v>-0.895022294760764</v>
      </c>
      <c r="L2402">
        <f>VLOOKUP(D2402,[1]SOI!$A$1:$C$142,3)</f>
        <v>-5.5</v>
      </c>
      <c r="M2402" s="2">
        <f t="shared" si="300"/>
        <v>-1070.8973884605823</v>
      </c>
      <c r="N2402">
        <f t="shared" si="301"/>
        <v>-2148.9485297205943</v>
      </c>
      <c r="O2402" t="s">
        <v>8</v>
      </c>
    </row>
    <row r="2403" spans="1:15" x14ac:dyDescent="0.35">
      <c r="A2403">
        <v>2006</v>
      </c>
      <c r="B2403">
        <v>7</v>
      </c>
      <c r="C2403">
        <v>29</v>
      </c>
      <c r="D2403" s="1">
        <f t="shared" si="296"/>
        <v>38927</v>
      </c>
      <c r="E2403">
        <v>0</v>
      </c>
      <c r="F2403">
        <f t="shared" si="302"/>
        <v>0</v>
      </c>
      <c r="G2403">
        <f t="shared" si="297"/>
        <v>0</v>
      </c>
      <c r="H2403">
        <f t="shared" si="303"/>
        <v>0</v>
      </c>
      <c r="I2403">
        <v>2402</v>
      </c>
      <c r="J2403">
        <f t="shared" si="298"/>
        <v>-0.46135120399057472</v>
      </c>
      <c r="K2403">
        <f t="shared" si="299"/>
        <v>-0.88721759821164903</v>
      </c>
      <c r="L2403">
        <f>VLOOKUP(D2403,[1]SOI!$A$1:$C$142,3)</f>
        <v>-5.5</v>
      </c>
      <c r="M2403" s="2">
        <f t="shared" si="300"/>
        <v>-1108.1655919853604</v>
      </c>
      <c r="N2403">
        <f t="shared" si="301"/>
        <v>-2131.096670904381</v>
      </c>
      <c r="O2403" t="s">
        <v>8</v>
      </c>
    </row>
    <row r="2404" spans="1:15" x14ac:dyDescent="0.35">
      <c r="A2404">
        <v>2006</v>
      </c>
      <c r="B2404">
        <v>7</v>
      </c>
      <c r="C2404">
        <v>30</v>
      </c>
      <c r="D2404" s="1">
        <f t="shared" si="296"/>
        <v>38928</v>
      </c>
      <c r="E2404">
        <v>0.6</v>
      </c>
      <c r="F2404">
        <f t="shared" si="302"/>
        <v>0</v>
      </c>
      <c r="G2404">
        <f t="shared" si="297"/>
        <v>1</v>
      </c>
      <c r="H2404">
        <f t="shared" si="303"/>
        <v>0</v>
      </c>
      <c r="I2404">
        <v>2403</v>
      </c>
      <c r="J2404">
        <f t="shared" si="298"/>
        <v>-0.47654448379677739</v>
      </c>
      <c r="K2404">
        <f t="shared" si="299"/>
        <v>-0.87915035970126465</v>
      </c>
      <c r="L2404">
        <f>VLOOKUP(D2404,[1]SOI!$A$1:$C$142,3)</f>
        <v>-5.5</v>
      </c>
      <c r="M2404" s="2">
        <f t="shared" si="300"/>
        <v>-1145.136394563656</v>
      </c>
      <c r="N2404">
        <f t="shared" si="301"/>
        <v>-2112.5983143621388</v>
      </c>
      <c r="O2404" t="s">
        <v>8</v>
      </c>
    </row>
    <row r="2405" spans="1:15" x14ac:dyDescent="0.35">
      <c r="A2405">
        <v>2006</v>
      </c>
      <c r="B2405">
        <v>7</v>
      </c>
      <c r="C2405">
        <v>31</v>
      </c>
      <c r="D2405" s="1">
        <f t="shared" si="296"/>
        <v>38929</v>
      </c>
      <c r="E2405">
        <v>3.6</v>
      </c>
      <c r="F2405">
        <f t="shared" si="302"/>
        <v>0.6</v>
      </c>
      <c r="G2405">
        <f t="shared" si="297"/>
        <v>1</v>
      </c>
      <c r="H2405">
        <f t="shared" si="303"/>
        <v>1</v>
      </c>
      <c r="I2405">
        <v>2404</v>
      </c>
      <c r="J2405">
        <f t="shared" si="298"/>
        <v>-0.49159674642336104</v>
      </c>
      <c r="K2405">
        <f t="shared" si="299"/>
        <v>-0.87082296645527535</v>
      </c>
      <c r="L2405">
        <f>VLOOKUP(D2405,[1]SOI!$A$1:$C$142,3)</f>
        <v>-5.5</v>
      </c>
      <c r="M2405" s="2">
        <f t="shared" si="300"/>
        <v>-1181.7985784017599</v>
      </c>
      <c r="N2405">
        <f t="shared" si="301"/>
        <v>-2093.458411358482</v>
      </c>
      <c r="O2405" t="s">
        <v>8</v>
      </c>
    </row>
    <row r="2406" spans="1:15" x14ac:dyDescent="0.35">
      <c r="A2406">
        <v>2006</v>
      </c>
      <c r="B2406">
        <v>8</v>
      </c>
      <c r="C2406">
        <v>1</v>
      </c>
      <c r="D2406" s="1">
        <f t="shared" si="296"/>
        <v>38930</v>
      </c>
      <c r="E2406">
        <v>5</v>
      </c>
      <c r="F2406">
        <f t="shared" si="302"/>
        <v>3.6</v>
      </c>
      <c r="G2406">
        <f t="shared" si="297"/>
        <v>1</v>
      </c>
      <c r="H2406">
        <f t="shared" si="303"/>
        <v>1</v>
      </c>
      <c r="I2406">
        <v>2405</v>
      </c>
      <c r="J2406">
        <f t="shared" si="298"/>
        <v>-0.50650353766364076</v>
      </c>
      <c r="K2406">
        <f t="shared" si="299"/>
        <v>-0.86223788268332124</v>
      </c>
      <c r="L2406">
        <f>VLOOKUP(D2406,[1]SOI!$A$1:$C$142,3)</f>
        <v>-8.9</v>
      </c>
      <c r="M2406" s="2">
        <f t="shared" si="300"/>
        <v>-1218.141008081056</v>
      </c>
      <c r="N2406">
        <f t="shared" si="301"/>
        <v>-2073.6821078533876</v>
      </c>
      <c r="O2406" t="s">
        <v>8</v>
      </c>
    </row>
    <row r="2407" spans="1:15" x14ac:dyDescent="0.35">
      <c r="A2407">
        <v>2006</v>
      </c>
      <c r="B2407">
        <v>8</v>
      </c>
      <c r="C2407">
        <v>2</v>
      </c>
      <c r="D2407" s="1">
        <f t="shared" si="296"/>
        <v>38931</v>
      </c>
      <c r="E2407">
        <v>0</v>
      </c>
      <c r="F2407">
        <f t="shared" si="302"/>
        <v>5</v>
      </c>
      <c r="G2407">
        <f t="shared" si="297"/>
        <v>0</v>
      </c>
      <c r="H2407">
        <f t="shared" si="303"/>
        <v>1</v>
      </c>
      <c r="I2407">
        <v>2406</v>
      </c>
      <c r="J2407">
        <f t="shared" si="298"/>
        <v>-0.52126044635827373</v>
      </c>
      <c r="K2407">
        <f t="shared" si="299"/>
        <v>-0.85339764884980396</v>
      </c>
      <c r="L2407">
        <f>VLOOKUP(D2407,[1]SOI!$A$1:$C$142,3)</f>
        <v>-8.9</v>
      </c>
      <c r="M2407" s="2">
        <f t="shared" si="300"/>
        <v>-1254.1526339380066</v>
      </c>
      <c r="N2407">
        <f t="shared" si="301"/>
        <v>-2053.2747431326284</v>
      </c>
      <c r="O2407" t="s">
        <v>8</v>
      </c>
    </row>
    <row r="2408" spans="1:15" x14ac:dyDescent="0.35">
      <c r="A2408">
        <v>2006</v>
      </c>
      <c r="B2408">
        <v>8</v>
      </c>
      <c r="C2408">
        <v>3</v>
      </c>
      <c r="D2408" s="1">
        <f t="shared" si="296"/>
        <v>38932</v>
      </c>
      <c r="E2408">
        <v>1.4</v>
      </c>
      <c r="F2408">
        <f t="shared" si="302"/>
        <v>0</v>
      </c>
      <c r="G2408">
        <f t="shared" si="297"/>
        <v>1</v>
      </c>
      <c r="H2408">
        <f t="shared" si="303"/>
        <v>0</v>
      </c>
      <c r="I2408">
        <v>2407</v>
      </c>
      <c r="J2408">
        <f t="shared" si="298"/>
        <v>-0.53586310570056095</v>
      </c>
      <c r="K2408">
        <f t="shared" si="299"/>
        <v>-0.84430488092214029</v>
      </c>
      <c r="L2408">
        <f>VLOOKUP(D2408,[1]SOI!$A$1:$C$142,3)</f>
        <v>-8.9</v>
      </c>
      <c r="M2408" s="2">
        <f t="shared" si="300"/>
        <v>-1289.8224954212501</v>
      </c>
      <c r="N2408">
        <f t="shared" si="301"/>
        <v>-2032.2418483795916</v>
      </c>
      <c r="O2408" t="s">
        <v>8</v>
      </c>
    </row>
    <row r="2409" spans="1:15" x14ac:dyDescent="0.35">
      <c r="A2409">
        <v>2006</v>
      </c>
      <c r="B2409">
        <v>8</v>
      </c>
      <c r="C2409">
        <v>4</v>
      </c>
      <c r="D2409" s="1">
        <f t="shared" si="296"/>
        <v>38933</v>
      </c>
      <c r="E2409">
        <v>3.2</v>
      </c>
      <c r="F2409">
        <f t="shared" si="302"/>
        <v>1.4</v>
      </c>
      <c r="G2409">
        <f t="shared" si="297"/>
        <v>1</v>
      </c>
      <c r="H2409">
        <f t="shared" si="303"/>
        <v>1</v>
      </c>
      <c r="I2409">
        <v>2408</v>
      </c>
      <c r="J2409">
        <f t="shared" si="298"/>
        <v>-0.55030719452865107</v>
      </c>
      <c r="K2409">
        <f t="shared" si="299"/>
        <v>-0.83496226959665987</v>
      </c>
      <c r="L2409">
        <f>VLOOKUP(D2409,[1]SOI!$A$1:$C$142,3)</f>
        <v>-8.9</v>
      </c>
      <c r="M2409" s="2">
        <f t="shared" si="300"/>
        <v>-1325.1397244249918</v>
      </c>
      <c r="N2409">
        <f t="shared" si="301"/>
        <v>-2010.5891451887569</v>
      </c>
      <c r="O2409" t="s">
        <v>8</v>
      </c>
    </row>
    <row r="2410" spans="1:15" x14ac:dyDescent="0.35">
      <c r="A2410">
        <v>2006</v>
      </c>
      <c r="B2410">
        <v>8</v>
      </c>
      <c r="C2410">
        <v>5</v>
      </c>
      <c r="D2410" s="1">
        <f t="shared" si="296"/>
        <v>38934</v>
      </c>
      <c r="E2410">
        <v>0</v>
      </c>
      <c r="F2410">
        <f t="shared" si="302"/>
        <v>3.2</v>
      </c>
      <c r="G2410">
        <f t="shared" si="297"/>
        <v>0</v>
      </c>
      <c r="H2410">
        <f t="shared" si="303"/>
        <v>1</v>
      </c>
      <c r="I2410">
        <v>2409</v>
      </c>
      <c r="J2410">
        <f t="shared" si="298"/>
        <v>-0.56458843860429475</v>
      </c>
      <c r="K2410">
        <f t="shared" si="299"/>
        <v>-0.82537257950235088</v>
      </c>
      <c r="L2410">
        <f>VLOOKUP(D2410,[1]SOI!$A$1:$C$142,3)</f>
        <v>-8.9</v>
      </c>
      <c r="M2410" s="2">
        <f t="shared" si="300"/>
        <v>-1360.0935485977461</v>
      </c>
      <c r="N2410">
        <f t="shared" si="301"/>
        <v>-1988.3225440211634</v>
      </c>
      <c r="O2410" t="s">
        <v>8</v>
      </c>
    </row>
    <row r="2411" spans="1:15" x14ac:dyDescent="0.35">
      <c r="A2411">
        <v>2006</v>
      </c>
      <c r="B2411">
        <v>8</v>
      </c>
      <c r="C2411">
        <v>6</v>
      </c>
      <c r="D2411" s="1">
        <f t="shared" si="296"/>
        <v>38935</v>
      </c>
      <c r="E2411">
        <v>0</v>
      </c>
      <c r="F2411">
        <f t="shared" si="302"/>
        <v>0</v>
      </c>
      <c r="G2411">
        <f t="shared" si="297"/>
        <v>0</v>
      </c>
      <c r="H2411">
        <f t="shared" si="303"/>
        <v>0</v>
      </c>
      <c r="I2411">
        <v>2410</v>
      </c>
      <c r="J2411">
        <f t="shared" si="298"/>
        <v>-0.57870261187759497</v>
      </c>
      <c r="K2411">
        <f t="shared" si="299"/>
        <v>-0.81553864838280332</v>
      </c>
      <c r="L2411">
        <f>VLOOKUP(D2411,[1]SOI!$A$1:$C$142,3)</f>
        <v>-8.9</v>
      </c>
      <c r="M2411" s="2">
        <f t="shared" si="300"/>
        <v>-1394.6732946250038</v>
      </c>
      <c r="N2411">
        <f t="shared" si="301"/>
        <v>-1965.4481426025561</v>
      </c>
      <c r="O2411" t="s">
        <v>8</v>
      </c>
    </row>
    <row r="2412" spans="1:15" x14ac:dyDescent="0.35">
      <c r="A2412">
        <v>2006</v>
      </c>
      <c r="B2412">
        <v>8</v>
      </c>
      <c r="C2412">
        <v>7</v>
      </c>
      <c r="D2412" s="1">
        <f t="shared" si="296"/>
        <v>38936</v>
      </c>
      <c r="E2412">
        <v>0</v>
      </c>
      <c r="F2412">
        <f t="shared" si="302"/>
        <v>0</v>
      </c>
      <c r="G2412">
        <f t="shared" si="297"/>
        <v>0</v>
      </c>
      <c r="H2412">
        <f t="shared" si="303"/>
        <v>0</v>
      </c>
      <c r="I2412">
        <v>2411</v>
      </c>
      <c r="J2412">
        <f t="shared" si="298"/>
        <v>-0.59264553773762252</v>
      </c>
      <c r="K2412">
        <f t="shared" si="299"/>
        <v>-0.80546338625643576</v>
      </c>
      <c r="L2412">
        <f>VLOOKUP(D2412,[1]SOI!$A$1:$C$142,3)</f>
        <v>-8.9</v>
      </c>
      <c r="M2412" s="2">
        <f t="shared" si="300"/>
        <v>-1428.868391485408</v>
      </c>
      <c r="N2412">
        <f t="shared" si="301"/>
        <v>-1941.9722242642667</v>
      </c>
      <c r="O2412" t="s">
        <v>8</v>
      </c>
    </row>
    <row r="2413" spans="1:15" x14ac:dyDescent="0.35">
      <c r="A2413">
        <v>2006</v>
      </c>
      <c r="B2413">
        <v>8</v>
      </c>
      <c r="C2413">
        <v>8</v>
      </c>
      <c r="D2413" s="1">
        <f t="shared" si="296"/>
        <v>38937</v>
      </c>
      <c r="E2413">
        <v>0</v>
      </c>
      <c r="F2413">
        <f t="shared" si="302"/>
        <v>0</v>
      </c>
      <c r="G2413">
        <f t="shared" si="297"/>
        <v>0</v>
      </c>
      <c r="H2413">
        <f t="shared" si="303"/>
        <v>0</v>
      </c>
      <c r="I2413">
        <v>2412</v>
      </c>
      <c r="J2413">
        <f t="shared" si="298"/>
        <v>-0.60641309024827783</v>
      </c>
      <c r="K2413">
        <f t="shared" si="299"/>
        <v>-0.79514977455541924</v>
      </c>
      <c r="L2413">
        <f>VLOOKUP(D2413,[1]SOI!$A$1:$C$142,3)</f>
        <v>-8.9</v>
      </c>
      <c r="M2413" s="2">
        <f t="shared" si="300"/>
        <v>-1462.6683736788461</v>
      </c>
      <c r="N2413">
        <f t="shared" si="301"/>
        <v>-1917.9012562276712</v>
      </c>
      <c r="O2413" t="s">
        <v>8</v>
      </c>
    </row>
    <row r="2414" spans="1:15" x14ac:dyDescent="0.35">
      <c r="A2414">
        <v>2006</v>
      </c>
      <c r="B2414">
        <v>8</v>
      </c>
      <c r="C2414">
        <v>9</v>
      </c>
      <c r="D2414" s="1">
        <f t="shared" si="296"/>
        <v>38938</v>
      </c>
      <c r="E2414">
        <v>0</v>
      </c>
      <c r="F2414">
        <f t="shared" si="302"/>
        <v>0</v>
      </c>
      <c r="G2414">
        <f t="shared" si="297"/>
        <v>0</v>
      </c>
      <c r="H2414">
        <f t="shared" si="303"/>
        <v>0</v>
      </c>
      <c r="I2414">
        <v>2413</v>
      </c>
      <c r="J2414">
        <f t="shared" si="298"/>
        <v>-0.62000119536927456</v>
      </c>
      <c r="K2414">
        <f t="shared" si="299"/>
        <v>-0.78460086524338646</v>
      </c>
      <c r="L2414">
        <f>VLOOKUP(D2414,[1]SOI!$A$1:$C$142,3)</f>
        <v>-8.9</v>
      </c>
      <c r="M2414" s="2">
        <f t="shared" si="300"/>
        <v>-1496.0628844260596</v>
      </c>
      <c r="N2414">
        <f t="shared" si="301"/>
        <v>-1893.2418878322915</v>
      </c>
      <c r="O2414" t="s">
        <v>8</v>
      </c>
    </row>
    <row r="2415" spans="1:15" x14ac:dyDescent="0.35">
      <c r="A2415">
        <v>2006</v>
      </c>
      <c r="B2415">
        <v>8</v>
      </c>
      <c r="C2415">
        <v>10</v>
      </c>
      <c r="D2415" s="1">
        <f t="shared" si="296"/>
        <v>38939</v>
      </c>
      <c r="E2415">
        <v>0</v>
      </c>
      <c r="F2415">
        <f t="shared" si="302"/>
        <v>0</v>
      </c>
      <c r="G2415">
        <f t="shared" si="297"/>
        <v>0</v>
      </c>
      <c r="H2415">
        <f t="shared" si="303"/>
        <v>0</v>
      </c>
      <c r="I2415">
        <v>2414</v>
      </c>
      <c r="J2415">
        <f t="shared" si="298"/>
        <v>-0.63340583216170709</v>
      </c>
      <c r="K2415">
        <f t="shared" si="299"/>
        <v>-0.77381977991230966</v>
      </c>
      <c r="L2415">
        <f>VLOOKUP(D2415,[1]SOI!$A$1:$C$142,3)</f>
        <v>-8.9</v>
      </c>
      <c r="M2415" s="2">
        <f t="shared" si="300"/>
        <v>-1529.0416788383609</v>
      </c>
      <c r="N2415">
        <f t="shared" si="301"/>
        <v>-1868.0009487083155</v>
      </c>
      <c r="O2415" t="s">
        <v>8</v>
      </c>
    </row>
    <row r="2416" spans="1:15" x14ac:dyDescent="0.35">
      <c r="A2416">
        <v>2006</v>
      </c>
      <c r="B2416">
        <v>8</v>
      </c>
      <c r="C2416">
        <v>11</v>
      </c>
      <c r="D2416" s="1">
        <f t="shared" si="296"/>
        <v>38940</v>
      </c>
      <c r="E2416">
        <v>0</v>
      </c>
      <c r="F2416">
        <f t="shared" si="302"/>
        <v>0</v>
      </c>
      <c r="G2416">
        <f t="shared" si="297"/>
        <v>0</v>
      </c>
      <c r="H2416">
        <f t="shared" si="303"/>
        <v>0</v>
      </c>
      <c r="I2416">
        <v>2415</v>
      </c>
      <c r="J2416">
        <f t="shared" si="298"/>
        <v>-0.64662303397788301</v>
      </c>
      <c r="K2416">
        <f t="shared" si="299"/>
        <v>-0.76280970885879362</v>
      </c>
      <c r="L2416">
        <f>VLOOKUP(D2416,[1]SOI!$A$1:$C$142,3)</f>
        <v>-8.9</v>
      </c>
      <c r="M2416" s="2">
        <f t="shared" si="300"/>
        <v>-1561.5946270565876</v>
      </c>
      <c r="N2416">
        <f t="shared" si="301"/>
        <v>-1842.1854468939866</v>
      </c>
      <c r="O2416" t="s">
        <v>8</v>
      </c>
    </row>
    <row r="2417" spans="1:15" x14ac:dyDescent="0.35">
      <c r="A2417">
        <v>2006</v>
      </c>
      <c r="B2417">
        <v>8</v>
      </c>
      <c r="C2417">
        <v>12</v>
      </c>
      <c r="D2417" s="1">
        <f t="shared" si="296"/>
        <v>38941</v>
      </c>
      <c r="E2417">
        <v>0</v>
      </c>
      <c r="F2417">
        <f t="shared" si="302"/>
        <v>0</v>
      </c>
      <c r="G2417">
        <f t="shared" si="297"/>
        <v>0</v>
      </c>
      <c r="H2417">
        <f t="shared" si="303"/>
        <v>0</v>
      </c>
      <c r="I2417">
        <v>2416</v>
      </c>
      <c r="J2417">
        <f t="shared" si="298"/>
        <v>-0.65964888963514068</v>
      </c>
      <c r="K2417">
        <f t="shared" si="299"/>
        <v>-0.75157391013999819</v>
      </c>
      <c r="L2417">
        <f>VLOOKUP(D2417,[1]SOI!$A$1:$C$142,3)</f>
        <v>-8.9</v>
      </c>
      <c r="M2417" s="2">
        <f t="shared" si="300"/>
        <v>-1593.7117173585</v>
      </c>
      <c r="N2417">
        <f t="shared" si="301"/>
        <v>-1815.8025668982357</v>
      </c>
      <c r="O2417" t="s">
        <v>8</v>
      </c>
    </row>
    <row r="2418" spans="1:15" x14ac:dyDescent="0.35">
      <c r="A2418">
        <v>2006</v>
      </c>
      <c r="B2418">
        <v>8</v>
      </c>
      <c r="C2418">
        <v>13</v>
      </c>
      <c r="D2418" s="1">
        <f t="shared" si="296"/>
        <v>38942</v>
      </c>
      <c r="E2418">
        <v>0</v>
      </c>
      <c r="F2418">
        <f t="shared" si="302"/>
        <v>0</v>
      </c>
      <c r="G2418">
        <f t="shared" si="297"/>
        <v>0</v>
      </c>
      <c r="H2418">
        <f t="shared" si="303"/>
        <v>0</v>
      </c>
      <c r="I2418">
        <v>2417</v>
      </c>
      <c r="J2418">
        <f t="shared" si="298"/>
        <v>-0.67247954457322501</v>
      </c>
      <c r="K2418">
        <f t="shared" si="299"/>
        <v>-0.7401157086095308</v>
      </c>
      <c r="L2418">
        <f>VLOOKUP(D2418,[1]SOI!$A$1:$C$142,3)</f>
        <v>-8.9</v>
      </c>
      <c r="M2418" s="2">
        <f t="shared" si="300"/>
        <v>-1625.3830592334848</v>
      </c>
      <c r="N2418">
        <f t="shared" si="301"/>
        <v>-1788.859667709236</v>
      </c>
      <c r="O2418" t="s">
        <v>8</v>
      </c>
    </row>
    <row r="2419" spans="1:15" x14ac:dyDescent="0.35">
      <c r="A2419">
        <v>2006</v>
      </c>
      <c r="B2419">
        <v>8</v>
      </c>
      <c r="C2419">
        <v>14</v>
      </c>
      <c r="D2419" s="1">
        <f t="shared" si="296"/>
        <v>38943</v>
      </c>
      <c r="E2419">
        <v>0</v>
      </c>
      <c r="F2419">
        <f t="shared" si="302"/>
        <v>0</v>
      </c>
      <c r="G2419">
        <f t="shared" si="297"/>
        <v>0</v>
      </c>
      <c r="H2419">
        <f t="shared" si="303"/>
        <v>0</v>
      </c>
      <c r="I2419">
        <v>2418</v>
      </c>
      <c r="J2419">
        <f t="shared" si="298"/>
        <v>-0.68511120199491471</v>
      </c>
      <c r="K2419">
        <f t="shared" si="299"/>
        <v>-0.72843849493356905</v>
      </c>
      <c r="L2419">
        <f>VLOOKUP(D2419,[1]SOI!$A$1:$C$142,3)</f>
        <v>-8.9</v>
      </c>
      <c r="M2419" s="2">
        <f t="shared" si="300"/>
        <v>-1656.5988864237038</v>
      </c>
      <c r="N2419">
        <f t="shared" si="301"/>
        <v>-1761.36428074937</v>
      </c>
      <c r="O2419" t="s">
        <v>8</v>
      </c>
    </row>
    <row r="2420" spans="1:15" x14ac:dyDescent="0.35">
      <c r="A2420">
        <v>2006</v>
      </c>
      <c r="B2420">
        <v>8</v>
      </c>
      <c r="C2420">
        <v>15</v>
      </c>
      <c r="D2420" s="1">
        <f t="shared" si="296"/>
        <v>38944</v>
      </c>
      <c r="E2420">
        <v>0.6</v>
      </c>
      <c r="F2420">
        <f t="shared" si="302"/>
        <v>0</v>
      </c>
      <c r="G2420">
        <f t="shared" si="297"/>
        <v>1</v>
      </c>
      <c r="H2420">
        <f t="shared" si="303"/>
        <v>0</v>
      </c>
      <c r="I2420">
        <v>2419</v>
      </c>
      <c r="J2420">
        <f t="shared" si="298"/>
        <v>-0.69754012398954957</v>
      </c>
      <c r="K2420">
        <f t="shared" si="299"/>
        <v>-0.71654572458751287</v>
      </c>
      <c r="L2420">
        <f>VLOOKUP(D2420,[1]SOI!$A$1:$C$142,3)</f>
        <v>-8.9</v>
      </c>
      <c r="M2420" s="2">
        <f t="shared" si="300"/>
        <v>-1687.3495599307205</v>
      </c>
      <c r="N2420">
        <f t="shared" si="301"/>
        <v>-1733.3241077771936</v>
      </c>
      <c r="O2420" t="s">
        <v>8</v>
      </c>
    </row>
    <row r="2421" spans="1:15" x14ac:dyDescent="0.35">
      <c r="A2421">
        <v>2006</v>
      </c>
      <c r="B2421">
        <v>8</v>
      </c>
      <c r="C2421">
        <v>16</v>
      </c>
      <c r="D2421" s="1">
        <f t="shared" si="296"/>
        <v>38945</v>
      </c>
      <c r="E2421">
        <v>0</v>
      </c>
      <c r="F2421">
        <f t="shared" si="302"/>
        <v>0.6</v>
      </c>
      <c r="G2421">
        <f t="shared" si="297"/>
        <v>0</v>
      </c>
      <c r="H2421">
        <f t="shared" si="303"/>
        <v>1</v>
      </c>
      <c r="I2421">
        <v>2420</v>
      </c>
      <c r="J2421">
        <f t="shared" si="298"/>
        <v>-0.70976263263915962</v>
      </c>
      <c r="K2421">
        <f t="shared" si="299"/>
        <v>-0.70444091683343424</v>
      </c>
      <c r="L2421">
        <f>VLOOKUP(D2421,[1]SOI!$A$1:$C$142,3)</f>
        <v>-8.9</v>
      </c>
      <c r="M2421" s="2">
        <f t="shared" si="300"/>
        <v>-1717.6255709867662</v>
      </c>
      <c r="N2421">
        <f t="shared" si="301"/>
        <v>-1704.7470187369108</v>
      </c>
      <c r="O2421" t="s">
        <v>8</v>
      </c>
    </row>
    <row r="2422" spans="1:15" x14ac:dyDescent="0.35">
      <c r="A2422">
        <v>2006</v>
      </c>
      <c r="B2422">
        <v>8</v>
      </c>
      <c r="C2422">
        <v>17</v>
      </c>
      <c r="D2422" s="1">
        <f t="shared" si="296"/>
        <v>38946</v>
      </c>
      <c r="E2422">
        <v>2</v>
      </c>
      <c r="F2422">
        <f t="shared" si="302"/>
        <v>0</v>
      </c>
      <c r="G2422">
        <f t="shared" si="297"/>
        <v>1</v>
      </c>
      <c r="H2422">
        <f t="shared" si="303"/>
        <v>0</v>
      </c>
      <c r="I2422">
        <v>2421</v>
      </c>
      <c r="J2422">
        <f t="shared" si="298"/>
        <v>-0.72177511110678894</v>
      </c>
      <c r="K2422">
        <f t="shared" si="299"/>
        <v>-0.69212765367869999</v>
      </c>
      <c r="L2422">
        <f>VLOOKUP(D2422,[1]SOI!$A$1:$C$142,3)</f>
        <v>-8.9</v>
      </c>
      <c r="M2422" s="2">
        <f t="shared" si="300"/>
        <v>-1747.4175439895359</v>
      </c>
      <c r="N2422">
        <f t="shared" si="301"/>
        <v>-1675.6410495561327</v>
      </c>
      <c r="O2422" t="s">
        <v>8</v>
      </c>
    </row>
    <row r="2423" spans="1:15" x14ac:dyDescent="0.35">
      <c r="A2423">
        <v>2006</v>
      </c>
      <c r="B2423">
        <v>8</v>
      </c>
      <c r="C2423">
        <v>18</v>
      </c>
      <c r="D2423" s="1">
        <f t="shared" si="296"/>
        <v>38947</v>
      </c>
      <c r="E2423">
        <v>0</v>
      </c>
      <c r="F2423">
        <f t="shared" si="302"/>
        <v>2</v>
      </c>
      <c r="G2423">
        <f t="shared" si="297"/>
        <v>0</v>
      </c>
      <c r="H2423">
        <f t="shared" si="303"/>
        <v>1</v>
      </c>
      <c r="I2423">
        <v>2422</v>
      </c>
      <c r="J2423">
        <f t="shared" si="298"/>
        <v>-0.7335740047067969</v>
      </c>
      <c r="K2423">
        <f t="shared" si="299"/>
        <v>-0.67960957881597894</v>
      </c>
      <c r="L2423">
        <f>VLOOKUP(D2423,[1]SOI!$A$1:$C$142,3)</f>
        <v>-8.9</v>
      </c>
      <c r="M2423" s="2">
        <f t="shared" si="300"/>
        <v>-1776.7162393998622</v>
      </c>
      <c r="N2423">
        <f t="shared" si="301"/>
        <v>-1646.0143998923011</v>
      </c>
      <c r="O2423" t="s">
        <v>8</v>
      </c>
    </row>
    <row r="2424" spans="1:15" x14ac:dyDescent="0.35">
      <c r="A2424">
        <v>2006</v>
      </c>
      <c r="B2424">
        <v>8</v>
      </c>
      <c r="C2424">
        <v>19</v>
      </c>
      <c r="D2424" s="1">
        <f t="shared" si="296"/>
        <v>38948</v>
      </c>
      <c r="E2424">
        <v>0.2</v>
      </c>
      <c r="F2424">
        <f t="shared" si="302"/>
        <v>0</v>
      </c>
      <c r="G2424">
        <f t="shared" si="297"/>
        <v>1</v>
      </c>
      <c r="H2424">
        <f t="shared" si="303"/>
        <v>0</v>
      </c>
      <c r="I2424">
        <v>2423</v>
      </c>
      <c r="J2424">
        <f t="shared" si="298"/>
        <v>-0.74515582195674124</v>
      </c>
      <c r="K2424">
        <f t="shared" si="299"/>
        <v>-0.66689039654501958</v>
      </c>
      <c r="L2424">
        <f>VLOOKUP(D2424,[1]SOI!$A$1:$C$142,3)</f>
        <v>-8.9</v>
      </c>
      <c r="M2424" s="2">
        <f t="shared" si="300"/>
        <v>-1805.5125566011841</v>
      </c>
      <c r="N2424">
        <f t="shared" si="301"/>
        <v>-1615.8754308285825</v>
      </c>
      <c r="O2424" t="s">
        <v>8</v>
      </c>
    </row>
    <row r="2425" spans="1:15" x14ac:dyDescent="0.35">
      <c r="A2425">
        <v>2006</v>
      </c>
      <c r="B2425">
        <v>8</v>
      </c>
      <c r="C2425">
        <v>20</v>
      </c>
      <c r="D2425" s="1">
        <f t="shared" si="296"/>
        <v>38949</v>
      </c>
      <c r="E2425">
        <v>0</v>
      </c>
      <c r="F2425">
        <f t="shared" si="302"/>
        <v>0.2</v>
      </c>
      <c r="G2425">
        <f t="shared" si="297"/>
        <v>0</v>
      </c>
      <c r="H2425">
        <f t="shared" si="303"/>
        <v>1</v>
      </c>
      <c r="I2425">
        <v>2424</v>
      </c>
      <c r="J2425">
        <f t="shared" si="298"/>
        <v>-0.75651713561055944</v>
      </c>
      <c r="K2425">
        <f t="shared" si="299"/>
        <v>-0.65397387067649304</v>
      </c>
      <c r="L2425">
        <f>VLOOKUP(D2425,[1]SOI!$A$1:$C$142,3)</f>
        <v>-8.9</v>
      </c>
      <c r="M2425" s="2">
        <f t="shared" si="300"/>
        <v>-1833.7975367199961</v>
      </c>
      <c r="N2425">
        <f t="shared" si="301"/>
        <v>-1585.2326625198191</v>
      </c>
      <c r="O2425" t="s">
        <v>8</v>
      </c>
    </row>
    <row r="2426" spans="1:15" x14ac:dyDescent="0.35">
      <c r="A2426">
        <v>2006</v>
      </c>
      <c r="B2426">
        <v>8</v>
      </c>
      <c r="C2426">
        <v>21</v>
      </c>
      <c r="D2426" s="1">
        <f t="shared" si="296"/>
        <v>38950</v>
      </c>
      <c r="E2426">
        <v>0</v>
      </c>
      <c r="F2426">
        <f t="shared" si="302"/>
        <v>0</v>
      </c>
      <c r="G2426">
        <f t="shared" si="297"/>
        <v>0</v>
      </c>
      <c r="H2426">
        <f t="shared" si="303"/>
        <v>0</v>
      </c>
      <c r="I2426">
        <v>2425</v>
      </c>
      <c r="J2426">
        <f t="shared" si="298"/>
        <v>-0.76765458367276485</v>
      </c>
      <c r="K2426">
        <f t="shared" si="299"/>
        <v>-0.64086382341820014</v>
      </c>
      <c r="L2426">
        <f>VLOOKUP(D2426,[1]SOI!$A$1:$C$142,3)</f>
        <v>-8.9</v>
      </c>
      <c r="M2426" s="2">
        <f t="shared" si="300"/>
        <v>-1861.5623654064548</v>
      </c>
      <c r="N2426">
        <f t="shared" si="301"/>
        <v>-1554.0947717891354</v>
      </c>
      <c r="O2426" t="s">
        <v>8</v>
      </c>
    </row>
    <row r="2427" spans="1:15" x14ac:dyDescent="0.35">
      <c r="A2427">
        <v>2006</v>
      </c>
      <c r="B2427">
        <v>8</v>
      </c>
      <c r="C2427">
        <v>22</v>
      </c>
      <c r="D2427" s="1">
        <f t="shared" si="296"/>
        <v>38951</v>
      </c>
      <c r="E2427">
        <v>0.6</v>
      </c>
      <c r="F2427">
        <f t="shared" si="302"/>
        <v>0</v>
      </c>
      <c r="G2427">
        <f t="shared" si="297"/>
        <v>1</v>
      </c>
      <c r="H2427">
        <f t="shared" si="303"/>
        <v>0</v>
      </c>
      <c r="I2427">
        <v>2426</v>
      </c>
      <c r="J2427">
        <f t="shared" si="298"/>
        <v>-0.77856487039328681</v>
      </c>
      <c r="K2427">
        <f t="shared" si="299"/>
        <v>-0.62756413424405044</v>
      </c>
      <c r="L2427">
        <f>VLOOKUP(D2427,[1]SOI!$A$1:$C$142,3)</f>
        <v>-8.9</v>
      </c>
      <c r="M2427" s="2">
        <f t="shared" si="300"/>
        <v>-1888.7983755741138</v>
      </c>
      <c r="N2427">
        <f t="shared" si="301"/>
        <v>-1522.4705896760663</v>
      </c>
      <c r="O2427" t="s">
        <v>8</v>
      </c>
    </row>
    <row r="2428" spans="1:15" x14ac:dyDescent="0.35">
      <c r="A2428">
        <v>2006</v>
      </c>
      <c r="B2428">
        <v>8</v>
      </c>
      <c r="C2428">
        <v>23</v>
      </c>
      <c r="D2428" s="1">
        <f t="shared" si="296"/>
        <v>38952</v>
      </c>
      <c r="E2428">
        <v>0.4</v>
      </c>
      <c r="F2428">
        <f t="shared" si="302"/>
        <v>0.6</v>
      </c>
      <c r="G2428">
        <f t="shared" si="297"/>
        <v>1</v>
      </c>
      <c r="H2428">
        <f t="shared" si="303"/>
        <v>1</v>
      </c>
      <c r="I2428">
        <v>2427</v>
      </c>
      <c r="J2428">
        <f t="shared" si="298"/>
        <v>-0.78924476724275505</v>
      </c>
      <c r="K2428">
        <f t="shared" si="299"/>
        <v>-0.61407873874604169</v>
      </c>
      <c r="L2428">
        <f>VLOOKUP(D2428,[1]SOI!$A$1:$C$142,3)</f>
        <v>-8.9</v>
      </c>
      <c r="M2428" s="2">
        <f t="shared" si="300"/>
        <v>-1915.4970500981665</v>
      </c>
      <c r="N2428">
        <f t="shared" si="301"/>
        <v>-1490.3690989366432</v>
      </c>
      <c r="O2428" t="s">
        <v>8</v>
      </c>
    </row>
    <row r="2429" spans="1:15" x14ac:dyDescent="0.35">
      <c r="A2429">
        <v>2006</v>
      </c>
      <c r="B2429">
        <v>8</v>
      </c>
      <c r="C2429">
        <v>24</v>
      </c>
      <c r="D2429" s="1">
        <f t="shared" si="296"/>
        <v>38953</v>
      </c>
      <c r="E2429">
        <v>16.8</v>
      </c>
      <c r="F2429">
        <f t="shared" si="302"/>
        <v>0.4</v>
      </c>
      <c r="G2429">
        <f t="shared" si="297"/>
        <v>1</v>
      </c>
      <c r="H2429">
        <f t="shared" si="303"/>
        <v>1</v>
      </c>
      <c r="I2429">
        <v>2428</v>
      </c>
      <c r="J2429">
        <f t="shared" si="298"/>
        <v>-0.79969111386786895</v>
      </c>
      <c r="K2429">
        <f t="shared" si="299"/>
        <v>-0.60041162746966115</v>
      </c>
      <c r="L2429">
        <f>VLOOKUP(D2429,[1]SOI!$A$1:$C$142,3)</f>
        <v>-8.9</v>
      </c>
      <c r="M2429" s="2">
        <f t="shared" si="300"/>
        <v>-1941.6500244711858</v>
      </c>
      <c r="N2429">
        <f t="shared" si="301"/>
        <v>-1457.7994314963373</v>
      </c>
      <c r="O2429" t="s">
        <v>8</v>
      </c>
    </row>
    <row r="2430" spans="1:15" x14ac:dyDescent="0.35">
      <c r="A2430">
        <v>2006</v>
      </c>
      <c r="B2430">
        <v>8</v>
      </c>
      <c r="C2430">
        <v>25</v>
      </c>
      <c r="D2430" s="1">
        <f t="shared" si="296"/>
        <v>38954</v>
      </c>
      <c r="E2430">
        <v>4.2</v>
      </c>
      <c r="F2430">
        <f t="shared" si="302"/>
        <v>16.8</v>
      </c>
      <c r="G2430">
        <f t="shared" si="297"/>
        <v>1</v>
      </c>
      <c r="H2430">
        <f t="shared" si="303"/>
        <v>1</v>
      </c>
      <c r="I2430">
        <v>2429</v>
      </c>
      <c r="J2430">
        <f t="shared" si="298"/>
        <v>-0.80990081902659627</v>
      </c>
      <c r="K2430">
        <f t="shared" si="299"/>
        <v>-0.58656684473301801</v>
      </c>
      <c r="L2430">
        <f>VLOOKUP(D2430,[1]SOI!$A$1:$C$142,3)</f>
        <v>-8.9</v>
      </c>
      <c r="M2430" s="2">
        <f t="shared" si="300"/>
        <v>-1967.2490894156024</v>
      </c>
      <c r="N2430">
        <f t="shared" si="301"/>
        <v>-1424.7708658565007</v>
      </c>
      <c r="O2430" t="s">
        <v>8</v>
      </c>
    </row>
    <row r="2431" spans="1:15" x14ac:dyDescent="0.35">
      <c r="A2431">
        <v>2006</v>
      </c>
      <c r="B2431">
        <v>8</v>
      </c>
      <c r="C2431">
        <v>26</v>
      </c>
      <c r="D2431" s="1">
        <f t="shared" si="296"/>
        <v>38955</v>
      </c>
      <c r="E2431">
        <v>0</v>
      </c>
      <c r="F2431">
        <f t="shared" si="302"/>
        <v>4.2</v>
      </c>
      <c r="G2431">
        <f t="shared" si="297"/>
        <v>0</v>
      </c>
      <c r="H2431">
        <f t="shared" si="303"/>
        <v>1</v>
      </c>
      <c r="I2431">
        <v>2430</v>
      </c>
      <c r="J2431">
        <f t="shared" si="298"/>
        <v>-0.81987086150291844</v>
      </c>
      <c r="K2431">
        <f t="shared" si="299"/>
        <v>-0.57254848743007114</v>
      </c>
      <c r="L2431">
        <f>VLOOKUP(D2431,[1]SOI!$A$1:$C$142,3)</f>
        <v>-8.9</v>
      </c>
      <c r="M2431" s="2">
        <f t="shared" si="300"/>
        <v>-1992.2861934520918</v>
      </c>
      <c r="N2431">
        <f t="shared" si="301"/>
        <v>-1391.2928244550728</v>
      </c>
      <c r="O2431" t="s">
        <v>8</v>
      </c>
    </row>
    <row r="2432" spans="1:15" x14ac:dyDescent="0.35">
      <c r="A2432">
        <v>2006</v>
      </c>
      <c r="B2432">
        <v>8</v>
      </c>
      <c r="C2432">
        <v>27</v>
      </c>
      <c r="D2432" s="1">
        <f t="shared" si="296"/>
        <v>38956</v>
      </c>
      <c r="E2432">
        <v>0</v>
      </c>
      <c r="F2432">
        <f t="shared" si="302"/>
        <v>0</v>
      </c>
      <c r="G2432">
        <f t="shared" si="297"/>
        <v>0</v>
      </c>
      <c r="H2432">
        <f t="shared" si="303"/>
        <v>0</v>
      </c>
      <c r="I2432">
        <v>2431</v>
      </c>
      <c r="J2432">
        <f t="shared" si="298"/>
        <v>-0.82959829100087212</v>
      </c>
      <c r="K2432">
        <f t="shared" si="299"/>
        <v>-0.55836070381826852</v>
      </c>
      <c r="L2432">
        <f>VLOOKUP(D2432,[1]SOI!$A$1:$C$142,3)</f>
        <v>-8.9</v>
      </c>
      <c r="M2432" s="2">
        <f t="shared" si="300"/>
        <v>-2016.7534454231202</v>
      </c>
      <c r="N2432">
        <f t="shared" si="301"/>
        <v>-1357.3748709822107</v>
      </c>
      <c r="O2432" t="s">
        <v>8</v>
      </c>
    </row>
    <row r="2433" spans="1:15" x14ac:dyDescent="0.35">
      <c r="A2433">
        <v>2006</v>
      </c>
      <c r="B2433">
        <v>8</v>
      </c>
      <c r="C2433">
        <v>28</v>
      </c>
      <c r="D2433" s="1">
        <f t="shared" si="296"/>
        <v>38957</v>
      </c>
      <c r="E2433">
        <v>0</v>
      </c>
      <c r="F2433">
        <f t="shared" si="302"/>
        <v>0</v>
      </c>
      <c r="G2433">
        <f t="shared" si="297"/>
        <v>0</v>
      </c>
      <c r="H2433">
        <f t="shared" si="303"/>
        <v>0</v>
      </c>
      <c r="I2433">
        <v>2432</v>
      </c>
      <c r="J2433">
        <f t="shared" si="298"/>
        <v>-0.83908022901756563</v>
      </c>
      <c r="K2433">
        <f t="shared" si="299"/>
        <v>-0.54400769229104617</v>
      </c>
      <c r="L2433">
        <f>VLOOKUP(D2433,[1]SOI!$A$1:$C$142,3)</f>
        <v>-8.9</v>
      </c>
      <c r="M2433" s="2">
        <f t="shared" si="300"/>
        <v>-2040.6431169707196</v>
      </c>
      <c r="N2433">
        <f t="shared" si="301"/>
        <v>-1323.0267076518244</v>
      </c>
      <c r="O2433" t="s">
        <v>8</v>
      </c>
    </row>
    <row r="2434" spans="1:15" x14ac:dyDescent="0.35">
      <c r="A2434">
        <v>2006</v>
      </c>
      <c r="B2434">
        <v>8</v>
      </c>
      <c r="C2434">
        <v>29</v>
      </c>
      <c r="D2434" s="1">
        <f t="shared" si="296"/>
        <v>38958</v>
      </c>
      <c r="E2434">
        <v>0</v>
      </c>
      <c r="F2434">
        <f t="shared" si="302"/>
        <v>0</v>
      </c>
      <c r="G2434">
        <f t="shared" si="297"/>
        <v>0</v>
      </c>
      <c r="H2434">
        <f t="shared" si="303"/>
        <v>0</v>
      </c>
      <c r="I2434">
        <v>2433</v>
      </c>
      <c r="J2434">
        <f t="shared" si="298"/>
        <v>-0.84831386969499001</v>
      </c>
      <c r="K2434">
        <f t="shared" si="299"/>
        <v>-0.52949370013543273</v>
      </c>
      <c r="L2434">
        <f>VLOOKUP(D2434,[1]SOI!$A$1:$C$142,3)</f>
        <v>-8.9</v>
      </c>
      <c r="M2434" s="2">
        <f t="shared" si="300"/>
        <v>-2063.9476449679105</v>
      </c>
      <c r="N2434">
        <f t="shared" si="301"/>
        <v>-1288.2581724295078</v>
      </c>
      <c r="O2434" t="s">
        <v>8</v>
      </c>
    </row>
    <row r="2435" spans="1:15" x14ac:dyDescent="0.35">
      <c r="A2435">
        <v>2006</v>
      </c>
      <c r="B2435">
        <v>8</v>
      </c>
      <c r="C2435">
        <v>30</v>
      </c>
      <c r="D2435" s="1">
        <f t="shared" ref="D2435:D2498" si="304">DATE(A2435,B2435,C2435)</f>
        <v>38959</v>
      </c>
      <c r="E2435">
        <v>0</v>
      </c>
      <c r="F2435">
        <f t="shared" si="302"/>
        <v>0</v>
      </c>
      <c r="G2435">
        <f t="shared" ref="G2435:G2498" si="305">IF(E2435=0,0,1)</f>
        <v>0</v>
      </c>
      <c r="H2435">
        <f t="shared" si="303"/>
        <v>0</v>
      </c>
      <c r="I2435">
        <v>2434</v>
      </c>
      <c r="J2435">
        <f t="shared" ref="J2435:J2498" si="306">SIN(2*PI()*I2435/365.25)</f>
        <v>-0.85729648065031383</v>
      </c>
      <c r="K2435">
        <f t="shared" ref="K2435:K2498" si="307">COS(2*PI()*I2435/365.25)</f>
        <v>-0.5148230222752147</v>
      </c>
      <c r="L2435">
        <f>VLOOKUP(D2435,[1]SOI!$A$1:$C$142,3)</f>
        <v>-8.9</v>
      </c>
      <c r="M2435" s="2">
        <f t="shared" ref="M2435:M2498" si="308">I2435*J2435</f>
        <v>-2086.6596339028638</v>
      </c>
      <c r="N2435">
        <f t="shared" ref="N2435:N2498" si="309">I2435*K2435</f>
        <v>-1253.0792362178727</v>
      </c>
      <c r="O2435" t="s">
        <v>8</v>
      </c>
    </row>
    <row r="2436" spans="1:15" x14ac:dyDescent="0.35">
      <c r="A2436">
        <v>2006</v>
      </c>
      <c r="B2436">
        <v>8</v>
      </c>
      <c r="C2436">
        <v>31</v>
      </c>
      <c r="D2436" s="1">
        <f t="shared" si="304"/>
        <v>38960</v>
      </c>
      <c r="E2436">
        <v>0</v>
      </c>
      <c r="F2436">
        <f t="shared" ref="F2436:F2499" si="310">E2435</f>
        <v>0</v>
      </c>
      <c r="G2436">
        <f t="shared" si="305"/>
        <v>0</v>
      </c>
      <c r="H2436">
        <f t="shared" ref="H2436:H2499" si="311">G2435</f>
        <v>0</v>
      </c>
      <c r="I2436">
        <v>2435</v>
      </c>
      <c r="J2436">
        <f t="shared" si="306"/>
        <v>-0.86602540378443549</v>
      </c>
      <c r="K2436">
        <f t="shared" si="307"/>
        <v>-0.50000000000000555</v>
      </c>
      <c r="L2436">
        <f>VLOOKUP(D2436,[1]SOI!$A$1:$C$142,3)</f>
        <v>-8.9</v>
      </c>
      <c r="M2436" s="2">
        <f t="shared" si="308"/>
        <v>-2108.7718582151006</v>
      </c>
      <c r="N2436">
        <f t="shared" si="309"/>
        <v>-1217.5000000000134</v>
      </c>
      <c r="O2436" t="s">
        <v>8</v>
      </c>
    </row>
    <row r="2437" spans="1:15" x14ac:dyDescent="0.35">
      <c r="A2437">
        <v>2006</v>
      </c>
      <c r="B2437">
        <v>9</v>
      </c>
      <c r="C2437">
        <v>1</v>
      </c>
      <c r="D2437" s="1">
        <f t="shared" si="304"/>
        <v>38961</v>
      </c>
      <c r="E2437">
        <v>0</v>
      </c>
      <c r="F2437">
        <f t="shared" si="310"/>
        <v>0</v>
      </c>
      <c r="G2437">
        <f t="shared" si="305"/>
        <v>0</v>
      </c>
      <c r="H2437">
        <f t="shared" si="311"/>
        <v>0</v>
      </c>
      <c r="I2437">
        <v>2436</v>
      </c>
      <c r="J2437">
        <f t="shared" si="306"/>
        <v>-0.87449805606857201</v>
      </c>
      <c r="K2437">
        <f t="shared" si="307"/>
        <v>-0.48502901968056378</v>
      </c>
      <c r="L2437">
        <f>VLOOKUP(D2437,[1]SOI!$A$1:$C$142,3)</f>
        <v>-15.9</v>
      </c>
      <c r="M2437" s="2">
        <f t="shared" si="308"/>
        <v>-2130.2772645830414</v>
      </c>
      <c r="N2437">
        <f t="shared" si="309"/>
        <v>-1181.5306919418533</v>
      </c>
      <c r="O2437" t="s">
        <v>8</v>
      </c>
    </row>
    <row r="2438" spans="1:15" x14ac:dyDescent="0.35">
      <c r="A2438">
        <v>2006</v>
      </c>
      <c r="B2438">
        <v>9</v>
      </c>
      <c r="C2438">
        <v>2</v>
      </c>
      <c r="D2438" s="1">
        <f t="shared" si="304"/>
        <v>38962</v>
      </c>
      <c r="E2438">
        <v>0</v>
      </c>
      <c r="F2438">
        <f t="shared" si="310"/>
        <v>0</v>
      </c>
      <c r="G2438">
        <f t="shared" si="305"/>
        <v>0</v>
      </c>
      <c r="H2438">
        <f t="shared" si="311"/>
        <v>0</v>
      </c>
      <c r="I2438">
        <v>2437</v>
      </c>
      <c r="J2438">
        <f t="shared" si="306"/>
        <v>-0.88271193030860029</v>
      </c>
      <c r="K2438">
        <f t="shared" si="307"/>
        <v>-0.46991451147082575</v>
      </c>
      <c r="L2438">
        <f>VLOOKUP(D2438,[1]SOI!$A$1:$C$142,3)</f>
        <v>-15.9</v>
      </c>
      <c r="M2438" s="2">
        <f t="shared" si="308"/>
        <v>-2151.1689741620589</v>
      </c>
      <c r="N2438">
        <f t="shared" si="309"/>
        <v>-1145.1816644544024</v>
      </c>
      <c r="O2438" t="s">
        <v>8</v>
      </c>
    </row>
    <row r="2439" spans="1:15" x14ac:dyDescent="0.35">
      <c r="A2439">
        <v>2006</v>
      </c>
      <c r="B2439">
        <v>9</v>
      </c>
      <c r="C2439">
        <v>3</v>
      </c>
      <c r="D2439" s="1">
        <f t="shared" si="304"/>
        <v>38963</v>
      </c>
      <c r="E2439">
        <v>1.4</v>
      </c>
      <c r="F2439">
        <f t="shared" si="310"/>
        <v>0</v>
      </c>
      <c r="G2439">
        <f t="shared" si="305"/>
        <v>1</v>
      </c>
      <c r="H2439">
        <f t="shared" si="311"/>
        <v>0</v>
      </c>
      <c r="I2439">
        <v>2438</v>
      </c>
      <c r="J2439">
        <f t="shared" si="306"/>
        <v>-0.89066459588697422</v>
      </c>
      <c r="K2439">
        <f t="shared" si="307"/>
        <v>-0.45466094799695844</v>
      </c>
      <c r="L2439">
        <f>VLOOKUP(D2439,[1]SOI!$A$1:$C$142,3)</f>
        <v>-15.9</v>
      </c>
      <c r="M2439" s="2">
        <f t="shared" si="308"/>
        <v>-2171.4402847724432</v>
      </c>
      <c r="N2439">
        <f t="shared" si="309"/>
        <v>-1108.4633912165846</v>
      </c>
      <c r="O2439" t="s">
        <v>8</v>
      </c>
    </row>
    <row r="2440" spans="1:15" x14ac:dyDescent="0.35">
      <c r="A2440">
        <v>2006</v>
      </c>
      <c r="B2440">
        <v>9</v>
      </c>
      <c r="C2440">
        <v>4</v>
      </c>
      <c r="D2440" s="1">
        <f t="shared" si="304"/>
        <v>38964</v>
      </c>
      <c r="E2440">
        <v>4</v>
      </c>
      <c r="F2440">
        <f t="shared" si="310"/>
        <v>1.4</v>
      </c>
      <c r="G2440">
        <f t="shared" si="305"/>
        <v>1</v>
      </c>
      <c r="H2440">
        <f t="shared" si="311"/>
        <v>1</v>
      </c>
      <c r="I2440">
        <v>2439</v>
      </c>
      <c r="J2440">
        <f t="shared" si="306"/>
        <v>-0.89835369948201305</v>
      </c>
      <c r="K2440">
        <f t="shared" si="307"/>
        <v>-0.43927284303378134</v>
      </c>
      <c r="L2440">
        <f>VLOOKUP(D2440,[1]SOI!$A$1:$C$142,3)</f>
        <v>-15.9</v>
      </c>
      <c r="M2440" s="2">
        <f t="shared" si="308"/>
        <v>-2191.0846730366297</v>
      </c>
      <c r="N2440">
        <f t="shared" si="309"/>
        <v>-1071.3864641593927</v>
      </c>
      <c r="O2440" t="s">
        <v>8</v>
      </c>
    </row>
    <row r="2441" spans="1:15" x14ac:dyDescent="0.35">
      <c r="A2441">
        <v>2006</v>
      </c>
      <c r="B2441">
        <v>9</v>
      </c>
      <c r="C2441">
        <v>5</v>
      </c>
      <c r="D2441" s="1">
        <f t="shared" si="304"/>
        <v>38965</v>
      </c>
      <c r="E2441">
        <v>0</v>
      </c>
      <c r="F2441">
        <f t="shared" si="310"/>
        <v>4</v>
      </c>
      <c r="G2441">
        <f t="shared" si="305"/>
        <v>0</v>
      </c>
      <c r="H2441">
        <f t="shared" si="311"/>
        <v>1</v>
      </c>
      <c r="I2441">
        <v>2440</v>
      </c>
      <c r="J2441">
        <f t="shared" si="306"/>
        <v>-0.90577696576425382</v>
      </c>
      <c r="K2441">
        <f t="shared" si="307"/>
        <v>-0.42375475016913</v>
      </c>
      <c r="L2441">
        <f>VLOOKUP(D2441,[1]SOI!$A$1:$C$142,3)</f>
        <v>-15.9</v>
      </c>
      <c r="M2441" s="2">
        <f t="shared" si="308"/>
        <v>-2210.0957964647791</v>
      </c>
      <c r="N2441">
        <f t="shared" si="309"/>
        <v>-1033.9615904126772</v>
      </c>
      <c r="O2441" t="s">
        <v>8</v>
      </c>
    </row>
    <row r="2442" spans="1:15" x14ac:dyDescent="0.35">
      <c r="A2442">
        <v>2006</v>
      </c>
      <c r="B2442">
        <v>9</v>
      </c>
      <c r="C2442">
        <v>6</v>
      </c>
      <c r="D2442" s="1">
        <f t="shared" si="304"/>
        <v>38966</v>
      </c>
      <c r="E2442">
        <v>8.6</v>
      </c>
      <c r="F2442">
        <f t="shared" si="310"/>
        <v>0</v>
      </c>
      <c r="G2442">
        <f t="shared" si="305"/>
        <v>1</v>
      </c>
      <c r="H2442">
        <f t="shared" si="311"/>
        <v>0</v>
      </c>
      <c r="I2442">
        <v>2441</v>
      </c>
      <c r="J2442">
        <f t="shared" si="306"/>
        <v>-0.91293219806977488</v>
      </c>
      <c r="K2442">
        <f t="shared" si="307"/>
        <v>-0.40811126145634524</v>
      </c>
      <c r="L2442">
        <f>VLOOKUP(D2442,[1]SOI!$A$1:$C$142,3)</f>
        <v>-15.9</v>
      </c>
      <c r="M2442" s="2">
        <f t="shared" si="308"/>
        <v>-2228.4674954883203</v>
      </c>
      <c r="N2442">
        <f t="shared" si="309"/>
        <v>-996.19958921493878</v>
      </c>
      <c r="O2442" t="s">
        <v>8</v>
      </c>
    </row>
    <row r="2443" spans="1:15" x14ac:dyDescent="0.35">
      <c r="A2443">
        <v>2006</v>
      </c>
      <c r="B2443">
        <v>9</v>
      </c>
      <c r="C2443">
        <v>7</v>
      </c>
      <c r="D2443" s="1">
        <f t="shared" si="304"/>
        <v>38967</v>
      </c>
      <c r="E2443">
        <v>8.8000000000000007</v>
      </c>
      <c r="F2443">
        <f t="shared" si="310"/>
        <v>8.6</v>
      </c>
      <c r="G2443">
        <f t="shared" si="305"/>
        <v>1</v>
      </c>
      <c r="H2443">
        <f t="shared" si="311"/>
        <v>1</v>
      </c>
      <c r="I2443">
        <v>2442</v>
      </c>
      <c r="J2443">
        <f t="shared" si="306"/>
        <v>-0.91981727905022026</v>
      </c>
      <c r="K2443">
        <f t="shared" si="307"/>
        <v>-0.39234700605541672</v>
      </c>
      <c r="L2443">
        <f>VLOOKUP(D2443,[1]SOI!$A$1:$C$142,3)</f>
        <v>-15.9</v>
      </c>
      <c r="M2443" s="2">
        <f t="shared" si="308"/>
        <v>-2246.193795440638</v>
      </c>
      <c r="N2443">
        <f t="shared" si="309"/>
        <v>-958.11138878732766</v>
      </c>
      <c r="O2443" t="s">
        <v>8</v>
      </c>
    </row>
    <row r="2444" spans="1:15" x14ac:dyDescent="0.35">
      <c r="A2444">
        <v>2006</v>
      </c>
      <c r="B2444">
        <v>9</v>
      </c>
      <c r="C2444">
        <v>8</v>
      </c>
      <c r="D2444" s="1">
        <f t="shared" si="304"/>
        <v>38968</v>
      </c>
      <c r="E2444">
        <v>1.8</v>
      </c>
      <c r="F2444">
        <f t="shared" si="310"/>
        <v>8.8000000000000007</v>
      </c>
      <c r="G2444">
        <f t="shared" si="305"/>
        <v>1</v>
      </c>
      <c r="H2444">
        <f t="shared" si="311"/>
        <v>1</v>
      </c>
      <c r="I2444">
        <v>2443</v>
      </c>
      <c r="J2444">
        <f t="shared" si="306"/>
        <v>-0.92643017129935767</v>
      </c>
      <c r="K2444">
        <f t="shared" si="307"/>
        <v>-0.37646664886314007</v>
      </c>
      <c r="L2444">
        <f>VLOOKUP(D2444,[1]SOI!$A$1:$C$142,3)</f>
        <v>-15.9</v>
      </c>
      <c r="M2444" s="2">
        <f t="shared" si="308"/>
        <v>-2263.268908484331</v>
      </c>
      <c r="N2444">
        <f t="shared" si="309"/>
        <v>-919.70802317265122</v>
      </c>
      <c r="O2444" t="s">
        <v>8</v>
      </c>
    </row>
    <row r="2445" spans="1:15" x14ac:dyDescent="0.35">
      <c r="A2445">
        <v>2006</v>
      </c>
      <c r="B2445">
        <v>9</v>
      </c>
      <c r="C2445">
        <v>9</v>
      </c>
      <c r="D2445" s="1">
        <f t="shared" si="304"/>
        <v>38969</v>
      </c>
      <c r="E2445">
        <v>3.4</v>
      </c>
      <c r="F2445">
        <f t="shared" si="310"/>
        <v>1.8</v>
      </c>
      <c r="G2445">
        <f t="shared" si="305"/>
        <v>1</v>
      </c>
      <c r="H2445">
        <f t="shared" si="311"/>
        <v>1</v>
      </c>
      <c r="I2445">
        <v>2444</v>
      </c>
      <c r="J2445">
        <f t="shared" si="306"/>
        <v>-0.93276891795597683</v>
      </c>
      <c r="K2445">
        <f t="shared" si="307"/>
        <v>-0.36047488913270542</v>
      </c>
      <c r="L2445">
        <f>VLOOKUP(D2445,[1]SOI!$A$1:$C$142,3)</f>
        <v>-15.9</v>
      </c>
      <c r="M2445" s="2">
        <f t="shared" si="308"/>
        <v>-2279.6872354844072</v>
      </c>
      <c r="N2445">
        <f t="shared" si="309"/>
        <v>-881.000629040332</v>
      </c>
      <c r="O2445" t="s">
        <v>8</v>
      </c>
    </row>
    <row r="2446" spans="1:15" x14ac:dyDescent="0.35">
      <c r="A2446">
        <v>2006</v>
      </c>
      <c r="B2446">
        <v>9</v>
      </c>
      <c r="C2446">
        <v>10</v>
      </c>
      <c r="D2446" s="1">
        <f t="shared" si="304"/>
        <v>38970</v>
      </c>
      <c r="E2446">
        <v>0.2</v>
      </c>
      <c r="F2446">
        <f t="shared" si="310"/>
        <v>3.4</v>
      </c>
      <c r="G2446">
        <f t="shared" si="305"/>
        <v>1</v>
      </c>
      <c r="H2446">
        <f t="shared" si="311"/>
        <v>1</v>
      </c>
      <c r="I2446">
        <v>2445</v>
      </c>
      <c r="J2446">
        <f t="shared" si="306"/>
        <v>-0.93883164328296653</v>
      </c>
      <c r="K2446">
        <f t="shared" si="307"/>
        <v>-0.34437645908308651</v>
      </c>
      <c r="L2446">
        <f>VLOOKUP(D2446,[1]SOI!$A$1:$C$142,3)</f>
        <v>-15.9</v>
      </c>
      <c r="M2446" s="2">
        <f t="shared" si="308"/>
        <v>-2295.4433678268533</v>
      </c>
      <c r="N2446">
        <f t="shared" si="309"/>
        <v>-842.00044245814649</v>
      </c>
      <c r="O2446" t="s">
        <v>8</v>
      </c>
    </row>
    <row r="2447" spans="1:15" x14ac:dyDescent="0.35">
      <c r="A2447">
        <v>2006</v>
      </c>
      <c r="B2447">
        <v>9</v>
      </c>
      <c r="C2447">
        <v>11</v>
      </c>
      <c r="D2447" s="1">
        <f t="shared" si="304"/>
        <v>38971</v>
      </c>
      <c r="E2447">
        <v>0</v>
      </c>
      <c r="F2447">
        <f t="shared" si="310"/>
        <v>0.2</v>
      </c>
      <c r="G2447">
        <f t="shared" si="305"/>
        <v>0</v>
      </c>
      <c r="H2447">
        <f t="shared" si="311"/>
        <v>1</v>
      </c>
      <c r="I2447">
        <v>2446</v>
      </c>
      <c r="J2447">
        <f t="shared" si="306"/>
        <v>-0.94461655322236004</v>
      </c>
      <c r="K2447">
        <f t="shared" si="307"/>
        <v>-0.32817612249874045</v>
      </c>
      <c r="L2447">
        <f>VLOOKUP(D2447,[1]SOI!$A$1:$C$142,3)</f>
        <v>-15.9</v>
      </c>
      <c r="M2447" s="2">
        <f t="shared" si="308"/>
        <v>-2310.5320891818928</v>
      </c>
      <c r="N2447">
        <f t="shared" si="309"/>
        <v>-802.71879563191919</v>
      </c>
      <c r="O2447" t="s">
        <v>8</v>
      </c>
    </row>
    <row r="2448" spans="1:15" x14ac:dyDescent="0.35">
      <c r="A2448">
        <v>2006</v>
      </c>
      <c r="B2448">
        <v>9</v>
      </c>
      <c r="C2448">
        <v>12</v>
      </c>
      <c r="D2448" s="1">
        <f t="shared" si="304"/>
        <v>38972</v>
      </c>
      <c r="E2448">
        <v>0</v>
      </c>
      <c r="F2448">
        <f t="shared" si="310"/>
        <v>0</v>
      </c>
      <c r="G2448">
        <f t="shared" si="305"/>
        <v>0</v>
      </c>
      <c r="H2448">
        <f t="shared" si="311"/>
        <v>0</v>
      </c>
      <c r="I2448">
        <v>2447</v>
      </c>
      <c r="J2448">
        <f t="shared" si="306"/>
        <v>-0.95012193592623606</v>
      </c>
      <c r="K2448">
        <f t="shared" si="307"/>
        <v>-0.31187867331990088</v>
      </c>
      <c r="L2448">
        <f>VLOOKUP(D2448,[1]SOI!$A$1:$C$142,3)</f>
        <v>-15.9</v>
      </c>
      <c r="M2448" s="2">
        <f t="shared" si="308"/>
        <v>-2324.9483772114995</v>
      </c>
      <c r="N2448">
        <f t="shared" si="309"/>
        <v>-763.16711361379748</v>
      </c>
      <c r="O2448" t="s">
        <v>8</v>
      </c>
    </row>
    <row r="2449" spans="1:15" x14ac:dyDescent="0.35">
      <c r="A2449">
        <v>2006</v>
      </c>
      <c r="B2449">
        <v>9</v>
      </c>
      <c r="C2449">
        <v>13</v>
      </c>
      <c r="D2449" s="1">
        <f t="shared" si="304"/>
        <v>38973</v>
      </c>
      <c r="E2449">
        <v>0</v>
      </c>
      <c r="F2449">
        <f t="shared" si="310"/>
        <v>0</v>
      </c>
      <c r="G2449">
        <f t="shared" si="305"/>
        <v>0</v>
      </c>
      <c r="H2449">
        <f t="shared" si="311"/>
        <v>0</v>
      </c>
      <c r="I2449">
        <v>2448</v>
      </c>
      <c r="J2449">
        <f t="shared" si="306"/>
        <v>-0.9553461622632794</v>
      </c>
      <c r="K2449">
        <f t="shared" si="307"/>
        <v>-0.29548893422398059</v>
      </c>
      <c r="L2449">
        <f>VLOOKUP(D2449,[1]SOI!$A$1:$C$142,3)</f>
        <v>-15.9</v>
      </c>
      <c r="M2449" s="2">
        <f t="shared" si="308"/>
        <v>-2338.687405220508</v>
      </c>
      <c r="N2449">
        <f t="shared" si="309"/>
        <v>-723.35691098030452</v>
      </c>
      <c r="O2449" t="s">
        <v>8</v>
      </c>
    </row>
    <row r="2450" spans="1:15" x14ac:dyDescent="0.35">
      <c r="A2450">
        <v>2006</v>
      </c>
      <c r="B2450">
        <v>9</v>
      </c>
      <c r="C2450">
        <v>14</v>
      </c>
      <c r="D2450" s="1">
        <f t="shared" si="304"/>
        <v>38974</v>
      </c>
      <c r="E2450">
        <v>0</v>
      </c>
      <c r="F2450">
        <f t="shared" si="310"/>
        <v>0</v>
      </c>
      <c r="G2450">
        <f t="shared" si="305"/>
        <v>0</v>
      </c>
      <c r="H2450">
        <f t="shared" si="311"/>
        <v>0</v>
      </c>
      <c r="I2450">
        <v>2449</v>
      </c>
      <c r="J2450">
        <f t="shared" si="306"/>
        <v>-0.96028768630086514</v>
      </c>
      <c r="K2450">
        <f t="shared" si="307"/>
        <v>-0.27901175519847043</v>
      </c>
      <c r="L2450">
        <f>VLOOKUP(D2450,[1]SOI!$A$1:$C$142,3)</f>
        <v>-15.9</v>
      </c>
      <c r="M2450" s="2">
        <f t="shared" si="308"/>
        <v>-2351.7445437508186</v>
      </c>
      <c r="N2450">
        <f t="shared" si="309"/>
        <v>-683.29978848105407</v>
      </c>
      <c r="O2450" t="s">
        <v>8</v>
      </c>
    </row>
    <row r="2451" spans="1:15" x14ac:dyDescent="0.35">
      <c r="A2451">
        <v>2006</v>
      </c>
      <c r="B2451">
        <v>9</v>
      </c>
      <c r="C2451">
        <v>15</v>
      </c>
      <c r="D2451" s="1">
        <f t="shared" si="304"/>
        <v>38975</v>
      </c>
      <c r="E2451">
        <v>0</v>
      </c>
      <c r="F2451">
        <f t="shared" si="310"/>
        <v>0</v>
      </c>
      <c r="G2451">
        <f t="shared" si="305"/>
        <v>0</v>
      </c>
      <c r="H2451">
        <f t="shared" si="311"/>
        <v>0</v>
      </c>
      <c r="I2451">
        <v>2450</v>
      </c>
      <c r="J2451">
        <f t="shared" si="306"/>
        <v>-0.96494504576253337</v>
      </c>
      <c r="K2451">
        <f t="shared" si="307"/>
        <v>-0.26245201210572272</v>
      </c>
      <c r="L2451">
        <f>VLOOKUP(D2451,[1]SOI!$A$1:$C$142,3)</f>
        <v>-15.9</v>
      </c>
      <c r="M2451" s="2">
        <f t="shared" si="308"/>
        <v>-2364.1153621182066</v>
      </c>
      <c r="N2451">
        <f t="shared" si="309"/>
        <v>-643.00742965902066</v>
      </c>
      <c r="O2451" t="s">
        <v>8</v>
      </c>
    </row>
    <row r="2452" spans="1:15" x14ac:dyDescent="0.35">
      <c r="A2452">
        <v>2006</v>
      </c>
      <c r="B2452">
        <v>9</v>
      </c>
      <c r="C2452">
        <v>16</v>
      </c>
      <c r="D2452" s="1">
        <f t="shared" si="304"/>
        <v>38976</v>
      </c>
      <c r="E2452">
        <v>0</v>
      </c>
      <c r="F2452">
        <f t="shared" si="310"/>
        <v>0</v>
      </c>
      <c r="G2452">
        <f t="shared" si="305"/>
        <v>0</v>
      </c>
      <c r="H2452">
        <f t="shared" si="311"/>
        <v>0</v>
      </c>
      <c r="I2452">
        <v>2451</v>
      </c>
      <c r="J2452">
        <f t="shared" si="306"/>
        <v>-0.96931686246068738</v>
      </c>
      <c r="K2452">
        <f t="shared" si="307"/>
        <v>-0.24581460524014609</v>
      </c>
      <c r="L2452">
        <f>VLOOKUP(D2452,[1]SOI!$A$1:$C$142,3)</f>
        <v>-15.9</v>
      </c>
      <c r="M2452" s="2">
        <f t="shared" si="308"/>
        <v>-2375.7956298911449</v>
      </c>
      <c r="N2452">
        <f t="shared" si="309"/>
        <v>-602.49159744359804</v>
      </c>
      <c r="O2452" t="s">
        <v>8</v>
      </c>
    </row>
    <row r="2453" spans="1:15" x14ac:dyDescent="0.35">
      <c r="A2453">
        <v>2006</v>
      </c>
      <c r="B2453">
        <v>9</v>
      </c>
      <c r="C2453">
        <v>17</v>
      </c>
      <c r="D2453" s="1">
        <f t="shared" si="304"/>
        <v>38977</v>
      </c>
      <c r="E2453">
        <v>0</v>
      </c>
      <c r="F2453">
        <f t="shared" si="310"/>
        <v>0</v>
      </c>
      <c r="G2453">
        <f t="shared" si="305"/>
        <v>0</v>
      </c>
      <c r="H2453">
        <f t="shared" si="311"/>
        <v>0</v>
      </c>
      <c r="I2453">
        <v>2452</v>
      </c>
      <c r="J2453">
        <f t="shared" si="306"/>
        <v>-0.97340184270443053</v>
      </c>
      <c r="K2453">
        <f t="shared" si="307"/>
        <v>-0.22910445787810216</v>
      </c>
      <c r="L2453">
        <f>VLOOKUP(D2453,[1]SOI!$A$1:$C$142,3)</f>
        <v>-15.9</v>
      </c>
      <c r="M2453" s="2">
        <f t="shared" si="308"/>
        <v>-2386.7813183112635</v>
      </c>
      <c r="N2453">
        <f t="shared" si="309"/>
        <v>-561.76413071710647</v>
      </c>
      <c r="O2453" t="s">
        <v>8</v>
      </c>
    </row>
    <row r="2454" spans="1:15" x14ac:dyDescent="0.35">
      <c r="A2454">
        <v>2006</v>
      </c>
      <c r="B2454">
        <v>9</v>
      </c>
      <c r="C2454">
        <v>18</v>
      </c>
      <c r="D2454" s="1">
        <f t="shared" si="304"/>
        <v>38978</v>
      </c>
      <c r="E2454">
        <v>0</v>
      </c>
      <c r="F2454">
        <f t="shared" si="310"/>
        <v>0</v>
      </c>
      <c r="G2454">
        <f t="shared" si="305"/>
        <v>0</v>
      </c>
      <c r="H2454">
        <f t="shared" si="311"/>
        <v>0</v>
      </c>
      <c r="I2454">
        <v>2453</v>
      </c>
      <c r="J2454">
        <f t="shared" si="306"/>
        <v>-0.97719877768238761</v>
      </c>
      <c r="K2454">
        <f t="shared" si="307"/>
        <v>-0.21232651482103579</v>
      </c>
      <c r="L2454">
        <f>VLOOKUP(D2454,[1]SOI!$A$1:$C$142,3)</f>
        <v>-15.9</v>
      </c>
      <c r="M2454" s="2">
        <f t="shared" si="308"/>
        <v>-2397.0686016548966</v>
      </c>
      <c r="N2454">
        <f t="shared" si="309"/>
        <v>-520.83694085600075</v>
      </c>
      <c r="O2454" t="s">
        <v>8</v>
      </c>
    </row>
    <row r="2455" spans="1:15" x14ac:dyDescent="0.35">
      <c r="A2455">
        <v>2006</v>
      </c>
      <c r="B2455">
        <v>9</v>
      </c>
      <c r="C2455">
        <v>19</v>
      </c>
      <c r="D2455" s="1">
        <f t="shared" si="304"/>
        <v>38979</v>
      </c>
      <c r="E2455">
        <v>0</v>
      </c>
      <c r="F2455">
        <f t="shared" si="310"/>
        <v>0</v>
      </c>
      <c r="G2455">
        <f t="shared" si="305"/>
        <v>0</v>
      </c>
      <c r="H2455">
        <f t="shared" si="311"/>
        <v>0</v>
      </c>
      <c r="I2455">
        <v>2454</v>
      </c>
      <c r="J2455">
        <f t="shared" si="306"/>
        <v>-0.98070654382041189</v>
      </c>
      <c r="K2455">
        <f t="shared" si="307"/>
        <v>-0.19548574093222873</v>
      </c>
      <c r="L2455">
        <f>VLOOKUP(D2455,[1]SOI!$A$1:$C$142,3)</f>
        <v>-15.9</v>
      </c>
      <c r="M2455" s="2">
        <f t="shared" si="308"/>
        <v>-2406.653858535291</v>
      </c>
      <c r="N2455">
        <f t="shared" si="309"/>
        <v>-479.7220082476893</v>
      </c>
      <c r="O2455" t="s">
        <v>8</v>
      </c>
    </row>
    <row r="2456" spans="1:15" x14ac:dyDescent="0.35">
      <c r="A2456">
        <v>2006</v>
      </c>
      <c r="B2456">
        <v>9</v>
      </c>
      <c r="C2456">
        <v>20</v>
      </c>
      <c r="D2456" s="1">
        <f t="shared" si="304"/>
        <v>38980</v>
      </c>
      <c r="E2456">
        <v>1.4</v>
      </c>
      <c r="F2456">
        <f t="shared" si="310"/>
        <v>0</v>
      </c>
      <c r="G2456">
        <f t="shared" si="305"/>
        <v>1</v>
      </c>
      <c r="H2456">
        <f t="shared" si="311"/>
        <v>0</v>
      </c>
      <c r="I2456">
        <v>2455</v>
      </c>
      <c r="J2456">
        <f t="shared" si="306"/>
        <v>-0.98392410311406742</v>
      </c>
      <c r="K2456">
        <f t="shared" si="307"/>
        <v>-0.17858711966762367</v>
      </c>
      <c r="L2456">
        <f>VLOOKUP(D2456,[1]SOI!$A$1:$C$142,3)</f>
        <v>-15.9</v>
      </c>
      <c r="M2456" s="2">
        <f t="shared" si="308"/>
        <v>-2415.5336731450357</v>
      </c>
      <c r="N2456">
        <f t="shared" si="309"/>
        <v>-438.43137878401609</v>
      </c>
      <c r="O2456" t="s">
        <v>8</v>
      </c>
    </row>
    <row r="2457" spans="1:15" x14ac:dyDescent="0.35">
      <c r="A2457">
        <v>2006</v>
      </c>
      <c r="B2457">
        <v>9</v>
      </c>
      <c r="C2457">
        <v>21</v>
      </c>
      <c r="D2457" s="1">
        <f t="shared" si="304"/>
        <v>38981</v>
      </c>
      <c r="E2457">
        <v>0.2</v>
      </c>
      <c r="F2457">
        <f t="shared" si="310"/>
        <v>1.4</v>
      </c>
      <c r="G2457">
        <f t="shared" si="305"/>
        <v>1</v>
      </c>
      <c r="H2457">
        <f t="shared" si="311"/>
        <v>1</v>
      </c>
      <c r="I2457">
        <v>2456</v>
      </c>
      <c r="J2457">
        <f t="shared" si="306"/>
        <v>-0.98685050343579606</v>
      </c>
      <c r="K2457">
        <f t="shared" si="307"/>
        <v>-0.16163565160111151</v>
      </c>
      <c r="L2457">
        <f>VLOOKUP(D2457,[1]SOI!$A$1:$C$142,3)</f>
        <v>-15.9</v>
      </c>
      <c r="M2457" s="2">
        <f t="shared" si="308"/>
        <v>-2423.7048364383149</v>
      </c>
      <c r="N2457">
        <f t="shared" si="309"/>
        <v>-396.9771603323299</v>
      </c>
      <c r="O2457" t="s">
        <v>8</v>
      </c>
    </row>
    <row r="2458" spans="1:15" x14ac:dyDescent="0.35">
      <c r="A2458">
        <v>2006</v>
      </c>
      <c r="B2458">
        <v>9</v>
      </c>
      <c r="C2458">
        <v>22</v>
      </c>
      <c r="D2458" s="1">
        <f t="shared" si="304"/>
        <v>38982</v>
      </c>
      <c r="E2458">
        <v>0</v>
      </c>
      <c r="F2458">
        <f t="shared" si="310"/>
        <v>0.2</v>
      </c>
      <c r="G2458">
        <f t="shared" si="305"/>
        <v>0</v>
      </c>
      <c r="H2458">
        <f t="shared" si="311"/>
        <v>1</v>
      </c>
      <c r="I2458">
        <v>2457</v>
      </c>
      <c r="J2458">
        <f t="shared" si="306"/>
        <v>-0.98948487881666014</v>
      </c>
      <c r="K2458">
        <f t="shared" si="307"/>
        <v>-0.14463635294482299</v>
      </c>
      <c r="L2458">
        <f>VLOOKUP(D2458,[1]SOI!$A$1:$C$142,3)</f>
        <v>-15.9</v>
      </c>
      <c r="M2458" s="2">
        <f t="shared" si="308"/>
        <v>-2431.1643472525338</v>
      </c>
      <c r="N2458">
        <f t="shared" si="309"/>
        <v>-355.37151918543009</v>
      </c>
      <c r="O2458" t="s">
        <v>8</v>
      </c>
    </row>
    <row r="2459" spans="1:15" x14ac:dyDescent="0.35">
      <c r="A2459">
        <v>2006</v>
      </c>
      <c r="B2459">
        <v>9</v>
      </c>
      <c r="C2459">
        <v>23</v>
      </c>
      <c r="D2459" s="1">
        <f t="shared" si="304"/>
        <v>38983</v>
      </c>
      <c r="E2459">
        <v>0</v>
      </c>
      <c r="F2459">
        <f t="shared" si="310"/>
        <v>0</v>
      </c>
      <c r="G2459">
        <f t="shared" si="305"/>
        <v>0</v>
      </c>
      <c r="H2459">
        <f t="shared" si="311"/>
        <v>0</v>
      </c>
      <c r="I2459">
        <v>2458</v>
      </c>
      <c r="J2459">
        <f t="shared" si="306"/>
        <v>-0.99182644970260136</v>
      </c>
      <c r="K2459">
        <f t="shared" si="307"/>
        <v>-0.12759425406472294</v>
      </c>
      <c r="L2459">
        <f>VLOOKUP(D2459,[1]SOI!$A$1:$C$142,3)</f>
        <v>-15.9</v>
      </c>
      <c r="M2459" s="2">
        <f t="shared" si="308"/>
        <v>-2437.9094133689941</v>
      </c>
      <c r="N2459">
        <f t="shared" si="309"/>
        <v>-313.62667649108897</v>
      </c>
      <c r="O2459" t="s">
        <v>8</v>
      </c>
    </row>
    <row r="2460" spans="1:15" x14ac:dyDescent="0.35">
      <c r="A2460">
        <v>2006</v>
      </c>
      <c r="B2460">
        <v>9</v>
      </c>
      <c r="C2460">
        <v>24</v>
      </c>
      <c r="D2460" s="1">
        <f t="shared" si="304"/>
        <v>38984</v>
      </c>
      <c r="E2460">
        <v>3.2</v>
      </c>
      <c r="F2460">
        <f t="shared" si="310"/>
        <v>0</v>
      </c>
      <c r="G2460">
        <f t="shared" si="305"/>
        <v>1</v>
      </c>
      <c r="H2460">
        <f t="shared" si="311"/>
        <v>0</v>
      </c>
      <c r="I2460">
        <v>2459</v>
      </c>
      <c r="J2460">
        <f t="shared" si="306"/>
        <v>-0.99387452318512248</v>
      </c>
      <c r="K2460">
        <f t="shared" si="307"/>
        <v>-0.11051439799205097</v>
      </c>
      <c r="L2460">
        <f>VLOOKUP(D2460,[1]SOI!$A$1:$C$142,3)</f>
        <v>-15.9</v>
      </c>
      <c r="M2460" s="2">
        <f t="shared" si="308"/>
        <v>-2443.9374525122162</v>
      </c>
      <c r="N2460">
        <f t="shared" si="309"/>
        <v>-271.75490466245333</v>
      </c>
      <c r="O2460" t="s">
        <v>8</v>
      </c>
    </row>
    <row r="2461" spans="1:15" x14ac:dyDescent="0.35">
      <c r="A2461">
        <v>2006</v>
      </c>
      <c r="B2461">
        <v>9</v>
      </c>
      <c r="C2461">
        <v>25</v>
      </c>
      <c r="D2461" s="1">
        <f t="shared" si="304"/>
        <v>38985</v>
      </c>
      <c r="E2461">
        <v>3.6</v>
      </c>
      <c r="F2461">
        <f t="shared" si="310"/>
        <v>3.2</v>
      </c>
      <c r="G2461">
        <f t="shared" si="305"/>
        <v>1</v>
      </c>
      <c r="H2461">
        <f t="shared" si="311"/>
        <v>1</v>
      </c>
      <c r="I2461">
        <v>2460</v>
      </c>
      <c r="J2461">
        <f t="shared" si="306"/>
        <v>-0.99562849320632885</v>
      </c>
      <c r="K2461">
        <f t="shared" si="307"/>
        <v>-9.3401838931014544E-2</v>
      </c>
      <c r="L2461">
        <f>VLOOKUP(D2461,[1]SOI!$A$1:$C$142,3)</f>
        <v>-15.9</v>
      </c>
      <c r="M2461" s="2">
        <f t="shared" si="308"/>
        <v>-2449.2460932875688</v>
      </c>
      <c r="N2461">
        <f t="shared" si="309"/>
        <v>-229.76852377029579</v>
      </c>
      <c r="O2461" t="s">
        <v>8</v>
      </c>
    </row>
    <row r="2462" spans="1:15" x14ac:dyDescent="0.35">
      <c r="A2462">
        <v>2006</v>
      </c>
      <c r="B2462">
        <v>9</v>
      </c>
      <c r="C2462">
        <v>26</v>
      </c>
      <c r="D2462" s="1">
        <f t="shared" si="304"/>
        <v>38986</v>
      </c>
      <c r="E2462">
        <v>0</v>
      </c>
      <c r="F2462">
        <f t="shared" si="310"/>
        <v>3.6</v>
      </c>
      <c r="G2462">
        <f t="shared" si="305"/>
        <v>0</v>
      </c>
      <c r="H2462">
        <f t="shared" si="311"/>
        <v>1</v>
      </c>
      <c r="I2462">
        <v>2461</v>
      </c>
      <c r="J2462">
        <f t="shared" si="306"/>
        <v>-0.99708784073827406</v>
      </c>
      <c r="K2462">
        <f t="shared" si="307"/>
        <v>-7.6261640763140265E-2</v>
      </c>
      <c r="L2462">
        <f>VLOOKUP(D2462,[1]SOI!$A$1:$C$142,3)</f>
        <v>-15.9</v>
      </c>
      <c r="M2462" s="2">
        <f t="shared" si="308"/>
        <v>-2453.8331760568926</v>
      </c>
      <c r="N2462">
        <f t="shared" si="309"/>
        <v>-187.67989791808819</v>
      </c>
      <c r="O2462" t="s">
        <v>8</v>
      </c>
    </row>
    <row r="2463" spans="1:15" x14ac:dyDescent="0.35">
      <c r="A2463">
        <v>2006</v>
      </c>
      <c r="B2463">
        <v>9</v>
      </c>
      <c r="C2463">
        <v>27</v>
      </c>
      <c r="D2463" s="1">
        <f t="shared" si="304"/>
        <v>38987</v>
      </c>
      <c r="E2463">
        <v>0</v>
      </c>
      <c r="F2463">
        <f t="shared" si="310"/>
        <v>0</v>
      </c>
      <c r="G2463">
        <f t="shared" si="305"/>
        <v>0</v>
      </c>
      <c r="H2463">
        <f t="shared" si="311"/>
        <v>0</v>
      </c>
      <c r="I2463">
        <v>2462</v>
      </c>
      <c r="J2463">
        <f t="shared" si="306"/>
        <v>-0.99825213393654433</v>
      </c>
      <c r="K2463">
        <f t="shared" si="307"/>
        <v>-5.9098875548825251E-2</v>
      </c>
      <c r="L2463">
        <f>VLOOKUP(D2463,[1]SOI!$A$1:$C$142,3)</f>
        <v>-15.9</v>
      </c>
      <c r="M2463" s="2">
        <f t="shared" si="308"/>
        <v>-2457.6967537517721</v>
      </c>
      <c r="N2463">
        <f t="shared" si="309"/>
        <v>-145.50143160120777</v>
      </c>
      <c r="O2463" t="s">
        <v>8</v>
      </c>
    </row>
    <row r="2464" spans="1:15" x14ac:dyDescent="0.35">
      <c r="A2464">
        <v>2006</v>
      </c>
      <c r="B2464">
        <v>9</v>
      </c>
      <c r="C2464">
        <v>28</v>
      </c>
      <c r="D2464" s="1">
        <f t="shared" si="304"/>
        <v>38988</v>
      </c>
      <c r="E2464">
        <v>0</v>
      </c>
      <c r="F2464">
        <f t="shared" si="310"/>
        <v>0</v>
      </c>
      <c r="G2464">
        <f t="shared" si="305"/>
        <v>0</v>
      </c>
      <c r="H2464">
        <f t="shared" si="311"/>
        <v>0</v>
      </c>
      <c r="I2464">
        <v>2463</v>
      </c>
      <c r="J2464">
        <f t="shared" si="306"/>
        <v>-0.99912102826804949</v>
      </c>
      <c r="K2464">
        <f t="shared" si="307"/>
        <v>-4.1918622026440047E-2</v>
      </c>
      <c r="L2464">
        <f>VLOOKUP(D2464,[1]SOI!$A$1:$C$142,3)</f>
        <v>-15.9</v>
      </c>
      <c r="M2464" s="2">
        <f t="shared" si="308"/>
        <v>-2460.835092624206</v>
      </c>
      <c r="N2464">
        <f t="shared" si="309"/>
        <v>-103.24556605112184</v>
      </c>
      <c r="O2464" t="s">
        <v>8</v>
      </c>
    </row>
    <row r="2465" spans="1:15" x14ac:dyDescent="0.35">
      <c r="A2465">
        <v>2006</v>
      </c>
      <c r="B2465">
        <v>9</v>
      </c>
      <c r="C2465">
        <v>29</v>
      </c>
      <c r="D2465" s="1">
        <f t="shared" si="304"/>
        <v>38989</v>
      </c>
      <c r="E2465">
        <v>0</v>
      </c>
      <c r="F2465">
        <f t="shared" si="310"/>
        <v>0</v>
      </c>
      <c r="G2465">
        <f t="shared" si="305"/>
        <v>0</v>
      </c>
      <c r="H2465">
        <f t="shared" si="311"/>
        <v>0</v>
      </c>
      <c r="I2465">
        <v>2464</v>
      </c>
      <c r="J2465">
        <f t="shared" si="306"/>
        <v>-0.99969426661297878</v>
      </c>
      <c r="K2465">
        <f t="shared" si="307"/>
        <v>-2.4725964109384341E-2</v>
      </c>
      <c r="L2465">
        <f>VLOOKUP(D2465,[1]SOI!$A$1:$C$142,3)</f>
        <v>-15.9</v>
      </c>
      <c r="M2465" s="2">
        <f t="shared" si="308"/>
        <v>-2463.2466729343796</v>
      </c>
      <c r="N2465">
        <f t="shared" si="309"/>
        <v>-60.924775565523021</v>
      </c>
      <c r="O2465" t="s">
        <v>8</v>
      </c>
    </row>
    <row r="2466" spans="1:15" x14ac:dyDescent="0.35">
      <c r="A2466">
        <v>2006</v>
      </c>
      <c r="B2466">
        <v>9</v>
      </c>
      <c r="C2466">
        <v>30</v>
      </c>
      <c r="D2466" s="1">
        <f t="shared" si="304"/>
        <v>38990</v>
      </c>
      <c r="E2466">
        <v>0</v>
      </c>
      <c r="F2466">
        <f t="shared" si="310"/>
        <v>0</v>
      </c>
      <c r="G2466">
        <f t="shared" si="305"/>
        <v>0</v>
      </c>
      <c r="H2466">
        <f t="shared" si="311"/>
        <v>0</v>
      </c>
      <c r="I2466">
        <v>2465</v>
      </c>
      <c r="J2466">
        <f t="shared" si="306"/>
        <v>-0.99997167934088305</v>
      </c>
      <c r="K2466">
        <f t="shared" si="307"/>
        <v>-7.5259893817461636E-3</v>
      </c>
      <c r="L2466">
        <f>VLOOKUP(D2466,[1]SOI!$A$1:$C$142,3)</f>
        <v>-15.9</v>
      </c>
      <c r="M2466" s="2">
        <f t="shared" si="308"/>
        <v>-2464.9301895752769</v>
      </c>
      <c r="N2466">
        <f t="shared" si="309"/>
        <v>-18.551563826004294</v>
      </c>
      <c r="O2466" t="s">
        <v>8</v>
      </c>
    </row>
    <row r="2467" spans="1:15" x14ac:dyDescent="0.35">
      <c r="A2467">
        <v>2006</v>
      </c>
      <c r="B2467">
        <v>10</v>
      </c>
      <c r="C2467">
        <v>1</v>
      </c>
      <c r="D2467" s="1">
        <f t="shared" si="304"/>
        <v>38991</v>
      </c>
      <c r="E2467">
        <v>0</v>
      </c>
      <c r="F2467">
        <f t="shared" si="310"/>
        <v>0</v>
      </c>
      <c r="G2467">
        <f t="shared" si="305"/>
        <v>0</v>
      </c>
      <c r="H2467">
        <f t="shared" si="311"/>
        <v>0</v>
      </c>
      <c r="I2467">
        <v>2466</v>
      </c>
      <c r="J2467">
        <f t="shared" si="306"/>
        <v>-0.9999531843608731</v>
      </c>
      <c r="K2467">
        <f t="shared" si="307"/>
        <v>9.6762124072244955E-3</v>
      </c>
      <c r="L2467">
        <f>VLOOKUP(D2467,[1]SOI!$A$1:$C$142,3)</f>
        <v>-5.0999999999999996</v>
      </c>
      <c r="M2467" s="2">
        <f t="shared" si="308"/>
        <v>-2465.8845526339132</v>
      </c>
      <c r="N2467">
        <f t="shared" si="309"/>
        <v>23.861539796215606</v>
      </c>
      <c r="O2467" t="s">
        <v>8</v>
      </c>
    </row>
    <row r="2468" spans="1:15" x14ac:dyDescent="0.35">
      <c r="A2468">
        <v>2006</v>
      </c>
      <c r="B2468">
        <v>10</v>
      </c>
      <c r="C2468">
        <v>2</v>
      </c>
      <c r="D2468" s="1">
        <f t="shared" si="304"/>
        <v>38992</v>
      </c>
      <c r="E2468">
        <v>0</v>
      </c>
      <c r="F2468">
        <f t="shared" si="310"/>
        <v>0</v>
      </c>
      <c r="G2468">
        <f t="shared" si="305"/>
        <v>0</v>
      </c>
      <c r="H2468">
        <f t="shared" si="311"/>
        <v>0</v>
      </c>
      <c r="I2468">
        <v>2467</v>
      </c>
      <c r="J2468">
        <f t="shared" si="306"/>
        <v>-0.99963878714591081</v>
      </c>
      <c r="K2468">
        <f t="shared" si="307"/>
        <v>2.6875550849282778E-2</v>
      </c>
      <c r="L2468">
        <f>VLOOKUP(D2468,[1]SOI!$A$1:$C$142,3)</f>
        <v>-5.0999999999999996</v>
      </c>
      <c r="M2468" s="2">
        <f t="shared" si="308"/>
        <v>-2466.1088878889618</v>
      </c>
      <c r="N2468">
        <f t="shared" si="309"/>
        <v>66.301983945180609</v>
      </c>
      <c r="O2468" t="s">
        <v>8</v>
      </c>
    </row>
    <row r="2469" spans="1:15" x14ac:dyDescent="0.35">
      <c r="A2469">
        <v>2006</v>
      </c>
      <c r="B2469">
        <v>10</v>
      </c>
      <c r="C2469">
        <v>3</v>
      </c>
      <c r="D2469" s="1">
        <f t="shared" si="304"/>
        <v>38993</v>
      </c>
      <c r="E2469">
        <v>0</v>
      </c>
      <c r="F2469">
        <f t="shared" si="310"/>
        <v>0</v>
      </c>
      <c r="G2469">
        <f t="shared" si="305"/>
        <v>0</v>
      </c>
      <c r="H2469">
        <f t="shared" si="311"/>
        <v>0</v>
      </c>
      <c r="I2469">
        <v>2468</v>
      </c>
      <c r="J2469">
        <f t="shared" si="306"/>
        <v>-0.99902858073119083</v>
      </c>
      <c r="K2469">
        <f t="shared" si="307"/>
        <v>4.4066936383444513E-2</v>
      </c>
      <c r="L2469">
        <f>VLOOKUP(D2469,[1]SOI!$A$1:$C$142,3)</f>
        <v>-5.0999999999999996</v>
      </c>
      <c r="M2469" s="2">
        <f t="shared" si="308"/>
        <v>-2465.6025372445788</v>
      </c>
      <c r="N2469">
        <f t="shared" si="309"/>
        <v>108.75719899434105</v>
      </c>
      <c r="O2469" t="s">
        <v>8</v>
      </c>
    </row>
    <row r="2470" spans="1:15" x14ac:dyDescent="0.35">
      <c r="A2470">
        <v>2006</v>
      </c>
      <c r="B2470">
        <v>10</v>
      </c>
      <c r="C2470">
        <v>4</v>
      </c>
      <c r="D2470" s="1">
        <f t="shared" si="304"/>
        <v>38994</v>
      </c>
      <c r="E2470">
        <v>0</v>
      </c>
      <c r="F2470">
        <f t="shared" si="310"/>
        <v>0</v>
      </c>
      <c r="G2470">
        <f t="shared" si="305"/>
        <v>0</v>
      </c>
      <c r="H2470">
        <f t="shared" si="311"/>
        <v>0</v>
      </c>
      <c r="I2470">
        <v>2469</v>
      </c>
      <c r="J2470">
        <f t="shared" si="306"/>
        <v>-0.99812274568660786</v>
      </c>
      <c r="K2470">
        <f t="shared" si="307"/>
        <v>6.1245281802168663E-2</v>
      </c>
      <c r="L2470">
        <f>VLOOKUP(D2470,[1]SOI!$A$1:$C$142,3)</f>
        <v>-5.0999999999999996</v>
      </c>
      <c r="M2470" s="2">
        <f t="shared" si="308"/>
        <v>-2464.3650591002347</v>
      </c>
      <c r="N2470">
        <f t="shared" si="309"/>
        <v>151.21460076955444</v>
      </c>
      <c r="O2470" t="s">
        <v>8</v>
      </c>
    </row>
    <row r="2471" spans="1:15" x14ac:dyDescent="0.35">
      <c r="A2471">
        <v>2006</v>
      </c>
      <c r="B2471">
        <v>10</v>
      </c>
      <c r="C2471">
        <v>5</v>
      </c>
      <c r="D2471" s="1">
        <f t="shared" si="304"/>
        <v>38995</v>
      </c>
      <c r="E2471">
        <v>0.4</v>
      </c>
      <c r="F2471">
        <f t="shared" si="310"/>
        <v>0</v>
      </c>
      <c r="G2471">
        <f t="shared" si="305"/>
        <v>1</v>
      </c>
      <c r="H2471">
        <f t="shared" si="311"/>
        <v>0</v>
      </c>
      <c r="I2471">
        <v>2470</v>
      </c>
      <c r="J2471">
        <f t="shared" si="306"/>
        <v>-0.99692155006332539</v>
      </c>
      <c r="K2471">
        <f t="shared" si="307"/>
        <v>7.8405503756665704E-2</v>
      </c>
      <c r="L2471">
        <f>VLOOKUP(D2471,[1]SOI!$A$1:$C$142,3)</f>
        <v>-5.0999999999999996</v>
      </c>
      <c r="M2471" s="2">
        <f t="shared" si="308"/>
        <v>-2462.3962286564138</v>
      </c>
      <c r="N2471">
        <f t="shared" si="309"/>
        <v>193.66159427896429</v>
      </c>
      <c r="O2471" t="s">
        <v>8</v>
      </c>
    </row>
    <row r="2472" spans="1:15" x14ac:dyDescent="0.35">
      <c r="A2472">
        <v>2006</v>
      </c>
      <c r="B2472">
        <v>10</v>
      </c>
      <c r="C2472">
        <v>6</v>
      </c>
      <c r="D2472" s="1">
        <f t="shared" si="304"/>
        <v>38996</v>
      </c>
      <c r="E2472">
        <v>0</v>
      </c>
      <c r="F2472">
        <f t="shared" si="310"/>
        <v>0.4</v>
      </c>
      <c r="G2472">
        <f t="shared" si="305"/>
        <v>0</v>
      </c>
      <c r="H2472">
        <f t="shared" si="311"/>
        <v>1</v>
      </c>
      <c r="I2472">
        <v>2471</v>
      </c>
      <c r="J2472">
        <f t="shared" si="306"/>
        <v>-0.9954253493144537</v>
      </c>
      <c r="K2472">
        <f t="shared" si="307"/>
        <v>9.5542524261177889E-2</v>
      </c>
      <c r="L2472">
        <f>VLOOKUP(D2472,[1]SOI!$A$1:$C$142,3)</f>
        <v>-5.0999999999999996</v>
      </c>
      <c r="M2472" s="2">
        <f t="shared" si="308"/>
        <v>-2459.6960381560152</v>
      </c>
      <c r="N2472">
        <f t="shared" si="309"/>
        <v>236.08557744937056</v>
      </c>
      <c r="O2472" t="s">
        <v>8</v>
      </c>
    </row>
    <row r="2473" spans="1:15" x14ac:dyDescent="0.35">
      <c r="A2473">
        <v>2006</v>
      </c>
      <c r="B2473">
        <v>10</v>
      </c>
      <c r="C2473">
        <v>7</v>
      </c>
      <c r="D2473" s="1">
        <f t="shared" si="304"/>
        <v>38997</v>
      </c>
      <c r="E2473">
        <v>0</v>
      </c>
      <c r="F2473">
        <f t="shared" si="310"/>
        <v>0</v>
      </c>
      <c r="G2473">
        <f t="shared" si="305"/>
        <v>0</v>
      </c>
      <c r="H2473">
        <f t="shared" si="311"/>
        <v>0</v>
      </c>
      <c r="I2473">
        <v>2472</v>
      </c>
      <c r="J2473">
        <f t="shared" si="306"/>
        <v>-0.99363458618986589</v>
      </c>
      <c r="K2473">
        <f t="shared" si="307"/>
        <v>0.11265127219562979</v>
      </c>
      <c r="L2473">
        <f>VLOOKUP(D2473,[1]SOI!$A$1:$C$142,3)</f>
        <v>-5.0999999999999996</v>
      </c>
      <c r="M2473" s="2">
        <f t="shared" si="308"/>
        <v>-2456.2646970613487</v>
      </c>
      <c r="N2473">
        <f t="shared" si="309"/>
        <v>278.47394486759686</v>
      </c>
      <c r="O2473" t="s">
        <v>8</v>
      </c>
    </row>
    <row r="2474" spans="1:15" x14ac:dyDescent="0.35">
      <c r="A2474">
        <v>2006</v>
      </c>
      <c r="B2474">
        <v>10</v>
      </c>
      <c r="C2474">
        <v>8</v>
      </c>
      <c r="D2474" s="1">
        <f t="shared" si="304"/>
        <v>38998</v>
      </c>
      <c r="E2474">
        <v>0.6</v>
      </c>
      <c r="F2474">
        <f t="shared" si="310"/>
        <v>0</v>
      </c>
      <c r="G2474">
        <f t="shared" si="305"/>
        <v>1</v>
      </c>
      <c r="H2474">
        <f t="shared" si="311"/>
        <v>0</v>
      </c>
      <c r="I2474">
        <v>2473</v>
      </c>
      <c r="J2474">
        <f t="shared" si="306"/>
        <v>-0.99154979060518122</v>
      </c>
      <c r="K2474">
        <f t="shared" si="307"/>
        <v>0.12972668480625429</v>
      </c>
      <c r="L2474">
        <f>VLOOKUP(D2474,[1]SOI!$A$1:$C$142,3)</f>
        <v>-5.0999999999999996</v>
      </c>
      <c r="M2474" s="2">
        <f t="shared" si="308"/>
        <v>-2452.1026321666131</v>
      </c>
      <c r="N2474">
        <f t="shared" si="309"/>
        <v>320.81409152586684</v>
      </c>
      <c r="O2474" t="s">
        <v>8</v>
      </c>
    </row>
    <row r="2475" spans="1:15" x14ac:dyDescent="0.35">
      <c r="A2475">
        <v>2006</v>
      </c>
      <c r="B2475">
        <v>10</v>
      </c>
      <c r="C2475">
        <v>9</v>
      </c>
      <c r="D2475" s="1">
        <f t="shared" si="304"/>
        <v>38999</v>
      </c>
      <c r="E2475">
        <v>0</v>
      </c>
      <c r="F2475">
        <f t="shared" si="310"/>
        <v>0.6</v>
      </c>
      <c r="G2475">
        <f t="shared" si="305"/>
        <v>0</v>
      </c>
      <c r="H2475">
        <f t="shared" si="311"/>
        <v>1</v>
      </c>
      <c r="I2475">
        <v>2474</v>
      </c>
      <c r="J2475">
        <f t="shared" si="306"/>
        <v>-0.98917157948495527</v>
      </c>
      <c r="K2475">
        <f t="shared" si="307"/>
        <v>0.14676370920373594</v>
      </c>
      <c r="L2475">
        <f>VLOOKUP(D2475,[1]SOI!$A$1:$C$142,3)</f>
        <v>-5.0999999999999996</v>
      </c>
      <c r="M2475" s="2">
        <f t="shared" si="308"/>
        <v>-2447.2104876457793</v>
      </c>
      <c r="N2475">
        <f t="shared" si="309"/>
        <v>363.09341657004273</v>
      </c>
      <c r="O2475" t="s">
        <v>8</v>
      </c>
    </row>
    <row r="2476" spans="1:15" x14ac:dyDescent="0.35">
      <c r="A2476">
        <v>2006</v>
      </c>
      <c r="B2476">
        <v>10</v>
      </c>
      <c r="C2476">
        <v>10</v>
      </c>
      <c r="D2476" s="1">
        <f t="shared" si="304"/>
        <v>39000</v>
      </c>
      <c r="E2476">
        <v>0</v>
      </c>
      <c r="F2476">
        <f t="shared" si="310"/>
        <v>0</v>
      </c>
      <c r="G2476">
        <f t="shared" si="305"/>
        <v>0</v>
      </c>
      <c r="H2476">
        <f t="shared" si="311"/>
        <v>0</v>
      </c>
      <c r="I2476">
        <v>2475</v>
      </c>
      <c r="J2476">
        <f t="shared" si="306"/>
        <v>-0.98650065658011843</v>
      </c>
      <c r="K2476">
        <f t="shared" si="307"/>
        <v>0.1637573038584702</v>
      </c>
      <c r="L2476">
        <f>VLOOKUP(D2476,[1]SOI!$A$1:$C$142,3)</f>
        <v>-5.0999999999999996</v>
      </c>
      <c r="M2476" s="2">
        <f t="shared" si="308"/>
        <v>-2441.5891250357931</v>
      </c>
      <c r="N2476">
        <f t="shared" si="309"/>
        <v>405.29932704971378</v>
      </c>
      <c r="O2476" t="s">
        <v>8</v>
      </c>
    </row>
    <row r="2477" spans="1:15" x14ac:dyDescent="0.35">
      <c r="A2477">
        <v>2006</v>
      </c>
      <c r="B2477">
        <v>10</v>
      </c>
      <c r="C2477">
        <v>11</v>
      </c>
      <c r="D2477" s="1">
        <f t="shared" si="304"/>
        <v>39001</v>
      </c>
      <c r="E2477">
        <v>0</v>
      </c>
      <c r="F2477">
        <f t="shared" si="310"/>
        <v>0</v>
      </c>
      <c r="G2477">
        <f t="shared" si="305"/>
        <v>0</v>
      </c>
      <c r="H2477">
        <f t="shared" si="311"/>
        <v>0</v>
      </c>
      <c r="I2477">
        <v>2476</v>
      </c>
      <c r="J2477">
        <f t="shared" si="306"/>
        <v>-0.98353781225972992</v>
      </c>
      <c r="K2477">
        <f t="shared" si="307"/>
        <v>0.18070244009239106</v>
      </c>
      <c r="L2477">
        <f>VLOOKUP(D2477,[1]SOI!$A$1:$C$142,3)</f>
        <v>-5.0999999999999996</v>
      </c>
      <c r="M2477" s="2">
        <f t="shared" si="308"/>
        <v>-2435.2396231550911</v>
      </c>
      <c r="N2477">
        <f t="shared" si="309"/>
        <v>447.41924166876026</v>
      </c>
      <c r="O2477" t="s">
        <v>8</v>
      </c>
    </row>
    <row r="2478" spans="1:15" x14ac:dyDescent="0.35">
      <c r="A2478">
        <v>2006</v>
      </c>
      <c r="B2478">
        <v>10</v>
      </c>
      <c r="C2478">
        <v>12</v>
      </c>
      <c r="D2478" s="1">
        <f t="shared" si="304"/>
        <v>39002</v>
      </c>
      <c r="E2478">
        <v>0</v>
      </c>
      <c r="F2478">
        <f t="shared" si="310"/>
        <v>0</v>
      </c>
      <c r="G2478">
        <f t="shared" si="305"/>
        <v>0</v>
      </c>
      <c r="H2478">
        <f t="shared" si="311"/>
        <v>0</v>
      </c>
      <c r="I2478">
        <v>2477</v>
      </c>
      <c r="J2478">
        <f t="shared" si="306"/>
        <v>-0.98028392327709202</v>
      </c>
      <c r="K2478">
        <f t="shared" si="307"/>
        <v>0.19759410356706586</v>
      </c>
      <c r="L2478">
        <f>VLOOKUP(D2478,[1]SOI!$A$1:$C$142,3)</f>
        <v>-5.0999999999999996</v>
      </c>
      <c r="M2478" s="2">
        <f t="shared" si="308"/>
        <v>-2428.163277957357</v>
      </c>
      <c r="N2478">
        <f t="shared" si="309"/>
        <v>489.44059453562215</v>
      </c>
      <c r="O2478" t="s">
        <v>8</v>
      </c>
    </row>
    <row r="2479" spans="1:15" x14ac:dyDescent="0.35">
      <c r="A2479">
        <v>2006</v>
      </c>
      <c r="B2479">
        <v>10</v>
      </c>
      <c r="C2479">
        <v>13</v>
      </c>
      <c r="D2479" s="1">
        <f t="shared" si="304"/>
        <v>39003</v>
      </c>
      <c r="E2479">
        <v>0</v>
      </c>
      <c r="F2479">
        <f t="shared" si="310"/>
        <v>0</v>
      </c>
      <c r="G2479">
        <f t="shared" si="305"/>
        <v>0</v>
      </c>
      <c r="H2479">
        <f t="shared" si="311"/>
        <v>0</v>
      </c>
      <c r="I2479">
        <v>2478</v>
      </c>
      <c r="J2479">
        <f t="shared" si="306"/>
        <v>-0.97673995251030454</v>
      </c>
      <c r="K2479">
        <f t="shared" si="307"/>
        <v>0.21442729576751171</v>
      </c>
      <c r="L2479">
        <f>VLOOKUP(D2479,[1]SOI!$A$1:$C$142,3)</f>
        <v>-5.0999999999999996</v>
      </c>
      <c r="M2479" s="2">
        <f t="shared" si="308"/>
        <v>-2420.3616023205345</v>
      </c>
      <c r="N2479">
        <f t="shared" si="309"/>
        <v>531.35083891189402</v>
      </c>
      <c r="O2479" t="s">
        <v>8</v>
      </c>
    </row>
    <row r="2480" spans="1:15" x14ac:dyDescent="0.35">
      <c r="A2480">
        <v>2006</v>
      </c>
      <c r="B2480">
        <v>10</v>
      </c>
      <c r="C2480">
        <v>14</v>
      </c>
      <c r="D2480" s="1">
        <f t="shared" si="304"/>
        <v>39004</v>
      </c>
      <c r="E2480">
        <v>0</v>
      </c>
      <c r="F2480">
        <f t="shared" si="310"/>
        <v>0</v>
      </c>
      <c r="G2480">
        <f t="shared" si="305"/>
        <v>0</v>
      </c>
      <c r="H2480">
        <f t="shared" si="311"/>
        <v>0</v>
      </c>
      <c r="I2480">
        <v>2479</v>
      </c>
      <c r="J2480">
        <f t="shared" si="306"/>
        <v>-0.97290694867733618</v>
      </c>
      <c r="K2480">
        <f t="shared" si="307"/>
        <v>0.23119703548132958</v>
      </c>
      <c r="L2480">
        <f>VLOOKUP(D2480,[1]SOI!$A$1:$C$142,3)</f>
        <v>-5.0999999999999996</v>
      </c>
      <c r="M2480" s="2">
        <f t="shared" si="308"/>
        <v>-2411.8363257711162</v>
      </c>
      <c r="N2480">
        <f t="shared" si="309"/>
        <v>573.13745095821605</v>
      </c>
      <c r="O2480" t="s">
        <v>8</v>
      </c>
    </row>
    <row r="2481" spans="1:15" x14ac:dyDescent="0.35">
      <c r="A2481">
        <v>2006</v>
      </c>
      <c r="B2481">
        <v>10</v>
      </c>
      <c r="C2481">
        <v>15</v>
      </c>
      <c r="D2481" s="1">
        <f t="shared" si="304"/>
        <v>39005</v>
      </c>
      <c r="E2481">
        <v>0</v>
      </c>
      <c r="F2481">
        <f t="shared" si="310"/>
        <v>0</v>
      </c>
      <c r="G2481">
        <f t="shared" si="305"/>
        <v>0</v>
      </c>
      <c r="H2481">
        <f t="shared" si="311"/>
        <v>0</v>
      </c>
      <c r="I2481">
        <v>2480</v>
      </c>
      <c r="J2481">
        <f t="shared" si="306"/>
        <v>-0.96878604602568485</v>
      </c>
      <c r="K2481">
        <f t="shared" si="307"/>
        <v>0.24789836027275283</v>
      </c>
      <c r="L2481">
        <f>VLOOKUP(D2481,[1]SOI!$A$1:$C$142,3)</f>
        <v>-5.0999999999999996</v>
      </c>
      <c r="M2481" s="2">
        <f t="shared" si="308"/>
        <v>-2402.5893941436984</v>
      </c>
      <c r="N2481">
        <f t="shared" si="309"/>
        <v>614.78793347642704</v>
      </c>
      <c r="O2481" t="s">
        <v>8</v>
      </c>
    </row>
    <row r="2482" spans="1:15" x14ac:dyDescent="0.35">
      <c r="A2482">
        <v>2006</v>
      </c>
      <c r="B2482">
        <v>10</v>
      </c>
      <c r="C2482">
        <v>16</v>
      </c>
      <c r="D2482" s="1">
        <f t="shared" si="304"/>
        <v>39006</v>
      </c>
      <c r="E2482">
        <v>0</v>
      </c>
      <c r="F2482">
        <f t="shared" si="310"/>
        <v>0</v>
      </c>
      <c r="G2482">
        <f t="shared" si="305"/>
        <v>0</v>
      </c>
      <c r="H2482">
        <f t="shared" si="311"/>
        <v>0</v>
      </c>
      <c r="I2482">
        <v>2481</v>
      </c>
      <c r="J2482">
        <f t="shared" si="306"/>
        <v>-0.96437846399674587</v>
      </c>
      <c r="K2482">
        <f t="shared" si="307"/>
        <v>0.26452632795107028</v>
      </c>
      <c r="L2482">
        <f>VLOOKUP(D2482,[1]SOI!$A$1:$C$142,3)</f>
        <v>-5.0999999999999996</v>
      </c>
      <c r="M2482" s="2">
        <f t="shared" si="308"/>
        <v>-2392.6229691759263</v>
      </c>
      <c r="N2482">
        <f t="shared" si="309"/>
        <v>656.28981964660534</v>
      </c>
      <c r="O2482" t="s">
        <v>8</v>
      </c>
    </row>
    <row r="2483" spans="1:15" x14ac:dyDescent="0.35">
      <c r="A2483">
        <v>2006</v>
      </c>
      <c r="B2483">
        <v>10</v>
      </c>
      <c r="C2483">
        <v>17</v>
      </c>
      <c r="D2483" s="1">
        <f t="shared" si="304"/>
        <v>39007</v>
      </c>
      <c r="E2483">
        <v>0</v>
      </c>
      <c r="F2483">
        <f t="shared" si="310"/>
        <v>0</v>
      </c>
      <c r="G2483">
        <f t="shared" si="305"/>
        <v>0</v>
      </c>
      <c r="H2483">
        <f t="shared" si="311"/>
        <v>0</v>
      </c>
      <c r="I2483">
        <v>2482</v>
      </c>
      <c r="J2483">
        <f t="shared" si="306"/>
        <v>-0.95968550686495258</v>
      </c>
      <c r="K2483">
        <f t="shared" si="307"/>
        <v>0.28107601803312759</v>
      </c>
      <c r="L2483">
        <f>VLOOKUP(D2483,[1]SOI!$A$1:$C$142,3)</f>
        <v>-5.0999999999999996</v>
      </c>
      <c r="M2483" s="2">
        <f t="shared" si="308"/>
        <v>-2381.9394280388124</v>
      </c>
      <c r="N2483">
        <f t="shared" si="309"/>
        <v>697.63067675822265</v>
      </c>
      <c r="O2483" t="s">
        <v>8</v>
      </c>
    </row>
    <row r="2484" spans="1:15" x14ac:dyDescent="0.35">
      <c r="A2484">
        <v>2006</v>
      </c>
      <c r="B2484">
        <v>10</v>
      </c>
      <c r="C2484">
        <v>18</v>
      </c>
      <c r="D2484" s="1">
        <f t="shared" si="304"/>
        <v>39008</v>
      </c>
      <c r="E2484">
        <v>0.6</v>
      </c>
      <c r="F2484">
        <f t="shared" si="310"/>
        <v>0</v>
      </c>
      <c r="G2484">
        <f t="shared" si="305"/>
        <v>1</v>
      </c>
      <c r="H2484">
        <f t="shared" si="311"/>
        <v>0</v>
      </c>
      <c r="I2484">
        <v>2483</v>
      </c>
      <c r="J2484">
        <f t="shared" si="306"/>
        <v>-0.95470856335182286</v>
      </c>
      <c r="K2484">
        <f t="shared" si="307"/>
        <v>0.29754253319937057</v>
      </c>
      <c r="L2484">
        <f>VLOOKUP(D2484,[1]SOI!$A$1:$C$142,3)</f>
        <v>-5.0999999999999996</v>
      </c>
      <c r="M2484" s="2">
        <f t="shared" si="308"/>
        <v>-2370.5413628025763</v>
      </c>
      <c r="N2484">
        <f t="shared" si="309"/>
        <v>738.79810993403714</v>
      </c>
      <c r="O2484" t="s">
        <v>8</v>
      </c>
    </row>
    <row r="2485" spans="1:15" x14ac:dyDescent="0.35">
      <c r="A2485">
        <v>2006</v>
      </c>
      <c r="B2485">
        <v>10</v>
      </c>
      <c r="C2485">
        <v>19</v>
      </c>
      <c r="D2485" s="1">
        <f t="shared" si="304"/>
        <v>39009</v>
      </c>
      <c r="E2485">
        <v>0.2</v>
      </c>
      <c r="F2485">
        <f t="shared" si="310"/>
        <v>0.6</v>
      </c>
      <c r="G2485">
        <f t="shared" si="305"/>
        <v>1</v>
      </c>
      <c r="H2485">
        <f t="shared" si="311"/>
        <v>1</v>
      </c>
      <c r="I2485">
        <v>2484</v>
      </c>
      <c r="J2485">
        <f t="shared" si="306"/>
        <v>-0.94944910621501333</v>
      </c>
      <c r="K2485">
        <f t="shared" si="307"/>
        <v>0.3139210007430408</v>
      </c>
      <c r="L2485">
        <f>VLOOKUP(D2485,[1]SOI!$A$1:$C$142,3)</f>
        <v>-5.0999999999999996</v>
      </c>
      <c r="M2485" s="2">
        <f t="shared" si="308"/>
        <v>-2358.4315798380931</v>
      </c>
      <c r="N2485">
        <f t="shared" si="309"/>
        <v>779.77976584571331</v>
      </c>
      <c r="O2485" t="s">
        <v>8</v>
      </c>
    </row>
    <row r="2486" spans="1:15" x14ac:dyDescent="0.35">
      <c r="A2486">
        <v>2006</v>
      </c>
      <c r="B2486">
        <v>10</v>
      </c>
      <c r="C2486">
        <v>20</v>
      </c>
      <c r="D2486" s="1">
        <f t="shared" si="304"/>
        <v>39010</v>
      </c>
      <c r="E2486">
        <v>0</v>
      </c>
      <c r="F2486">
        <f t="shared" si="310"/>
        <v>0.2</v>
      </c>
      <c r="G2486">
        <f t="shared" si="305"/>
        <v>0</v>
      </c>
      <c r="H2486">
        <f t="shared" si="311"/>
        <v>1</v>
      </c>
      <c r="I2486">
        <v>2485</v>
      </c>
      <c r="J2486">
        <f t="shared" si="306"/>
        <v>-0.94390869181250991</v>
      </c>
      <c r="K2486">
        <f t="shared" si="307"/>
        <v>0.33020657401208126</v>
      </c>
      <c r="L2486">
        <f>VLOOKUP(D2486,[1]SOI!$A$1:$C$142,3)</f>
        <v>-5.0999999999999996</v>
      </c>
      <c r="M2486" s="2">
        <f t="shared" si="308"/>
        <v>-2345.6130991540872</v>
      </c>
      <c r="N2486">
        <f t="shared" si="309"/>
        <v>820.56333642002187</v>
      </c>
      <c r="O2486" t="s">
        <v>8</v>
      </c>
    </row>
    <row r="2487" spans="1:15" x14ac:dyDescent="0.35">
      <c r="A2487">
        <v>2006</v>
      </c>
      <c r="B2487">
        <v>10</v>
      </c>
      <c r="C2487">
        <v>21</v>
      </c>
      <c r="D2487" s="1">
        <f t="shared" si="304"/>
        <v>39011</v>
      </c>
      <c r="E2487">
        <v>1.4</v>
      </c>
      <c r="F2487">
        <f t="shared" si="310"/>
        <v>0</v>
      </c>
      <c r="G2487">
        <f t="shared" si="305"/>
        <v>1</v>
      </c>
      <c r="H2487">
        <f t="shared" si="311"/>
        <v>0</v>
      </c>
      <c r="I2487">
        <v>2486</v>
      </c>
      <c r="J2487">
        <f t="shared" si="306"/>
        <v>-0.9380889596420664</v>
      </c>
      <c r="K2487">
        <f t="shared" si="307"/>
        <v>0.34639443384336527</v>
      </c>
      <c r="L2487">
        <f>VLOOKUP(D2487,[1]SOI!$A$1:$C$142,3)</f>
        <v>-5.0999999999999996</v>
      </c>
      <c r="M2487" s="2">
        <f t="shared" si="308"/>
        <v>-2332.089153670177</v>
      </c>
      <c r="N2487">
        <f t="shared" si="309"/>
        <v>861.13656253460601</v>
      </c>
      <c r="O2487" t="s">
        <v>8</v>
      </c>
    </row>
    <row r="2488" spans="1:15" x14ac:dyDescent="0.35">
      <c r="A2488">
        <v>2006</v>
      </c>
      <c r="B2488">
        <v>10</v>
      </c>
      <c r="C2488">
        <v>22</v>
      </c>
      <c r="D2488" s="1">
        <f t="shared" si="304"/>
        <v>39012</v>
      </c>
      <c r="E2488">
        <v>0.4</v>
      </c>
      <c r="F2488">
        <f t="shared" si="310"/>
        <v>1.4</v>
      </c>
      <c r="G2488">
        <f t="shared" si="305"/>
        <v>1</v>
      </c>
      <c r="H2488">
        <f t="shared" si="311"/>
        <v>1</v>
      </c>
      <c r="I2488">
        <v>2487</v>
      </c>
      <c r="J2488">
        <f t="shared" si="306"/>
        <v>-0.9319916318560646</v>
      </c>
      <c r="K2488">
        <f t="shared" si="307"/>
        <v>0.36247978998872449</v>
      </c>
      <c r="L2488">
        <f>VLOOKUP(D2488,[1]SOI!$A$1:$C$142,3)</f>
        <v>-5.0999999999999996</v>
      </c>
      <c r="M2488" s="2">
        <f t="shared" si="308"/>
        <v>-2317.8631884260326</v>
      </c>
      <c r="N2488">
        <f t="shared" si="309"/>
        <v>901.48723770195784</v>
      </c>
      <c r="O2488" t="s">
        <v>8</v>
      </c>
    </row>
    <row r="2489" spans="1:15" x14ac:dyDescent="0.35">
      <c r="A2489">
        <v>2006</v>
      </c>
      <c r="B2489">
        <v>10</v>
      </c>
      <c r="C2489">
        <v>23</v>
      </c>
      <c r="D2489" s="1">
        <f t="shared" si="304"/>
        <v>39013</v>
      </c>
      <c r="E2489">
        <v>0</v>
      </c>
      <c r="F2489">
        <f t="shared" si="310"/>
        <v>0.4</v>
      </c>
      <c r="G2489">
        <f t="shared" si="305"/>
        <v>0</v>
      </c>
      <c r="H2489">
        <f t="shared" si="311"/>
        <v>1</v>
      </c>
      <c r="I2489">
        <v>2488</v>
      </c>
      <c r="J2489">
        <f t="shared" si="306"/>
        <v>-0.925618512751893</v>
      </c>
      <c r="K2489">
        <f t="shared" si="307"/>
        <v>0.37845788253248697</v>
      </c>
      <c r="L2489">
        <f>VLOOKUP(D2489,[1]SOI!$A$1:$C$142,3)</f>
        <v>-5.0999999999999996</v>
      </c>
      <c r="M2489" s="2">
        <f t="shared" si="308"/>
        <v>-2302.9388597267098</v>
      </c>
      <c r="N2489">
        <f t="shared" si="309"/>
        <v>941.60321174082753</v>
      </c>
      <c r="O2489" t="s">
        <v>8</v>
      </c>
    </row>
    <row r="2490" spans="1:15" x14ac:dyDescent="0.35">
      <c r="A2490">
        <v>2006</v>
      </c>
      <c r="B2490">
        <v>10</v>
      </c>
      <c r="C2490">
        <v>24</v>
      </c>
      <c r="D2490" s="1">
        <f t="shared" si="304"/>
        <v>39014</v>
      </c>
      <c r="E2490">
        <v>0</v>
      </c>
      <c r="F2490">
        <f t="shared" si="310"/>
        <v>0</v>
      </c>
      <c r="G2490">
        <f t="shared" si="305"/>
        <v>0</v>
      </c>
      <c r="H2490">
        <f t="shared" si="311"/>
        <v>0</v>
      </c>
      <c r="I2490">
        <v>2489</v>
      </c>
      <c r="J2490">
        <f t="shared" si="306"/>
        <v>-0.91897148823802821</v>
      </c>
      <c r="K2490">
        <f t="shared" si="307"/>
        <v>0.39432398330000629</v>
      </c>
      <c r="L2490">
        <f>VLOOKUP(D2490,[1]SOI!$A$1:$C$142,3)</f>
        <v>-5.0999999999999996</v>
      </c>
      <c r="M2490" s="2">
        <f t="shared" si="308"/>
        <v>-2287.3200342244522</v>
      </c>
      <c r="N2490">
        <f t="shared" si="309"/>
        <v>981.47239443371564</v>
      </c>
      <c r="O2490" t="s">
        <v>8</v>
      </c>
    </row>
    <row r="2491" spans="1:15" x14ac:dyDescent="0.35">
      <c r="A2491">
        <v>2006</v>
      </c>
      <c r="B2491">
        <v>10</v>
      </c>
      <c r="C2491">
        <v>25</v>
      </c>
      <c r="D2491" s="1">
        <f t="shared" si="304"/>
        <v>39015</v>
      </c>
      <c r="E2491">
        <v>0.2</v>
      </c>
      <c r="F2491">
        <f t="shared" si="310"/>
        <v>0</v>
      </c>
      <c r="G2491">
        <f t="shared" si="305"/>
        <v>1</v>
      </c>
      <c r="H2491">
        <f t="shared" si="311"/>
        <v>0</v>
      </c>
      <c r="I2491">
        <v>2490</v>
      </c>
      <c r="J2491">
        <f t="shared" si="306"/>
        <v>-0.91205252527596703</v>
      </c>
      <c r="K2491">
        <f t="shared" si="307"/>
        <v>0.4100733972567977</v>
      </c>
      <c r="L2491">
        <f>VLOOKUP(D2491,[1]SOI!$A$1:$C$142,3)</f>
        <v>-5.0999999999999996</v>
      </c>
      <c r="M2491" s="2">
        <f t="shared" si="308"/>
        <v>-2271.0107879371581</v>
      </c>
      <c r="N2491">
        <f t="shared" si="309"/>
        <v>1021.0827591694263</v>
      </c>
      <c r="O2491" t="s">
        <v>8</v>
      </c>
    </row>
    <row r="2492" spans="1:15" x14ac:dyDescent="0.35">
      <c r="A2492">
        <v>2006</v>
      </c>
      <c r="B2492">
        <v>10</v>
      </c>
      <c r="C2492">
        <v>26</v>
      </c>
      <c r="D2492" s="1">
        <f t="shared" si="304"/>
        <v>39016</v>
      </c>
      <c r="E2492">
        <v>0.2</v>
      </c>
      <c r="F2492">
        <f t="shared" si="310"/>
        <v>0.2</v>
      </c>
      <c r="G2492">
        <f t="shared" si="305"/>
        <v>1</v>
      </c>
      <c r="H2492">
        <f t="shared" si="311"/>
        <v>1</v>
      </c>
      <c r="I2492">
        <v>2491</v>
      </c>
      <c r="J2492">
        <f t="shared" si="306"/>
        <v>-0.90486367129815981</v>
      </c>
      <c r="K2492">
        <f t="shared" si="307"/>
        <v>0.42570146389790087</v>
      </c>
      <c r="L2492">
        <f>VLOOKUP(D2492,[1]SOI!$A$1:$C$142,3)</f>
        <v>-5.0999999999999996</v>
      </c>
      <c r="M2492" s="2">
        <f t="shared" si="308"/>
        <v>-2254.015405203716</v>
      </c>
      <c r="N2492">
        <f t="shared" si="309"/>
        <v>1060.4223465696712</v>
      </c>
      <c r="O2492" t="s">
        <v>8</v>
      </c>
    </row>
    <row r="2493" spans="1:15" x14ac:dyDescent="0.35">
      <c r="A2493">
        <v>2006</v>
      </c>
      <c r="B2493">
        <v>10</v>
      </c>
      <c r="C2493">
        <v>27</v>
      </c>
      <c r="D2493" s="1">
        <f t="shared" si="304"/>
        <v>39017</v>
      </c>
      <c r="E2493">
        <v>0</v>
      </c>
      <c r="F2493">
        <f t="shared" si="310"/>
        <v>0.2</v>
      </c>
      <c r="G2493">
        <f t="shared" si="305"/>
        <v>0</v>
      </c>
      <c r="H2493">
        <f t="shared" si="311"/>
        <v>1</v>
      </c>
      <c r="I2493">
        <v>2492</v>
      </c>
      <c r="J2493">
        <f t="shared" si="306"/>
        <v>-0.89740705360215567</v>
      </c>
      <c r="K2493">
        <f t="shared" si="307"/>
        <v>0.44120355862696498</v>
      </c>
      <c r="L2493">
        <f>VLOOKUP(D2493,[1]SOI!$A$1:$C$142,3)</f>
        <v>-5.0999999999999996</v>
      </c>
      <c r="M2493" s="2">
        <f t="shared" si="308"/>
        <v>-2236.3383775765719</v>
      </c>
      <c r="N2493">
        <f t="shared" si="309"/>
        <v>1099.4792680983967</v>
      </c>
      <c r="O2493" t="s">
        <v>8</v>
      </c>
    </row>
    <row r="2494" spans="1:15" x14ac:dyDescent="0.35">
      <c r="A2494">
        <v>2006</v>
      </c>
      <c r="B2494">
        <v>10</v>
      </c>
      <c r="C2494">
        <v>28</v>
      </c>
      <c r="D2494" s="1">
        <f t="shared" si="304"/>
        <v>39018</v>
      </c>
      <c r="E2494">
        <v>5</v>
      </c>
      <c r="F2494">
        <f t="shared" si="310"/>
        <v>0</v>
      </c>
      <c r="G2494">
        <f t="shared" si="305"/>
        <v>1</v>
      </c>
      <c r="H2494">
        <f t="shared" si="311"/>
        <v>0</v>
      </c>
      <c r="I2494">
        <v>2493</v>
      </c>
      <c r="J2494">
        <f t="shared" si="306"/>
        <v>-0.88968487872110569</v>
      </c>
      <c r="K2494">
        <f t="shared" si="307"/>
        <v>0.4565750941247359</v>
      </c>
      <c r="L2494">
        <f>VLOOKUP(D2494,[1]SOI!$A$1:$C$142,3)</f>
        <v>-5.0999999999999996</v>
      </c>
      <c r="M2494" s="2">
        <f t="shared" si="308"/>
        <v>-2217.9844026517167</v>
      </c>
      <c r="N2494">
        <f t="shared" si="309"/>
        <v>1138.2417096529666</v>
      </c>
      <c r="O2494" t="s">
        <v>8</v>
      </c>
    </row>
    <row r="2495" spans="1:15" x14ac:dyDescent="0.35">
      <c r="A2495">
        <v>2006</v>
      </c>
      <c r="B2495">
        <v>10</v>
      </c>
      <c r="C2495">
        <v>29</v>
      </c>
      <c r="D2495" s="1">
        <f t="shared" si="304"/>
        <v>39019</v>
      </c>
      <c r="E2495">
        <v>0.2</v>
      </c>
      <c r="F2495">
        <f t="shared" si="310"/>
        <v>5</v>
      </c>
      <c r="G2495">
        <f t="shared" si="305"/>
        <v>1</v>
      </c>
      <c r="H2495">
        <f t="shared" si="311"/>
        <v>1</v>
      </c>
      <c r="I2495">
        <v>2494</v>
      </c>
      <c r="J2495">
        <f t="shared" si="306"/>
        <v>-0.88169943177078569</v>
      </c>
      <c r="K2495">
        <f t="shared" si="307"/>
        <v>0.47181152170657475</v>
      </c>
      <c r="L2495">
        <f>VLOOKUP(D2495,[1]SOI!$A$1:$C$142,3)</f>
        <v>-5.0999999999999996</v>
      </c>
      <c r="M2495" s="2">
        <f t="shared" si="308"/>
        <v>-2198.9583828363393</v>
      </c>
      <c r="N2495">
        <f t="shared" si="309"/>
        <v>1176.6979351361974</v>
      </c>
      <c r="O2495" t="s">
        <v>8</v>
      </c>
    </row>
    <row r="2496" spans="1:15" x14ac:dyDescent="0.35">
      <c r="A2496">
        <v>2006</v>
      </c>
      <c r="B2496">
        <v>10</v>
      </c>
      <c r="C2496">
        <v>30</v>
      </c>
      <c r="D2496" s="1">
        <f t="shared" si="304"/>
        <v>39020</v>
      </c>
      <c r="E2496">
        <v>0</v>
      </c>
      <c r="F2496">
        <f t="shared" si="310"/>
        <v>0.2</v>
      </c>
      <c r="G2496">
        <f t="shared" si="305"/>
        <v>0</v>
      </c>
      <c r="H2496">
        <f t="shared" si="311"/>
        <v>1</v>
      </c>
      <c r="I2496">
        <v>2495</v>
      </c>
      <c r="J2496">
        <f t="shared" si="306"/>
        <v>-0.87345307577342479</v>
      </c>
      <c r="K2496">
        <f t="shared" si="307"/>
        <v>0.48690833266842315</v>
      </c>
      <c r="L2496">
        <f>VLOOKUP(D2496,[1]SOI!$A$1:$C$142,3)</f>
        <v>-5.0999999999999996</v>
      </c>
      <c r="M2496" s="2">
        <f t="shared" si="308"/>
        <v>-2179.2654240546949</v>
      </c>
      <c r="N2496">
        <f t="shared" si="309"/>
        <v>1214.8362900077157</v>
      </c>
      <c r="O2496" t="s">
        <v>8</v>
      </c>
    </row>
    <row r="2497" spans="1:15" x14ac:dyDescent="0.35">
      <c r="A2497">
        <v>2006</v>
      </c>
      <c r="B2497">
        <v>10</v>
      </c>
      <c r="C2497">
        <v>31</v>
      </c>
      <c r="D2497" s="1">
        <f t="shared" si="304"/>
        <v>39021</v>
      </c>
      <c r="E2497">
        <v>0</v>
      </c>
      <c r="F2497">
        <f t="shared" si="310"/>
        <v>0</v>
      </c>
      <c r="G2497">
        <f t="shared" si="305"/>
        <v>0</v>
      </c>
      <c r="H2497">
        <f t="shared" si="311"/>
        <v>0</v>
      </c>
      <c r="I2497">
        <v>2496</v>
      </c>
      <c r="J2497">
        <f t="shared" si="306"/>
        <v>-0.86494825095843386</v>
      </c>
      <c r="K2497">
        <f t="shared" si="307"/>
        <v>0.50186105962103311</v>
      </c>
      <c r="L2497">
        <f>VLOOKUP(D2497,[1]SOI!$A$1:$C$142,3)</f>
        <v>-5.0999999999999996</v>
      </c>
      <c r="M2497" s="2">
        <f t="shared" si="308"/>
        <v>-2158.9108343922508</v>
      </c>
      <c r="N2497">
        <f t="shared" si="309"/>
        <v>1252.6452048140986</v>
      </c>
      <c r="O2497" t="s">
        <v>8</v>
      </c>
    </row>
    <row r="2498" spans="1:15" x14ac:dyDescent="0.35">
      <c r="A2498">
        <v>2006</v>
      </c>
      <c r="B2498">
        <v>11</v>
      </c>
      <c r="C2498">
        <v>1</v>
      </c>
      <c r="D2498" s="1">
        <f t="shared" si="304"/>
        <v>39022</v>
      </c>
      <c r="E2498">
        <v>0</v>
      </c>
      <c r="F2498">
        <f t="shared" si="310"/>
        <v>0</v>
      </c>
      <c r="G2498">
        <f t="shared" si="305"/>
        <v>0</v>
      </c>
      <c r="H2498">
        <f t="shared" si="311"/>
        <v>0</v>
      </c>
      <c r="I2498">
        <v>2497</v>
      </c>
      <c r="J2498">
        <f t="shared" si="306"/>
        <v>-0.85618747404030493</v>
      </c>
      <c r="K2498">
        <f t="shared" si="307"/>
        <v>0.51666527781193317</v>
      </c>
      <c r="L2498">
        <f>VLOOKUP(D2498,[1]SOI!$A$1:$C$142,3)</f>
        <v>-15.3</v>
      </c>
      <c r="M2498" s="2">
        <f t="shared" si="308"/>
        <v>-2137.9001226786413</v>
      </c>
      <c r="N2498">
        <f t="shared" si="309"/>
        <v>1290.1131986963971</v>
      </c>
      <c r="O2498" t="s">
        <v>8</v>
      </c>
    </row>
    <row r="2499" spans="1:15" x14ac:dyDescent="0.35">
      <c r="A2499">
        <v>2006</v>
      </c>
      <c r="B2499">
        <v>11</v>
      </c>
      <c r="C2499">
        <v>2</v>
      </c>
      <c r="D2499" s="1">
        <f t="shared" ref="D2499:D2562" si="312">DATE(A2499,B2499,C2499)</f>
        <v>39023</v>
      </c>
      <c r="E2499">
        <v>4.5999999999999996</v>
      </c>
      <c r="F2499">
        <f t="shared" si="310"/>
        <v>0</v>
      </c>
      <c r="G2499">
        <f t="shared" ref="G2499:G2562" si="313">IF(E2499=0,0,1)</f>
        <v>1</v>
      </c>
      <c r="H2499">
        <f t="shared" si="311"/>
        <v>0</v>
      </c>
      <c r="I2499">
        <v>2498</v>
      </c>
      <c r="J2499">
        <f t="shared" ref="J2499:J2562" si="314">SIN(2*PI()*I2499/365.25)</f>
        <v>-0.84717333747387569</v>
      </c>
      <c r="K2499">
        <f t="shared" ref="K2499:K2562" si="315">COS(2*PI()*I2499/365.25)</f>
        <v>0.53131660643478362</v>
      </c>
      <c r="L2499">
        <f>VLOOKUP(D2499,[1]SOI!$A$1:$C$142,3)</f>
        <v>-15.3</v>
      </c>
      <c r="M2499" s="2">
        <f t="shared" ref="M2499:M2562" si="316">I2499*J2499</f>
        <v>-2116.2389970097415</v>
      </c>
      <c r="N2499">
        <f t="shared" ref="N2499:N2562" si="317">I2499*K2499</f>
        <v>1327.2288828740895</v>
      </c>
      <c r="O2499" t="s">
        <v>8</v>
      </c>
    </row>
    <row r="2500" spans="1:15" x14ac:dyDescent="0.35">
      <c r="A2500">
        <v>2006</v>
      </c>
      <c r="B2500">
        <v>11</v>
      </c>
      <c r="C2500">
        <v>3</v>
      </c>
      <c r="D2500" s="1">
        <f t="shared" si="312"/>
        <v>39024</v>
      </c>
      <c r="E2500">
        <v>8.4</v>
      </c>
      <c r="F2500">
        <f t="shared" ref="F2500:F2563" si="318">E2499</f>
        <v>4.5999999999999996</v>
      </c>
      <c r="G2500">
        <f t="shared" si="313"/>
        <v>1</v>
      </c>
      <c r="H2500">
        <f t="shared" ref="H2500:H2563" si="319">G2499</f>
        <v>1</v>
      </c>
      <c r="I2500">
        <v>2499</v>
      </c>
      <c r="J2500">
        <f t="shared" si="314"/>
        <v>-0.83790850868718325</v>
      </c>
      <c r="K2500">
        <f t="shared" si="315"/>
        <v>0.54581070992572189</v>
      </c>
      <c r="L2500">
        <f>VLOOKUP(D2500,[1]SOI!$A$1:$C$142,3)</f>
        <v>-15.3</v>
      </c>
      <c r="M2500" s="2">
        <f t="shared" si="316"/>
        <v>-2093.9333632092707</v>
      </c>
      <c r="N2500">
        <f t="shared" si="317"/>
        <v>1363.9809641043789</v>
      </c>
      <c r="O2500" t="s">
        <v>8</v>
      </c>
    </row>
    <row r="2501" spans="1:15" x14ac:dyDescent="0.35">
      <c r="A2501">
        <v>2006</v>
      </c>
      <c r="B2501">
        <v>11</v>
      </c>
      <c r="C2501">
        <v>4</v>
      </c>
      <c r="D2501" s="1">
        <f t="shared" si="312"/>
        <v>39025</v>
      </c>
      <c r="E2501">
        <v>0</v>
      </c>
      <c r="F2501">
        <f t="shared" si="318"/>
        <v>8.4</v>
      </c>
      <c r="G2501">
        <f t="shared" si="313"/>
        <v>0</v>
      </c>
      <c r="H2501">
        <f t="shared" si="319"/>
        <v>1</v>
      </c>
      <c r="I2501">
        <v>2500</v>
      </c>
      <c r="J2501">
        <f t="shared" si="314"/>
        <v>-0.82839572929211491</v>
      </c>
      <c r="K2501">
        <f t="shared" si="315"/>
        <v>0.56014329924634909</v>
      </c>
      <c r="L2501">
        <f>VLOOKUP(D2501,[1]SOI!$A$1:$C$142,3)</f>
        <v>-15.3</v>
      </c>
      <c r="M2501" s="2">
        <f t="shared" si="316"/>
        <v>-2070.9893232302875</v>
      </c>
      <c r="N2501">
        <f t="shared" si="317"/>
        <v>1400.3582481158728</v>
      </c>
      <c r="O2501" t="s">
        <v>8</v>
      </c>
    </row>
    <row r="2502" spans="1:15" x14ac:dyDescent="0.35">
      <c r="A2502">
        <v>2006</v>
      </c>
      <c r="B2502">
        <v>11</v>
      </c>
      <c r="C2502">
        <v>5</v>
      </c>
      <c r="D2502" s="1">
        <f t="shared" si="312"/>
        <v>39026</v>
      </c>
      <c r="E2502">
        <v>0</v>
      </c>
      <c r="F2502">
        <f t="shared" si="318"/>
        <v>0</v>
      </c>
      <c r="G2502">
        <f t="shared" si="313"/>
        <v>0</v>
      </c>
      <c r="H2502">
        <f t="shared" si="319"/>
        <v>0</v>
      </c>
      <c r="I2502">
        <v>2501</v>
      </c>
      <c r="J2502">
        <f t="shared" si="314"/>
        <v>-0.8186378142731433</v>
      </c>
      <c r="K2502">
        <f t="shared" si="315"/>
        <v>0.57431013315289026</v>
      </c>
      <c r="L2502">
        <f>VLOOKUP(D2502,[1]SOI!$A$1:$C$142,3)</f>
        <v>-15.3</v>
      </c>
      <c r="M2502" s="2">
        <f t="shared" si="316"/>
        <v>-2047.4131734971313</v>
      </c>
      <c r="N2502">
        <f t="shared" si="317"/>
        <v>1436.3496430153784</v>
      </c>
      <c r="O2502" t="s">
        <v>8</v>
      </c>
    </row>
    <row r="2503" spans="1:15" x14ac:dyDescent="0.35">
      <c r="A2503">
        <v>2006</v>
      </c>
      <c r="B2503">
        <v>11</v>
      </c>
      <c r="C2503">
        <v>6</v>
      </c>
      <c r="D2503" s="1">
        <f t="shared" si="312"/>
        <v>39027</v>
      </c>
      <c r="E2503">
        <v>0</v>
      </c>
      <c r="F2503">
        <f t="shared" si="318"/>
        <v>0</v>
      </c>
      <c r="G2503">
        <f t="shared" si="313"/>
        <v>0</v>
      </c>
      <c r="H2503">
        <f t="shared" si="319"/>
        <v>0</v>
      </c>
      <c r="I2503">
        <v>2502</v>
      </c>
      <c r="J2503">
        <f t="shared" si="314"/>
        <v>-0.8086376511543123</v>
      </c>
      <c r="K2503">
        <f t="shared" si="315"/>
        <v>0.58830701945126984</v>
      </c>
      <c r="L2503">
        <f>VLOOKUP(D2503,[1]SOI!$A$1:$C$142,3)</f>
        <v>-15.3</v>
      </c>
      <c r="M2503" s="2">
        <f t="shared" si="316"/>
        <v>-2023.2114031880894</v>
      </c>
      <c r="N2503">
        <f t="shared" si="317"/>
        <v>1471.9441626670771</v>
      </c>
      <c r="O2503" t="s">
        <v>8</v>
      </c>
    </row>
    <row r="2504" spans="1:15" x14ac:dyDescent="0.35">
      <c r="A2504">
        <v>2006</v>
      </c>
      <c r="B2504">
        <v>11</v>
      </c>
      <c r="C2504">
        <v>7</v>
      </c>
      <c r="D2504" s="1">
        <f t="shared" si="312"/>
        <v>39028</v>
      </c>
      <c r="E2504">
        <v>0</v>
      </c>
      <c r="F2504">
        <f t="shared" si="318"/>
        <v>0</v>
      </c>
      <c r="G2504">
        <f t="shared" si="313"/>
        <v>0</v>
      </c>
      <c r="H2504">
        <f t="shared" si="319"/>
        <v>0</v>
      </c>
      <c r="I2504">
        <v>2503</v>
      </c>
      <c r="J2504">
        <f t="shared" si="314"/>
        <v>-0.79839819914477583</v>
      </c>
      <c r="K2504">
        <f t="shared" si="315"/>
        <v>0.60212981623764394</v>
      </c>
      <c r="L2504">
        <f>VLOOKUP(D2504,[1]SOI!$A$1:$C$142,3)</f>
        <v>-15.3</v>
      </c>
      <c r="M2504" s="2">
        <f t="shared" si="316"/>
        <v>-1998.3906924593739</v>
      </c>
      <c r="N2504">
        <f t="shared" si="317"/>
        <v>1507.1309300428227</v>
      </c>
      <c r="O2504" t="s">
        <v>8</v>
      </c>
    </row>
    <row r="2505" spans="1:15" x14ac:dyDescent="0.35">
      <c r="A2505">
        <v>2006</v>
      </c>
      <c r="B2505">
        <v>11</v>
      </c>
      <c r="C2505">
        <v>8</v>
      </c>
      <c r="D2505" s="1">
        <f t="shared" si="312"/>
        <v>39029</v>
      </c>
      <c r="E2505">
        <v>0</v>
      </c>
      <c r="F2505">
        <f t="shared" si="318"/>
        <v>0</v>
      </c>
      <c r="G2505">
        <f t="shared" si="313"/>
        <v>0</v>
      </c>
      <c r="H2505">
        <f t="shared" si="319"/>
        <v>0</v>
      </c>
      <c r="I2505">
        <v>2504</v>
      </c>
      <c r="J2505">
        <f t="shared" si="314"/>
        <v>-0.78792248826312494</v>
      </c>
      <c r="K2505">
        <f t="shared" si="315"/>
        <v>0.61577443312405056</v>
      </c>
      <c r="L2505">
        <f>VLOOKUP(D2505,[1]SOI!$A$1:$C$142,3)</f>
        <v>-15.3</v>
      </c>
      <c r="M2505" s="2">
        <f t="shared" si="316"/>
        <v>-1972.9579106108649</v>
      </c>
      <c r="N2505">
        <f t="shared" si="317"/>
        <v>1541.8991805426226</v>
      </c>
      <c r="O2505" t="s">
        <v>8</v>
      </c>
    </row>
    <row r="2506" spans="1:15" x14ac:dyDescent="0.35">
      <c r="A2506">
        <v>2006</v>
      </c>
      <c r="B2506">
        <v>11</v>
      </c>
      <c r="C2506">
        <v>9</v>
      </c>
      <c r="D2506" s="1">
        <f t="shared" si="312"/>
        <v>39030</v>
      </c>
      <c r="E2506">
        <v>0</v>
      </c>
      <c r="F2506">
        <f t="shared" si="318"/>
        <v>0</v>
      </c>
      <c r="G2506">
        <f t="shared" si="313"/>
        <v>0</v>
      </c>
      <c r="H2506">
        <f t="shared" si="319"/>
        <v>0</v>
      </c>
      <c r="I2506">
        <v>2505</v>
      </c>
      <c r="J2506">
        <f t="shared" si="314"/>
        <v>-0.77721361844073877</v>
      </c>
      <c r="K2506">
        <f t="shared" si="315"/>
        <v>0.62923683244884343</v>
      </c>
      <c r="L2506">
        <f>VLOOKUP(D2506,[1]SOI!$A$1:$C$142,3)</f>
        <v>-15.3</v>
      </c>
      <c r="M2506" s="2">
        <f t="shared" si="316"/>
        <v>-1946.9201141940507</v>
      </c>
      <c r="N2506">
        <f t="shared" si="317"/>
        <v>1576.2382652843528</v>
      </c>
      <c r="O2506" t="s">
        <v>8</v>
      </c>
    </row>
    <row r="2507" spans="1:15" x14ac:dyDescent="0.35">
      <c r="A2507">
        <v>2006</v>
      </c>
      <c r="B2507">
        <v>11</v>
      </c>
      <c r="C2507">
        <v>10</v>
      </c>
      <c r="D2507" s="1">
        <f t="shared" si="312"/>
        <v>39031</v>
      </c>
      <c r="E2507">
        <v>0</v>
      </c>
      <c r="F2507">
        <f t="shared" si="318"/>
        <v>0</v>
      </c>
      <c r="G2507">
        <f t="shared" si="313"/>
        <v>0</v>
      </c>
      <c r="H2507">
        <f t="shared" si="319"/>
        <v>0</v>
      </c>
      <c r="I2507">
        <v>2506</v>
      </c>
      <c r="J2507">
        <f t="shared" si="314"/>
        <v>-0.76627475860449112</v>
      </c>
      <c r="K2507">
        <f t="shared" si="315"/>
        <v>0.64251303047146735</v>
      </c>
      <c r="L2507">
        <f>VLOOKUP(D2507,[1]SOI!$A$1:$C$142,3)</f>
        <v>-15.3</v>
      </c>
      <c r="M2507" s="2">
        <f t="shared" si="316"/>
        <v>-1920.2845450628547</v>
      </c>
      <c r="N2507">
        <f t="shared" si="317"/>
        <v>1610.1376543614972</v>
      </c>
      <c r="O2507" t="s">
        <v>8</v>
      </c>
    </row>
    <row r="2508" spans="1:15" x14ac:dyDescent="0.35">
      <c r="A2508">
        <v>2006</v>
      </c>
      <c r="B2508">
        <v>11</v>
      </c>
      <c r="C2508">
        <v>11</v>
      </c>
      <c r="D2508" s="1">
        <f t="shared" si="312"/>
        <v>39032</v>
      </c>
      <c r="E2508">
        <v>0</v>
      </c>
      <c r="F2508">
        <f t="shared" si="318"/>
        <v>0</v>
      </c>
      <c r="G2508">
        <f t="shared" si="313"/>
        <v>0</v>
      </c>
      <c r="H2508">
        <f t="shared" si="319"/>
        <v>0</v>
      </c>
      <c r="I2508">
        <v>2507</v>
      </c>
      <c r="J2508">
        <f t="shared" si="314"/>
        <v>-0.75510914573899712</v>
      </c>
      <c r="K2508">
        <f t="shared" si="315"/>
        <v>0.65559909855133425</v>
      </c>
      <c r="L2508">
        <f>VLOOKUP(D2508,[1]SOI!$A$1:$C$142,3)</f>
        <v>-15.3</v>
      </c>
      <c r="M2508" s="2">
        <f t="shared" si="316"/>
        <v>-1893.0586283676657</v>
      </c>
      <c r="N2508">
        <f t="shared" si="317"/>
        <v>1643.586940068195</v>
      </c>
      <c r="O2508" t="s">
        <v>8</v>
      </c>
    </row>
    <row r="2509" spans="1:15" x14ac:dyDescent="0.35">
      <c r="A2509">
        <v>2006</v>
      </c>
      <c r="B2509">
        <v>11</v>
      </c>
      <c r="C2509">
        <v>12</v>
      </c>
      <c r="D2509" s="1">
        <f t="shared" si="312"/>
        <v>39033</v>
      </c>
      <c r="E2509">
        <v>0.6</v>
      </c>
      <c r="F2509">
        <f t="shared" si="318"/>
        <v>0</v>
      </c>
      <c r="G2509">
        <f t="shared" si="313"/>
        <v>1</v>
      </c>
      <c r="H2509">
        <f t="shared" si="319"/>
        <v>0</v>
      </c>
      <c r="I2509">
        <v>2508</v>
      </c>
      <c r="J2509">
        <f t="shared" si="314"/>
        <v>-0.74372008392874089</v>
      </c>
      <c r="K2509">
        <f t="shared" si="315"/>
        <v>0.66849116431036437</v>
      </c>
      <c r="L2509">
        <f>VLOOKUP(D2509,[1]SOI!$A$1:$C$142,3)</f>
        <v>-15.3</v>
      </c>
      <c r="M2509" s="2">
        <f t="shared" si="316"/>
        <v>-1865.2499704932823</v>
      </c>
      <c r="N2509">
        <f t="shared" si="317"/>
        <v>1676.5758400903937</v>
      </c>
      <c r="O2509" t="s">
        <v>8</v>
      </c>
    </row>
    <row r="2510" spans="1:15" x14ac:dyDescent="0.35">
      <c r="A2510">
        <v>2006</v>
      </c>
      <c r="B2510">
        <v>11</v>
      </c>
      <c r="C2510">
        <v>13</v>
      </c>
      <c r="D2510" s="1">
        <f t="shared" si="312"/>
        <v>39034</v>
      </c>
      <c r="E2510">
        <v>1</v>
      </c>
      <c r="F2510">
        <f t="shared" si="318"/>
        <v>0.6</v>
      </c>
      <c r="G2510">
        <f t="shared" si="313"/>
        <v>1</v>
      </c>
      <c r="H2510">
        <f t="shared" si="319"/>
        <v>1</v>
      </c>
      <c r="I2510">
        <v>2509</v>
      </c>
      <c r="J2510">
        <f t="shared" si="314"/>
        <v>-0.73211094338034455</v>
      </c>
      <c r="K2510">
        <f t="shared" si="315"/>
        <v>0.68118541277888645</v>
      </c>
      <c r="L2510">
        <f>VLOOKUP(D2510,[1]SOI!$A$1:$C$142,3)</f>
        <v>-15.3</v>
      </c>
      <c r="M2510" s="2">
        <f t="shared" si="316"/>
        <v>-1836.8663569412845</v>
      </c>
      <c r="N2510">
        <f t="shared" si="317"/>
        <v>1709.0942006622261</v>
      </c>
      <c r="O2510" t="s">
        <v>8</v>
      </c>
    </row>
    <row r="2511" spans="1:15" x14ac:dyDescent="0.35">
      <c r="A2511">
        <v>2006</v>
      </c>
      <c r="B2511">
        <v>11</v>
      </c>
      <c r="C2511">
        <v>14</v>
      </c>
      <c r="D2511" s="1">
        <f t="shared" si="312"/>
        <v>39035</v>
      </c>
      <c r="E2511">
        <v>0.2</v>
      </c>
      <c r="F2511">
        <f t="shared" si="318"/>
        <v>1</v>
      </c>
      <c r="G2511">
        <f t="shared" si="313"/>
        <v>1</v>
      </c>
      <c r="H2511">
        <f t="shared" si="319"/>
        <v>1</v>
      </c>
      <c r="I2511">
        <v>2510</v>
      </c>
      <c r="J2511">
        <f t="shared" si="314"/>
        <v>-0.72028515942527438</v>
      </c>
      <c r="K2511">
        <f t="shared" si="315"/>
        <v>0.69367808752454263</v>
      </c>
      <c r="L2511">
        <f>VLOOKUP(D2511,[1]SOI!$A$1:$C$142,3)</f>
        <v>-15.3</v>
      </c>
      <c r="M2511" s="2">
        <f t="shared" si="316"/>
        <v>-1807.9157501574387</v>
      </c>
      <c r="N2511">
        <f t="shared" si="317"/>
        <v>1741.1319996866021</v>
      </c>
      <c r="O2511" t="s">
        <v>8</v>
      </c>
    </row>
    <row r="2512" spans="1:15" x14ac:dyDescent="0.35">
      <c r="A2512">
        <v>2006</v>
      </c>
      <c r="B2512">
        <v>11</v>
      </c>
      <c r="C2512">
        <v>15</v>
      </c>
      <c r="D2512" s="1">
        <f t="shared" si="312"/>
        <v>39036</v>
      </c>
      <c r="E2512">
        <v>0.4</v>
      </c>
      <c r="F2512">
        <f t="shared" si="318"/>
        <v>0.2</v>
      </c>
      <c r="G2512">
        <f t="shared" si="313"/>
        <v>1</v>
      </c>
      <c r="H2512">
        <f t="shared" si="319"/>
        <v>1</v>
      </c>
      <c r="I2512">
        <v>2511</v>
      </c>
      <c r="J2512">
        <f t="shared" si="314"/>
        <v>-0.7082462315032515</v>
      </c>
      <c r="K2512">
        <f t="shared" si="315"/>
        <v>0.70596549176389822</v>
      </c>
      <c r="L2512">
        <f>VLOOKUP(D2512,[1]SOI!$A$1:$C$142,3)</f>
        <v>-15.3</v>
      </c>
      <c r="M2512" s="2">
        <f t="shared" si="316"/>
        <v>-1778.4062873046646</v>
      </c>
      <c r="N2512">
        <f t="shared" si="317"/>
        <v>1772.6793498191485</v>
      </c>
      <c r="O2512" t="s">
        <v>8</v>
      </c>
    </row>
    <row r="2513" spans="1:15" x14ac:dyDescent="0.35">
      <c r="A2513">
        <v>2006</v>
      </c>
      <c r="B2513">
        <v>11</v>
      </c>
      <c r="C2513">
        <v>16</v>
      </c>
      <c r="D2513" s="1">
        <f t="shared" si="312"/>
        <v>39037</v>
      </c>
      <c r="E2513">
        <v>8.6</v>
      </c>
      <c r="F2513">
        <f t="shared" si="318"/>
        <v>0.4</v>
      </c>
      <c r="G2513">
        <f t="shared" si="313"/>
        <v>1</v>
      </c>
      <c r="H2513">
        <f t="shared" si="319"/>
        <v>1</v>
      </c>
      <c r="I2513">
        <v>2512</v>
      </c>
      <c r="J2513">
        <f t="shared" si="314"/>
        <v>-0.6959977221267406</v>
      </c>
      <c r="K2513">
        <f t="shared" si="315"/>
        <v>0.71804398945634829</v>
      </c>
      <c r="L2513">
        <f>VLOOKUP(D2513,[1]SOI!$A$1:$C$142,3)</f>
        <v>-15.3</v>
      </c>
      <c r="M2513" s="2">
        <f t="shared" si="316"/>
        <v>-1748.3462779823724</v>
      </c>
      <c r="N2513">
        <f t="shared" si="317"/>
        <v>1803.7265015143469</v>
      </c>
      <c r="O2513" t="s">
        <v>8</v>
      </c>
    </row>
    <row r="2514" spans="1:15" x14ac:dyDescent="0.35">
      <c r="A2514">
        <v>2006</v>
      </c>
      <c r="B2514">
        <v>11</v>
      </c>
      <c r="C2514">
        <v>17</v>
      </c>
      <c r="D2514" s="1">
        <f t="shared" si="312"/>
        <v>39038</v>
      </c>
      <c r="E2514">
        <v>0.2</v>
      </c>
      <c r="F2514">
        <f t="shared" si="318"/>
        <v>8.6</v>
      </c>
      <c r="G2514">
        <f t="shared" si="313"/>
        <v>1</v>
      </c>
      <c r="H2514">
        <f t="shared" si="319"/>
        <v>1</v>
      </c>
      <c r="I2514">
        <v>2513</v>
      </c>
      <c r="J2514">
        <f t="shared" si="314"/>
        <v>-0.68354325582672582</v>
      </c>
      <c r="K2514">
        <f t="shared" si="315"/>
        <v>0.72991000638010117</v>
      </c>
      <c r="L2514">
        <f>VLOOKUP(D2514,[1]SOI!$A$1:$C$142,3)</f>
        <v>-15.3</v>
      </c>
      <c r="M2514" s="2">
        <f t="shared" si="316"/>
        <v>-1717.7442018925619</v>
      </c>
      <c r="N2514">
        <f t="shared" si="317"/>
        <v>1834.2638460331943</v>
      </c>
      <c r="O2514" t="s">
        <v>8</v>
      </c>
    </row>
    <row r="2515" spans="1:15" x14ac:dyDescent="0.35">
      <c r="A2515">
        <v>2006</v>
      </c>
      <c r="B2515">
        <v>11</v>
      </c>
      <c r="C2515">
        <v>18</v>
      </c>
      <c r="D2515" s="1">
        <f t="shared" si="312"/>
        <v>39039</v>
      </c>
      <c r="E2515">
        <v>0</v>
      </c>
      <c r="F2515">
        <f t="shared" si="318"/>
        <v>0.2</v>
      </c>
      <c r="G2515">
        <f t="shared" si="313"/>
        <v>0</v>
      </c>
      <c r="H2515">
        <f t="shared" si="319"/>
        <v>1</v>
      </c>
      <c r="I2515">
        <v>2514</v>
      </c>
      <c r="J2515">
        <f t="shared" si="314"/>
        <v>-0.67088651808015831</v>
      </c>
      <c r="K2515">
        <f t="shared" si="315"/>
        <v>0.74156003118984337</v>
      </c>
      <c r="L2515">
        <f>VLOOKUP(D2515,[1]SOI!$A$1:$C$142,3)</f>
        <v>-15.3</v>
      </c>
      <c r="M2515" s="2">
        <f t="shared" si="316"/>
        <v>-1686.6087064535179</v>
      </c>
      <c r="N2515">
        <f t="shared" si="317"/>
        <v>1864.2819184112661</v>
      </c>
      <c r="O2515" t="s">
        <v>8</v>
      </c>
    </row>
    <row r="2516" spans="1:15" x14ac:dyDescent="0.35">
      <c r="A2516">
        <v>2006</v>
      </c>
      <c r="B2516">
        <v>11</v>
      </c>
      <c r="C2516">
        <v>19</v>
      </c>
      <c r="D2516" s="1">
        <f t="shared" si="312"/>
        <v>39040</v>
      </c>
      <c r="E2516">
        <v>0</v>
      </c>
      <c r="F2516">
        <f t="shared" si="318"/>
        <v>0</v>
      </c>
      <c r="G2516">
        <f t="shared" si="313"/>
        <v>0</v>
      </c>
      <c r="H2516">
        <f t="shared" si="319"/>
        <v>0</v>
      </c>
      <c r="I2516">
        <v>2515</v>
      </c>
      <c r="J2516">
        <f t="shared" si="314"/>
        <v>-0.65803125421937003</v>
      </c>
      <c r="K2516">
        <f t="shared" si="315"/>
        <v>0.75299061645579812</v>
      </c>
      <c r="L2516">
        <f>VLOOKUP(D2516,[1]SOI!$A$1:$C$142,3)</f>
        <v>-15.3</v>
      </c>
      <c r="M2516" s="2">
        <f t="shared" si="316"/>
        <v>-1654.9486043617155</v>
      </c>
      <c r="N2516">
        <f t="shared" si="317"/>
        <v>1893.7714003863323</v>
      </c>
      <c r="O2516" t="s">
        <v>8</v>
      </c>
    </row>
    <row r="2517" spans="1:15" x14ac:dyDescent="0.35">
      <c r="A2517">
        <v>2006</v>
      </c>
      <c r="B2517">
        <v>11</v>
      </c>
      <c r="C2517">
        <v>20</v>
      </c>
      <c r="D2517" s="1">
        <f t="shared" si="312"/>
        <v>39041</v>
      </c>
      <c r="E2517">
        <v>0</v>
      </c>
      <c r="F2517">
        <f t="shared" si="318"/>
        <v>0</v>
      </c>
      <c r="G2517">
        <f t="shared" si="313"/>
        <v>0</v>
      </c>
      <c r="H2517">
        <f t="shared" si="319"/>
        <v>0</v>
      </c>
      <c r="I2517">
        <v>2516</v>
      </c>
      <c r="J2517">
        <f t="shared" si="314"/>
        <v>-0.64498126832374802</v>
      </c>
      <c r="K2517">
        <f t="shared" si="315"/>
        <v>0.76419837968389415</v>
      </c>
      <c r="L2517">
        <f>VLOOKUP(D2517,[1]SOI!$A$1:$C$142,3)</f>
        <v>-15.3</v>
      </c>
      <c r="M2517" s="2">
        <f t="shared" si="316"/>
        <v>-1622.77287110255</v>
      </c>
      <c r="N2517">
        <f t="shared" si="317"/>
        <v>1922.7231232846777</v>
      </c>
      <c r="O2517" t="s">
        <v>8</v>
      </c>
    </row>
    <row r="2518" spans="1:15" x14ac:dyDescent="0.35">
      <c r="A2518">
        <v>2006</v>
      </c>
      <c r="B2518">
        <v>11</v>
      </c>
      <c r="C2518">
        <v>21</v>
      </c>
      <c r="D2518" s="1">
        <f t="shared" si="312"/>
        <v>39042</v>
      </c>
      <c r="E2518">
        <v>0.4</v>
      </c>
      <c r="F2518">
        <f t="shared" si="318"/>
        <v>0</v>
      </c>
      <c r="G2518">
        <f t="shared" si="313"/>
        <v>1</v>
      </c>
      <c r="H2518">
        <f t="shared" si="319"/>
        <v>0</v>
      </c>
      <c r="I2518">
        <v>2517</v>
      </c>
      <c r="J2518">
        <f t="shared" si="314"/>
        <v>-0.63174042209407277</v>
      </c>
      <c r="K2518">
        <f t="shared" si="315"/>
        <v>0.77518000431667666</v>
      </c>
      <c r="L2518">
        <f>VLOOKUP(D2518,[1]SOI!$A$1:$C$142,3)</f>
        <v>-15.3</v>
      </c>
      <c r="M2518" s="2">
        <f t="shared" si="316"/>
        <v>-1590.0906424107811</v>
      </c>
      <c r="N2518">
        <f t="shared" si="317"/>
        <v>1951.1280708650752</v>
      </c>
      <c r="O2518" t="s">
        <v>8</v>
      </c>
    </row>
    <row r="2519" spans="1:15" x14ac:dyDescent="0.35">
      <c r="A2519">
        <v>2006</v>
      </c>
      <c r="B2519">
        <v>11</v>
      </c>
      <c r="C2519">
        <v>22</v>
      </c>
      <c r="D2519" s="1">
        <f t="shared" si="312"/>
        <v>39043</v>
      </c>
      <c r="E2519">
        <v>0</v>
      </c>
      <c r="F2519">
        <f t="shared" si="318"/>
        <v>0.4</v>
      </c>
      <c r="G2519">
        <f t="shared" si="313"/>
        <v>0</v>
      </c>
      <c r="H2519">
        <f t="shared" si="319"/>
        <v>1</v>
      </c>
      <c r="I2519">
        <v>2518</v>
      </c>
      <c r="J2519">
        <f t="shared" si="314"/>
        <v>-0.61831263370978473</v>
      </c>
      <c r="K2519">
        <f t="shared" si="315"/>
        <v>0.78593224071472567</v>
      </c>
      <c r="L2519">
        <f>VLOOKUP(D2519,[1]SOI!$A$1:$C$142,3)</f>
        <v>-15.3</v>
      </c>
      <c r="M2519" s="2">
        <f t="shared" si="316"/>
        <v>-1556.911211681238</v>
      </c>
      <c r="N2519">
        <f t="shared" si="317"/>
        <v>1978.9773821196793</v>
      </c>
      <c r="O2519" t="s">
        <v>8</v>
      </c>
    </row>
    <row r="2520" spans="1:15" x14ac:dyDescent="0.35">
      <c r="A2520">
        <v>2006</v>
      </c>
      <c r="B2520">
        <v>11</v>
      </c>
      <c r="C2520">
        <v>23</v>
      </c>
      <c r="D2520" s="1">
        <f t="shared" si="312"/>
        <v>39044</v>
      </c>
      <c r="E2520">
        <v>0</v>
      </c>
      <c r="F2520">
        <f t="shared" si="318"/>
        <v>0</v>
      </c>
      <c r="G2520">
        <f t="shared" si="313"/>
        <v>0</v>
      </c>
      <c r="H2520">
        <f t="shared" si="319"/>
        <v>0</v>
      </c>
      <c r="I2520">
        <v>2519</v>
      </c>
      <c r="J2520">
        <f t="shared" si="314"/>
        <v>-0.60470187666948283</v>
      </c>
      <c r="K2520">
        <f t="shared" si="315"/>
        <v>0.79645190711831781</v>
      </c>
      <c r="L2520">
        <f>VLOOKUP(D2520,[1]SOI!$A$1:$C$142,3)</f>
        <v>-15.3</v>
      </c>
      <c r="M2520" s="2">
        <f t="shared" si="316"/>
        <v>-1523.2440273304273</v>
      </c>
      <c r="N2520">
        <f t="shared" si="317"/>
        <v>2006.2623540310426</v>
      </c>
      <c r="O2520" t="s">
        <v>8</v>
      </c>
    </row>
    <row r="2521" spans="1:15" x14ac:dyDescent="0.35">
      <c r="A2521">
        <v>2006</v>
      </c>
      <c r="B2521">
        <v>11</v>
      </c>
      <c r="C2521">
        <v>24</v>
      </c>
      <c r="D2521" s="1">
        <f t="shared" si="312"/>
        <v>39045</v>
      </c>
      <c r="E2521">
        <v>0</v>
      </c>
      <c r="F2521">
        <f t="shared" si="318"/>
        <v>0</v>
      </c>
      <c r="G2521">
        <f t="shared" si="313"/>
        <v>0</v>
      </c>
      <c r="H2521">
        <f t="shared" si="319"/>
        <v>0</v>
      </c>
      <c r="I2521">
        <v>2520</v>
      </c>
      <c r="J2521">
        <f t="shared" si="314"/>
        <v>-0.59091217861515666</v>
      </c>
      <c r="K2521">
        <f t="shared" si="315"/>
        <v>0.80673589058891459</v>
      </c>
      <c r="L2521">
        <f>VLOOKUP(D2521,[1]SOI!$A$1:$C$142,3)</f>
        <v>-15.3</v>
      </c>
      <c r="M2521" s="2">
        <f t="shared" si="316"/>
        <v>-1489.0986901101949</v>
      </c>
      <c r="N2521">
        <f t="shared" si="317"/>
        <v>2032.9744442840647</v>
      </c>
      <c r="O2521" t="s">
        <v>8</v>
      </c>
    </row>
    <row r="2522" spans="1:15" x14ac:dyDescent="0.35">
      <c r="A2522">
        <v>2006</v>
      </c>
      <c r="B2522">
        <v>11</v>
      </c>
      <c r="C2522">
        <v>25</v>
      </c>
      <c r="D2522" s="1">
        <f t="shared" si="312"/>
        <v>39046</v>
      </c>
      <c r="E2522">
        <v>0</v>
      </c>
      <c r="F2522">
        <f t="shared" si="318"/>
        <v>0</v>
      </c>
      <c r="G2522">
        <f t="shared" si="313"/>
        <v>0</v>
      </c>
      <c r="H2522">
        <f t="shared" si="319"/>
        <v>0</v>
      </c>
      <c r="I2522">
        <v>2521</v>
      </c>
      <c r="J2522">
        <f t="shared" si="314"/>
        <v>-0.57694762014032119</v>
      </c>
      <c r="K2522">
        <f t="shared" si="315"/>
        <v>0.81678114793034962</v>
      </c>
      <c r="L2522">
        <f>VLOOKUP(D2522,[1]SOI!$A$1:$C$142,3)</f>
        <v>-15.3</v>
      </c>
      <c r="M2522" s="2">
        <f t="shared" si="316"/>
        <v>-1454.4849503737498</v>
      </c>
      <c r="N2522">
        <f t="shared" si="317"/>
        <v>2059.1052739324114</v>
      </c>
      <c r="O2522" t="s">
        <v>8</v>
      </c>
    </row>
    <row r="2523" spans="1:15" x14ac:dyDescent="0.35">
      <c r="A2523">
        <v>2006</v>
      </c>
      <c r="B2523">
        <v>11</v>
      </c>
      <c r="C2523">
        <v>26</v>
      </c>
      <c r="D2523" s="1">
        <f t="shared" si="312"/>
        <v>39047</v>
      </c>
      <c r="E2523">
        <v>0</v>
      </c>
      <c r="F2523">
        <f t="shared" si="318"/>
        <v>0</v>
      </c>
      <c r="G2523">
        <f t="shared" si="313"/>
        <v>0</v>
      </c>
      <c r="H2523">
        <f t="shared" si="319"/>
        <v>0</v>
      </c>
      <c r="I2523">
        <v>2522</v>
      </c>
      <c r="J2523">
        <f t="shared" si="314"/>
        <v>-0.56281233358247995</v>
      </c>
      <c r="K2523">
        <f t="shared" si="315"/>
        <v>0.82658470658937511</v>
      </c>
      <c r="L2523">
        <f>VLOOKUP(D2523,[1]SOI!$A$1:$C$142,3)</f>
        <v>-15.3</v>
      </c>
      <c r="M2523" s="2">
        <f t="shared" si="316"/>
        <v>-1419.4127052950143</v>
      </c>
      <c r="N2523">
        <f t="shared" si="317"/>
        <v>2084.6466300184038</v>
      </c>
      <c r="O2523" t="s">
        <v>8</v>
      </c>
    </row>
    <row r="2524" spans="1:15" x14ac:dyDescent="0.35">
      <c r="A2524">
        <v>2006</v>
      </c>
      <c r="B2524">
        <v>11</v>
      </c>
      <c r="C2524">
        <v>27</v>
      </c>
      <c r="D2524" s="1">
        <f t="shared" si="312"/>
        <v>39048</v>
      </c>
      <c r="E2524">
        <v>0</v>
      </c>
      <c r="F2524">
        <f t="shared" si="318"/>
        <v>0</v>
      </c>
      <c r="G2524">
        <f t="shared" si="313"/>
        <v>0</v>
      </c>
      <c r="H2524">
        <f t="shared" si="319"/>
        <v>0</v>
      </c>
      <c r="I2524">
        <v>2523</v>
      </c>
      <c r="J2524">
        <f t="shared" si="314"/>
        <v>-0.54851050180036365</v>
      </c>
      <c r="K2524">
        <f t="shared" si="315"/>
        <v>0.83614366553524355</v>
      </c>
      <c r="L2524">
        <f>VLOOKUP(D2524,[1]SOI!$A$1:$C$142,3)</f>
        <v>-15.3</v>
      </c>
      <c r="M2524" s="2">
        <f t="shared" si="316"/>
        <v>-1383.8919960423175</v>
      </c>
      <c r="N2524">
        <f t="shared" si="317"/>
        <v>2109.5904681454194</v>
      </c>
      <c r="O2524" t="s">
        <v>8</v>
      </c>
    </row>
    <row r="2525" spans="1:15" x14ac:dyDescent="0.35">
      <c r="A2525">
        <v>2006</v>
      </c>
      <c r="B2525">
        <v>11</v>
      </c>
      <c r="C2525">
        <v>28</v>
      </c>
      <c r="D2525" s="1">
        <f t="shared" si="312"/>
        <v>39049</v>
      </c>
      <c r="E2525">
        <v>0</v>
      </c>
      <c r="F2525">
        <f t="shared" si="318"/>
        <v>0</v>
      </c>
      <c r="G2525">
        <f t="shared" si="313"/>
        <v>0</v>
      </c>
      <c r="H2525">
        <f t="shared" si="319"/>
        <v>0</v>
      </c>
      <c r="I2525">
        <v>2524</v>
      </c>
      <c r="J2525">
        <f t="shared" si="314"/>
        <v>-0.53404635693607339</v>
      </c>
      <c r="K2525">
        <f t="shared" si="315"/>
        <v>0.84545519611822606</v>
      </c>
      <c r="L2525">
        <f>VLOOKUP(D2525,[1]SOI!$A$1:$C$142,3)</f>
        <v>-15.3</v>
      </c>
      <c r="M2525" s="2">
        <f t="shared" si="316"/>
        <v>-1347.9330049066493</v>
      </c>
      <c r="N2525">
        <f t="shared" si="317"/>
        <v>2133.9289150024024</v>
      </c>
      <c r="O2525" t="s">
        <v>8</v>
      </c>
    </row>
    <row r="2526" spans="1:15" x14ac:dyDescent="0.35">
      <c r="A2526">
        <v>2006</v>
      </c>
      <c r="B2526">
        <v>11</v>
      </c>
      <c r="C2526">
        <v>29</v>
      </c>
      <c r="D2526" s="1">
        <f t="shared" si="312"/>
        <v>39050</v>
      </c>
      <c r="E2526">
        <v>0.4</v>
      </c>
      <c r="F2526">
        <f t="shared" si="318"/>
        <v>0</v>
      </c>
      <c r="G2526">
        <f t="shared" si="313"/>
        <v>1</v>
      </c>
      <c r="H2526">
        <f t="shared" si="319"/>
        <v>0</v>
      </c>
      <c r="I2526">
        <v>2525</v>
      </c>
      <c r="J2526">
        <f t="shared" si="314"/>
        <v>-0.51942417916278594</v>
      </c>
      <c r="K2526">
        <f t="shared" si="315"/>
        <v>0.85451654290661105</v>
      </c>
      <c r="L2526">
        <f>VLOOKUP(D2526,[1]SOI!$A$1:$C$142,3)</f>
        <v>-15.3</v>
      </c>
      <c r="M2526" s="2">
        <f t="shared" si="316"/>
        <v>-1311.5460523860345</v>
      </c>
      <c r="N2526">
        <f t="shared" si="317"/>
        <v>2157.654270839193</v>
      </c>
      <c r="O2526" t="s">
        <v>8</v>
      </c>
    </row>
    <row r="2527" spans="1:15" x14ac:dyDescent="0.35">
      <c r="A2527">
        <v>2006</v>
      </c>
      <c r="B2527">
        <v>11</v>
      </c>
      <c r="C2527">
        <v>30</v>
      </c>
      <c r="D2527" s="1">
        <f t="shared" si="312"/>
        <v>39051</v>
      </c>
      <c r="E2527">
        <v>0</v>
      </c>
      <c r="F2527">
        <f t="shared" si="318"/>
        <v>0.4</v>
      </c>
      <c r="G2527">
        <f t="shared" si="313"/>
        <v>0</v>
      </c>
      <c r="H2527">
        <f t="shared" si="319"/>
        <v>1</v>
      </c>
      <c r="I2527">
        <v>2526</v>
      </c>
      <c r="J2527">
        <f t="shared" si="314"/>
        <v>-0.5046482954181527</v>
      </c>
      <c r="K2527">
        <f t="shared" si="315"/>
        <v>0.86332502450210069</v>
      </c>
      <c r="L2527">
        <f>VLOOKUP(D2527,[1]SOI!$A$1:$C$142,3)</f>
        <v>-15.3</v>
      </c>
      <c r="M2527" s="2">
        <f t="shared" si="316"/>
        <v>-1274.7415942262537</v>
      </c>
      <c r="N2527">
        <f t="shared" si="317"/>
        <v>2180.7590118923063</v>
      </c>
      <c r="O2527" t="s">
        <v>8</v>
      </c>
    </row>
    <row r="2528" spans="1:15" x14ac:dyDescent="0.35">
      <c r="A2528">
        <v>2006</v>
      </c>
      <c r="B2528">
        <v>12</v>
      </c>
      <c r="C2528">
        <v>1</v>
      </c>
      <c r="D2528" s="1">
        <f t="shared" si="312"/>
        <v>39052</v>
      </c>
      <c r="E2528">
        <v>0</v>
      </c>
      <c r="F2528">
        <f t="shared" si="318"/>
        <v>0</v>
      </c>
      <c r="G2528">
        <f t="shared" si="313"/>
        <v>0</v>
      </c>
      <c r="H2528">
        <f t="shared" si="319"/>
        <v>0</v>
      </c>
      <c r="I2528">
        <v>2527</v>
      </c>
      <c r="J2528">
        <f t="shared" si="314"/>
        <v>-0.48972307812389493</v>
      </c>
      <c r="K2528">
        <f t="shared" si="315"/>
        <v>0.87187803433327615</v>
      </c>
      <c r="L2528">
        <f>VLOOKUP(D2528,[1]SOI!$A$1:$C$142,3)</f>
        <v>-1.4</v>
      </c>
      <c r="M2528" s="2">
        <f t="shared" si="316"/>
        <v>-1237.5302184190825</v>
      </c>
      <c r="N2528">
        <f t="shared" si="317"/>
        <v>2203.2357927601888</v>
      </c>
      <c r="O2528" t="s">
        <v>8</v>
      </c>
    </row>
    <row r="2529" spans="1:15" x14ac:dyDescent="0.35">
      <c r="A2529">
        <v>2006</v>
      </c>
      <c r="B2529">
        <v>12</v>
      </c>
      <c r="C2529">
        <v>2</v>
      </c>
      <c r="D2529" s="1">
        <f t="shared" si="312"/>
        <v>39053</v>
      </c>
      <c r="E2529">
        <v>0</v>
      </c>
      <c r="F2529">
        <f t="shared" si="318"/>
        <v>0</v>
      </c>
      <c r="G2529">
        <f t="shared" si="313"/>
        <v>0</v>
      </c>
      <c r="H2529">
        <f t="shared" si="319"/>
        <v>0</v>
      </c>
      <c r="I2529">
        <v>2528</v>
      </c>
      <c r="J2529">
        <f t="shared" si="314"/>
        <v>-0.47465294389193358</v>
      </c>
      <c r="K2529">
        <f t="shared" si="315"/>
        <v>0.88017304142692354</v>
      </c>
      <c r="L2529">
        <f>VLOOKUP(D2529,[1]SOI!$A$1:$C$142,3)</f>
        <v>-1.4</v>
      </c>
      <c r="M2529" s="2">
        <f t="shared" si="316"/>
        <v>-1199.922642158808</v>
      </c>
      <c r="N2529">
        <f t="shared" si="317"/>
        <v>2225.0774487272629</v>
      </c>
      <c r="O2529" t="s">
        <v>8</v>
      </c>
    </row>
    <row r="2530" spans="1:15" x14ac:dyDescent="0.35">
      <c r="A2530">
        <v>2006</v>
      </c>
      <c r="B2530">
        <v>12</v>
      </c>
      <c r="C2530">
        <v>3</v>
      </c>
      <c r="D2530" s="1">
        <f t="shared" si="312"/>
        <v>39054</v>
      </c>
      <c r="E2530">
        <v>0</v>
      </c>
      <c r="F2530">
        <f t="shared" si="318"/>
        <v>0</v>
      </c>
      <c r="G2530">
        <f t="shared" si="313"/>
        <v>0</v>
      </c>
      <c r="H2530">
        <f t="shared" si="319"/>
        <v>0</v>
      </c>
      <c r="I2530">
        <v>2529</v>
      </c>
      <c r="J2530">
        <f t="shared" si="314"/>
        <v>-0.45944235221744928</v>
      </c>
      <c r="K2530">
        <f t="shared" si="315"/>
        <v>0.88820759115698689</v>
      </c>
      <c r="L2530">
        <f>VLOOKUP(D2530,[1]SOI!$A$1:$C$142,3)</f>
        <v>-1.4</v>
      </c>
      <c r="M2530" s="2">
        <f t="shared" si="316"/>
        <v>-1161.9297087579291</v>
      </c>
      <c r="N2530">
        <f t="shared" si="317"/>
        <v>2246.2769980360199</v>
      </c>
      <c r="O2530" t="s">
        <v>8</v>
      </c>
    </row>
    <row r="2531" spans="1:15" x14ac:dyDescent="0.35">
      <c r="A2531">
        <v>2006</v>
      </c>
      <c r="B2531">
        <v>12</v>
      </c>
      <c r="C2531">
        <v>4</v>
      </c>
      <c r="D2531" s="1">
        <f t="shared" si="312"/>
        <v>39055</v>
      </c>
      <c r="E2531">
        <v>0</v>
      </c>
      <c r="F2531">
        <f t="shared" si="318"/>
        <v>0</v>
      </c>
      <c r="G2531">
        <f t="shared" si="313"/>
        <v>0</v>
      </c>
      <c r="H2531">
        <f t="shared" si="319"/>
        <v>0</v>
      </c>
      <c r="I2531">
        <v>2530</v>
      </c>
      <c r="J2531">
        <f t="shared" si="314"/>
        <v>-0.44409580415922095</v>
      </c>
      <c r="K2531">
        <f t="shared" si="315"/>
        <v>0.89597930597094422</v>
      </c>
      <c r="L2531">
        <f>VLOOKUP(D2531,[1]SOI!$A$1:$C$142,3)</f>
        <v>-1.4</v>
      </c>
      <c r="M2531" s="2">
        <f t="shared" si="316"/>
        <v>-1123.562384522829</v>
      </c>
      <c r="N2531">
        <f t="shared" si="317"/>
        <v>2266.8276441064891</v>
      </c>
      <c r="O2531" t="s">
        <v>8</v>
      </c>
    </row>
    <row r="2532" spans="1:15" x14ac:dyDescent="0.35">
      <c r="A2532">
        <v>2006</v>
      </c>
      <c r="B2532">
        <v>12</v>
      </c>
      <c r="C2532">
        <v>5</v>
      </c>
      <c r="D2532" s="1">
        <f t="shared" si="312"/>
        <v>39056</v>
      </c>
      <c r="E2532">
        <v>0</v>
      </c>
      <c r="F2532">
        <f t="shared" si="318"/>
        <v>0</v>
      </c>
      <c r="G2532">
        <f t="shared" si="313"/>
        <v>0</v>
      </c>
      <c r="H2532">
        <f t="shared" si="319"/>
        <v>0</v>
      </c>
      <c r="I2532">
        <v>2531</v>
      </c>
      <c r="J2532">
        <f t="shared" si="314"/>
        <v>-0.42861784100772743</v>
      </c>
      <c r="K2532">
        <f t="shared" si="315"/>
        <v>0.90348588609334379</v>
      </c>
      <c r="L2532">
        <f>VLOOKUP(D2532,[1]SOI!$A$1:$C$142,3)</f>
        <v>-1.4</v>
      </c>
      <c r="M2532" s="2">
        <f t="shared" si="316"/>
        <v>-1084.831755590558</v>
      </c>
      <c r="N2532">
        <f t="shared" si="317"/>
        <v>2286.7227777022531</v>
      </c>
      <c r="O2532" t="s">
        <v>8</v>
      </c>
    </row>
    <row r="2533" spans="1:15" x14ac:dyDescent="0.35">
      <c r="A2533">
        <v>2006</v>
      </c>
      <c r="B2533">
        <v>12</v>
      </c>
      <c r="C2533">
        <v>6</v>
      </c>
      <c r="D2533" s="1">
        <f t="shared" si="312"/>
        <v>39057</v>
      </c>
      <c r="E2533">
        <v>0</v>
      </c>
      <c r="F2533">
        <f t="shared" si="318"/>
        <v>0</v>
      </c>
      <c r="G2533">
        <f t="shared" si="313"/>
        <v>0</v>
      </c>
      <c r="H2533">
        <f t="shared" si="319"/>
        <v>0</v>
      </c>
      <c r="I2533">
        <v>2532</v>
      </c>
      <c r="J2533">
        <f t="shared" si="314"/>
        <v>-0.41301304294128172</v>
      </c>
      <c r="K2533">
        <f t="shared" si="315"/>
        <v>0.91072511020635805</v>
      </c>
      <c r="L2533">
        <f>VLOOKUP(D2533,[1]SOI!$A$1:$C$142,3)</f>
        <v>-1.4</v>
      </c>
      <c r="M2533" s="2">
        <f t="shared" si="316"/>
        <v>-1045.7490247273254</v>
      </c>
      <c r="N2533">
        <f t="shared" si="317"/>
        <v>2305.9559790424987</v>
      </c>
      <c r="O2533" t="s">
        <v>8</v>
      </c>
    </row>
    <row r="2534" spans="1:15" x14ac:dyDescent="0.35">
      <c r="A2534">
        <v>2006</v>
      </c>
      <c r="B2534">
        <v>12</v>
      </c>
      <c r="C2534">
        <v>7</v>
      </c>
      <c r="D2534" s="1">
        <f t="shared" si="312"/>
        <v>39058</v>
      </c>
      <c r="E2534">
        <v>0</v>
      </c>
      <c r="F2534">
        <f t="shared" si="318"/>
        <v>0</v>
      </c>
      <c r="G2534">
        <f t="shared" si="313"/>
        <v>0</v>
      </c>
      <c r="H2534">
        <f t="shared" si="319"/>
        <v>0</v>
      </c>
      <c r="I2534">
        <v>2533</v>
      </c>
      <c r="J2534">
        <f t="shared" si="314"/>
        <v>-0.39728602767068877</v>
      </c>
      <c r="K2534">
        <f t="shared" si="315"/>
        <v>0.91769483610710412</v>
      </c>
      <c r="L2534">
        <f>VLOOKUP(D2534,[1]SOI!$A$1:$C$142,3)</f>
        <v>-1.4</v>
      </c>
      <c r="M2534" s="2">
        <f t="shared" si="316"/>
        <v>-1006.3255080898547</v>
      </c>
      <c r="N2534">
        <f t="shared" si="317"/>
        <v>2324.5210198592949</v>
      </c>
      <c r="O2534" t="s">
        <v>8</v>
      </c>
    </row>
    <row r="2535" spans="1:15" x14ac:dyDescent="0.35">
      <c r="A2535">
        <v>2006</v>
      </c>
      <c r="B2535">
        <v>12</v>
      </c>
      <c r="C2535">
        <v>8</v>
      </c>
      <c r="D2535" s="1">
        <f t="shared" si="312"/>
        <v>39059</v>
      </c>
      <c r="E2535">
        <v>0</v>
      </c>
      <c r="F2535">
        <f t="shared" si="318"/>
        <v>0</v>
      </c>
      <c r="G2535">
        <f t="shared" si="313"/>
        <v>0</v>
      </c>
      <c r="H2535">
        <f t="shared" si="319"/>
        <v>0</v>
      </c>
      <c r="I2535">
        <v>2534</v>
      </c>
      <c r="J2535">
        <f t="shared" si="314"/>
        <v>-0.38144144907279703</v>
      </c>
      <c r="K2535">
        <f t="shared" si="315"/>
        <v>0.92439300134155322</v>
      </c>
      <c r="L2535">
        <f>VLOOKUP(D2535,[1]SOI!$A$1:$C$142,3)</f>
        <v>-1.4</v>
      </c>
      <c r="M2535" s="2">
        <f t="shared" si="316"/>
        <v>-966.57263195046767</v>
      </c>
      <c r="N2535">
        <f t="shared" si="317"/>
        <v>2342.411865399496</v>
      </c>
      <c r="O2535" t="s">
        <v>8</v>
      </c>
    </row>
    <row r="2536" spans="1:15" x14ac:dyDescent="0.35">
      <c r="A2536">
        <v>2006</v>
      </c>
      <c r="B2536">
        <v>12</v>
      </c>
      <c r="C2536">
        <v>9</v>
      </c>
      <c r="D2536" s="1">
        <f t="shared" si="312"/>
        <v>39060</v>
      </c>
      <c r="E2536">
        <v>0</v>
      </c>
      <c r="F2536">
        <f t="shared" si="318"/>
        <v>0</v>
      </c>
      <c r="G2536">
        <f t="shared" si="313"/>
        <v>0</v>
      </c>
      <c r="H2536">
        <f t="shared" si="319"/>
        <v>0</v>
      </c>
      <c r="I2536">
        <v>2535</v>
      </c>
      <c r="J2536">
        <f t="shared" si="314"/>
        <v>-0.36548399581331531</v>
      </c>
      <c r="K2536">
        <f t="shared" si="315"/>
        <v>0.93081762381485478</v>
      </c>
      <c r="L2536">
        <f>VLOOKUP(D2536,[1]SOI!$A$1:$C$142,3)</f>
        <v>-1.4</v>
      </c>
      <c r="M2536" s="2">
        <f t="shared" si="316"/>
        <v>-926.50192938675434</v>
      </c>
      <c r="N2536">
        <f t="shared" si="317"/>
        <v>2359.6226763706568</v>
      </c>
      <c r="O2536" t="s">
        <v>8</v>
      </c>
    </row>
    <row r="2537" spans="1:15" x14ac:dyDescent="0.35">
      <c r="A2537">
        <v>2006</v>
      </c>
      <c r="B2537">
        <v>12</v>
      </c>
      <c r="C2537">
        <v>10</v>
      </c>
      <c r="D2537" s="1">
        <f t="shared" si="312"/>
        <v>39061</v>
      </c>
      <c r="E2537">
        <v>0</v>
      </c>
      <c r="F2537">
        <f t="shared" si="318"/>
        <v>0</v>
      </c>
      <c r="G2537">
        <f t="shared" si="313"/>
        <v>0</v>
      </c>
      <c r="H2537">
        <f t="shared" si="319"/>
        <v>0</v>
      </c>
      <c r="I2537">
        <v>2536</v>
      </c>
      <c r="J2537">
        <f t="shared" si="314"/>
        <v>-0.34941838995940033</v>
      </c>
      <c r="K2537">
        <f t="shared" si="315"/>
        <v>0.93696680237785401</v>
      </c>
      <c r="L2537">
        <f>VLOOKUP(D2537,[1]SOI!$A$1:$C$142,3)</f>
        <v>-1.4</v>
      </c>
      <c r="M2537" s="2">
        <f t="shared" si="316"/>
        <v>-886.12503693703923</v>
      </c>
      <c r="N2537">
        <f t="shared" si="317"/>
        <v>2376.1478108302376</v>
      </c>
      <c r="O2537" t="s">
        <v>8</v>
      </c>
    </row>
    <row r="2538" spans="1:15" x14ac:dyDescent="0.35">
      <c r="A2538">
        <v>2006</v>
      </c>
      <c r="B2538">
        <v>12</v>
      </c>
      <c r="C2538">
        <v>11</v>
      </c>
      <c r="D2538" s="1">
        <f t="shared" si="312"/>
        <v>39062</v>
      </c>
      <c r="E2538">
        <v>0</v>
      </c>
      <c r="F2538">
        <f t="shared" si="318"/>
        <v>0</v>
      </c>
      <c r="G2538">
        <f t="shared" si="313"/>
        <v>0</v>
      </c>
      <c r="H2538">
        <f t="shared" si="319"/>
        <v>0</v>
      </c>
      <c r="I2538">
        <v>2537</v>
      </c>
      <c r="J2538">
        <f t="shared" si="314"/>
        <v>-0.33324938558229505</v>
      </c>
      <c r="K2538">
        <f t="shared" si="315"/>
        <v>0.94283871738968317</v>
      </c>
      <c r="L2538">
        <f>VLOOKUP(D2538,[1]SOI!$A$1:$C$142,3)</f>
        <v>-1.4</v>
      </c>
      <c r="M2538" s="2">
        <f t="shared" si="316"/>
        <v>-845.4536912222826</v>
      </c>
      <c r="N2538">
        <f t="shared" si="317"/>
        <v>2391.9818260176262</v>
      </c>
      <c r="O2538" t="s">
        <v>8</v>
      </c>
    </row>
    <row r="2539" spans="1:15" x14ac:dyDescent="0.35">
      <c r="A2539">
        <v>2006</v>
      </c>
      <c r="B2539">
        <v>12</v>
      </c>
      <c r="C2539">
        <v>12</v>
      </c>
      <c r="D2539" s="1">
        <f t="shared" si="312"/>
        <v>39063</v>
      </c>
      <c r="E2539">
        <v>0</v>
      </c>
      <c r="F2539">
        <f t="shared" si="318"/>
        <v>0</v>
      </c>
      <c r="G2539">
        <f t="shared" si="313"/>
        <v>0</v>
      </c>
      <c r="H2539">
        <f t="shared" si="319"/>
        <v>0</v>
      </c>
      <c r="I2539">
        <v>2538</v>
      </c>
      <c r="J2539">
        <f t="shared" si="314"/>
        <v>-0.31698176735052885</v>
      </c>
      <c r="K2539">
        <f t="shared" si="315"/>
        <v>0.94843163125622043</v>
      </c>
      <c r="L2539">
        <f>VLOOKUP(D2539,[1]SOI!$A$1:$C$142,3)</f>
        <v>-1.4</v>
      </c>
      <c r="M2539" s="2">
        <f t="shared" si="316"/>
        <v>-804.49972553564226</v>
      </c>
      <c r="N2539">
        <f t="shared" si="317"/>
        <v>2407.1194801282873</v>
      </c>
      <c r="O2539" t="s">
        <v>8</v>
      </c>
    </row>
    <row r="2540" spans="1:15" x14ac:dyDescent="0.35">
      <c r="A2540">
        <v>2006</v>
      </c>
      <c r="B2540">
        <v>12</v>
      </c>
      <c r="C2540">
        <v>13</v>
      </c>
      <c r="D2540" s="1">
        <f t="shared" si="312"/>
        <v>39064</v>
      </c>
      <c r="E2540">
        <v>0</v>
      </c>
      <c r="F2540">
        <f t="shared" si="318"/>
        <v>0</v>
      </c>
      <c r="G2540">
        <f t="shared" si="313"/>
        <v>0</v>
      </c>
      <c r="H2540">
        <f t="shared" si="319"/>
        <v>0</v>
      </c>
      <c r="I2540">
        <v>2539</v>
      </c>
      <c r="J2540">
        <f t="shared" si="314"/>
        <v>-0.30062034911405738</v>
      </c>
      <c r="K2540">
        <f t="shared" si="315"/>
        <v>0.9537438889442712</v>
      </c>
      <c r="L2540">
        <f>VLOOKUP(D2540,[1]SOI!$A$1:$C$142,3)</f>
        <v>-1.4</v>
      </c>
      <c r="M2540" s="2">
        <f t="shared" si="316"/>
        <v>-763.27506640059164</v>
      </c>
      <c r="N2540">
        <f t="shared" si="317"/>
        <v>2421.5557340295045</v>
      </c>
      <c r="O2540" t="s">
        <v>8</v>
      </c>
    </row>
    <row r="2541" spans="1:15" x14ac:dyDescent="0.35">
      <c r="A2541">
        <v>2006</v>
      </c>
      <c r="B2541">
        <v>12</v>
      </c>
      <c r="C2541">
        <v>14</v>
      </c>
      <c r="D2541" s="1">
        <f t="shared" si="312"/>
        <v>39065</v>
      </c>
      <c r="E2541">
        <v>0</v>
      </c>
      <c r="F2541">
        <f t="shared" si="318"/>
        <v>0</v>
      </c>
      <c r="G2541">
        <f t="shared" si="313"/>
        <v>0</v>
      </c>
      <c r="H2541">
        <f t="shared" si="319"/>
        <v>0</v>
      </c>
      <c r="I2541">
        <v>2540</v>
      </c>
      <c r="J2541">
        <f t="shared" si="314"/>
        <v>-0.28416997247977355</v>
      </c>
      <c r="K2541">
        <f t="shared" si="315"/>
        <v>0.95877391847131754</v>
      </c>
      <c r="L2541">
        <f>VLOOKUP(D2541,[1]SOI!$A$1:$C$142,3)</f>
        <v>-1.4</v>
      </c>
      <c r="M2541" s="2">
        <f t="shared" si="316"/>
        <v>-721.79173009862484</v>
      </c>
      <c r="N2541">
        <f t="shared" si="317"/>
        <v>2435.2857529171465</v>
      </c>
      <c r="O2541" t="s">
        <v>8</v>
      </c>
    </row>
    <row r="2542" spans="1:15" x14ac:dyDescent="0.35">
      <c r="A2542">
        <v>2006</v>
      </c>
      <c r="B2542">
        <v>12</v>
      </c>
      <c r="C2542">
        <v>15</v>
      </c>
      <c r="D2542" s="1">
        <f t="shared" si="312"/>
        <v>39066</v>
      </c>
      <c r="E2542">
        <v>3.2</v>
      </c>
      <c r="F2542">
        <f t="shared" si="318"/>
        <v>0</v>
      </c>
      <c r="G2542">
        <f t="shared" si="313"/>
        <v>1</v>
      </c>
      <c r="H2542">
        <f t="shared" si="319"/>
        <v>0</v>
      </c>
      <c r="I2542">
        <v>2541</v>
      </c>
      <c r="J2542">
        <f t="shared" si="314"/>
        <v>-0.2676355053787709</v>
      </c>
      <c r="K2542">
        <f t="shared" si="315"/>
        <v>0.96352023137070131</v>
      </c>
      <c r="L2542">
        <f>VLOOKUP(D2542,[1]SOI!$A$1:$C$142,3)</f>
        <v>-1.4</v>
      </c>
      <c r="M2542" s="2">
        <f t="shared" si="316"/>
        <v>-680.06181916745686</v>
      </c>
      <c r="N2542">
        <f t="shared" si="317"/>
        <v>2448.3049079129519</v>
      </c>
      <c r="O2542" t="s">
        <v>8</v>
      </c>
    </row>
    <row r="2543" spans="1:15" x14ac:dyDescent="0.35">
      <c r="A2543">
        <v>2006</v>
      </c>
      <c r="B2543">
        <v>12</v>
      </c>
      <c r="C2543">
        <v>16</v>
      </c>
      <c r="D2543" s="1">
        <f t="shared" si="312"/>
        <v>39067</v>
      </c>
      <c r="E2543">
        <v>0</v>
      </c>
      <c r="F2543">
        <f t="shared" si="318"/>
        <v>3.2</v>
      </c>
      <c r="G2543">
        <f t="shared" si="313"/>
        <v>0</v>
      </c>
      <c r="H2543">
        <f t="shared" si="319"/>
        <v>1</v>
      </c>
      <c r="I2543">
        <v>2542</v>
      </c>
      <c r="J2543">
        <f t="shared" si="314"/>
        <v>-0.25102184062588545</v>
      </c>
      <c r="K2543">
        <f t="shared" si="315"/>
        <v>0.96798142313207258</v>
      </c>
      <c r="L2543">
        <f>VLOOKUP(D2543,[1]SOI!$A$1:$C$142,3)</f>
        <v>-1.4</v>
      </c>
      <c r="M2543" s="2">
        <f t="shared" si="316"/>
        <v>-638.09751887100083</v>
      </c>
      <c r="N2543">
        <f t="shared" si="317"/>
        <v>2460.6087776017284</v>
      </c>
      <c r="O2543" t="s">
        <v>8</v>
      </c>
    </row>
    <row r="2544" spans="1:15" x14ac:dyDescent="0.35">
      <c r="A2544">
        <v>2006</v>
      </c>
      <c r="B2544">
        <v>12</v>
      </c>
      <c r="C2544">
        <v>17</v>
      </c>
      <c r="D2544" s="1">
        <f t="shared" si="312"/>
        <v>39068</v>
      </c>
      <c r="E2544">
        <v>0</v>
      </c>
      <c r="F2544">
        <f t="shared" si="318"/>
        <v>0</v>
      </c>
      <c r="G2544">
        <f t="shared" si="313"/>
        <v>0</v>
      </c>
      <c r="H2544">
        <f t="shared" si="319"/>
        <v>0</v>
      </c>
      <c r="I2544">
        <v>2543</v>
      </c>
      <c r="J2544">
        <f t="shared" si="314"/>
        <v>-0.23433389447180572</v>
      </c>
      <c r="K2544">
        <f t="shared" si="315"/>
        <v>0.97215617361701545</v>
      </c>
      <c r="L2544">
        <f>VLOOKUP(D2544,[1]SOI!$A$1:$C$142,3)</f>
        <v>-1.4</v>
      </c>
      <c r="M2544" s="2">
        <f t="shared" si="316"/>
        <v>-595.91109364180193</v>
      </c>
      <c r="N2544">
        <f t="shared" si="317"/>
        <v>2472.1931495080703</v>
      </c>
      <c r="O2544" t="s">
        <v>8</v>
      </c>
    </row>
    <row r="2545" spans="1:15" x14ac:dyDescent="0.35">
      <c r="A2545">
        <v>2006</v>
      </c>
      <c r="B2545">
        <v>12</v>
      </c>
      <c r="C2545">
        <v>18</v>
      </c>
      <c r="D2545" s="1">
        <f t="shared" si="312"/>
        <v>39069</v>
      </c>
      <c r="E2545">
        <v>0</v>
      </c>
      <c r="F2545">
        <f t="shared" si="318"/>
        <v>0</v>
      </c>
      <c r="G2545">
        <f t="shared" si="313"/>
        <v>0</v>
      </c>
      <c r="H2545">
        <f t="shared" si="319"/>
        <v>0</v>
      </c>
      <c r="I2545">
        <v>2544</v>
      </c>
      <c r="J2545">
        <f t="shared" si="314"/>
        <v>-0.21757660514828192</v>
      </c>
      <c r="K2545">
        <f t="shared" si="315"/>
        <v>0.97604324744969606</v>
      </c>
      <c r="L2545">
        <f>VLOOKUP(D2545,[1]SOI!$A$1:$C$142,3)</f>
        <v>-1.4</v>
      </c>
      <c r="M2545" s="2">
        <f t="shared" si="316"/>
        <v>-553.51488349722922</v>
      </c>
      <c r="N2545">
        <f t="shared" si="317"/>
        <v>2483.0540215120268</v>
      </c>
      <c r="O2545" t="s">
        <v>8</v>
      </c>
    </row>
    <row r="2546" spans="1:15" x14ac:dyDescent="0.35">
      <c r="A2546">
        <v>2006</v>
      </c>
      <c r="B2546">
        <v>12</v>
      </c>
      <c r="C2546">
        <v>19</v>
      </c>
      <c r="D2546" s="1">
        <f t="shared" si="312"/>
        <v>39070</v>
      </c>
      <c r="E2546">
        <v>0</v>
      </c>
      <c r="F2546">
        <f t="shared" si="318"/>
        <v>0</v>
      </c>
      <c r="G2546">
        <f t="shared" si="313"/>
        <v>0</v>
      </c>
      <c r="H2546">
        <f t="shared" si="319"/>
        <v>0</v>
      </c>
      <c r="I2546">
        <v>2545</v>
      </c>
      <c r="J2546">
        <f t="shared" si="314"/>
        <v>-0.20075493140683071</v>
      </c>
      <c r="K2546">
        <f t="shared" si="315"/>
        <v>0.97964149438242898</v>
      </c>
      <c r="L2546">
        <f>VLOOKUP(D2546,[1]SOI!$A$1:$C$142,3)</f>
        <v>-1.4</v>
      </c>
      <c r="M2546" s="2">
        <f t="shared" si="316"/>
        <v>-510.92130043038412</v>
      </c>
      <c r="N2546">
        <f t="shared" si="317"/>
        <v>2493.1876032032819</v>
      </c>
      <c r="O2546" t="s">
        <v>8</v>
      </c>
    </row>
    <row r="2547" spans="1:15" x14ac:dyDescent="0.35">
      <c r="A2547">
        <v>2006</v>
      </c>
      <c r="B2547">
        <v>12</v>
      </c>
      <c r="C2547">
        <v>20</v>
      </c>
      <c r="D2547" s="1">
        <f t="shared" si="312"/>
        <v>39071</v>
      </c>
      <c r="E2547">
        <v>0</v>
      </c>
      <c r="F2547">
        <f t="shared" si="318"/>
        <v>0</v>
      </c>
      <c r="G2547">
        <f t="shared" si="313"/>
        <v>0</v>
      </c>
      <c r="H2547">
        <f t="shared" si="319"/>
        <v>0</v>
      </c>
      <c r="I2547">
        <v>2546</v>
      </c>
      <c r="J2547">
        <f t="shared" si="314"/>
        <v>-0.18387385105133303</v>
      </c>
      <c r="K2547">
        <f t="shared" si="315"/>
        <v>0.98294984963605958</v>
      </c>
      <c r="L2547">
        <f>VLOOKUP(D2547,[1]SOI!$A$1:$C$142,3)</f>
        <v>-1.4</v>
      </c>
      <c r="M2547" s="2">
        <f t="shared" si="316"/>
        <v>-468.14282477669389</v>
      </c>
      <c r="N2547">
        <f t="shared" si="317"/>
        <v>2502.5903171734076</v>
      </c>
      <c r="O2547" t="s">
        <v>8</v>
      </c>
    </row>
    <row r="2548" spans="1:15" x14ac:dyDescent="0.35">
      <c r="A2548">
        <v>2006</v>
      </c>
      <c r="B2548">
        <v>12</v>
      </c>
      <c r="C2548">
        <v>21</v>
      </c>
      <c r="D2548" s="1">
        <f t="shared" si="312"/>
        <v>39072</v>
      </c>
      <c r="E2548">
        <v>0</v>
      </c>
      <c r="F2548">
        <f t="shared" si="318"/>
        <v>0</v>
      </c>
      <c r="G2548">
        <f t="shared" si="313"/>
        <v>0</v>
      </c>
      <c r="H2548">
        <f t="shared" si="319"/>
        <v>0</v>
      </c>
      <c r="I2548">
        <v>2547</v>
      </c>
      <c r="J2548">
        <f t="shared" si="314"/>
        <v>-0.16693835946505642</v>
      </c>
      <c r="K2548">
        <f t="shared" si="315"/>
        <v>0.98596733421504168</v>
      </c>
      <c r="L2548">
        <f>VLOOKUP(D2548,[1]SOI!$A$1:$C$142,3)</f>
        <v>-1.4</v>
      </c>
      <c r="M2548" s="2">
        <f t="shared" si="316"/>
        <v>-425.19200155749871</v>
      </c>
      <c r="N2548">
        <f t="shared" si="317"/>
        <v>2511.258800245711</v>
      </c>
      <c r="O2548" t="s">
        <v>8</v>
      </c>
    </row>
    <row r="2549" spans="1:15" x14ac:dyDescent="0.35">
      <c r="A2549">
        <v>2006</v>
      </c>
      <c r="B2549">
        <v>12</v>
      </c>
      <c r="C2549">
        <v>22</v>
      </c>
      <c r="D2549" s="1">
        <f t="shared" si="312"/>
        <v>39073</v>
      </c>
      <c r="E2549">
        <v>0</v>
      </c>
      <c r="F2549">
        <f t="shared" si="318"/>
        <v>0</v>
      </c>
      <c r="G2549">
        <f t="shared" si="313"/>
        <v>0</v>
      </c>
      <c r="H2549">
        <f t="shared" si="319"/>
        <v>0</v>
      </c>
      <c r="I2549">
        <v>2548</v>
      </c>
      <c r="J2549">
        <f t="shared" si="314"/>
        <v>-0.14995346813244817</v>
      </c>
      <c r="K2549">
        <f t="shared" si="315"/>
        <v>0.9886930551971379</v>
      </c>
      <c r="L2549">
        <f>VLOOKUP(D2549,[1]SOI!$A$1:$C$142,3)</f>
        <v>-1.4</v>
      </c>
      <c r="M2549" s="2">
        <f t="shared" si="316"/>
        <v>-382.08143680147793</v>
      </c>
      <c r="N2549">
        <f t="shared" si="317"/>
        <v>2519.1899046423073</v>
      </c>
      <c r="O2549" t="s">
        <v>8</v>
      </c>
    </row>
    <row r="2550" spans="1:15" x14ac:dyDescent="0.35">
      <c r="A2550">
        <v>2006</v>
      </c>
      <c r="B2550">
        <v>12</v>
      </c>
      <c r="C2550">
        <v>23</v>
      </c>
      <c r="D2550" s="1">
        <f t="shared" si="312"/>
        <v>39074</v>
      </c>
      <c r="E2550">
        <v>5.2</v>
      </c>
      <c r="F2550">
        <f t="shared" si="318"/>
        <v>0</v>
      </c>
      <c r="G2550">
        <f t="shared" si="313"/>
        <v>1</v>
      </c>
      <c r="H2550">
        <f t="shared" si="319"/>
        <v>0</v>
      </c>
      <c r="I2550">
        <v>2549</v>
      </c>
      <c r="J2550">
        <f t="shared" si="314"/>
        <v>-0.13292420315609318</v>
      </c>
      <c r="K2550">
        <f t="shared" si="315"/>
        <v>0.99112620599766088</v>
      </c>
      <c r="L2550">
        <f>VLOOKUP(D2550,[1]SOI!$A$1:$C$142,3)</f>
        <v>-1.4</v>
      </c>
      <c r="M2550" s="2">
        <f t="shared" si="316"/>
        <v>-338.82379384488155</v>
      </c>
      <c r="N2550">
        <f t="shared" si="317"/>
        <v>2526.3806990880375</v>
      </c>
      <c r="O2550" t="s">
        <v>8</v>
      </c>
    </row>
    <row r="2551" spans="1:15" x14ac:dyDescent="0.35">
      <c r="A2551">
        <v>2006</v>
      </c>
      <c r="B2551">
        <v>12</v>
      </c>
      <c r="C2551">
        <v>24</v>
      </c>
      <c r="D2551" s="1">
        <f t="shared" si="312"/>
        <v>39075</v>
      </c>
      <c r="E2551">
        <v>0</v>
      </c>
      <c r="F2551">
        <f t="shared" si="318"/>
        <v>5.2</v>
      </c>
      <c r="G2551">
        <f t="shared" si="313"/>
        <v>0</v>
      </c>
      <c r="H2551">
        <f t="shared" si="319"/>
        <v>1</v>
      </c>
      <c r="I2551">
        <v>2550</v>
      </c>
      <c r="J2551">
        <f t="shared" si="314"/>
        <v>-0.11585560376947954</v>
      </c>
      <c r="K2551">
        <f t="shared" si="315"/>
        <v>0.99326606660814165</v>
      </c>
      <c r="L2551">
        <f>VLOOKUP(D2551,[1]SOI!$A$1:$C$142,3)</f>
        <v>-1.4</v>
      </c>
      <c r="M2551" s="2">
        <f t="shared" si="316"/>
        <v>-295.43178961217279</v>
      </c>
      <c r="N2551">
        <f t="shared" si="317"/>
        <v>2532.8284698507614</v>
      </c>
      <c r="O2551" t="s">
        <v>8</v>
      </c>
    </row>
    <row r="2552" spans="1:15" x14ac:dyDescent="0.35">
      <c r="A2552">
        <v>2006</v>
      </c>
      <c r="B2552">
        <v>12</v>
      </c>
      <c r="C2552">
        <v>25</v>
      </c>
      <c r="D2552" s="1">
        <f t="shared" si="312"/>
        <v>39076</v>
      </c>
      <c r="E2552">
        <v>0.6</v>
      </c>
      <c r="F2552">
        <f t="shared" si="318"/>
        <v>0</v>
      </c>
      <c r="G2552">
        <f t="shared" si="313"/>
        <v>1</v>
      </c>
      <c r="H2552">
        <f t="shared" si="319"/>
        <v>0</v>
      </c>
      <c r="I2552">
        <v>2551</v>
      </c>
      <c r="J2552">
        <f t="shared" si="314"/>
        <v>-9.8752720845773065E-2</v>
      </c>
      <c r="K2552">
        <f t="shared" si="315"/>
        <v>0.99511200380939879</v>
      </c>
      <c r="L2552">
        <f>VLOOKUP(D2552,[1]SOI!$A$1:$C$142,3)</f>
        <v>-1.4</v>
      </c>
      <c r="M2552" s="2">
        <f t="shared" si="316"/>
        <v>-251.9181908775671</v>
      </c>
      <c r="N2552">
        <f t="shared" si="317"/>
        <v>2538.5307217177765</v>
      </c>
      <c r="O2552" t="s">
        <v>8</v>
      </c>
    </row>
    <row r="2553" spans="1:15" x14ac:dyDescent="0.35">
      <c r="A2553">
        <v>2006</v>
      </c>
      <c r="B2553">
        <v>12</v>
      </c>
      <c r="C2553">
        <v>26</v>
      </c>
      <c r="D2553" s="1">
        <f t="shared" si="312"/>
        <v>39077</v>
      </c>
      <c r="E2553">
        <v>7.8</v>
      </c>
      <c r="F2553">
        <f t="shared" si="318"/>
        <v>0.6</v>
      </c>
      <c r="G2553">
        <f t="shared" si="313"/>
        <v>1</v>
      </c>
      <c r="H2553">
        <f t="shared" si="319"/>
        <v>1</v>
      </c>
      <c r="I2553">
        <v>2552</v>
      </c>
      <c r="J2553">
        <f t="shared" si="314"/>
        <v>-8.1620615403189808E-2</v>
      </c>
      <c r="K2553">
        <f t="shared" si="315"/>
        <v>0.99666347135891586</v>
      </c>
      <c r="L2553">
        <f>VLOOKUP(D2553,[1]SOI!$A$1:$C$142,3)</f>
        <v>-1.4</v>
      </c>
      <c r="M2553" s="2">
        <f t="shared" si="316"/>
        <v>-208.29581050894038</v>
      </c>
      <c r="N2553">
        <f t="shared" si="317"/>
        <v>2543.4851789079535</v>
      </c>
      <c r="O2553" t="s">
        <v>8</v>
      </c>
    </row>
    <row r="2554" spans="1:15" x14ac:dyDescent="0.35">
      <c r="A2554">
        <v>2006</v>
      </c>
      <c r="B2554">
        <v>12</v>
      </c>
      <c r="C2554">
        <v>27</v>
      </c>
      <c r="D2554" s="1">
        <f t="shared" si="312"/>
        <v>39078</v>
      </c>
      <c r="E2554">
        <v>1.6</v>
      </c>
      <c r="F2554">
        <f t="shared" si="318"/>
        <v>7.8</v>
      </c>
      <c r="G2554">
        <f t="shared" si="313"/>
        <v>1</v>
      </c>
      <c r="H2554">
        <f t="shared" si="319"/>
        <v>1</v>
      </c>
      <c r="I2554">
        <v>2553</v>
      </c>
      <c r="J2554">
        <f t="shared" si="314"/>
        <v>-6.446435710735933E-2</v>
      </c>
      <c r="K2554">
        <f t="shared" si="315"/>
        <v>0.99792001015248455</v>
      </c>
      <c r="L2554">
        <f>VLOOKUP(D2554,[1]SOI!$A$1:$C$142,3)</f>
        <v>-1.4</v>
      </c>
      <c r="M2554" s="2">
        <f t="shared" si="316"/>
        <v>-164.57750369508838</v>
      </c>
      <c r="N2554">
        <f t="shared" si="317"/>
        <v>2547.6897859192932</v>
      </c>
      <c r="O2554" t="s">
        <v>8</v>
      </c>
    </row>
    <row r="2555" spans="1:15" x14ac:dyDescent="0.35">
      <c r="A2555">
        <v>2006</v>
      </c>
      <c r="B2555">
        <v>12</v>
      </c>
      <c r="C2555">
        <v>28</v>
      </c>
      <c r="D2555" s="1">
        <f t="shared" si="312"/>
        <v>39079</v>
      </c>
      <c r="E2555">
        <v>0</v>
      </c>
      <c r="F2555">
        <f t="shared" si="318"/>
        <v>1.6</v>
      </c>
      <c r="G2555">
        <f t="shared" si="313"/>
        <v>0</v>
      </c>
      <c r="H2555">
        <f t="shared" si="319"/>
        <v>1</v>
      </c>
      <c r="I2555">
        <v>2554</v>
      </c>
      <c r="J2555">
        <f t="shared" si="314"/>
        <v>-4.7289022771136086E-2</v>
      </c>
      <c r="K2555">
        <f t="shared" si="315"/>
        <v>0.99888124836005954</v>
      </c>
      <c r="L2555">
        <f>VLOOKUP(D2555,[1]SOI!$A$1:$C$142,3)</f>
        <v>-1.4</v>
      </c>
      <c r="M2555" s="2">
        <f t="shared" si="316"/>
        <v>-120.77616415748156</v>
      </c>
      <c r="N2555">
        <f t="shared" si="317"/>
        <v>2551.1427083115918</v>
      </c>
      <c r="O2555" t="s">
        <v>8</v>
      </c>
    </row>
    <row r="2556" spans="1:15" x14ac:dyDescent="0.35">
      <c r="A2556">
        <v>2006</v>
      </c>
      <c r="B2556">
        <v>12</v>
      </c>
      <c r="C2556">
        <v>29</v>
      </c>
      <c r="D2556" s="1">
        <f t="shared" si="312"/>
        <v>39080</v>
      </c>
      <c r="E2556">
        <v>0</v>
      </c>
      <c r="F2556">
        <f t="shared" si="318"/>
        <v>0</v>
      </c>
      <c r="G2556">
        <f t="shared" si="313"/>
        <v>0</v>
      </c>
      <c r="H2556">
        <f t="shared" si="319"/>
        <v>0</v>
      </c>
      <c r="I2556">
        <v>2555</v>
      </c>
      <c r="J2556">
        <f t="shared" si="314"/>
        <v>-3.009969485226056E-2</v>
      </c>
      <c r="K2556">
        <f t="shared" si="315"/>
        <v>0.99954690153579129</v>
      </c>
      <c r="L2556">
        <f>VLOOKUP(D2556,[1]SOI!$A$1:$C$142,3)</f>
        <v>-1.4</v>
      </c>
      <c r="M2556" s="2">
        <f t="shared" si="316"/>
        <v>-76.904720347525739</v>
      </c>
      <c r="N2556">
        <f t="shared" si="317"/>
        <v>2553.8423334239469</v>
      </c>
      <c r="O2556" t="s">
        <v>8</v>
      </c>
    </row>
    <row r="2557" spans="1:15" x14ac:dyDescent="0.35">
      <c r="A2557">
        <v>2006</v>
      </c>
      <c r="B2557">
        <v>12</v>
      </c>
      <c r="C2557">
        <v>30</v>
      </c>
      <c r="D2557" s="1">
        <f t="shared" si="312"/>
        <v>39081</v>
      </c>
      <c r="E2557">
        <v>0</v>
      </c>
      <c r="F2557">
        <f t="shared" si="318"/>
        <v>0</v>
      </c>
      <c r="G2557">
        <f t="shared" si="313"/>
        <v>0</v>
      </c>
      <c r="H2557">
        <f t="shared" si="319"/>
        <v>0</v>
      </c>
      <c r="I2557">
        <v>2556</v>
      </c>
      <c r="J2557">
        <f t="shared" si="314"/>
        <v>-1.2901459949420725E-2</v>
      </c>
      <c r="K2557">
        <f t="shared" si="315"/>
        <v>0.99991677270219514</v>
      </c>
      <c r="L2557">
        <f>VLOOKUP(D2557,[1]SOI!$A$1:$C$142,3)</f>
        <v>-1.4</v>
      </c>
      <c r="M2557" s="2">
        <f t="shared" si="316"/>
        <v>-32.976131630719372</v>
      </c>
      <c r="N2557">
        <f t="shared" si="317"/>
        <v>2555.7872710268107</v>
      </c>
      <c r="O2557" t="s">
        <v>8</v>
      </c>
    </row>
    <row r="2558" spans="1:15" x14ac:dyDescent="0.35">
      <c r="A2558">
        <v>2006</v>
      </c>
      <c r="B2558">
        <v>12</v>
      </c>
      <c r="C2558">
        <v>31</v>
      </c>
      <c r="D2558" s="1">
        <f t="shared" si="312"/>
        <v>39082</v>
      </c>
      <c r="E2558">
        <v>0</v>
      </c>
      <c r="F2558">
        <f t="shared" si="318"/>
        <v>0</v>
      </c>
      <c r="G2558">
        <f t="shared" si="313"/>
        <v>0</v>
      </c>
      <c r="H2558">
        <f t="shared" si="319"/>
        <v>0</v>
      </c>
      <c r="I2558">
        <v>2557</v>
      </c>
      <c r="J2558">
        <f t="shared" si="314"/>
        <v>4.3005927029826779E-3</v>
      </c>
      <c r="K2558">
        <f t="shared" si="315"/>
        <v>0.9999907524084426</v>
      </c>
      <c r="L2558">
        <f>VLOOKUP(D2558,[1]SOI!$A$1:$C$142,3)</f>
        <v>-1.4</v>
      </c>
      <c r="M2558" s="2">
        <f t="shared" si="316"/>
        <v>10.996615541526708</v>
      </c>
      <c r="N2558">
        <f t="shared" si="317"/>
        <v>2556.9763539083879</v>
      </c>
      <c r="O2558" t="s">
        <v>8</v>
      </c>
    </row>
    <row r="2559" spans="1:15" x14ac:dyDescent="0.35">
      <c r="A2559">
        <v>2007</v>
      </c>
      <c r="B2559">
        <v>1</v>
      </c>
      <c r="C2559">
        <v>1</v>
      </c>
      <c r="D2559" s="1">
        <f t="shared" si="312"/>
        <v>39083</v>
      </c>
      <c r="E2559">
        <v>0.2</v>
      </c>
      <c r="F2559">
        <f t="shared" si="318"/>
        <v>0</v>
      </c>
      <c r="G2559">
        <f t="shared" si="313"/>
        <v>1</v>
      </c>
      <c r="H2559">
        <f t="shared" si="319"/>
        <v>0</v>
      </c>
      <c r="I2559">
        <v>2558</v>
      </c>
      <c r="J2559">
        <f t="shared" si="314"/>
        <v>2.1501372740815382E-2</v>
      </c>
      <c r="K2559">
        <f t="shared" si="315"/>
        <v>0.99976881876274803</v>
      </c>
      <c r="L2559">
        <f>VLOOKUP(D2559,[1]SOI!$A$1:$C$142,3)</f>
        <v>-3</v>
      </c>
      <c r="M2559" s="2">
        <f t="shared" si="316"/>
        <v>55.000511471005751</v>
      </c>
      <c r="N2559">
        <f t="shared" si="317"/>
        <v>2557.4086383951094</v>
      </c>
      <c r="O2559" t="s">
        <v>8</v>
      </c>
    </row>
    <row r="2560" spans="1:15" x14ac:dyDescent="0.35">
      <c r="A2560">
        <v>2007</v>
      </c>
      <c r="B2560">
        <v>1</v>
      </c>
      <c r="C2560">
        <v>2</v>
      </c>
      <c r="D2560" s="1">
        <f t="shared" si="312"/>
        <v>39084</v>
      </c>
      <c r="E2560">
        <v>0.2</v>
      </c>
      <c r="F2560">
        <f t="shared" si="318"/>
        <v>0.2</v>
      </c>
      <c r="G2560">
        <f t="shared" si="313"/>
        <v>1</v>
      </c>
      <c r="H2560">
        <f t="shared" si="319"/>
        <v>1</v>
      </c>
      <c r="I2560">
        <v>2559</v>
      </c>
      <c r="J2560">
        <f t="shared" si="314"/>
        <v>3.8695790176523158E-2</v>
      </c>
      <c r="K2560">
        <f t="shared" si="315"/>
        <v>0.99925103743884824</v>
      </c>
      <c r="L2560">
        <f>VLOOKUP(D2560,[1]SOI!$A$1:$C$142,3)</f>
        <v>-3</v>
      </c>
      <c r="M2560" s="2">
        <f t="shared" si="316"/>
        <v>99.022527061722755</v>
      </c>
      <c r="N2560">
        <f t="shared" si="317"/>
        <v>2557.0834048060128</v>
      </c>
      <c r="O2560" t="s">
        <v>8</v>
      </c>
    </row>
    <row r="2561" spans="1:15" x14ac:dyDescent="0.35">
      <c r="A2561">
        <v>2007</v>
      </c>
      <c r="B2561">
        <v>1</v>
      </c>
      <c r="C2561">
        <v>3</v>
      </c>
      <c r="D2561" s="1">
        <f t="shared" si="312"/>
        <v>39085</v>
      </c>
      <c r="E2561">
        <v>0</v>
      </c>
      <c r="F2561">
        <f t="shared" si="318"/>
        <v>0.2</v>
      </c>
      <c r="G2561">
        <f t="shared" si="313"/>
        <v>0</v>
      </c>
      <c r="H2561">
        <f t="shared" si="319"/>
        <v>1</v>
      </c>
      <c r="I2561">
        <v>2560</v>
      </c>
      <c r="J2561">
        <f t="shared" si="314"/>
        <v>5.5878756905369399E-2</v>
      </c>
      <c r="K2561">
        <f t="shared" si="315"/>
        <v>0.99843756165656683</v>
      </c>
      <c r="L2561">
        <f>VLOOKUP(D2561,[1]SOI!$A$1:$C$142,3)</f>
        <v>-3</v>
      </c>
      <c r="M2561" s="2">
        <f t="shared" si="316"/>
        <v>143.04961767774566</v>
      </c>
      <c r="N2561">
        <f t="shared" si="317"/>
        <v>2556.000157840811</v>
      </c>
      <c r="O2561" t="s">
        <v>8</v>
      </c>
    </row>
    <row r="2562" spans="1:15" x14ac:dyDescent="0.35">
      <c r="A2562">
        <v>2007</v>
      </c>
      <c r="B2562">
        <v>1</v>
      </c>
      <c r="C2562">
        <v>4</v>
      </c>
      <c r="D2562" s="1">
        <f t="shared" si="312"/>
        <v>39086</v>
      </c>
      <c r="E2562">
        <v>0</v>
      </c>
      <c r="F2562">
        <f t="shared" si="318"/>
        <v>0</v>
      </c>
      <c r="G2562">
        <f t="shared" si="313"/>
        <v>0</v>
      </c>
      <c r="H2562">
        <f t="shared" si="319"/>
        <v>0</v>
      </c>
      <c r="I2562">
        <v>2561</v>
      </c>
      <c r="J2562">
        <f t="shared" si="314"/>
        <v>7.3045188211044595E-2</v>
      </c>
      <c r="K2562">
        <f t="shared" si="315"/>
        <v>0.99732863213647538</v>
      </c>
      <c r="L2562">
        <f>VLOOKUP(D2562,[1]SOI!$A$1:$C$142,3)</f>
        <v>-3</v>
      </c>
      <c r="M2562" s="2">
        <f t="shared" si="316"/>
        <v>187.06872700848521</v>
      </c>
      <c r="N2562">
        <f t="shared" si="317"/>
        <v>2554.1586269015133</v>
      </c>
      <c r="O2562" t="s">
        <v>8</v>
      </c>
    </row>
    <row r="2563" spans="1:15" x14ac:dyDescent="0.35">
      <c r="A2563">
        <v>2007</v>
      </c>
      <c r="B2563">
        <v>1</v>
      </c>
      <c r="C2563">
        <v>5</v>
      </c>
      <c r="D2563" s="1">
        <f t="shared" ref="D2563:D2626" si="320">DATE(A2563,B2563,C2563)</f>
        <v>39087</v>
      </c>
      <c r="E2563">
        <v>0</v>
      </c>
      <c r="F2563">
        <f t="shared" si="318"/>
        <v>0</v>
      </c>
      <c r="G2563">
        <f t="shared" ref="G2563:G2626" si="321">IF(E2563=0,0,1)</f>
        <v>0</v>
      </c>
      <c r="H2563">
        <f t="shared" si="319"/>
        <v>0</v>
      </c>
      <c r="I2563">
        <v>2562</v>
      </c>
      <c r="J2563">
        <f t="shared" ref="J2563:J2626" si="322">SIN(2*PI()*I2563/365.25)</f>
        <v>9.0190004270344057E-2</v>
      </c>
      <c r="K2563">
        <f t="shared" ref="K2563:K2626" si="323">COS(2*PI()*I2563/365.25)</f>
        <v>0.99592457702866</v>
      </c>
      <c r="L2563">
        <f>VLOOKUP(D2563,[1]SOI!$A$1:$C$142,3)</f>
        <v>-3</v>
      </c>
      <c r="M2563" s="2">
        <f t="shared" ref="M2563:M2626" si="324">I2563*J2563</f>
        <v>231.06679094062147</v>
      </c>
      <c r="N2563">
        <f t="shared" ref="N2563:N2626" si="325">I2563*K2563</f>
        <v>2551.5587663474271</v>
      </c>
      <c r="O2563" t="s">
        <v>8</v>
      </c>
    </row>
    <row r="2564" spans="1:15" x14ac:dyDescent="0.35">
      <c r="A2564">
        <v>2007</v>
      </c>
      <c r="B2564">
        <v>1</v>
      </c>
      <c r="C2564">
        <v>6</v>
      </c>
      <c r="D2564" s="1">
        <f t="shared" si="320"/>
        <v>39088</v>
      </c>
      <c r="E2564">
        <v>0</v>
      </c>
      <c r="F2564">
        <f t="shared" ref="F2564:F2627" si="326">E2563</f>
        <v>0</v>
      </c>
      <c r="G2564">
        <f t="shared" si="321"/>
        <v>0</v>
      </c>
      <c r="H2564">
        <f t="shared" ref="H2564:H2627" si="327">G2563</f>
        <v>0</v>
      </c>
      <c r="I2564">
        <v>2563</v>
      </c>
      <c r="J2564">
        <f t="shared" si="322"/>
        <v>0.10730813165636229</v>
      </c>
      <c r="K2564">
        <f t="shared" si="323"/>
        <v>0.99422581181561609</v>
      </c>
      <c r="L2564">
        <f>VLOOKUP(D2564,[1]SOI!$A$1:$C$142,3)</f>
        <v>-3</v>
      </c>
      <c r="M2564" s="2">
        <f t="shared" si="324"/>
        <v>275.03074143525652</v>
      </c>
      <c r="N2564">
        <f t="shared" si="325"/>
        <v>2548.2007556834242</v>
      </c>
      <c r="O2564" t="s">
        <v>8</v>
      </c>
    </row>
    <row r="2565" spans="1:15" x14ac:dyDescent="0.35">
      <c r="A2565">
        <v>2007</v>
      </c>
      <c r="B2565">
        <v>1</v>
      </c>
      <c r="C2565">
        <v>7</v>
      </c>
      <c r="D2565" s="1">
        <f t="shared" si="320"/>
        <v>39089</v>
      </c>
      <c r="E2565">
        <v>0</v>
      </c>
      <c r="F2565">
        <f t="shared" si="326"/>
        <v>0</v>
      </c>
      <c r="G2565">
        <f t="shared" si="321"/>
        <v>0</v>
      </c>
      <c r="H2565">
        <f t="shared" si="327"/>
        <v>0</v>
      </c>
      <c r="I2565">
        <v>2564</v>
      </c>
      <c r="J2565">
        <f t="shared" si="322"/>
        <v>0.12439450483980156</v>
      </c>
      <c r="K2565">
        <f t="shared" si="323"/>
        <v>0.99223283918930061</v>
      </c>
      <c r="L2565">
        <f>VLOOKUP(D2565,[1]SOI!$A$1:$C$142,3)</f>
        <v>-3</v>
      </c>
      <c r="M2565" s="2">
        <f t="shared" si="324"/>
        <v>318.94751040925121</v>
      </c>
      <c r="N2565">
        <f t="shared" si="325"/>
        <v>2544.0849996813668</v>
      </c>
      <c r="O2565" t="s">
        <v>8</v>
      </c>
    </row>
    <row r="2566" spans="1:15" x14ac:dyDescent="0.35">
      <c r="A2566">
        <v>2007</v>
      </c>
      <c r="B2566">
        <v>1</v>
      </c>
      <c r="C2566">
        <v>8</v>
      </c>
      <c r="D2566" s="1">
        <f t="shared" si="320"/>
        <v>39090</v>
      </c>
      <c r="E2566">
        <v>1</v>
      </c>
      <c r="F2566">
        <f t="shared" si="326"/>
        <v>0</v>
      </c>
      <c r="G2566">
        <f t="shared" si="321"/>
        <v>1</v>
      </c>
      <c r="H2566">
        <f t="shared" si="327"/>
        <v>0</v>
      </c>
      <c r="I2566">
        <v>2565</v>
      </c>
      <c r="J2566">
        <f t="shared" si="322"/>
        <v>0.14144406768793655</v>
      </c>
      <c r="K2566">
        <f t="shared" si="323"/>
        <v>0.9899462489023787</v>
      </c>
      <c r="L2566">
        <f>VLOOKUP(D2566,[1]SOI!$A$1:$C$142,3)</f>
        <v>-3</v>
      </c>
      <c r="M2566" s="2">
        <f t="shared" si="324"/>
        <v>362.80403361955723</v>
      </c>
      <c r="N2566">
        <f t="shared" si="325"/>
        <v>2539.2121284346013</v>
      </c>
      <c r="O2566" t="s">
        <v>8</v>
      </c>
    </row>
    <row r="2567" spans="1:15" x14ac:dyDescent="0.35">
      <c r="A2567">
        <v>2007</v>
      </c>
      <c r="B2567">
        <v>1</v>
      </c>
      <c r="C2567">
        <v>9</v>
      </c>
      <c r="D2567" s="1">
        <f t="shared" si="320"/>
        <v>39091</v>
      </c>
      <c r="E2567">
        <v>0</v>
      </c>
      <c r="F2567">
        <f t="shared" si="326"/>
        <v>1</v>
      </c>
      <c r="G2567">
        <f t="shared" si="321"/>
        <v>0</v>
      </c>
      <c r="H2567">
        <f t="shared" si="327"/>
        <v>1</v>
      </c>
      <c r="I2567">
        <v>2566</v>
      </c>
      <c r="J2567">
        <f t="shared" si="322"/>
        <v>0.15845177496083351</v>
      </c>
      <c r="K2567">
        <f t="shared" si="323"/>
        <v>0.98736671759370209</v>
      </c>
      <c r="L2567">
        <f>VLOOKUP(D2567,[1]SOI!$A$1:$C$142,3)</f>
        <v>-3</v>
      </c>
      <c r="M2567" s="2">
        <f t="shared" si="324"/>
        <v>406.58725454949882</v>
      </c>
      <c r="N2567">
        <f t="shared" si="325"/>
        <v>2533.5829973454397</v>
      </c>
      <c r="O2567" t="s">
        <v>8</v>
      </c>
    </row>
    <row r="2568" spans="1:15" x14ac:dyDescent="0.35">
      <c r="A2568">
        <v>2007</v>
      </c>
      <c r="B2568">
        <v>1</v>
      </c>
      <c r="C2568">
        <v>10</v>
      </c>
      <c r="D2568" s="1">
        <f t="shared" si="320"/>
        <v>39092</v>
      </c>
      <c r="E2568">
        <v>0</v>
      </c>
      <c r="F2568">
        <f t="shared" si="326"/>
        <v>0</v>
      </c>
      <c r="G2568">
        <f t="shared" si="321"/>
        <v>0</v>
      </c>
      <c r="H2568">
        <f t="shared" si="327"/>
        <v>0</v>
      </c>
      <c r="I2568">
        <v>2567</v>
      </c>
      <c r="J2568">
        <f t="shared" si="322"/>
        <v>0.17541259380427562</v>
      </c>
      <c r="K2568">
        <f t="shared" si="323"/>
        <v>0.98449500858808636</v>
      </c>
      <c r="L2568">
        <f>VLOOKUP(D2568,[1]SOI!$A$1:$C$142,3)</f>
        <v>-3</v>
      </c>
      <c r="M2568" s="2">
        <f t="shared" si="324"/>
        <v>450.2841282955755</v>
      </c>
      <c r="N2568">
        <f t="shared" si="325"/>
        <v>2527.1986870456176</v>
      </c>
      <c r="O2568" t="s">
        <v>8</v>
      </c>
    </row>
    <row r="2569" spans="1:15" x14ac:dyDescent="0.35">
      <c r="A2569">
        <v>2007</v>
      </c>
      <c r="B2569">
        <v>1</v>
      </c>
      <c r="C2569">
        <v>11</v>
      </c>
      <c r="D2569" s="1">
        <f t="shared" si="320"/>
        <v>39093</v>
      </c>
      <c r="E2569">
        <v>0</v>
      </c>
      <c r="F2569">
        <f t="shared" si="326"/>
        <v>0</v>
      </c>
      <c r="G2569">
        <f t="shared" si="321"/>
        <v>0</v>
      </c>
      <c r="H2569">
        <f t="shared" si="327"/>
        <v>0</v>
      </c>
      <c r="I2569">
        <v>2568</v>
      </c>
      <c r="J2569">
        <f t="shared" si="322"/>
        <v>0.19232150523909378</v>
      </c>
      <c r="K2569">
        <f t="shared" si="323"/>
        <v>0.98133197167042774</v>
      </c>
      <c r="L2569">
        <f>VLOOKUP(D2569,[1]SOI!$A$1:$C$142,3)</f>
        <v>-3</v>
      </c>
      <c r="M2569" s="2">
        <f t="shared" si="324"/>
        <v>493.8816254539928</v>
      </c>
      <c r="N2569">
        <f t="shared" si="325"/>
        <v>2520.0605032496583</v>
      </c>
      <c r="O2569" t="s">
        <v>8</v>
      </c>
    </row>
    <row r="2570" spans="1:15" x14ac:dyDescent="0.35">
      <c r="A2570">
        <v>2007</v>
      </c>
      <c r="B2570">
        <v>1</v>
      </c>
      <c r="C2570">
        <v>12</v>
      </c>
      <c r="D2570" s="1">
        <f t="shared" si="320"/>
        <v>39094</v>
      </c>
      <c r="E2570">
        <v>0</v>
      </c>
      <c r="F2570">
        <f t="shared" si="326"/>
        <v>0</v>
      </c>
      <c r="G2570">
        <f t="shared" si="321"/>
        <v>0</v>
      </c>
      <c r="H2570">
        <f t="shared" si="327"/>
        <v>0</v>
      </c>
      <c r="I2570">
        <v>2569</v>
      </c>
      <c r="J2570">
        <f t="shared" si="322"/>
        <v>0.2091735056463562</v>
      </c>
      <c r="K2570">
        <f t="shared" si="323"/>
        <v>0.97787854283423858</v>
      </c>
      <c r="L2570">
        <f>VLOOKUP(D2570,[1]SOI!$A$1:$C$142,3)</f>
        <v>-3</v>
      </c>
      <c r="M2570" s="2">
        <f t="shared" si="324"/>
        <v>537.36673600548909</v>
      </c>
      <c r="N2570">
        <f t="shared" si="325"/>
        <v>2512.169976541159</v>
      </c>
      <c r="O2570" t="s">
        <v>8</v>
      </c>
    </row>
    <row r="2571" spans="1:15" x14ac:dyDescent="0.35">
      <c r="A2571">
        <v>2007</v>
      </c>
      <c r="B2571">
        <v>1</v>
      </c>
      <c r="C2571">
        <v>13</v>
      </c>
      <c r="D2571" s="1">
        <f t="shared" si="320"/>
        <v>39095</v>
      </c>
      <c r="E2571">
        <v>0</v>
      </c>
      <c r="F2571">
        <f t="shared" si="326"/>
        <v>0</v>
      </c>
      <c r="G2571">
        <f t="shared" si="321"/>
        <v>0</v>
      </c>
      <c r="H2571">
        <f t="shared" si="327"/>
        <v>0</v>
      </c>
      <c r="I2571">
        <v>2570</v>
      </c>
      <c r="J2571">
        <f t="shared" si="322"/>
        <v>0.22596360824801281</v>
      </c>
      <c r="K2571">
        <f t="shared" si="323"/>
        <v>0.9741357440046734</v>
      </c>
      <c r="L2571">
        <f>VLOOKUP(D2571,[1]SOI!$A$1:$C$142,3)</f>
        <v>-3</v>
      </c>
      <c r="M2571" s="2">
        <f t="shared" si="324"/>
        <v>580.72647319739292</v>
      </c>
      <c r="N2571">
        <f t="shared" si="325"/>
        <v>2503.5288620920105</v>
      </c>
      <c r="O2571" t="s">
        <v>8</v>
      </c>
    </row>
    <row r="2572" spans="1:15" x14ac:dyDescent="0.35">
      <c r="A2572">
        <v>2007</v>
      </c>
      <c r="B2572">
        <v>1</v>
      </c>
      <c r="C2572">
        <v>14</v>
      </c>
      <c r="D2572" s="1">
        <f t="shared" si="320"/>
        <v>39096</v>
      </c>
      <c r="E2572">
        <v>0</v>
      </c>
      <c r="F2572">
        <f t="shared" si="326"/>
        <v>0</v>
      </c>
      <c r="G2572">
        <f t="shared" si="321"/>
        <v>0</v>
      </c>
      <c r="H2572">
        <f t="shared" si="327"/>
        <v>0</v>
      </c>
      <c r="I2572">
        <v>2571</v>
      </c>
      <c r="J2572">
        <f t="shared" si="322"/>
        <v>0.2426868445825909</v>
      </c>
      <c r="K2572">
        <f t="shared" si="323"/>
        <v>0.97010468273611861</v>
      </c>
      <c r="L2572">
        <f>VLOOKUP(D2572,[1]SOI!$A$1:$C$142,3)</f>
        <v>-3</v>
      </c>
      <c r="M2572" s="2">
        <f t="shared" si="324"/>
        <v>623.94787742184121</v>
      </c>
      <c r="N2572">
        <f t="shared" si="325"/>
        <v>2494.1391393145609</v>
      </c>
      <c r="O2572" t="s">
        <v>8</v>
      </c>
    </row>
    <row r="2573" spans="1:15" x14ac:dyDescent="0.35">
      <c r="A2573">
        <v>2007</v>
      </c>
      <c r="B2573">
        <v>1</v>
      </c>
      <c r="C2573">
        <v>15</v>
      </c>
      <c r="D2573" s="1">
        <f t="shared" si="320"/>
        <v>39097</v>
      </c>
      <c r="E2573">
        <v>0</v>
      </c>
      <c r="F2573">
        <f t="shared" si="326"/>
        <v>0</v>
      </c>
      <c r="G2573">
        <f t="shared" si="321"/>
        <v>0</v>
      </c>
      <c r="H2573">
        <f t="shared" si="327"/>
        <v>0</v>
      </c>
      <c r="I2573">
        <v>2572</v>
      </c>
      <c r="J2573">
        <f t="shared" si="322"/>
        <v>0.25933826597540799</v>
      </c>
      <c r="K2573">
        <f t="shared" si="323"/>
        <v>0.96578655188445683</v>
      </c>
      <c r="L2573">
        <f>VLOOKUP(D2573,[1]SOI!$A$1:$C$142,3)</f>
        <v>-3</v>
      </c>
      <c r="M2573" s="2">
        <f t="shared" si="324"/>
        <v>667.01802008874938</v>
      </c>
      <c r="N2573">
        <f t="shared" si="325"/>
        <v>2484.0030114468232</v>
      </c>
      <c r="O2573" t="s">
        <v>8</v>
      </c>
    </row>
    <row r="2574" spans="1:15" x14ac:dyDescent="0.35">
      <c r="A2574">
        <v>2007</v>
      </c>
      <c r="B2574">
        <v>1</v>
      </c>
      <c r="C2574">
        <v>16</v>
      </c>
      <c r="D2574" s="1">
        <f t="shared" si="320"/>
        <v>39098</v>
      </c>
      <c r="E2574">
        <v>0</v>
      </c>
      <c r="F2574">
        <f t="shared" si="326"/>
        <v>0</v>
      </c>
      <c r="G2574">
        <f t="shared" si="321"/>
        <v>0</v>
      </c>
      <c r="H2574">
        <f t="shared" si="327"/>
        <v>0</v>
      </c>
      <c r="I2574">
        <v>2573</v>
      </c>
      <c r="J2574">
        <f t="shared" si="322"/>
        <v>0.27591294500295771</v>
      </c>
      <c r="K2574">
        <f t="shared" si="323"/>
        <v>0.96118262925408449</v>
      </c>
      <c r="L2574">
        <f>VLOOKUP(D2574,[1]SOI!$A$1:$C$142,3)</f>
        <v>-3</v>
      </c>
      <c r="M2574" s="2">
        <f t="shared" si="324"/>
        <v>709.92400749261014</v>
      </c>
      <c r="N2574">
        <f t="shared" si="325"/>
        <v>2473.1229050707593</v>
      </c>
      <c r="O2574" t="s">
        <v>8</v>
      </c>
    </row>
    <row r="2575" spans="1:15" x14ac:dyDescent="0.35">
      <c r="A2575">
        <v>2007</v>
      </c>
      <c r="B2575">
        <v>1</v>
      </c>
      <c r="C2575">
        <v>17</v>
      </c>
      <c r="D2575" s="1">
        <f t="shared" si="320"/>
        <v>39099</v>
      </c>
      <c r="E2575">
        <v>0</v>
      </c>
      <c r="F2575">
        <f t="shared" si="326"/>
        <v>0</v>
      </c>
      <c r="G2575">
        <f t="shared" si="321"/>
        <v>0</v>
      </c>
      <c r="H2575">
        <f t="shared" si="327"/>
        <v>0</v>
      </c>
      <c r="I2575">
        <v>2574</v>
      </c>
      <c r="J2575">
        <f t="shared" si="322"/>
        <v>0.29240597695107545</v>
      </c>
      <c r="K2575">
        <f t="shared" si="323"/>
        <v>0.95629427721977256</v>
      </c>
      <c r="L2575">
        <f>VLOOKUP(D2575,[1]SOI!$A$1:$C$142,3)</f>
        <v>-3</v>
      </c>
      <c r="M2575" s="2">
        <f t="shared" si="324"/>
        <v>752.65298467206821</v>
      </c>
      <c r="N2575">
        <f t="shared" si="325"/>
        <v>2461.5014695636946</v>
      </c>
      <c r="O2575" t="s">
        <v>8</v>
      </c>
    </row>
    <row r="2576" spans="1:15" x14ac:dyDescent="0.35">
      <c r="A2576">
        <v>2007</v>
      </c>
      <c r="B2576">
        <v>1</v>
      </c>
      <c r="C2576">
        <v>18</v>
      </c>
      <c r="D2576" s="1">
        <f t="shared" si="320"/>
        <v>39100</v>
      </c>
      <c r="E2576">
        <v>0</v>
      </c>
      <c r="F2576">
        <f t="shared" si="326"/>
        <v>0</v>
      </c>
      <c r="G2576">
        <f t="shared" si="321"/>
        <v>0</v>
      </c>
      <c r="H2576">
        <f t="shared" si="327"/>
        <v>0</v>
      </c>
      <c r="I2576">
        <v>2575</v>
      </c>
      <c r="J2576">
        <f t="shared" si="322"/>
        <v>0.3088124812662536</v>
      </c>
      <c r="K2576">
        <f t="shared" si="323"/>
        <v>0.95112294232353567</v>
      </c>
      <c r="L2576">
        <f>VLOOKUP(D2576,[1]SOI!$A$1:$C$142,3)</f>
        <v>-3</v>
      </c>
      <c r="M2576" s="2">
        <f t="shared" si="324"/>
        <v>795.19213926060297</v>
      </c>
      <c r="N2576">
        <f t="shared" si="325"/>
        <v>2449.1415764831045</v>
      </c>
      <c r="O2576" t="s">
        <v>8</v>
      </c>
    </row>
    <row r="2577" spans="1:15" x14ac:dyDescent="0.35">
      <c r="A2577">
        <v>2007</v>
      </c>
      <c r="B2577">
        <v>1</v>
      </c>
      <c r="C2577">
        <v>19</v>
      </c>
      <c r="D2577" s="1">
        <f t="shared" si="320"/>
        <v>39101</v>
      </c>
      <c r="E2577">
        <v>7.2</v>
      </c>
      <c r="F2577">
        <f t="shared" si="326"/>
        <v>0</v>
      </c>
      <c r="G2577">
        <f t="shared" si="321"/>
        <v>1</v>
      </c>
      <c r="H2577">
        <f t="shared" si="327"/>
        <v>0</v>
      </c>
      <c r="I2577">
        <v>2576</v>
      </c>
      <c r="J2577">
        <f t="shared" si="322"/>
        <v>0.32512760299990323</v>
      </c>
      <c r="K2577">
        <f t="shared" si="323"/>
        <v>0.94567015484657091</v>
      </c>
      <c r="L2577">
        <f>VLOOKUP(D2577,[1]SOI!$A$1:$C$142,3)</f>
        <v>-3</v>
      </c>
      <c r="M2577" s="2">
        <f t="shared" si="324"/>
        <v>837.52870532775069</v>
      </c>
      <c r="N2577">
        <f t="shared" si="325"/>
        <v>2436.0463188847666</v>
      </c>
      <c r="O2577" t="s">
        <v>8</v>
      </c>
    </row>
    <row r="2578" spans="1:15" x14ac:dyDescent="0.35">
      <c r="A2578">
        <v>2007</v>
      </c>
      <c r="B2578">
        <v>1</v>
      </c>
      <c r="C2578">
        <v>20</v>
      </c>
      <c r="D2578" s="1">
        <f t="shared" si="320"/>
        <v>39102</v>
      </c>
      <c r="E2578">
        <v>1.2</v>
      </c>
      <c r="F2578">
        <f t="shared" si="326"/>
        <v>7.2</v>
      </c>
      <c r="G2578">
        <f t="shared" si="321"/>
        <v>1</v>
      </c>
      <c r="H2578">
        <f t="shared" si="327"/>
        <v>1</v>
      </c>
      <c r="I2578">
        <v>2577</v>
      </c>
      <c r="J2578">
        <f t="shared" si="322"/>
        <v>0.34134651424503848</v>
      </c>
      <c r="K2578">
        <f t="shared" si="323"/>
        <v>0.93993752835641253</v>
      </c>
      <c r="L2578">
        <f>VLOOKUP(D2578,[1]SOI!$A$1:$C$142,3)</f>
        <v>-3</v>
      </c>
      <c r="M2578" s="2">
        <f t="shared" si="324"/>
        <v>879.64996720946419</v>
      </c>
      <c r="N2578">
        <f t="shared" si="325"/>
        <v>2422.2190105744753</v>
      </c>
      <c r="O2578" t="s">
        <v>8</v>
      </c>
    </row>
    <row r="2579" spans="1:15" x14ac:dyDescent="0.35">
      <c r="A2579">
        <v>2007</v>
      </c>
      <c r="B2579">
        <v>1</v>
      </c>
      <c r="C2579">
        <v>21</v>
      </c>
      <c r="D2579" s="1">
        <f t="shared" si="320"/>
        <v>39103</v>
      </c>
      <c r="E2579">
        <v>15.8</v>
      </c>
      <c r="F2579">
        <f t="shared" si="326"/>
        <v>1.2</v>
      </c>
      <c r="G2579">
        <f t="shared" si="321"/>
        <v>1</v>
      </c>
      <c r="H2579">
        <f t="shared" si="327"/>
        <v>1</v>
      </c>
      <c r="I2579">
        <v>2578</v>
      </c>
      <c r="J2579">
        <f t="shared" si="322"/>
        <v>0.35746441556485792</v>
      </c>
      <c r="K2579">
        <f t="shared" si="323"/>
        <v>0.93392675922947754</v>
      </c>
      <c r="L2579">
        <f>VLOOKUP(D2579,[1]SOI!$A$1:$C$142,3)</f>
        <v>-3</v>
      </c>
      <c r="M2579" s="2">
        <f t="shared" si="324"/>
        <v>921.54326332620371</v>
      </c>
      <c r="N2579">
        <f t="shared" si="325"/>
        <v>2407.663185293593</v>
      </c>
      <c r="O2579" t="s">
        <v>8</v>
      </c>
    </row>
    <row r="2580" spans="1:15" x14ac:dyDescent="0.35">
      <c r="A2580">
        <v>2007</v>
      </c>
      <c r="B2580">
        <v>1</v>
      </c>
      <c r="C2580">
        <v>22</v>
      </c>
      <c r="D2580" s="1">
        <f t="shared" si="320"/>
        <v>39104</v>
      </c>
      <c r="E2580">
        <v>0.2</v>
      </c>
      <c r="F2580">
        <f t="shared" si="326"/>
        <v>15.8</v>
      </c>
      <c r="G2580">
        <f t="shared" si="321"/>
        <v>1</v>
      </c>
      <c r="H2580">
        <f t="shared" si="327"/>
        <v>1</v>
      </c>
      <c r="I2580">
        <v>2579</v>
      </c>
      <c r="J2580">
        <f t="shared" si="322"/>
        <v>0.37347653741306891</v>
      </c>
      <c r="K2580">
        <f t="shared" si="323"/>
        <v>0.92763962614904749</v>
      </c>
      <c r="L2580">
        <f>VLOOKUP(D2580,[1]SOI!$A$1:$C$142,3)</f>
        <v>-3</v>
      </c>
      <c r="M2580" s="2">
        <f t="shared" si="324"/>
        <v>963.19598998830475</v>
      </c>
      <c r="N2580">
        <f t="shared" si="325"/>
        <v>2392.3825958383936</v>
      </c>
      <c r="O2580" t="s">
        <v>8</v>
      </c>
    </row>
    <row r="2581" spans="1:15" x14ac:dyDescent="0.35">
      <c r="A2581">
        <v>2007</v>
      </c>
      <c r="B2581">
        <v>1</v>
      </c>
      <c r="C2581">
        <v>23</v>
      </c>
      <c r="D2581" s="1">
        <f t="shared" si="320"/>
        <v>39105</v>
      </c>
      <c r="E2581">
        <v>0</v>
      </c>
      <c r="F2581">
        <f t="shared" si="326"/>
        <v>0.2</v>
      </c>
      <c r="G2581">
        <f t="shared" si="321"/>
        <v>0</v>
      </c>
      <c r="H2581">
        <f t="shared" si="327"/>
        <v>1</v>
      </c>
      <c r="I2581">
        <v>2580</v>
      </c>
      <c r="J2581">
        <f t="shared" si="322"/>
        <v>0.38937814154519973</v>
      </c>
      <c r="K2581">
        <f t="shared" si="323"/>
        <v>0.92107798957895326</v>
      </c>
      <c r="L2581">
        <f>VLOOKUP(D2581,[1]SOI!$A$1:$C$142,3)</f>
        <v>-3</v>
      </c>
      <c r="M2581" s="2">
        <f t="shared" si="324"/>
        <v>1004.5956051866153</v>
      </c>
      <c r="N2581">
        <f t="shared" si="325"/>
        <v>2376.3812131136992</v>
      </c>
      <c r="O2581" t="s">
        <v>8</v>
      </c>
    </row>
    <row r="2582" spans="1:15" x14ac:dyDescent="0.35">
      <c r="A2582">
        <v>2007</v>
      </c>
      <c r="B2582">
        <v>1</v>
      </c>
      <c r="C2582">
        <v>24</v>
      </c>
      <c r="D2582" s="1">
        <f t="shared" si="320"/>
        <v>39106</v>
      </c>
      <c r="E2582">
        <v>0</v>
      </c>
      <c r="F2582">
        <f t="shared" si="326"/>
        <v>0</v>
      </c>
      <c r="G2582">
        <f t="shared" si="321"/>
        <v>0</v>
      </c>
      <c r="H2582">
        <f t="shared" si="327"/>
        <v>0</v>
      </c>
      <c r="I2582">
        <v>2581</v>
      </c>
      <c r="J2582">
        <f t="shared" si="322"/>
        <v>0.40516452242075535</v>
      </c>
      <c r="K2582">
        <f t="shared" si="323"/>
        <v>0.91424379121302279</v>
      </c>
      <c r="L2582">
        <f>VLOOKUP(D2582,[1]SOI!$A$1:$C$142,3)</f>
        <v>-3</v>
      </c>
      <c r="M2582" s="2">
        <f t="shared" si="324"/>
        <v>1045.7296323679695</v>
      </c>
      <c r="N2582">
        <f t="shared" si="325"/>
        <v>2359.6632251208121</v>
      </c>
      <c r="O2582" t="s">
        <v>8</v>
      </c>
    </row>
    <row r="2583" spans="1:15" x14ac:dyDescent="0.35">
      <c r="A2583">
        <v>2007</v>
      </c>
      <c r="B2583">
        <v>1</v>
      </c>
      <c r="C2583">
        <v>25</v>
      </c>
      <c r="D2583" s="1">
        <f t="shared" si="320"/>
        <v>39107</v>
      </c>
      <c r="E2583">
        <v>0</v>
      </c>
      <c r="F2583">
        <f t="shared" si="326"/>
        <v>0</v>
      </c>
      <c r="G2583">
        <f t="shared" si="321"/>
        <v>0</v>
      </c>
      <c r="H2583">
        <f t="shared" si="327"/>
        <v>0</v>
      </c>
      <c r="I2583">
        <v>2582</v>
      </c>
      <c r="J2583">
        <f t="shared" si="322"/>
        <v>0.42083100859565625</v>
      </c>
      <c r="K2583">
        <f t="shared" si="323"/>
        <v>0.90713905340050416</v>
      </c>
      <c r="L2583">
        <f>VLOOKUP(D2583,[1]SOI!$A$1:$C$142,3)</f>
        <v>-3</v>
      </c>
      <c r="M2583" s="2">
        <f t="shared" si="324"/>
        <v>1086.5856641939845</v>
      </c>
      <c r="N2583">
        <f t="shared" si="325"/>
        <v>2342.2330358801019</v>
      </c>
      <c r="O2583" t="s">
        <v>8</v>
      </c>
    </row>
    <row r="2584" spans="1:15" x14ac:dyDescent="0.35">
      <c r="A2584">
        <v>2007</v>
      </c>
      <c r="B2584">
        <v>1</v>
      </c>
      <c r="C2584">
        <v>26</v>
      </c>
      <c r="D2584" s="1">
        <f t="shared" si="320"/>
        <v>39108</v>
      </c>
      <c r="E2584">
        <v>0</v>
      </c>
      <c r="F2584">
        <f t="shared" si="326"/>
        <v>0</v>
      </c>
      <c r="G2584">
        <f t="shared" si="321"/>
        <v>0</v>
      </c>
      <c r="H2584">
        <f t="shared" si="327"/>
        <v>0</v>
      </c>
      <c r="I2584">
        <v>2583</v>
      </c>
      <c r="J2584">
        <f t="shared" si="322"/>
        <v>0.43637296410459386</v>
      </c>
      <c r="K2584">
        <f t="shared" si="323"/>
        <v>0.89976587854762025</v>
      </c>
      <c r="L2584">
        <f>VLOOKUP(D2584,[1]SOI!$A$1:$C$142,3)</f>
        <v>-3</v>
      </c>
      <c r="M2584" s="2">
        <f t="shared" si="324"/>
        <v>1127.151366282166</v>
      </c>
      <c r="N2584">
        <f t="shared" si="325"/>
        <v>2324.0952642885031</v>
      </c>
      <c r="O2584" t="s">
        <v>8</v>
      </c>
    </row>
    <row r="2585" spans="1:15" x14ac:dyDescent="0.35">
      <c r="A2585">
        <v>2007</v>
      </c>
      <c r="B2585">
        <v>1</v>
      </c>
      <c r="C2585">
        <v>27</v>
      </c>
      <c r="D2585" s="1">
        <f t="shared" si="320"/>
        <v>39109</v>
      </c>
      <c r="E2585">
        <v>6</v>
      </c>
      <c r="F2585">
        <f t="shared" si="326"/>
        <v>0</v>
      </c>
      <c r="G2585">
        <f t="shared" si="321"/>
        <v>1</v>
      </c>
      <c r="H2585">
        <f t="shared" si="327"/>
        <v>0</v>
      </c>
      <c r="I2585">
        <v>2584</v>
      </c>
      <c r="J2585">
        <f t="shared" si="322"/>
        <v>0.45178578983288065</v>
      </c>
      <c r="K2585">
        <f t="shared" si="323"/>
        <v>0.89212644849543621</v>
      </c>
      <c r="L2585">
        <f>VLOOKUP(D2585,[1]SOI!$A$1:$C$142,3)</f>
        <v>-3</v>
      </c>
      <c r="M2585" s="2">
        <f t="shared" si="324"/>
        <v>1167.4144809281636</v>
      </c>
      <c r="N2585">
        <f t="shared" si="325"/>
        <v>2305.2547429122073</v>
      </c>
      <c r="O2585" t="s">
        <v>8</v>
      </c>
    </row>
    <row r="2586" spans="1:15" x14ac:dyDescent="0.35">
      <c r="A2586">
        <v>2007</v>
      </c>
      <c r="B2586">
        <v>1</v>
      </c>
      <c r="C2586">
        <v>28</v>
      </c>
      <c r="D2586" s="1">
        <f t="shared" si="320"/>
        <v>39110</v>
      </c>
      <c r="E2586">
        <v>1.2</v>
      </c>
      <c r="F2586">
        <f t="shared" si="326"/>
        <v>6</v>
      </c>
      <c r="G2586">
        <f t="shared" si="321"/>
        <v>1</v>
      </c>
      <c r="H2586">
        <f t="shared" si="327"/>
        <v>1</v>
      </c>
      <c r="I2586">
        <v>2585</v>
      </c>
      <c r="J2586">
        <f t="shared" si="322"/>
        <v>0.46706492487742785</v>
      </c>
      <c r="K2586">
        <f t="shared" si="323"/>
        <v>0.88422302387420493</v>
      </c>
      <c r="L2586">
        <f>VLOOKUP(D2586,[1]SOI!$A$1:$C$142,3)</f>
        <v>-3</v>
      </c>
      <c r="M2586" s="2">
        <f t="shared" si="324"/>
        <v>1207.3628308081509</v>
      </c>
      <c r="N2586">
        <f t="shared" si="325"/>
        <v>2285.7165167148196</v>
      </c>
      <c r="O2586" t="s">
        <v>8</v>
      </c>
    </row>
    <row r="2587" spans="1:15" x14ac:dyDescent="0.35">
      <c r="A2587">
        <v>2007</v>
      </c>
      <c r="B2587">
        <v>1</v>
      </c>
      <c r="C2587">
        <v>29</v>
      </c>
      <c r="D2587" s="1">
        <f t="shared" si="320"/>
        <v>39111</v>
      </c>
      <c r="E2587">
        <v>0</v>
      </c>
      <c r="F2587">
        <f t="shared" si="326"/>
        <v>1.2</v>
      </c>
      <c r="G2587">
        <f t="shared" si="321"/>
        <v>0</v>
      </c>
      <c r="H2587">
        <f t="shared" si="327"/>
        <v>1</v>
      </c>
      <c r="I2587">
        <v>2586</v>
      </c>
      <c r="J2587">
        <f t="shared" si="322"/>
        <v>0.48220584789635168</v>
      </c>
      <c r="K2587">
        <f t="shared" si="323"/>
        <v>0.87605794343442867</v>
      </c>
      <c r="L2587">
        <f>VLOOKUP(D2587,[1]SOI!$A$1:$C$142,3)</f>
        <v>-3</v>
      </c>
      <c r="M2587" s="2">
        <f t="shared" si="324"/>
        <v>1246.9843226599655</v>
      </c>
      <c r="N2587">
        <f t="shared" si="325"/>
        <v>2265.4858417214327</v>
      </c>
      <c r="O2587" t="s">
        <v>8</v>
      </c>
    </row>
    <row r="2588" spans="1:15" x14ac:dyDescent="0.35">
      <c r="A2588">
        <v>2007</v>
      </c>
      <c r="B2588">
        <v>1</v>
      </c>
      <c r="C2588">
        <v>30</v>
      </c>
      <c r="D2588" s="1">
        <f t="shared" si="320"/>
        <v>39112</v>
      </c>
      <c r="E2588">
        <v>0</v>
      </c>
      <c r="F2588">
        <f t="shared" si="326"/>
        <v>0</v>
      </c>
      <c r="G2588">
        <f t="shared" si="321"/>
        <v>0</v>
      </c>
      <c r="H2588">
        <f t="shared" si="327"/>
        <v>0</v>
      </c>
      <c r="I2588">
        <v>2587</v>
      </c>
      <c r="J2588">
        <f t="shared" si="322"/>
        <v>0.49720407844693693</v>
      </c>
      <c r="K2588">
        <f t="shared" si="323"/>
        <v>0.86763362335477312</v>
      </c>
      <c r="L2588">
        <f>VLOOKUP(D2588,[1]SOI!$A$1:$C$142,3)</f>
        <v>-3</v>
      </c>
      <c r="M2588" s="2">
        <f t="shared" si="324"/>
        <v>1286.2669509422258</v>
      </c>
      <c r="N2588">
        <f t="shared" si="325"/>
        <v>2244.5681836187982</v>
      </c>
      <c r="O2588" t="s">
        <v>8</v>
      </c>
    </row>
    <row r="2589" spans="1:15" x14ac:dyDescent="0.35">
      <c r="A2589">
        <v>2007</v>
      </c>
      <c r="B2589">
        <v>1</v>
      </c>
      <c r="C2589">
        <v>31</v>
      </c>
      <c r="D2589" s="1">
        <f t="shared" si="320"/>
        <v>39113</v>
      </c>
      <c r="E2589">
        <v>0.4</v>
      </c>
      <c r="F2589">
        <f t="shared" si="326"/>
        <v>0</v>
      </c>
      <c r="G2589">
        <f t="shared" si="321"/>
        <v>1</v>
      </c>
      <c r="H2589">
        <f t="shared" si="327"/>
        <v>0</v>
      </c>
      <c r="I2589">
        <v>2588</v>
      </c>
      <c r="J2589">
        <f t="shared" si="322"/>
        <v>0.51205517831146519</v>
      </c>
      <c r="K2589">
        <f t="shared" si="323"/>
        <v>0.85895255652708402</v>
      </c>
      <c r="L2589">
        <f>VLOOKUP(D2589,[1]SOI!$A$1:$C$142,3)</f>
        <v>-3</v>
      </c>
      <c r="M2589" s="2">
        <f t="shared" si="324"/>
        <v>1325.1988014700719</v>
      </c>
      <c r="N2589">
        <f t="shared" si="325"/>
        <v>2222.9692162920933</v>
      </c>
      <c r="O2589" t="s">
        <v>8</v>
      </c>
    </row>
    <row r="2590" spans="1:15" x14ac:dyDescent="0.35">
      <c r="A2590">
        <v>2007</v>
      </c>
      <c r="B2590">
        <v>2</v>
      </c>
      <c r="C2590">
        <v>1</v>
      </c>
      <c r="D2590" s="1">
        <f t="shared" si="320"/>
        <v>39114</v>
      </c>
      <c r="E2590">
        <v>0</v>
      </c>
      <c r="F2590">
        <f t="shared" si="326"/>
        <v>0.4</v>
      </c>
      <c r="G2590">
        <f t="shared" si="321"/>
        <v>0</v>
      </c>
      <c r="H2590">
        <f t="shared" si="327"/>
        <v>1</v>
      </c>
      <c r="I2590">
        <v>2589</v>
      </c>
      <c r="J2590">
        <f t="shared" si="322"/>
        <v>0.52675475281054951</v>
      </c>
      <c r="K2590">
        <f t="shared" si="323"/>
        <v>0.85001731181870466</v>
      </c>
      <c r="L2590">
        <f>VLOOKUP(D2590,[1]SOI!$A$1:$C$142,3)</f>
        <v>-7.3</v>
      </c>
      <c r="M2590" s="2">
        <f t="shared" si="324"/>
        <v>1363.7680550265127</v>
      </c>
      <c r="N2590">
        <f t="shared" si="325"/>
        <v>2200.6948202986264</v>
      </c>
      <c r="O2590" t="s">
        <v>8</v>
      </c>
    </row>
    <row r="2591" spans="1:15" x14ac:dyDescent="0.35">
      <c r="A2591">
        <v>2007</v>
      </c>
      <c r="B2591">
        <v>2</v>
      </c>
      <c r="C2591">
        <v>2</v>
      </c>
      <c r="D2591" s="1">
        <f t="shared" si="320"/>
        <v>39115</v>
      </c>
      <c r="E2591">
        <v>0</v>
      </c>
      <c r="F2591">
        <f t="shared" si="326"/>
        <v>0</v>
      </c>
      <c r="G2591">
        <f t="shared" si="321"/>
        <v>0</v>
      </c>
      <c r="H2591">
        <f t="shared" si="327"/>
        <v>0</v>
      </c>
      <c r="I2591">
        <v>2590</v>
      </c>
      <c r="J2591">
        <f t="shared" si="322"/>
        <v>0.54129845210361405</v>
      </c>
      <c r="K2591">
        <f t="shared" si="323"/>
        <v>0.84083053331229085</v>
      </c>
      <c r="L2591">
        <f>VLOOKUP(D2591,[1]SOI!$A$1:$C$142,3)</f>
        <v>-7.3</v>
      </c>
      <c r="M2591" s="2">
        <f t="shared" si="324"/>
        <v>1401.9629909483604</v>
      </c>
      <c r="N2591">
        <f t="shared" si="325"/>
        <v>2177.7510812788332</v>
      </c>
      <c r="O2591" t="s">
        <v>8</v>
      </c>
    </row>
    <row r="2592" spans="1:15" x14ac:dyDescent="0.35">
      <c r="A2592">
        <v>2007</v>
      </c>
      <c r="B2592">
        <v>2</v>
      </c>
      <c r="C2592">
        <v>3</v>
      </c>
      <c r="D2592" s="1">
        <f t="shared" si="320"/>
        <v>39116</v>
      </c>
      <c r="E2592">
        <v>0</v>
      </c>
      <c r="F2592">
        <f t="shared" si="326"/>
        <v>0</v>
      </c>
      <c r="G2592">
        <f t="shared" si="321"/>
        <v>0</v>
      </c>
      <c r="H2592">
        <f t="shared" si="327"/>
        <v>0</v>
      </c>
      <c r="I2592">
        <v>2591</v>
      </c>
      <c r="J2592">
        <f t="shared" si="322"/>
        <v>0.55568197247604656</v>
      </c>
      <c r="K2592">
        <f t="shared" si="323"/>
        <v>0.83139493952340737</v>
      </c>
      <c r="L2592">
        <f>VLOOKUP(D2592,[1]SOI!$A$1:$C$142,3)</f>
        <v>-7.3</v>
      </c>
      <c r="M2592" s="2">
        <f t="shared" si="324"/>
        <v>1439.7719906854365</v>
      </c>
      <c r="N2592">
        <f t="shared" si="325"/>
        <v>2154.1442883051486</v>
      </c>
      <c r="O2592" t="s">
        <v>8</v>
      </c>
    </row>
    <row r="2593" spans="1:15" x14ac:dyDescent="0.35">
      <c r="A2593">
        <v>2007</v>
      </c>
      <c r="B2593">
        <v>2</v>
      </c>
      <c r="C2593">
        <v>4</v>
      </c>
      <c r="D2593" s="1">
        <f t="shared" si="320"/>
        <v>39117</v>
      </c>
      <c r="E2593">
        <v>0</v>
      </c>
      <c r="F2593">
        <f t="shared" si="326"/>
        <v>0</v>
      </c>
      <c r="G2593">
        <f t="shared" si="321"/>
        <v>0</v>
      </c>
      <c r="H2593">
        <f t="shared" si="327"/>
        <v>0</v>
      </c>
      <c r="I2593">
        <v>2592</v>
      </c>
      <c r="J2593">
        <f t="shared" si="322"/>
        <v>0.56990105761276011</v>
      </c>
      <c r="K2593">
        <f t="shared" si="323"/>
        <v>0.82171332259606056</v>
      </c>
      <c r="L2593">
        <f>VLOOKUP(D2593,[1]SOI!$A$1:$C$142,3)</f>
        <v>-7.3</v>
      </c>
      <c r="M2593" s="2">
        <f t="shared" si="324"/>
        <v>1477.1835413322742</v>
      </c>
      <c r="N2593">
        <f t="shared" si="325"/>
        <v>2129.8809321689891</v>
      </c>
      <c r="O2593" t="s">
        <v>8</v>
      </c>
    </row>
    <row r="2594" spans="1:15" x14ac:dyDescent="0.35">
      <c r="A2594">
        <v>2007</v>
      </c>
      <c r="B2594">
        <v>2</v>
      </c>
      <c r="C2594">
        <v>5</v>
      </c>
      <c r="D2594" s="1">
        <f t="shared" si="320"/>
        <v>39118</v>
      </c>
      <c r="E2594">
        <v>0</v>
      </c>
      <c r="F2594">
        <f t="shared" si="326"/>
        <v>0</v>
      </c>
      <c r="G2594">
        <f t="shared" si="321"/>
        <v>0</v>
      </c>
      <c r="H2594">
        <f t="shared" si="327"/>
        <v>0</v>
      </c>
      <c r="I2594">
        <v>2593</v>
      </c>
      <c r="J2594">
        <f t="shared" si="322"/>
        <v>0.58395149985769956</v>
      </c>
      <c r="K2594">
        <f t="shared" si="323"/>
        <v>0.81178854747646145</v>
      </c>
      <c r="L2594">
        <f>VLOOKUP(D2594,[1]SOI!$A$1:$C$142,3)</f>
        <v>-7.3</v>
      </c>
      <c r="M2594" s="2">
        <f t="shared" si="324"/>
        <v>1514.1862391310149</v>
      </c>
      <c r="N2594">
        <f t="shared" si="325"/>
        <v>2104.9677036064645</v>
      </c>
      <c r="O2594" t="s">
        <v>8</v>
      </c>
    </row>
    <row r="2595" spans="1:15" x14ac:dyDescent="0.35">
      <c r="A2595">
        <v>2007</v>
      </c>
      <c r="B2595">
        <v>2</v>
      </c>
      <c r="C2595">
        <v>6</v>
      </c>
      <c r="D2595" s="1">
        <f t="shared" si="320"/>
        <v>39119</v>
      </c>
      <c r="E2595">
        <v>0</v>
      </c>
      <c r="F2595">
        <f t="shared" si="326"/>
        <v>0</v>
      </c>
      <c r="G2595">
        <f t="shared" si="321"/>
        <v>0</v>
      </c>
      <c r="H2595">
        <f t="shared" si="327"/>
        <v>0</v>
      </c>
      <c r="I2595">
        <v>2594</v>
      </c>
      <c r="J2595">
        <f t="shared" si="322"/>
        <v>0.59782914145895494</v>
      </c>
      <c r="K2595">
        <f t="shared" si="323"/>
        <v>0.80162355106524208</v>
      </c>
      <c r="L2595">
        <f>VLOOKUP(D2595,[1]SOI!$A$1:$C$142,3)</f>
        <v>-7.3</v>
      </c>
      <c r="M2595" s="2">
        <f t="shared" si="324"/>
        <v>1550.7687929445292</v>
      </c>
      <c r="N2595">
        <f t="shared" si="325"/>
        <v>2079.4114914632378</v>
      </c>
      <c r="O2595" t="s">
        <v>8</v>
      </c>
    </row>
    <row r="2596" spans="1:15" x14ac:dyDescent="0.35">
      <c r="A2596">
        <v>2007</v>
      </c>
      <c r="B2596">
        <v>2</v>
      </c>
      <c r="C2596">
        <v>7</v>
      </c>
      <c r="D2596" s="1">
        <f t="shared" si="320"/>
        <v>39120</v>
      </c>
      <c r="E2596">
        <v>0</v>
      </c>
      <c r="F2596">
        <f t="shared" si="326"/>
        <v>0</v>
      </c>
      <c r="G2596">
        <f t="shared" si="321"/>
        <v>0</v>
      </c>
      <c r="H2596">
        <f t="shared" si="327"/>
        <v>0</v>
      </c>
      <c r="I2596">
        <v>2595</v>
      </c>
      <c r="J2596">
        <f t="shared" si="322"/>
        <v>0.61152987579910101</v>
      </c>
      <c r="K2596">
        <f t="shared" si="323"/>
        <v>0.79122134134838407</v>
      </c>
      <c r="L2596">
        <f>VLOOKUP(D2596,[1]SOI!$A$1:$C$142,3)</f>
        <v>-7.3</v>
      </c>
      <c r="M2596" s="2">
        <f t="shared" si="324"/>
        <v>1586.9200276986671</v>
      </c>
      <c r="N2596">
        <f t="shared" si="325"/>
        <v>2053.2193807990566</v>
      </c>
      <c r="O2596" t="s">
        <v>8</v>
      </c>
    </row>
    <row r="2597" spans="1:15" x14ac:dyDescent="0.35">
      <c r="A2597">
        <v>2007</v>
      </c>
      <c r="B2597">
        <v>2</v>
      </c>
      <c r="C2597">
        <v>8</v>
      </c>
      <c r="D2597" s="1">
        <f t="shared" si="320"/>
        <v>39121</v>
      </c>
      <c r="E2597">
        <v>0</v>
      </c>
      <c r="F2597">
        <f t="shared" si="326"/>
        <v>0</v>
      </c>
      <c r="G2597">
        <f t="shared" si="321"/>
        <v>0</v>
      </c>
      <c r="H2597">
        <f t="shared" si="327"/>
        <v>0</v>
      </c>
      <c r="I2597">
        <v>2596</v>
      </c>
      <c r="J2597">
        <f t="shared" si="322"/>
        <v>0.62504964861043399</v>
      </c>
      <c r="K2597">
        <f t="shared" si="323"/>
        <v>0.78058499650708946</v>
      </c>
      <c r="L2597">
        <f>VLOOKUP(D2597,[1]SOI!$A$1:$C$142,3)</f>
        <v>-7.3</v>
      </c>
      <c r="M2597" s="2">
        <f t="shared" si="324"/>
        <v>1622.6288877926866</v>
      </c>
      <c r="N2597">
        <f t="shared" si="325"/>
        <v>2026.3986509324043</v>
      </c>
      <c r="O2597" t="s">
        <v>8</v>
      </c>
    </row>
    <row r="2598" spans="1:15" x14ac:dyDescent="0.35">
      <c r="A2598">
        <v>2007</v>
      </c>
      <c r="B2598">
        <v>2</v>
      </c>
      <c r="C2598">
        <v>9</v>
      </c>
      <c r="D2598" s="1">
        <f t="shared" si="320"/>
        <v>39122</v>
      </c>
      <c r="E2598">
        <v>0</v>
      </c>
      <c r="F2598">
        <f t="shared" si="326"/>
        <v>0</v>
      </c>
      <c r="G2598">
        <f t="shared" si="321"/>
        <v>0</v>
      </c>
      <c r="H2598">
        <f t="shared" si="327"/>
        <v>0</v>
      </c>
      <c r="I2598">
        <v>2597</v>
      </c>
      <c r="J2598">
        <f t="shared" si="322"/>
        <v>0.63838445917466136</v>
      </c>
      <c r="K2598">
        <f t="shared" si="323"/>
        <v>0.76971766400692343</v>
      </c>
      <c r="L2598">
        <f>VLOOKUP(D2598,[1]SOI!$A$1:$C$142,3)</f>
        <v>-7.3</v>
      </c>
      <c r="M2598" s="2">
        <f t="shared" si="324"/>
        <v>1657.8844404765955</v>
      </c>
      <c r="N2598">
        <f t="shared" si="325"/>
        <v>1998.9567734259801</v>
      </c>
      <c r="O2598" t="s">
        <v>8</v>
      </c>
    </row>
    <row r="2599" spans="1:15" x14ac:dyDescent="0.35">
      <c r="A2599">
        <v>2007</v>
      </c>
      <c r="B2599">
        <v>2</v>
      </c>
      <c r="C2599">
        <v>10</v>
      </c>
      <c r="D2599" s="1">
        <f t="shared" si="320"/>
        <v>39123</v>
      </c>
      <c r="E2599">
        <v>0</v>
      </c>
      <c r="F2599">
        <f t="shared" si="326"/>
        <v>0</v>
      </c>
      <c r="G2599">
        <f t="shared" si="321"/>
        <v>0</v>
      </c>
      <c r="H2599">
        <f t="shared" si="327"/>
        <v>0</v>
      </c>
      <c r="I2599">
        <v>2598</v>
      </c>
      <c r="J2599">
        <f t="shared" si="322"/>
        <v>0.65153036150680066</v>
      </c>
      <c r="K2599">
        <f t="shared" si="323"/>
        <v>0.75862255966641123</v>
      </c>
      <c r="L2599">
        <f>VLOOKUP(D2599,[1]SOI!$A$1:$C$142,3)</f>
        <v>-7.3</v>
      </c>
      <c r="M2599" s="2">
        <f t="shared" si="324"/>
        <v>1692.6758791946681</v>
      </c>
      <c r="N2599">
        <f t="shared" si="325"/>
        <v>1970.9014100133363</v>
      </c>
      <c r="O2599" t="s">
        <v>8</v>
      </c>
    </row>
    <row r="2600" spans="1:15" x14ac:dyDescent="0.35">
      <c r="A2600">
        <v>2007</v>
      </c>
      <c r="B2600">
        <v>2</v>
      </c>
      <c r="C2600">
        <v>11</v>
      </c>
      <c r="D2600" s="1">
        <f t="shared" si="320"/>
        <v>39124</v>
      </c>
      <c r="E2600">
        <v>1</v>
      </c>
      <c r="F2600">
        <f t="shared" si="326"/>
        <v>0</v>
      </c>
      <c r="G2600">
        <f t="shared" si="321"/>
        <v>1</v>
      </c>
      <c r="H2600">
        <f t="shared" si="327"/>
        <v>0</v>
      </c>
      <c r="I2600">
        <v>2599</v>
      </c>
      <c r="J2600">
        <f t="shared" si="322"/>
        <v>0.66448346552285442</v>
      </c>
      <c r="K2600">
        <f t="shared" si="323"/>
        <v>0.74730296670543039</v>
      </c>
      <c r="L2600">
        <f>VLOOKUP(D2600,[1]SOI!$A$1:$C$142,3)</f>
        <v>-7.3</v>
      </c>
      <c r="M2600" s="2">
        <f t="shared" si="324"/>
        <v>1726.9925268938987</v>
      </c>
      <c r="N2600">
        <f t="shared" si="325"/>
        <v>1942.2404104674135</v>
      </c>
      <c r="O2600" t="s">
        <v>8</v>
      </c>
    </row>
    <row r="2601" spans="1:15" x14ac:dyDescent="0.35">
      <c r="A2601">
        <v>2007</v>
      </c>
      <c r="B2601">
        <v>2</v>
      </c>
      <c r="C2601">
        <v>12</v>
      </c>
      <c r="D2601" s="1">
        <f t="shared" si="320"/>
        <v>39125</v>
      </c>
      <c r="E2601">
        <v>0</v>
      </c>
      <c r="F2601">
        <f t="shared" si="326"/>
        <v>1</v>
      </c>
      <c r="G2601">
        <f t="shared" si="321"/>
        <v>0</v>
      </c>
      <c r="H2601">
        <f t="shared" si="327"/>
        <v>1</v>
      </c>
      <c r="I2601">
        <v>2600</v>
      </c>
      <c r="J2601">
        <f t="shared" si="322"/>
        <v>0.67723993819094364</v>
      </c>
      <c r="K2601">
        <f t="shared" si="323"/>
        <v>0.73576223477365754</v>
      </c>
      <c r="L2601">
        <f>VLOOKUP(D2601,[1]SOI!$A$1:$C$142,3)</f>
        <v>-7.3</v>
      </c>
      <c r="M2601" s="2">
        <f t="shared" si="324"/>
        <v>1760.8238392964533</v>
      </c>
      <c r="N2601">
        <f t="shared" si="325"/>
        <v>1912.9818104115095</v>
      </c>
      <c r="O2601" t="s">
        <v>8</v>
      </c>
    </row>
    <row r="2602" spans="1:15" x14ac:dyDescent="0.35">
      <c r="A2602">
        <v>2007</v>
      </c>
      <c r="B2602">
        <v>2</v>
      </c>
      <c r="C2602">
        <v>13</v>
      </c>
      <c r="D2602" s="1">
        <f t="shared" si="320"/>
        <v>39126</v>
      </c>
      <c r="E2602">
        <v>0</v>
      </c>
      <c r="F2602">
        <f t="shared" si="326"/>
        <v>0</v>
      </c>
      <c r="G2602">
        <f t="shared" si="321"/>
        <v>0</v>
      </c>
      <c r="H2602">
        <f t="shared" si="327"/>
        <v>0</v>
      </c>
      <c r="I2602">
        <v>2601</v>
      </c>
      <c r="J2602">
        <f t="shared" si="322"/>
        <v>0.68979600466558466</v>
      </c>
      <c r="K2602">
        <f t="shared" si="323"/>
        <v>0.72400377895933432</v>
      </c>
      <c r="L2602">
        <f>VLOOKUP(D2602,[1]SOI!$A$1:$C$142,3)</f>
        <v>-7.3</v>
      </c>
      <c r="M2602" s="2">
        <f t="shared" si="324"/>
        <v>1794.1594081351857</v>
      </c>
      <c r="N2602">
        <f t="shared" si="325"/>
        <v>1883.1338290732285</v>
      </c>
      <c r="O2602" t="s">
        <v>8</v>
      </c>
    </row>
    <row r="2603" spans="1:15" x14ac:dyDescent="0.35">
      <c r="A2603">
        <v>2007</v>
      </c>
      <c r="B2603">
        <v>2</v>
      </c>
      <c r="C2603">
        <v>14</v>
      </c>
      <c r="D2603" s="1">
        <f t="shared" si="320"/>
        <v>39127</v>
      </c>
      <c r="E2603">
        <v>0.2</v>
      </c>
      <c r="F2603">
        <f t="shared" si="326"/>
        <v>0</v>
      </c>
      <c r="G2603">
        <f t="shared" si="321"/>
        <v>1</v>
      </c>
      <c r="H2603">
        <f t="shared" si="327"/>
        <v>0</v>
      </c>
      <c r="I2603">
        <v>2602</v>
      </c>
      <c r="J2603">
        <f t="shared" si="322"/>
        <v>0.7021479494046996</v>
      </c>
      <c r="K2603">
        <f t="shared" si="323"/>
        <v>0.7120310787787113</v>
      </c>
      <c r="L2603">
        <f>VLOOKUP(D2603,[1]SOI!$A$1:$C$142,3)</f>
        <v>-7.3</v>
      </c>
      <c r="M2603" s="2">
        <f t="shared" si="324"/>
        <v>1826.9889643510285</v>
      </c>
      <c r="N2603">
        <f t="shared" si="325"/>
        <v>1852.7048669822068</v>
      </c>
      <c r="O2603" t="s">
        <v>8</v>
      </c>
    </row>
    <row r="2604" spans="1:15" x14ac:dyDescent="0.35">
      <c r="A2604">
        <v>2007</v>
      </c>
      <c r="B2604">
        <v>2</v>
      </c>
      <c r="C2604">
        <v>15</v>
      </c>
      <c r="D2604" s="1">
        <f t="shared" si="320"/>
        <v>39128</v>
      </c>
      <c r="E2604">
        <v>0</v>
      </c>
      <c r="F2604">
        <f t="shared" si="326"/>
        <v>0.2</v>
      </c>
      <c r="G2604">
        <f t="shared" si="321"/>
        <v>0</v>
      </c>
      <c r="H2604">
        <f t="shared" si="327"/>
        <v>1</v>
      </c>
      <c r="I2604">
        <v>2603</v>
      </c>
      <c r="J2604">
        <f t="shared" si="322"/>
        <v>0.71429211726910136</v>
      </c>
      <c r="K2604">
        <f t="shared" si="323"/>
        <v>0.69984767714640905</v>
      </c>
      <c r="L2604">
        <f>VLOOKUP(D2604,[1]SOI!$A$1:$C$142,3)</f>
        <v>-7.3</v>
      </c>
      <c r="M2604" s="2">
        <f t="shared" si="324"/>
        <v>1859.3023812514709</v>
      </c>
      <c r="N2604">
        <f t="shared" si="325"/>
        <v>1821.7035036121028</v>
      </c>
      <c r="O2604" t="s">
        <v>8</v>
      </c>
    </row>
    <row r="2605" spans="1:15" x14ac:dyDescent="0.35">
      <c r="A2605">
        <v>2007</v>
      </c>
      <c r="B2605">
        <v>2</v>
      </c>
      <c r="C2605">
        <v>16</v>
      </c>
      <c r="D2605" s="1">
        <f t="shared" si="320"/>
        <v>39129</v>
      </c>
      <c r="E2605">
        <v>0</v>
      </c>
      <c r="F2605">
        <f t="shared" si="326"/>
        <v>0</v>
      </c>
      <c r="G2605">
        <f t="shared" si="321"/>
        <v>0</v>
      </c>
      <c r="H2605">
        <f t="shared" si="327"/>
        <v>0</v>
      </c>
      <c r="I2605">
        <v>2604</v>
      </c>
      <c r="J2605">
        <f t="shared" si="322"/>
        <v>0.72622491460415295</v>
      </c>
      <c r="K2605">
        <f t="shared" si="323"/>
        <v>0.68745717932696782</v>
      </c>
      <c r="L2605">
        <f>VLOOKUP(D2605,[1]SOI!$A$1:$C$142,3)</f>
        <v>-7.3</v>
      </c>
      <c r="M2605" s="2">
        <f t="shared" si="324"/>
        <v>1891.0896776292143</v>
      </c>
      <c r="N2605">
        <f t="shared" si="325"/>
        <v>1790.1384949674241</v>
      </c>
      <c r="O2605" t="s">
        <v>8</v>
      </c>
    </row>
    <row r="2606" spans="1:15" x14ac:dyDescent="0.35">
      <c r="A2606">
        <v>2007</v>
      </c>
      <c r="B2606">
        <v>2</v>
      </c>
      <c r="C2606">
        <v>17</v>
      </c>
      <c r="D2606" s="1">
        <f t="shared" si="320"/>
        <v>39130</v>
      </c>
      <c r="E2606">
        <v>0</v>
      </c>
      <c r="F2606">
        <f t="shared" si="326"/>
        <v>0</v>
      </c>
      <c r="G2606">
        <f t="shared" si="321"/>
        <v>0</v>
      </c>
      <c r="H2606">
        <f t="shared" si="327"/>
        <v>0</v>
      </c>
      <c r="I2606">
        <v>2605</v>
      </c>
      <c r="J2606">
        <f t="shared" si="322"/>
        <v>0.7379428103031378</v>
      </c>
      <c r="K2606">
        <f t="shared" si="323"/>
        <v>0.67486325186804108</v>
      </c>
      <c r="L2606">
        <f>VLOOKUP(D2606,[1]SOI!$A$1:$C$142,3)</f>
        <v>-7.3</v>
      </c>
      <c r="M2606" s="2">
        <f t="shared" si="324"/>
        <v>1922.341020839674</v>
      </c>
      <c r="N2606">
        <f t="shared" si="325"/>
        <v>1758.0187711162471</v>
      </c>
      <c r="O2606" t="s">
        <v>8</v>
      </c>
    </row>
    <row r="2607" spans="1:15" x14ac:dyDescent="0.35">
      <c r="A2607">
        <v>2007</v>
      </c>
      <c r="B2607">
        <v>2</v>
      </c>
      <c r="C2607">
        <v>18</v>
      </c>
      <c r="D2607" s="1">
        <f t="shared" si="320"/>
        <v>39131</v>
      </c>
      <c r="E2607">
        <v>0</v>
      </c>
      <c r="F2607">
        <f t="shared" si="326"/>
        <v>0</v>
      </c>
      <c r="G2607">
        <f t="shared" si="321"/>
        <v>0</v>
      </c>
      <c r="H2607">
        <f t="shared" si="327"/>
        <v>0</v>
      </c>
      <c r="I2607">
        <v>2606</v>
      </c>
      <c r="J2607">
        <f t="shared" si="322"/>
        <v>0.74944233685219108</v>
      </c>
      <c r="K2607">
        <f t="shared" si="323"/>
        <v>0.66206962151538629</v>
      </c>
      <c r="L2607">
        <f>VLOOKUP(D2607,[1]SOI!$A$1:$C$142,3)</f>
        <v>-7.3</v>
      </c>
      <c r="M2607" s="2">
        <f t="shared" si="324"/>
        <v>1953.0467298368101</v>
      </c>
      <c r="N2607">
        <f t="shared" si="325"/>
        <v>1725.3534336690966</v>
      </c>
      <c r="O2607" t="s">
        <v>8</v>
      </c>
    </row>
    <row r="2608" spans="1:15" x14ac:dyDescent="0.35">
      <c r="A2608">
        <v>2007</v>
      </c>
      <c r="B2608">
        <v>2</v>
      </c>
      <c r="C2608">
        <v>19</v>
      </c>
      <c r="D2608" s="1">
        <f t="shared" si="320"/>
        <v>39132</v>
      </c>
      <c r="E2608">
        <v>4.2</v>
      </c>
      <c r="F2608">
        <f t="shared" si="326"/>
        <v>0</v>
      </c>
      <c r="G2608">
        <f t="shared" si="321"/>
        <v>1</v>
      </c>
      <c r="H2608">
        <f t="shared" si="327"/>
        <v>0</v>
      </c>
      <c r="I2608">
        <v>2607</v>
      </c>
      <c r="J2608">
        <f t="shared" si="322"/>
        <v>0.76072009135641139</v>
      </c>
      <c r="K2608">
        <f t="shared" si="323"/>
        <v>0.64908007411003854</v>
      </c>
      <c r="L2608">
        <f>VLOOKUP(D2608,[1]SOI!$A$1:$C$142,3)</f>
        <v>-7.3</v>
      </c>
      <c r="M2608" s="2">
        <f t="shared" si="324"/>
        <v>1983.1972781661646</v>
      </c>
      <c r="N2608">
        <f t="shared" si="325"/>
        <v>1692.1517532048704</v>
      </c>
      <c r="O2608" t="s">
        <v>8</v>
      </c>
    </row>
    <row r="2609" spans="1:15" x14ac:dyDescent="0.35">
      <c r="A2609">
        <v>2007</v>
      </c>
      <c r="B2609">
        <v>2</v>
      </c>
      <c r="C2609">
        <v>20</v>
      </c>
      <c r="D2609" s="1">
        <f t="shared" si="320"/>
        <v>39133</v>
      </c>
      <c r="E2609">
        <v>0</v>
      </c>
      <c r="F2609">
        <f t="shared" si="326"/>
        <v>4.2</v>
      </c>
      <c r="G2609">
        <f t="shared" si="321"/>
        <v>0</v>
      </c>
      <c r="H2609">
        <f t="shared" si="327"/>
        <v>1</v>
      </c>
      <c r="I2609">
        <v>2608</v>
      </c>
      <c r="J2609">
        <f t="shared" si="322"/>
        <v>0.77177273654678069</v>
      </c>
      <c r="K2609">
        <f t="shared" si="323"/>
        <v>0.63589845346807805</v>
      </c>
      <c r="L2609">
        <f>VLOOKUP(D2609,[1]SOI!$A$1:$C$142,3)</f>
        <v>-7.3</v>
      </c>
      <c r="M2609" s="2">
        <f t="shared" si="324"/>
        <v>2012.783296914004</v>
      </c>
      <c r="N2609">
        <f t="shared" si="325"/>
        <v>1658.4231666447477</v>
      </c>
      <c r="O2609" t="s">
        <v>8</v>
      </c>
    </row>
    <row r="2610" spans="1:15" x14ac:dyDescent="0.35">
      <c r="A2610">
        <v>2007</v>
      </c>
      <c r="B2610">
        <v>2</v>
      </c>
      <c r="C2610">
        <v>21</v>
      </c>
      <c r="D2610" s="1">
        <f t="shared" si="320"/>
        <v>39134</v>
      </c>
      <c r="E2610">
        <v>0</v>
      </c>
      <c r="F2610">
        <f t="shared" si="326"/>
        <v>0</v>
      </c>
      <c r="G2610">
        <f t="shared" si="321"/>
        <v>0</v>
      </c>
      <c r="H2610">
        <f t="shared" si="327"/>
        <v>0</v>
      </c>
      <c r="I2610">
        <v>2609</v>
      </c>
      <c r="J2610">
        <f t="shared" si="322"/>
        <v>0.78259700176778102</v>
      </c>
      <c r="K2610">
        <f t="shared" si="323"/>
        <v>0.6225286602431086</v>
      </c>
      <c r="L2610">
        <f>VLOOKUP(D2610,[1]SOI!$A$1:$C$142,3)</f>
        <v>-7.3</v>
      </c>
      <c r="M2610" s="2">
        <f t="shared" si="324"/>
        <v>2041.7955776121407</v>
      </c>
      <c r="N2610">
        <f t="shared" si="325"/>
        <v>1624.1772745742703</v>
      </c>
      <c r="O2610" t="s">
        <v>8</v>
      </c>
    </row>
    <row r="2611" spans="1:15" x14ac:dyDescent="0.35">
      <c r="A2611">
        <v>2007</v>
      </c>
      <c r="B2611">
        <v>2</v>
      </c>
      <c r="C2611">
        <v>22</v>
      </c>
      <c r="D2611" s="1">
        <f t="shared" si="320"/>
        <v>39135</v>
      </c>
      <c r="E2611">
        <v>0</v>
      </c>
      <c r="F2611">
        <f t="shared" si="326"/>
        <v>0</v>
      </c>
      <c r="G2611">
        <f t="shared" si="321"/>
        <v>0</v>
      </c>
      <c r="H2611">
        <f t="shared" si="327"/>
        <v>0</v>
      </c>
      <c r="I2611">
        <v>2610</v>
      </c>
      <c r="J2611">
        <f t="shared" si="322"/>
        <v>0.79318968394518319</v>
      </c>
      <c r="K2611">
        <f t="shared" si="323"/>
        <v>0.60897465077205015</v>
      </c>
      <c r="L2611">
        <f>VLOOKUP(D2611,[1]SOI!$A$1:$C$142,3)</f>
        <v>-7.3</v>
      </c>
      <c r="M2611" s="2">
        <f t="shared" si="324"/>
        <v>2070.2250750969283</v>
      </c>
      <c r="N2611">
        <f t="shared" si="325"/>
        <v>1589.4238385150509</v>
      </c>
      <c r="O2611" t="s">
        <v>8</v>
      </c>
    </row>
    <row r="2612" spans="1:15" x14ac:dyDescent="0.35">
      <c r="A2612">
        <v>2007</v>
      </c>
      <c r="B2612">
        <v>2</v>
      </c>
      <c r="C2612">
        <v>23</v>
      </c>
      <c r="D2612" s="1">
        <f t="shared" si="320"/>
        <v>39136</v>
      </c>
      <c r="E2612">
        <v>0</v>
      </c>
      <c r="F2612">
        <f t="shared" si="326"/>
        <v>0</v>
      </c>
      <c r="G2612">
        <f t="shared" si="321"/>
        <v>0</v>
      </c>
      <c r="H2612">
        <f t="shared" si="327"/>
        <v>0</v>
      </c>
      <c r="I2612">
        <v>2611</v>
      </c>
      <c r="J2612">
        <f t="shared" si="322"/>
        <v>0.80354764853391092</v>
      </c>
      <c r="K2612">
        <f t="shared" si="323"/>
        <v>0.59524043590436826</v>
      </c>
      <c r="L2612">
        <f>VLOOKUP(D2612,[1]SOI!$A$1:$C$142,3)</f>
        <v>-7.3</v>
      </c>
      <c r="M2612" s="2">
        <f t="shared" si="324"/>
        <v>2098.0629103220413</v>
      </c>
      <c r="N2612">
        <f t="shared" si="325"/>
        <v>1554.1727781463055</v>
      </c>
      <c r="O2612" t="s">
        <v>8</v>
      </c>
    </row>
    <row r="2613" spans="1:15" x14ac:dyDescent="0.35">
      <c r="A2613">
        <v>2007</v>
      </c>
      <c r="B2613">
        <v>2</v>
      </c>
      <c r="C2613">
        <v>24</v>
      </c>
      <c r="D2613" s="1">
        <f t="shared" si="320"/>
        <v>39137</v>
      </c>
      <c r="E2613">
        <v>5.8</v>
      </c>
      <c r="F2613">
        <f t="shared" si="326"/>
        <v>0</v>
      </c>
      <c r="G2613">
        <f t="shared" si="321"/>
        <v>1</v>
      </c>
      <c r="H2613">
        <f t="shared" si="327"/>
        <v>0</v>
      </c>
      <c r="I2613">
        <v>2612</v>
      </c>
      <c r="J2613">
        <f t="shared" si="322"/>
        <v>0.81366783044559898</v>
      </c>
      <c r="K2613">
        <f t="shared" si="323"/>
        <v>0.58133007981520435</v>
      </c>
      <c r="L2613">
        <f>VLOOKUP(D2613,[1]SOI!$A$1:$C$142,3)</f>
        <v>-7.3</v>
      </c>
      <c r="M2613" s="2">
        <f t="shared" si="324"/>
        <v>2125.3003731239046</v>
      </c>
      <c r="N2613">
        <f t="shared" si="325"/>
        <v>1518.4341684773137</v>
      </c>
      <c r="O2613" t="s">
        <v>8</v>
      </c>
    </row>
    <row r="2614" spans="1:15" x14ac:dyDescent="0.35">
      <c r="A2614">
        <v>2007</v>
      </c>
      <c r="B2614">
        <v>2</v>
      </c>
      <c r="C2614">
        <v>25</v>
      </c>
      <c r="D2614" s="1">
        <f t="shared" si="320"/>
        <v>39138</v>
      </c>
      <c r="E2614">
        <v>0</v>
      </c>
      <c r="F2614">
        <f t="shared" si="326"/>
        <v>5.8</v>
      </c>
      <c r="G2614">
        <f t="shared" si="321"/>
        <v>0</v>
      </c>
      <c r="H2614">
        <f t="shared" si="327"/>
        <v>1</v>
      </c>
      <c r="I2614">
        <v>2613</v>
      </c>
      <c r="J2614">
        <f t="shared" si="322"/>
        <v>0.82354723495559756</v>
      </c>
      <c r="K2614">
        <f t="shared" si="323"/>
        <v>0.56724769880272741</v>
      </c>
      <c r="L2614">
        <f>VLOOKUP(D2614,[1]SOI!$A$1:$C$142,3)</f>
        <v>-7.3</v>
      </c>
      <c r="M2614" s="2">
        <f t="shared" si="324"/>
        <v>2151.9289249389763</v>
      </c>
      <c r="N2614">
        <f t="shared" si="325"/>
        <v>1482.2182369715267</v>
      </c>
      <c r="O2614" t="s">
        <v>8</v>
      </c>
    </row>
    <row r="2615" spans="1:15" x14ac:dyDescent="0.35">
      <c r="A2615">
        <v>2007</v>
      </c>
      <c r="B2615">
        <v>2</v>
      </c>
      <c r="C2615">
        <v>26</v>
      </c>
      <c r="D2615" s="1">
        <f t="shared" si="320"/>
        <v>39139</v>
      </c>
      <c r="E2615">
        <v>0</v>
      </c>
      <c r="F2615">
        <f t="shared" si="326"/>
        <v>0</v>
      </c>
      <c r="G2615">
        <f t="shared" si="321"/>
        <v>0</v>
      </c>
      <c r="H2615">
        <f t="shared" si="327"/>
        <v>0</v>
      </c>
      <c r="I2615">
        <v>2614</v>
      </c>
      <c r="J2615">
        <f t="shared" si="322"/>
        <v>0.83318293858917591</v>
      </c>
      <c r="K2615">
        <f t="shared" si="323"/>
        <v>0.55299746007003103</v>
      </c>
      <c r="L2615">
        <f>VLOOKUP(D2615,[1]SOI!$A$1:$C$142,3)</f>
        <v>-7.3</v>
      </c>
      <c r="M2615" s="2">
        <f t="shared" si="324"/>
        <v>2177.9402014721059</v>
      </c>
      <c r="N2615">
        <f t="shared" si="325"/>
        <v>1445.535360623061</v>
      </c>
      <c r="O2615" t="s">
        <v>8</v>
      </c>
    </row>
    <row r="2616" spans="1:15" x14ac:dyDescent="0.35">
      <c r="A2616">
        <v>2007</v>
      </c>
      <c r="B2616">
        <v>2</v>
      </c>
      <c r="C2616">
        <v>27</v>
      </c>
      <c r="D2616" s="1">
        <f t="shared" si="320"/>
        <v>39140</v>
      </c>
      <c r="E2616">
        <v>0</v>
      </c>
      <c r="F2616">
        <f t="shared" si="326"/>
        <v>0</v>
      </c>
      <c r="G2616">
        <f t="shared" si="321"/>
        <v>0</v>
      </c>
      <c r="H2616">
        <f t="shared" si="327"/>
        <v>0</v>
      </c>
      <c r="I2616">
        <v>2615</v>
      </c>
      <c r="J2616">
        <f t="shared" si="322"/>
        <v>0.84257208998660116</v>
      </c>
      <c r="K2616">
        <f t="shared" si="323"/>
        <v>0.53858358049202626</v>
      </c>
      <c r="L2616">
        <f>VLOOKUP(D2616,[1]SOI!$A$1:$C$142,3)</f>
        <v>-7.3</v>
      </c>
      <c r="M2616" s="2">
        <f t="shared" si="324"/>
        <v>2203.3260153149622</v>
      </c>
      <c r="N2616">
        <f t="shared" si="325"/>
        <v>1408.3960629866488</v>
      </c>
      <c r="O2616" t="s">
        <v>8</v>
      </c>
    </row>
    <row r="2617" spans="1:15" x14ac:dyDescent="0.35">
      <c r="A2617">
        <v>2007</v>
      </c>
      <c r="B2617">
        <v>2</v>
      </c>
      <c r="C2617">
        <v>28</v>
      </c>
      <c r="D2617" s="1">
        <f t="shared" si="320"/>
        <v>39141</v>
      </c>
      <c r="E2617">
        <v>2</v>
      </c>
      <c r="F2617">
        <f t="shared" si="326"/>
        <v>0</v>
      </c>
      <c r="G2617">
        <f t="shared" si="321"/>
        <v>1</v>
      </c>
      <c r="H2617">
        <f t="shared" si="327"/>
        <v>0</v>
      </c>
      <c r="I2617">
        <v>2616</v>
      </c>
      <c r="J2617">
        <f t="shared" si="322"/>
        <v>0.85171191074691788</v>
      </c>
      <c r="K2617">
        <f t="shared" si="323"/>
        <v>0.5240103253675773</v>
      </c>
      <c r="L2617">
        <f>VLOOKUP(D2617,[1]SOI!$A$1:$C$142,3)</f>
        <v>-7.3</v>
      </c>
      <c r="M2617" s="2">
        <f t="shared" si="324"/>
        <v>2228.078358513937</v>
      </c>
      <c r="N2617">
        <f t="shared" si="325"/>
        <v>1370.8110111615822</v>
      </c>
      <c r="O2617" t="s">
        <v>8</v>
      </c>
    </row>
    <row r="2618" spans="1:15" x14ac:dyDescent="0.35">
      <c r="A2618">
        <v>2007</v>
      </c>
      <c r="B2618">
        <v>3</v>
      </c>
      <c r="C2618">
        <v>1</v>
      </c>
      <c r="D2618" s="1">
        <f t="shared" si="320"/>
        <v>39142</v>
      </c>
      <c r="E2618">
        <v>0</v>
      </c>
      <c r="F2618">
        <f t="shared" si="326"/>
        <v>2</v>
      </c>
      <c r="G2618">
        <f t="shared" si="321"/>
        <v>0</v>
      </c>
      <c r="H2618">
        <f t="shared" si="327"/>
        <v>1</v>
      </c>
      <c r="I2618">
        <v>2617</v>
      </c>
      <c r="J2618">
        <f t="shared" si="322"/>
        <v>0.86059969625011756</v>
      </c>
      <c r="K2618">
        <f t="shared" si="323"/>
        <v>0.50928200715733651</v>
      </c>
      <c r="L2618">
        <f>VLOOKUP(D2618,[1]SOI!$A$1:$C$142,3)</f>
        <v>-2.7</v>
      </c>
      <c r="M2618" s="2">
        <f t="shared" si="324"/>
        <v>2252.1894050865576</v>
      </c>
      <c r="N2618">
        <f t="shared" si="325"/>
        <v>1332.7910127307496</v>
      </c>
      <c r="O2618" t="s">
        <v>8</v>
      </c>
    </row>
    <row r="2619" spans="1:15" x14ac:dyDescent="0.35">
      <c r="A2619">
        <v>2007</v>
      </c>
      <c r="B2619">
        <v>3</v>
      </c>
      <c r="C2619">
        <v>2</v>
      </c>
      <c r="D2619" s="1">
        <f t="shared" si="320"/>
        <v>39143</v>
      </c>
      <c r="E2619">
        <v>0</v>
      </c>
      <c r="F2619">
        <f t="shared" si="326"/>
        <v>0</v>
      </c>
      <c r="G2619">
        <f t="shared" si="321"/>
        <v>0</v>
      </c>
      <c r="H2619">
        <f t="shared" si="327"/>
        <v>0</v>
      </c>
      <c r="I2619">
        <v>2618</v>
      </c>
      <c r="J2619">
        <f t="shared" si="322"/>
        <v>0.86923281645747552</v>
      </c>
      <c r="K2619">
        <f t="shared" si="323"/>
        <v>0.49440298420762452</v>
      </c>
      <c r="L2619">
        <f>VLOOKUP(D2619,[1]SOI!$A$1:$C$142,3)</f>
        <v>-2.7</v>
      </c>
      <c r="M2619" s="2">
        <f t="shared" si="324"/>
        <v>2275.6515134856709</v>
      </c>
      <c r="N2619">
        <f t="shared" si="325"/>
        <v>1294.347012655561</v>
      </c>
      <c r="O2619" t="s">
        <v>8</v>
      </c>
    </row>
    <row r="2620" spans="1:15" x14ac:dyDescent="0.35">
      <c r="A2620">
        <v>2007</v>
      </c>
      <c r="B2620">
        <v>3</v>
      </c>
      <c r="C2620">
        <v>3</v>
      </c>
      <c r="D2620" s="1">
        <f t="shared" si="320"/>
        <v>39144</v>
      </c>
      <c r="E2620">
        <v>0</v>
      </c>
      <c r="F2620">
        <f t="shared" si="326"/>
        <v>0</v>
      </c>
      <c r="G2620">
        <f t="shared" si="321"/>
        <v>0</v>
      </c>
      <c r="H2620">
        <f t="shared" si="327"/>
        <v>0</v>
      </c>
      <c r="I2620">
        <v>2619</v>
      </c>
      <c r="J2620">
        <f t="shared" si="322"/>
        <v>0.87760871668983609</v>
      </c>
      <c r="K2620">
        <f t="shared" si="323"/>
        <v>0.4793776594607001</v>
      </c>
      <c r="L2620">
        <f>VLOOKUP(D2620,[1]SOI!$A$1:$C$142,3)</f>
        <v>-2.7</v>
      </c>
      <c r="M2620" s="2">
        <f t="shared" si="324"/>
        <v>2298.4572290106807</v>
      </c>
      <c r="N2620">
        <f t="shared" si="325"/>
        <v>1255.4900901275735</v>
      </c>
      <c r="O2620" t="s">
        <v>8</v>
      </c>
    </row>
    <row r="2621" spans="1:15" x14ac:dyDescent="0.35">
      <c r="A2621">
        <v>2007</v>
      </c>
      <c r="B2621">
        <v>3</v>
      </c>
      <c r="C2621">
        <v>4</v>
      </c>
      <c r="D2621" s="1">
        <f t="shared" si="320"/>
        <v>39145</v>
      </c>
      <c r="E2621">
        <v>0.4</v>
      </c>
      <c r="F2621">
        <f t="shared" si="326"/>
        <v>0</v>
      </c>
      <c r="G2621">
        <f t="shared" si="321"/>
        <v>1</v>
      </c>
      <c r="H2621">
        <f t="shared" si="327"/>
        <v>0</v>
      </c>
      <c r="I2621">
        <v>2620</v>
      </c>
      <c r="J2621">
        <f t="shared" si="322"/>
        <v>0.8857249183835616</v>
      </c>
      <c r="K2621">
        <f t="shared" si="323"/>
        <v>0.46421047915189639</v>
      </c>
      <c r="L2621">
        <f>VLOOKUP(D2621,[1]SOI!$A$1:$C$142,3)</f>
        <v>-2.7</v>
      </c>
      <c r="M2621" s="2">
        <f t="shared" si="324"/>
        <v>2320.5992861649315</v>
      </c>
      <c r="N2621">
        <f t="shared" si="325"/>
        <v>1216.2314553779686</v>
      </c>
      <c r="O2621" t="s">
        <v>8</v>
      </c>
    </row>
    <row r="2622" spans="1:15" x14ac:dyDescent="0.35">
      <c r="A2622">
        <v>2007</v>
      </c>
      <c r="B2622">
        <v>3</v>
      </c>
      <c r="C2622">
        <v>5</v>
      </c>
      <c r="D2622" s="1">
        <f t="shared" si="320"/>
        <v>39146</v>
      </c>
      <c r="E2622">
        <v>0</v>
      </c>
      <c r="F2622">
        <f t="shared" si="326"/>
        <v>0.4</v>
      </c>
      <c r="G2622">
        <f t="shared" si="321"/>
        <v>0</v>
      </c>
      <c r="H2622">
        <f t="shared" si="327"/>
        <v>1</v>
      </c>
      <c r="I2622">
        <v>2621</v>
      </c>
      <c r="J2622">
        <f t="shared" si="322"/>
        <v>0.89357901982399357</v>
      </c>
      <c r="K2622">
        <f t="shared" si="323"/>
        <v>0.44890593149388314</v>
      </c>
      <c r="L2622">
        <f>VLOOKUP(D2622,[1]SOI!$A$1:$C$142,3)</f>
        <v>-2.7</v>
      </c>
      <c r="M2622" s="2">
        <f t="shared" si="324"/>
        <v>2342.0706109586872</v>
      </c>
      <c r="N2622">
        <f t="shared" si="325"/>
        <v>1176.5824464454677</v>
      </c>
      <c r="O2622" t="s">
        <v>8</v>
      </c>
    </row>
    <row r="2623" spans="1:15" x14ac:dyDescent="0.35">
      <c r="A2623">
        <v>2007</v>
      </c>
      <c r="B2623">
        <v>3</v>
      </c>
      <c r="C2623">
        <v>6</v>
      </c>
      <c r="D2623" s="1">
        <f t="shared" si="320"/>
        <v>39147</v>
      </c>
      <c r="E2623">
        <v>0</v>
      </c>
      <c r="F2623">
        <f t="shared" si="326"/>
        <v>0</v>
      </c>
      <c r="G2623">
        <f t="shared" si="321"/>
        <v>0</v>
      </c>
      <c r="H2623">
        <f t="shared" si="327"/>
        <v>0</v>
      </c>
      <c r="I2623">
        <v>2622</v>
      </c>
      <c r="J2623">
        <f t="shared" si="322"/>
        <v>0.90116869685615564</v>
      </c>
      <c r="K2623">
        <f t="shared" si="323"/>
        <v>0.43346854534853885</v>
      </c>
      <c r="L2623">
        <f>VLOOKUP(D2623,[1]SOI!$A$1:$C$142,3)</f>
        <v>-2.7</v>
      </c>
      <c r="M2623" s="2">
        <f t="shared" si="324"/>
        <v>2362.8643231568399</v>
      </c>
      <c r="N2623">
        <f t="shared" si="325"/>
        <v>1136.5545259038688</v>
      </c>
      <c r="O2623" t="s">
        <v>8</v>
      </c>
    </row>
    <row r="2624" spans="1:15" x14ac:dyDescent="0.35">
      <c r="A2624">
        <v>2007</v>
      </c>
      <c r="B2624">
        <v>3</v>
      </c>
      <c r="C2624">
        <v>7</v>
      </c>
      <c r="D2624" s="1">
        <f t="shared" si="320"/>
        <v>39148</v>
      </c>
      <c r="E2624">
        <v>0</v>
      </c>
      <c r="F2624">
        <f t="shared" si="326"/>
        <v>0</v>
      </c>
      <c r="G2624">
        <f t="shared" si="321"/>
        <v>0</v>
      </c>
      <c r="H2624">
        <f t="shared" si="327"/>
        <v>0</v>
      </c>
      <c r="I2624">
        <v>2623</v>
      </c>
      <c r="J2624">
        <f t="shared" si="322"/>
        <v>0.90849170357251063</v>
      </c>
      <c r="K2624">
        <f t="shared" si="323"/>
        <v>0.41790288888678118</v>
      </c>
      <c r="L2624">
        <f>VLOOKUP(D2624,[1]SOI!$A$1:$C$142,3)</f>
        <v>-2.7</v>
      </c>
      <c r="M2624" s="2">
        <f t="shared" si="324"/>
        <v>2382.9737384706955</v>
      </c>
      <c r="N2624">
        <f t="shared" si="325"/>
        <v>1096.1592775500271</v>
      </c>
      <c r="O2624" t="s">
        <v>8</v>
      </c>
    </row>
    <row r="2625" spans="1:15" x14ac:dyDescent="0.35">
      <c r="A2625">
        <v>2007</v>
      </c>
      <c r="B2625">
        <v>3</v>
      </c>
      <c r="C2625">
        <v>8</v>
      </c>
      <c r="D2625" s="1">
        <f t="shared" si="320"/>
        <v>39149</v>
      </c>
      <c r="E2625">
        <v>0</v>
      </c>
      <c r="F2625">
        <f t="shared" si="326"/>
        <v>0</v>
      </c>
      <c r="G2625">
        <f t="shared" si="321"/>
        <v>0</v>
      </c>
      <c r="H2625">
        <f t="shared" si="327"/>
        <v>0</v>
      </c>
      <c r="I2625">
        <v>2624</v>
      </c>
      <c r="J2625">
        <f t="shared" si="322"/>
        <v>0.91554587297754375</v>
      </c>
      <c r="K2625">
        <f t="shared" si="323"/>
        <v>0.40221356823681037</v>
      </c>
      <c r="L2625">
        <f>VLOOKUP(D2625,[1]SOI!$A$1:$C$142,3)</f>
        <v>-2.7</v>
      </c>
      <c r="M2625" s="2">
        <f t="shared" si="324"/>
        <v>2402.392370693075</v>
      </c>
      <c r="N2625">
        <f t="shared" si="325"/>
        <v>1055.4084030533904</v>
      </c>
      <c r="O2625" t="s">
        <v>8</v>
      </c>
    </row>
    <row r="2626" spans="1:15" x14ac:dyDescent="0.35">
      <c r="A2626">
        <v>2007</v>
      </c>
      <c r="B2626">
        <v>3</v>
      </c>
      <c r="C2626">
        <v>9</v>
      </c>
      <c r="D2626" s="1">
        <f t="shared" si="320"/>
        <v>39150</v>
      </c>
      <c r="E2626">
        <v>0</v>
      </c>
      <c r="F2626">
        <f t="shared" si="326"/>
        <v>0</v>
      </c>
      <c r="G2626">
        <f t="shared" si="321"/>
        <v>0</v>
      </c>
      <c r="H2626">
        <f t="shared" si="327"/>
        <v>0</v>
      </c>
      <c r="I2626">
        <v>2625</v>
      </c>
      <c r="J2626">
        <f t="shared" si="322"/>
        <v>0.92232911762905201</v>
      </c>
      <c r="K2626">
        <f t="shared" si="323"/>
        <v>0.38640522612099121</v>
      </c>
      <c r="L2626">
        <f>VLOOKUP(D2626,[1]SOI!$A$1:$C$142,3)</f>
        <v>-2.7</v>
      </c>
      <c r="M2626" s="2">
        <f t="shared" si="324"/>
        <v>2421.1139337762615</v>
      </c>
      <c r="N2626">
        <f t="shared" si="325"/>
        <v>1014.3137185676019</v>
      </c>
      <c r="O2626" t="s">
        <v>8</v>
      </c>
    </row>
    <row r="2627" spans="1:15" x14ac:dyDescent="0.35">
      <c r="A2627">
        <v>2007</v>
      </c>
      <c r="B2627">
        <v>3</v>
      </c>
      <c r="C2627">
        <v>10</v>
      </c>
      <c r="D2627" s="1">
        <f t="shared" ref="D2627:D2690" si="328">DATE(A2627,B2627,C2627)</f>
        <v>39151</v>
      </c>
      <c r="E2627">
        <v>0</v>
      </c>
      <c r="F2627">
        <f t="shared" si="326"/>
        <v>0</v>
      </c>
      <c r="G2627">
        <f t="shared" ref="G2627:G2690" si="329">IF(E2627=0,0,1)</f>
        <v>0</v>
      </c>
      <c r="H2627">
        <f t="shared" si="327"/>
        <v>0</v>
      </c>
      <c r="I2627">
        <v>2626</v>
      </c>
      <c r="J2627">
        <f t="shared" ref="J2627:J2690" si="330">SIN(2*PI()*I2627/365.25)</f>
        <v>0.92883943025580518</v>
      </c>
      <c r="K2627">
        <f t="shared" ref="K2627:K2690" si="331">COS(2*PI()*I2627/365.25)</f>
        <v>0.37048254048210061</v>
      </c>
      <c r="L2627">
        <f>VLOOKUP(D2627,[1]SOI!$A$1:$C$142,3)</f>
        <v>-2.7</v>
      </c>
      <c r="M2627" s="2">
        <f t="shared" ref="M2627:M2690" si="332">I2627*J2627</f>
        <v>2439.1323438517443</v>
      </c>
      <c r="N2627">
        <f t="shared" ref="N2627:N2690" si="333">I2627*K2627</f>
        <v>972.88715130599621</v>
      </c>
      <c r="O2627" t="s">
        <v>8</v>
      </c>
    </row>
    <row r="2628" spans="1:15" x14ac:dyDescent="0.35">
      <c r="A2628">
        <v>2007</v>
      </c>
      <c r="B2628">
        <v>3</v>
      </c>
      <c r="C2628">
        <v>11</v>
      </c>
      <c r="D2628" s="1">
        <f t="shared" si="328"/>
        <v>39152</v>
      </c>
      <c r="E2628">
        <v>0</v>
      </c>
      <c r="F2628">
        <f t="shared" ref="F2628:F2691" si="334">E2627</f>
        <v>0</v>
      </c>
      <c r="G2628">
        <f t="shared" si="329"/>
        <v>0</v>
      </c>
      <c r="H2628">
        <f t="shared" ref="H2628:H2691" si="335">G2627</f>
        <v>0</v>
      </c>
      <c r="I2628">
        <v>2627</v>
      </c>
      <c r="J2628">
        <f t="shared" si="330"/>
        <v>0.93507488435155606</v>
      </c>
      <c r="K2628">
        <f t="shared" si="331"/>
        <v>0.35445022309899038</v>
      </c>
      <c r="L2628">
        <f>VLOOKUP(D2628,[1]SOI!$A$1:$C$142,3)</f>
        <v>-2.7</v>
      </c>
      <c r="M2628" s="2">
        <f t="shared" si="332"/>
        <v>2456.4417211915379</v>
      </c>
      <c r="N2628">
        <f t="shared" si="333"/>
        <v>931.14073608104775</v>
      </c>
      <c r="O2628" t="s">
        <v>8</v>
      </c>
    </row>
    <row r="2629" spans="1:15" x14ac:dyDescent="0.35">
      <c r="A2629">
        <v>2007</v>
      </c>
      <c r="B2629">
        <v>3</v>
      </c>
      <c r="C2629">
        <v>12</v>
      </c>
      <c r="D2629" s="1">
        <f t="shared" si="328"/>
        <v>39153</v>
      </c>
      <c r="E2629">
        <v>0</v>
      </c>
      <c r="F2629">
        <f t="shared" si="334"/>
        <v>0</v>
      </c>
      <c r="G2629">
        <f t="shared" si="329"/>
        <v>0</v>
      </c>
      <c r="H2629">
        <f t="shared" si="335"/>
        <v>0</v>
      </c>
      <c r="I2629">
        <v>2628</v>
      </c>
      <c r="J2629">
        <f t="shared" si="330"/>
        <v>0.94103363474512147</v>
      </c>
      <c r="K2629">
        <f t="shared" si="331"/>
        <v>0.33831301819230269</v>
      </c>
      <c r="L2629">
        <f>VLOOKUP(D2629,[1]SOI!$A$1:$C$142,3)</f>
        <v>-2.7</v>
      </c>
      <c r="M2629" s="2">
        <f t="shared" si="332"/>
        <v>2473.0363921101793</v>
      </c>
      <c r="N2629">
        <f t="shared" si="333"/>
        <v>889.08661180937145</v>
      </c>
      <c r="O2629" t="s">
        <v>8</v>
      </c>
    </row>
    <row r="2630" spans="1:15" x14ac:dyDescent="0.35">
      <c r="A2630">
        <v>2007</v>
      </c>
      <c r="B2630">
        <v>3</v>
      </c>
      <c r="C2630">
        <v>13</v>
      </c>
      <c r="D2630" s="1">
        <f t="shared" si="328"/>
        <v>39154</v>
      </c>
      <c r="E2630">
        <v>0</v>
      </c>
      <c r="F2630">
        <f t="shared" si="334"/>
        <v>0</v>
      </c>
      <c r="G2630">
        <f t="shared" si="329"/>
        <v>0</v>
      </c>
      <c r="H2630">
        <f t="shared" si="335"/>
        <v>0</v>
      </c>
      <c r="I2630">
        <v>2629</v>
      </c>
      <c r="J2630">
        <f t="shared" si="330"/>
        <v>0.94671391814638328</v>
      </c>
      <c r="K2630">
        <f t="shared" si="331"/>
        <v>0.32207570102061894</v>
      </c>
      <c r="L2630">
        <f>VLOOKUP(D2630,[1]SOI!$A$1:$C$142,3)</f>
        <v>-2.7</v>
      </c>
      <c r="M2630" s="2">
        <f t="shared" si="332"/>
        <v>2488.9108908068415</v>
      </c>
      <c r="N2630">
        <f t="shared" si="333"/>
        <v>846.73701798320724</v>
      </c>
      <c r="O2630" t="s">
        <v>8</v>
      </c>
    </row>
    <row r="2631" spans="1:15" x14ac:dyDescent="0.35">
      <c r="A2631">
        <v>2007</v>
      </c>
      <c r="B2631">
        <v>3</v>
      </c>
      <c r="C2631">
        <v>14</v>
      </c>
      <c r="D2631" s="1">
        <f t="shared" si="328"/>
        <v>39155</v>
      </c>
      <c r="E2631">
        <v>0</v>
      </c>
      <c r="F2631">
        <f t="shared" si="334"/>
        <v>0</v>
      </c>
      <c r="G2631">
        <f t="shared" si="329"/>
        <v>0</v>
      </c>
      <c r="H2631">
        <f t="shared" si="335"/>
        <v>0</v>
      </c>
      <c r="I2631">
        <v>2630</v>
      </c>
      <c r="J2631">
        <f t="shared" si="330"/>
        <v>0.95211405366810797</v>
      </c>
      <c r="K2631">
        <f t="shared" si="331"/>
        <v>0.30574307646729004</v>
      </c>
      <c r="L2631">
        <f>VLOOKUP(D2631,[1]SOI!$A$1:$C$142,3)</f>
        <v>-2.7</v>
      </c>
      <c r="M2631" s="2">
        <f t="shared" si="332"/>
        <v>2504.0599611471239</v>
      </c>
      <c r="N2631">
        <f t="shared" si="333"/>
        <v>804.1042911089728</v>
      </c>
      <c r="O2631" t="s">
        <v>8</v>
      </c>
    </row>
    <row r="2632" spans="1:15" x14ac:dyDescent="0.35">
      <c r="A2632">
        <v>2007</v>
      </c>
      <c r="B2632">
        <v>3</v>
      </c>
      <c r="C2632">
        <v>15</v>
      </c>
      <c r="D2632" s="1">
        <f t="shared" si="328"/>
        <v>39156</v>
      </c>
      <c r="E2632">
        <v>0</v>
      </c>
      <c r="F2632">
        <f t="shared" si="334"/>
        <v>0</v>
      </c>
      <c r="G2632">
        <f t="shared" si="329"/>
        <v>0</v>
      </c>
      <c r="H2632">
        <f t="shared" si="335"/>
        <v>0</v>
      </c>
      <c r="I2632">
        <v>2631</v>
      </c>
      <c r="J2632">
        <f t="shared" si="330"/>
        <v>0.95723244332331014</v>
      </c>
      <c r="K2632">
        <f t="shared" si="331"/>
        <v>0.28931997761870137</v>
      </c>
      <c r="L2632">
        <f>VLOOKUP(D2632,[1]SOI!$A$1:$C$142,3)</f>
        <v>-2.7</v>
      </c>
      <c r="M2632" s="2">
        <f t="shared" si="332"/>
        <v>2518.4785583836292</v>
      </c>
      <c r="N2632">
        <f t="shared" si="333"/>
        <v>761.20086111480327</v>
      </c>
      <c r="O2632" t="s">
        <v>8</v>
      </c>
    </row>
    <row r="2633" spans="1:15" x14ac:dyDescent="0.35">
      <c r="A2633">
        <v>2007</v>
      </c>
      <c r="B2633">
        <v>3</v>
      </c>
      <c r="C2633">
        <v>16</v>
      </c>
      <c r="D2633" s="1">
        <f t="shared" si="328"/>
        <v>39157</v>
      </c>
      <c r="E2633">
        <v>4.8</v>
      </c>
      <c r="F2633">
        <f t="shared" si="334"/>
        <v>0</v>
      </c>
      <c r="G2633">
        <f t="shared" si="329"/>
        <v>1</v>
      </c>
      <c r="H2633">
        <f t="shared" si="335"/>
        <v>0</v>
      </c>
      <c r="I2633">
        <v>2632</v>
      </c>
      <c r="J2633">
        <f t="shared" si="330"/>
        <v>0.96206757249814567</v>
      </c>
      <c r="K2633">
        <f t="shared" si="331"/>
        <v>0.27281126433401759</v>
      </c>
      <c r="L2633">
        <f>VLOOKUP(D2633,[1]SOI!$A$1:$C$142,3)</f>
        <v>-2.7</v>
      </c>
      <c r="M2633" s="2">
        <f t="shared" si="332"/>
        <v>2532.1618508151196</v>
      </c>
      <c r="N2633">
        <f t="shared" si="333"/>
        <v>718.03924772713424</v>
      </c>
      <c r="O2633" t="s">
        <v>8</v>
      </c>
    </row>
    <row r="2634" spans="1:15" x14ac:dyDescent="0.35">
      <c r="A2634">
        <v>2007</v>
      </c>
      <c r="B2634">
        <v>3</v>
      </c>
      <c r="C2634">
        <v>17</v>
      </c>
      <c r="D2634" s="1">
        <f t="shared" si="328"/>
        <v>39158</v>
      </c>
      <c r="E2634">
        <v>0.2</v>
      </c>
      <c r="F2634">
        <f t="shared" si="334"/>
        <v>4.8</v>
      </c>
      <c r="G2634">
        <f t="shared" si="329"/>
        <v>1</v>
      </c>
      <c r="H2634">
        <f t="shared" si="335"/>
        <v>1</v>
      </c>
      <c r="I2634">
        <v>2633</v>
      </c>
      <c r="J2634">
        <f t="shared" si="330"/>
        <v>0.96661801040009798</v>
      </c>
      <c r="K2634">
        <f t="shared" si="331"/>
        <v>0.256221821807113</v>
      </c>
      <c r="L2634">
        <f>VLOOKUP(D2634,[1]SOI!$A$1:$C$142,3)</f>
        <v>-2.7</v>
      </c>
      <c r="M2634" s="2">
        <f t="shared" si="332"/>
        <v>2545.1052213834578</v>
      </c>
      <c r="N2634">
        <f t="shared" si="333"/>
        <v>674.63205681812849</v>
      </c>
      <c r="O2634" t="s">
        <v>8</v>
      </c>
    </row>
    <row r="2635" spans="1:15" x14ac:dyDescent="0.35">
      <c r="A2635">
        <v>2007</v>
      </c>
      <c r="B2635">
        <v>3</v>
      </c>
      <c r="C2635">
        <v>18</v>
      </c>
      <c r="D2635" s="1">
        <f t="shared" si="328"/>
        <v>39159</v>
      </c>
      <c r="E2635">
        <v>0</v>
      </c>
      <c r="F2635">
        <f t="shared" si="334"/>
        <v>0.2</v>
      </c>
      <c r="G2635">
        <f t="shared" si="329"/>
        <v>0</v>
      </c>
      <c r="H2635">
        <f t="shared" si="335"/>
        <v>1</v>
      </c>
      <c r="I2635">
        <v>2634</v>
      </c>
      <c r="J2635">
        <f t="shared" si="330"/>
        <v>0.97088241048138457</v>
      </c>
      <c r="K2635">
        <f t="shared" si="331"/>
        <v>0.23955655912092297</v>
      </c>
      <c r="L2635">
        <f>VLOOKUP(D2635,[1]SOI!$A$1:$C$142,3)</f>
        <v>-2.7</v>
      </c>
      <c r="M2635" s="2">
        <f t="shared" si="332"/>
        <v>2557.3042692079671</v>
      </c>
      <c r="N2635">
        <f t="shared" si="333"/>
        <v>630.99197672451112</v>
      </c>
      <c r="O2635" t="s">
        <v>8</v>
      </c>
    </row>
    <row r="2636" spans="1:15" x14ac:dyDescent="0.35">
      <c r="A2636">
        <v>2007</v>
      </c>
      <c r="B2636">
        <v>3</v>
      </c>
      <c r="C2636">
        <v>19</v>
      </c>
      <c r="D2636" s="1">
        <f t="shared" si="328"/>
        <v>39160</v>
      </c>
      <c r="E2636">
        <v>0</v>
      </c>
      <c r="F2636">
        <f t="shared" si="334"/>
        <v>0</v>
      </c>
      <c r="G2636">
        <f t="shared" si="329"/>
        <v>0</v>
      </c>
      <c r="H2636">
        <f t="shared" si="335"/>
        <v>0</v>
      </c>
      <c r="I2636">
        <v>2635</v>
      </c>
      <c r="J2636">
        <f t="shared" si="330"/>
        <v>0.97485951083741051</v>
      </c>
      <c r="K2636">
        <f t="shared" si="331"/>
        <v>0.22282040779480844</v>
      </c>
      <c r="L2636">
        <f>VLOOKUP(D2636,[1]SOI!$A$1:$C$142,3)</f>
        <v>-2.7</v>
      </c>
      <c r="M2636" s="2">
        <f t="shared" si="332"/>
        <v>2568.7548110565767</v>
      </c>
      <c r="N2636">
        <f t="shared" si="333"/>
        <v>587.13177453932019</v>
      </c>
      <c r="O2636" t="s">
        <v>8</v>
      </c>
    </row>
    <row r="2637" spans="1:15" x14ac:dyDescent="0.35">
      <c r="A2637">
        <v>2007</v>
      </c>
      <c r="B2637">
        <v>3</v>
      </c>
      <c r="C2637">
        <v>20</v>
      </c>
      <c r="D2637" s="1">
        <f t="shared" si="328"/>
        <v>39161</v>
      </c>
      <c r="E2637">
        <v>1.4</v>
      </c>
      <c r="F2637">
        <f t="shared" si="334"/>
        <v>0</v>
      </c>
      <c r="G2637">
        <f t="shared" si="329"/>
        <v>1</v>
      </c>
      <c r="H2637">
        <f t="shared" si="335"/>
        <v>0</v>
      </c>
      <c r="I2637">
        <v>2636</v>
      </c>
      <c r="J2637">
        <f t="shared" si="330"/>
        <v>0.97854813458020307</v>
      </c>
      <c r="K2637">
        <f t="shared" si="331"/>
        <v>0.20601832032517101</v>
      </c>
      <c r="L2637">
        <f>VLOOKUP(D2637,[1]SOI!$A$1:$C$142,3)</f>
        <v>-2.7</v>
      </c>
      <c r="M2637" s="2">
        <f t="shared" si="332"/>
        <v>2579.4528827534155</v>
      </c>
      <c r="N2637">
        <f t="shared" si="333"/>
        <v>543.06429237715076</v>
      </c>
      <c r="O2637" t="s">
        <v>8</v>
      </c>
    </row>
    <row r="2638" spans="1:15" x14ac:dyDescent="0.35">
      <c r="A2638">
        <v>2007</v>
      </c>
      <c r="B2638">
        <v>3</v>
      </c>
      <c r="C2638">
        <v>21</v>
      </c>
      <c r="D2638" s="1">
        <f t="shared" si="328"/>
        <v>39162</v>
      </c>
      <c r="E2638">
        <v>1</v>
      </c>
      <c r="F2638">
        <f t="shared" si="334"/>
        <v>1.4</v>
      </c>
      <c r="G2638">
        <f t="shared" si="329"/>
        <v>1</v>
      </c>
      <c r="H2638">
        <f t="shared" si="335"/>
        <v>1</v>
      </c>
      <c r="I2638">
        <v>2637</v>
      </c>
      <c r="J2638">
        <f t="shared" si="330"/>
        <v>0.98194719018664611</v>
      </c>
      <c r="K2638">
        <f t="shared" si="331"/>
        <v>0.18915526872004024</v>
      </c>
      <c r="L2638">
        <f>VLOOKUP(D2638,[1]SOI!$A$1:$C$142,3)</f>
        <v>-2.7</v>
      </c>
      <c r="M2638" s="2">
        <f t="shared" si="332"/>
        <v>2589.3947405221857</v>
      </c>
      <c r="N2638">
        <f t="shared" si="333"/>
        <v>498.8024436147461</v>
      </c>
      <c r="O2638" t="s">
        <v>8</v>
      </c>
    </row>
    <row r="2639" spans="1:15" x14ac:dyDescent="0.35">
      <c r="A2639">
        <v>2007</v>
      </c>
      <c r="B2639">
        <v>3</v>
      </c>
      <c r="C2639">
        <v>22</v>
      </c>
      <c r="D2639" s="1">
        <f t="shared" si="328"/>
        <v>39163</v>
      </c>
      <c r="E2639">
        <v>0</v>
      </c>
      <c r="F2639">
        <f t="shared" si="334"/>
        <v>1</v>
      </c>
      <c r="G2639">
        <f t="shared" si="329"/>
        <v>0</v>
      </c>
      <c r="H2639">
        <f t="shared" si="335"/>
        <v>1</v>
      </c>
      <c r="I2639">
        <v>2638</v>
      </c>
      <c r="J2639">
        <f t="shared" si="330"/>
        <v>0.98505567182150178</v>
      </c>
      <c r="K2639">
        <f t="shared" si="331"/>
        <v>0.17223624302767956</v>
      </c>
      <c r="L2639">
        <f>VLOOKUP(D2639,[1]SOI!$A$1:$C$142,3)</f>
        <v>-2.7</v>
      </c>
      <c r="M2639" s="2">
        <f t="shared" si="332"/>
        <v>2598.5768622651217</v>
      </c>
      <c r="N2639">
        <f t="shared" si="333"/>
        <v>454.35920910701867</v>
      </c>
      <c r="O2639" t="s">
        <v>8</v>
      </c>
    </row>
    <row r="2640" spans="1:15" x14ac:dyDescent="0.35">
      <c r="A2640">
        <v>2007</v>
      </c>
      <c r="B2640">
        <v>3</v>
      </c>
      <c r="C2640">
        <v>23</v>
      </c>
      <c r="D2640" s="1">
        <f t="shared" si="328"/>
        <v>39164</v>
      </c>
      <c r="E2640">
        <v>0</v>
      </c>
      <c r="F2640">
        <f t="shared" si="334"/>
        <v>0</v>
      </c>
      <c r="G2640">
        <f t="shared" si="329"/>
        <v>0</v>
      </c>
      <c r="H2640">
        <f t="shared" si="335"/>
        <v>0</v>
      </c>
      <c r="I2640">
        <v>2639</v>
      </c>
      <c r="J2640">
        <f t="shared" si="330"/>
        <v>0.98787265963504345</v>
      </c>
      <c r="K2640">
        <f t="shared" si="331"/>
        <v>0.15526624985999229</v>
      </c>
      <c r="L2640">
        <f>VLOOKUP(D2640,[1]SOI!$A$1:$C$142,3)</f>
        <v>-2.7</v>
      </c>
      <c r="M2640" s="2">
        <f t="shared" si="332"/>
        <v>2606.9959487768797</v>
      </c>
      <c r="N2640">
        <f t="shared" si="333"/>
        <v>409.74763338051969</v>
      </c>
      <c r="O2640" t="s">
        <v>8</v>
      </c>
    </row>
    <row r="2641" spans="1:15" x14ac:dyDescent="0.35">
      <c r="A2641">
        <v>2007</v>
      </c>
      <c r="B2641">
        <v>3</v>
      </c>
      <c r="C2641">
        <v>24</v>
      </c>
      <c r="D2641" s="1">
        <f t="shared" si="328"/>
        <v>39165</v>
      </c>
      <c r="E2641">
        <v>24.2</v>
      </c>
      <c r="F2641">
        <f t="shared" si="334"/>
        <v>0</v>
      </c>
      <c r="G2641">
        <f t="shared" si="329"/>
        <v>1</v>
      </c>
      <c r="H2641">
        <f t="shared" si="335"/>
        <v>0</v>
      </c>
      <c r="I2641">
        <v>2640</v>
      </c>
      <c r="J2641">
        <f t="shared" si="330"/>
        <v>0.99039732003525438</v>
      </c>
      <c r="K2641">
        <f t="shared" si="331"/>
        <v>0.13825031091099177</v>
      </c>
      <c r="L2641">
        <f>VLOOKUP(D2641,[1]SOI!$A$1:$C$142,3)</f>
        <v>-2.7</v>
      </c>
      <c r="M2641" s="2">
        <f t="shared" si="332"/>
        <v>2614.6489248930716</v>
      </c>
      <c r="N2641">
        <f t="shared" si="333"/>
        <v>364.98082080501825</v>
      </c>
      <c r="O2641" t="s">
        <v>8</v>
      </c>
    </row>
    <row r="2642" spans="1:15" x14ac:dyDescent="0.35">
      <c r="A2642">
        <v>2007</v>
      </c>
      <c r="B2642">
        <v>3</v>
      </c>
      <c r="C2642">
        <v>25</v>
      </c>
      <c r="D2642" s="1">
        <f t="shared" si="328"/>
        <v>39166</v>
      </c>
      <c r="E2642">
        <v>0.8</v>
      </c>
      <c r="F2642">
        <f t="shared" si="334"/>
        <v>24.2</v>
      </c>
      <c r="G2642">
        <f t="shared" si="329"/>
        <v>1</v>
      </c>
      <c r="H2642">
        <f t="shared" si="335"/>
        <v>1</v>
      </c>
      <c r="I2642">
        <v>2641</v>
      </c>
      <c r="J2642">
        <f t="shared" si="330"/>
        <v>0.99262890593450925</v>
      </c>
      <c r="K2642">
        <f t="shared" si="331"/>
        <v>0.12119346147073795</v>
      </c>
      <c r="L2642">
        <f>VLOOKUP(D2642,[1]SOI!$A$1:$C$142,3)</f>
        <v>-2.7</v>
      </c>
      <c r="M2642" s="2">
        <f t="shared" si="332"/>
        <v>2621.532940573039</v>
      </c>
      <c r="N2642">
        <f t="shared" si="333"/>
        <v>320.07193174421894</v>
      </c>
      <c r="O2642" t="s">
        <v>8</v>
      </c>
    </row>
    <row r="2643" spans="1:15" x14ac:dyDescent="0.35">
      <c r="A2643">
        <v>2007</v>
      </c>
      <c r="B2643">
        <v>3</v>
      </c>
      <c r="C2643">
        <v>26</v>
      </c>
      <c r="D2643" s="1">
        <f t="shared" si="328"/>
        <v>39167</v>
      </c>
      <c r="E2643">
        <v>0</v>
      </c>
      <c r="F2643">
        <f t="shared" si="334"/>
        <v>0.8</v>
      </c>
      <c r="G2643">
        <f t="shared" si="329"/>
        <v>0</v>
      </c>
      <c r="H2643">
        <f t="shared" si="335"/>
        <v>1</v>
      </c>
      <c r="I2643">
        <v>2642</v>
      </c>
      <c r="J2643">
        <f t="shared" si="330"/>
        <v>0.99456675697063357</v>
      </c>
      <c r="K2643">
        <f t="shared" si="331"/>
        <v>0.10410074893542667</v>
      </c>
      <c r="L2643">
        <f>VLOOKUP(D2643,[1]SOI!$A$1:$C$142,3)</f>
        <v>-2.7</v>
      </c>
      <c r="M2643" s="2">
        <f t="shared" si="332"/>
        <v>2627.6453719164138</v>
      </c>
      <c r="N2643">
        <f t="shared" si="333"/>
        <v>275.03417868739729</v>
      </c>
      <c r="O2643" t="s">
        <v>8</v>
      </c>
    </row>
    <row r="2644" spans="1:15" x14ac:dyDescent="0.35">
      <c r="A2644">
        <v>2007</v>
      </c>
      <c r="B2644">
        <v>3</v>
      </c>
      <c r="C2644">
        <v>27</v>
      </c>
      <c r="D2644" s="1">
        <f t="shared" si="328"/>
        <v>39168</v>
      </c>
      <c r="E2644">
        <v>0</v>
      </c>
      <c r="F2644">
        <f t="shared" si="334"/>
        <v>0</v>
      </c>
      <c r="G2644">
        <f t="shared" si="329"/>
        <v>0</v>
      </c>
      <c r="H2644">
        <f t="shared" si="335"/>
        <v>0</v>
      </c>
      <c r="I2644">
        <v>2643</v>
      </c>
      <c r="J2644">
        <f t="shared" si="330"/>
        <v>0.99621029970232977</v>
      </c>
      <c r="K2644">
        <f t="shared" si="331"/>
        <v>8.6977231313685399E-2</v>
      </c>
      <c r="L2644">
        <f>VLOOKUP(D2644,[1]SOI!$A$1:$C$142,3)</f>
        <v>-2.7</v>
      </c>
      <c r="M2644" s="2">
        <f t="shared" si="332"/>
        <v>2632.9838221132577</v>
      </c>
      <c r="N2644">
        <f t="shared" si="333"/>
        <v>229.88082236207052</v>
      </c>
      <c r="O2644" t="s">
        <v>8</v>
      </c>
    </row>
    <row r="2645" spans="1:15" x14ac:dyDescent="0.35">
      <c r="A2645">
        <v>2007</v>
      </c>
      <c r="B2645">
        <v>3</v>
      </c>
      <c r="C2645">
        <v>28</v>
      </c>
      <c r="D2645" s="1">
        <f t="shared" si="328"/>
        <v>39169</v>
      </c>
      <c r="E2645">
        <v>0</v>
      </c>
      <c r="F2645">
        <f t="shared" si="334"/>
        <v>0</v>
      </c>
      <c r="G2645">
        <f t="shared" si="329"/>
        <v>0</v>
      </c>
      <c r="H2645">
        <f t="shared" si="335"/>
        <v>0</v>
      </c>
      <c r="I2645">
        <v>2644</v>
      </c>
      <c r="J2645">
        <f t="shared" si="330"/>
        <v>0.9975590477788614</v>
      </c>
      <c r="K2645">
        <f t="shared" si="331"/>
        <v>6.9827975729869304E-2</v>
      </c>
      <c r="L2645">
        <f>VLOOKUP(D2645,[1]SOI!$A$1:$C$142,3)</f>
        <v>-2.7</v>
      </c>
      <c r="M2645" s="2">
        <f t="shared" si="332"/>
        <v>2637.5461223273096</v>
      </c>
      <c r="N2645">
        <f t="shared" si="333"/>
        <v>184.62516782977445</v>
      </c>
      <c r="O2645" t="s">
        <v>8</v>
      </c>
    </row>
    <row r="2646" spans="1:15" x14ac:dyDescent="0.35">
      <c r="A2646">
        <v>2007</v>
      </c>
      <c r="B2646">
        <v>3</v>
      </c>
      <c r="C2646">
        <v>29</v>
      </c>
      <c r="D2646" s="1">
        <f t="shared" si="328"/>
        <v>39170</v>
      </c>
      <c r="E2646">
        <v>8.1999999999999993</v>
      </c>
      <c r="F2646">
        <f t="shared" si="334"/>
        <v>0</v>
      </c>
      <c r="G2646">
        <f t="shared" si="329"/>
        <v>1</v>
      </c>
      <c r="H2646">
        <f t="shared" si="335"/>
        <v>0</v>
      </c>
      <c r="I2646">
        <v>2645</v>
      </c>
      <c r="J2646">
        <f t="shared" si="330"/>
        <v>0.99861260208397351</v>
      </c>
      <c r="K2646">
        <f t="shared" si="331"/>
        <v>5.265805692461064E-2</v>
      </c>
      <c r="L2646">
        <f>VLOOKUP(D2646,[1]SOI!$A$1:$C$142,3)</f>
        <v>-2.7</v>
      </c>
      <c r="M2646" s="2">
        <f t="shared" si="332"/>
        <v>2641.3303325121101</v>
      </c>
      <c r="N2646">
        <f t="shared" si="333"/>
        <v>139.28056056559515</v>
      </c>
      <c r="O2646" t="s">
        <v>8</v>
      </c>
    </row>
    <row r="2647" spans="1:15" x14ac:dyDescent="0.35">
      <c r="A2647">
        <v>2007</v>
      </c>
      <c r="B2647">
        <v>3</v>
      </c>
      <c r="C2647">
        <v>30</v>
      </c>
      <c r="D2647" s="1">
        <f t="shared" si="328"/>
        <v>39171</v>
      </c>
      <c r="E2647">
        <v>1</v>
      </c>
      <c r="F2647">
        <f t="shared" si="334"/>
        <v>8.1999999999999993</v>
      </c>
      <c r="G2647">
        <f t="shared" si="329"/>
        <v>1</v>
      </c>
      <c r="H2647">
        <f t="shared" si="335"/>
        <v>1</v>
      </c>
      <c r="I2647">
        <v>2646</v>
      </c>
      <c r="J2647">
        <f t="shared" si="330"/>
        <v>0.99937065085399679</v>
      </c>
      <c r="K2647">
        <f t="shared" si="331"/>
        <v>3.547255575312841E-2</v>
      </c>
      <c r="L2647">
        <f>VLOOKUP(D2647,[1]SOI!$A$1:$C$142,3)</f>
        <v>-2.7</v>
      </c>
      <c r="M2647" s="2">
        <f t="shared" si="332"/>
        <v>2644.3347421596754</v>
      </c>
      <c r="N2647">
        <f t="shared" si="333"/>
        <v>93.860382522777769</v>
      </c>
      <c r="O2647" t="s">
        <v>8</v>
      </c>
    </row>
    <row r="2648" spans="1:15" x14ac:dyDescent="0.35">
      <c r="A2648">
        <v>2007</v>
      </c>
      <c r="B2648">
        <v>3</v>
      </c>
      <c r="C2648">
        <v>31</v>
      </c>
      <c r="D2648" s="1">
        <f t="shared" si="328"/>
        <v>39172</v>
      </c>
      <c r="E2648">
        <v>0.2</v>
      </c>
      <c r="F2648">
        <f t="shared" si="334"/>
        <v>1</v>
      </c>
      <c r="G2648">
        <f t="shared" si="329"/>
        <v>1</v>
      </c>
      <c r="H2648">
        <f t="shared" si="335"/>
        <v>1</v>
      </c>
      <c r="I2648">
        <v>2647</v>
      </c>
      <c r="J2648">
        <f t="shared" si="330"/>
        <v>0.99983296977010505</v>
      </c>
      <c r="K2648">
        <f t="shared" si="331"/>
        <v>1.8276557681693183E-2</v>
      </c>
      <c r="L2648">
        <f>VLOOKUP(D2648,[1]SOI!$A$1:$C$142,3)</f>
        <v>-2.7</v>
      </c>
      <c r="M2648" s="2">
        <f t="shared" si="332"/>
        <v>2646.5578709814681</v>
      </c>
      <c r="N2648">
        <f t="shared" si="333"/>
        <v>48.378048183441855</v>
      </c>
      <c r="O2648" t="s">
        <v>8</v>
      </c>
    </row>
    <row r="2649" spans="1:15" x14ac:dyDescent="0.35">
      <c r="A2649">
        <v>2007</v>
      </c>
      <c r="B2649">
        <v>4</v>
      </c>
      <c r="C2649">
        <v>1</v>
      </c>
      <c r="D2649" s="1">
        <f t="shared" si="328"/>
        <v>39173</v>
      </c>
      <c r="E2649">
        <v>1.6</v>
      </c>
      <c r="F2649">
        <f t="shared" si="334"/>
        <v>0.2</v>
      </c>
      <c r="G2649">
        <f t="shared" si="329"/>
        <v>1</v>
      </c>
      <c r="H2649">
        <f t="shared" si="335"/>
        <v>1</v>
      </c>
      <c r="I2649">
        <v>2648</v>
      </c>
      <c r="J2649">
        <f t="shared" si="330"/>
        <v>0.9999994220246925</v>
      </c>
      <c r="K2649">
        <f t="shared" si="331"/>
        <v>1.0751512827984098E-3</v>
      </c>
      <c r="L2649">
        <f>VLOOKUP(D2649,[1]SOI!$A$1:$C$142,3)</f>
        <v>-1.4</v>
      </c>
      <c r="M2649" s="2">
        <f t="shared" si="332"/>
        <v>2647.9984695213857</v>
      </c>
      <c r="N2649">
        <f t="shared" si="333"/>
        <v>2.8470005968501892</v>
      </c>
      <c r="O2649" t="s">
        <v>8</v>
      </c>
    </row>
    <row r="2650" spans="1:15" x14ac:dyDescent="0.35">
      <c r="A2650">
        <v>2007</v>
      </c>
      <c r="B2650">
        <v>4</v>
      </c>
      <c r="C2650">
        <v>2</v>
      </c>
      <c r="D2650" s="1">
        <f t="shared" si="328"/>
        <v>39174</v>
      </c>
      <c r="E2650">
        <v>0</v>
      </c>
      <c r="F2650">
        <f t="shared" si="334"/>
        <v>1.6</v>
      </c>
      <c r="G2650">
        <f t="shared" si="329"/>
        <v>0</v>
      </c>
      <c r="H2650">
        <f t="shared" si="335"/>
        <v>1</v>
      </c>
      <c r="I2650">
        <v>2649</v>
      </c>
      <c r="J2650">
        <f t="shared" si="330"/>
        <v>0.99986995836185921</v>
      </c>
      <c r="K2650">
        <f t="shared" si="331"/>
        <v>-1.6126573270658466E-2</v>
      </c>
      <c r="L2650">
        <f>VLOOKUP(D2650,[1]SOI!$A$1:$C$142,3)</f>
        <v>-1.4</v>
      </c>
      <c r="M2650" s="2">
        <f t="shared" si="332"/>
        <v>2648.655519700565</v>
      </c>
      <c r="N2650">
        <f t="shared" si="333"/>
        <v>-42.719292593974274</v>
      </c>
      <c r="O2650" t="s">
        <v>8</v>
      </c>
    </row>
    <row r="2651" spans="1:15" x14ac:dyDescent="0.35">
      <c r="A2651">
        <v>2007</v>
      </c>
      <c r="B2651">
        <v>4</v>
      </c>
      <c r="C2651">
        <v>3</v>
      </c>
      <c r="D2651" s="1">
        <f t="shared" si="328"/>
        <v>39175</v>
      </c>
      <c r="E2651">
        <v>0</v>
      </c>
      <c r="F2651">
        <f t="shared" si="334"/>
        <v>0</v>
      </c>
      <c r="G2651">
        <f t="shared" si="329"/>
        <v>0</v>
      </c>
      <c r="H2651">
        <f t="shared" si="335"/>
        <v>0</v>
      </c>
      <c r="I2651">
        <v>2650</v>
      </c>
      <c r="J2651">
        <f t="shared" si="330"/>
        <v>0.99944461709198584</v>
      </c>
      <c r="K2651">
        <f t="shared" si="331"/>
        <v>-3.332352571163294E-2</v>
      </c>
      <c r="L2651">
        <f>VLOOKUP(D2651,[1]SOI!$A$1:$C$142,3)</f>
        <v>-1.4</v>
      </c>
      <c r="M2651" s="2">
        <f t="shared" si="332"/>
        <v>2648.5282352937625</v>
      </c>
      <c r="N2651">
        <f t="shared" si="333"/>
        <v>-88.307343135827296</v>
      </c>
      <c r="O2651" t="s">
        <v>8</v>
      </c>
    </row>
    <row r="2652" spans="1:15" x14ac:dyDescent="0.35">
      <c r="A2652">
        <v>2007</v>
      </c>
      <c r="B2652">
        <v>4</v>
      </c>
      <c r="C2652">
        <v>4</v>
      </c>
      <c r="D2652" s="1">
        <f t="shared" si="328"/>
        <v>39176</v>
      </c>
      <c r="E2652">
        <v>0</v>
      </c>
      <c r="F2652">
        <f t="shared" si="334"/>
        <v>0</v>
      </c>
      <c r="G2652">
        <f t="shared" si="329"/>
        <v>0</v>
      </c>
      <c r="H2652">
        <f t="shared" si="335"/>
        <v>0</v>
      </c>
      <c r="I2652">
        <v>2651</v>
      </c>
      <c r="J2652">
        <f t="shared" si="330"/>
        <v>0.99872352408039755</v>
      </c>
      <c r="K2652">
        <f t="shared" si="331"/>
        <v>-5.0510617185218265E-2</v>
      </c>
      <c r="L2652">
        <f>VLOOKUP(D2652,[1]SOI!$A$1:$C$142,3)</f>
        <v>-1.4</v>
      </c>
      <c r="M2652" s="2">
        <f t="shared" si="332"/>
        <v>2647.6160623371338</v>
      </c>
      <c r="N2652">
        <f t="shared" si="333"/>
        <v>-133.90364615801363</v>
      </c>
      <c r="O2652" t="s">
        <v>8</v>
      </c>
    </row>
    <row r="2653" spans="1:15" x14ac:dyDescent="0.35">
      <c r="A2653">
        <v>2007</v>
      </c>
      <c r="B2653">
        <v>4</v>
      </c>
      <c r="C2653">
        <v>5</v>
      </c>
      <c r="D2653" s="1">
        <f t="shared" si="328"/>
        <v>39177</v>
      </c>
      <c r="E2653">
        <v>0.2</v>
      </c>
      <c r="F2653">
        <f t="shared" si="334"/>
        <v>0</v>
      </c>
      <c r="G2653">
        <f t="shared" si="329"/>
        <v>1</v>
      </c>
      <c r="H2653">
        <f t="shared" si="335"/>
        <v>0</v>
      </c>
      <c r="I2653">
        <v>2652</v>
      </c>
      <c r="J2653">
        <f t="shared" si="330"/>
        <v>0.99770689271011714</v>
      </c>
      <c r="K2653">
        <f t="shared" si="331"/>
        <v>-6.768276175454789E-2</v>
      </c>
      <c r="L2653">
        <f>VLOOKUP(D2653,[1]SOI!$A$1:$C$142,3)</f>
        <v>-1.4</v>
      </c>
      <c r="M2653" s="2">
        <f t="shared" si="332"/>
        <v>2645.9186794672305</v>
      </c>
      <c r="N2653">
        <f t="shared" si="333"/>
        <v>-179.49468417306102</v>
      </c>
      <c r="O2653" t="s">
        <v>8</v>
      </c>
    </row>
    <row r="2654" spans="1:15" x14ac:dyDescent="0.35">
      <c r="A2654">
        <v>2007</v>
      </c>
      <c r="B2654">
        <v>4</v>
      </c>
      <c r="C2654">
        <v>6</v>
      </c>
      <c r="D2654" s="1">
        <f t="shared" si="328"/>
        <v>39178</v>
      </c>
      <c r="E2654">
        <v>1.4</v>
      </c>
      <c r="F2654">
        <f t="shared" si="334"/>
        <v>0.2</v>
      </c>
      <c r="G2654">
        <f t="shared" si="329"/>
        <v>1</v>
      </c>
      <c r="H2654">
        <f t="shared" si="335"/>
        <v>1</v>
      </c>
      <c r="I2654">
        <v>2653</v>
      </c>
      <c r="J2654">
        <f t="shared" si="330"/>
        <v>0.99639502381872336</v>
      </c>
      <c r="K2654">
        <f t="shared" si="331"/>
        <v>-8.4834877905763426E-2</v>
      </c>
      <c r="L2654">
        <f>VLOOKUP(D2654,[1]SOI!$A$1:$C$142,3)</f>
        <v>-1.4</v>
      </c>
      <c r="M2654" s="2">
        <f t="shared" si="332"/>
        <v>2643.4359981910729</v>
      </c>
      <c r="N2654">
        <f t="shared" si="333"/>
        <v>-225.06693108399037</v>
      </c>
      <c r="O2654" t="s">
        <v>8</v>
      </c>
    </row>
    <row r="2655" spans="1:15" x14ac:dyDescent="0.35">
      <c r="A2655">
        <v>2007</v>
      </c>
      <c r="B2655">
        <v>4</v>
      </c>
      <c r="C2655">
        <v>7</v>
      </c>
      <c r="D2655" s="1">
        <f t="shared" si="328"/>
        <v>39179</v>
      </c>
      <c r="E2655">
        <v>0</v>
      </c>
      <c r="F2655">
        <f t="shared" si="334"/>
        <v>1.4</v>
      </c>
      <c r="G2655">
        <f t="shared" si="329"/>
        <v>0</v>
      </c>
      <c r="H2655">
        <f t="shared" si="335"/>
        <v>1</v>
      </c>
      <c r="I2655">
        <v>2654</v>
      </c>
      <c r="J2655">
        <f t="shared" si="330"/>
        <v>0.99478830560932707</v>
      </c>
      <c r="K2655">
        <f t="shared" si="331"/>
        <v>-0.10196189005174469</v>
      </c>
      <c r="L2655">
        <f>VLOOKUP(D2655,[1]SOI!$A$1:$C$142,3)</f>
        <v>-1.4</v>
      </c>
      <c r="M2655" s="2">
        <f t="shared" si="332"/>
        <v>2640.168163087154</v>
      </c>
      <c r="N2655">
        <f t="shared" si="333"/>
        <v>-270.60685619733039</v>
      </c>
      <c r="O2655" t="s">
        <v>8</v>
      </c>
    </row>
    <row r="2656" spans="1:15" x14ac:dyDescent="0.35">
      <c r="A2656">
        <v>2007</v>
      </c>
      <c r="B2656">
        <v>4</v>
      </c>
      <c r="C2656">
        <v>8</v>
      </c>
      <c r="D2656" s="1">
        <f t="shared" si="328"/>
        <v>39180</v>
      </c>
      <c r="E2656">
        <v>0</v>
      </c>
      <c r="F2656">
        <f t="shared" si="334"/>
        <v>0</v>
      </c>
      <c r="G2656">
        <f t="shared" si="329"/>
        <v>0</v>
      </c>
      <c r="H2656">
        <f t="shared" si="335"/>
        <v>0</v>
      </c>
      <c r="I2656">
        <v>2655</v>
      </c>
      <c r="J2656">
        <f t="shared" si="330"/>
        <v>0.99288721353569609</v>
      </c>
      <c r="K2656">
        <f t="shared" si="331"/>
        <v>-0.11905873003405057</v>
      </c>
      <c r="L2656">
        <f>VLOOKUP(D2656,[1]SOI!$A$1:$C$142,3)</f>
        <v>-1.4</v>
      </c>
      <c r="M2656" s="2">
        <f t="shared" si="332"/>
        <v>2636.1155519372733</v>
      </c>
      <c r="N2656">
        <f t="shared" si="333"/>
        <v>-316.10092824040424</v>
      </c>
      <c r="O2656" t="s">
        <v>8</v>
      </c>
    </row>
    <row r="2657" spans="1:15" x14ac:dyDescent="0.35">
      <c r="A2657">
        <v>2007</v>
      </c>
      <c r="B2657">
        <v>4</v>
      </c>
      <c r="C2657">
        <v>9</v>
      </c>
      <c r="D2657" s="1">
        <f t="shared" si="328"/>
        <v>39181</v>
      </c>
      <c r="E2657">
        <v>0</v>
      </c>
      <c r="F2657">
        <f t="shared" si="334"/>
        <v>0</v>
      </c>
      <c r="G2657">
        <f t="shared" si="329"/>
        <v>0</v>
      </c>
      <c r="H2657">
        <f t="shared" si="335"/>
        <v>0</v>
      </c>
      <c r="I2657">
        <v>2656</v>
      </c>
      <c r="J2657">
        <f t="shared" si="330"/>
        <v>0.99069231016156067</v>
      </c>
      <c r="K2657">
        <f t="shared" si="331"/>
        <v>-0.13612033862266859</v>
      </c>
      <c r="L2657">
        <f>VLOOKUP(D2657,[1]SOI!$A$1:$C$142,3)</f>
        <v>-1.4</v>
      </c>
      <c r="M2657" s="2">
        <f t="shared" si="332"/>
        <v>2631.2787757891051</v>
      </c>
      <c r="N2657">
        <f t="shared" si="333"/>
        <v>-361.53561938180781</v>
      </c>
      <c r="O2657" t="s">
        <v>8</v>
      </c>
    </row>
    <row r="2658" spans="1:15" x14ac:dyDescent="0.35">
      <c r="A2658">
        <v>2007</v>
      </c>
      <c r="B2658">
        <v>4</v>
      </c>
      <c r="C2658">
        <v>10</v>
      </c>
      <c r="D2658" s="1">
        <f t="shared" si="328"/>
        <v>39182</v>
      </c>
      <c r="E2658">
        <v>0</v>
      </c>
      <c r="F2658">
        <f t="shared" si="334"/>
        <v>0</v>
      </c>
      <c r="G2658">
        <f t="shared" si="329"/>
        <v>0</v>
      </c>
      <c r="H2658">
        <f t="shared" si="335"/>
        <v>0</v>
      </c>
      <c r="I2658">
        <v>2657</v>
      </c>
      <c r="J2658">
        <f t="shared" si="330"/>
        <v>0.98820424499414294</v>
      </c>
      <c r="K2658">
        <f t="shared" si="331"/>
        <v>-0.15314166701311549</v>
      </c>
      <c r="L2658">
        <f>VLOOKUP(D2658,[1]SOI!$A$1:$C$142,3)</f>
        <v>-1.4</v>
      </c>
      <c r="M2658" s="2">
        <f t="shared" si="332"/>
        <v>2625.6586789494377</v>
      </c>
      <c r="N2658">
        <f t="shared" si="333"/>
        <v>-406.89740925384785</v>
      </c>
      <c r="O2658" t="s">
        <v>8</v>
      </c>
    </row>
    <row r="2659" spans="1:15" x14ac:dyDescent="0.35">
      <c r="A2659">
        <v>2007</v>
      </c>
      <c r="B2659">
        <v>4</v>
      </c>
      <c r="C2659">
        <v>11</v>
      </c>
      <c r="D2659" s="1">
        <f t="shared" si="328"/>
        <v>39183</v>
      </c>
      <c r="E2659">
        <v>0</v>
      </c>
      <c r="F2659">
        <f t="shared" si="334"/>
        <v>0</v>
      </c>
      <c r="G2659">
        <f t="shared" si="329"/>
        <v>0</v>
      </c>
      <c r="H2659">
        <f t="shared" si="335"/>
        <v>0</v>
      </c>
      <c r="I2659">
        <v>2658</v>
      </c>
      <c r="J2659">
        <f t="shared" si="330"/>
        <v>0.98542375429195284</v>
      </c>
      <c r="K2659">
        <f t="shared" si="331"/>
        <v>-0.17011767832048771</v>
      </c>
      <c r="L2659">
        <f>VLOOKUP(D2659,[1]SOI!$A$1:$C$142,3)</f>
        <v>-1.4</v>
      </c>
      <c r="M2659" s="2">
        <f t="shared" si="332"/>
        <v>2619.2563389080105</v>
      </c>
      <c r="N2659">
        <f t="shared" si="333"/>
        <v>-452.17278897585635</v>
      </c>
      <c r="O2659" t="s">
        <v>8</v>
      </c>
    </row>
    <row r="2660" spans="1:15" x14ac:dyDescent="0.35">
      <c r="A2660">
        <v>2007</v>
      </c>
      <c r="B2660">
        <v>4</v>
      </c>
      <c r="C2660">
        <v>12</v>
      </c>
      <c r="D2660" s="1">
        <f t="shared" si="328"/>
        <v>39184</v>
      </c>
      <c r="E2660">
        <v>0</v>
      </c>
      <c r="F2660">
        <f t="shared" si="334"/>
        <v>0</v>
      </c>
      <c r="G2660">
        <f t="shared" si="329"/>
        <v>0</v>
      </c>
      <c r="H2660">
        <f t="shared" si="335"/>
        <v>0</v>
      </c>
      <c r="I2660">
        <v>2659</v>
      </c>
      <c r="J2660">
        <f t="shared" si="330"/>
        <v>0.98235166084692405</v>
      </c>
      <c r="K2660">
        <f t="shared" si="331"/>
        <v>-0.18704334906991466</v>
      </c>
      <c r="L2660">
        <f>VLOOKUP(D2660,[1]SOI!$A$1:$C$142,3)</f>
        <v>-1.4</v>
      </c>
      <c r="M2660" s="2">
        <f t="shared" si="332"/>
        <v>2612.0730661919711</v>
      </c>
      <c r="N2660">
        <f t="shared" si="333"/>
        <v>-497.34826517690306</v>
      </c>
      <c r="O2660" t="s">
        <v>8</v>
      </c>
    </row>
    <row r="2661" spans="1:15" x14ac:dyDescent="0.35">
      <c r="A2661">
        <v>2007</v>
      </c>
      <c r="B2661">
        <v>4</v>
      </c>
      <c r="C2661">
        <v>13</v>
      </c>
      <c r="D2661" s="1">
        <f t="shared" si="328"/>
        <v>39185</v>
      </c>
      <c r="E2661">
        <v>0</v>
      </c>
      <c r="F2661">
        <f t="shared" si="334"/>
        <v>0</v>
      </c>
      <c r="G2661">
        <f t="shared" si="329"/>
        <v>0</v>
      </c>
      <c r="H2661">
        <f t="shared" si="335"/>
        <v>0</v>
      </c>
      <c r="I2661">
        <v>2660</v>
      </c>
      <c r="J2661">
        <f t="shared" si="330"/>
        <v>0.97898887374093213</v>
      </c>
      <c r="K2661">
        <f t="shared" si="331"/>
        <v>-0.20391367068311367</v>
      </c>
      <c r="L2661">
        <f>VLOOKUP(D2661,[1]SOI!$A$1:$C$142,3)</f>
        <v>-1.4</v>
      </c>
      <c r="M2661" s="2">
        <f t="shared" si="332"/>
        <v>2604.1104041508793</v>
      </c>
      <c r="N2661">
        <f t="shared" si="333"/>
        <v>-542.41036401708232</v>
      </c>
      <c r="O2661" t="s">
        <v>8</v>
      </c>
    </row>
    <row r="2662" spans="1:15" x14ac:dyDescent="0.35">
      <c r="A2662">
        <v>2007</v>
      </c>
      <c r="B2662">
        <v>4</v>
      </c>
      <c r="C2662">
        <v>14</v>
      </c>
      <c r="D2662" s="1">
        <f t="shared" si="328"/>
        <v>39186</v>
      </c>
      <c r="E2662">
        <v>0</v>
      </c>
      <c r="F2662">
        <f t="shared" si="334"/>
        <v>0</v>
      </c>
      <c r="G2662">
        <f t="shared" si="329"/>
        <v>0</v>
      </c>
      <c r="H2662">
        <f t="shared" si="335"/>
        <v>0</v>
      </c>
      <c r="I2662">
        <v>2661</v>
      </c>
      <c r="J2662">
        <f t="shared" si="330"/>
        <v>0.97533638807678369</v>
      </c>
      <c r="K2662">
        <f t="shared" si="331"/>
        <v>-0.22072365096050203</v>
      </c>
      <c r="L2662">
        <f>VLOOKUP(D2662,[1]SOI!$A$1:$C$142,3)</f>
        <v>-1.4</v>
      </c>
      <c r="M2662" s="2">
        <f t="shared" si="332"/>
        <v>2595.3701286723212</v>
      </c>
      <c r="N2662">
        <f t="shared" si="333"/>
        <v>-587.34563520589586</v>
      </c>
      <c r="O2662" t="s">
        <v>8</v>
      </c>
    </row>
    <row r="2663" spans="1:15" x14ac:dyDescent="0.35">
      <c r="A2663">
        <v>2007</v>
      </c>
      <c r="B2663">
        <v>4</v>
      </c>
      <c r="C2663">
        <v>15</v>
      </c>
      <c r="D2663" s="1">
        <f t="shared" si="328"/>
        <v>39187</v>
      </c>
      <c r="E2663">
        <v>0</v>
      </c>
      <c r="F2663">
        <f t="shared" si="334"/>
        <v>0</v>
      </c>
      <c r="G2663">
        <f t="shared" si="329"/>
        <v>0</v>
      </c>
      <c r="H2663">
        <f t="shared" si="335"/>
        <v>0</v>
      </c>
      <c r="I2663">
        <v>2662</v>
      </c>
      <c r="J2663">
        <f t="shared" si="330"/>
        <v>0.97139528468375147</v>
      </c>
      <c r="K2663">
        <f t="shared" si="331"/>
        <v>-0.23746831555846221</v>
      </c>
      <c r="L2663">
        <f>VLOOKUP(D2663,[1]SOI!$A$1:$C$142,3)</f>
        <v>-1.4</v>
      </c>
      <c r="M2663" s="2">
        <f t="shared" si="332"/>
        <v>2585.8542478281465</v>
      </c>
      <c r="N2663">
        <f t="shared" si="333"/>
        <v>-632.14065601662639</v>
      </c>
      <c r="O2663" t="s">
        <v>8</v>
      </c>
    </row>
    <row r="2664" spans="1:15" x14ac:dyDescent="0.35">
      <c r="A2664">
        <v>2007</v>
      </c>
      <c r="B2664">
        <v>4</v>
      </c>
      <c r="C2664">
        <v>16</v>
      </c>
      <c r="D2664" s="1">
        <f t="shared" si="328"/>
        <v>39188</v>
      </c>
      <c r="E2664">
        <v>0.4</v>
      </c>
      <c r="F2664">
        <f t="shared" si="334"/>
        <v>0</v>
      </c>
      <c r="G2664">
        <f t="shared" si="329"/>
        <v>1</v>
      </c>
      <c r="H2664">
        <f t="shared" si="335"/>
        <v>0</v>
      </c>
      <c r="I2664">
        <v>2663</v>
      </c>
      <c r="J2664">
        <f t="shared" si="330"/>
        <v>0.96716672979773244</v>
      </c>
      <c r="K2664">
        <f t="shared" si="331"/>
        <v>-0.25414270946135775</v>
      </c>
      <c r="L2664">
        <f>VLOOKUP(D2664,[1]SOI!$A$1:$C$142,3)</f>
        <v>-1.4</v>
      </c>
      <c r="M2664" s="2">
        <f t="shared" si="332"/>
        <v>2575.5650014513617</v>
      </c>
      <c r="N2664">
        <f t="shared" si="333"/>
        <v>-676.78203529559573</v>
      </c>
      <c r="O2664" t="s">
        <v>8</v>
      </c>
    </row>
    <row r="2665" spans="1:15" x14ac:dyDescent="0.35">
      <c r="A2665">
        <v>2007</v>
      </c>
      <c r="B2665">
        <v>4</v>
      </c>
      <c r="C2665">
        <v>17</v>
      </c>
      <c r="D2665" s="1">
        <f t="shared" si="328"/>
        <v>39189</v>
      </c>
      <c r="E2665">
        <v>0</v>
      </c>
      <c r="F2665">
        <f t="shared" si="334"/>
        <v>0.4</v>
      </c>
      <c r="G2665">
        <f t="shared" si="329"/>
        <v>0</v>
      </c>
      <c r="H2665">
        <f t="shared" si="335"/>
        <v>1</v>
      </c>
      <c r="I2665">
        <v>2664</v>
      </c>
      <c r="J2665">
        <f t="shared" si="330"/>
        <v>0.96265197471614972</v>
      </c>
      <c r="K2665">
        <f t="shared" si="331"/>
        <v>-0.27074189844776059</v>
      </c>
      <c r="L2665">
        <f>VLOOKUP(D2665,[1]SOI!$A$1:$C$142,3)</f>
        <v>-1.4</v>
      </c>
      <c r="M2665" s="2">
        <f t="shared" si="332"/>
        <v>2564.5048606438227</v>
      </c>
      <c r="N2665">
        <f t="shared" si="333"/>
        <v>-721.25641746483416</v>
      </c>
      <c r="O2665" t="s">
        <v>8</v>
      </c>
    </row>
    <row r="2666" spans="1:15" x14ac:dyDescent="0.35">
      <c r="A2666">
        <v>2007</v>
      </c>
      <c r="B2666">
        <v>4</v>
      </c>
      <c r="C2666">
        <v>18</v>
      </c>
      <c r="D2666" s="1">
        <f t="shared" si="328"/>
        <v>39190</v>
      </c>
      <c r="E2666">
        <v>0.4</v>
      </c>
      <c r="F2666">
        <f t="shared" si="334"/>
        <v>0</v>
      </c>
      <c r="G2666">
        <f t="shared" si="329"/>
        <v>1</v>
      </c>
      <c r="H2666">
        <f t="shared" si="335"/>
        <v>0</v>
      </c>
      <c r="I2666">
        <v>2665</v>
      </c>
      <c r="J2666">
        <f t="shared" si="330"/>
        <v>0.95785235542766745</v>
      </c>
      <c r="K2666">
        <f t="shared" si="331"/>
        <v>-0.28726097055059446</v>
      </c>
      <c r="L2666">
        <f>VLOOKUP(D2666,[1]SOI!$A$1:$C$142,3)</f>
        <v>-1.4</v>
      </c>
      <c r="M2666" s="2">
        <f t="shared" si="332"/>
        <v>2552.6765272147336</v>
      </c>
      <c r="N2666">
        <f t="shared" si="333"/>
        <v>-765.55048651733421</v>
      </c>
      <c r="O2666" t="s">
        <v>8</v>
      </c>
    </row>
    <row r="2667" spans="1:15" x14ac:dyDescent="0.35">
      <c r="A2667">
        <v>2007</v>
      </c>
      <c r="B2667">
        <v>4</v>
      </c>
      <c r="C2667">
        <v>19</v>
      </c>
      <c r="D2667" s="1">
        <f t="shared" si="328"/>
        <v>39191</v>
      </c>
      <c r="E2667">
        <v>0</v>
      </c>
      <c r="F2667">
        <f t="shared" si="334"/>
        <v>0.4</v>
      </c>
      <c r="G2667">
        <f t="shared" si="329"/>
        <v>0</v>
      </c>
      <c r="H2667">
        <f t="shared" si="335"/>
        <v>1</v>
      </c>
      <c r="I2667">
        <v>2666</v>
      </c>
      <c r="J2667">
        <f t="shared" si="330"/>
        <v>0.95276929221685147</v>
      </c>
      <c r="K2667">
        <f t="shared" si="331"/>
        <v>-0.30369503751065779</v>
      </c>
      <c r="L2667">
        <f>VLOOKUP(D2667,[1]SOI!$A$1:$C$142,3)</f>
        <v>-1.4</v>
      </c>
      <c r="M2667" s="2">
        <f t="shared" si="332"/>
        <v>2540.082933050126</v>
      </c>
      <c r="N2667">
        <f t="shared" si="333"/>
        <v>-809.6509700034137</v>
      </c>
      <c r="O2667" t="s">
        <v>8</v>
      </c>
    </row>
    <row r="2668" spans="1:15" x14ac:dyDescent="0.35">
      <c r="A2668">
        <v>2007</v>
      </c>
      <c r="B2668">
        <v>4</v>
      </c>
      <c r="C2668">
        <v>20</v>
      </c>
      <c r="D2668" s="1">
        <f t="shared" si="328"/>
        <v>39192</v>
      </c>
      <c r="E2668">
        <v>0</v>
      </c>
      <c r="F2668">
        <f t="shared" si="334"/>
        <v>0</v>
      </c>
      <c r="G2668">
        <f t="shared" si="329"/>
        <v>0</v>
      </c>
      <c r="H2668">
        <f t="shared" si="335"/>
        <v>0</v>
      </c>
      <c r="I2668">
        <v>2667</v>
      </c>
      <c r="J2668">
        <f t="shared" si="330"/>
        <v>0.94740428924388465</v>
      </c>
      <c r="K2668">
        <f t="shared" si="331"/>
        <v>-0.3200392362231384</v>
      </c>
      <c r="L2668">
        <f>VLOOKUP(D2668,[1]SOI!$A$1:$C$142,3)</f>
        <v>-1.4</v>
      </c>
      <c r="M2668" s="2">
        <f t="shared" si="332"/>
        <v>2526.7272394134402</v>
      </c>
      <c r="N2668">
        <f t="shared" si="333"/>
        <v>-853.54464300711015</v>
      </c>
      <c r="O2668" t="s">
        <v>8</v>
      </c>
    </row>
    <row r="2669" spans="1:15" x14ac:dyDescent="0.35">
      <c r="A2669">
        <v>2007</v>
      </c>
      <c r="B2669">
        <v>4</v>
      </c>
      <c r="C2669">
        <v>21</v>
      </c>
      <c r="D2669" s="1">
        <f t="shared" si="328"/>
        <v>39193</v>
      </c>
      <c r="E2669">
        <v>0</v>
      </c>
      <c r="F2669">
        <f t="shared" si="334"/>
        <v>0</v>
      </c>
      <c r="G2669">
        <f t="shared" si="329"/>
        <v>0</v>
      </c>
      <c r="H2669">
        <f t="shared" si="335"/>
        <v>0</v>
      </c>
      <c r="I2669">
        <v>2668</v>
      </c>
      <c r="J2669">
        <f t="shared" si="330"/>
        <v>0.94175893409946354</v>
      </c>
      <c r="K2669">
        <f t="shared" si="331"/>
        <v>-0.33628873017667765</v>
      </c>
      <c r="L2669">
        <f>VLOOKUP(D2669,[1]SOI!$A$1:$C$142,3)</f>
        <v>-1.4</v>
      </c>
      <c r="M2669" s="2">
        <f t="shared" si="332"/>
        <v>2512.6128361773685</v>
      </c>
      <c r="N2669">
        <f t="shared" si="333"/>
        <v>-897.21833211137596</v>
      </c>
      <c r="O2669" t="s">
        <v>8</v>
      </c>
    </row>
    <row r="2670" spans="1:15" x14ac:dyDescent="0.35">
      <c r="A2670">
        <v>2007</v>
      </c>
      <c r="B2670">
        <v>4</v>
      </c>
      <c r="C2670">
        <v>22</v>
      </c>
      <c r="D2670" s="1">
        <f t="shared" si="328"/>
        <v>39194</v>
      </c>
      <c r="E2670">
        <v>9.6</v>
      </c>
      <c r="F2670">
        <f t="shared" si="334"/>
        <v>0</v>
      </c>
      <c r="G2670">
        <f t="shared" si="329"/>
        <v>1</v>
      </c>
      <c r="H2670">
        <f t="shared" si="335"/>
        <v>0</v>
      </c>
      <c r="I2670">
        <v>2669</v>
      </c>
      <c r="J2670">
        <f t="shared" si="330"/>
        <v>0.93583489733499581</v>
      </c>
      <c r="K2670">
        <f t="shared" si="331"/>
        <v>-0.35243871088459894</v>
      </c>
      <c r="L2670">
        <f>VLOOKUP(D2670,[1]SOI!$A$1:$C$142,3)</f>
        <v>-1.4</v>
      </c>
      <c r="M2670" s="2">
        <f t="shared" si="332"/>
        <v>2497.7433409871037</v>
      </c>
      <c r="N2670">
        <f t="shared" si="333"/>
        <v>-940.65891935099455</v>
      </c>
      <c r="O2670" t="s">
        <v>8</v>
      </c>
    </row>
    <row r="2671" spans="1:15" x14ac:dyDescent="0.35">
      <c r="A2671">
        <v>2007</v>
      </c>
      <c r="B2671">
        <v>4</v>
      </c>
      <c r="C2671">
        <v>23</v>
      </c>
      <c r="D2671" s="1">
        <f t="shared" si="328"/>
        <v>39195</v>
      </c>
      <c r="E2671">
        <v>0.2</v>
      </c>
      <c r="F2671">
        <f t="shared" si="334"/>
        <v>9.6</v>
      </c>
      <c r="G2671">
        <f t="shared" si="329"/>
        <v>1</v>
      </c>
      <c r="H2671">
        <f t="shared" si="335"/>
        <v>1</v>
      </c>
      <c r="I2671">
        <v>2670</v>
      </c>
      <c r="J2671">
        <f t="shared" si="330"/>
        <v>0.92963393196827082</v>
      </c>
      <c r="K2671">
        <f t="shared" si="331"/>
        <v>-0.36848439930777582</v>
      </c>
      <c r="L2671">
        <f>VLOOKUP(D2671,[1]SOI!$A$1:$C$142,3)</f>
        <v>-1.4</v>
      </c>
      <c r="M2671" s="2">
        <f t="shared" si="332"/>
        <v>2482.1225983552831</v>
      </c>
      <c r="N2671">
        <f t="shared" si="333"/>
        <v>-983.85334615176146</v>
      </c>
      <c r="O2671" t="s">
        <v>8</v>
      </c>
    </row>
    <row r="2672" spans="1:15" x14ac:dyDescent="0.35">
      <c r="A2672">
        <v>2007</v>
      </c>
      <c r="B2672">
        <v>4</v>
      </c>
      <c r="C2672">
        <v>24</v>
      </c>
      <c r="D2672" s="1">
        <f t="shared" si="328"/>
        <v>39196</v>
      </c>
      <c r="E2672">
        <v>0</v>
      </c>
      <c r="F2672">
        <f t="shared" si="334"/>
        <v>0.2</v>
      </c>
      <c r="G2672">
        <f t="shared" si="329"/>
        <v>0</v>
      </c>
      <c r="H2672">
        <f t="shared" si="335"/>
        <v>1</v>
      </c>
      <c r="I2672">
        <v>2671</v>
      </c>
      <c r="J2672">
        <f t="shared" si="330"/>
        <v>0.92315787296470464</v>
      </c>
      <c r="K2672">
        <f t="shared" si="331"/>
        <v>-0.38442104726885362</v>
      </c>
      <c r="L2672">
        <f>VLOOKUP(D2672,[1]SOI!$A$1:$C$142,3)</f>
        <v>-1.4</v>
      </c>
      <c r="M2672" s="2">
        <f t="shared" si="332"/>
        <v>2465.754678688726</v>
      </c>
      <c r="N2672">
        <f t="shared" si="333"/>
        <v>-1026.788617255108</v>
      </c>
      <c r="O2672" t="s">
        <v>8</v>
      </c>
    </row>
    <row r="2673" spans="1:15" x14ac:dyDescent="0.35">
      <c r="A2673">
        <v>2007</v>
      </c>
      <c r="B2673">
        <v>4</v>
      </c>
      <c r="C2673">
        <v>25</v>
      </c>
      <c r="D2673" s="1">
        <f t="shared" si="328"/>
        <v>39197</v>
      </c>
      <c r="E2673">
        <v>0</v>
      </c>
      <c r="F2673">
        <f t="shared" si="334"/>
        <v>0</v>
      </c>
      <c r="G2673">
        <f t="shared" si="329"/>
        <v>0</v>
      </c>
      <c r="H2673">
        <f t="shared" si="335"/>
        <v>0</v>
      </c>
      <c r="I2673">
        <v>2672</v>
      </c>
      <c r="J2673">
        <f t="shared" si="330"/>
        <v>0.91640863669434625</v>
      </c>
      <c r="K2673">
        <f t="shared" si="331"/>
        <v>-0.40024393885730464</v>
      </c>
      <c r="L2673">
        <f>VLOOKUP(D2673,[1]SOI!$A$1:$C$142,3)</f>
        <v>-1.4</v>
      </c>
      <c r="M2673" s="2">
        <f t="shared" si="332"/>
        <v>2448.6438772472929</v>
      </c>
      <c r="N2673">
        <f t="shared" si="333"/>
        <v>-1069.4518046267181</v>
      </c>
      <c r="O2673" t="s">
        <v>8</v>
      </c>
    </row>
    <row r="2674" spans="1:15" x14ac:dyDescent="0.35">
      <c r="A2674">
        <v>2007</v>
      </c>
      <c r="B2674">
        <v>4</v>
      </c>
      <c r="C2674">
        <v>26</v>
      </c>
      <c r="D2674" s="1">
        <f t="shared" si="328"/>
        <v>39198</v>
      </c>
      <c r="E2674">
        <v>0</v>
      </c>
      <c r="F2674">
        <f t="shared" si="334"/>
        <v>0</v>
      </c>
      <c r="G2674">
        <f t="shared" si="329"/>
        <v>0</v>
      </c>
      <c r="H2674">
        <f t="shared" si="335"/>
        <v>0</v>
      </c>
      <c r="I2674">
        <v>2673</v>
      </c>
      <c r="J2674">
        <f t="shared" si="330"/>
        <v>0.9093882203647955</v>
      </c>
      <c r="K2674">
        <f t="shared" si="331"/>
        <v>-0.41594839182493548</v>
      </c>
      <c r="L2674">
        <f>VLOOKUP(D2674,[1]SOI!$A$1:$C$142,3)</f>
        <v>-1.4</v>
      </c>
      <c r="M2674" s="2">
        <f t="shared" si="332"/>
        <v>2430.7947130350985</v>
      </c>
      <c r="N2674">
        <f t="shared" si="333"/>
        <v>-1111.8300513480526</v>
      </c>
      <c r="O2674" t="s">
        <v>8</v>
      </c>
    </row>
    <row r="2675" spans="1:15" x14ac:dyDescent="0.35">
      <c r="A2675">
        <v>2007</v>
      </c>
      <c r="B2675">
        <v>4</v>
      </c>
      <c r="C2675">
        <v>27</v>
      </c>
      <c r="D2675" s="1">
        <f t="shared" si="328"/>
        <v>39199</v>
      </c>
      <c r="E2675">
        <v>0</v>
      </c>
      <c r="F2675">
        <f t="shared" si="334"/>
        <v>0</v>
      </c>
      <c r="G2675">
        <f t="shared" si="329"/>
        <v>0</v>
      </c>
      <c r="H2675">
        <f t="shared" si="335"/>
        <v>0</v>
      </c>
      <c r="I2675">
        <v>2674</v>
      </c>
      <c r="J2675">
        <f t="shared" si="330"/>
        <v>0.90209870143018644</v>
      </c>
      <c r="K2675">
        <f t="shared" si="331"/>
        <v>-0.43152975897146567</v>
      </c>
      <c r="L2675">
        <f>VLOOKUP(D2675,[1]SOI!$A$1:$C$142,3)</f>
        <v>-1.4</v>
      </c>
      <c r="M2675" s="2">
        <f t="shared" si="332"/>
        <v>2412.2119276243184</v>
      </c>
      <c r="N2675">
        <f t="shared" si="333"/>
        <v>-1153.9105754896991</v>
      </c>
      <c r="O2675" t="s">
        <v>8</v>
      </c>
    </row>
    <row r="2676" spans="1:15" x14ac:dyDescent="0.35">
      <c r="A2676">
        <v>2007</v>
      </c>
      <c r="B2676">
        <v>4</v>
      </c>
      <c r="C2676">
        <v>28</v>
      </c>
      <c r="D2676" s="1">
        <f t="shared" si="328"/>
        <v>39200</v>
      </c>
      <c r="E2676">
        <v>5.4</v>
      </c>
      <c r="F2676">
        <f t="shared" si="334"/>
        <v>0</v>
      </c>
      <c r="G2676">
        <f t="shared" si="329"/>
        <v>1</v>
      </c>
      <c r="H2676">
        <f t="shared" si="335"/>
        <v>0</v>
      </c>
      <c r="I2676">
        <v>2675</v>
      </c>
      <c r="J2676">
        <f t="shared" si="330"/>
        <v>0.89454223697645163</v>
      </c>
      <c r="K2676">
        <f t="shared" si="331"/>
        <v>-0.44698342951967002</v>
      </c>
      <c r="L2676">
        <f>VLOOKUP(D2676,[1]SOI!$A$1:$C$142,3)</f>
        <v>-1.4</v>
      </c>
      <c r="M2676" s="2">
        <f t="shared" si="332"/>
        <v>2392.900483912008</v>
      </c>
      <c r="N2676">
        <f t="shared" si="333"/>
        <v>-1195.6806739651172</v>
      </c>
      <c r="O2676" t="s">
        <v>8</v>
      </c>
    </row>
    <row r="2677" spans="1:15" x14ac:dyDescent="0.35">
      <c r="A2677">
        <v>2007</v>
      </c>
      <c r="B2677">
        <v>4</v>
      </c>
      <c r="C2677">
        <v>29</v>
      </c>
      <c r="D2677" s="1">
        <f t="shared" si="328"/>
        <v>39201</v>
      </c>
      <c r="E2677">
        <v>1.8</v>
      </c>
      <c r="F2677">
        <f t="shared" si="334"/>
        <v>5.4</v>
      </c>
      <c r="G2677">
        <f t="shared" si="329"/>
        <v>1</v>
      </c>
      <c r="H2677">
        <f t="shared" si="335"/>
        <v>1</v>
      </c>
      <c r="I2677">
        <v>2676</v>
      </c>
      <c r="J2677">
        <f t="shared" si="330"/>
        <v>0.88672106308299481</v>
      </c>
      <c r="K2677">
        <f t="shared" si="331"/>
        <v>-0.46230483047980758</v>
      </c>
      <c r="L2677">
        <f>VLOOKUP(D2677,[1]SOI!$A$1:$C$142,3)</f>
        <v>-1.4</v>
      </c>
      <c r="M2677" s="2">
        <f t="shared" si="332"/>
        <v>2372.8655648100939</v>
      </c>
      <c r="N2677">
        <f t="shared" si="333"/>
        <v>-1237.1277263639652</v>
      </c>
      <c r="O2677" t="s">
        <v>8</v>
      </c>
    </row>
    <row r="2678" spans="1:15" x14ac:dyDescent="0.35">
      <c r="A2678">
        <v>2007</v>
      </c>
      <c r="B2678">
        <v>4</v>
      </c>
      <c r="C2678">
        <v>30</v>
      </c>
      <c r="D2678" s="1">
        <f t="shared" si="328"/>
        <v>39202</v>
      </c>
      <c r="E2678">
        <v>2</v>
      </c>
      <c r="F2678">
        <f t="shared" si="334"/>
        <v>1.8</v>
      </c>
      <c r="G2678">
        <f t="shared" si="329"/>
        <v>1</v>
      </c>
      <c r="H2678">
        <f t="shared" si="335"/>
        <v>1</v>
      </c>
      <c r="I2678">
        <v>2677</v>
      </c>
      <c r="J2678">
        <f t="shared" si="330"/>
        <v>0.87863749416100145</v>
      </c>
      <c r="K2678">
        <f t="shared" si="331"/>
        <v>-0.47748942800283661</v>
      </c>
      <c r="L2678">
        <f>VLOOKUP(D2678,[1]SOI!$A$1:$C$142,3)</f>
        <v>-1.4</v>
      </c>
      <c r="M2678" s="2">
        <f t="shared" si="332"/>
        <v>2352.1125718690009</v>
      </c>
      <c r="N2678">
        <f t="shared" si="333"/>
        <v>-1278.2391987635935</v>
      </c>
      <c r="O2678" t="s">
        <v>8</v>
      </c>
    </row>
    <row r="2679" spans="1:15" x14ac:dyDescent="0.35">
      <c r="A2679">
        <v>2007</v>
      </c>
      <c r="B2679">
        <v>5</v>
      </c>
      <c r="C2679">
        <v>1</v>
      </c>
      <c r="D2679" s="1">
        <f t="shared" si="328"/>
        <v>39203</v>
      </c>
      <c r="E2679">
        <v>0.6</v>
      </c>
      <c r="F2679">
        <f t="shared" si="334"/>
        <v>2</v>
      </c>
      <c r="G2679">
        <f t="shared" si="329"/>
        <v>1</v>
      </c>
      <c r="H2679">
        <f t="shared" si="335"/>
        <v>1</v>
      </c>
      <c r="I2679">
        <v>2678</v>
      </c>
      <c r="J2679">
        <f t="shared" si="330"/>
        <v>0.87029392226856439</v>
      </c>
      <c r="K2679">
        <f t="shared" si="331"/>
        <v>-0.49253272872205955</v>
      </c>
      <c r="L2679">
        <f>VLOOKUP(D2679,[1]SOI!$A$1:$C$142,3)</f>
        <v>-3</v>
      </c>
      <c r="M2679" s="2">
        <f t="shared" si="332"/>
        <v>2330.6471238352156</v>
      </c>
      <c r="N2679">
        <f t="shared" si="333"/>
        <v>-1319.0026475176755</v>
      </c>
      <c r="O2679" t="s">
        <v>8</v>
      </c>
    </row>
    <row r="2680" spans="1:15" x14ac:dyDescent="0.35">
      <c r="A2680">
        <v>2007</v>
      </c>
      <c r="B2680">
        <v>5</v>
      </c>
      <c r="C2680">
        <v>2</v>
      </c>
      <c r="D2680" s="1">
        <f t="shared" si="328"/>
        <v>39204</v>
      </c>
      <c r="E2680">
        <v>0</v>
      </c>
      <c r="F2680">
        <f t="shared" si="334"/>
        <v>0.6</v>
      </c>
      <c r="G2680">
        <f t="shared" si="329"/>
        <v>0</v>
      </c>
      <c r="H2680">
        <f t="shared" si="335"/>
        <v>1</v>
      </c>
      <c r="I2680">
        <v>2679</v>
      </c>
      <c r="J2680">
        <f t="shared" si="330"/>
        <v>0.86169281640285589</v>
      </c>
      <c r="K2680">
        <f t="shared" si="331"/>
        <v>-0.50743028108274557</v>
      </c>
      <c r="L2680">
        <f>VLOOKUP(D2680,[1]SOI!$A$1:$C$142,3)</f>
        <v>-3</v>
      </c>
      <c r="M2680" s="2">
        <f t="shared" si="332"/>
        <v>2308.4750551432508</v>
      </c>
      <c r="N2680">
        <f t="shared" si="333"/>
        <v>-1359.4057230206754</v>
      </c>
      <c r="O2680" t="s">
        <v>8</v>
      </c>
    </row>
    <row r="2681" spans="1:15" x14ac:dyDescent="0.35">
      <c r="A2681">
        <v>2007</v>
      </c>
      <c r="B2681">
        <v>5</v>
      </c>
      <c r="C2681">
        <v>3</v>
      </c>
      <c r="D2681" s="1">
        <f t="shared" si="328"/>
        <v>39205</v>
      </c>
      <c r="E2681">
        <v>3.4</v>
      </c>
      <c r="F2681">
        <f t="shared" si="334"/>
        <v>0</v>
      </c>
      <c r="G2681">
        <f t="shared" si="329"/>
        <v>1</v>
      </c>
      <c r="H2681">
        <f t="shared" si="335"/>
        <v>0</v>
      </c>
      <c r="I2681">
        <v>2680</v>
      </c>
      <c r="J2681">
        <f t="shared" si="330"/>
        <v>0.85283672176946235</v>
      </c>
      <c r="K2681">
        <f t="shared" si="331"/>
        <v>-0.52217767665950321</v>
      </c>
      <c r="L2681">
        <f>VLOOKUP(D2681,[1]SOI!$A$1:$C$142,3)</f>
        <v>-3</v>
      </c>
      <c r="M2681" s="2">
        <f t="shared" si="332"/>
        <v>2285.6024143421591</v>
      </c>
      <c r="N2681">
        <f t="shared" si="333"/>
        <v>-1399.4361734474685</v>
      </c>
      <c r="O2681" t="s">
        <v>8</v>
      </c>
    </row>
    <row r="2682" spans="1:15" x14ac:dyDescent="0.35">
      <c r="A2682">
        <v>2007</v>
      </c>
      <c r="B2682">
        <v>5</v>
      </c>
      <c r="C2682">
        <v>4</v>
      </c>
      <c r="D2682" s="1">
        <f t="shared" si="328"/>
        <v>39206</v>
      </c>
      <c r="E2682">
        <v>3.6</v>
      </c>
      <c r="F2682">
        <f t="shared" si="334"/>
        <v>3.4</v>
      </c>
      <c r="G2682">
        <f t="shared" si="329"/>
        <v>1</v>
      </c>
      <c r="H2682">
        <f t="shared" si="335"/>
        <v>1</v>
      </c>
      <c r="I2682">
        <v>2681</v>
      </c>
      <c r="J2682">
        <f t="shared" si="330"/>
        <v>0.84372825902927362</v>
      </c>
      <c r="K2682">
        <f t="shared" si="331"/>
        <v>-0.5367705514607064</v>
      </c>
      <c r="L2682">
        <f>VLOOKUP(D2682,[1]SOI!$A$1:$C$142,3)</f>
        <v>-3</v>
      </c>
      <c r="M2682" s="2">
        <f t="shared" si="332"/>
        <v>2262.0354624574825</v>
      </c>
      <c r="N2682">
        <f t="shared" si="333"/>
        <v>-1439.0818484661538</v>
      </c>
      <c r="O2682" t="s">
        <v>8</v>
      </c>
    </row>
    <row r="2683" spans="1:15" x14ac:dyDescent="0.35">
      <c r="A2683">
        <v>2007</v>
      </c>
      <c r="B2683">
        <v>5</v>
      </c>
      <c r="C2683">
        <v>5</v>
      </c>
      <c r="D2683" s="1">
        <f t="shared" si="328"/>
        <v>39207</v>
      </c>
      <c r="E2683">
        <v>0</v>
      </c>
      <c r="F2683">
        <f t="shared" si="334"/>
        <v>3.6</v>
      </c>
      <c r="G2683">
        <f t="shared" si="329"/>
        <v>0</v>
      </c>
      <c r="H2683">
        <f t="shared" si="335"/>
        <v>1</v>
      </c>
      <c r="I2683">
        <v>2682</v>
      </c>
      <c r="J2683">
        <f t="shared" si="330"/>
        <v>0.83437012352295581</v>
      </c>
      <c r="K2683">
        <f t="shared" si="331"/>
        <v>-0.5512045872199246</v>
      </c>
      <c r="L2683">
        <f>VLOOKUP(D2683,[1]SOI!$A$1:$C$142,3)</f>
        <v>-3</v>
      </c>
      <c r="M2683" s="2">
        <f t="shared" si="332"/>
        <v>2237.7806712885676</v>
      </c>
      <c r="N2683">
        <f t="shared" si="333"/>
        <v>-1478.3307029238379</v>
      </c>
      <c r="O2683" t="s">
        <v>8</v>
      </c>
    </row>
    <row r="2684" spans="1:15" x14ac:dyDescent="0.35">
      <c r="A2684">
        <v>2007</v>
      </c>
      <c r="B2684">
        <v>5</v>
      </c>
      <c r="C2684">
        <v>6</v>
      </c>
      <c r="D2684" s="1">
        <f t="shared" si="328"/>
        <v>39208</v>
      </c>
      <c r="E2684">
        <v>0.6</v>
      </c>
      <c r="F2684">
        <f t="shared" si="334"/>
        <v>0</v>
      </c>
      <c r="G2684">
        <f t="shared" si="329"/>
        <v>1</v>
      </c>
      <c r="H2684">
        <f t="shared" si="335"/>
        <v>0</v>
      </c>
      <c r="I2684">
        <v>2683</v>
      </c>
      <c r="J2684">
        <f t="shared" si="330"/>
        <v>0.82476508447335894</v>
      </c>
      <c r="K2684">
        <f t="shared" si="331"/>
        <v>-0.56547551267376117</v>
      </c>
      <c r="L2684">
        <f>VLOOKUP(D2684,[1]SOI!$A$1:$C$142,3)</f>
        <v>-3</v>
      </c>
      <c r="M2684" s="2">
        <f t="shared" si="332"/>
        <v>2212.8447216420223</v>
      </c>
      <c r="N2684">
        <f t="shared" si="333"/>
        <v>-1517.1708005037012</v>
      </c>
      <c r="O2684" t="s">
        <v>8</v>
      </c>
    </row>
    <row r="2685" spans="1:15" x14ac:dyDescent="0.35">
      <c r="A2685">
        <v>2007</v>
      </c>
      <c r="B2685">
        <v>5</v>
      </c>
      <c r="C2685">
        <v>7</v>
      </c>
      <c r="D2685" s="1">
        <f t="shared" si="328"/>
        <v>39209</v>
      </c>
      <c r="E2685">
        <v>0</v>
      </c>
      <c r="F2685">
        <f t="shared" si="334"/>
        <v>0.6</v>
      </c>
      <c r="G2685">
        <f t="shared" si="329"/>
        <v>0</v>
      </c>
      <c r="H2685">
        <f t="shared" si="335"/>
        <v>1</v>
      </c>
      <c r="I2685">
        <v>2684</v>
      </c>
      <c r="J2685">
        <f t="shared" si="330"/>
        <v>0.81491598416608435</v>
      </c>
      <c r="K2685">
        <f t="shared" si="331"/>
        <v>-0.57957910482575381</v>
      </c>
      <c r="L2685">
        <f>VLOOKUP(D2685,[1]SOI!$A$1:$C$142,3)</f>
        <v>-3</v>
      </c>
      <c r="M2685" s="2">
        <f t="shared" si="332"/>
        <v>2187.2345015017704</v>
      </c>
      <c r="N2685">
        <f t="shared" si="333"/>
        <v>-1555.5903173523232</v>
      </c>
      <c r="O2685" t="s">
        <v>8</v>
      </c>
    </row>
    <row r="2686" spans="1:15" x14ac:dyDescent="0.35">
      <c r="A2686">
        <v>2007</v>
      </c>
      <c r="B2686">
        <v>5</v>
      </c>
      <c r="C2686">
        <v>8</v>
      </c>
      <c r="D2686" s="1">
        <f t="shared" si="328"/>
        <v>39210</v>
      </c>
      <c r="E2686">
        <v>0</v>
      </c>
      <c r="F2686">
        <f t="shared" si="334"/>
        <v>0</v>
      </c>
      <c r="G2686">
        <f t="shared" si="329"/>
        <v>0</v>
      </c>
      <c r="H2686">
        <f t="shared" si="335"/>
        <v>0</v>
      </c>
      <c r="I2686">
        <v>2685</v>
      </c>
      <c r="J2686">
        <f t="shared" si="330"/>
        <v>0.80482573710834948</v>
      </c>
      <c r="K2686">
        <f t="shared" si="331"/>
        <v>-0.5935111901961091</v>
      </c>
      <c r="L2686">
        <f>VLOOKUP(D2686,[1]SOI!$A$1:$C$142,3)</f>
        <v>-3</v>
      </c>
      <c r="M2686" s="2">
        <f t="shared" si="332"/>
        <v>2160.9571041359181</v>
      </c>
      <c r="N2686">
        <f t="shared" si="333"/>
        <v>-1593.577545676553</v>
      </c>
      <c r="O2686" t="s">
        <v>8</v>
      </c>
    </row>
    <row r="2687" spans="1:15" x14ac:dyDescent="0.35">
      <c r="A2687">
        <v>2007</v>
      </c>
      <c r="B2687">
        <v>5</v>
      </c>
      <c r="C2687">
        <v>9</v>
      </c>
      <c r="D2687" s="1">
        <f t="shared" si="328"/>
        <v>39211</v>
      </c>
      <c r="E2687">
        <v>0</v>
      </c>
      <c r="F2687">
        <f t="shared" si="334"/>
        <v>0</v>
      </c>
      <c r="G2687">
        <f t="shared" si="329"/>
        <v>0</v>
      </c>
      <c r="H2687">
        <f t="shared" si="335"/>
        <v>0</v>
      </c>
      <c r="I2687">
        <v>2686</v>
      </c>
      <c r="J2687">
        <f t="shared" si="330"/>
        <v>0.79449732916660309</v>
      </c>
      <c r="K2687">
        <f t="shared" si="331"/>
        <v>-0.60726764605660843</v>
      </c>
      <c r="L2687">
        <f>VLOOKUP(D2687,[1]SOI!$A$1:$C$142,3)</f>
        <v>-3</v>
      </c>
      <c r="M2687" s="2">
        <f t="shared" si="332"/>
        <v>2134.0198261414957</v>
      </c>
      <c r="N2687">
        <f t="shared" si="333"/>
        <v>-1631.1208973080502</v>
      </c>
      <c r="O2687" t="s">
        <v>8</v>
      </c>
    </row>
    <row r="2688" spans="1:15" x14ac:dyDescent="0.35">
      <c r="A2688">
        <v>2007</v>
      </c>
      <c r="B2688">
        <v>5</v>
      </c>
      <c r="C2688">
        <v>10</v>
      </c>
      <c r="D2688" s="1">
        <f t="shared" si="328"/>
        <v>39212</v>
      </c>
      <c r="E2688">
        <v>0</v>
      </c>
      <c r="F2688">
        <f t="shared" si="334"/>
        <v>0</v>
      </c>
      <c r="G2688">
        <f t="shared" si="329"/>
        <v>0</v>
      </c>
      <c r="H2688">
        <f t="shared" si="335"/>
        <v>0</v>
      </c>
      <c r="I2688">
        <v>2687</v>
      </c>
      <c r="J2688">
        <f t="shared" si="330"/>
        <v>0.78393381668291906</v>
      </c>
      <c r="K2688">
        <f t="shared" si="331"/>
        <v>-0.62084440165064825</v>
      </c>
      <c r="L2688">
        <f>VLOOKUP(D2688,[1]SOI!$A$1:$C$142,3)</f>
        <v>-3</v>
      </c>
      <c r="M2688" s="2">
        <f t="shared" si="332"/>
        <v>2106.4301654270034</v>
      </c>
      <c r="N2688">
        <f t="shared" si="333"/>
        <v>-1668.2089072352919</v>
      </c>
      <c r="O2688" t="s">
        <v>8</v>
      </c>
    </row>
    <row r="2689" spans="1:15" x14ac:dyDescent="0.35">
      <c r="A2689">
        <v>2007</v>
      </c>
      <c r="B2689">
        <v>5</v>
      </c>
      <c r="C2689">
        <v>11</v>
      </c>
      <c r="D2689" s="1">
        <f t="shared" si="328"/>
        <v>39213</v>
      </c>
      <c r="E2689">
        <v>0</v>
      </c>
      <c r="F2689">
        <f t="shared" si="334"/>
        <v>0</v>
      </c>
      <c r="G2689">
        <f t="shared" si="329"/>
        <v>0</v>
      </c>
      <c r="H2689">
        <f t="shared" si="335"/>
        <v>0</v>
      </c>
      <c r="I2689">
        <v>2688</v>
      </c>
      <c r="J2689">
        <f t="shared" si="330"/>
        <v>0.77313832557060047</v>
      </c>
      <c r="K2689">
        <f t="shared" si="331"/>
        <v>-0.63423743939780797</v>
      </c>
      <c r="L2689">
        <f>VLOOKUP(D2689,[1]SOI!$A$1:$C$142,3)</f>
        <v>-3</v>
      </c>
      <c r="M2689" s="2">
        <f t="shared" si="332"/>
        <v>2078.195819133774</v>
      </c>
      <c r="N2689">
        <f t="shared" si="333"/>
        <v>-1704.8302371013078</v>
      </c>
      <c r="O2689" t="s">
        <v>8</v>
      </c>
    </row>
    <row r="2690" spans="1:15" x14ac:dyDescent="0.35">
      <c r="A2690">
        <v>2007</v>
      </c>
      <c r="B2690">
        <v>5</v>
      </c>
      <c r="C2690">
        <v>12</v>
      </c>
      <c r="D2690" s="1">
        <f t="shared" si="328"/>
        <v>39214</v>
      </c>
      <c r="E2690">
        <v>0</v>
      </c>
      <c r="F2690">
        <f t="shared" si="334"/>
        <v>0</v>
      </c>
      <c r="G2690">
        <f t="shared" si="329"/>
        <v>0</v>
      </c>
      <c r="H2690">
        <f t="shared" si="335"/>
        <v>0</v>
      </c>
      <c r="I2690">
        <v>2689</v>
      </c>
      <c r="J2690">
        <f t="shared" si="330"/>
        <v>0.76211405038914593</v>
      </c>
      <c r="K2690">
        <f t="shared" si="331"/>
        <v>-0.64744279608275068</v>
      </c>
      <c r="L2690">
        <f>VLOOKUP(D2690,[1]SOI!$A$1:$C$142,3)</f>
        <v>-3</v>
      </c>
      <c r="M2690" s="2">
        <f t="shared" si="332"/>
        <v>2049.3246814964132</v>
      </c>
      <c r="N2690">
        <f t="shared" si="333"/>
        <v>-1740.9736786665167</v>
      </c>
      <c r="O2690" t="s">
        <v>8</v>
      </c>
    </row>
    <row r="2691" spans="1:15" x14ac:dyDescent="0.35">
      <c r="A2691">
        <v>2007</v>
      </c>
      <c r="B2691">
        <v>5</v>
      </c>
      <c r="C2691">
        <v>13</v>
      </c>
      <c r="D2691" s="1">
        <f t="shared" ref="D2691:D2754" si="336">DATE(A2691,B2691,C2691)</f>
        <v>39215</v>
      </c>
      <c r="E2691">
        <v>0</v>
      </c>
      <c r="F2691">
        <f t="shared" si="334"/>
        <v>0</v>
      </c>
      <c r="G2691">
        <f t="shared" ref="G2691:G2754" si="337">IF(E2691=0,0,1)</f>
        <v>0</v>
      </c>
      <c r="H2691">
        <f t="shared" si="335"/>
        <v>0</v>
      </c>
      <c r="I2691">
        <v>2690</v>
      </c>
      <c r="J2691">
        <f t="shared" ref="J2691:J2754" si="338">SIN(2*PI()*I2691/365.25)</f>
        <v>0.75086425339895457</v>
      </c>
      <c r="K2691">
        <f t="shared" ref="K2691:K2754" si="339">COS(2*PI()*I2691/365.25)</f>
        <v>-0.66045656402796882</v>
      </c>
      <c r="L2691">
        <f>VLOOKUP(D2691,[1]SOI!$A$1:$C$142,3)</f>
        <v>-3</v>
      </c>
      <c r="M2691" s="2">
        <f t="shared" ref="M2691:M2754" si="340">I2691*J2691</f>
        <v>2019.8248416431877</v>
      </c>
      <c r="N2691">
        <f t="shared" ref="N2691:N2754" si="341">I2691*K2691</f>
        <v>-1776.6281572352361</v>
      </c>
      <c r="O2691" t="s">
        <v>8</v>
      </c>
    </row>
    <row r="2692" spans="1:15" x14ac:dyDescent="0.35">
      <c r="A2692">
        <v>2007</v>
      </c>
      <c r="B2692">
        <v>5</v>
      </c>
      <c r="C2692">
        <v>14</v>
      </c>
      <c r="D2692" s="1">
        <f t="shared" si="336"/>
        <v>39216</v>
      </c>
      <c r="E2692">
        <v>0</v>
      </c>
      <c r="F2692">
        <f t="shared" ref="F2692:F2755" si="342">E2691</f>
        <v>0</v>
      </c>
      <c r="G2692">
        <f t="shared" si="337"/>
        <v>0</v>
      </c>
      <c r="H2692">
        <f t="shared" ref="H2692:H2755" si="343">G2691</f>
        <v>0</v>
      </c>
      <c r="I2692">
        <v>2691</v>
      </c>
      <c r="J2692">
        <f t="shared" si="338"/>
        <v>0.73939226359592425</v>
      </c>
      <c r="K2692">
        <f t="shared" si="339"/>
        <v>-0.67327489225018278</v>
      </c>
      <c r="L2692">
        <f>VLOOKUP(D2692,[1]SOI!$A$1:$C$142,3)</f>
        <v>-3</v>
      </c>
      <c r="M2692" s="2">
        <f t="shared" si="340"/>
        <v>1989.7045813366321</v>
      </c>
      <c r="N2692">
        <f t="shared" si="341"/>
        <v>-1811.7827350452419</v>
      </c>
      <c r="O2692" t="s">
        <v>8</v>
      </c>
    </row>
    <row r="2693" spans="1:15" x14ac:dyDescent="0.35">
      <c r="A2693">
        <v>2007</v>
      </c>
      <c r="B2693">
        <v>5</v>
      </c>
      <c r="C2693">
        <v>15</v>
      </c>
      <c r="D2693" s="1">
        <f t="shared" si="336"/>
        <v>39217</v>
      </c>
      <c r="E2693">
        <v>0.6</v>
      </c>
      <c r="F2693">
        <f t="shared" si="342"/>
        <v>0</v>
      </c>
      <c r="G2693">
        <f t="shared" si="337"/>
        <v>1</v>
      </c>
      <c r="H2693">
        <f t="shared" si="343"/>
        <v>0</v>
      </c>
      <c r="I2693">
        <v>2692</v>
      </c>
      <c r="J2693">
        <f t="shared" si="338"/>
        <v>0.72770147572642285</v>
      </c>
      <c r="K2693">
        <f t="shared" si="339"/>
        <v>-0.68589398759982323</v>
      </c>
      <c r="L2693">
        <f>VLOOKUP(D2693,[1]SOI!$A$1:$C$142,3)</f>
        <v>-3</v>
      </c>
      <c r="M2693" s="2">
        <f t="shared" si="340"/>
        <v>1958.9723726555303</v>
      </c>
      <c r="N2693">
        <f t="shared" si="341"/>
        <v>-1846.4266146187242</v>
      </c>
      <c r="O2693" t="s">
        <v>8</v>
      </c>
    </row>
    <row r="2694" spans="1:15" x14ac:dyDescent="0.35">
      <c r="A2694">
        <v>2007</v>
      </c>
      <c r="B2694">
        <v>5</v>
      </c>
      <c r="C2694">
        <v>16</v>
      </c>
      <c r="D2694" s="1">
        <f t="shared" si="336"/>
        <v>39218</v>
      </c>
      <c r="E2694">
        <v>5.8</v>
      </c>
      <c r="F2694">
        <f t="shared" si="342"/>
        <v>0.6</v>
      </c>
      <c r="G2694">
        <f t="shared" si="337"/>
        <v>1</v>
      </c>
      <c r="H2694">
        <f t="shared" si="343"/>
        <v>1</v>
      </c>
      <c r="I2694">
        <v>2693</v>
      </c>
      <c r="J2694">
        <f t="shared" si="338"/>
        <v>0.71579534928266308</v>
      </c>
      <c r="K2694">
        <f t="shared" si="339"/>
        <v>-0.69831011588355962</v>
      </c>
      <c r="L2694">
        <f>VLOOKUP(D2694,[1]SOI!$A$1:$C$142,3)</f>
        <v>-3</v>
      </c>
      <c r="M2694" s="2">
        <f t="shared" si="340"/>
        <v>1927.6368756182117</v>
      </c>
      <c r="N2694">
        <f t="shared" si="341"/>
        <v>-1880.5491420744261</v>
      </c>
      <c r="O2694" t="s">
        <v>8</v>
      </c>
    </row>
    <row r="2695" spans="1:15" x14ac:dyDescent="0.35">
      <c r="A2695">
        <v>2007</v>
      </c>
      <c r="B2695">
        <v>5</v>
      </c>
      <c r="C2695">
        <v>17</v>
      </c>
      <c r="D2695" s="1">
        <f t="shared" si="336"/>
        <v>39219</v>
      </c>
      <c r="E2695">
        <v>0</v>
      </c>
      <c r="F2695">
        <f t="shared" si="342"/>
        <v>5.8</v>
      </c>
      <c r="G2695">
        <f t="shared" si="337"/>
        <v>0</v>
      </c>
      <c r="H2695">
        <f t="shared" si="343"/>
        <v>1</v>
      </c>
      <c r="I2695">
        <v>2694</v>
      </c>
      <c r="J2695">
        <f t="shared" si="338"/>
        <v>0.70367740747901064</v>
      </c>
      <c r="K2695">
        <f t="shared" si="339"/>
        <v>-0.71051960296927652</v>
      </c>
      <c r="L2695">
        <f>VLOOKUP(D2695,[1]SOI!$A$1:$C$142,3)</f>
        <v>-3</v>
      </c>
      <c r="M2695" s="2">
        <f t="shared" si="340"/>
        <v>1895.7069357484547</v>
      </c>
      <c r="N2695">
        <f t="shared" si="341"/>
        <v>-1914.139810399231</v>
      </c>
      <c r="O2695" t="s">
        <v>8</v>
      </c>
    </row>
    <row r="2696" spans="1:15" x14ac:dyDescent="0.35">
      <c r="A2696">
        <v>2007</v>
      </c>
      <c r="B2696">
        <v>5</v>
      </c>
      <c r="C2696">
        <v>18</v>
      </c>
      <c r="D2696" s="1">
        <f t="shared" si="336"/>
        <v>39220</v>
      </c>
      <c r="E2696">
        <v>12.2</v>
      </c>
      <c r="F2696">
        <f t="shared" si="342"/>
        <v>0</v>
      </c>
      <c r="G2696">
        <f t="shared" si="337"/>
        <v>1</v>
      </c>
      <c r="H2696">
        <f t="shared" si="343"/>
        <v>0</v>
      </c>
      <c r="I2696">
        <v>2695</v>
      </c>
      <c r="J2696">
        <f t="shared" si="338"/>
        <v>0.69135123620941463</v>
      </c>
      <c r="K2696">
        <f t="shared" si="339"/>
        <v>-0.7225188358733039</v>
      </c>
      <c r="L2696">
        <f>VLOOKUP(D2696,[1]SOI!$A$1:$C$142,3)</f>
        <v>-3</v>
      </c>
      <c r="M2696" s="2">
        <f t="shared" si="340"/>
        <v>1863.1915815843724</v>
      </c>
      <c r="N2696">
        <f t="shared" si="341"/>
        <v>-1947.1882626785541</v>
      </c>
      <c r="O2696" t="s">
        <v>8</v>
      </c>
    </row>
    <row r="2697" spans="1:15" x14ac:dyDescent="0.35">
      <c r="A2697">
        <v>2007</v>
      </c>
      <c r="B2697">
        <v>5</v>
      </c>
      <c r="C2697">
        <v>19</v>
      </c>
      <c r="D2697" s="1">
        <f t="shared" si="336"/>
        <v>39221</v>
      </c>
      <c r="E2697">
        <v>2</v>
      </c>
      <c r="F2697">
        <f t="shared" si="342"/>
        <v>12.2</v>
      </c>
      <c r="G2697">
        <f t="shared" si="337"/>
        <v>1</v>
      </c>
      <c r="H2697">
        <f t="shared" si="343"/>
        <v>1</v>
      </c>
      <c r="I2697">
        <v>2696</v>
      </c>
      <c r="J2697">
        <f t="shared" si="338"/>
        <v>0.67882048298623698</v>
      </c>
      <c r="K2697">
        <f t="shared" si="339"/>
        <v>-0.73430426382960068</v>
      </c>
      <c r="L2697">
        <f>VLOOKUP(D2697,[1]SOI!$A$1:$C$142,3)</f>
        <v>-3</v>
      </c>
      <c r="M2697" s="2">
        <f t="shared" si="340"/>
        <v>1830.100022130895</v>
      </c>
      <c r="N2697">
        <f t="shared" si="341"/>
        <v>-1979.6842952846034</v>
      </c>
      <c r="O2697" t="s">
        <v>8</v>
      </c>
    </row>
    <row r="2698" spans="1:15" x14ac:dyDescent="0.35">
      <c r="A2698">
        <v>2007</v>
      </c>
      <c r="B2698">
        <v>5</v>
      </c>
      <c r="C2698">
        <v>20</v>
      </c>
      <c r="D2698" s="1">
        <f t="shared" si="336"/>
        <v>39222</v>
      </c>
      <c r="E2698">
        <v>0.2</v>
      </c>
      <c r="F2698">
        <f t="shared" si="342"/>
        <v>2</v>
      </c>
      <c r="G2698">
        <f t="shared" si="337"/>
        <v>1</v>
      </c>
      <c r="H2698">
        <f t="shared" si="343"/>
        <v>1</v>
      </c>
      <c r="I2698">
        <v>2697</v>
      </c>
      <c r="J2698">
        <f t="shared" si="338"/>
        <v>0.66608885586097755</v>
      </c>
      <c r="K2698">
        <f t="shared" si="339"/>
        <v>-0.74587239934040594</v>
      </c>
      <c r="L2698">
        <f>VLOOKUP(D2698,[1]SOI!$A$1:$C$142,3)</f>
        <v>-3</v>
      </c>
      <c r="M2698" s="2">
        <f t="shared" si="340"/>
        <v>1796.4416442570564</v>
      </c>
      <c r="N2698">
        <f t="shared" si="341"/>
        <v>-2011.6178610210748</v>
      </c>
      <c r="O2698" t="s">
        <v>8</v>
      </c>
    </row>
    <row r="2699" spans="1:15" x14ac:dyDescent="0.35">
      <c r="A2699">
        <v>2007</v>
      </c>
      <c r="B2699">
        <v>5</v>
      </c>
      <c r="C2699">
        <v>21</v>
      </c>
      <c r="D2699" s="1">
        <f t="shared" si="336"/>
        <v>39223</v>
      </c>
      <c r="E2699">
        <v>0</v>
      </c>
      <c r="F2699">
        <f t="shared" si="342"/>
        <v>0.2</v>
      </c>
      <c r="G2699">
        <f t="shared" si="337"/>
        <v>0</v>
      </c>
      <c r="H2699">
        <f t="shared" si="343"/>
        <v>1</v>
      </c>
      <c r="I2699">
        <v>2698</v>
      </c>
      <c r="J2699">
        <f t="shared" si="338"/>
        <v>0.65316012232692944</v>
      </c>
      <c r="K2699">
        <f t="shared" si="339"/>
        <v>-0.75721981920831316</v>
      </c>
      <c r="L2699">
        <f>VLOOKUP(D2699,[1]SOI!$A$1:$C$142,3)</f>
        <v>-3</v>
      </c>
      <c r="M2699" s="2">
        <f t="shared" si="340"/>
        <v>1762.2260100380556</v>
      </c>
      <c r="N2699">
        <f t="shared" si="341"/>
        <v>-2042.9790722240289</v>
      </c>
      <c r="O2699" t="s">
        <v>8</v>
      </c>
    </row>
    <row r="2700" spans="1:15" x14ac:dyDescent="0.35">
      <c r="A2700">
        <v>2007</v>
      </c>
      <c r="B2700">
        <v>5</v>
      </c>
      <c r="C2700">
        <v>22</v>
      </c>
      <c r="D2700" s="1">
        <f t="shared" si="336"/>
        <v>39224</v>
      </c>
      <c r="E2700">
        <v>1.8</v>
      </c>
      <c r="F2700">
        <f t="shared" si="342"/>
        <v>0</v>
      </c>
      <c r="G2700">
        <f t="shared" si="337"/>
        <v>1</v>
      </c>
      <c r="H2700">
        <f t="shared" si="343"/>
        <v>0</v>
      </c>
      <c r="I2700">
        <v>2699</v>
      </c>
      <c r="J2700">
        <f t="shared" si="338"/>
        <v>0.64003810820434903</v>
      </c>
      <c r="K2700">
        <f t="shared" si="339"/>
        <v>-0.76834316554922133</v>
      </c>
      <c r="L2700">
        <f>VLOOKUP(D2700,[1]SOI!$A$1:$C$142,3)</f>
        <v>-3</v>
      </c>
      <c r="M2700" s="2">
        <f t="shared" si="340"/>
        <v>1727.4628540435381</v>
      </c>
      <c r="N2700">
        <f t="shared" si="341"/>
        <v>-2073.7582038173482</v>
      </c>
      <c r="O2700" t="s">
        <v>8</v>
      </c>
    </row>
    <row r="2701" spans="1:15" x14ac:dyDescent="0.35">
      <c r="A2701">
        <v>2007</v>
      </c>
      <c r="B2701">
        <v>5</v>
      </c>
      <c r="C2701">
        <v>23</v>
      </c>
      <c r="D2701" s="1">
        <f t="shared" si="336"/>
        <v>39225</v>
      </c>
      <c r="E2701">
        <v>0</v>
      </c>
      <c r="F2701">
        <f t="shared" si="342"/>
        <v>1.8</v>
      </c>
      <c r="G2701">
        <f t="shared" si="337"/>
        <v>0</v>
      </c>
      <c r="H2701">
        <f t="shared" si="343"/>
        <v>1</v>
      </c>
      <c r="I2701">
        <v>2700</v>
      </c>
      <c r="J2701">
        <f t="shared" si="338"/>
        <v>0.6267266965083278</v>
      </c>
      <c r="K2701">
        <f t="shared" si="339"/>
        <v>-0.77923914678599049</v>
      </c>
      <c r="L2701">
        <f>VLOOKUP(D2701,[1]SOI!$A$1:$C$142,3)</f>
        <v>-3</v>
      </c>
      <c r="M2701" s="2">
        <f t="shared" si="340"/>
        <v>1692.1620805724851</v>
      </c>
      <c r="N2701">
        <f t="shared" si="341"/>
        <v>-2103.9456963221742</v>
      </c>
      <c r="O2701" t="s">
        <v>8</v>
      </c>
    </row>
    <row r="2702" spans="1:15" x14ac:dyDescent="0.35">
      <c r="A2702">
        <v>2007</v>
      </c>
      <c r="B2702">
        <v>5</v>
      </c>
      <c r="C2702">
        <v>24</v>
      </c>
      <c r="D2702" s="1">
        <f t="shared" si="336"/>
        <v>39226</v>
      </c>
      <c r="E2702">
        <v>0</v>
      </c>
      <c r="F2702">
        <f t="shared" si="342"/>
        <v>0</v>
      </c>
      <c r="G2702">
        <f t="shared" si="337"/>
        <v>0</v>
      </c>
      <c r="H2702">
        <f t="shared" si="343"/>
        <v>0</v>
      </c>
      <c r="I2702">
        <v>2701</v>
      </c>
      <c r="J2702">
        <f t="shared" si="338"/>
        <v>0.61322982629975242</v>
      </c>
      <c r="K2702">
        <f t="shared" si="339"/>
        <v>-0.7899045386224689</v>
      </c>
      <c r="L2702">
        <f>VLOOKUP(D2702,[1]SOI!$A$1:$C$142,3)</f>
        <v>-3</v>
      </c>
      <c r="M2702" s="2">
        <f t="shared" si="340"/>
        <v>1656.3337608356312</v>
      </c>
      <c r="N2702">
        <f t="shared" si="341"/>
        <v>-2133.5321588192883</v>
      </c>
      <c r="O2702" t="s">
        <v>8</v>
      </c>
    </row>
    <row r="2703" spans="1:15" x14ac:dyDescent="0.35">
      <c r="A2703">
        <v>2007</v>
      </c>
      <c r="B2703">
        <v>5</v>
      </c>
      <c r="C2703">
        <v>25</v>
      </c>
      <c r="D2703" s="1">
        <f t="shared" si="336"/>
        <v>39227</v>
      </c>
      <c r="E2703">
        <v>0</v>
      </c>
      <c r="F2703">
        <f t="shared" si="342"/>
        <v>0</v>
      </c>
      <c r="G2703">
        <f t="shared" si="337"/>
        <v>0</v>
      </c>
      <c r="H2703">
        <f t="shared" si="343"/>
        <v>0</v>
      </c>
      <c r="I2703">
        <v>2702</v>
      </c>
      <c r="J2703">
        <f t="shared" si="338"/>
        <v>0.59955149151965015</v>
      </c>
      <c r="K2703">
        <f t="shared" si="339"/>
        <v>-0.80033618499763137</v>
      </c>
      <c r="L2703">
        <f>VLOOKUP(D2703,[1]SOI!$A$1:$C$142,3)</f>
        <v>-3</v>
      </c>
      <c r="M2703" s="2">
        <f t="shared" si="340"/>
        <v>1619.9881300860948</v>
      </c>
      <c r="N2703">
        <f t="shared" si="341"/>
        <v>-2162.5083718636001</v>
      </c>
      <c r="O2703" t="s">
        <v>8</v>
      </c>
    </row>
    <row r="2704" spans="1:15" x14ac:dyDescent="0.35">
      <c r="A2704">
        <v>2007</v>
      </c>
      <c r="B2704">
        <v>5</v>
      </c>
      <c r="C2704">
        <v>26</v>
      </c>
      <c r="D2704" s="1">
        <f t="shared" si="336"/>
        <v>39228</v>
      </c>
      <c r="E2704">
        <v>0</v>
      </c>
      <c r="F2704">
        <f t="shared" si="342"/>
        <v>0</v>
      </c>
      <c r="G2704">
        <f t="shared" si="337"/>
        <v>0</v>
      </c>
      <c r="H2704">
        <f t="shared" si="343"/>
        <v>0</v>
      </c>
      <c r="I2704">
        <v>2703</v>
      </c>
      <c r="J2704">
        <f t="shared" si="338"/>
        <v>0.58569573980735123</v>
      </c>
      <c r="K2704">
        <f t="shared" si="339"/>
        <v>-0.810530999019482</v>
      </c>
      <c r="L2704">
        <f>VLOOKUP(D2704,[1]SOI!$A$1:$C$142,3)</f>
        <v>-3</v>
      </c>
      <c r="M2704" s="2">
        <f t="shared" si="340"/>
        <v>1583.1355846992703</v>
      </c>
      <c r="N2704">
        <f t="shared" si="341"/>
        <v>-2190.86529034966</v>
      </c>
      <c r="O2704" t="s">
        <v>8</v>
      </c>
    </row>
    <row r="2705" spans="1:15" x14ac:dyDescent="0.35">
      <c r="A2705">
        <v>2007</v>
      </c>
      <c r="B2705">
        <v>5</v>
      </c>
      <c r="C2705">
        <v>27</v>
      </c>
      <c r="D2705" s="1">
        <f t="shared" si="336"/>
        <v>39229</v>
      </c>
      <c r="E2705">
        <v>0</v>
      </c>
      <c r="F2705">
        <f t="shared" si="342"/>
        <v>0</v>
      </c>
      <c r="G2705">
        <f t="shared" si="337"/>
        <v>0</v>
      </c>
      <c r="H2705">
        <f t="shared" si="343"/>
        <v>0</v>
      </c>
      <c r="I2705">
        <v>2704</v>
      </c>
      <c r="J2705">
        <f t="shared" si="338"/>
        <v>0.57166667130270499</v>
      </c>
      <c r="K2705">
        <f t="shared" si="339"/>
        <v>-0.82048596387853279</v>
      </c>
      <c r="L2705">
        <f>VLOOKUP(D2705,[1]SOI!$A$1:$C$142,3)</f>
        <v>-3</v>
      </c>
      <c r="M2705" s="2">
        <f t="shared" si="340"/>
        <v>1545.7866792025143</v>
      </c>
      <c r="N2705">
        <f t="shared" si="341"/>
        <v>-2218.5940463275529</v>
      </c>
      <c r="O2705" t="s">
        <v>8</v>
      </c>
    </row>
    <row r="2706" spans="1:15" x14ac:dyDescent="0.35">
      <c r="A2706">
        <v>2007</v>
      </c>
      <c r="B2706">
        <v>5</v>
      </c>
      <c r="C2706">
        <v>28</v>
      </c>
      <c r="D2706" s="1">
        <f t="shared" si="336"/>
        <v>39230</v>
      </c>
      <c r="E2706">
        <v>0</v>
      </c>
      <c r="F2706">
        <f t="shared" si="342"/>
        <v>0</v>
      </c>
      <c r="G2706">
        <f t="shared" si="337"/>
        <v>0</v>
      </c>
      <c r="H2706">
        <f t="shared" si="343"/>
        <v>0</v>
      </c>
      <c r="I2706">
        <v>2705</v>
      </c>
      <c r="J2706">
        <f t="shared" si="338"/>
        <v>0.55746843743278784</v>
      </c>
      <c r="K2706">
        <f t="shared" si="339"/>
        <v>-0.83019813374052209</v>
      </c>
      <c r="L2706">
        <f>VLOOKUP(D2706,[1]SOI!$A$1:$C$142,3)</f>
        <v>-3</v>
      </c>
      <c r="M2706" s="2">
        <f t="shared" si="340"/>
        <v>1507.952123255691</v>
      </c>
      <c r="N2706">
        <f t="shared" si="341"/>
        <v>-2245.6859517681123</v>
      </c>
      <c r="O2706" t="s">
        <v>8</v>
      </c>
    </row>
    <row r="2707" spans="1:15" x14ac:dyDescent="0.35">
      <c r="A2707">
        <v>2007</v>
      </c>
      <c r="B2707">
        <v>5</v>
      </c>
      <c r="C2707">
        <v>29</v>
      </c>
      <c r="D2707" s="1">
        <f t="shared" si="336"/>
        <v>39231</v>
      </c>
      <c r="E2707">
        <v>0</v>
      </c>
      <c r="F2707">
        <f t="shared" si="342"/>
        <v>0</v>
      </c>
      <c r="G2707">
        <f t="shared" si="337"/>
        <v>0</v>
      </c>
      <c r="H2707">
        <f t="shared" si="343"/>
        <v>0</v>
      </c>
      <c r="I2707">
        <v>2706</v>
      </c>
      <c r="J2707">
        <f t="shared" si="338"/>
        <v>0.5431052396834356</v>
      </c>
      <c r="K2707">
        <f t="shared" si="339"/>
        <v>-0.83966463461813012</v>
      </c>
      <c r="L2707">
        <f>VLOOKUP(D2707,[1]SOI!$A$1:$C$142,3)</f>
        <v>-3</v>
      </c>
      <c r="M2707" s="2">
        <f t="shared" si="340"/>
        <v>1469.6427785833766</v>
      </c>
      <c r="N2707">
        <f t="shared" si="341"/>
        <v>-2272.1325012766602</v>
      </c>
      <c r="O2707" t="s">
        <v>8</v>
      </c>
    </row>
    <row r="2708" spans="1:15" x14ac:dyDescent="0.35">
      <c r="A2708">
        <v>2007</v>
      </c>
      <c r="B2708">
        <v>5</v>
      </c>
      <c r="C2708">
        <v>30</v>
      </c>
      <c r="D2708" s="1">
        <f t="shared" si="336"/>
        <v>39232</v>
      </c>
      <c r="E2708">
        <v>7.6</v>
      </c>
      <c r="F2708">
        <f t="shared" si="342"/>
        <v>0</v>
      </c>
      <c r="G2708">
        <f t="shared" si="337"/>
        <v>1</v>
      </c>
      <c r="H2708">
        <f t="shared" si="343"/>
        <v>0</v>
      </c>
      <c r="I2708">
        <v>2707</v>
      </c>
      <c r="J2708">
        <f t="shared" si="338"/>
        <v>0.52858132835593197</v>
      </c>
      <c r="K2708">
        <f t="shared" si="339"/>
        <v>-0.84888266522145361</v>
      </c>
      <c r="L2708">
        <f>VLOOKUP(D2708,[1]SOI!$A$1:$C$142,3)</f>
        <v>-3</v>
      </c>
      <c r="M2708" s="2">
        <f t="shared" si="340"/>
        <v>1430.8696558595079</v>
      </c>
      <c r="N2708">
        <f t="shared" si="341"/>
        <v>-2297.9253747544749</v>
      </c>
      <c r="O2708" t="s">
        <v>8</v>
      </c>
    </row>
    <row r="2709" spans="1:15" x14ac:dyDescent="0.35">
      <c r="A2709">
        <v>2007</v>
      </c>
      <c r="B2709">
        <v>5</v>
      </c>
      <c r="C2709">
        <v>31</v>
      </c>
      <c r="D2709" s="1">
        <f t="shared" si="336"/>
        <v>39233</v>
      </c>
      <c r="E2709">
        <v>0.4</v>
      </c>
      <c r="F2709">
        <f t="shared" si="342"/>
        <v>7.6</v>
      </c>
      <c r="G2709">
        <f t="shared" si="337"/>
        <v>1</v>
      </c>
      <c r="H2709">
        <f t="shared" si="343"/>
        <v>1</v>
      </c>
      <c r="I2709">
        <v>2708</v>
      </c>
      <c r="J2709">
        <f t="shared" si="338"/>
        <v>0.51390100130931204</v>
      </c>
      <c r="K2709">
        <f t="shared" si="339"/>
        <v>-0.85784949778692909</v>
      </c>
      <c r="L2709">
        <f>VLOOKUP(D2709,[1]SOI!$A$1:$C$142,3)</f>
        <v>-3</v>
      </c>
      <c r="M2709" s="2">
        <f t="shared" si="340"/>
        <v>1391.6439115456171</v>
      </c>
      <c r="N2709">
        <f t="shared" si="341"/>
        <v>-2323.0564400070039</v>
      </c>
      <c r="O2709" t="s">
        <v>8</v>
      </c>
    </row>
    <row r="2710" spans="1:15" x14ac:dyDescent="0.35">
      <c r="A2710">
        <v>2007</v>
      </c>
      <c r="B2710">
        <v>6</v>
      </c>
      <c r="C2710">
        <v>1</v>
      </c>
      <c r="D2710" s="1">
        <f t="shared" si="336"/>
        <v>39234</v>
      </c>
      <c r="E2710">
        <v>6</v>
      </c>
      <c r="F2710">
        <f t="shared" si="342"/>
        <v>0.4</v>
      </c>
      <c r="G2710">
        <f t="shared" si="337"/>
        <v>1</v>
      </c>
      <c r="H2710">
        <f t="shared" si="343"/>
        <v>1</v>
      </c>
      <c r="I2710">
        <v>2709</v>
      </c>
      <c r="J2710">
        <f t="shared" si="338"/>
        <v>0.49906860268853248</v>
      </c>
      <c r="K2710">
        <f t="shared" si="339"/>
        <v>-0.86656247888453819</v>
      </c>
      <c r="L2710">
        <f>VLOOKUP(D2710,[1]SOI!$A$1:$C$142,3)</f>
        <v>-2.7</v>
      </c>
      <c r="M2710" s="2">
        <f t="shared" si="340"/>
        <v>1351.9768446832345</v>
      </c>
      <c r="N2710">
        <f t="shared" si="341"/>
        <v>-2347.5177552982141</v>
      </c>
      <c r="O2710" t="s">
        <v>8</v>
      </c>
    </row>
    <row r="2711" spans="1:15" x14ac:dyDescent="0.35">
      <c r="A2711">
        <v>2007</v>
      </c>
      <c r="B2711">
        <v>6</v>
      </c>
      <c r="C2711">
        <v>2</v>
      </c>
      <c r="D2711" s="1">
        <f t="shared" si="336"/>
        <v>39235</v>
      </c>
      <c r="E2711">
        <v>0.6</v>
      </c>
      <c r="F2711">
        <f t="shared" si="342"/>
        <v>6</v>
      </c>
      <c r="G2711">
        <f t="shared" si="337"/>
        <v>1</v>
      </c>
      <c r="H2711">
        <f t="shared" si="343"/>
        <v>1</v>
      </c>
      <c r="I2711">
        <v>2710</v>
      </c>
      <c r="J2711">
        <f t="shared" si="338"/>
        <v>0.48408852163897564</v>
      </c>
      <c r="K2711">
        <f t="shared" si="339"/>
        <v>-0.87501903020299565</v>
      </c>
      <c r="L2711">
        <f>VLOOKUP(D2711,[1]SOI!$A$1:$C$142,3)</f>
        <v>-2.7</v>
      </c>
      <c r="M2711" s="2">
        <f t="shared" si="340"/>
        <v>1311.879893641624</v>
      </c>
      <c r="N2711">
        <f t="shared" si="341"/>
        <v>-2371.3015718501183</v>
      </c>
      <c r="O2711" t="s">
        <v>8</v>
      </c>
    </row>
    <row r="2712" spans="1:15" x14ac:dyDescent="0.35">
      <c r="A2712">
        <v>2007</v>
      </c>
      <c r="B2712">
        <v>6</v>
      </c>
      <c r="C2712">
        <v>3</v>
      </c>
      <c r="D2712" s="1">
        <f t="shared" si="336"/>
        <v>39236</v>
      </c>
      <c r="E2712">
        <v>0</v>
      </c>
      <c r="F2712">
        <f t="shared" si="342"/>
        <v>0.6</v>
      </c>
      <c r="G2712">
        <f t="shared" si="337"/>
        <v>0</v>
      </c>
      <c r="H2712">
        <f t="shared" si="343"/>
        <v>1</v>
      </c>
      <c r="I2712">
        <v>2711</v>
      </c>
      <c r="J2712">
        <f t="shared" si="338"/>
        <v>0.46896519100763046</v>
      </c>
      <c r="K2712">
        <f t="shared" si="339"/>
        <v>-0.88321664931271349</v>
      </c>
      <c r="L2712">
        <f>VLOOKUP(D2712,[1]SOI!$A$1:$C$142,3)</f>
        <v>-2.7</v>
      </c>
      <c r="M2712" s="2">
        <f t="shared" si="340"/>
        <v>1271.3646328216862</v>
      </c>
      <c r="N2712">
        <f t="shared" si="341"/>
        <v>-2394.4003362867661</v>
      </c>
      <c r="O2712" t="s">
        <v>8</v>
      </c>
    </row>
    <row r="2713" spans="1:15" x14ac:dyDescent="0.35">
      <c r="A2713">
        <v>2007</v>
      </c>
      <c r="B2713">
        <v>6</v>
      </c>
      <c r="C2713">
        <v>4</v>
      </c>
      <c r="D2713" s="1">
        <f t="shared" si="336"/>
        <v>39237</v>
      </c>
      <c r="E2713">
        <v>0</v>
      </c>
      <c r="F2713">
        <f t="shared" si="342"/>
        <v>0</v>
      </c>
      <c r="G2713">
        <f t="shared" si="337"/>
        <v>0</v>
      </c>
      <c r="H2713">
        <f t="shared" si="343"/>
        <v>0</v>
      </c>
      <c r="I2713">
        <v>2712</v>
      </c>
      <c r="J2713">
        <f t="shared" si="338"/>
        <v>0.45370308603134796</v>
      </c>
      <c r="K2713">
        <f t="shared" si="339"/>
        <v>-0.89115291040630695</v>
      </c>
      <c r="L2713">
        <f>VLOOKUP(D2713,[1]SOI!$A$1:$C$142,3)</f>
        <v>-2.7</v>
      </c>
      <c r="M2713" s="2">
        <f t="shared" si="340"/>
        <v>1230.4427693170157</v>
      </c>
      <c r="N2713">
        <f t="shared" si="341"/>
        <v>-2416.8066930219043</v>
      </c>
      <c r="O2713" t="s">
        <v>8</v>
      </c>
    </row>
    <row r="2714" spans="1:15" x14ac:dyDescent="0.35">
      <c r="A2714">
        <v>2007</v>
      </c>
      <c r="B2714">
        <v>6</v>
      </c>
      <c r="C2714">
        <v>5</v>
      </c>
      <c r="D2714" s="1">
        <f t="shared" si="336"/>
        <v>39238</v>
      </c>
      <c r="E2714">
        <v>0</v>
      </c>
      <c r="F2714">
        <f t="shared" si="342"/>
        <v>0</v>
      </c>
      <c r="G2714">
        <f t="shared" si="337"/>
        <v>0</v>
      </c>
      <c r="H2714">
        <f t="shared" si="343"/>
        <v>0</v>
      </c>
      <c r="I2714">
        <v>2713</v>
      </c>
      <c r="J2714">
        <f t="shared" si="338"/>
        <v>0.43830672301252177</v>
      </c>
      <c r="K2714">
        <f t="shared" si="339"/>
        <v>-0.89882546501644278</v>
      </c>
      <c r="L2714">
        <f>VLOOKUP(D2714,[1]SOI!$A$1:$C$142,3)</f>
        <v>-2.7</v>
      </c>
      <c r="M2714" s="2">
        <f t="shared" si="340"/>
        <v>1189.1261395329716</v>
      </c>
      <c r="N2714">
        <f t="shared" si="341"/>
        <v>-2438.5134865896093</v>
      </c>
      <c r="O2714" t="s">
        <v>8</v>
      </c>
    </row>
    <row r="2715" spans="1:15" x14ac:dyDescent="0.35">
      <c r="A2715">
        <v>2007</v>
      </c>
      <c r="B2715">
        <v>6</v>
      </c>
      <c r="C2715">
        <v>6</v>
      </c>
      <c r="D2715" s="1">
        <f t="shared" si="336"/>
        <v>39239</v>
      </c>
      <c r="E2715">
        <v>0.2</v>
      </c>
      <c r="F2715">
        <f t="shared" si="342"/>
        <v>0</v>
      </c>
      <c r="G2715">
        <f t="shared" si="337"/>
        <v>1</v>
      </c>
      <c r="H2715">
        <f t="shared" si="343"/>
        <v>0</v>
      </c>
      <c r="I2715">
        <v>2714</v>
      </c>
      <c r="J2715">
        <f t="shared" si="338"/>
        <v>0.42278065798267905</v>
      </c>
      <c r="K2715">
        <f t="shared" si="339"/>
        <v>-0.90623204271076896</v>
      </c>
      <c r="L2715">
        <f>VLOOKUP(D2715,[1]SOI!$A$1:$C$142,3)</f>
        <v>-2.7</v>
      </c>
      <c r="M2715" s="2">
        <f t="shared" si="340"/>
        <v>1147.4267057649909</v>
      </c>
      <c r="N2715">
        <f t="shared" si="341"/>
        <v>-2459.5137639170271</v>
      </c>
      <c r="O2715" t="s">
        <v>8</v>
      </c>
    </row>
    <row r="2716" spans="1:15" x14ac:dyDescent="0.35">
      <c r="A2716">
        <v>2007</v>
      </c>
      <c r="B2716">
        <v>6</v>
      </c>
      <c r="C2716">
        <v>7</v>
      </c>
      <c r="D2716" s="1">
        <f t="shared" si="336"/>
        <v>39240</v>
      </c>
      <c r="E2716">
        <v>0.2</v>
      </c>
      <c r="F2716">
        <f t="shared" si="342"/>
        <v>0.2</v>
      </c>
      <c r="G2716">
        <f t="shared" si="337"/>
        <v>1</v>
      </c>
      <c r="H2716">
        <f t="shared" si="343"/>
        <v>1</v>
      </c>
      <c r="I2716">
        <v>2715</v>
      </c>
      <c r="J2716">
        <f t="shared" si="338"/>
        <v>0.40712948535425253</v>
      </c>
      <c r="K2716">
        <f t="shared" si="339"/>
        <v>-0.9133704517637854</v>
      </c>
      <c r="L2716">
        <f>VLOOKUP(D2716,[1]SOI!$A$1:$C$142,3)</f>
        <v>-2.7</v>
      </c>
      <c r="M2716" s="2">
        <f t="shared" si="340"/>
        <v>1105.3565527367957</v>
      </c>
      <c r="N2716">
        <f t="shared" si="341"/>
        <v>-2479.8007765386774</v>
      </c>
      <c r="O2716" t="s">
        <v>8</v>
      </c>
    </row>
    <row r="2717" spans="1:15" x14ac:dyDescent="0.35">
      <c r="A2717">
        <v>2007</v>
      </c>
      <c r="B2717">
        <v>6</v>
      </c>
      <c r="C2717">
        <v>8</v>
      </c>
      <c r="D2717" s="1">
        <f t="shared" si="336"/>
        <v>39241</v>
      </c>
      <c r="E2717">
        <v>0</v>
      </c>
      <c r="F2717">
        <f t="shared" si="342"/>
        <v>0.2</v>
      </c>
      <c r="G2717">
        <f t="shared" si="337"/>
        <v>0</v>
      </c>
      <c r="H2717">
        <f t="shared" si="343"/>
        <v>1</v>
      </c>
      <c r="I2717">
        <v>2716</v>
      </c>
      <c r="J2717">
        <f t="shared" si="338"/>
        <v>0.39135783656102607</v>
      </c>
      <c r="K2717">
        <f t="shared" si="339"/>
        <v>-0.92023857980540746</v>
      </c>
      <c r="L2717">
        <f>VLOOKUP(D2717,[1]SOI!$A$1:$C$142,3)</f>
        <v>-2.7</v>
      </c>
      <c r="M2717" s="2">
        <f t="shared" si="340"/>
        <v>1062.9278840997467</v>
      </c>
      <c r="N2717">
        <f t="shared" si="341"/>
        <v>-2499.3679827514866</v>
      </c>
      <c r="O2717" t="s">
        <v>8</v>
      </c>
    </row>
    <row r="2718" spans="1:15" x14ac:dyDescent="0.35">
      <c r="A2718">
        <v>2007</v>
      </c>
      <c r="B2718">
        <v>6</v>
      </c>
      <c r="C2718">
        <v>9</v>
      </c>
      <c r="D2718" s="1">
        <f t="shared" si="336"/>
        <v>39242</v>
      </c>
      <c r="E2718">
        <v>0</v>
      </c>
      <c r="F2718">
        <f t="shared" si="342"/>
        <v>0</v>
      </c>
      <c r="G2718">
        <f t="shared" si="337"/>
        <v>0</v>
      </c>
      <c r="H2718">
        <f t="shared" si="343"/>
        <v>0</v>
      </c>
      <c r="I2718">
        <v>2717</v>
      </c>
      <c r="J2718">
        <f t="shared" si="338"/>
        <v>0.37547037868762567</v>
      </c>
      <c r="K2718">
        <f t="shared" si="339"/>
        <v>-0.92683439444604721</v>
      </c>
      <c r="L2718">
        <f>VLOOKUP(D2718,[1]SOI!$A$1:$C$142,3)</f>
        <v>-2.7</v>
      </c>
      <c r="M2718" s="2">
        <f t="shared" si="340"/>
        <v>1020.1530188942789</v>
      </c>
      <c r="N2718">
        <f t="shared" si="341"/>
        <v>-2518.2090497099102</v>
      </c>
      <c r="O2718" t="s">
        <v>8</v>
      </c>
    </row>
    <row r="2719" spans="1:15" x14ac:dyDescent="0.35">
      <c r="A2719">
        <v>2007</v>
      </c>
      <c r="B2719">
        <v>6</v>
      </c>
      <c r="C2719">
        <v>10</v>
      </c>
      <c r="D2719" s="1">
        <f t="shared" si="336"/>
        <v>39243</v>
      </c>
      <c r="E2719">
        <v>0</v>
      </c>
      <c r="F2719">
        <f t="shared" si="342"/>
        <v>0</v>
      </c>
      <c r="G2719">
        <f t="shared" si="337"/>
        <v>0</v>
      </c>
      <c r="H2719">
        <f t="shared" si="343"/>
        <v>0</v>
      </c>
      <c r="I2719">
        <v>2718</v>
      </c>
      <c r="J2719">
        <f t="shared" si="338"/>
        <v>0.35947181308842752</v>
      </c>
      <c r="K2719">
        <f t="shared" si="339"/>
        <v>-0.93315594387804157</v>
      </c>
      <c r="L2719">
        <f>VLOOKUP(D2719,[1]SOI!$A$1:$C$142,3)</f>
        <v>-2.7</v>
      </c>
      <c r="M2719" s="2">
        <f t="shared" si="340"/>
        <v>977.04438797434602</v>
      </c>
      <c r="N2719">
        <f t="shared" si="341"/>
        <v>-2536.317855460517</v>
      </c>
      <c r="O2719" t="s">
        <v>8</v>
      </c>
    </row>
    <row r="2720" spans="1:15" x14ac:dyDescent="0.35">
      <c r="A2720">
        <v>2007</v>
      </c>
      <c r="B2720">
        <v>6</v>
      </c>
      <c r="C2720">
        <v>11</v>
      </c>
      <c r="D2720" s="1">
        <f t="shared" si="336"/>
        <v>39244</v>
      </c>
      <c r="E2720">
        <v>3.4</v>
      </c>
      <c r="F2720">
        <f t="shared" si="342"/>
        <v>0</v>
      </c>
      <c r="G2720">
        <f t="shared" si="337"/>
        <v>1</v>
      </c>
      <c r="H2720">
        <f t="shared" si="343"/>
        <v>0</v>
      </c>
      <c r="I2720">
        <v>2719</v>
      </c>
      <c r="J2720">
        <f t="shared" si="338"/>
        <v>0.3433668739963911</v>
      </c>
      <c r="K2720">
        <f t="shared" si="339"/>
        <v>-0.93920135745320688</v>
      </c>
      <c r="L2720">
        <f>VLOOKUP(D2720,[1]SOI!$A$1:$C$142,3)</f>
        <v>-2.7</v>
      </c>
      <c r="M2720" s="2">
        <f t="shared" si="340"/>
        <v>933.61453039618743</v>
      </c>
      <c r="N2720">
        <f t="shared" si="341"/>
        <v>-2553.6884909152695</v>
      </c>
      <c r="O2720" t="s">
        <v>8</v>
      </c>
    </row>
    <row r="2721" spans="1:15" x14ac:dyDescent="0.35">
      <c r="A2721">
        <v>2007</v>
      </c>
      <c r="B2721">
        <v>6</v>
      </c>
      <c r="C2721">
        <v>12</v>
      </c>
      <c r="D2721" s="1">
        <f t="shared" si="336"/>
        <v>39245</v>
      </c>
      <c r="E2721">
        <v>2.8</v>
      </c>
      <c r="F2721">
        <f t="shared" si="342"/>
        <v>3.4</v>
      </c>
      <c r="G2721">
        <f t="shared" si="337"/>
        <v>1</v>
      </c>
      <c r="H2721">
        <f t="shared" si="343"/>
        <v>1</v>
      </c>
      <c r="I2721">
        <v>2720</v>
      </c>
      <c r="J2721">
        <f t="shared" si="338"/>
        <v>0.32716032712209736</v>
      </c>
      <c r="K2721">
        <f t="shared" si="339"/>
        <v>-0.94496884623640487</v>
      </c>
      <c r="L2721">
        <f>VLOOKUP(D2721,[1]SOI!$A$1:$C$142,3)</f>
        <v>-2.7</v>
      </c>
      <c r="M2721" s="2">
        <f t="shared" si="340"/>
        <v>889.87608977210482</v>
      </c>
      <c r="N2721">
        <f t="shared" si="341"/>
        <v>-2570.3152617630212</v>
      </c>
      <c r="O2721" t="s">
        <v>8</v>
      </c>
    </row>
    <row r="2722" spans="1:15" x14ac:dyDescent="0.35">
      <c r="A2722">
        <v>2007</v>
      </c>
      <c r="B2722">
        <v>6</v>
      </c>
      <c r="C2722">
        <v>13</v>
      </c>
      <c r="D2722" s="1">
        <f t="shared" si="336"/>
        <v>39246</v>
      </c>
      <c r="E2722">
        <v>1</v>
      </c>
      <c r="F2722">
        <f t="shared" si="342"/>
        <v>2.8</v>
      </c>
      <c r="G2722">
        <f t="shared" si="337"/>
        <v>1</v>
      </c>
      <c r="H2722">
        <f t="shared" si="343"/>
        <v>1</v>
      </c>
      <c r="I2722">
        <v>2721</v>
      </c>
      <c r="J2722">
        <f t="shared" si="338"/>
        <v>0.31085696824350467</v>
      </c>
      <c r="K2722">
        <f t="shared" si="339"/>
        <v>-0.95045670353491474</v>
      </c>
      <c r="L2722">
        <f>VLOOKUP(D2722,[1]SOI!$A$1:$C$142,3)</f>
        <v>-2.7</v>
      </c>
      <c r="M2722" s="2">
        <f t="shared" si="340"/>
        <v>845.84181059057619</v>
      </c>
      <c r="N2722">
        <f t="shared" si="341"/>
        <v>-2586.1926903185031</v>
      </c>
      <c r="O2722" t="s">
        <v>8</v>
      </c>
    </row>
    <row r="2723" spans="1:15" x14ac:dyDescent="0.35">
      <c r="A2723">
        <v>2007</v>
      </c>
      <c r="B2723">
        <v>6</v>
      </c>
      <c r="C2723">
        <v>14</v>
      </c>
      <c r="D2723" s="1">
        <f t="shared" si="336"/>
        <v>39247</v>
      </c>
      <c r="E2723">
        <v>0.8</v>
      </c>
      <c r="F2723">
        <f t="shared" si="342"/>
        <v>1</v>
      </c>
      <c r="G2723">
        <f t="shared" si="337"/>
        <v>1</v>
      </c>
      <c r="H2723">
        <f t="shared" si="343"/>
        <v>1</v>
      </c>
      <c r="I2723">
        <v>2722</v>
      </c>
      <c r="J2723">
        <f t="shared" si="338"/>
        <v>0.29446162178680096</v>
      </c>
      <c r="K2723">
        <f t="shared" si="339"/>
        <v>-0.95566330540347055</v>
      </c>
      <c r="L2723">
        <f>VLOOKUP(D2723,[1]SOI!$A$1:$C$142,3)</f>
        <v>-2.7</v>
      </c>
      <c r="M2723" s="2">
        <f t="shared" si="340"/>
        <v>801.52453450367227</v>
      </c>
      <c r="N2723">
        <f t="shared" si="341"/>
        <v>-2601.3155173082469</v>
      </c>
      <c r="O2723" t="s">
        <v>8</v>
      </c>
    </row>
    <row r="2724" spans="1:15" x14ac:dyDescent="0.35">
      <c r="A2724">
        <v>2007</v>
      </c>
      <c r="B2724">
        <v>6</v>
      </c>
      <c r="C2724">
        <v>15</v>
      </c>
      <c r="D2724" s="1">
        <f t="shared" si="336"/>
        <v>39248</v>
      </c>
      <c r="E2724">
        <v>0</v>
      </c>
      <c r="F2724">
        <f t="shared" si="342"/>
        <v>0.8</v>
      </c>
      <c r="G2724">
        <f t="shared" si="337"/>
        <v>0</v>
      </c>
      <c r="H2724">
        <f t="shared" si="343"/>
        <v>1</v>
      </c>
      <c r="I2724">
        <v>2723</v>
      </c>
      <c r="J2724">
        <f t="shared" si="338"/>
        <v>0.27797913939878544</v>
      </c>
      <c r="K2724">
        <f t="shared" si="339"/>
        <v>-0.96058711112481132</v>
      </c>
      <c r="L2724">
        <f>VLOOKUP(D2724,[1]SOI!$A$1:$C$142,3)</f>
        <v>-2.7</v>
      </c>
      <c r="M2724" s="2">
        <f t="shared" si="340"/>
        <v>756.93719658289274</v>
      </c>
      <c r="N2724">
        <f t="shared" si="341"/>
        <v>-2615.6787035928614</v>
      </c>
      <c r="O2724" t="s">
        <v>8</v>
      </c>
    </row>
    <row r="2725" spans="1:15" x14ac:dyDescent="0.35">
      <c r="A2725">
        <v>2007</v>
      </c>
      <c r="B2725">
        <v>6</v>
      </c>
      <c r="C2725">
        <v>16</v>
      </c>
      <c r="D2725" s="1">
        <f t="shared" si="336"/>
        <v>39249</v>
      </c>
      <c r="E2725">
        <v>0.2</v>
      </c>
      <c r="F2725">
        <f t="shared" si="342"/>
        <v>0</v>
      </c>
      <c r="G2725">
        <f t="shared" si="337"/>
        <v>1</v>
      </c>
      <c r="H2725">
        <f t="shared" si="343"/>
        <v>0</v>
      </c>
      <c r="I2725">
        <v>2724</v>
      </c>
      <c r="J2725">
        <f t="shared" si="338"/>
        <v>0.26141439851116066</v>
      </c>
      <c r="K2725">
        <f t="shared" si="339"/>
        <v>-0.96522666366561183</v>
      </c>
      <c r="L2725">
        <f>VLOOKUP(D2725,[1]SOI!$A$1:$C$142,3)</f>
        <v>-2.7</v>
      </c>
      <c r="M2725" s="2">
        <f t="shared" si="340"/>
        <v>712.09282154440166</v>
      </c>
      <c r="N2725">
        <f t="shared" si="341"/>
        <v>-2629.2774318251268</v>
      </c>
      <c r="O2725" t="s">
        <v>8</v>
      </c>
    </row>
    <row r="2726" spans="1:15" x14ac:dyDescent="0.35">
      <c r="A2726">
        <v>2007</v>
      </c>
      <c r="B2726">
        <v>6</v>
      </c>
      <c r="C2726">
        <v>17</v>
      </c>
      <c r="D2726" s="1">
        <f t="shared" si="336"/>
        <v>39250</v>
      </c>
      <c r="E2726">
        <v>0</v>
      </c>
      <c r="F2726">
        <f t="shared" si="342"/>
        <v>0.2</v>
      </c>
      <c r="G2726">
        <f t="shared" si="337"/>
        <v>0</v>
      </c>
      <c r="H2726">
        <f t="shared" si="343"/>
        <v>1</v>
      </c>
      <c r="I2726">
        <v>2725</v>
      </c>
      <c r="J2726">
        <f t="shared" si="338"/>
        <v>0.24477230089726321</v>
      </c>
      <c r="K2726">
        <f t="shared" si="339"/>
        <v>-0.96958059010762976</v>
      </c>
      <c r="L2726">
        <f>VLOOKUP(D2726,[1]SOI!$A$1:$C$142,3)</f>
        <v>-2.7</v>
      </c>
      <c r="M2726" s="2">
        <f t="shared" si="340"/>
        <v>667.00451994504226</v>
      </c>
      <c r="N2726">
        <f t="shared" si="341"/>
        <v>-2642.1071080432912</v>
      </c>
      <c r="O2726" t="s">
        <v>8</v>
      </c>
    </row>
    <row r="2727" spans="1:15" x14ac:dyDescent="0.35">
      <c r="A2727">
        <v>2007</v>
      </c>
      <c r="B2727">
        <v>6</v>
      </c>
      <c r="C2727">
        <v>18</v>
      </c>
      <c r="D2727" s="1">
        <f t="shared" si="336"/>
        <v>39251</v>
      </c>
      <c r="E2727">
        <v>1</v>
      </c>
      <c r="F2727">
        <f t="shared" si="342"/>
        <v>0</v>
      </c>
      <c r="G2727">
        <f t="shared" si="337"/>
        <v>1</v>
      </c>
      <c r="H2727">
        <f t="shared" si="343"/>
        <v>0</v>
      </c>
      <c r="I2727">
        <v>2726</v>
      </c>
      <c r="J2727">
        <f t="shared" si="338"/>
        <v>0.22805777122152257</v>
      </c>
      <c r="K2727">
        <f t="shared" si="339"/>
        <v>-0.97364760205398326</v>
      </c>
      <c r="L2727">
        <f>VLOOKUP(D2727,[1]SOI!$A$1:$C$142,3)</f>
        <v>-2.7</v>
      </c>
      <c r="M2727" s="2">
        <f t="shared" si="340"/>
        <v>621.68548434987053</v>
      </c>
      <c r="N2727">
        <f t="shared" si="341"/>
        <v>-2654.1633631991585</v>
      </c>
      <c r="O2727" t="s">
        <v>8</v>
      </c>
    </row>
    <row r="2728" spans="1:15" x14ac:dyDescent="0.35">
      <c r="A2728">
        <v>2007</v>
      </c>
      <c r="B2728">
        <v>6</v>
      </c>
      <c r="C2728">
        <v>19</v>
      </c>
      <c r="D2728" s="1">
        <f t="shared" si="336"/>
        <v>39252</v>
      </c>
      <c r="E2728">
        <v>0</v>
      </c>
      <c r="F2728">
        <f t="shared" si="342"/>
        <v>1</v>
      </c>
      <c r="G2728">
        <f t="shared" si="337"/>
        <v>0</v>
      </c>
      <c r="H2728">
        <f t="shared" si="343"/>
        <v>1</v>
      </c>
      <c r="I2728">
        <v>2727</v>
      </c>
      <c r="J2728">
        <f t="shared" si="338"/>
        <v>0.21127575558218076</v>
      </c>
      <c r="K2728">
        <f t="shared" si="339"/>
        <v>-0.97742649601040521</v>
      </c>
      <c r="L2728">
        <f>VLOOKUP(D2728,[1]SOI!$A$1:$C$142,3)</f>
        <v>-2.7</v>
      </c>
      <c r="M2728" s="2">
        <f t="shared" si="340"/>
        <v>576.14898547260691</v>
      </c>
      <c r="N2728">
        <f t="shared" si="341"/>
        <v>-2665.4420546203751</v>
      </c>
      <c r="O2728" t="s">
        <v>8</v>
      </c>
    </row>
    <row r="2729" spans="1:15" x14ac:dyDescent="0.35">
      <c r="A2729">
        <v>2007</v>
      </c>
      <c r="B2729">
        <v>6</v>
      </c>
      <c r="C2729">
        <v>20</v>
      </c>
      <c r="D2729" s="1">
        <f t="shared" si="336"/>
        <v>39253</v>
      </c>
      <c r="E2729">
        <v>2.8</v>
      </c>
      <c r="F2729">
        <f t="shared" si="342"/>
        <v>0</v>
      </c>
      <c r="G2729">
        <f t="shared" si="337"/>
        <v>1</v>
      </c>
      <c r="H2729">
        <f t="shared" si="343"/>
        <v>0</v>
      </c>
      <c r="I2729">
        <v>2728</v>
      </c>
      <c r="J2729">
        <f t="shared" si="338"/>
        <v>0.19443122004766911</v>
      </c>
      <c r="K2729">
        <f t="shared" si="339"/>
        <v>-0.98091615374137608</v>
      </c>
      <c r="L2729">
        <f>VLOOKUP(D2729,[1]SOI!$A$1:$C$142,3)</f>
        <v>-2.7</v>
      </c>
      <c r="M2729" s="2">
        <f t="shared" si="340"/>
        <v>530.40836829004127</v>
      </c>
      <c r="N2729">
        <f t="shared" si="341"/>
        <v>-2675.9392674064738</v>
      </c>
      <c r="O2729" t="s">
        <v>8</v>
      </c>
    </row>
    <row r="2730" spans="1:15" x14ac:dyDescent="0.35">
      <c r="A2730">
        <v>2007</v>
      </c>
      <c r="B2730">
        <v>6</v>
      </c>
      <c r="C2730">
        <v>21</v>
      </c>
      <c r="D2730" s="1">
        <f t="shared" si="336"/>
        <v>39254</v>
      </c>
      <c r="E2730">
        <v>6.8</v>
      </c>
      <c r="F2730">
        <f t="shared" si="342"/>
        <v>2.8</v>
      </c>
      <c r="G2730">
        <f t="shared" si="337"/>
        <v>1</v>
      </c>
      <c r="H2730">
        <f t="shared" si="343"/>
        <v>1</v>
      </c>
      <c r="I2730">
        <v>2729</v>
      </c>
      <c r="J2730">
        <f t="shared" si="338"/>
        <v>0.17752914918704082</v>
      </c>
      <c r="K2730">
        <f t="shared" si="339"/>
        <v>-0.98411554260103284</v>
      </c>
      <c r="L2730">
        <f>VLOOKUP(D2730,[1]SOI!$A$1:$C$142,3)</f>
        <v>-2.7</v>
      </c>
      <c r="M2730" s="2">
        <f t="shared" si="340"/>
        <v>484.4770481314344</v>
      </c>
      <c r="N2730">
        <f t="shared" si="341"/>
        <v>-2685.6513157582185</v>
      </c>
      <c r="O2730" t="s">
        <v>8</v>
      </c>
    </row>
    <row r="2731" spans="1:15" x14ac:dyDescent="0.35">
      <c r="A2731">
        <v>2007</v>
      </c>
      <c r="B2731">
        <v>6</v>
      </c>
      <c r="C2731">
        <v>22</v>
      </c>
      <c r="D2731" s="1">
        <f t="shared" si="336"/>
        <v>39255</v>
      </c>
      <c r="E2731">
        <v>0</v>
      </c>
      <c r="F2731">
        <f t="shared" si="342"/>
        <v>6.8</v>
      </c>
      <c r="G2731">
        <f t="shared" si="337"/>
        <v>0</v>
      </c>
      <c r="H2731">
        <f t="shared" si="343"/>
        <v>1</v>
      </c>
      <c r="I2731">
        <v>2730</v>
      </c>
      <c r="J2731">
        <f t="shared" si="338"/>
        <v>0.16057454459499876</v>
      </c>
      <c r="K2731">
        <f t="shared" si="339"/>
        <v>-0.98702371583873749</v>
      </c>
      <c r="L2731">
        <f>VLOOKUP(D2731,[1]SOI!$A$1:$C$142,3)</f>
        <v>-2.7</v>
      </c>
      <c r="M2731" s="2">
        <f t="shared" si="340"/>
        <v>438.36850674434663</v>
      </c>
      <c r="N2731">
        <f t="shared" si="341"/>
        <v>-2694.5747442397533</v>
      </c>
      <c r="O2731" t="s">
        <v>8</v>
      </c>
    </row>
    <row r="2732" spans="1:15" x14ac:dyDescent="0.35">
      <c r="A2732">
        <v>2007</v>
      </c>
      <c r="B2732">
        <v>6</v>
      </c>
      <c r="C2732">
        <v>23</v>
      </c>
      <c r="D2732" s="1">
        <f t="shared" si="336"/>
        <v>39256</v>
      </c>
      <c r="E2732">
        <v>0.2</v>
      </c>
      <c r="F2732">
        <f t="shared" si="342"/>
        <v>0</v>
      </c>
      <c r="G2732">
        <f t="shared" si="337"/>
        <v>1</v>
      </c>
      <c r="H2732">
        <f t="shared" si="343"/>
        <v>0</v>
      </c>
      <c r="I2732">
        <v>2731</v>
      </c>
      <c r="J2732">
        <f t="shared" si="338"/>
        <v>0.143572423411815</v>
      </c>
      <c r="K2732">
        <f t="shared" si="339"/>
        <v>-0.98963981287924063</v>
      </c>
      <c r="L2732">
        <f>VLOOKUP(D2732,[1]SOI!$A$1:$C$142,3)</f>
        <v>-2.7</v>
      </c>
      <c r="M2732" s="2">
        <f t="shared" si="340"/>
        <v>392.09628833766675</v>
      </c>
      <c r="N2732">
        <f t="shared" si="341"/>
        <v>-2702.7063289732064</v>
      </c>
      <c r="O2732" t="s">
        <v>8</v>
      </c>
    </row>
    <row r="2733" spans="1:15" x14ac:dyDescent="0.35">
      <c r="A2733">
        <v>2007</v>
      </c>
      <c r="B2733">
        <v>6</v>
      </c>
      <c r="C2733">
        <v>24</v>
      </c>
      <c r="D2733" s="1">
        <f t="shared" si="336"/>
        <v>39257</v>
      </c>
      <c r="E2733">
        <v>0</v>
      </c>
      <c r="F2733">
        <f t="shared" si="342"/>
        <v>0.2</v>
      </c>
      <c r="G2733">
        <f t="shared" si="337"/>
        <v>0</v>
      </c>
      <c r="H2733">
        <f t="shared" si="343"/>
        <v>1</v>
      </c>
      <c r="I2733">
        <v>2732</v>
      </c>
      <c r="J2733">
        <f t="shared" si="338"/>
        <v>0.12652781683868553</v>
      </c>
      <c r="K2733">
        <f t="shared" si="339"/>
        <v>-0.99196305957733932</v>
      </c>
      <c r="L2733">
        <f>VLOOKUP(D2733,[1]SOI!$A$1:$C$142,3)</f>
        <v>-2.7</v>
      </c>
      <c r="M2733" s="2">
        <f t="shared" si="340"/>
        <v>345.67399560328886</v>
      </c>
      <c r="N2733">
        <f t="shared" si="341"/>
        <v>-2710.0430787652908</v>
      </c>
      <c r="O2733" t="s">
        <v>8</v>
      </c>
    </row>
    <row r="2734" spans="1:15" x14ac:dyDescent="0.35">
      <c r="A2734">
        <v>2007</v>
      </c>
      <c r="B2734">
        <v>6</v>
      </c>
      <c r="C2734">
        <v>25</v>
      </c>
      <c r="D2734" s="1">
        <f t="shared" si="336"/>
        <v>39258</v>
      </c>
      <c r="E2734">
        <v>0</v>
      </c>
      <c r="F2734">
        <f t="shared" si="342"/>
        <v>0</v>
      </c>
      <c r="G2734">
        <f t="shared" si="337"/>
        <v>0</v>
      </c>
      <c r="H2734">
        <f t="shared" si="343"/>
        <v>0</v>
      </c>
      <c r="I2734">
        <v>2733</v>
      </c>
      <c r="J2734">
        <f t="shared" si="338"/>
        <v>0.10944576864890956</v>
      </c>
      <c r="K2734">
        <f t="shared" si="339"/>
        <v>-0.99399276844695872</v>
      </c>
      <c r="L2734">
        <f>VLOOKUP(D2734,[1]SOI!$A$1:$C$142,3)</f>
        <v>-2.7</v>
      </c>
      <c r="M2734" s="2">
        <f t="shared" si="340"/>
        <v>299.11528571746982</v>
      </c>
      <c r="N2734">
        <f t="shared" si="341"/>
        <v>-2716.5822361655382</v>
      </c>
      <c r="O2734" t="s">
        <v>8</v>
      </c>
    </row>
    <row r="2735" spans="1:15" x14ac:dyDescent="0.35">
      <c r="A2735">
        <v>2007</v>
      </c>
      <c r="B2735">
        <v>6</v>
      </c>
      <c r="C2735">
        <v>26</v>
      </c>
      <c r="D2735" s="1">
        <f t="shared" si="336"/>
        <v>39259</v>
      </c>
      <c r="E2735">
        <v>0</v>
      </c>
      <c r="F2735">
        <f t="shared" si="342"/>
        <v>0</v>
      </c>
      <c r="G2735">
        <f t="shared" si="337"/>
        <v>0</v>
      </c>
      <c r="H2735">
        <f t="shared" si="343"/>
        <v>0</v>
      </c>
      <c r="I2735">
        <v>2734</v>
      </c>
      <c r="J2735">
        <f t="shared" si="338"/>
        <v>9.2331333695398476E-2</v>
      </c>
      <c r="K2735">
        <f t="shared" si="339"/>
        <v>-0.99572833886458656</v>
      </c>
      <c r="L2735">
        <f>VLOOKUP(D2735,[1]SOI!$A$1:$C$142,3)</f>
        <v>-2.7</v>
      </c>
      <c r="M2735" s="2">
        <f t="shared" si="340"/>
        <v>252.43386632321943</v>
      </c>
      <c r="N2735">
        <f t="shared" si="341"/>
        <v>-2722.3212784557795</v>
      </c>
      <c r="O2735" t="s">
        <v>8</v>
      </c>
    </row>
    <row r="2736" spans="1:15" x14ac:dyDescent="0.35">
      <c r="A2736">
        <v>2007</v>
      </c>
      <c r="B2736">
        <v>6</v>
      </c>
      <c r="C2736">
        <v>27</v>
      </c>
      <c r="D2736" s="1">
        <f t="shared" si="336"/>
        <v>39260</v>
      </c>
      <c r="E2736">
        <v>7.4</v>
      </c>
      <c r="F2736">
        <f t="shared" si="342"/>
        <v>0</v>
      </c>
      <c r="G2736">
        <f t="shared" si="337"/>
        <v>1</v>
      </c>
      <c r="H2736">
        <f t="shared" si="343"/>
        <v>0</v>
      </c>
      <c r="I2736">
        <v>2735</v>
      </c>
      <c r="J2736">
        <f t="shared" si="338"/>
        <v>7.5189576414764495E-2</v>
      </c>
      <c r="K2736">
        <f t="shared" si="339"/>
        <v>-0.99716925724701733</v>
      </c>
      <c r="L2736">
        <f>VLOOKUP(D2736,[1]SOI!$A$1:$C$142,3)</f>
        <v>-2.7</v>
      </c>
      <c r="M2736" s="2">
        <f t="shared" si="340"/>
        <v>205.6434914943809</v>
      </c>
      <c r="N2736">
        <f t="shared" si="341"/>
        <v>-2727.2579185705922</v>
      </c>
      <c r="O2736" t="s">
        <v>8</v>
      </c>
    </row>
    <row r="2737" spans="1:15" x14ac:dyDescent="0.35">
      <c r="A2737">
        <v>2007</v>
      </c>
      <c r="B2737">
        <v>6</v>
      </c>
      <c r="C2737">
        <v>28</v>
      </c>
      <c r="D2737" s="1">
        <f t="shared" si="336"/>
        <v>39261</v>
      </c>
      <c r="E2737">
        <v>12</v>
      </c>
      <c r="F2737">
        <f t="shared" si="342"/>
        <v>7.4</v>
      </c>
      <c r="G2737">
        <f t="shared" si="337"/>
        <v>1</v>
      </c>
      <c r="H2737">
        <f t="shared" si="343"/>
        <v>1</v>
      </c>
      <c r="I2737">
        <v>2736</v>
      </c>
      <c r="J2737">
        <f t="shared" si="338"/>
        <v>5.8025569328785408E-2</v>
      </c>
      <c r="K2737">
        <f t="shared" si="339"/>
        <v>-0.99831509720331801</v>
      </c>
      <c r="L2737">
        <f>VLOOKUP(D2737,[1]SOI!$A$1:$C$142,3)</f>
        <v>-2.7</v>
      </c>
      <c r="M2737" s="2">
        <f t="shared" si="340"/>
        <v>158.75795768355687</v>
      </c>
      <c r="N2737">
        <f t="shared" si="341"/>
        <v>-2731.3901059482782</v>
      </c>
      <c r="O2737" t="s">
        <v>8</v>
      </c>
    </row>
    <row r="2738" spans="1:15" x14ac:dyDescent="0.35">
      <c r="A2738">
        <v>2007</v>
      </c>
      <c r="B2738">
        <v>6</v>
      </c>
      <c r="C2738">
        <v>29</v>
      </c>
      <c r="D2738" s="1">
        <f t="shared" si="336"/>
        <v>39262</v>
      </c>
      <c r="E2738">
        <v>0.6</v>
      </c>
      <c r="F2738">
        <f t="shared" si="342"/>
        <v>12</v>
      </c>
      <c r="G2738">
        <f t="shared" si="337"/>
        <v>1</v>
      </c>
      <c r="H2738">
        <f t="shared" si="343"/>
        <v>1</v>
      </c>
      <c r="I2738">
        <v>2737</v>
      </c>
      <c r="J2738">
        <f t="shared" si="338"/>
        <v>4.0844391543300287E-2</v>
      </c>
      <c r="K2738">
        <f t="shared" si="339"/>
        <v>-0.99916551966101075</v>
      </c>
      <c r="L2738">
        <f>VLOOKUP(D2738,[1]SOI!$A$1:$C$142,3)</f>
        <v>-2.7</v>
      </c>
      <c r="M2738" s="2">
        <f t="shared" si="340"/>
        <v>111.79109965401288</v>
      </c>
      <c r="N2738">
        <f t="shared" si="341"/>
        <v>-2734.7160273121863</v>
      </c>
      <c r="O2738" t="s">
        <v>8</v>
      </c>
    </row>
    <row r="2739" spans="1:15" x14ac:dyDescent="0.35">
      <c r="A2739">
        <v>2007</v>
      </c>
      <c r="B2739">
        <v>6</v>
      </c>
      <c r="C2739">
        <v>30</v>
      </c>
      <c r="D2739" s="1">
        <f t="shared" si="336"/>
        <v>39263</v>
      </c>
      <c r="E2739">
        <v>0.8</v>
      </c>
      <c r="F2739">
        <f t="shared" si="342"/>
        <v>0.6</v>
      </c>
      <c r="G2739">
        <f t="shared" si="337"/>
        <v>1</v>
      </c>
      <c r="H2739">
        <f t="shared" si="343"/>
        <v>1</v>
      </c>
      <c r="I2739">
        <v>2738</v>
      </c>
      <c r="J2739">
        <f t="shared" si="338"/>
        <v>2.3651127245227332E-2</v>
      </c>
      <c r="K2739">
        <f t="shared" si="339"/>
        <v>-0.99972027296640842</v>
      </c>
      <c r="L2739">
        <f>VLOOKUP(D2739,[1]SOI!$A$1:$C$142,3)</f>
        <v>-2.7</v>
      </c>
      <c r="M2739" s="2">
        <f t="shared" si="340"/>
        <v>64.756786397432435</v>
      </c>
      <c r="N2739">
        <f t="shared" si="341"/>
        <v>-2737.2341073820262</v>
      </c>
      <c r="O2739" t="s">
        <v>8</v>
      </c>
    </row>
    <row r="2740" spans="1:15" x14ac:dyDescent="0.35">
      <c r="A2740">
        <v>2007</v>
      </c>
      <c r="B2740">
        <v>7</v>
      </c>
      <c r="C2740">
        <v>1</v>
      </c>
      <c r="D2740" s="1">
        <f t="shared" si="336"/>
        <v>39264</v>
      </c>
      <c r="E2740">
        <v>3.6</v>
      </c>
      <c r="F2740">
        <f t="shared" si="342"/>
        <v>0.8</v>
      </c>
      <c r="G2740">
        <f t="shared" si="337"/>
        <v>1</v>
      </c>
      <c r="H2740">
        <f t="shared" si="343"/>
        <v>1</v>
      </c>
      <c r="I2740">
        <v>2739</v>
      </c>
      <c r="J2740">
        <f t="shared" si="338"/>
        <v>6.4508641981137716E-3</v>
      </c>
      <c r="K2740">
        <f t="shared" si="339"/>
        <v>-0.99997919295908222</v>
      </c>
      <c r="L2740">
        <f>VLOOKUP(D2740,[1]SOI!$A$1:$C$142,3)</f>
        <v>5</v>
      </c>
      <c r="M2740" s="2">
        <f t="shared" si="340"/>
        <v>17.668917038633619</v>
      </c>
      <c r="N2740">
        <f t="shared" si="341"/>
        <v>-2738.9430095149264</v>
      </c>
      <c r="O2740" t="s">
        <v>8</v>
      </c>
    </row>
    <row r="2741" spans="1:15" x14ac:dyDescent="0.35">
      <c r="A2741">
        <v>2007</v>
      </c>
      <c r="B2741">
        <v>7</v>
      </c>
      <c r="C2741">
        <v>2</v>
      </c>
      <c r="D2741" s="1">
        <f t="shared" si="336"/>
        <v>39265</v>
      </c>
      <c r="E2741">
        <v>0</v>
      </c>
      <c r="F2741">
        <f t="shared" si="342"/>
        <v>3.6</v>
      </c>
      <c r="G2741">
        <f t="shared" si="337"/>
        <v>0</v>
      </c>
      <c r="H2741">
        <f t="shared" si="343"/>
        <v>1</v>
      </c>
      <c r="I2741">
        <v>2740</v>
      </c>
      <c r="J2741">
        <f t="shared" si="338"/>
        <v>-1.0751307763514642E-2</v>
      </c>
      <c r="K2741">
        <f t="shared" si="339"/>
        <v>-0.99994220302044168</v>
      </c>
      <c r="L2741">
        <f>VLOOKUP(D2741,[1]SOI!$A$1:$C$142,3)</f>
        <v>5</v>
      </c>
      <c r="M2741" s="2">
        <f t="shared" si="340"/>
        <v>-29.458583272030118</v>
      </c>
      <c r="N2741">
        <f t="shared" si="341"/>
        <v>-2739.8416362760104</v>
      </c>
      <c r="O2741" t="s">
        <v>8</v>
      </c>
    </row>
    <row r="2742" spans="1:15" x14ac:dyDescent="0.35">
      <c r="A2742">
        <v>2007</v>
      </c>
      <c r="B2742">
        <v>7</v>
      </c>
      <c r="C2742">
        <v>3</v>
      </c>
      <c r="D2742" s="1">
        <f t="shared" si="336"/>
        <v>39266</v>
      </c>
      <c r="E2742">
        <v>0.6</v>
      </c>
      <c r="F2742">
        <f t="shared" si="342"/>
        <v>0</v>
      </c>
      <c r="G2742">
        <f t="shared" si="337"/>
        <v>1</v>
      </c>
      <c r="H2742">
        <f t="shared" si="343"/>
        <v>0</v>
      </c>
      <c r="I2742">
        <v>2741</v>
      </c>
      <c r="J2742">
        <f t="shared" si="338"/>
        <v>-2.7950298240203921E-2</v>
      </c>
      <c r="K2742">
        <f t="shared" si="339"/>
        <v>-0.99960931409640419</v>
      </c>
      <c r="L2742">
        <f>VLOOKUP(D2742,[1]SOI!$A$1:$C$142,3)</f>
        <v>5</v>
      </c>
      <c r="M2742" s="2">
        <f t="shared" si="340"/>
        <v>-76.611767476398953</v>
      </c>
      <c r="N2742">
        <f t="shared" si="341"/>
        <v>-2739.9291299382439</v>
      </c>
      <c r="O2742" t="s">
        <v>8</v>
      </c>
    </row>
    <row r="2743" spans="1:15" x14ac:dyDescent="0.35">
      <c r="A2743">
        <v>2007</v>
      </c>
      <c r="B2743">
        <v>7</v>
      </c>
      <c r="C2743">
        <v>4</v>
      </c>
      <c r="D2743" s="1">
        <f t="shared" si="336"/>
        <v>39267</v>
      </c>
      <c r="E2743">
        <v>3</v>
      </c>
      <c r="F2743">
        <f t="shared" si="342"/>
        <v>0.6</v>
      </c>
      <c r="G2743">
        <f t="shared" si="337"/>
        <v>1</v>
      </c>
      <c r="H2743">
        <f t="shared" si="343"/>
        <v>1</v>
      </c>
      <c r="I2743">
        <v>2742</v>
      </c>
      <c r="J2743">
        <f t="shared" si="338"/>
        <v>-4.5141017773973967E-2</v>
      </c>
      <c r="K2743">
        <f t="shared" si="339"/>
        <v>-0.99898062469415783</v>
      </c>
      <c r="L2743">
        <f>VLOOKUP(D2743,[1]SOI!$A$1:$C$142,3)</f>
        <v>5</v>
      </c>
      <c r="M2743" s="2">
        <f t="shared" si="340"/>
        <v>-123.77667073623661</v>
      </c>
      <c r="N2743">
        <f t="shared" si="341"/>
        <v>-2739.2048729113808</v>
      </c>
      <c r="O2743" t="s">
        <v>8</v>
      </c>
    </row>
    <row r="2744" spans="1:15" x14ac:dyDescent="0.35">
      <c r="A2744">
        <v>2007</v>
      </c>
      <c r="B2744">
        <v>7</v>
      </c>
      <c r="C2744">
        <v>5</v>
      </c>
      <c r="D2744" s="1">
        <f t="shared" si="336"/>
        <v>39268</v>
      </c>
      <c r="E2744">
        <v>2.6</v>
      </c>
      <c r="F2744">
        <f t="shared" si="342"/>
        <v>3</v>
      </c>
      <c r="G2744">
        <f t="shared" si="337"/>
        <v>1</v>
      </c>
      <c r="H2744">
        <f t="shared" si="343"/>
        <v>1</v>
      </c>
      <c r="I2744">
        <v>2743</v>
      </c>
      <c r="J2744">
        <f t="shared" si="338"/>
        <v>-6.2318379354328442E-2</v>
      </c>
      <c r="K2744">
        <f t="shared" si="339"/>
        <v>-0.99805632085301177</v>
      </c>
      <c r="L2744">
        <f>VLOOKUP(D2744,[1]SOI!$A$1:$C$142,3)</f>
        <v>5</v>
      </c>
      <c r="M2744" s="2">
        <f t="shared" si="340"/>
        <v>-170.93931456892292</v>
      </c>
      <c r="N2744">
        <f t="shared" si="341"/>
        <v>-2737.6684880998114</v>
      </c>
      <c r="O2744" t="s">
        <v>8</v>
      </c>
    </row>
    <row r="2745" spans="1:15" x14ac:dyDescent="0.35">
      <c r="A2745">
        <v>2007</v>
      </c>
      <c r="B2745">
        <v>7</v>
      </c>
      <c r="C2745">
        <v>6</v>
      </c>
      <c r="D2745" s="1">
        <f t="shared" si="336"/>
        <v>39269</v>
      </c>
      <c r="E2745">
        <v>3.4</v>
      </c>
      <c r="F2745">
        <f t="shared" si="342"/>
        <v>2.6</v>
      </c>
      <c r="G2745">
        <f t="shared" si="337"/>
        <v>1</v>
      </c>
      <c r="H2745">
        <f t="shared" si="343"/>
        <v>1</v>
      </c>
      <c r="I2745">
        <v>2744</v>
      </c>
      <c r="J2745">
        <f t="shared" si="338"/>
        <v>-7.9477299923625663E-2</v>
      </c>
      <c r="K2745">
        <f t="shared" si="339"/>
        <v>-0.99683667608934312</v>
      </c>
      <c r="L2745">
        <f>VLOOKUP(D2745,[1]SOI!$A$1:$C$142,3)</f>
        <v>5</v>
      </c>
      <c r="M2745" s="2">
        <f t="shared" si="340"/>
        <v>-218.08571099042882</v>
      </c>
      <c r="N2745">
        <f t="shared" si="341"/>
        <v>-2735.3198391891574</v>
      </c>
      <c r="O2745" t="s">
        <v>8</v>
      </c>
    </row>
    <row r="2746" spans="1:15" x14ac:dyDescent="0.35">
      <c r="A2746">
        <v>2007</v>
      </c>
      <c r="B2746">
        <v>7</v>
      </c>
      <c r="C2746">
        <v>7</v>
      </c>
      <c r="D2746" s="1">
        <f t="shared" si="336"/>
        <v>39270</v>
      </c>
      <c r="E2746">
        <v>7.6</v>
      </c>
      <c r="F2746">
        <f t="shared" si="342"/>
        <v>3.4</v>
      </c>
      <c r="G2746">
        <f t="shared" si="337"/>
        <v>1</v>
      </c>
      <c r="H2746">
        <f t="shared" si="343"/>
        <v>1</v>
      </c>
      <c r="I2746">
        <v>2745</v>
      </c>
      <c r="J2746">
        <f t="shared" si="338"/>
        <v>-9.6612701881194529E-2</v>
      </c>
      <c r="K2746">
        <f t="shared" si="339"/>
        <v>-0.99532205131566109</v>
      </c>
      <c r="L2746">
        <f>VLOOKUP(D2746,[1]SOI!$A$1:$C$142,3)</f>
        <v>5</v>
      </c>
      <c r="M2746" s="2">
        <f t="shared" si="340"/>
        <v>-265.201866663879</v>
      </c>
      <c r="N2746">
        <f t="shared" si="341"/>
        <v>-2732.1590308614896</v>
      </c>
      <c r="O2746" t="s">
        <v>8</v>
      </c>
    </row>
    <row r="2747" spans="1:15" x14ac:dyDescent="0.35">
      <c r="A2747">
        <v>2007</v>
      </c>
      <c r="B2747">
        <v>7</v>
      </c>
      <c r="C2747">
        <v>8</v>
      </c>
      <c r="D2747" s="1">
        <f t="shared" si="336"/>
        <v>39271</v>
      </c>
      <c r="E2747">
        <v>5.2</v>
      </c>
      <c r="F2747">
        <f t="shared" si="342"/>
        <v>7.6</v>
      </c>
      <c r="G2747">
        <f t="shared" si="337"/>
        <v>1</v>
      </c>
      <c r="H2747">
        <f t="shared" si="343"/>
        <v>1</v>
      </c>
      <c r="I2747">
        <v>2746</v>
      </c>
      <c r="J2747">
        <f t="shared" si="338"/>
        <v>-0.113719514585942</v>
      </c>
      <c r="K2747">
        <f t="shared" si="339"/>
        <v>-0.99351289473380144</v>
      </c>
      <c r="L2747">
        <f>VLOOKUP(D2747,[1]SOI!$A$1:$C$142,3)</f>
        <v>5</v>
      </c>
      <c r="M2747" s="2">
        <f t="shared" si="340"/>
        <v>-312.27378705299674</v>
      </c>
      <c r="N2747">
        <f t="shared" si="341"/>
        <v>-2728.1864089390187</v>
      </c>
      <c r="O2747" t="s">
        <v>8</v>
      </c>
    </row>
    <row r="2748" spans="1:15" x14ac:dyDescent="0.35">
      <c r="A2748">
        <v>2007</v>
      </c>
      <c r="B2748">
        <v>7</v>
      </c>
      <c r="C2748">
        <v>9</v>
      </c>
      <c r="D2748" s="1">
        <f t="shared" si="336"/>
        <v>39272</v>
      </c>
      <c r="E2748">
        <v>0</v>
      </c>
      <c r="F2748">
        <f t="shared" si="342"/>
        <v>5.2</v>
      </c>
      <c r="G2748">
        <f t="shared" si="337"/>
        <v>0</v>
      </c>
      <c r="H2748">
        <f t="shared" si="343"/>
        <v>1</v>
      </c>
      <c r="I2748">
        <v>2747</v>
      </c>
      <c r="J2748">
        <f t="shared" si="338"/>
        <v>-0.13079267585675947</v>
      </c>
      <c r="K2748">
        <f t="shared" si="339"/>
        <v>-0.99140974170230378</v>
      </c>
      <c r="L2748">
        <f>VLOOKUP(D2748,[1]SOI!$A$1:$C$142,3)</f>
        <v>5</v>
      </c>
      <c r="M2748" s="2">
        <f t="shared" si="340"/>
        <v>-359.28748057851823</v>
      </c>
      <c r="N2748">
        <f t="shared" si="341"/>
        <v>-2723.4025604562285</v>
      </c>
      <c r="O2748" t="s">
        <v>8</v>
      </c>
    </row>
    <row r="2749" spans="1:15" x14ac:dyDescent="0.35">
      <c r="A2749">
        <v>2007</v>
      </c>
      <c r="B2749">
        <v>7</v>
      </c>
      <c r="C2749">
        <v>10</v>
      </c>
      <c r="D2749" s="1">
        <f t="shared" si="336"/>
        <v>39273</v>
      </c>
      <c r="E2749">
        <v>0</v>
      </c>
      <c r="F2749">
        <f t="shared" si="342"/>
        <v>0</v>
      </c>
      <c r="G2749">
        <f t="shared" si="337"/>
        <v>0</v>
      </c>
      <c r="H2749">
        <f t="shared" si="343"/>
        <v>0</v>
      </c>
      <c r="I2749">
        <v>2748</v>
      </c>
      <c r="J2749">
        <f t="shared" si="338"/>
        <v>-0.14782713347053206</v>
      </c>
      <c r="K2749">
        <f t="shared" si="339"/>
        <v>-0.98901321457798808</v>
      </c>
      <c r="L2749">
        <f>VLOOKUP(D2749,[1]SOI!$A$1:$C$142,3)</f>
        <v>5</v>
      </c>
      <c r="M2749" s="2">
        <f t="shared" si="340"/>
        <v>-406.2289627770221</v>
      </c>
      <c r="N2749">
        <f t="shared" si="341"/>
        <v>-2717.8083136603113</v>
      </c>
      <c r="O2749" t="s">
        <v>8</v>
      </c>
    </row>
    <row r="2750" spans="1:15" x14ac:dyDescent="0.35">
      <c r="A2750">
        <v>2007</v>
      </c>
      <c r="B2750">
        <v>7</v>
      </c>
      <c r="C2750">
        <v>11</v>
      </c>
      <c r="D2750" s="1">
        <f t="shared" si="336"/>
        <v>39274</v>
      </c>
      <c r="E2750">
        <v>0</v>
      </c>
      <c r="F2750">
        <f t="shared" si="342"/>
        <v>0</v>
      </c>
      <c r="G2750">
        <f t="shared" si="337"/>
        <v>0</v>
      </c>
      <c r="H2750">
        <f t="shared" si="343"/>
        <v>0</v>
      </c>
      <c r="I2750">
        <v>2749</v>
      </c>
      <c r="J2750">
        <f t="shared" si="338"/>
        <v>-0.16481784665720081</v>
      </c>
      <c r="K2750">
        <f t="shared" si="339"/>
        <v>-0.98632402253178619</v>
      </c>
      <c r="L2750">
        <f>VLOOKUP(D2750,[1]SOI!$A$1:$C$142,3)</f>
        <v>5</v>
      </c>
      <c r="M2750" s="2">
        <f t="shared" si="340"/>
        <v>-453.08426046064505</v>
      </c>
      <c r="N2750">
        <f t="shared" si="341"/>
        <v>-2711.4047379398803</v>
      </c>
      <c r="O2750" t="s">
        <v>8</v>
      </c>
    </row>
    <row r="2751" spans="1:15" x14ac:dyDescent="0.35">
      <c r="A2751">
        <v>2007</v>
      </c>
      <c r="B2751">
        <v>7</v>
      </c>
      <c r="C2751">
        <v>12</v>
      </c>
      <c r="D2751" s="1">
        <f t="shared" si="336"/>
        <v>39275</v>
      </c>
      <c r="E2751">
        <v>0.2</v>
      </c>
      <c r="F2751">
        <f t="shared" si="342"/>
        <v>0</v>
      </c>
      <c r="G2751">
        <f t="shared" si="337"/>
        <v>1</v>
      </c>
      <c r="H2751">
        <f t="shared" si="343"/>
        <v>0</v>
      </c>
      <c r="I2751">
        <v>2750</v>
      </c>
      <c r="J2751">
        <f t="shared" si="338"/>
        <v>-0.18175978759136555</v>
      </c>
      <c r="K2751">
        <f t="shared" si="339"/>
        <v>-0.98334296133889199</v>
      </c>
      <c r="L2751">
        <f>VLOOKUP(D2751,[1]SOI!$A$1:$C$142,3)</f>
        <v>5</v>
      </c>
      <c r="M2751" s="2">
        <f t="shared" si="340"/>
        <v>-499.83941587625526</v>
      </c>
      <c r="N2751">
        <f t="shared" si="341"/>
        <v>-2704.1931436819527</v>
      </c>
      <c r="O2751" t="s">
        <v>8</v>
      </c>
    </row>
    <row r="2752" spans="1:15" x14ac:dyDescent="0.35">
      <c r="A2752">
        <v>2007</v>
      </c>
      <c r="B2752">
        <v>7</v>
      </c>
      <c r="C2752">
        <v>13</v>
      </c>
      <c r="D2752" s="1">
        <f t="shared" si="336"/>
        <v>39276</v>
      </c>
      <c r="E2752">
        <v>8.8000000000000007</v>
      </c>
      <c r="F2752">
        <f t="shared" si="342"/>
        <v>0.2</v>
      </c>
      <c r="G2752">
        <f t="shared" si="337"/>
        <v>1</v>
      </c>
      <c r="H2752">
        <f t="shared" si="343"/>
        <v>1</v>
      </c>
      <c r="I2752">
        <v>2751</v>
      </c>
      <c r="J2752">
        <f t="shared" si="338"/>
        <v>-0.19864794288016918</v>
      </c>
      <c r="K2752">
        <f t="shared" si="339"/>
        <v>-0.98007091314326689</v>
      </c>
      <c r="L2752">
        <f>VLOOKUP(D2752,[1]SOI!$A$1:$C$142,3)</f>
        <v>5</v>
      </c>
      <c r="M2752" s="2">
        <f t="shared" si="340"/>
        <v>-546.48049086334538</v>
      </c>
      <c r="N2752">
        <f t="shared" si="341"/>
        <v>-2696.1750820571274</v>
      </c>
      <c r="O2752" t="s">
        <v>8</v>
      </c>
    </row>
    <row r="2753" spans="1:15" x14ac:dyDescent="0.35">
      <c r="A2753">
        <v>2007</v>
      </c>
      <c r="B2753">
        <v>7</v>
      </c>
      <c r="C2753">
        <v>14</v>
      </c>
      <c r="D2753" s="1">
        <f t="shared" si="336"/>
        <v>39277</v>
      </c>
      <c r="E2753">
        <v>3</v>
      </c>
      <c r="F2753">
        <f t="shared" si="342"/>
        <v>8.8000000000000007</v>
      </c>
      <c r="G2753">
        <f t="shared" si="337"/>
        <v>1</v>
      </c>
      <c r="H2753">
        <f t="shared" si="343"/>
        <v>1</v>
      </c>
      <c r="I2753">
        <v>2752</v>
      </c>
      <c r="J2753">
        <f t="shared" si="338"/>
        <v>-0.21547731504672951</v>
      </c>
      <c r="K2753">
        <f t="shared" si="339"/>
        <v>-0.97650884619661915</v>
      </c>
      <c r="L2753">
        <f>VLOOKUP(D2753,[1]SOI!$A$1:$C$142,3)</f>
        <v>5</v>
      </c>
      <c r="M2753" s="2">
        <f t="shared" si="340"/>
        <v>-592.99357100859959</v>
      </c>
      <c r="N2753">
        <f t="shared" si="341"/>
        <v>-2687.3523447330958</v>
      </c>
      <c r="O2753" t="s">
        <v>8</v>
      </c>
    </row>
    <row r="2754" spans="1:15" x14ac:dyDescent="0.35">
      <c r="A2754">
        <v>2007</v>
      </c>
      <c r="B2754">
        <v>7</v>
      </c>
      <c r="C2754">
        <v>15</v>
      </c>
      <c r="D2754" s="1">
        <f t="shared" si="336"/>
        <v>39278</v>
      </c>
      <c r="E2754">
        <v>1.6</v>
      </c>
      <c r="F2754">
        <f t="shared" si="342"/>
        <v>3</v>
      </c>
      <c r="G2754">
        <f t="shared" si="337"/>
        <v>1</v>
      </c>
      <c r="H2754">
        <f t="shared" si="343"/>
        <v>1</v>
      </c>
      <c r="I2754">
        <v>2753</v>
      </c>
      <c r="J2754">
        <f t="shared" si="338"/>
        <v>-0.23224292400907084</v>
      </c>
      <c r="K2754">
        <f t="shared" si="339"/>
        <v>-0.97265781457186518</v>
      </c>
      <c r="L2754">
        <f>VLOOKUP(D2754,[1]SOI!$A$1:$C$142,3)</f>
        <v>5</v>
      </c>
      <c r="M2754" s="2">
        <f t="shared" si="340"/>
        <v>-639.36476979697204</v>
      </c>
      <c r="N2754">
        <f t="shared" si="341"/>
        <v>-2677.7269635163448</v>
      </c>
      <c r="O2754" t="s">
        <v>8</v>
      </c>
    </row>
    <row r="2755" spans="1:15" x14ac:dyDescent="0.35">
      <c r="A2755">
        <v>2007</v>
      </c>
      <c r="B2755">
        <v>7</v>
      </c>
      <c r="C2755">
        <v>16</v>
      </c>
      <c r="D2755" s="1">
        <f t="shared" ref="D2755:D2818" si="344">DATE(A2755,B2755,C2755)</f>
        <v>39279</v>
      </c>
      <c r="E2755">
        <v>0</v>
      </c>
      <c r="F2755">
        <f t="shared" si="342"/>
        <v>1.6</v>
      </c>
      <c r="G2755">
        <f t="shared" ref="G2755:G2818" si="345">IF(E2755=0,0,1)</f>
        <v>0</v>
      </c>
      <c r="H2755">
        <f t="shared" si="343"/>
        <v>1</v>
      </c>
      <c r="I2755">
        <v>2754</v>
      </c>
      <c r="J2755">
        <f t="shared" ref="J2755:J2818" si="346">SIN(2*PI()*I2755/365.25)</f>
        <v>-0.24893980855376854</v>
      </c>
      <c r="K2755">
        <f t="shared" ref="K2755:K2818" si="347">COS(2*PI()*I2755/365.25)</f>
        <v>-0.96851895785121989</v>
      </c>
      <c r="L2755">
        <f>VLOOKUP(D2755,[1]SOI!$A$1:$C$142,3)</f>
        <v>5</v>
      </c>
      <c r="M2755" s="2">
        <f t="shared" ref="M2755:M2818" si="348">I2755*J2755</f>
        <v>-685.58023275707853</v>
      </c>
      <c r="N2755">
        <f t="shared" ref="N2755:N2818" si="349">I2755*K2755</f>
        <v>-2667.3012099222597</v>
      </c>
      <c r="O2755" t="s">
        <v>8</v>
      </c>
    </row>
    <row r="2756" spans="1:15" x14ac:dyDescent="0.35">
      <c r="A2756">
        <v>2007</v>
      </c>
      <c r="B2756">
        <v>7</v>
      </c>
      <c r="C2756">
        <v>17</v>
      </c>
      <c r="D2756" s="1">
        <f t="shared" si="344"/>
        <v>39280</v>
      </c>
      <c r="E2756">
        <v>0</v>
      </c>
      <c r="F2756">
        <f t="shared" ref="F2756:F2819" si="350">E2755</f>
        <v>0</v>
      </c>
      <c r="G2756">
        <f t="shared" si="345"/>
        <v>0</v>
      </c>
      <c r="H2756">
        <f t="shared" ref="H2756:H2819" si="351">G2755</f>
        <v>0</v>
      </c>
      <c r="I2756">
        <v>2755</v>
      </c>
      <c r="J2756">
        <f t="shared" si="346"/>
        <v>-0.26556302780405877</v>
      </c>
      <c r="K2756">
        <f t="shared" si="347"/>
        <v>-0.96409350078897471</v>
      </c>
      <c r="L2756">
        <f>VLOOKUP(D2756,[1]SOI!$A$1:$C$142,3)</f>
        <v>5</v>
      </c>
      <c r="M2756" s="2">
        <f t="shared" si="348"/>
        <v>-731.62614160018188</v>
      </c>
      <c r="N2756">
        <f t="shared" si="349"/>
        <v>-2656.0775946736253</v>
      </c>
      <c r="O2756" t="s">
        <v>8</v>
      </c>
    </row>
    <row r="2757" spans="1:15" x14ac:dyDescent="0.35">
      <c r="A2757">
        <v>2007</v>
      </c>
      <c r="B2757">
        <v>7</v>
      </c>
      <c r="C2757">
        <v>18</v>
      </c>
      <c r="D2757" s="1">
        <f t="shared" si="344"/>
        <v>39281</v>
      </c>
      <c r="E2757">
        <v>16.600000000000001</v>
      </c>
      <c r="F2757">
        <f t="shared" si="350"/>
        <v>0</v>
      </c>
      <c r="G2757">
        <f t="shared" si="345"/>
        <v>1</v>
      </c>
      <c r="H2757">
        <f t="shared" si="351"/>
        <v>0</v>
      </c>
      <c r="I2757">
        <v>2756</v>
      </c>
      <c r="J2757">
        <f t="shared" si="346"/>
        <v>-0.28210766268191662</v>
      </c>
      <c r="K2757">
        <f t="shared" si="347"/>
        <v>-0.95938275294907505</v>
      </c>
      <c r="L2757">
        <f>VLOOKUP(D2757,[1]SOI!$A$1:$C$142,3)</f>
        <v>5</v>
      </c>
      <c r="M2757" s="2">
        <f t="shared" si="348"/>
        <v>-777.48871835136219</v>
      </c>
      <c r="N2757">
        <f t="shared" si="349"/>
        <v>-2644.058867127651</v>
      </c>
      <c r="O2757" t="s">
        <v>8</v>
      </c>
    </row>
    <row r="2758" spans="1:15" x14ac:dyDescent="0.35">
      <c r="A2758">
        <v>2007</v>
      </c>
      <c r="B2758">
        <v>7</v>
      </c>
      <c r="C2758">
        <v>19</v>
      </c>
      <c r="D2758" s="1">
        <f t="shared" si="344"/>
        <v>39282</v>
      </c>
      <c r="E2758">
        <v>3.2</v>
      </c>
      <c r="F2758">
        <f t="shared" si="350"/>
        <v>16.600000000000001</v>
      </c>
      <c r="G2758">
        <f t="shared" si="345"/>
        <v>1</v>
      </c>
      <c r="H2758">
        <f t="shared" si="351"/>
        <v>1</v>
      </c>
      <c r="I2758">
        <v>2757</v>
      </c>
      <c r="J2758">
        <f t="shared" si="346"/>
        <v>-0.29856881736371793</v>
      </c>
      <c r="K2758">
        <f t="shared" si="347"/>
        <v>-0.95438810831759158</v>
      </c>
      <c r="L2758">
        <f>VLOOKUP(D2758,[1]SOI!$A$1:$C$142,3)</f>
        <v>5</v>
      </c>
      <c r="M2758" s="2">
        <f t="shared" si="348"/>
        <v>-823.15422947177035</v>
      </c>
      <c r="N2758">
        <f t="shared" si="349"/>
        <v>-2631.2480146316002</v>
      </c>
      <c r="O2758" t="s">
        <v>8</v>
      </c>
    </row>
    <row r="2759" spans="1:15" x14ac:dyDescent="0.35">
      <c r="A2759">
        <v>2007</v>
      </c>
      <c r="B2759">
        <v>7</v>
      </c>
      <c r="C2759">
        <v>20</v>
      </c>
      <c r="D2759" s="1">
        <f t="shared" si="344"/>
        <v>39283</v>
      </c>
      <c r="E2759">
        <v>0.4</v>
      </c>
      <c r="F2759">
        <f t="shared" si="350"/>
        <v>3.2</v>
      </c>
      <c r="G2759">
        <f t="shared" si="345"/>
        <v>1</v>
      </c>
      <c r="H2759">
        <f t="shared" si="351"/>
        <v>1</v>
      </c>
      <c r="I2759">
        <v>2758</v>
      </c>
      <c r="J2759">
        <f t="shared" si="346"/>
        <v>-0.31494162072895093</v>
      </c>
      <c r="K2759">
        <f t="shared" si="347"/>
        <v>-0.94911104489022868</v>
      </c>
      <c r="L2759">
        <f>VLOOKUP(D2759,[1]SOI!$A$1:$C$142,3)</f>
        <v>5</v>
      </c>
      <c r="M2759" s="2">
        <f t="shared" si="348"/>
        <v>-868.60898997044671</v>
      </c>
      <c r="N2759">
        <f t="shared" si="349"/>
        <v>-2617.6482618072505</v>
      </c>
      <c r="O2759" t="s">
        <v>8</v>
      </c>
    </row>
    <row r="2760" spans="1:15" x14ac:dyDescent="0.35">
      <c r="A2760">
        <v>2007</v>
      </c>
      <c r="B2760">
        <v>7</v>
      </c>
      <c r="C2760">
        <v>21</v>
      </c>
      <c r="D2760" s="1">
        <f t="shared" si="344"/>
        <v>39284</v>
      </c>
      <c r="E2760">
        <v>0.4</v>
      </c>
      <c r="F2760">
        <f t="shared" si="350"/>
        <v>0.4</v>
      </c>
      <c r="G2760">
        <f t="shared" si="345"/>
        <v>1</v>
      </c>
      <c r="H2760">
        <f t="shared" si="351"/>
        <v>1</v>
      </c>
      <c r="I2760">
        <v>2759</v>
      </c>
      <c r="J2760">
        <f t="shared" si="346"/>
        <v>-0.33122122780168672</v>
      </c>
      <c r="K2760">
        <f t="shared" si="347"/>
        <v>-0.9435531242349543</v>
      </c>
      <c r="L2760">
        <f>VLOOKUP(D2760,[1]SOI!$A$1:$C$142,3)</f>
        <v>5</v>
      </c>
      <c r="M2760" s="2">
        <f t="shared" si="348"/>
        <v>-913.83936750485373</v>
      </c>
      <c r="N2760">
        <f t="shared" si="349"/>
        <v>-2603.2630697642389</v>
      </c>
      <c r="O2760" t="s">
        <v>8</v>
      </c>
    </row>
    <row r="2761" spans="1:15" x14ac:dyDescent="0.35">
      <c r="A2761">
        <v>2007</v>
      </c>
      <c r="B2761">
        <v>7</v>
      </c>
      <c r="C2761">
        <v>22</v>
      </c>
      <c r="D2761" s="1">
        <f t="shared" si="344"/>
        <v>39285</v>
      </c>
      <c r="E2761">
        <v>0</v>
      </c>
      <c r="F2761">
        <f t="shared" si="350"/>
        <v>0.4</v>
      </c>
      <c r="G2761">
        <f t="shared" si="345"/>
        <v>0</v>
      </c>
      <c r="H2761">
        <f t="shared" si="351"/>
        <v>1</v>
      </c>
      <c r="I2761">
        <v>2760</v>
      </c>
      <c r="J2761">
        <f t="shared" si="346"/>
        <v>-0.3474028211842789</v>
      </c>
      <c r="K2761">
        <f t="shared" si="347"/>
        <v>-0.93771599102990877</v>
      </c>
      <c r="L2761">
        <f>VLOOKUP(D2761,[1]SOI!$A$1:$C$142,3)</f>
        <v>5</v>
      </c>
      <c r="M2761" s="2">
        <f t="shared" si="348"/>
        <v>-958.83178646860972</v>
      </c>
      <c r="N2761">
        <f t="shared" si="349"/>
        <v>-2588.0961352425484</v>
      </c>
      <c r="O2761" t="s">
        <v>8</v>
      </c>
    </row>
    <row r="2762" spans="1:15" x14ac:dyDescent="0.35">
      <c r="A2762">
        <v>2007</v>
      </c>
      <c r="B2762">
        <v>7</v>
      </c>
      <c r="C2762">
        <v>23</v>
      </c>
      <c r="D2762" s="1">
        <f t="shared" si="344"/>
        <v>39286</v>
      </c>
      <c r="E2762">
        <v>0</v>
      </c>
      <c r="F2762">
        <f t="shared" si="350"/>
        <v>0</v>
      </c>
      <c r="G2762">
        <f t="shared" si="345"/>
        <v>0</v>
      </c>
      <c r="H2762">
        <f t="shared" si="351"/>
        <v>0</v>
      </c>
      <c r="I2762">
        <v>2761</v>
      </c>
      <c r="J2762">
        <f t="shared" si="346"/>
        <v>-0.36348161248290201</v>
      </c>
      <c r="K2762">
        <f t="shared" si="347"/>
        <v>-0.93160137257672038</v>
      </c>
      <c r="L2762">
        <f>VLOOKUP(D2762,[1]SOI!$A$1:$C$142,3)</f>
        <v>5</v>
      </c>
      <c r="M2762" s="2">
        <f t="shared" si="348"/>
        <v>-1003.5727320652925</v>
      </c>
      <c r="N2762">
        <f t="shared" si="349"/>
        <v>-2572.1513896843248</v>
      </c>
      <c r="O2762" t="s">
        <v>8</v>
      </c>
    </row>
    <row r="2763" spans="1:15" x14ac:dyDescent="0.35">
      <c r="A2763">
        <v>2007</v>
      </c>
      <c r="B2763">
        <v>7</v>
      </c>
      <c r="C2763">
        <v>24</v>
      </c>
      <c r="D2763" s="1">
        <f t="shared" si="344"/>
        <v>39287</v>
      </c>
      <c r="E2763">
        <v>0</v>
      </c>
      <c r="F2763">
        <f t="shared" si="350"/>
        <v>0</v>
      </c>
      <c r="G2763">
        <f t="shared" si="345"/>
        <v>0</v>
      </c>
      <c r="H2763">
        <f t="shared" si="351"/>
        <v>0</v>
      </c>
      <c r="I2763">
        <v>2762</v>
      </c>
      <c r="J2763">
        <f t="shared" si="346"/>
        <v>-0.3794528437245413</v>
      </c>
      <c r="K2763">
        <f t="shared" si="347"/>
        <v>-0.92521107828935922</v>
      </c>
      <c r="L2763">
        <f>VLOOKUP(D2763,[1]SOI!$A$1:$C$142,3)</f>
        <v>5</v>
      </c>
      <c r="M2763" s="2">
        <f t="shared" si="348"/>
        <v>-1048.0487543671832</v>
      </c>
      <c r="N2763">
        <f t="shared" si="349"/>
        <v>-2555.4329982352101</v>
      </c>
      <c r="O2763" t="s">
        <v>8</v>
      </c>
    </row>
    <row r="2764" spans="1:15" x14ac:dyDescent="0.35">
      <c r="A2764">
        <v>2007</v>
      </c>
      <c r="B2764">
        <v>7</v>
      </c>
      <c r="C2764">
        <v>25</v>
      </c>
      <c r="D2764" s="1">
        <f t="shared" si="344"/>
        <v>39288</v>
      </c>
      <c r="E2764">
        <v>0</v>
      </c>
      <c r="F2764">
        <f t="shared" si="350"/>
        <v>0</v>
      </c>
      <c r="G2764">
        <f t="shared" si="345"/>
        <v>0</v>
      </c>
      <c r="H2764">
        <f t="shared" si="351"/>
        <v>0</v>
      </c>
      <c r="I2764">
        <v>2763</v>
      </c>
      <c r="J2764">
        <f t="shared" si="346"/>
        <v>-0.39531178876491324</v>
      </c>
      <c r="K2764">
        <f t="shared" si="347"/>
        <v>-0.91854699915871729</v>
      </c>
      <c r="L2764">
        <f>VLOOKUP(D2764,[1]SOI!$A$1:$C$142,3)</f>
        <v>5</v>
      </c>
      <c r="M2764" s="2">
        <f t="shared" si="348"/>
        <v>-1092.2464723574553</v>
      </c>
      <c r="N2764">
        <f t="shared" si="349"/>
        <v>-2537.9453586755358</v>
      </c>
      <c r="O2764" t="s">
        <v>8</v>
      </c>
    </row>
    <row r="2765" spans="1:15" x14ac:dyDescent="0.35">
      <c r="A2765">
        <v>2007</v>
      </c>
      <c r="B2765">
        <v>7</v>
      </c>
      <c r="C2765">
        <v>26</v>
      </c>
      <c r="D2765" s="1">
        <f t="shared" si="344"/>
        <v>39289</v>
      </c>
      <c r="E2765">
        <v>0.2</v>
      </c>
      <c r="F2765">
        <f t="shared" si="350"/>
        <v>0</v>
      </c>
      <c r="G2765">
        <f t="shared" si="345"/>
        <v>1</v>
      </c>
      <c r="H2765">
        <f t="shared" si="351"/>
        <v>0</v>
      </c>
      <c r="I2765">
        <v>2764</v>
      </c>
      <c r="J2765">
        <f t="shared" si="346"/>
        <v>-0.41105375468703453</v>
      </c>
      <c r="K2765">
        <f t="shared" si="347"/>
        <v>-0.91161110719302407</v>
      </c>
      <c r="L2765">
        <f>VLOOKUP(D2765,[1]SOI!$A$1:$C$142,3)</f>
        <v>5</v>
      </c>
      <c r="M2765" s="2">
        <f t="shared" si="348"/>
        <v>-1136.1525779549634</v>
      </c>
      <c r="N2765">
        <f t="shared" si="349"/>
        <v>-2519.6931002815186</v>
      </c>
      <c r="O2765" t="s">
        <v>8</v>
      </c>
    </row>
    <row r="2766" spans="1:15" x14ac:dyDescent="0.35">
      <c r="A2766">
        <v>2007</v>
      </c>
      <c r="B2766">
        <v>7</v>
      </c>
      <c r="C2766">
        <v>27</v>
      </c>
      <c r="D2766" s="1">
        <f t="shared" si="344"/>
        <v>39290</v>
      </c>
      <c r="E2766">
        <v>0</v>
      </c>
      <c r="F2766">
        <f t="shared" si="350"/>
        <v>0.2</v>
      </c>
      <c r="G2766">
        <f t="shared" si="345"/>
        <v>0</v>
      </c>
      <c r="H2766">
        <f t="shared" si="351"/>
        <v>1</v>
      </c>
      <c r="I2766">
        <v>2765</v>
      </c>
      <c r="J2766">
        <f t="shared" si="346"/>
        <v>-0.42667408318992489</v>
      </c>
      <c r="K2766">
        <f t="shared" si="347"/>
        <v>-0.90440545483430002</v>
      </c>
      <c r="L2766">
        <f>VLOOKUP(D2766,[1]SOI!$A$1:$C$142,3)</f>
        <v>5</v>
      </c>
      <c r="M2766" s="2">
        <f t="shared" si="348"/>
        <v>-1179.7538400201424</v>
      </c>
      <c r="N2766">
        <f t="shared" si="349"/>
        <v>-2500.6810826168394</v>
      </c>
      <c r="O2766" t="s">
        <v>8</v>
      </c>
    </row>
    <row r="2767" spans="1:15" x14ac:dyDescent="0.35">
      <c r="A2767">
        <v>2007</v>
      </c>
      <c r="B2767">
        <v>7</v>
      </c>
      <c r="C2767">
        <v>28</v>
      </c>
      <c r="D2767" s="1">
        <f t="shared" si="344"/>
        <v>39291</v>
      </c>
      <c r="E2767">
        <v>0.2</v>
      </c>
      <c r="F2767">
        <f t="shared" si="350"/>
        <v>0</v>
      </c>
      <c r="G2767">
        <f t="shared" si="345"/>
        <v>1</v>
      </c>
      <c r="H2767">
        <f t="shared" si="351"/>
        <v>0</v>
      </c>
      <c r="I2767">
        <v>2766</v>
      </c>
      <c r="J2767">
        <f t="shared" si="346"/>
        <v>-0.44216815196707343</v>
      </c>
      <c r="K2767">
        <f t="shared" si="347"/>
        <v>-0.89693217435100581</v>
      </c>
      <c r="L2767">
        <f>VLOOKUP(D2767,[1]SOI!$A$1:$C$142,3)</f>
        <v>5</v>
      </c>
      <c r="M2767" s="2">
        <f t="shared" si="348"/>
        <v>-1223.0371083409252</v>
      </c>
      <c r="N2767">
        <f t="shared" si="349"/>
        <v>-2480.9143942548822</v>
      </c>
      <c r="O2767" t="s">
        <v>8</v>
      </c>
    </row>
    <row r="2768" spans="1:15" x14ac:dyDescent="0.35">
      <c r="A2768">
        <v>2007</v>
      </c>
      <c r="B2768">
        <v>7</v>
      </c>
      <c r="C2768">
        <v>29</v>
      </c>
      <c r="D2768" s="1">
        <f t="shared" si="344"/>
        <v>39292</v>
      </c>
      <c r="E2768">
        <v>0</v>
      </c>
      <c r="F2768">
        <f t="shared" si="350"/>
        <v>0.2</v>
      </c>
      <c r="G2768">
        <f t="shared" si="345"/>
        <v>0</v>
      </c>
      <c r="H2768">
        <f t="shared" si="351"/>
        <v>1</v>
      </c>
      <c r="I2768">
        <v>2767</v>
      </c>
      <c r="J2768">
        <f t="shared" si="346"/>
        <v>-0.4575313760742471</v>
      </c>
      <c r="K2768">
        <f t="shared" si="347"/>
        <v>-0.8891934772070732</v>
      </c>
      <c r="L2768">
        <f>VLOOKUP(D2768,[1]SOI!$A$1:$C$142,3)</f>
        <v>5</v>
      </c>
      <c r="M2768" s="2">
        <f t="shared" si="348"/>
        <v>-1265.9893175974416</v>
      </c>
      <c r="N2768">
        <f t="shared" si="349"/>
        <v>-2460.3983514319716</v>
      </c>
      <c r="O2768" t="s">
        <v>8</v>
      </c>
    </row>
    <row r="2769" spans="1:15" x14ac:dyDescent="0.35">
      <c r="A2769">
        <v>2007</v>
      </c>
      <c r="B2769">
        <v>7</v>
      </c>
      <c r="C2769">
        <v>30</v>
      </c>
      <c r="D2769" s="1">
        <f t="shared" si="344"/>
        <v>39293</v>
      </c>
      <c r="E2769">
        <v>2</v>
      </c>
      <c r="F2769">
        <f t="shared" si="350"/>
        <v>0</v>
      </c>
      <c r="G2769">
        <f t="shared" si="345"/>
        <v>1</v>
      </c>
      <c r="H2769">
        <f t="shared" si="351"/>
        <v>0</v>
      </c>
      <c r="I2769">
        <v>2768</v>
      </c>
      <c r="J2769">
        <f t="shared" si="346"/>
        <v>-0.47275920928627468</v>
      </c>
      <c r="K2769">
        <f t="shared" si="347"/>
        <v>-0.88119165340748451</v>
      </c>
      <c r="L2769">
        <f>VLOOKUP(D2769,[1]SOI!$A$1:$C$142,3)</f>
        <v>5</v>
      </c>
      <c r="M2769" s="2">
        <f t="shared" si="348"/>
        <v>-1308.5974913044083</v>
      </c>
      <c r="N2769">
        <f t="shared" si="349"/>
        <v>-2439.138496631917</v>
      </c>
      <c r="O2769" t="s">
        <v>8</v>
      </c>
    </row>
    <row r="2770" spans="1:15" x14ac:dyDescent="0.35">
      <c r="A2770">
        <v>2007</v>
      </c>
      <c r="B2770">
        <v>7</v>
      </c>
      <c r="C2770">
        <v>31</v>
      </c>
      <c r="D2770" s="1">
        <f t="shared" si="344"/>
        <v>39294</v>
      </c>
      <c r="E2770">
        <v>0</v>
      </c>
      <c r="F2770">
        <f t="shared" si="350"/>
        <v>2</v>
      </c>
      <c r="G2770">
        <f t="shared" si="345"/>
        <v>0</v>
      </c>
      <c r="H2770">
        <f t="shared" si="351"/>
        <v>1</v>
      </c>
      <c r="I2770">
        <v>2769</v>
      </c>
      <c r="J2770">
        <f t="shared" si="346"/>
        <v>-0.48784714544231017</v>
      </c>
      <c r="K2770">
        <f t="shared" si="347"/>
        <v>-0.87292907082064208</v>
      </c>
      <c r="L2770">
        <f>VLOOKUP(D2770,[1]SOI!$A$1:$C$142,3)</f>
        <v>5</v>
      </c>
      <c r="M2770" s="2">
        <f t="shared" si="348"/>
        <v>-1350.848745729757</v>
      </c>
      <c r="N2770">
        <f t="shared" si="349"/>
        <v>-2417.1405971023578</v>
      </c>
      <c r="O2770" t="s">
        <v>8</v>
      </c>
    </row>
    <row r="2771" spans="1:15" x14ac:dyDescent="0.35">
      <c r="A2771">
        <v>2007</v>
      </c>
      <c r="B2771">
        <v>8</v>
      </c>
      <c r="C2771">
        <v>1</v>
      </c>
      <c r="D2771" s="1">
        <f t="shared" si="344"/>
        <v>39295</v>
      </c>
      <c r="E2771">
        <v>1.4</v>
      </c>
      <c r="F2771">
        <f t="shared" si="350"/>
        <v>0</v>
      </c>
      <c r="G2771">
        <f t="shared" si="345"/>
        <v>1</v>
      </c>
      <c r="H2771">
        <f t="shared" si="351"/>
        <v>0</v>
      </c>
      <c r="I2771">
        <v>2770</v>
      </c>
      <c r="J2771">
        <f t="shared" si="346"/>
        <v>-0.50279071977930334</v>
      </c>
      <c r="K2771">
        <f t="shared" si="347"/>
        <v>-0.86440817447766538</v>
      </c>
      <c r="L2771">
        <f>VLOOKUP(D2771,[1]SOI!$A$1:$C$142,3)</f>
        <v>-4.3</v>
      </c>
      <c r="M2771" s="2">
        <f t="shared" si="348"/>
        <v>-1392.7302937886702</v>
      </c>
      <c r="N2771">
        <f t="shared" si="349"/>
        <v>-2394.4106433031329</v>
      </c>
      <c r="O2771" t="s">
        <v>8</v>
      </c>
    </row>
    <row r="2772" spans="1:15" x14ac:dyDescent="0.35">
      <c r="A2772">
        <v>2007</v>
      </c>
      <c r="B2772">
        <v>8</v>
      </c>
      <c r="C2772">
        <v>2</v>
      </c>
      <c r="D2772" s="1">
        <f t="shared" si="344"/>
        <v>39296</v>
      </c>
      <c r="E2772">
        <v>0</v>
      </c>
      <c r="F2772">
        <f t="shared" si="350"/>
        <v>1.4</v>
      </c>
      <c r="G2772">
        <f t="shared" si="345"/>
        <v>0</v>
      </c>
      <c r="H2772">
        <f t="shared" si="351"/>
        <v>1</v>
      </c>
      <c r="I2772">
        <v>2771</v>
      </c>
      <c r="J2772">
        <f t="shared" si="346"/>
        <v>-0.51758551025318911</v>
      </c>
      <c r="K2772">
        <f t="shared" si="347"/>
        <v>-0.8556314858488705</v>
      </c>
      <c r="L2772">
        <f>VLOOKUP(D2772,[1]SOI!$A$1:$C$142,3)</f>
        <v>-4.3</v>
      </c>
      <c r="M2772" s="2">
        <f t="shared" si="348"/>
        <v>-1434.229448911587</v>
      </c>
      <c r="N2772">
        <f t="shared" si="349"/>
        <v>-2370.9548472872202</v>
      </c>
      <c r="O2772" t="s">
        <v>8</v>
      </c>
    </row>
    <row r="2773" spans="1:15" x14ac:dyDescent="0.35">
      <c r="A2773">
        <v>2007</v>
      </c>
      <c r="B2773">
        <v>8</v>
      </c>
      <c r="C2773">
        <v>3</v>
      </c>
      <c r="D2773" s="1">
        <f t="shared" si="344"/>
        <v>39297</v>
      </c>
      <c r="E2773">
        <v>0</v>
      </c>
      <c r="F2773">
        <f t="shared" si="350"/>
        <v>0</v>
      </c>
      <c r="G2773">
        <f t="shared" si="345"/>
        <v>0</v>
      </c>
      <c r="H2773">
        <f t="shared" si="351"/>
        <v>0</v>
      </c>
      <c r="I2773">
        <v>2772</v>
      </c>
      <c r="J2773">
        <f t="shared" si="346"/>
        <v>-0.53222713884743467</v>
      </c>
      <c r="K2773">
        <f t="shared" si="347"/>
        <v>-0.8466016020976298</v>
      </c>
      <c r="L2773">
        <f>VLOOKUP(D2773,[1]SOI!$A$1:$C$142,3)</f>
        <v>-4.3</v>
      </c>
      <c r="M2773" s="2">
        <f t="shared" si="348"/>
        <v>-1475.333628885089</v>
      </c>
      <c r="N2773">
        <f t="shared" si="349"/>
        <v>-2346.7796410146298</v>
      </c>
      <c r="O2773" t="s">
        <v>8</v>
      </c>
    </row>
    <row r="2774" spans="1:15" x14ac:dyDescent="0.35">
      <c r="A2774">
        <v>2007</v>
      </c>
      <c r="B2774">
        <v>8</v>
      </c>
      <c r="C2774">
        <v>4</v>
      </c>
      <c r="D2774" s="1">
        <f t="shared" si="344"/>
        <v>39298</v>
      </c>
      <c r="E2774">
        <v>0.2</v>
      </c>
      <c r="F2774">
        <f t="shared" si="350"/>
        <v>0</v>
      </c>
      <c r="G2774">
        <f t="shared" si="345"/>
        <v>1</v>
      </c>
      <c r="H2774">
        <f t="shared" si="351"/>
        <v>0</v>
      </c>
      <c r="I2774">
        <v>2773</v>
      </c>
      <c r="J2774">
        <f t="shared" si="346"/>
        <v>-0.54671127286859</v>
      </c>
      <c r="K2774">
        <f t="shared" si="347"/>
        <v>-0.8373211953118147</v>
      </c>
      <c r="L2774">
        <f>VLOOKUP(D2774,[1]SOI!$A$1:$C$142,3)</f>
        <v>-4.3</v>
      </c>
      <c r="M2774" s="2">
        <f t="shared" si="348"/>
        <v>-1516.0303596646002</v>
      </c>
      <c r="N2774">
        <f t="shared" si="349"/>
        <v>-2321.8916745996621</v>
      </c>
      <c r="O2774" t="s">
        <v>8</v>
      </c>
    </row>
    <row r="2775" spans="1:15" x14ac:dyDescent="0.35">
      <c r="A2775">
        <v>2007</v>
      </c>
      <c r="B2775">
        <v>8</v>
      </c>
      <c r="C2775">
        <v>5</v>
      </c>
      <c r="D2775" s="1">
        <f t="shared" si="344"/>
        <v>39299</v>
      </c>
      <c r="E2775">
        <v>1</v>
      </c>
      <c r="F2775">
        <f t="shared" si="350"/>
        <v>0.2</v>
      </c>
      <c r="G2775">
        <f t="shared" si="345"/>
        <v>1</v>
      </c>
      <c r="H2775">
        <f t="shared" si="351"/>
        <v>1</v>
      </c>
      <c r="I2775">
        <v>2774</v>
      </c>
      <c r="J2775">
        <f t="shared" si="346"/>
        <v>-0.56103362622836506</v>
      </c>
      <c r="K2775">
        <f t="shared" si="347"/>
        <v>-0.82779301171310404</v>
      </c>
      <c r="L2775">
        <f>VLOOKUP(D2775,[1]SOI!$A$1:$C$142,3)</f>
        <v>-4.3</v>
      </c>
      <c r="M2775" s="2">
        <f t="shared" si="348"/>
        <v>-1556.3072791574846</v>
      </c>
      <c r="N2775">
        <f t="shared" si="349"/>
        <v>-2296.2978144921508</v>
      </c>
      <c r="O2775" t="s">
        <v>8</v>
      </c>
    </row>
    <row r="2776" spans="1:15" x14ac:dyDescent="0.35">
      <c r="A2776">
        <v>2007</v>
      </c>
      <c r="B2776">
        <v>8</v>
      </c>
      <c r="C2776">
        <v>6</v>
      </c>
      <c r="D2776" s="1">
        <f t="shared" si="344"/>
        <v>39300</v>
      </c>
      <c r="E2776">
        <v>0.2</v>
      </c>
      <c r="F2776">
        <f t="shared" si="350"/>
        <v>1</v>
      </c>
      <c r="G2776">
        <f t="shared" si="345"/>
        <v>1</v>
      </c>
      <c r="H2776">
        <f t="shared" si="351"/>
        <v>1</v>
      </c>
      <c r="I2776">
        <v>2775</v>
      </c>
      <c r="J2776">
        <f t="shared" si="346"/>
        <v>-0.57518996071197592</v>
      </c>
      <c r="K2776">
        <f t="shared" si="347"/>
        <v>-0.8180198708443186</v>
      </c>
      <c r="L2776">
        <f>VLOOKUP(D2776,[1]SOI!$A$1:$C$142,3)</f>
        <v>-4.3</v>
      </c>
      <c r="M2776" s="2">
        <f t="shared" si="348"/>
        <v>-1596.1521409757331</v>
      </c>
      <c r="N2776">
        <f t="shared" si="349"/>
        <v>-2270.0051415929843</v>
      </c>
      <c r="O2776" t="s">
        <v>8</v>
      </c>
    </row>
    <row r="2777" spans="1:15" x14ac:dyDescent="0.35">
      <c r="A2777">
        <v>2007</v>
      </c>
      <c r="B2777">
        <v>8</v>
      </c>
      <c r="C2777">
        <v>7</v>
      </c>
      <c r="D2777" s="1">
        <f t="shared" si="344"/>
        <v>39301</v>
      </c>
      <c r="E2777">
        <v>0</v>
      </c>
      <c r="F2777">
        <f t="shared" si="350"/>
        <v>0.2</v>
      </c>
      <c r="G2777">
        <f t="shared" si="345"/>
        <v>0</v>
      </c>
      <c r="H2777">
        <f t="shared" si="351"/>
        <v>1</v>
      </c>
      <c r="I2777">
        <v>2776</v>
      </c>
      <c r="J2777">
        <f t="shared" si="346"/>
        <v>-0.58917608723229542</v>
      </c>
      <c r="K2777">
        <f t="shared" si="347"/>
        <v>-0.80800466473507604</v>
      </c>
      <c r="L2777">
        <f>VLOOKUP(D2777,[1]SOI!$A$1:$C$142,3)</f>
        <v>-4.3</v>
      </c>
      <c r="M2777" s="2">
        <f t="shared" si="348"/>
        <v>-1635.552818156852</v>
      </c>
      <c r="N2777">
        <f t="shared" si="349"/>
        <v>-2243.0209493045709</v>
      </c>
      <c r="O2777" t="s">
        <v>8</v>
      </c>
    </row>
    <row r="2778" spans="1:15" x14ac:dyDescent="0.35">
      <c r="A2778">
        <v>2007</v>
      </c>
      <c r="B2778">
        <v>8</v>
      </c>
      <c r="C2778">
        <v>8</v>
      </c>
      <c r="D2778" s="1">
        <f t="shared" si="344"/>
        <v>39302</v>
      </c>
      <c r="E2778">
        <v>0</v>
      </c>
      <c r="F2778">
        <f t="shared" si="350"/>
        <v>0</v>
      </c>
      <c r="G2778">
        <f t="shared" si="345"/>
        <v>0</v>
      </c>
      <c r="H2778">
        <f t="shared" si="351"/>
        <v>0</v>
      </c>
      <c r="I2778">
        <v>2777</v>
      </c>
      <c r="J2778">
        <f t="shared" si="346"/>
        <v>-0.60298786706947116</v>
      </c>
      <c r="K2778">
        <f t="shared" si="347"/>
        <v>-0.79775035704599329</v>
      </c>
      <c r="L2778">
        <f>VLOOKUP(D2778,[1]SOI!$A$1:$C$142,3)</f>
        <v>-4.3</v>
      </c>
      <c r="M2778" s="2">
        <f t="shared" si="348"/>
        <v>-1674.4973068519214</v>
      </c>
      <c r="N2778">
        <f t="shared" si="349"/>
        <v>-2215.3527415167232</v>
      </c>
      <c r="O2778" t="s">
        <v>8</v>
      </c>
    </row>
    <row r="2779" spans="1:15" x14ac:dyDescent="0.35">
      <c r="A2779">
        <v>2007</v>
      </c>
      <c r="B2779">
        <v>8</v>
      </c>
      <c r="C2779">
        <v>9</v>
      </c>
      <c r="D2779" s="1">
        <f t="shared" si="344"/>
        <v>39303</v>
      </c>
      <c r="E2779">
        <v>0</v>
      </c>
      <c r="F2779">
        <f t="shared" si="350"/>
        <v>0</v>
      </c>
      <c r="G2779">
        <f t="shared" si="345"/>
        <v>0</v>
      </c>
      <c r="H2779">
        <f t="shared" si="351"/>
        <v>0</v>
      </c>
      <c r="I2779">
        <v>2778</v>
      </c>
      <c r="J2779">
        <f t="shared" si="346"/>
        <v>-0.61662121309563356</v>
      </c>
      <c r="K2779">
        <f t="shared" si="347"/>
        <v>-0.78725998219169591</v>
      </c>
      <c r="L2779">
        <f>VLOOKUP(D2779,[1]SOI!$A$1:$C$142,3)</f>
        <v>-4.3</v>
      </c>
      <c r="M2779" s="2">
        <f t="shared" si="348"/>
        <v>-1712.97372997967</v>
      </c>
      <c r="N2779">
        <f t="shared" si="349"/>
        <v>-2187.0082305285314</v>
      </c>
      <c r="O2779" t="s">
        <v>8</v>
      </c>
    </row>
    <row r="2780" spans="1:15" x14ac:dyDescent="0.35">
      <c r="A2780">
        <v>2007</v>
      </c>
      <c r="B2780">
        <v>8</v>
      </c>
      <c r="C2780">
        <v>10</v>
      </c>
      <c r="D2780" s="1">
        <f t="shared" si="344"/>
        <v>39304</v>
      </c>
      <c r="E2780">
        <v>0.4</v>
      </c>
      <c r="F2780">
        <f t="shared" si="350"/>
        <v>0</v>
      </c>
      <c r="G2780">
        <f t="shared" si="345"/>
        <v>1</v>
      </c>
      <c r="H2780">
        <f t="shared" si="351"/>
        <v>0</v>
      </c>
      <c r="I2780">
        <v>2779</v>
      </c>
      <c r="J2780">
        <f t="shared" si="346"/>
        <v>-0.63007209098436512</v>
      </c>
      <c r="K2780">
        <f t="shared" si="347"/>
        <v>-0.77653664444286852</v>
      </c>
      <c r="L2780">
        <f>VLOOKUP(D2780,[1]SOI!$A$1:$C$142,3)</f>
        <v>-4.3</v>
      </c>
      <c r="M2780" s="2">
        <f t="shared" si="348"/>
        <v>-1750.9703408455507</v>
      </c>
      <c r="N2780">
        <f t="shared" si="349"/>
        <v>-2157.9953349067314</v>
      </c>
      <c r="O2780" t="s">
        <v>8</v>
      </c>
    </row>
    <row r="2781" spans="1:15" x14ac:dyDescent="0.35">
      <c r="A2781">
        <v>2007</v>
      </c>
      <c r="B2781">
        <v>8</v>
      </c>
      <c r="C2781">
        <v>11</v>
      </c>
      <c r="D2781" s="1">
        <f t="shared" si="344"/>
        <v>39305</v>
      </c>
      <c r="E2781">
        <v>4.4000000000000004</v>
      </c>
      <c r="F2781">
        <f t="shared" si="350"/>
        <v>0.4</v>
      </c>
      <c r="G2781">
        <f t="shared" si="345"/>
        <v>1</v>
      </c>
      <c r="H2781">
        <f t="shared" si="351"/>
        <v>1</v>
      </c>
      <c r="I2781">
        <v>2780</v>
      </c>
      <c r="J2781">
        <f t="shared" si="346"/>
        <v>-0.64333652040448919</v>
      </c>
      <c r="K2781">
        <f t="shared" si="347"/>
        <v>-0.76558351700767713</v>
      </c>
      <c r="L2781">
        <f>VLOOKUP(D2781,[1]SOI!$A$1:$C$142,3)</f>
        <v>-4.3</v>
      </c>
      <c r="M2781" s="2">
        <f t="shared" si="348"/>
        <v>-1788.47552672448</v>
      </c>
      <c r="N2781">
        <f t="shared" si="349"/>
        <v>-2128.3221772813422</v>
      </c>
      <c r="O2781" t="s">
        <v>8</v>
      </c>
    </row>
    <row r="2782" spans="1:15" x14ac:dyDescent="0.35">
      <c r="A2782">
        <v>2007</v>
      </c>
      <c r="B2782">
        <v>8</v>
      </c>
      <c r="C2782">
        <v>12</v>
      </c>
      <c r="D2782" s="1">
        <f t="shared" si="344"/>
        <v>39306</v>
      </c>
      <c r="E2782">
        <v>4</v>
      </c>
      <c r="F2782">
        <f t="shared" si="350"/>
        <v>4.4000000000000004</v>
      </c>
      <c r="G2782">
        <f t="shared" si="345"/>
        <v>1</v>
      </c>
      <c r="H2782">
        <f t="shared" si="351"/>
        <v>1</v>
      </c>
      <c r="I2782">
        <v>2781</v>
      </c>
      <c r="J2782">
        <f t="shared" si="346"/>
        <v>-0.6564105761979363</v>
      </c>
      <c r="K2782">
        <f t="shared" si="347"/>
        <v>-0.75440384109274872</v>
      </c>
      <c r="L2782">
        <f>VLOOKUP(D2782,[1]SOI!$A$1:$C$142,3)</f>
        <v>-4.3</v>
      </c>
      <c r="M2782" s="2">
        <f t="shared" si="348"/>
        <v>-1825.4778124064608</v>
      </c>
      <c r="N2782">
        <f t="shared" si="349"/>
        <v>-2097.997082078934</v>
      </c>
      <c r="O2782" t="s">
        <v>8</v>
      </c>
    </row>
    <row r="2783" spans="1:15" x14ac:dyDescent="0.35">
      <c r="A2783">
        <v>2007</v>
      </c>
      <c r="B2783">
        <v>8</v>
      </c>
      <c r="C2783">
        <v>13</v>
      </c>
      <c r="D2783" s="1">
        <f t="shared" si="344"/>
        <v>39307</v>
      </c>
      <c r="E2783">
        <v>0.6</v>
      </c>
      <c r="F2783">
        <f t="shared" si="350"/>
        <v>4</v>
      </c>
      <c r="G2783">
        <f t="shared" si="345"/>
        <v>1</v>
      </c>
      <c r="H2783">
        <f t="shared" si="351"/>
        <v>1</v>
      </c>
      <c r="I2783">
        <v>2782</v>
      </c>
      <c r="J2783">
        <f t="shared" si="346"/>
        <v>-0.66929038954125564</v>
      </c>
      <c r="K2783">
        <f t="shared" si="347"/>
        <v>-0.74300092494405034</v>
      </c>
      <c r="L2783">
        <f>VLOOKUP(D2783,[1]SOI!$A$1:$C$142,3)</f>
        <v>-4.3</v>
      </c>
      <c r="M2783" s="2">
        <f t="shared" si="348"/>
        <v>-1861.9658637037733</v>
      </c>
      <c r="N2783">
        <f t="shared" si="349"/>
        <v>-2067.0285731943482</v>
      </c>
      <c r="O2783" t="s">
        <v>8</v>
      </c>
    </row>
    <row r="2784" spans="1:15" x14ac:dyDescent="0.35">
      <c r="A2784">
        <v>2007</v>
      </c>
      <c r="B2784">
        <v>8</v>
      </c>
      <c r="C2784">
        <v>14</v>
      </c>
      <c r="D2784" s="1">
        <f t="shared" si="344"/>
        <v>39308</v>
      </c>
      <c r="E2784">
        <v>1.2</v>
      </c>
      <c r="F2784">
        <f t="shared" si="350"/>
        <v>0.6</v>
      </c>
      <c r="G2784">
        <f t="shared" si="345"/>
        <v>1</v>
      </c>
      <c r="H2784">
        <f t="shared" si="351"/>
        <v>1</v>
      </c>
      <c r="I2784">
        <v>2783</v>
      </c>
      <c r="J2784">
        <f t="shared" si="346"/>
        <v>-0.68197214909045756</v>
      </c>
      <c r="K2784">
        <f t="shared" si="347"/>
        <v>-0.73137814286793035</v>
      </c>
      <c r="L2784">
        <f>VLOOKUP(D2784,[1]SOI!$A$1:$C$142,3)</f>
        <v>-4.3</v>
      </c>
      <c r="M2784" s="2">
        <f t="shared" si="348"/>
        <v>-1897.9284909187434</v>
      </c>
      <c r="N2784">
        <f t="shared" si="349"/>
        <v>-2035.4253716014503</v>
      </c>
      <c r="O2784" t="s">
        <v>8</v>
      </c>
    </row>
    <row r="2785" spans="1:15" x14ac:dyDescent="0.35">
      <c r="A2785">
        <v>2007</v>
      </c>
      <c r="B2785">
        <v>8</v>
      </c>
      <c r="C2785">
        <v>15</v>
      </c>
      <c r="D2785" s="1">
        <f t="shared" si="344"/>
        <v>39309</v>
      </c>
      <c r="E2785">
        <v>0</v>
      </c>
      <c r="F2785">
        <f t="shared" si="350"/>
        <v>1.2</v>
      </c>
      <c r="G2785">
        <f t="shared" si="345"/>
        <v>0</v>
      </c>
      <c r="H2785">
        <f t="shared" si="351"/>
        <v>1</v>
      </c>
      <c r="I2785">
        <v>2784</v>
      </c>
      <c r="J2785">
        <f t="shared" si="346"/>
        <v>-0.69445210210887209</v>
      </c>
      <c r="K2785">
        <f t="shared" si="347"/>
        <v>-0.71953893423258808</v>
      </c>
      <c r="L2785">
        <f>VLOOKUP(D2785,[1]SOI!$A$1:$C$142,3)</f>
        <v>-4.3</v>
      </c>
      <c r="M2785" s="2">
        <f t="shared" si="348"/>
        <v>-1933.3546522710999</v>
      </c>
      <c r="N2785">
        <f t="shared" si="349"/>
        <v>-2003.1963929035253</v>
      </c>
      <c r="O2785" t="s">
        <v>8</v>
      </c>
    </row>
    <row r="2786" spans="1:15" x14ac:dyDescent="0.35">
      <c r="A2786">
        <v>2007</v>
      </c>
      <c r="B2786">
        <v>8</v>
      </c>
      <c r="C2786">
        <v>16</v>
      </c>
      <c r="D2786" s="1">
        <f t="shared" si="344"/>
        <v>39310</v>
      </c>
      <c r="E2786">
        <v>0</v>
      </c>
      <c r="F2786">
        <f t="shared" si="350"/>
        <v>0</v>
      </c>
      <c r="G2786">
        <f t="shared" si="345"/>
        <v>0</v>
      </c>
      <c r="H2786">
        <f t="shared" si="351"/>
        <v>0</v>
      </c>
      <c r="I2786">
        <v>2785</v>
      </c>
      <c r="J2786">
        <f t="shared" si="346"/>
        <v>-0.70672655557761255</v>
      </c>
      <c r="K2786">
        <f t="shared" si="347"/>
        <v>-0.70748680245033813</v>
      </c>
      <c r="L2786">
        <f>VLOOKUP(D2786,[1]SOI!$A$1:$C$142,3)</f>
        <v>-4.3</v>
      </c>
      <c r="M2786" s="2">
        <f t="shared" si="348"/>
        <v>-1968.233457283651</v>
      </c>
      <c r="N2786">
        <f t="shared" si="349"/>
        <v>-1970.3507448241917</v>
      </c>
      <c r="O2786" t="s">
        <v>8</v>
      </c>
    </row>
    <row r="2787" spans="1:15" x14ac:dyDescent="0.35">
      <c r="A2787">
        <v>2007</v>
      </c>
      <c r="B2787">
        <v>8</v>
      </c>
      <c r="C2787">
        <v>17</v>
      </c>
      <c r="D2787" s="1">
        <f t="shared" si="344"/>
        <v>39311</v>
      </c>
      <c r="E2787">
        <v>0</v>
      </c>
      <c r="F2787">
        <f t="shared" si="350"/>
        <v>0</v>
      </c>
      <c r="G2787">
        <f t="shared" si="345"/>
        <v>0</v>
      </c>
      <c r="H2787">
        <f t="shared" si="351"/>
        <v>0</v>
      </c>
      <c r="I2787">
        <v>2786</v>
      </c>
      <c r="J2787">
        <f t="shared" si="346"/>
        <v>-0.71879187728842064</v>
      </c>
      <c r="K2787">
        <f t="shared" si="347"/>
        <v>-0.69522531394087494</v>
      </c>
      <c r="L2787">
        <f>VLOOKUP(D2787,[1]SOI!$A$1:$C$142,3)</f>
        <v>-4.3</v>
      </c>
      <c r="M2787" s="2">
        <f t="shared" si="348"/>
        <v>-2002.5541701255399</v>
      </c>
      <c r="N2787">
        <f t="shared" si="349"/>
        <v>-1936.8977246392776</v>
      </c>
      <c r="O2787" t="s">
        <v>8</v>
      </c>
    </row>
    <row r="2788" spans="1:15" x14ac:dyDescent="0.35">
      <c r="A2788">
        <v>2007</v>
      </c>
      <c r="B2788">
        <v>8</v>
      </c>
      <c r="C2788">
        <v>18</v>
      </c>
      <c r="D2788" s="1">
        <f t="shared" si="344"/>
        <v>39312</v>
      </c>
      <c r="E2788">
        <v>1.2</v>
      </c>
      <c r="F2788">
        <f t="shared" si="350"/>
        <v>0</v>
      </c>
      <c r="G2788">
        <f t="shared" si="345"/>
        <v>1</v>
      </c>
      <c r="H2788">
        <f t="shared" si="351"/>
        <v>0</v>
      </c>
      <c r="I2788">
        <v>2787</v>
      </c>
      <c r="J2788">
        <f t="shared" si="346"/>
        <v>-0.73064449691848976</v>
      </c>
      <c r="K2788">
        <f t="shared" si="347"/>
        <v>-0.68275809707591684</v>
      </c>
      <c r="L2788">
        <f>VLOOKUP(D2788,[1]SOI!$A$1:$C$142,3)</f>
        <v>-4.3</v>
      </c>
      <c r="M2788" s="2">
        <f t="shared" si="348"/>
        <v>-2036.3062129118309</v>
      </c>
      <c r="N2788">
        <f t="shared" si="349"/>
        <v>-1902.8468165505801</v>
      </c>
      <c r="O2788" t="s">
        <v>8</v>
      </c>
    </row>
    <row r="2789" spans="1:15" x14ac:dyDescent="0.35">
      <c r="A2789">
        <v>2007</v>
      </c>
      <c r="B2789">
        <v>8</v>
      </c>
      <c r="C2789">
        <v>19</v>
      </c>
      <c r="D2789" s="1">
        <f t="shared" si="344"/>
        <v>39313</v>
      </c>
      <c r="E2789">
        <v>0.4</v>
      </c>
      <c r="F2789">
        <f t="shared" si="350"/>
        <v>1.2</v>
      </c>
      <c r="G2789">
        <f t="shared" si="345"/>
        <v>1</v>
      </c>
      <c r="H2789">
        <f t="shared" si="351"/>
        <v>1</v>
      </c>
      <c r="I2789">
        <v>2788</v>
      </c>
      <c r="J2789">
        <f t="shared" si="346"/>
        <v>-0.7422809070869858</v>
      </c>
      <c r="K2789">
        <f t="shared" si="347"/>
        <v>-0.67008884110550715</v>
      </c>
      <c r="L2789">
        <f>VLOOKUP(D2789,[1]SOI!$A$1:$C$142,3)</f>
        <v>-4.3</v>
      </c>
      <c r="M2789" s="2">
        <f t="shared" si="348"/>
        <v>-2069.4791689585163</v>
      </c>
      <c r="N2789">
        <f t="shared" si="349"/>
        <v>-1868.207689002154</v>
      </c>
      <c r="O2789" t="s">
        <v>8</v>
      </c>
    </row>
    <row r="2790" spans="1:15" x14ac:dyDescent="0.35">
      <c r="A2790">
        <v>2007</v>
      </c>
      <c r="B2790">
        <v>8</v>
      </c>
      <c r="C2790">
        <v>20</v>
      </c>
      <c r="D2790" s="1">
        <f t="shared" si="344"/>
        <v>39314</v>
      </c>
      <c r="E2790">
        <v>0</v>
      </c>
      <c r="F2790">
        <f t="shared" si="350"/>
        <v>0.4</v>
      </c>
      <c r="G2790">
        <f t="shared" si="345"/>
        <v>0</v>
      </c>
      <c r="H2790">
        <f t="shared" si="351"/>
        <v>1</v>
      </c>
      <c r="I2790">
        <v>2789</v>
      </c>
      <c r="J2790">
        <f t="shared" si="346"/>
        <v>-0.75369766439290908</v>
      </c>
      <c r="K2790">
        <f t="shared" si="347"/>
        <v>-0.65722129506633742</v>
      </c>
      <c r="L2790">
        <f>VLOOKUP(D2790,[1]SOI!$A$1:$C$142,3)</f>
        <v>-4.3</v>
      </c>
      <c r="M2790" s="2">
        <f t="shared" si="348"/>
        <v>-2102.0627859918236</v>
      </c>
      <c r="N2790">
        <f t="shared" si="349"/>
        <v>-1832.9901919400152</v>
      </c>
      <c r="O2790" t="s">
        <v>8</v>
      </c>
    </row>
    <row r="2791" spans="1:15" x14ac:dyDescent="0.35">
      <c r="A2791">
        <v>2007</v>
      </c>
      <c r="B2791">
        <v>8</v>
      </c>
      <c r="C2791">
        <v>21</v>
      </c>
      <c r="D2791" s="1">
        <f t="shared" si="344"/>
        <v>39315</v>
      </c>
      <c r="E2791">
        <v>0</v>
      </c>
      <c r="F2791">
        <f t="shared" si="350"/>
        <v>0</v>
      </c>
      <c r="G2791">
        <f t="shared" si="345"/>
        <v>0</v>
      </c>
      <c r="H2791">
        <f t="shared" si="351"/>
        <v>0</v>
      </c>
      <c r="I2791">
        <v>2790</v>
      </c>
      <c r="J2791">
        <f t="shared" si="346"/>
        <v>-0.76489139043411869</v>
      </c>
      <c r="K2791">
        <f t="shared" si="347"/>
        <v>-0.64415926667227308</v>
      </c>
      <c r="L2791">
        <f>VLOOKUP(D2791,[1]SOI!$A$1:$C$142,3)</f>
        <v>-4.3</v>
      </c>
      <c r="M2791" s="2">
        <f t="shared" si="348"/>
        <v>-2134.0469793111911</v>
      </c>
      <c r="N2791">
        <f t="shared" si="349"/>
        <v>-1797.2043540156419</v>
      </c>
      <c r="O2791" t="s">
        <v>8</v>
      </c>
    </row>
    <row r="2792" spans="1:15" x14ac:dyDescent="0.35">
      <c r="A2792">
        <v>2007</v>
      </c>
      <c r="B2792">
        <v>8</v>
      </c>
      <c r="C2792">
        <v>22</v>
      </c>
      <c r="D2792" s="1">
        <f t="shared" si="344"/>
        <v>39316</v>
      </c>
      <c r="E2792">
        <v>0</v>
      </c>
      <c r="F2792">
        <f t="shared" si="350"/>
        <v>0</v>
      </c>
      <c r="G2792">
        <f t="shared" si="345"/>
        <v>0</v>
      </c>
      <c r="H2792">
        <f t="shared" si="351"/>
        <v>0</v>
      </c>
      <c r="I2792">
        <v>2791</v>
      </c>
      <c r="J2792">
        <f t="shared" si="346"/>
        <v>-0.77585877280697957</v>
      </c>
      <c r="K2792">
        <f t="shared" si="347"/>
        <v>-0.63090662118767438</v>
      </c>
      <c r="L2792">
        <f>VLOOKUP(D2792,[1]SOI!$A$1:$C$142,3)</f>
        <v>-4.3</v>
      </c>
      <c r="M2792" s="2">
        <f t="shared" si="348"/>
        <v>-2165.4218349042799</v>
      </c>
      <c r="N2792">
        <f t="shared" si="349"/>
        <v>-1760.8603797347992</v>
      </c>
      <c r="O2792" t="s">
        <v>8</v>
      </c>
    </row>
    <row r="2793" spans="1:15" x14ac:dyDescent="0.35">
      <c r="A2793">
        <v>2007</v>
      </c>
      <c r="B2793">
        <v>8</v>
      </c>
      <c r="C2793">
        <v>23</v>
      </c>
      <c r="D2793" s="1">
        <f t="shared" si="344"/>
        <v>39317</v>
      </c>
      <c r="E2793">
        <v>0</v>
      </c>
      <c r="F2793">
        <f t="shared" si="350"/>
        <v>0</v>
      </c>
      <c r="G2793">
        <f t="shared" si="345"/>
        <v>0</v>
      </c>
      <c r="H2793">
        <f t="shared" si="351"/>
        <v>0</v>
      </c>
      <c r="I2793">
        <v>2792</v>
      </c>
      <c r="J2793">
        <f t="shared" si="346"/>
        <v>-0.78659656608659956</v>
      </c>
      <c r="K2793">
        <f t="shared" si="347"/>
        <v>-0.61746728028355469</v>
      </c>
      <c r="L2793">
        <f>VLOOKUP(D2793,[1]SOI!$A$1:$C$142,3)</f>
        <v>-4.3</v>
      </c>
      <c r="M2793" s="2">
        <f t="shared" si="348"/>
        <v>-2196.1776125137858</v>
      </c>
      <c r="N2793">
        <f t="shared" si="349"/>
        <v>-1723.9686465516847</v>
      </c>
      <c r="O2793" t="s">
        <v>8</v>
      </c>
    </row>
    <row r="2794" spans="1:15" x14ac:dyDescent="0.35">
      <c r="A2794">
        <v>2007</v>
      </c>
      <c r="B2794">
        <v>8</v>
      </c>
      <c r="C2794">
        <v>24</v>
      </c>
      <c r="D2794" s="1">
        <f t="shared" si="344"/>
        <v>39318</v>
      </c>
      <c r="E2794">
        <v>0</v>
      </c>
      <c r="F2794">
        <f t="shared" si="350"/>
        <v>0</v>
      </c>
      <c r="G2794">
        <f t="shared" si="345"/>
        <v>0</v>
      </c>
      <c r="H2794">
        <f t="shared" si="351"/>
        <v>0</v>
      </c>
      <c r="I2794">
        <v>2793</v>
      </c>
      <c r="J2794">
        <f t="shared" si="346"/>
        <v>-0.79710159278719683</v>
      </c>
      <c r="K2794">
        <f t="shared" si="347"/>
        <v>-0.60384522087710013</v>
      </c>
      <c r="L2794">
        <f>VLOOKUP(D2794,[1]SOI!$A$1:$C$142,3)</f>
        <v>-4.3</v>
      </c>
      <c r="M2794" s="2">
        <f t="shared" si="348"/>
        <v>-2226.3047486546407</v>
      </c>
      <c r="N2794">
        <f t="shared" si="349"/>
        <v>-1686.5397019097406</v>
      </c>
      <c r="O2794" t="s">
        <v>8</v>
      </c>
    </row>
    <row r="2795" spans="1:15" x14ac:dyDescent="0.35">
      <c r="A2795">
        <v>2007</v>
      </c>
      <c r="B2795">
        <v>8</v>
      </c>
      <c r="C2795">
        <v>25</v>
      </c>
      <c r="D2795" s="1">
        <f t="shared" si="344"/>
        <v>39319</v>
      </c>
      <c r="E2795">
        <v>0</v>
      </c>
      <c r="F2795">
        <f t="shared" si="350"/>
        <v>0</v>
      </c>
      <c r="G2795">
        <f t="shared" si="345"/>
        <v>0</v>
      </c>
      <c r="H2795">
        <f t="shared" si="351"/>
        <v>0</v>
      </c>
      <c r="I2795">
        <v>2794</v>
      </c>
      <c r="J2795">
        <f t="shared" si="346"/>
        <v>-0.80737074430234412</v>
      </c>
      <c r="K2795">
        <f t="shared" si="347"/>
        <v>-0.59004447395486959</v>
      </c>
      <c r="L2795">
        <f>VLOOKUP(D2795,[1]SOI!$A$1:$C$142,3)</f>
        <v>-4.3</v>
      </c>
      <c r="M2795" s="2">
        <f t="shared" si="348"/>
        <v>-2255.7938595807495</v>
      </c>
      <c r="N2795">
        <f t="shared" si="349"/>
        <v>-1648.5842602299056</v>
      </c>
      <c r="O2795" t="s">
        <v>8</v>
      </c>
    </row>
    <row r="2796" spans="1:15" x14ac:dyDescent="0.35">
      <c r="A2796">
        <v>2007</v>
      </c>
      <c r="B2796">
        <v>8</v>
      </c>
      <c r="C2796">
        <v>26</v>
      </c>
      <c r="D2796" s="1">
        <f t="shared" si="344"/>
        <v>39320</v>
      </c>
      <c r="E2796">
        <v>0</v>
      </c>
      <c r="F2796">
        <f t="shared" si="350"/>
        <v>0</v>
      </c>
      <c r="G2796">
        <f t="shared" si="345"/>
        <v>0</v>
      </c>
      <c r="H2796">
        <f t="shared" si="351"/>
        <v>0</v>
      </c>
      <c r="I2796">
        <v>2795</v>
      </c>
      <c r="J2796">
        <f t="shared" si="346"/>
        <v>-0.81740098182491472</v>
      </c>
      <c r="K2796">
        <f t="shared" si="347"/>
        <v>-0.57606912337988181</v>
      </c>
      <c r="L2796">
        <f>VLOOKUP(D2796,[1]SOI!$A$1:$C$142,3)</f>
        <v>-4.3</v>
      </c>
      <c r="M2796" s="2">
        <f t="shared" si="348"/>
        <v>-2284.6357442006365</v>
      </c>
      <c r="N2796">
        <f t="shared" si="349"/>
        <v>-1610.1131998467697</v>
      </c>
      <c r="O2796" t="s">
        <v>8</v>
      </c>
    </row>
    <row r="2797" spans="1:15" x14ac:dyDescent="0.35">
      <c r="A2797">
        <v>2007</v>
      </c>
      <c r="B2797">
        <v>8</v>
      </c>
      <c r="C2797">
        <v>27</v>
      </c>
      <c r="D2797" s="1">
        <f t="shared" si="344"/>
        <v>39321</v>
      </c>
      <c r="E2797">
        <v>0</v>
      </c>
      <c r="F2797">
        <f t="shared" si="350"/>
        <v>0</v>
      </c>
      <c r="G2797">
        <f t="shared" si="345"/>
        <v>0</v>
      </c>
      <c r="H2797">
        <f t="shared" si="351"/>
        <v>0</v>
      </c>
      <c r="I2797">
        <v>2796</v>
      </c>
      <c r="J2797">
        <f t="shared" si="346"/>
        <v>-0.82718933724624599</v>
      </c>
      <c r="K2797">
        <f t="shared" si="347"/>
        <v>-0.56192330468322482</v>
      </c>
      <c r="L2797">
        <f>VLOOKUP(D2797,[1]SOI!$A$1:$C$142,3)</f>
        <v>-4.3</v>
      </c>
      <c r="M2797" s="2">
        <f t="shared" si="348"/>
        <v>-2312.821386940504</v>
      </c>
      <c r="N2797">
        <f t="shared" si="349"/>
        <v>-1571.1375598942966</v>
      </c>
      <c r="O2797" t="s">
        <v>8</v>
      </c>
    </row>
    <row r="2798" spans="1:15" x14ac:dyDescent="0.35">
      <c r="A2798">
        <v>2007</v>
      </c>
      <c r="B2798">
        <v>8</v>
      </c>
      <c r="C2798">
        <v>28</v>
      </c>
      <c r="D2798" s="1">
        <f t="shared" si="344"/>
        <v>39322</v>
      </c>
      <c r="E2798">
        <v>0</v>
      </c>
      <c r="F2798">
        <f t="shared" si="350"/>
        <v>0</v>
      </c>
      <c r="G2798">
        <f t="shared" si="345"/>
        <v>0</v>
      </c>
      <c r="H2798">
        <f t="shared" si="351"/>
        <v>0</v>
      </c>
      <c r="I2798">
        <v>2797</v>
      </c>
      <c r="J2798">
        <f t="shared" si="346"/>
        <v>-0.83673291403449324</v>
      </c>
      <c r="K2798">
        <f t="shared" si="347"/>
        <v>-0.54761120384022943</v>
      </c>
      <c r="L2798">
        <f>VLOOKUP(D2798,[1]SOI!$A$1:$C$142,3)</f>
        <v>-4.3</v>
      </c>
      <c r="M2798" s="2">
        <f t="shared" si="348"/>
        <v>-2340.3419605544777</v>
      </c>
      <c r="N2798">
        <f t="shared" si="349"/>
        <v>-1531.6685371411218</v>
      </c>
      <c r="O2798" t="s">
        <v>8</v>
      </c>
    </row>
    <row r="2799" spans="1:15" x14ac:dyDescent="0.35">
      <c r="A2799">
        <v>2007</v>
      </c>
      <c r="B2799">
        <v>8</v>
      </c>
      <c r="C2799">
        <v>29</v>
      </c>
      <c r="D2799" s="1">
        <f t="shared" si="344"/>
        <v>39323</v>
      </c>
      <c r="E2799">
        <v>0</v>
      </c>
      <c r="F2799">
        <f t="shared" si="350"/>
        <v>0</v>
      </c>
      <c r="G2799">
        <f t="shared" si="345"/>
        <v>0</v>
      </c>
      <c r="H2799">
        <f t="shared" si="351"/>
        <v>0</v>
      </c>
      <c r="I2799">
        <v>2798</v>
      </c>
      <c r="J2799">
        <f t="shared" si="346"/>
        <v>-0.84602888809173549</v>
      </c>
      <c r="K2799">
        <f t="shared" si="347"/>
        <v>-0.5331370560318065</v>
      </c>
      <c r="L2799">
        <f>VLOOKUP(D2799,[1]SOI!$A$1:$C$142,3)</f>
        <v>-4.3</v>
      </c>
      <c r="M2799" s="2">
        <f t="shared" si="348"/>
        <v>-2367.1888288806758</v>
      </c>
      <c r="N2799">
        <f t="shared" si="349"/>
        <v>-1491.7174827769945</v>
      </c>
      <c r="O2799" t="s">
        <v>8</v>
      </c>
    </row>
    <row r="2800" spans="1:15" x14ac:dyDescent="0.35">
      <c r="A2800">
        <v>2007</v>
      </c>
      <c r="B2800">
        <v>8</v>
      </c>
      <c r="C2800">
        <v>30</v>
      </c>
      <c r="D2800" s="1">
        <f t="shared" si="344"/>
        <v>39324</v>
      </c>
      <c r="E2800">
        <v>0</v>
      </c>
      <c r="F2800">
        <f t="shared" si="350"/>
        <v>0</v>
      </c>
      <c r="G2800">
        <f t="shared" si="345"/>
        <v>0</v>
      </c>
      <c r="H2800">
        <f t="shared" si="351"/>
        <v>0</v>
      </c>
      <c r="I2800">
        <v>2799</v>
      </c>
      <c r="J2800">
        <f t="shared" si="346"/>
        <v>-0.85507450858969547</v>
      </c>
      <c r="K2800">
        <f t="shared" si="347"/>
        <v>-0.51850514439115336</v>
      </c>
      <c r="L2800">
        <f>VLOOKUP(D2800,[1]SOI!$A$1:$C$142,3)</f>
        <v>-4.3</v>
      </c>
      <c r="M2800" s="2">
        <f t="shared" si="348"/>
        <v>-2393.3535495425576</v>
      </c>
      <c r="N2800">
        <f t="shared" si="349"/>
        <v>-1451.2958991508383</v>
      </c>
      <c r="O2800" t="s">
        <v>8</v>
      </c>
    </row>
    <row r="2801" spans="1:15" x14ac:dyDescent="0.35">
      <c r="A2801">
        <v>2007</v>
      </c>
      <c r="B2801">
        <v>8</v>
      </c>
      <c r="C2801">
        <v>31</v>
      </c>
      <c r="D2801" s="1">
        <f t="shared" si="344"/>
        <v>39325</v>
      </c>
      <c r="E2801">
        <v>0</v>
      </c>
      <c r="F2801">
        <f t="shared" si="350"/>
        <v>0</v>
      </c>
      <c r="G2801">
        <f t="shared" si="345"/>
        <v>0</v>
      </c>
      <c r="H2801">
        <f t="shared" si="351"/>
        <v>0</v>
      </c>
      <c r="I2801">
        <v>2800</v>
      </c>
      <c r="J2801">
        <f t="shared" si="346"/>
        <v>-0.86386709878373058</v>
      </c>
      <c r="K2801">
        <f t="shared" si="347"/>
        <v>-0.50371979873634143</v>
      </c>
      <c r="L2801">
        <f>VLOOKUP(D2801,[1]SOI!$A$1:$C$142,3)</f>
        <v>-4.3</v>
      </c>
      <c r="M2801" s="2">
        <f t="shared" si="348"/>
        <v>-2418.8278765944456</v>
      </c>
      <c r="N2801">
        <f t="shared" si="349"/>
        <v>-1410.4154364617559</v>
      </c>
      <c r="O2801" t="s">
        <v>8</v>
      </c>
    </row>
    <row r="2802" spans="1:15" x14ac:dyDescent="0.35">
      <c r="A2802">
        <v>2007</v>
      </c>
      <c r="B2802">
        <v>9</v>
      </c>
      <c r="C2802">
        <v>1</v>
      </c>
      <c r="D2802" s="1">
        <f t="shared" si="344"/>
        <v>39326</v>
      </c>
      <c r="E2802">
        <v>0</v>
      </c>
      <c r="F2802">
        <f t="shared" si="350"/>
        <v>0</v>
      </c>
      <c r="G2802">
        <f t="shared" si="345"/>
        <v>0</v>
      </c>
      <c r="H2802">
        <f t="shared" si="351"/>
        <v>0</v>
      </c>
      <c r="I2802">
        <v>2801</v>
      </c>
      <c r="J2802">
        <f t="shared" si="346"/>
        <v>-0.87240405680495769</v>
      </c>
      <c r="K2802">
        <f t="shared" si="347"/>
        <v>-0.48878539428899903</v>
      </c>
      <c r="L2802">
        <f>VLOOKUP(D2802,[1]SOI!$A$1:$C$142,3)</f>
        <v>2.7</v>
      </c>
      <c r="M2802" s="2">
        <f t="shared" si="348"/>
        <v>-2443.6037631106865</v>
      </c>
      <c r="N2802">
        <f t="shared" si="349"/>
        <v>-1369.0878894034863</v>
      </c>
      <c r="O2802" t="s">
        <v>8</v>
      </c>
    </row>
    <row r="2803" spans="1:15" x14ac:dyDescent="0.35">
      <c r="A2803">
        <v>2007</v>
      </c>
      <c r="B2803">
        <v>9</v>
      </c>
      <c r="C2803">
        <v>2</v>
      </c>
      <c r="D2803" s="1">
        <f t="shared" si="344"/>
        <v>39327</v>
      </c>
      <c r="E2803">
        <v>0</v>
      </c>
      <c r="F2803">
        <f t="shared" si="350"/>
        <v>0</v>
      </c>
      <c r="G2803">
        <f t="shared" si="345"/>
        <v>0</v>
      </c>
      <c r="H2803">
        <f t="shared" si="351"/>
        <v>0</v>
      </c>
      <c r="I2803">
        <v>2802</v>
      </c>
      <c r="J2803">
        <f t="shared" si="346"/>
        <v>-0.88068285643014788</v>
      </c>
      <c r="K2803">
        <f t="shared" si="347"/>
        <v>-0.4737063503796794</v>
      </c>
      <c r="L2803">
        <f>VLOOKUP(D2803,[1]SOI!$A$1:$C$142,3)</f>
        <v>2.7</v>
      </c>
      <c r="M2803" s="2">
        <f t="shared" si="348"/>
        <v>-2467.6733637172742</v>
      </c>
      <c r="N2803">
        <f t="shared" si="349"/>
        <v>-1327.3251937638618</v>
      </c>
      <c r="O2803" t="s">
        <v>8</v>
      </c>
    </row>
    <row r="2804" spans="1:15" x14ac:dyDescent="0.35">
      <c r="A2804">
        <v>2007</v>
      </c>
      <c r="B2804">
        <v>9</v>
      </c>
      <c r="C2804">
        <v>3</v>
      </c>
      <c r="D2804" s="1">
        <f t="shared" si="344"/>
        <v>39328</v>
      </c>
      <c r="E2804">
        <v>0.8</v>
      </c>
      <c r="F2804">
        <f t="shared" si="350"/>
        <v>0</v>
      </c>
      <c r="G2804">
        <f t="shared" si="345"/>
        <v>1</v>
      </c>
      <c r="H2804">
        <f t="shared" si="351"/>
        <v>0</v>
      </c>
      <c r="I2804">
        <v>2803</v>
      </c>
      <c r="J2804">
        <f t="shared" si="346"/>
        <v>-0.88870104782929216</v>
      </c>
      <c r="K2804">
        <f t="shared" si="347"/>
        <v>-0.45848712914008621</v>
      </c>
      <c r="L2804">
        <f>VLOOKUP(D2804,[1]SOI!$A$1:$C$142,3)</f>
        <v>2.7</v>
      </c>
      <c r="M2804" s="2">
        <f t="shared" si="348"/>
        <v>-2491.0290370655057</v>
      </c>
      <c r="N2804">
        <f t="shared" si="349"/>
        <v>-1285.1394229796617</v>
      </c>
      <c r="O2804" t="s">
        <v>8</v>
      </c>
    </row>
    <row r="2805" spans="1:15" x14ac:dyDescent="0.35">
      <c r="A2805">
        <v>2007</v>
      </c>
      <c r="B2805">
        <v>9</v>
      </c>
      <c r="C2805">
        <v>4</v>
      </c>
      <c r="D2805" s="1">
        <f t="shared" si="344"/>
        <v>39329</v>
      </c>
      <c r="E2805">
        <v>1.4</v>
      </c>
      <c r="F2805">
        <f t="shared" si="350"/>
        <v>0.8</v>
      </c>
      <c r="G2805">
        <f t="shared" si="345"/>
        <v>1</v>
      </c>
      <c r="H2805">
        <f t="shared" si="351"/>
        <v>1</v>
      </c>
      <c r="I2805">
        <v>2804</v>
      </c>
      <c r="J2805">
        <f t="shared" si="346"/>
        <v>-0.89645625829055886</v>
      </c>
      <c r="K2805">
        <f t="shared" si="347"/>
        <v>-0.44313223418263187</v>
      </c>
      <c r="L2805">
        <f>VLOOKUP(D2805,[1]SOI!$A$1:$C$142,3)</f>
        <v>2.7</v>
      </c>
      <c r="M2805" s="2">
        <f t="shared" si="348"/>
        <v>-2513.6633482467269</v>
      </c>
      <c r="N2805">
        <f t="shared" si="349"/>
        <v>-1242.5427846480998</v>
      </c>
      <c r="O2805" t="s">
        <v>8</v>
      </c>
    </row>
    <row r="2806" spans="1:15" x14ac:dyDescent="0.35">
      <c r="A2806">
        <v>2007</v>
      </c>
      <c r="B2806">
        <v>9</v>
      </c>
      <c r="C2806">
        <v>5</v>
      </c>
      <c r="D2806" s="1">
        <f t="shared" si="344"/>
        <v>39330</v>
      </c>
      <c r="E2806">
        <v>0</v>
      </c>
      <c r="F2806">
        <f t="shared" si="350"/>
        <v>1.4</v>
      </c>
      <c r="G2806">
        <f t="shared" si="345"/>
        <v>0</v>
      </c>
      <c r="H2806">
        <f t="shared" si="351"/>
        <v>1</v>
      </c>
      <c r="I2806">
        <v>2805</v>
      </c>
      <c r="J2806">
        <f t="shared" si="346"/>
        <v>-0.90394619292239675</v>
      </c>
      <c r="K2806">
        <f t="shared" si="347"/>
        <v>-0.42764620926778363</v>
      </c>
      <c r="L2806">
        <f>VLOOKUP(D2806,[1]SOI!$A$1:$C$142,3)</f>
        <v>2.7</v>
      </c>
      <c r="M2806" s="2">
        <f t="shared" si="348"/>
        <v>-2535.569071147323</v>
      </c>
      <c r="N2806">
        <f t="shared" si="349"/>
        <v>-1199.547616996133</v>
      </c>
      <c r="O2806" t="s">
        <v>8</v>
      </c>
    </row>
    <row r="2807" spans="1:15" x14ac:dyDescent="0.35">
      <c r="A2807">
        <v>2007</v>
      </c>
      <c r="B2807">
        <v>9</v>
      </c>
      <c r="C2807">
        <v>6</v>
      </c>
      <c r="D2807" s="1">
        <f t="shared" si="344"/>
        <v>39331</v>
      </c>
      <c r="E2807">
        <v>0</v>
      </c>
      <c r="F2807">
        <f t="shared" si="350"/>
        <v>0</v>
      </c>
      <c r="G2807">
        <f t="shared" si="345"/>
        <v>0</v>
      </c>
      <c r="H2807">
        <f t="shared" si="351"/>
        <v>0</v>
      </c>
      <c r="I2807">
        <v>2806</v>
      </c>
      <c r="J2807">
        <f t="shared" si="346"/>
        <v>-0.91116863533266246</v>
      </c>
      <c r="K2807">
        <f t="shared" si="347"/>
        <v>-0.41203363695942791</v>
      </c>
      <c r="L2807">
        <f>VLOOKUP(D2807,[1]SOI!$A$1:$C$142,3)</f>
        <v>2.7</v>
      </c>
      <c r="M2807" s="2">
        <f t="shared" si="348"/>
        <v>-2556.7391907434508</v>
      </c>
      <c r="N2807">
        <f t="shared" si="349"/>
        <v>-1156.1663853081548</v>
      </c>
      <c r="O2807" t="s">
        <v>8</v>
      </c>
    </row>
    <row r="2808" spans="1:15" x14ac:dyDescent="0.35">
      <c r="A2808">
        <v>2007</v>
      </c>
      <c r="B2808">
        <v>9</v>
      </c>
      <c r="C2808">
        <v>7</v>
      </c>
      <c r="D2808" s="1">
        <f t="shared" si="344"/>
        <v>39332</v>
      </c>
      <c r="E2808">
        <v>0</v>
      </c>
      <c r="F2808">
        <f t="shared" si="350"/>
        <v>0</v>
      </c>
      <c r="G2808">
        <f t="shared" si="345"/>
        <v>0</v>
      </c>
      <c r="H2808">
        <f t="shared" si="351"/>
        <v>0</v>
      </c>
      <c r="I2808">
        <v>2807</v>
      </c>
      <c r="J2808">
        <f t="shared" si="346"/>
        <v>-0.91812144828443631</v>
      </c>
      <c r="K2808">
        <f t="shared" si="347"/>
        <v>-0.39629913726891852</v>
      </c>
      <c r="L2808">
        <f>VLOOKUP(D2808,[1]SOI!$A$1:$C$142,3)</f>
        <v>2.7</v>
      </c>
      <c r="M2808" s="2">
        <f t="shared" si="348"/>
        <v>-2577.1669053344126</v>
      </c>
      <c r="N2808">
        <f t="shared" si="349"/>
        <v>-1112.4116783138543</v>
      </c>
      <c r="O2808" t="s">
        <v>8</v>
      </c>
    </row>
    <row r="2809" spans="1:15" x14ac:dyDescent="0.35">
      <c r="A2809">
        <v>2007</v>
      </c>
      <c r="B2809">
        <v>9</v>
      </c>
      <c r="C2809">
        <v>8</v>
      </c>
      <c r="D2809" s="1">
        <f t="shared" si="344"/>
        <v>39333</v>
      </c>
      <c r="E2809">
        <v>0</v>
      </c>
      <c r="F2809">
        <f t="shared" si="350"/>
        <v>0</v>
      </c>
      <c r="G2809">
        <f t="shared" si="345"/>
        <v>0</v>
      </c>
      <c r="H2809">
        <f t="shared" si="351"/>
        <v>0</v>
      </c>
      <c r="I2809">
        <v>2808</v>
      </c>
      <c r="J2809">
        <f t="shared" si="346"/>
        <v>-0.9248025743285091</v>
      </c>
      <c r="K2809">
        <f t="shared" si="347"/>
        <v>-0.3804473662878512</v>
      </c>
      <c r="L2809">
        <f>VLOOKUP(D2809,[1]SOI!$A$1:$C$142,3)</f>
        <v>2.7</v>
      </c>
      <c r="M2809" s="2">
        <f t="shared" si="348"/>
        <v>-2596.8456287144536</v>
      </c>
      <c r="N2809">
        <f t="shared" si="349"/>
        <v>-1068.2962045362863</v>
      </c>
      <c r="O2809" t="s">
        <v>8</v>
      </c>
    </row>
    <row r="2810" spans="1:15" x14ac:dyDescent="0.35">
      <c r="A2810">
        <v>2007</v>
      </c>
      <c r="B2810">
        <v>9</v>
      </c>
      <c r="C2810">
        <v>9</v>
      </c>
      <c r="D2810" s="1">
        <f t="shared" si="344"/>
        <v>39334</v>
      </c>
      <c r="E2810">
        <v>0</v>
      </c>
      <c r="F2810">
        <f t="shared" si="350"/>
        <v>0</v>
      </c>
      <c r="G2810">
        <f t="shared" si="345"/>
        <v>0</v>
      </c>
      <c r="H2810">
        <f t="shared" si="351"/>
        <v>0</v>
      </c>
      <c r="I2810">
        <v>2809</v>
      </c>
      <c r="J2810">
        <f t="shared" si="346"/>
        <v>-0.93121003641219535</v>
      </c>
      <c r="K2810">
        <f t="shared" si="347"/>
        <v>-0.36448301481028972</v>
      </c>
      <c r="L2810">
        <f>VLOOKUP(D2810,[1]SOI!$A$1:$C$142,3)</f>
        <v>2.7</v>
      </c>
      <c r="M2810" s="2">
        <f t="shared" si="348"/>
        <v>-2615.7689922818568</v>
      </c>
      <c r="N2810">
        <f t="shared" si="349"/>
        <v>-1023.8327886021038</v>
      </c>
      <c r="O2810" t="s">
        <v>8</v>
      </c>
    </row>
    <row r="2811" spans="1:15" x14ac:dyDescent="0.35">
      <c r="A2811">
        <v>2007</v>
      </c>
      <c r="B2811">
        <v>9</v>
      </c>
      <c r="C2811">
        <v>10</v>
      </c>
      <c r="D2811" s="1">
        <f t="shared" si="344"/>
        <v>39335</v>
      </c>
      <c r="E2811">
        <v>0.6</v>
      </c>
      <c r="F2811">
        <f t="shared" si="350"/>
        <v>0</v>
      </c>
      <c r="G2811">
        <f t="shared" si="345"/>
        <v>1</v>
      </c>
      <c r="H2811">
        <f t="shared" si="351"/>
        <v>0</v>
      </c>
      <c r="I2811">
        <v>2810</v>
      </c>
      <c r="J2811">
        <f t="shared" si="346"/>
        <v>-0.9373419384643783</v>
      </c>
      <c r="K2811">
        <f t="shared" si="347"/>
        <v>-0.34841080694467808</v>
      </c>
      <c r="L2811">
        <f>VLOOKUP(D2811,[1]SOI!$A$1:$C$142,3)</f>
        <v>2.7</v>
      </c>
      <c r="M2811" s="2">
        <f t="shared" si="348"/>
        <v>-2633.9308470849032</v>
      </c>
      <c r="N2811">
        <f t="shared" si="349"/>
        <v>-979.03436751454535</v>
      </c>
      <c r="O2811" t="s">
        <v>8</v>
      </c>
    </row>
    <row r="2812" spans="1:15" x14ac:dyDescent="0.35">
      <c r="A2812">
        <v>2007</v>
      </c>
      <c r="B2812">
        <v>9</v>
      </c>
      <c r="C2812">
        <v>11</v>
      </c>
      <c r="D2812" s="1">
        <f t="shared" si="344"/>
        <v>39336</v>
      </c>
      <c r="E2812">
        <v>1.8</v>
      </c>
      <c r="F2812">
        <f t="shared" si="350"/>
        <v>0.6</v>
      </c>
      <c r="G2812">
        <f t="shared" si="345"/>
        <v>1</v>
      </c>
      <c r="H2812">
        <f t="shared" si="351"/>
        <v>1</v>
      </c>
      <c r="I2812">
        <v>2811</v>
      </c>
      <c r="J2812">
        <f t="shared" si="346"/>
        <v>-0.94319646595658557</v>
      </c>
      <c r="K2812">
        <f t="shared" si="347"/>
        <v>-0.33223549871590724</v>
      </c>
      <c r="L2812">
        <f>VLOOKUP(D2812,[1]SOI!$A$1:$C$142,3)</f>
        <v>2.7</v>
      </c>
      <c r="M2812" s="2">
        <f t="shared" si="348"/>
        <v>-2651.3252658039619</v>
      </c>
      <c r="N2812">
        <f t="shared" si="349"/>
        <v>-933.91398689041523</v>
      </c>
      <c r="O2812" t="s">
        <v>8</v>
      </c>
    </row>
    <row r="2813" spans="1:15" x14ac:dyDescent="0.35">
      <c r="A2813">
        <v>2007</v>
      </c>
      <c r="B2813">
        <v>9</v>
      </c>
      <c r="C2813">
        <v>12</v>
      </c>
      <c r="D2813" s="1">
        <f t="shared" si="344"/>
        <v>39337</v>
      </c>
      <c r="E2813">
        <v>3</v>
      </c>
      <c r="F2813">
        <f t="shared" si="350"/>
        <v>1.8</v>
      </c>
      <c r="G2813">
        <f t="shared" si="345"/>
        <v>1</v>
      </c>
      <c r="H2813">
        <f t="shared" si="351"/>
        <v>1</v>
      </c>
      <c r="I2813">
        <v>2812</v>
      </c>
      <c r="J2813">
        <f t="shared" si="346"/>
        <v>-0.9487718864399467</v>
      </c>
      <c r="K2813">
        <f t="shared" si="347"/>
        <v>-0.31596187665790454</v>
      </c>
      <c r="L2813">
        <f>VLOOKUP(D2813,[1]SOI!$A$1:$C$142,3)</f>
        <v>2.7</v>
      </c>
      <c r="M2813" s="2">
        <f t="shared" si="348"/>
        <v>-2667.9465446691302</v>
      </c>
      <c r="N2813">
        <f t="shared" si="349"/>
        <v>-888.48479716202758</v>
      </c>
      <c r="O2813" t="s">
        <v>8</v>
      </c>
    </row>
    <row r="2814" spans="1:15" x14ac:dyDescent="0.35">
      <c r="A2814">
        <v>2007</v>
      </c>
      <c r="B2814">
        <v>9</v>
      </c>
      <c r="C2814">
        <v>13</v>
      </c>
      <c r="D2814" s="1">
        <f t="shared" si="344"/>
        <v>39338</v>
      </c>
      <c r="E2814">
        <v>0</v>
      </c>
      <c r="F2814">
        <f t="shared" si="350"/>
        <v>3</v>
      </c>
      <c r="G2814">
        <f t="shared" si="345"/>
        <v>0</v>
      </c>
      <c r="H2814">
        <f t="shared" si="351"/>
        <v>1</v>
      </c>
      <c r="I2814">
        <v>2813</v>
      </c>
      <c r="J2814">
        <f t="shared" si="346"/>
        <v>-0.95406655005783836</v>
      </c>
      <c r="K2814">
        <f t="shared" si="347"/>
        <v>-0.29959475639726096</v>
      </c>
      <c r="L2814">
        <f>VLOOKUP(D2814,[1]SOI!$A$1:$C$142,3)</f>
        <v>2.7</v>
      </c>
      <c r="M2814" s="2">
        <f t="shared" si="348"/>
        <v>-2683.7892053126993</v>
      </c>
      <c r="N2814">
        <f t="shared" si="349"/>
        <v>-842.76004974549505</v>
      </c>
      <c r="O2814" t="s">
        <v>8</v>
      </c>
    </row>
    <row r="2815" spans="1:15" x14ac:dyDescent="0.35">
      <c r="A2815">
        <v>2007</v>
      </c>
      <c r="B2815">
        <v>9</v>
      </c>
      <c r="C2815">
        <v>14</v>
      </c>
      <c r="D2815" s="1">
        <f t="shared" si="344"/>
        <v>39339</v>
      </c>
      <c r="E2815">
        <v>0</v>
      </c>
      <c r="F2815">
        <f t="shared" si="350"/>
        <v>0</v>
      </c>
      <c r="G2815">
        <f t="shared" si="345"/>
        <v>0</v>
      </c>
      <c r="H2815">
        <f t="shared" si="351"/>
        <v>0</v>
      </c>
      <c r="I2815">
        <v>2814</v>
      </c>
      <c r="J2815">
        <f t="shared" si="346"/>
        <v>-0.95907889003411317</v>
      </c>
      <c r="K2815">
        <f t="shared" si="347"/>
        <v>-0.28313898122818332</v>
      </c>
      <c r="L2815">
        <f>VLOOKUP(D2815,[1]SOI!$A$1:$C$142,3)</f>
        <v>2.7</v>
      </c>
      <c r="M2815" s="2">
        <f t="shared" si="348"/>
        <v>-2698.8479965559945</v>
      </c>
      <c r="N2815">
        <f t="shared" si="349"/>
        <v>-796.75309317610788</v>
      </c>
      <c r="O2815" t="s">
        <v>8</v>
      </c>
    </row>
    <row r="2816" spans="1:15" x14ac:dyDescent="0.35">
      <c r="A2816">
        <v>2007</v>
      </c>
      <c r="B2816">
        <v>9</v>
      </c>
      <c r="C2816">
        <v>15</v>
      </c>
      <c r="D2816" s="1">
        <f t="shared" si="344"/>
        <v>39340</v>
      </c>
      <c r="E2816">
        <v>0.6</v>
      </c>
      <c r="F2816">
        <f t="shared" si="350"/>
        <v>0</v>
      </c>
      <c r="G2816">
        <f t="shared" si="345"/>
        <v>1</v>
      </c>
      <c r="H2816">
        <f t="shared" si="351"/>
        <v>0</v>
      </c>
      <c r="I2816">
        <v>2815</v>
      </c>
      <c r="J2816">
        <f t="shared" si="346"/>
        <v>-0.96380742313673118</v>
      </c>
      <c r="K2816">
        <f t="shared" si="347"/>
        <v>-0.26659942067929204</v>
      </c>
      <c r="L2816">
        <f>VLOOKUP(D2816,[1]SOI!$A$1:$C$142,3)</f>
        <v>2.7</v>
      </c>
      <c r="M2816" s="2">
        <f t="shared" si="348"/>
        <v>-2713.1178961298983</v>
      </c>
      <c r="N2816">
        <f t="shared" si="349"/>
        <v>-750.47736921220712</v>
      </c>
      <c r="O2816" t="s">
        <v>8</v>
      </c>
    </row>
    <row r="2817" spans="1:15" x14ac:dyDescent="0.35">
      <c r="A2817">
        <v>2007</v>
      </c>
      <c r="B2817">
        <v>9</v>
      </c>
      <c r="C2817">
        <v>16</v>
      </c>
      <c r="D2817" s="1">
        <f t="shared" si="344"/>
        <v>39341</v>
      </c>
      <c r="E2817">
        <v>0</v>
      </c>
      <c r="F2817">
        <f t="shared" si="350"/>
        <v>0.6</v>
      </c>
      <c r="G2817">
        <f t="shared" si="345"/>
        <v>0</v>
      </c>
      <c r="H2817">
        <f t="shared" si="351"/>
        <v>1</v>
      </c>
      <c r="I2817">
        <v>2816</v>
      </c>
      <c r="J2817">
        <f t="shared" si="346"/>
        <v>-0.96825075011667072</v>
      </c>
      <c r="K2817">
        <f t="shared" si="347"/>
        <v>-0.24998096907265635</v>
      </c>
      <c r="L2817">
        <f>VLOOKUP(D2817,[1]SOI!$A$1:$C$142,3)</f>
        <v>2.7</v>
      </c>
      <c r="M2817" s="2">
        <f t="shared" si="348"/>
        <v>-2726.5941123285447</v>
      </c>
      <c r="N2817">
        <f t="shared" si="349"/>
        <v>-703.94640890860023</v>
      </c>
      <c r="O2817" t="s">
        <v>8</v>
      </c>
    </row>
    <row r="2818" spans="1:15" x14ac:dyDescent="0.35">
      <c r="A2818">
        <v>2007</v>
      </c>
      <c r="B2818">
        <v>9</v>
      </c>
      <c r="C2818">
        <v>17</v>
      </c>
      <c r="D2818" s="1">
        <f t="shared" si="344"/>
        <v>39342</v>
      </c>
      <c r="E2818">
        <v>1.2</v>
      </c>
      <c r="F2818">
        <f t="shared" si="350"/>
        <v>0</v>
      </c>
      <c r="G2818">
        <f t="shared" si="345"/>
        <v>1</v>
      </c>
      <c r="H2818">
        <f t="shared" si="351"/>
        <v>0</v>
      </c>
      <c r="I2818">
        <v>2817</v>
      </c>
      <c r="J2818">
        <f t="shared" si="346"/>
        <v>-0.97240755612199614</v>
      </c>
      <c r="K2818">
        <f t="shared" si="347"/>
        <v>-0.23328854407545818</v>
      </c>
      <c r="L2818">
        <f>VLOOKUP(D2818,[1]SOI!$A$1:$C$142,3)</f>
        <v>2.7</v>
      </c>
      <c r="M2818" s="2">
        <f t="shared" si="348"/>
        <v>-2739.2720855956632</v>
      </c>
      <c r="N2818">
        <f t="shared" si="349"/>
        <v>-657.17382866056573</v>
      </c>
      <c r="O2818" t="s">
        <v>8</v>
      </c>
    </row>
    <row r="2819" spans="1:15" x14ac:dyDescent="0.35">
      <c r="A2819">
        <v>2007</v>
      </c>
      <c r="B2819">
        <v>9</v>
      </c>
      <c r="C2819">
        <v>18</v>
      </c>
      <c r="D2819" s="1">
        <f t="shared" ref="D2819:D2882" si="352">DATE(A2819,B2819,C2819)</f>
        <v>39343</v>
      </c>
      <c r="E2819">
        <v>0</v>
      </c>
      <c r="F2819">
        <f t="shared" si="350"/>
        <v>1.2</v>
      </c>
      <c r="G2819">
        <f t="shared" ref="G2819:G2882" si="353">IF(E2819=0,0,1)</f>
        <v>0</v>
      </c>
      <c r="H2819">
        <f t="shared" si="351"/>
        <v>1</v>
      </c>
      <c r="I2819">
        <v>2818</v>
      </c>
      <c r="J2819">
        <f t="shared" ref="J2819:J2882" si="354">SIN(2*PI()*I2819/365.25)</f>
        <v>-0.97627661108693164</v>
      </c>
      <c r="K2819">
        <f t="shared" ref="K2819:K2882" si="355">COS(2*PI()*I2819/365.25)</f>
        <v>-0.21652708524481629</v>
      </c>
      <c r="L2819">
        <f>VLOOKUP(D2819,[1]SOI!$A$1:$C$142,3)</f>
        <v>2.7</v>
      </c>
      <c r="M2819" s="2">
        <f t="shared" ref="M2819:M2882" si="356">I2819*J2819</f>
        <v>-2751.1474900429735</v>
      </c>
      <c r="N2819">
        <f t="shared" ref="N2819:N2882" si="357">I2819*K2819</f>
        <v>-610.17332621989226</v>
      </c>
      <c r="O2819" t="s">
        <v>8</v>
      </c>
    </row>
    <row r="2820" spans="1:15" x14ac:dyDescent="0.35">
      <c r="A2820">
        <v>2007</v>
      </c>
      <c r="B2820">
        <v>9</v>
      </c>
      <c r="C2820">
        <v>19</v>
      </c>
      <c r="D2820" s="1">
        <f t="shared" si="352"/>
        <v>39344</v>
      </c>
      <c r="E2820">
        <v>0</v>
      </c>
      <c r="F2820">
        <f t="shared" ref="F2820:F2883" si="358">E2819</f>
        <v>0</v>
      </c>
      <c r="G2820">
        <f t="shared" si="353"/>
        <v>0</v>
      </c>
      <c r="H2820">
        <f t="shared" ref="H2820:H2883" si="359">G2819</f>
        <v>0</v>
      </c>
      <c r="I2820">
        <v>2819</v>
      </c>
      <c r="J2820">
        <f t="shared" si="354"/>
        <v>-0.97985677009586625</v>
      </c>
      <c r="K2820">
        <f t="shared" si="355"/>
        <v>-0.19970155256606464</v>
      </c>
      <c r="L2820">
        <f>VLOOKUP(D2820,[1]SOI!$A$1:$C$142,3)</f>
        <v>2.7</v>
      </c>
      <c r="M2820" s="2">
        <f t="shared" si="356"/>
        <v>-2762.2162349002469</v>
      </c>
      <c r="N2820">
        <f t="shared" si="357"/>
        <v>-562.95867668373626</v>
      </c>
      <c r="O2820" t="s">
        <v>8</v>
      </c>
    </row>
    <row r="2821" spans="1:15" x14ac:dyDescent="0.35">
      <c r="A2821">
        <v>2007</v>
      </c>
      <c r="B2821">
        <v>9</v>
      </c>
      <c r="C2821">
        <v>20</v>
      </c>
      <c r="D2821" s="1">
        <f t="shared" si="352"/>
        <v>39345</v>
      </c>
      <c r="E2821">
        <v>2.2000000000000002</v>
      </c>
      <c r="F2821">
        <f t="shared" si="358"/>
        <v>0</v>
      </c>
      <c r="G2821">
        <f t="shared" si="353"/>
        <v>1</v>
      </c>
      <c r="H2821">
        <f t="shared" si="359"/>
        <v>0</v>
      </c>
      <c r="I2821">
        <v>2820</v>
      </c>
      <c r="J2821">
        <f t="shared" si="354"/>
        <v>-0.98314697372214988</v>
      </c>
      <c r="K2821">
        <f t="shared" si="355"/>
        <v>-0.18281692498501964</v>
      </c>
      <c r="L2821">
        <f>VLOOKUP(D2821,[1]SOI!$A$1:$C$142,3)</f>
        <v>2.7</v>
      </c>
      <c r="M2821" s="2">
        <f t="shared" si="356"/>
        <v>-2772.4744658964628</v>
      </c>
      <c r="N2821">
        <f t="shared" si="357"/>
        <v>-515.54372845775538</v>
      </c>
      <c r="O2821" t="s">
        <v>8</v>
      </c>
    </row>
    <row r="2822" spans="1:15" x14ac:dyDescent="0.35">
      <c r="A2822">
        <v>2007</v>
      </c>
      <c r="B2822">
        <v>9</v>
      </c>
      <c r="C2822">
        <v>21</v>
      </c>
      <c r="D2822" s="1">
        <f t="shared" si="352"/>
        <v>39346</v>
      </c>
      <c r="E2822">
        <v>0</v>
      </c>
      <c r="F2822">
        <f t="shared" si="358"/>
        <v>2.2000000000000002</v>
      </c>
      <c r="G2822">
        <f t="shared" si="353"/>
        <v>0</v>
      </c>
      <c r="H2822">
        <f t="shared" si="359"/>
        <v>1</v>
      </c>
      <c r="I2822">
        <v>2821</v>
      </c>
      <c r="J2822">
        <f t="shared" si="354"/>
        <v>-0.98614624834159526</v>
      </c>
      <c r="K2822">
        <f t="shared" si="355"/>
        <v>-0.16587819893463007</v>
      </c>
      <c r="L2822">
        <f>VLOOKUP(D2822,[1]SOI!$A$1:$C$142,3)</f>
        <v>2.7</v>
      </c>
      <c r="M2822" s="2">
        <f t="shared" si="356"/>
        <v>-2781.9185665716404</v>
      </c>
      <c r="N2822">
        <f t="shared" si="357"/>
        <v>-467.94239919459142</v>
      </c>
      <c r="O2822" t="s">
        <v>8</v>
      </c>
    </row>
    <row r="2823" spans="1:15" x14ac:dyDescent="0.35">
      <c r="A2823">
        <v>2007</v>
      </c>
      <c r="B2823">
        <v>9</v>
      </c>
      <c r="C2823">
        <v>22</v>
      </c>
      <c r="D2823" s="1">
        <f t="shared" si="352"/>
        <v>39347</v>
      </c>
      <c r="E2823">
        <v>0.4</v>
      </c>
      <c r="F2823">
        <f t="shared" si="358"/>
        <v>0</v>
      </c>
      <c r="G2823">
        <f t="shared" si="353"/>
        <v>1</v>
      </c>
      <c r="H2823">
        <f t="shared" si="359"/>
        <v>0</v>
      </c>
      <c r="I2823">
        <v>2822</v>
      </c>
      <c r="J2823">
        <f t="shared" si="354"/>
        <v>-0.98885370642058779</v>
      </c>
      <c r="K2823">
        <f t="shared" si="355"/>
        <v>-0.14889038685645917</v>
      </c>
      <c r="L2823">
        <f>VLOOKUP(D2823,[1]SOI!$A$1:$C$142,3)</f>
        <v>2.7</v>
      </c>
      <c r="M2823" s="2">
        <f t="shared" si="356"/>
        <v>-2790.5451595188988</v>
      </c>
      <c r="N2823">
        <f t="shared" si="357"/>
        <v>-420.16867170892777</v>
      </c>
      <c r="O2823" t="s">
        <v>8</v>
      </c>
    </row>
    <row r="2824" spans="1:15" x14ac:dyDescent="0.35">
      <c r="A2824">
        <v>2007</v>
      </c>
      <c r="B2824">
        <v>9</v>
      </c>
      <c r="C2824">
        <v>23</v>
      </c>
      <c r="D2824" s="1">
        <f t="shared" si="352"/>
        <v>39348</v>
      </c>
      <c r="E2824">
        <v>0</v>
      </c>
      <c r="F2824">
        <f t="shared" si="358"/>
        <v>0.4</v>
      </c>
      <c r="G2824">
        <f t="shared" si="353"/>
        <v>0</v>
      </c>
      <c r="H2824">
        <f t="shared" si="359"/>
        <v>1</v>
      </c>
      <c r="I2824">
        <v>2823</v>
      </c>
      <c r="J2824">
        <f t="shared" si="354"/>
        <v>-0.99126854677872511</v>
      </c>
      <c r="K2824">
        <f t="shared" si="355"/>
        <v>-0.13185851571739443</v>
      </c>
      <c r="L2824">
        <f>VLOOKUP(D2824,[1]SOI!$A$1:$C$142,3)</f>
        <v>2.7</v>
      </c>
      <c r="M2824" s="2">
        <f t="shared" si="356"/>
        <v>-2798.351107556341</v>
      </c>
      <c r="N2824">
        <f t="shared" si="357"/>
        <v>-372.23658987020445</v>
      </c>
      <c r="O2824" t="s">
        <v>8</v>
      </c>
    </row>
    <row r="2825" spans="1:15" x14ac:dyDescent="0.35">
      <c r="A2825">
        <v>2007</v>
      </c>
      <c r="B2825">
        <v>9</v>
      </c>
      <c r="C2825">
        <v>24</v>
      </c>
      <c r="D2825" s="1">
        <f t="shared" si="352"/>
        <v>39349</v>
      </c>
      <c r="E2825">
        <v>0</v>
      </c>
      <c r="F2825">
        <f t="shared" si="358"/>
        <v>0</v>
      </c>
      <c r="G2825">
        <f t="shared" si="353"/>
        <v>0</v>
      </c>
      <c r="H2825">
        <f t="shared" si="359"/>
        <v>0</v>
      </c>
      <c r="I2825">
        <v>2824</v>
      </c>
      <c r="J2825">
        <f t="shared" si="354"/>
        <v>-0.99339005482589338</v>
      </c>
      <c r="K2825">
        <f t="shared" si="355"/>
        <v>-0.1147876255221294</v>
      </c>
      <c r="L2825">
        <f>VLOOKUP(D2825,[1]SOI!$A$1:$C$142,3)</f>
        <v>2.7</v>
      </c>
      <c r="M2825" s="2">
        <f t="shared" si="356"/>
        <v>-2805.3335148283227</v>
      </c>
      <c r="N2825">
        <f t="shared" si="357"/>
        <v>-324.1602544744934</v>
      </c>
      <c r="O2825" t="s">
        <v>8</v>
      </c>
    </row>
    <row r="2826" spans="1:15" x14ac:dyDescent="0.35">
      <c r="A2826">
        <v>2007</v>
      </c>
      <c r="B2826">
        <v>9</v>
      </c>
      <c r="C2826">
        <v>25</v>
      </c>
      <c r="D2826" s="1">
        <f t="shared" si="352"/>
        <v>39350</v>
      </c>
      <c r="E2826">
        <v>0</v>
      </c>
      <c r="F2826">
        <f t="shared" si="358"/>
        <v>0</v>
      </c>
      <c r="G2826">
        <f t="shared" si="353"/>
        <v>0</v>
      </c>
      <c r="H2826">
        <f t="shared" si="359"/>
        <v>0</v>
      </c>
      <c r="I2826">
        <v>2825</v>
      </c>
      <c r="J2826">
        <f t="shared" si="354"/>
        <v>-0.99521760277372939</v>
      </c>
      <c r="K2826">
        <f t="shared" si="355"/>
        <v>-9.7682767821717045E-2</v>
      </c>
      <c r="L2826">
        <f>VLOOKUP(D2826,[1]SOI!$A$1:$C$142,3)</f>
        <v>2.7</v>
      </c>
      <c r="M2826" s="2">
        <f t="shared" si="356"/>
        <v>-2811.4897278357857</v>
      </c>
      <c r="N2826">
        <f t="shared" si="357"/>
        <v>-275.95381909635063</v>
      </c>
      <c r="O2826" t="s">
        <v>8</v>
      </c>
    </row>
    <row r="2827" spans="1:15" x14ac:dyDescent="0.35">
      <c r="A2827">
        <v>2007</v>
      </c>
      <c r="B2827">
        <v>9</v>
      </c>
      <c r="C2827">
        <v>26</v>
      </c>
      <c r="D2827" s="1">
        <f t="shared" si="352"/>
        <v>39351</v>
      </c>
      <c r="E2827">
        <v>0</v>
      </c>
      <c r="F2827">
        <f t="shared" si="358"/>
        <v>0</v>
      </c>
      <c r="G2827">
        <f t="shared" si="353"/>
        <v>0</v>
      </c>
      <c r="H2827">
        <f t="shared" si="359"/>
        <v>0</v>
      </c>
      <c r="I2827">
        <v>2826</v>
      </c>
      <c r="J2827">
        <f t="shared" si="354"/>
        <v>-0.99675064982139294</v>
      </c>
      <c r="K2827">
        <f t="shared" si="355"/>
        <v>-8.0549004218741629E-2</v>
      </c>
      <c r="L2827">
        <f>VLOOKUP(D2827,[1]SOI!$A$1:$C$142,3)</f>
        <v>2.7</v>
      </c>
      <c r="M2827" s="2">
        <f t="shared" si="356"/>
        <v>-2816.8173363952565</v>
      </c>
      <c r="N2827">
        <f t="shared" si="357"/>
        <v>-227.63148592216385</v>
      </c>
      <c r="O2827" t="s">
        <v>8</v>
      </c>
    </row>
    <row r="2828" spans="1:15" x14ac:dyDescent="0.35">
      <c r="A2828">
        <v>2007</v>
      </c>
      <c r="B2828">
        <v>9</v>
      </c>
      <c r="C2828">
        <v>27</v>
      </c>
      <c r="D2828" s="1">
        <f t="shared" si="352"/>
        <v>39352</v>
      </c>
      <c r="E2828">
        <v>0.2</v>
      </c>
      <c r="F2828">
        <f t="shared" si="358"/>
        <v>0</v>
      </c>
      <c r="G2828">
        <f t="shared" si="353"/>
        <v>1</v>
      </c>
      <c r="H2828">
        <f t="shared" si="359"/>
        <v>0</v>
      </c>
      <c r="I2828">
        <v>2827</v>
      </c>
      <c r="J2828">
        <f t="shared" si="354"/>
        <v>-0.99798874231559842</v>
      </c>
      <c r="K2828">
        <f t="shared" si="355"/>
        <v>-6.3391404869509019E-2</v>
      </c>
      <c r="L2828">
        <f>VLOOKUP(D2828,[1]SOI!$A$1:$C$142,3)</f>
        <v>2.7</v>
      </c>
      <c r="M2828" s="2">
        <f t="shared" si="356"/>
        <v>-2821.3141745261969</v>
      </c>
      <c r="N2828">
        <f t="shared" si="357"/>
        <v>-179.207501566102</v>
      </c>
      <c r="O2828" t="s">
        <v>8</v>
      </c>
    </row>
    <row r="2829" spans="1:15" x14ac:dyDescent="0.35">
      <c r="A2829">
        <v>2007</v>
      </c>
      <c r="B2829">
        <v>9</v>
      </c>
      <c r="C2829">
        <v>28</v>
      </c>
      <c r="D2829" s="1">
        <f t="shared" si="352"/>
        <v>39353</v>
      </c>
      <c r="E2829">
        <v>5.8</v>
      </c>
      <c r="F2829">
        <f t="shared" si="358"/>
        <v>0.2</v>
      </c>
      <c r="G2829">
        <f t="shared" si="353"/>
        <v>1</v>
      </c>
      <c r="H2829">
        <f t="shared" si="359"/>
        <v>1</v>
      </c>
      <c r="I2829">
        <v>2828</v>
      </c>
      <c r="J2829">
        <f t="shared" si="354"/>
        <v>-0.99893151388485746</v>
      </c>
      <c r="K2829">
        <f t="shared" si="355"/>
        <v>-4.6215046983712975E-2</v>
      </c>
      <c r="L2829">
        <f>VLOOKUP(D2829,[1]SOI!$A$1:$C$142,3)</f>
        <v>2.7</v>
      </c>
      <c r="M2829" s="2">
        <f t="shared" si="356"/>
        <v>-2824.978321266377</v>
      </c>
      <c r="N2829">
        <f t="shared" si="357"/>
        <v>-130.69615286994031</v>
      </c>
      <c r="O2829" t="s">
        <v>8</v>
      </c>
    </row>
    <row r="2830" spans="1:15" x14ac:dyDescent="0.35">
      <c r="A2830">
        <v>2007</v>
      </c>
      <c r="B2830">
        <v>9</v>
      </c>
      <c r="C2830">
        <v>29</v>
      </c>
      <c r="D2830" s="1">
        <f t="shared" si="352"/>
        <v>39354</v>
      </c>
      <c r="E2830">
        <v>0.6</v>
      </c>
      <c r="F2830">
        <f t="shared" si="358"/>
        <v>5.8</v>
      </c>
      <c r="G2830">
        <f t="shared" si="353"/>
        <v>1</v>
      </c>
      <c r="H2830">
        <f t="shared" si="359"/>
        <v>1</v>
      </c>
      <c r="I2830">
        <v>2829</v>
      </c>
      <c r="J2830">
        <f t="shared" si="354"/>
        <v>-0.99957868554789575</v>
      </c>
      <c r="K2830">
        <f t="shared" si="355"/>
        <v>-2.9025013321978752E-2</v>
      </c>
      <c r="L2830">
        <f>VLOOKUP(D2830,[1]SOI!$A$1:$C$142,3)</f>
        <v>2.7</v>
      </c>
      <c r="M2830" s="2">
        <f t="shared" si="356"/>
        <v>-2827.8081014149971</v>
      </c>
      <c r="N2830">
        <f t="shared" si="357"/>
        <v>-82.111762687877885</v>
      </c>
      <c r="O2830" t="s">
        <v>8</v>
      </c>
    </row>
    <row r="2831" spans="1:15" x14ac:dyDescent="0.35">
      <c r="A2831">
        <v>2007</v>
      </c>
      <c r="B2831">
        <v>9</v>
      </c>
      <c r="C2831">
        <v>30</v>
      </c>
      <c r="D2831" s="1">
        <f t="shared" si="352"/>
        <v>39355</v>
      </c>
      <c r="E2831">
        <v>0</v>
      </c>
      <c r="F2831">
        <f t="shared" si="358"/>
        <v>0.6</v>
      </c>
      <c r="G2831">
        <f t="shared" si="353"/>
        <v>0</v>
      </c>
      <c r="H2831">
        <f t="shared" si="359"/>
        <v>1</v>
      </c>
      <c r="I2831">
        <v>2830</v>
      </c>
      <c r="J2831">
        <f t="shared" si="354"/>
        <v>-0.99993006579620558</v>
      </c>
      <c r="K2831">
        <f t="shared" si="355"/>
        <v>-1.1826390691834991E-2</v>
      </c>
      <c r="L2831">
        <f>VLOOKUP(D2831,[1]SOI!$A$1:$C$142,3)</f>
        <v>2.7</v>
      </c>
      <c r="M2831" s="2">
        <f t="shared" si="356"/>
        <v>-2829.8020862032618</v>
      </c>
      <c r="N2831">
        <f t="shared" si="357"/>
        <v>-33.468685657893026</v>
      </c>
      <c r="O2831" t="s">
        <v>8</v>
      </c>
    </row>
    <row r="2832" spans="1:15" x14ac:dyDescent="0.35">
      <c r="A2832">
        <v>2007</v>
      </c>
      <c r="B2832">
        <v>10</v>
      </c>
      <c r="C2832">
        <v>1</v>
      </c>
      <c r="D2832" s="1">
        <f t="shared" si="352"/>
        <v>39356</v>
      </c>
      <c r="E2832">
        <v>2.6</v>
      </c>
      <c r="F2832">
        <f t="shared" si="358"/>
        <v>0</v>
      </c>
      <c r="G2832">
        <f t="shared" si="353"/>
        <v>1</v>
      </c>
      <c r="H2832">
        <f t="shared" si="359"/>
        <v>0</v>
      </c>
      <c r="I2832">
        <v>2831</v>
      </c>
      <c r="J2832">
        <f t="shared" si="354"/>
        <v>-0.99998555065071859</v>
      </c>
      <c r="K2832">
        <f t="shared" si="355"/>
        <v>5.3757315575828123E-3</v>
      </c>
      <c r="L2832">
        <f>VLOOKUP(D2832,[1]SOI!$A$1:$C$142,3)</f>
        <v>1.5</v>
      </c>
      <c r="M2832" s="2">
        <f t="shared" si="356"/>
        <v>-2830.9590938921842</v>
      </c>
      <c r="N2832">
        <f t="shared" si="357"/>
        <v>15.218696039516942</v>
      </c>
      <c r="O2832" t="s">
        <v>8</v>
      </c>
    </row>
    <row r="2833" spans="1:15" x14ac:dyDescent="0.35">
      <c r="A2833">
        <v>2007</v>
      </c>
      <c r="B2833">
        <v>10</v>
      </c>
      <c r="C2833">
        <v>2</v>
      </c>
      <c r="D2833" s="1">
        <f t="shared" si="352"/>
        <v>39357</v>
      </c>
      <c r="E2833">
        <v>0</v>
      </c>
      <c r="F2833">
        <f t="shared" si="358"/>
        <v>2.6</v>
      </c>
      <c r="G2833">
        <f t="shared" si="353"/>
        <v>0</v>
      </c>
      <c r="H2833">
        <f t="shared" si="359"/>
        <v>1</v>
      </c>
      <c r="I2833">
        <v>2832</v>
      </c>
      <c r="J2833">
        <f t="shared" si="354"/>
        <v>-0.9997451236925734</v>
      </c>
      <c r="K2833">
        <f t="shared" si="355"/>
        <v>2.2576263041545523E-2</v>
      </c>
      <c r="L2833">
        <f>VLOOKUP(D2833,[1]SOI!$A$1:$C$142,3)</f>
        <v>1.5</v>
      </c>
      <c r="M2833" s="2">
        <f t="shared" si="356"/>
        <v>-2831.2781902973679</v>
      </c>
      <c r="N2833">
        <f t="shared" si="357"/>
        <v>63.935976933656924</v>
      </c>
      <c r="O2833" t="s">
        <v>8</v>
      </c>
    </row>
    <row r="2834" spans="1:15" x14ac:dyDescent="0.35">
      <c r="A2834">
        <v>2007</v>
      </c>
      <c r="B2834">
        <v>10</v>
      </c>
      <c r="C2834">
        <v>3</v>
      </c>
      <c r="D2834" s="1">
        <f t="shared" si="352"/>
        <v>39358</v>
      </c>
      <c r="E2834">
        <v>0</v>
      </c>
      <c r="F2834">
        <f t="shared" si="358"/>
        <v>0</v>
      </c>
      <c r="G2834">
        <f t="shared" si="353"/>
        <v>0</v>
      </c>
      <c r="H2834">
        <f t="shared" si="359"/>
        <v>0</v>
      </c>
      <c r="I2834">
        <v>2833</v>
      </c>
      <c r="J2834">
        <f t="shared" si="354"/>
        <v>-0.99920885606797549</v>
      </c>
      <c r="K2834">
        <f t="shared" si="355"/>
        <v>3.9770113846049997E-2</v>
      </c>
      <c r="L2834">
        <f>VLOOKUP(D2834,[1]SOI!$A$1:$C$142,3)</f>
        <v>1.5</v>
      </c>
      <c r="M2834" s="2">
        <f t="shared" si="356"/>
        <v>-2830.7586892405748</v>
      </c>
      <c r="N2834">
        <f t="shared" si="357"/>
        <v>112.66873252585964</v>
      </c>
      <c r="O2834" t="s">
        <v>8</v>
      </c>
    </row>
    <row r="2835" spans="1:15" x14ac:dyDescent="0.35">
      <c r="A2835">
        <v>2007</v>
      </c>
      <c r="B2835">
        <v>10</v>
      </c>
      <c r="C2835">
        <v>4</v>
      </c>
      <c r="D2835" s="1">
        <f t="shared" si="352"/>
        <v>39359</v>
      </c>
      <c r="E2835">
        <v>0</v>
      </c>
      <c r="F2835">
        <f t="shared" si="358"/>
        <v>0</v>
      </c>
      <c r="G2835">
        <f t="shared" si="353"/>
        <v>0</v>
      </c>
      <c r="H2835">
        <f t="shared" si="359"/>
        <v>0</v>
      </c>
      <c r="I2835">
        <v>2834</v>
      </c>
      <c r="J2835">
        <f t="shared" si="354"/>
        <v>-0.99837690646714228</v>
      </c>
      <c r="K2835">
        <f t="shared" si="355"/>
        <v>5.6952196034034917E-2</v>
      </c>
      <c r="L2835">
        <f>VLOOKUP(D2835,[1]SOI!$A$1:$C$142,3)</f>
        <v>1.5</v>
      </c>
      <c r="M2835" s="2">
        <f t="shared" si="356"/>
        <v>-2829.4001529278812</v>
      </c>
      <c r="N2835">
        <f t="shared" si="357"/>
        <v>161.40252356045497</v>
      </c>
      <c r="O2835" t="s">
        <v>8</v>
      </c>
    </row>
    <row r="2836" spans="1:15" x14ac:dyDescent="0.35">
      <c r="A2836">
        <v>2007</v>
      </c>
      <c r="B2836">
        <v>10</v>
      </c>
      <c r="C2836">
        <v>5</v>
      </c>
      <c r="D2836" s="1">
        <f t="shared" si="352"/>
        <v>39360</v>
      </c>
      <c r="E2836">
        <v>0.2</v>
      </c>
      <c r="F2836">
        <f t="shared" si="358"/>
        <v>0</v>
      </c>
      <c r="G2836">
        <f t="shared" si="353"/>
        <v>1</v>
      </c>
      <c r="H2836">
        <f t="shared" si="359"/>
        <v>0</v>
      </c>
      <c r="I2836">
        <v>2835</v>
      </c>
      <c r="J2836">
        <f t="shared" si="354"/>
        <v>-0.99724952107734532</v>
      </c>
      <c r="K2836">
        <f t="shared" si="355"/>
        <v>7.4117425150940636E-2</v>
      </c>
      <c r="L2836">
        <f>VLOOKUP(D2836,[1]SOI!$A$1:$C$142,3)</f>
        <v>1.5</v>
      </c>
      <c r="M2836" s="2">
        <f t="shared" si="356"/>
        <v>-2827.2023922542739</v>
      </c>
      <c r="N2836">
        <f t="shared" si="357"/>
        <v>210.12290030291669</v>
      </c>
      <c r="O2836" t="s">
        <v>8</v>
      </c>
    </row>
    <row r="2837" spans="1:15" x14ac:dyDescent="0.35">
      <c r="A2837">
        <v>2007</v>
      </c>
      <c r="B2837">
        <v>10</v>
      </c>
      <c r="C2837">
        <v>6</v>
      </c>
      <c r="D2837" s="1">
        <f t="shared" si="352"/>
        <v>39361</v>
      </c>
      <c r="E2837">
        <v>4</v>
      </c>
      <c r="F2837">
        <f t="shared" si="358"/>
        <v>0.2</v>
      </c>
      <c r="G2837">
        <f t="shared" si="353"/>
        <v>1</v>
      </c>
      <c r="H2837">
        <f t="shared" si="359"/>
        <v>1</v>
      </c>
      <c r="I2837">
        <v>2836</v>
      </c>
      <c r="J2837">
        <f t="shared" si="354"/>
        <v>-0.99582703351005963</v>
      </c>
      <c r="K2837">
        <f t="shared" si="355"/>
        <v>9.1260721729309477E-2</v>
      </c>
      <c r="L2837">
        <f>VLOOKUP(D2837,[1]SOI!$A$1:$C$142,3)</f>
        <v>1.5</v>
      </c>
      <c r="M2837" s="2">
        <f t="shared" si="356"/>
        <v>-2824.1654670345292</v>
      </c>
      <c r="N2837">
        <f t="shared" si="357"/>
        <v>258.81540682432166</v>
      </c>
      <c r="O2837" t="s">
        <v>8</v>
      </c>
    </row>
    <row r="2838" spans="1:15" x14ac:dyDescent="0.35">
      <c r="A2838">
        <v>2007</v>
      </c>
      <c r="B2838">
        <v>10</v>
      </c>
      <c r="C2838">
        <v>7</v>
      </c>
      <c r="D2838" s="1">
        <f t="shared" si="352"/>
        <v>39362</v>
      </c>
      <c r="E2838">
        <v>0.2</v>
      </c>
      <c r="F2838">
        <f t="shared" si="358"/>
        <v>4</v>
      </c>
      <c r="G2838">
        <f t="shared" si="353"/>
        <v>1</v>
      </c>
      <c r="H2838">
        <f t="shared" si="359"/>
        <v>1</v>
      </c>
      <c r="I2838">
        <v>2837</v>
      </c>
      <c r="J2838">
        <f t="shared" si="354"/>
        <v>-0.99410986470224194</v>
      </c>
      <c r="K2838">
        <f t="shared" si="355"/>
        <v>0.1083770127918748</v>
      </c>
      <c r="L2838">
        <f>VLOOKUP(D2838,[1]SOI!$A$1:$C$142,3)</f>
        <v>1.5</v>
      </c>
      <c r="M2838" s="2">
        <f t="shared" si="356"/>
        <v>-2820.2896861602603</v>
      </c>
      <c r="N2838">
        <f t="shared" si="357"/>
        <v>307.4655852905488</v>
      </c>
      <c r="O2838" t="s">
        <v>8</v>
      </c>
    </row>
    <row r="2839" spans="1:15" x14ac:dyDescent="0.35">
      <c r="A2839">
        <v>2007</v>
      </c>
      <c r="B2839">
        <v>10</v>
      </c>
      <c r="C2839">
        <v>8</v>
      </c>
      <c r="D2839" s="1">
        <f t="shared" si="352"/>
        <v>39363</v>
      </c>
      <c r="E2839">
        <v>0</v>
      </c>
      <c r="F2839">
        <f t="shared" si="358"/>
        <v>0.2</v>
      </c>
      <c r="G2839">
        <f t="shared" si="353"/>
        <v>0</v>
      </c>
      <c r="H2839">
        <f t="shared" si="359"/>
        <v>1</v>
      </c>
      <c r="I2839">
        <v>2838</v>
      </c>
      <c r="J2839">
        <f t="shared" si="354"/>
        <v>-0.99209852279176902</v>
      </c>
      <c r="K2839">
        <f t="shared" si="355"/>
        <v>0.12546123335273651</v>
      </c>
      <c r="L2839">
        <f>VLOOKUP(D2839,[1]SOI!$A$1:$C$142,3)</f>
        <v>1.5</v>
      </c>
      <c r="M2839" s="2">
        <f t="shared" si="356"/>
        <v>-2815.5756076830403</v>
      </c>
      <c r="N2839">
        <f t="shared" si="357"/>
        <v>356.05898025506622</v>
      </c>
      <c r="O2839" t="s">
        <v>8</v>
      </c>
    </row>
    <row r="2840" spans="1:15" x14ac:dyDescent="0.35">
      <c r="A2840">
        <v>2007</v>
      </c>
      <c r="B2840">
        <v>10</v>
      </c>
      <c r="C2840">
        <v>9</v>
      </c>
      <c r="D2840" s="1">
        <f t="shared" si="352"/>
        <v>39364</v>
      </c>
      <c r="E2840">
        <v>0</v>
      </c>
      <c r="F2840">
        <f t="shared" si="358"/>
        <v>0</v>
      </c>
      <c r="G2840">
        <f t="shared" si="353"/>
        <v>0</v>
      </c>
      <c r="H2840">
        <f t="shared" si="359"/>
        <v>0</v>
      </c>
      <c r="I2840">
        <v>2839</v>
      </c>
      <c r="J2840">
        <f t="shared" si="354"/>
        <v>-0.98979360296707253</v>
      </c>
      <c r="K2840">
        <f t="shared" si="355"/>
        <v>0.14250832791616497</v>
      </c>
      <c r="L2840">
        <f>VLOOKUP(D2840,[1]SOI!$A$1:$C$142,3)</f>
        <v>1.5</v>
      </c>
      <c r="M2840" s="2">
        <f t="shared" si="356"/>
        <v>-2810.0240388235188</v>
      </c>
      <c r="N2840">
        <f t="shared" si="357"/>
        <v>404.58114295399236</v>
      </c>
      <c r="O2840" t="s">
        <v>8</v>
      </c>
    </row>
    <row r="2841" spans="1:15" x14ac:dyDescent="0.35">
      <c r="A2841">
        <v>2007</v>
      </c>
      <c r="B2841">
        <v>10</v>
      </c>
      <c r="C2841">
        <v>10</v>
      </c>
      <c r="D2841" s="1">
        <f t="shared" si="352"/>
        <v>39365</v>
      </c>
      <c r="E2841">
        <v>0</v>
      </c>
      <c r="F2841">
        <f t="shared" si="358"/>
        <v>0</v>
      </c>
      <c r="G2841">
        <f t="shared" si="353"/>
        <v>0</v>
      </c>
      <c r="H2841">
        <f t="shared" si="359"/>
        <v>0</v>
      </c>
      <c r="I2841">
        <v>2840</v>
      </c>
      <c r="J2841">
        <f t="shared" si="354"/>
        <v>-0.98719578729100932</v>
      </c>
      <c r="K2841">
        <f t="shared" si="355"/>
        <v>0.15951325197263155</v>
      </c>
      <c r="L2841">
        <f>VLOOKUP(D2841,[1]SOI!$A$1:$C$142,3)</f>
        <v>1.5</v>
      </c>
      <c r="M2841" s="2">
        <f t="shared" si="356"/>
        <v>-2803.6360359064665</v>
      </c>
      <c r="N2841">
        <f t="shared" si="357"/>
        <v>453.01763560227363</v>
      </c>
      <c r="O2841" t="s">
        <v>8</v>
      </c>
    </row>
    <row r="2842" spans="1:15" x14ac:dyDescent="0.35">
      <c r="A2842">
        <v>2007</v>
      </c>
      <c r="B2842">
        <v>10</v>
      </c>
      <c r="C2842">
        <v>11</v>
      </c>
      <c r="D2842" s="1">
        <f t="shared" si="352"/>
        <v>39366</v>
      </c>
      <c r="E2842">
        <v>0</v>
      </c>
      <c r="F2842">
        <f t="shared" si="358"/>
        <v>0</v>
      </c>
      <c r="G2842">
        <f t="shared" si="353"/>
        <v>0</v>
      </c>
      <c r="H2842">
        <f t="shared" si="359"/>
        <v>0</v>
      </c>
      <c r="I2842">
        <v>2841</v>
      </c>
      <c r="J2842">
        <f t="shared" si="354"/>
        <v>-0.98430584449903369</v>
      </c>
      <c r="K2842">
        <f t="shared" si="355"/>
        <v>0.17647097349151797</v>
      </c>
      <c r="L2842">
        <f>VLOOKUP(D2842,[1]SOI!$A$1:$C$142,3)</f>
        <v>1.5</v>
      </c>
      <c r="M2842" s="2">
        <f t="shared" si="356"/>
        <v>-2796.4129042217546</v>
      </c>
      <c r="N2842">
        <f t="shared" si="357"/>
        <v>501.35403568940256</v>
      </c>
      <c r="O2842" t="s">
        <v>8</v>
      </c>
    </row>
    <row r="2843" spans="1:15" x14ac:dyDescent="0.35">
      <c r="A2843">
        <v>2007</v>
      </c>
      <c r="B2843">
        <v>10</v>
      </c>
      <c r="C2843">
        <v>12</v>
      </c>
      <c r="D2843" s="1">
        <f t="shared" si="352"/>
        <v>39367</v>
      </c>
      <c r="E2843">
        <v>5.6</v>
      </c>
      <c r="F2843">
        <f t="shared" si="358"/>
        <v>0</v>
      </c>
      <c r="G2843">
        <f t="shared" si="353"/>
        <v>1</v>
      </c>
      <c r="H2843">
        <f t="shared" si="359"/>
        <v>0</v>
      </c>
      <c r="I2843">
        <v>2842</v>
      </c>
      <c r="J2843">
        <f t="shared" si="354"/>
        <v>-0.98112462977171255</v>
      </c>
      <c r="K2843">
        <f t="shared" si="355"/>
        <v>0.19337647441020328</v>
      </c>
      <c r="L2843">
        <f>VLOOKUP(D2843,[1]SOI!$A$1:$C$142,3)</f>
        <v>1.5</v>
      </c>
      <c r="M2843" s="2">
        <f t="shared" si="356"/>
        <v>-2788.356197811207</v>
      </c>
      <c r="N2843">
        <f t="shared" si="357"/>
        <v>549.57594027379776</v>
      </c>
      <c r="O2843" t="s">
        <v>8</v>
      </c>
    </row>
    <row r="2844" spans="1:15" x14ac:dyDescent="0.35">
      <c r="A2844">
        <v>2007</v>
      </c>
      <c r="B2844">
        <v>10</v>
      </c>
      <c r="C2844">
        <v>13</v>
      </c>
      <c r="D2844" s="1">
        <f t="shared" si="352"/>
        <v>39368</v>
      </c>
      <c r="E2844">
        <v>1.4</v>
      </c>
      <c r="F2844">
        <f t="shared" si="358"/>
        <v>5.6</v>
      </c>
      <c r="G2844">
        <f t="shared" si="353"/>
        <v>1</v>
      </c>
      <c r="H2844">
        <f t="shared" si="359"/>
        <v>1</v>
      </c>
      <c r="I2844">
        <v>2843</v>
      </c>
      <c r="J2844">
        <f t="shared" si="354"/>
        <v>-0.97765308448166444</v>
      </c>
      <c r="K2844">
        <f t="shared" si="355"/>
        <v>0.21022475211898231</v>
      </c>
      <c r="L2844">
        <f>VLOOKUP(D2844,[1]SOI!$A$1:$C$142,3)</f>
        <v>1.5</v>
      </c>
      <c r="M2844" s="2">
        <f t="shared" si="356"/>
        <v>-2779.4677191813721</v>
      </c>
      <c r="N2844">
        <f t="shared" si="357"/>
        <v>597.66897027426671</v>
      </c>
      <c r="O2844" t="s">
        <v>8</v>
      </c>
    </row>
    <row r="2845" spans="1:15" x14ac:dyDescent="0.35">
      <c r="A2845">
        <v>2007</v>
      </c>
      <c r="B2845">
        <v>10</v>
      </c>
      <c r="C2845">
        <v>14</v>
      </c>
      <c r="D2845" s="1">
        <f t="shared" si="352"/>
        <v>39369</v>
      </c>
      <c r="E2845">
        <v>0</v>
      </c>
      <c r="F2845">
        <f t="shared" si="358"/>
        <v>1.4</v>
      </c>
      <c r="G2845">
        <f t="shared" si="353"/>
        <v>0</v>
      </c>
      <c r="H2845">
        <f t="shared" si="359"/>
        <v>1</v>
      </c>
      <c r="I2845">
        <v>2844</v>
      </c>
      <c r="J2845">
        <f t="shared" si="354"/>
        <v>-0.97389223591499408</v>
      </c>
      <c r="K2845">
        <f t="shared" si="355"/>
        <v>0.22701082094141137</v>
      </c>
      <c r="L2845">
        <f>VLOOKUP(D2845,[1]SOI!$A$1:$C$142,3)</f>
        <v>1.5</v>
      </c>
      <c r="M2845" s="2">
        <f t="shared" si="356"/>
        <v>-2769.749518942243</v>
      </c>
      <c r="N2845">
        <f t="shared" si="357"/>
        <v>645.6187747573739</v>
      </c>
      <c r="O2845" t="s">
        <v>8</v>
      </c>
    </row>
    <row r="2846" spans="1:15" x14ac:dyDescent="0.35">
      <c r="A2846">
        <v>2007</v>
      </c>
      <c r="B2846">
        <v>10</v>
      </c>
      <c r="C2846">
        <v>15</v>
      </c>
      <c r="D2846" s="1">
        <f t="shared" si="352"/>
        <v>39370</v>
      </c>
      <c r="E2846">
        <v>0</v>
      </c>
      <c r="F2846">
        <f t="shared" si="358"/>
        <v>0</v>
      </c>
      <c r="G2846">
        <f t="shared" si="353"/>
        <v>0</v>
      </c>
      <c r="H2846">
        <f t="shared" si="359"/>
        <v>0</v>
      </c>
      <c r="I2846">
        <v>2845</v>
      </c>
      <c r="J2846">
        <f t="shared" si="354"/>
        <v>-0.96984319696729548</v>
      </c>
      <c r="K2846">
        <f t="shared" si="355"/>
        <v>0.24372971360967788</v>
      </c>
      <c r="L2846">
        <f>VLOOKUP(D2846,[1]SOI!$A$1:$C$142,3)</f>
        <v>1.5</v>
      </c>
      <c r="M2846" s="2">
        <f t="shared" si="356"/>
        <v>-2759.2038953719557</v>
      </c>
      <c r="N2846">
        <f t="shared" si="357"/>
        <v>693.41103521953357</v>
      </c>
      <c r="O2846" t="s">
        <v>8</v>
      </c>
    </row>
    <row r="2847" spans="1:15" x14ac:dyDescent="0.35">
      <c r="A2847">
        <v>2007</v>
      </c>
      <c r="B2847">
        <v>10</v>
      </c>
      <c r="C2847">
        <v>16</v>
      </c>
      <c r="D2847" s="1">
        <f t="shared" si="352"/>
        <v>39371</v>
      </c>
      <c r="E2847">
        <v>0</v>
      </c>
      <c r="F2847">
        <f t="shared" si="358"/>
        <v>0</v>
      </c>
      <c r="G2847">
        <f t="shared" si="353"/>
        <v>0</v>
      </c>
      <c r="H2847">
        <f t="shared" si="359"/>
        <v>0</v>
      </c>
      <c r="I2847">
        <v>2846</v>
      </c>
      <c r="J2847">
        <f t="shared" si="354"/>
        <v>-0.96550716581433771</v>
      </c>
      <c r="K2847">
        <f t="shared" si="355"/>
        <v>0.26037648273445324</v>
      </c>
      <c r="L2847">
        <f>VLOOKUP(D2847,[1]SOI!$A$1:$C$142,3)</f>
        <v>1.5</v>
      </c>
      <c r="M2847" s="2">
        <f t="shared" si="356"/>
        <v>-2747.8333939076051</v>
      </c>
      <c r="N2847">
        <f t="shared" si="357"/>
        <v>741.03146986225397</v>
      </c>
      <c r="O2847" t="s">
        <v>8</v>
      </c>
    </row>
    <row r="2848" spans="1:15" x14ac:dyDescent="0.35">
      <c r="A2848">
        <v>2007</v>
      </c>
      <c r="B2848">
        <v>10</v>
      </c>
      <c r="C2848">
        <v>17</v>
      </c>
      <c r="D2848" s="1">
        <f t="shared" si="352"/>
        <v>39372</v>
      </c>
      <c r="E2848">
        <v>0.8</v>
      </c>
      <c r="F2848">
        <f t="shared" si="358"/>
        <v>0</v>
      </c>
      <c r="G2848">
        <f t="shared" si="353"/>
        <v>1</v>
      </c>
      <c r="H2848">
        <f t="shared" si="359"/>
        <v>0</v>
      </c>
      <c r="I2848">
        <v>2847</v>
      </c>
      <c r="J2848">
        <f t="shared" si="354"/>
        <v>-0.96088542555749867</v>
      </c>
      <c r="K2848">
        <f t="shared" si="355"/>
        <v>0.27694620226893268</v>
      </c>
      <c r="L2848">
        <f>VLOOKUP(D2848,[1]SOI!$A$1:$C$142,3)</f>
        <v>1.5</v>
      </c>
      <c r="M2848" s="2">
        <f t="shared" si="356"/>
        <v>-2735.6408065621986</v>
      </c>
      <c r="N2848">
        <f t="shared" si="357"/>
        <v>788.4658378596514</v>
      </c>
      <c r="O2848" t="s">
        <v>8</v>
      </c>
    </row>
    <row r="2849" spans="1:15" x14ac:dyDescent="0.35">
      <c r="A2849">
        <v>2007</v>
      </c>
      <c r="B2849">
        <v>10</v>
      </c>
      <c r="C2849">
        <v>18</v>
      </c>
      <c r="D2849" s="1">
        <f t="shared" si="352"/>
        <v>39373</v>
      </c>
      <c r="E2849">
        <v>0</v>
      </c>
      <c r="F2849">
        <f t="shared" si="358"/>
        <v>0.8</v>
      </c>
      <c r="G2849">
        <f t="shared" si="353"/>
        <v>0</v>
      </c>
      <c r="H2849">
        <f t="shared" si="359"/>
        <v>1</v>
      </c>
      <c r="I2849">
        <v>2848</v>
      </c>
      <c r="J2849">
        <f t="shared" si="354"/>
        <v>-0.95597934384407524</v>
      </c>
      <c r="K2849">
        <f t="shared" si="355"/>
        <v>0.29343396896653157</v>
      </c>
      <c r="L2849">
        <f>VLOOKUP(D2849,[1]SOI!$A$1:$C$142,3)</f>
        <v>1.5</v>
      </c>
      <c r="M2849" s="2">
        <f t="shared" si="356"/>
        <v>-2722.6291712679263</v>
      </c>
      <c r="N2849">
        <f t="shared" si="357"/>
        <v>835.69994361668194</v>
      </c>
      <c r="O2849" t="s">
        <v>8</v>
      </c>
    </row>
    <row r="2850" spans="1:15" x14ac:dyDescent="0.35">
      <c r="A2850">
        <v>2007</v>
      </c>
      <c r="B2850">
        <v>10</v>
      </c>
      <c r="C2850">
        <v>19</v>
      </c>
      <c r="D2850" s="1">
        <f t="shared" si="352"/>
        <v>39374</v>
      </c>
      <c r="E2850">
        <v>0</v>
      </c>
      <c r="F2850">
        <f t="shared" si="358"/>
        <v>0</v>
      </c>
      <c r="G2850">
        <f t="shared" si="353"/>
        <v>0</v>
      </c>
      <c r="H2850">
        <f t="shared" si="359"/>
        <v>0</v>
      </c>
      <c r="I2850">
        <v>2849</v>
      </c>
      <c r="J2850">
        <f t="shared" si="354"/>
        <v>-0.95079037246258147</v>
      </c>
      <c r="K2850">
        <f t="shared" si="355"/>
        <v>0.30983490383180784</v>
      </c>
      <c r="L2850">
        <f>VLOOKUP(D2850,[1]SOI!$A$1:$C$142,3)</f>
        <v>1.5</v>
      </c>
      <c r="M2850" s="2">
        <f t="shared" si="356"/>
        <v>-2708.8017711458947</v>
      </c>
      <c r="N2850">
        <f t="shared" si="357"/>
        <v>882.71964101682056</v>
      </c>
      <c r="O2850" t="s">
        <v>8</v>
      </c>
    </row>
    <row r="2851" spans="1:15" x14ac:dyDescent="0.35">
      <c r="A2851">
        <v>2007</v>
      </c>
      <c r="B2851">
        <v>10</v>
      </c>
      <c r="C2851">
        <v>20</v>
      </c>
      <c r="D2851" s="1">
        <f t="shared" si="352"/>
        <v>39375</v>
      </c>
      <c r="E2851">
        <v>0</v>
      </c>
      <c r="F2851">
        <f t="shared" si="358"/>
        <v>0</v>
      </c>
      <c r="G2851">
        <f t="shared" si="353"/>
        <v>0</v>
      </c>
      <c r="H2851">
        <f t="shared" si="359"/>
        <v>0</v>
      </c>
      <c r="I2851">
        <v>2850</v>
      </c>
      <c r="J2851">
        <f t="shared" si="354"/>
        <v>-0.94532004691313443</v>
      </c>
      <c r="K2851">
        <f t="shared" si="355"/>
        <v>0.32614415356426252</v>
      </c>
      <c r="L2851">
        <f>VLOOKUP(D2851,[1]SOI!$A$1:$C$142,3)</f>
        <v>1.5</v>
      </c>
      <c r="M2851" s="2">
        <f t="shared" si="356"/>
        <v>-2694.162133702433</v>
      </c>
      <c r="N2851">
        <f t="shared" si="357"/>
        <v>929.51083765814815</v>
      </c>
      <c r="O2851" t="s">
        <v>8</v>
      </c>
    </row>
    <row r="2852" spans="1:15" x14ac:dyDescent="0.35">
      <c r="A2852">
        <v>2007</v>
      </c>
      <c r="B2852">
        <v>10</v>
      </c>
      <c r="C2852">
        <v>21</v>
      </c>
      <c r="D2852" s="1">
        <f t="shared" si="352"/>
        <v>39376</v>
      </c>
      <c r="E2852">
        <v>0</v>
      </c>
      <c r="F2852">
        <f t="shared" si="358"/>
        <v>0</v>
      </c>
      <c r="G2852">
        <f t="shared" si="353"/>
        <v>0</v>
      </c>
      <c r="H2852">
        <f t="shared" si="359"/>
        <v>0</v>
      </c>
      <c r="I2852">
        <v>2851</v>
      </c>
      <c r="J2852">
        <f t="shared" si="354"/>
        <v>-0.93956998595306429</v>
      </c>
      <c r="K2852">
        <f t="shared" si="355"/>
        <v>0.34235689199453617</v>
      </c>
      <c r="L2852">
        <f>VLOOKUP(D2852,[1]SOI!$A$1:$C$142,3)</f>
        <v>1.5</v>
      </c>
      <c r="M2852" s="2">
        <f t="shared" si="356"/>
        <v>-2678.7140299521861</v>
      </c>
      <c r="N2852">
        <f t="shared" si="357"/>
        <v>976.05949907642264</v>
      </c>
      <c r="O2852" t="s">
        <v>8</v>
      </c>
    </row>
    <row r="2853" spans="1:15" x14ac:dyDescent="0.35">
      <c r="A2853">
        <v>2007</v>
      </c>
      <c r="B2853">
        <v>10</v>
      </c>
      <c r="C2853">
        <v>22</v>
      </c>
      <c r="D2853" s="1">
        <f t="shared" si="352"/>
        <v>39377</v>
      </c>
      <c r="E2853">
        <v>0</v>
      </c>
      <c r="F2853">
        <f t="shared" si="358"/>
        <v>0</v>
      </c>
      <c r="G2853">
        <f t="shared" si="353"/>
        <v>0</v>
      </c>
      <c r="H2853">
        <f t="shared" si="359"/>
        <v>0</v>
      </c>
      <c r="I2853">
        <v>2852</v>
      </c>
      <c r="J2853">
        <f t="shared" si="354"/>
        <v>-0.93354189111792052</v>
      </c>
      <c r="K2853">
        <f t="shared" si="355"/>
        <v>0.35846832151248254</v>
      </c>
      <c r="L2853">
        <f>VLOOKUP(D2853,[1]SOI!$A$1:$C$142,3)</f>
        <v>1.5</v>
      </c>
      <c r="M2853" s="2">
        <f t="shared" si="356"/>
        <v>-2662.4614734683091</v>
      </c>
      <c r="N2853">
        <f t="shared" si="357"/>
        <v>1022.3516529536001</v>
      </c>
      <c r="O2853" t="s">
        <v>8</v>
      </c>
    </row>
    <row r="2854" spans="1:15" x14ac:dyDescent="0.35">
      <c r="A2854">
        <v>2007</v>
      </c>
      <c r="B2854">
        <v>10</v>
      </c>
      <c r="C2854">
        <v>23</v>
      </c>
      <c r="D2854" s="1">
        <f t="shared" si="352"/>
        <v>39378</v>
      </c>
      <c r="E2854">
        <v>1.2</v>
      </c>
      <c r="F2854">
        <f t="shared" si="358"/>
        <v>0</v>
      </c>
      <c r="G2854">
        <f t="shared" si="353"/>
        <v>1</v>
      </c>
      <c r="H2854">
        <f t="shared" si="359"/>
        <v>0</v>
      </c>
      <c r="I2854">
        <v>2853</v>
      </c>
      <c r="J2854">
        <f t="shared" si="354"/>
        <v>-0.92723754621795262</v>
      </c>
      <c r="K2854">
        <f t="shared" si="355"/>
        <v>0.37447367448688595</v>
      </c>
      <c r="L2854">
        <f>VLOOKUP(D2854,[1]SOI!$A$1:$C$142,3)</f>
        <v>1.5</v>
      </c>
      <c r="M2854" s="2">
        <f t="shared" si="356"/>
        <v>-2645.4087193598189</v>
      </c>
      <c r="N2854">
        <f t="shared" si="357"/>
        <v>1068.3733933110857</v>
      </c>
      <c r="O2854" t="s">
        <v>8</v>
      </c>
    </row>
    <row r="2855" spans="1:15" x14ac:dyDescent="0.35">
      <c r="A2855">
        <v>2007</v>
      </c>
      <c r="B2855">
        <v>10</v>
      </c>
      <c r="C2855">
        <v>24</v>
      </c>
      <c r="D2855" s="1">
        <f t="shared" si="352"/>
        <v>39379</v>
      </c>
      <c r="E2855">
        <v>0</v>
      </c>
      <c r="F2855">
        <f t="shared" si="358"/>
        <v>1.2</v>
      </c>
      <c r="G2855">
        <f t="shared" si="353"/>
        <v>0</v>
      </c>
      <c r="H2855">
        <f t="shared" si="359"/>
        <v>1</v>
      </c>
      <c r="I2855">
        <v>2854</v>
      </c>
      <c r="J2855">
        <f t="shared" si="354"/>
        <v>-0.92065881681024109</v>
      </c>
      <c r="K2855">
        <f t="shared" si="355"/>
        <v>0.39036821467630656</v>
      </c>
      <c r="L2855">
        <f>VLOOKUP(D2855,[1]SOI!$A$1:$C$142,3)</f>
        <v>1.5</v>
      </c>
      <c r="M2855" s="2">
        <f t="shared" si="356"/>
        <v>-2627.5602631764282</v>
      </c>
      <c r="N2855">
        <f t="shared" si="357"/>
        <v>1114.1108846861789</v>
      </c>
      <c r="O2855" t="s">
        <v>8</v>
      </c>
    </row>
    <row r="2856" spans="1:15" x14ac:dyDescent="0.35">
      <c r="A2856">
        <v>2007</v>
      </c>
      <c r="B2856">
        <v>10</v>
      </c>
      <c r="C2856">
        <v>25</v>
      </c>
      <c r="D2856" s="1">
        <f t="shared" si="352"/>
        <v>39380</v>
      </c>
      <c r="E2856">
        <v>0</v>
      </c>
      <c r="F2856">
        <f t="shared" si="358"/>
        <v>0</v>
      </c>
      <c r="G2856">
        <f t="shared" si="353"/>
        <v>0</v>
      </c>
      <c r="H2856">
        <f t="shared" si="359"/>
        <v>0</v>
      </c>
      <c r="I2856">
        <v>2855</v>
      </c>
      <c r="J2856">
        <f t="shared" si="354"/>
        <v>-0.91380764964666505</v>
      </c>
      <c r="K2856">
        <f t="shared" si="355"/>
        <v>0.40614723863057078</v>
      </c>
      <c r="L2856">
        <f>VLOOKUP(D2856,[1]SOI!$A$1:$C$142,3)</f>
        <v>1.5</v>
      </c>
      <c r="M2856" s="2">
        <f t="shared" si="356"/>
        <v>-2608.9208397412285</v>
      </c>
      <c r="N2856">
        <f t="shared" si="357"/>
        <v>1159.5503662902795</v>
      </c>
      <c r="O2856" t="s">
        <v>8</v>
      </c>
    </row>
    <row r="2857" spans="1:15" x14ac:dyDescent="0.35">
      <c r="A2857">
        <v>2007</v>
      </c>
      <c r="B2857">
        <v>10</v>
      </c>
      <c r="C2857">
        <v>26</v>
      </c>
      <c r="D2857" s="1">
        <f t="shared" si="352"/>
        <v>39381</v>
      </c>
      <c r="E2857">
        <v>1.4</v>
      </c>
      <c r="F2857">
        <f t="shared" si="358"/>
        <v>0</v>
      </c>
      <c r="G2857">
        <f t="shared" si="353"/>
        <v>1</v>
      </c>
      <c r="H2857">
        <f t="shared" si="359"/>
        <v>0</v>
      </c>
      <c r="I2857">
        <v>2856</v>
      </c>
      <c r="J2857">
        <f t="shared" si="354"/>
        <v>-0.90668607209780172</v>
      </c>
      <c r="K2857">
        <f t="shared" si="355"/>
        <v>0.42180607708265655</v>
      </c>
      <c r="L2857">
        <f>VLOOKUP(D2857,[1]SOI!$A$1:$C$142,3)</f>
        <v>1.5</v>
      </c>
      <c r="M2857" s="2">
        <f t="shared" si="356"/>
        <v>-2589.4954219113215</v>
      </c>
      <c r="N2857">
        <f t="shared" si="357"/>
        <v>1204.678156148067</v>
      </c>
      <c r="O2857" t="s">
        <v>8</v>
      </c>
    </row>
    <row r="2858" spans="1:15" x14ac:dyDescent="0.35">
      <c r="A2858">
        <v>2007</v>
      </c>
      <c r="B2858">
        <v>10</v>
      </c>
      <c r="C2858">
        <v>27</v>
      </c>
      <c r="D2858" s="1">
        <f t="shared" si="352"/>
        <v>39382</v>
      </c>
      <c r="E2858">
        <v>0</v>
      </c>
      <c r="F2858">
        <f t="shared" si="358"/>
        <v>1.4</v>
      </c>
      <c r="G2858">
        <f t="shared" si="353"/>
        <v>0</v>
      </c>
      <c r="H2858">
        <f t="shared" si="359"/>
        <v>1</v>
      </c>
      <c r="I2858">
        <v>2857</v>
      </c>
      <c r="J2858">
        <f t="shared" si="354"/>
        <v>-0.8992961915530252</v>
      </c>
      <c r="K2858">
        <f t="shared" si="355"/>
        <v>0.43734009633033272</v>
      </c>
      <c r="L2858">
        <f>VLOOKUP(D2858,[1]SOI!$A$1:$C$142,3)</f>
        <v>1.5</v>
      </c>
      <c r="M2858" s="2">
        <f t="shared" si="356"/>
        <v>-2569.2892192669929</v>
      </c>
      <c r="N2858">
        <f t="shared" si="357"/>
        <v>1249.4806552157606</v>
      </c>
      <c r="O2858" t="s">
        <v>8</v>
      </c>
    </row>
    <row r="2859" spans="1:15" x14ac:dyDescent="0.35">
      <c r="A2859">
        <v>2007</v>
      </c>
      <c r="B2859">
        <v>10</v>
      </c>
      <c r="C2859">
        <v>28</v>
      </c>
      <c r="D2859" s="1">
        <f t="shared" si="352"/>
        <v>39383</v>
      </c>
      <c r="E2859">
        <v>0</v>
      </c>
      <c r="F2859">
        <f t="shared" si="358"/>
        <v>0</v>
      </c>
      <c r="G2859">
        <f t="shared" si="353"/>
        <v>0</v>
      </c>
      <c r="H2859">
        <f t="shared" si="359"/>
        <v>0</v>
      </c>
      <c r="I2859">
        <v>2858</v>
      </c>
      <c r="J2859">
        <f t="shared" si="354"/>
        <v>-0.89164019479688661</v>
      </c>
      <c r="K2859">
        <f t="shared" si="355"/>
        <v>0.45274469960737268</v>
      </c>
      <c r="L2859">
        <f>VLOOKUP(D2859,[1]SOI!$A$1:$C$142,3)</f>
        <v>1.5</v>
      </c>
      <c r="M2859" s="2">
        <f t="shared" si="356"/>
        <v>-2548.307676729502</v>
      </c>
      <c r="N2859">
        <f t="shared" si="357"/>
        <v>1293.9443514778711</v>
      </c>
      <c r="O2859" t="s">
        <v>8</v>
      </c>
    </row>
    <row r="2860" spans="1:15" x14ac:dyDescent="0.35">
      <c r="A2860">
        <v>2007</v>
      </c>
      <c r="B2860">
        <v>10</v>
      </c>
      <c r="C2860">
        <v>29</v>
      </c>
      <c r="D2860" s="1">
        <f t="shared" si="352"/>
        <v>39384</v>
      </c>
      <c r="E2860">
        <v>0</v>
      </c>
      <c r="F2860">
        <f t="shared" si="358"/>
        <v>0</v>
      </c>
      <c r="G2860">
        <f t="shared" si="353"/>
        <v>0</v>
      </c>
      <c r="H2860">
        <f t="shared" si="359"/>
        <v>0</v>
      </c>
      <c r="I2860">
        <v>2859</v>
      </c>
      <c r="J2860">
        <f t="shared" si="354"/>
        <v>-0.88372034736199623</v>
      </c>
      <c r="K2860">
        <f t="shared" si="355"/>
        <v>0.46801532844383703</v>
      </c>
      <c r="L2860">
        <f>VLOOKUP(D2860,[1]SOI!$A$1:$C$142,3)</f>
        <v>1.5</v>
      </c>
      <c r="M2860" s="2">
        <f t="shared" si="356"/>
        <v>-2526.5564731079471</v>
      </c>
      <c r="N2860">
        <f t="shared" si="357"/>
        <v>1338.05582402093</v>
      </c>
      <c r="O2860" t="s">
        <v>8</v>
      </c>
    </row>
    <row r="2861" spans="1:15" x14ac:dyDescent="0.35">
      <c r="A2861">
        <v>2007</v>
      </c>
      <c r="B2861">
        <v>10</v>
      </c>
      <c r="C2861">
        <v>30</v>
      </c>
      <c r="D2861" s="1">
        <f t="shared" si="352"/>
        <v>39385</v>
      </c>
      <c r="E2861">
        <v>0</v>
      </c>
      <c r="F2861">
        <f t="shared" si="358"/>
        <v>0</v>
      </c>
      <c r="G2861">
        <f t="shared" si="353"/>
        <v>0</v>
      </c>
      <c r="H2861">
        <f t="shared" si="359"/>
        <v>0</v>
      </c>
      <c r="I2861">
        <v>2860</v>
      </c>
      <c r="J2861">
        <f t="shared" si="354"/>
        <v>-0.87553899285862824</v>
      </c>
      <c r="K2861">
        <f t="shared" si="355"/>
        <v>0.48314746401497227</v>
      </c>
      <c r="L2861">
        <f>VLOOKUP(D2861,[1]SOI!$A$1:$C$142,3)</f>
        <v>1.5</v>
      </c>
      <c r="M2861" s="2">
        <f t="shared" si="356"/>
        <v>-2504.0415195756768</v>
      </c>
      <c r="N2861">
        <f t="shared" si="357"/>
        <v>1381.8017470828206</v>
      </c>
      <c r="O2861" t="s">
        <v>8</v>
      </c>
    </row>
    <row r="2862" spans="1:15" x14ac:dyDescent="0.35">
      <c r="A2862">
        <v>2007</v>
      </c>
      <c r="B2862">
        <v>10</v>
      </c>
      <c r="C2862">
        <v>31</v>
      </c>
      <c r="D2862" s="1">
        <f t="shared" si="352"/>
        <v>39386</v>
      </c>
      <c r="E2862">
        <v>0</v>
      </c>
      <c r="F2862">
        <f t="shared" si="358"/>
        <v>0</v>
      </c>
      <c r="G2862">
        <f t="shared" si="353"/>
        <v>0</v>
      </c>
      <c r="H2862">
        <f t="shared" si="359"/>
        <v>0</v>
      </c>
      <c r="I2862">
        <v>2861</v>
      </c>
      <c r="J2862">
        <f t="shared" si="354"/>
        <v>-0.86709855228120902</v>
      </c>
      <c r="K2862">
        <f t="shared" si="355"/>
        <v>0.49813662847840401</v>
      </c>
      <c r="L2862">
        <f>VLOOKUP(D2862,[1]SOI!$A$1:$C$142,3)</f>
        <v>1.5</v>
      </c>
      <c r="M2862" s="2">
        <f t="shared" si="356"/>
        <v>-2480.7689580765391</v>
      </c>
      <c r="N2862">
        <f t="shared" si="357"/>
        <v>1425.168894076714</v>
      </c>
      <c r="O2862" t="s">
        <v>8</v>
      </c>
    </row>
    <row r="2863" spans="1:15" x14ac:dyDescent="0.35">
      <c r="A2863">
        <v>2007</v>
      </c>
      <c r="B2863">
        <v>11</v>
      </c>
      <c r="C2863">
        <v>1</v>
      </c>
      <c r="D2863" s="1">
        <f t="shared" si="352"/>
        <v>39387</v>
      </c>
      <c r="E2863">
        <v>0</v>
      </c>
      <c r="F2863">
        <f t="shared" si="358"/>
        <v>0</v>
      </c>
      <c r="G2863">
        <f t="shared" si="353"/>
        <v>0</v>
      </c>
      <c r="H2863">
        <f t="shared" si="359"/>
        <v>0</v>
      </c>
      <c r="I2863">
        <v>2862</v>
      </c>
      <c r="J2863">
        <f t="shared" si="354"/>
        <v>-0.85840152329189201</v>
      </c>
      <c r="K2863">
        <f t="shared" si="355"/>
        <v>0.51297838629922743</v>
      </c>
      <c r="L2863">
        <f>VLOOKUP(D2863,[1]SOI!$A$1:$C$142,3)</f>
        <v>5.4</v>
      </c>
      <c r="M2863" s="2">
        <f t="shared" si="356"/>
        <v>-2456.7451596613951</v>
      </c>
      <c r="N2863">
        <f t="shared" si="357"/>
        <v>1468.1441415883889</v>
      </c>
      <c r="O2863" t="s">
        <v>8</v>
      </c>
    </row>
    <row r="2864" spans="1:15" x14ac:dyDescent="0.35">
      <c r="A2864">
        <v>2007</v>
      </c>
      <c r="B2864">
        <v>11</v>
      </c>
      <c r="C2864">
        <v>2</v>
      </c>
      <c r="D2864" s="1">
        <f t="shared" si="352"/>
        <v>39388</v>
      </c>
      <c r="E2864">
        <v>5.8</v>
      </c>
      <c r="F2864">
        <f t="shared" si="358"/>
        <v>0</v>
      </c>
      <c r="G2864">
        <f t="shared" si="353"/>
        <v>1</v>
      </c>
      <c r="H2864">
        <f t="shared" si="359"/>
        <v>0</v>
      </c>
      <c r="I2864">
        <v>2863</v>
      </c>
      <c r="J2864">
        <f t="shared" si="354"/>
        <v>-0.84945047948148034</v>
      </c>
      <c r="K2864">
        <f t="shared" si="355"/>
        <v>0.52766834556251641</v>
      </c>
      <c r="L2864">
        <f>VLOOKUP(D2864,[1]SOI!$A$1:$C$142,3)</f>
        <v>5.4</v>
      </c>
      <c r="M2864" s="2">
        <f t="shared" si="356"/>
        <v>-2431.976722755478</v>
      </c>
      <c r="N2864">
        <f t="shared" si="357"/>
        <v>1510.7144733454845</v>
      </c>
      <c r="O2864" t="s">
        <v>8</v>
      </c>
    </row>
    <row r="2865" spans="1:15" x14ac:dyDescent="0.35">
      <c r="A2865">
        <v>2007</v>
      </c>
      <c r="B2865">
        <v>11</v>
      </c>
      <c r="C2865">
        <v>3</v>
      </c>
      <c r="D2865" s="1">
        <f t="shared" si="352"/>
        <v>39389</v>
      </c>
      <c r="E2865">
        <v>0</v>
      </c>
      <c r="F2865">
        <f t="shared" si="358"/>
        <v>5.8</v>
      </c>
      <c r="G2865">
        <f t="shared" si="353"/>
        <v>0</v>
      </c>
      <c r="H2865">
        <f t="shared" si="359"/>
        <v>1</v>
      </c>
      <c r="I2865">
        <v>2864</v>
      </c>
      <c r="J2865">
        <f t="shared" si="354"/>
        <v>-0.84024806960784604</v>
      </c>
      <c r="K2865">
        <f t="shared" si="355"/>
        <v>0.54220215927298587</v>
      </c>
      <c r="L2865">
        <f>VLOOKUP(D2865,[1]SOI!$A$1:$C$142,3)</f>
        <v>5.4</v>
      </c>
      <c r="M2865" s="2">
        <f t="shared" si="356"/>
        <v>-2406.4704713568713</v>
      </c>
      <c r="N2865">
        <f t="shared" si="357"/>
        <v>1552.8669841578314</v>
      </c>
      <c r="O2865" t="s">
        <v>8</v>
      </c>
    </row>
    <row r="2866" spans="1:15" x14ac:dyDescent="0.35">
      <c r="A2866">
        <v>2007</v>
      </c>
      <c r="B2866">
        <v>11</v>
      </c>
      <c r="C2866">
        <v>4</v>
      </c>
      <c r="D2866" s="1">
        <f t="shared" si="352"/>
        <v>39390</v>
      </c>
      <c r="E2866">
        <v>27.4</v>
      </c>
      <c r="F2866">
        <f t="shared" si="358"/>
        <v>0</v>
      </c>
      <c r="G2866">
        <f t="shared" si="353"/>
        <v>1</v>
      </c>
      <c r="H2866">
        <f t="shared" si="359"/>
        <v>0</v>
      </c>
      <c r="I2866">
        <v>2865</v>
      </c>
      <c r="J2866">
        <f t="shared" si="354"/>
        <v>-0.83079701681212315</v>
      </c>
      <c r="K2866">
        <f t="shared" si="355"/>
        <v>0.55657552664133259</v>
      </c>
      <c r="L2866">
        <f>VLOOKUP(D2866,[1]SOI!$A$1:$C$142,3)</f>
        <v>5.4</v>
      </c>
      <c r="M2866" s="2">
        <f t="shared" si="356"/>
        <v>-2380.2334531667329</v>
      </c>
      <c r="N2866">
        <f t="shared" si="357"/>
        <v>1594.5888838274179</v>
      </c>
      <c r="O2866" t="s">
        <v>8</v>
      </c>
    </row>
    <row r="2867" spans="1:15" x14ac:dyDescent="0.35">
      <c r="A2867">
        <v>2007</v>
      </c>
      <c r="B2867">
        <v>11</v>
      </c>
      <c r="C2867">
        <v>5</v>
      </c>
      <c r="D2867" s="1">
        <f t="shared" si="352"/>
        <v>39391</v>
      </c>
      <c r="E2867">
        <v>3</v>
      </c>
      <c r="F2867">
        <f t="shared" si="358"/>
        <v>27.4</v>
      </c>
      <c r="G2867">
        <f t="shared" si="353"/>
        <v>1</v>
      </c>
      <c r="H2867">
        <f t="shared" si="359"/>
        <v>1</v>
      </c>
      <c r="I2867">
        <v>2866</v>
      </c>
      <c r="J2867">
        <f t="shared" si="354"/>
        <v>-0.82110011781289083</v>
      </c>
      <c r="K2867">
        <f t="shared" si="355"/>
        <v>0.5707841943569012</v>
      </c>
      <c r="L2867">
        <f>VLOOKUP(D2867,[1]SOI!$A$1:$C$142,3)</f>
        <v>5.4</v>
      </c>
      <c r="M2867" s="2">
        <f t="shared" si="356"/>
        <v>-2353.272937651745</v>
      </c>
      <c r="N2867">
        <f t="shared" si="357"/>
        <v>1635.8675010268789</v>
      </c>
      <c r="O2867" t="s">
        <v>8</v>
      </c>
    </row>
    <row r="2868" spans="1:15" x14ac:dyDescent="0.35">
      <c r="A2868">
        <v>2007</v>
      </c>
      <c r="B2868">
        <v>11</v>
      </c>
      <c r="C2868">
        <v>6</v>
      </c>
      <c r="D2868" s="1">
        <f t="shared" si="352"/>
        <v>39392</v>
      </c>
      <c r="E2868">
        <v>0</v>
      </c>
      <c r="F2868">
        <f t="shared" si="358"/>
        <v>3</v>
      </c>
      <c r="G2868">
        <f t="shared" si="353"/>
        <v>0</v>
      </c>
      <c r="H2868">
        <f t="shared" si="359"/>
        <v>1</v>
      </c>
      <c r="I2868">
        <v>2867</v>
      </c>
      <c r="J2868">
        <f t="shared" si="354"/>
        <v>-0.81116024207856319</v>
      </c>
      <c r="K2868">
        <f t="shared" si="355"/>
        <v>0.58482395784633068</v>
      </c>
      <c r="L2868">
        <f>VLOOKUP(D2868,[1]SOI!$A$1:$C$142,3)</f>
        <v>5.4</v>
      </c>
      <c r="M2868" s="2">
        <f t="shared" si="356"/>
        <v>-2325.5964140392407</v>
      </c>
      <c r="N2868">
        <f t="shared" si="357"/>
        <v>1676.6902871454301</v>
      </c>
      <c r="O2868" t="s">
        <v>8</v>
      </c>
    </row>
    <row r="2869" spans="1:15" x14ac:dyDescent="0.35">
      <c r="A2869">
        <v>2007</v>
      </c>
      <c r="B2869">
        <v>11</v>
      </c>
      <c r="C2869">
        <v>7</v>
      </c>
      <c r="D2869" s="1">
        <f t="shared" si="352"/>
        <v>39393</v>
      </c>
      <c r="E2869">
        <v>0</v>
      </c>
      <c r="F2869">
        <f t="shared" si="358"/>
        <v>0</v>
      </c>
      <c r="G2869">
        <f t="shared" si="353"/>
        <v>0</v>
      </c>
      <c r="H2869">
        <f t="shared" si="359"/>
        <v>0</v>
      </c>
      <c r="I2869">
        <v>2868</v>
      </c>
      <c r="J2869">
        <f t="shared" si="354"/>
        <v>-0.80098033097829102</v>
      </c>
      <c r="K2869">
        <f t="shared" si="355"/>
        <v>0.59869066251772074</v>
      </c>
      <c r="L2869">
        <f>VLOOKUP(D2869,[1]SOI!$A$1:$C$142,3)</f>
        <v>5.4</v>
      </c>
      <c r="M2869" s="2">
        <f t="shared" si="356"/>
        <v>-2297.2115892457387</v>
      </c>
      <c r="N2869">
        <f t="shared" si="357"/>
        <v>1717.044820100823</v>
      </c>
      <c r="O2869" t="s">
        <v>8</v>
      </c>
    </row>
    <row r="2870" spans="1:15" x14ac:dyDescent="0.35">
      <c r="A2870">
        <v>2007</v>
      </c>
      <c r="B2870">
        <v>11</v>
      </c>
      <c r="C2870">
        <v>8</v>
      </c>
      <c r="D2870" s="1">
        <f t="shared" si="352"/>
        <v>39394</v>
      </c>
      <c r="E2870">
        <v>0</v>
      </c>
      <c r="F2870">
        <f t="shared" si="358"/>
        <v>0</v>
      </c>
      <c r="G2870">
        <f t="shared" si="353"/>
        <v>0</v>
      </c>
      <c r="H2870">
        <f t="shared" si="359"/>
        <v>0</v>
      </c>
      <c r="I2870">
        <v>2869</v>
      </c>
      <c r="J2870">
        <f t="shared" si="354"/>
        <v>-0.79056339691154798</v>
      </c>
      <c r="K2870">
        <f t="shared" si="355"/>
        <v>0.61238020499006518</v>
      </c>
      <c r="L2870">
        <f>VLOOKUP(D2870,[1]SOI!$A$1:$C$142,3)</f>
        <v>5.4</v>
      </c>
      <c r="M2870" s="2">
        <f t="shared" si="356"/>
        <v>-2268.126385739231</v>
      </c>
      <c r="N2870">
        <f t="shared" si="357"/>
        <v>1756.9188081164971</v>
      </c>
      <c r="O2870" t="s">
        <v>8</v>
      </c>
    </row>
    <row r="2871" spans="1:15" x14ac:dyDescent="0.35">
      <c r="A2871">
        <v>2007</v>
      </c>
      <c r="B2871">
        <v>11</v>
      </c>
      <c r="C2871">
        <v>9</v>
      </c>
      <c r="D2871" s="1">
        <f t="shared" si="352"/>
        <v>39395</v>
      </c>
      <c r="E2871">
        <v>0</v>
      </c>
      <c r="F2871">
        <f t="shared" si="358"/>
        <v>0</v>
      </c>
      <c r="G2871">
        <f t="shared" si="353"/>
        <v>0</v>
      </c>
      <c r="H2871">
        <f t="shared" si="359"/>
        <v>0</v>
      </c>
      <c r="I2871">
        <v>2870</v>
      </c>
      <c r="J2871">
        <f t="shared" si="354"/>
        <v>-0.77991252241671671</v>
      </c>
      <c r="K2871">
        <f t="shared" si="355"/>
        <v>0.62588853430750302</v>
      </c>
      <c r="L2871">
        <f>VLOOKUP(D2871,[1]SOI!$A$1:$C$142,3)</f>
        <v>5.4</v>
      </c>
      <c r="M2871" s="2">
        <f t="shared" si="356"/>
        <v>-2238.3489393359769</v>
      </c>
      <c r="N2871">
        <f t="shared" si="357"/>
        <v>1796.3000934625336</v>
      </c>
      <c r="O2871" t="s">
        <v>8</v>
      </c>
    </row>
    <row r="2872" spans="1:15" x14ac:dyDescent="0.35">
      <c r="A2872">
        <v>2007</v>
      </c>
      <c r="B2872">
        <v>11</v>
      </c>
      <c r="C2872">
        <v>10</v>
      </c>
      <c r="D2872" s="1">
        <f t="shared" si="352"/>
        <v>39396</v>
      </c>
      <c r="E2872">
        <v>0</v>
      </c>
      <c r="F2872">
        <f t="shared" si="358"/>
        <v>0</v>
      </c>
      <c r="G2872">
        <f t="shared" si="353"/>
        <v>0</v>
      </c>
      <c r="H2872">
        <f t="shared" si="359"/>
        <v>0</v>
      </c>
      <c r="I2872">
        <v>2871</v>
      </c>
      <c r="J2872">
        <f t="shared" si="354"/>
        <v>-0.76903085925891645</v>
      </c>
      <c r="K2872">
        <f t="shared" si="355"/>
        <v>0.63921165313806094</v>
      </c>
      <c r="L2872">
        <f>VLOOKUP(D2872,[1]SOI!$A$1:$C$142,3)</f>
        <v>5.4</v>
      </c>
      <c r="M2872" s="2">
        <f t="shared" si="356"/>
        <v>-2207.887596932349</v>
      </c>
      <c r="N2872">
        <f t="shared" si="357"/>
        <v>1835.1766561593729</v>
      </c>
      <c r="O2872" t="s">
        <v>8</v>
      </c>
    </row>
    <row r="2873" spans="1:15" x14ac:dyDescent="0.35">
      <c r="A2873">
        <v>2007</v>
      </c>
      <c r="B2873">
        <v>11</v>
      </c>
      <c r="C2873">
        <v>11</v>
      </c>
      <c r="D2873" s="1">
        <f t="shared" si="352"/>
        <v>39397</v>
      </c>
      <c r="E2873">
        <v>0</v>
      </c>
      <c r="F2873">
        <f t="shared" si="358"/>
        <v>0</v>
      </c>
      <c r="G2873">
        <f t="shared" si="353"/>
        <v>0</v>
      </c>
      <c r="H2873">
        <f t="shared" si="359"/>
        <v>0</v>
      </c>
      <c r="I2873">
        <v>2872</v>
      </c>
      <c r="J2873">
        <f t="shared" si="354"/>
        <v>-0.75792162749734915</v>
      </c>
      <c r="K2873">
        <f t="shared" si="355"/>
        <v>0.65234561895652321</v>
      </c>
      <c r="L2873">
        <f>VLOOKUP(D2873,[1]SOI!$A$1:$C$142,3)</f>
        <v>5.4</v>
      </c>
      <c r="M2873" s="2">
        <f t="shared" si="356"/>
        <v>-2176.7509141723867</v>
      </c>
      <c r="N2873">
        <f t="shared" si="357"/>
        <v>1873.5366176431346</v>
      </c>
      <c r="O2873" t="s">
        <v>8</v>
      </c>
    </row>
    <row r="2874" spans="1:15" x14ac:dyDescent="0.35">
      <c r="A2874">
        <v>2007</v>
      </c>
      <c r="B2874">
        <v>11</v>
      </c>
      <c r="C2874">
        <v>12</v>
      </c>
      <c r="D2874" s="1">
        <f t="shared" si="352"/>
        <v>39398</v>
      </c>
      <c r="E2874">
        <v>0</v>
      </c>
      <c r="F2874">
        <f t="shared" si="358"/>
        <v>0</v>
      </c>
      <c r="G2874">
        <f t="shared" si="353"/>
        <v>0</v>
      </c>
      <c r="H2874">
        <f t="shared" si="359"/>
        <v>0</v>
      </c>
      <c r="I2874">
        <v>2873</v>
      </c>
      <c r="J2874">
        <f t="shared" si="354"/>
        <v>-0.74658811453241447</v>
      </c>
      <c r="K2874">
        <f t="shared" si="355"/>
        <v>0.66528654521110997</v>
      </c>
      <c r="L2874">
        <f>VLOOKUP(D2874,[1]SOI!$A$1:$C$142,3)</f>
        <v>5.4</v>
      </c>
      <c r="M2874" s="2">
        <f t="shared" si="356"/>
        <v>-2144.9476530516267</v>
      </c>
      <c r="N2874">
        <f t="shared" si="357"/>
        <v>1911.3682443915191</v>
      </c>
      <c r="O2874" t="s">
        <v>8</v>
      </c>
    </row>
    <row r="2875" spans="1:15" x14ac:dyDescent="0.35">
      <c r="A2875">
        <v>2007</v>
      </c>
      <c r="B2875">
        <v>11</v>
      </c>
      <c r="C2875">
        <v>13</v>
      </c>
      <c r="D2875" s="1">
        <f t="shared" si="352"/>
        <v>39399</v>
      </c>
      <c r="E2875">
        <v>0</v>
      </c>
      <c r="F2875">
        <f t="shared" si="358"/>
        <v>0</v>
      </c>
      <c r="G2875">
        <f t="shared" si="353"/>
        <v>0</v>
      </c>
      <c r="H2875">
        <f t="shared" si="359"/>
        <v>0</v>
      </c>
      <c r="I2875">
        <v>2874</v>
      </c>
      <c r="J2875">
        <f t="shared" si="354"/>
        <v>-0.73503367413294185</v>
      </c>
      <c r="K2875">
        <f t="shared" si="355"/>
        <v>0.67803060247353752</v>
      </c>
      <c r="L2875">
        <f>VLOOKUP(D2875,[1]SOI!$A$1:$C$142,3)</f>
        <v>5.4</v>
      </c>
      <c r="M2875" s="2">
        <f t="shared" si="356"/>
        <v>-2112.486779458075</v>
      </c>
      <c r="N2875">
        <f t="shared" si="357"/>
        <v>1948.6599515089467</v>
      </c>
      <c r="O2875" t="s">
        <v>8</v>
      </c>
    </row>
    <row r="2876" spans="1:15" x14ac:dyDescent="0.35">
      <c r="A2876">
        <v>2007</v>
      </c>
      <c r="B2876">
        <v>11</v>
      </c>
      <c r="C2876">
        <v>14</v>
      </c>
      <c r="D2876" s="1">
        <f t="shared" si="352"/>
        <v>39400</v>
      </c>
      <c r="E2876">
        <v>0</v>
      </c>
      <c r="F2876">
        <f t="shared" si="358"/>
        <v>0</v>
      </c>
      <c r="G2876">
        <f t="shared" si="353"/>
        <v>0</v>
      </c>
      <c r="H2876">
        <f t="shared" si="359"/>
        <v>0</v>
      </c>
      <c r="I2876">
        <v>2875</v>
      </c>
      <c r="J2876">
        <f t="shared" si="354"/>
        <v>-0.72326172544373857</v>
      </c>
      <c r="K2876">
        <f t="shared" si="355"/>
        <v>0.69057401957222952</v>
      </c>
      <c r="L2876">
        <f>VLOOKUP(D2876,[1]SOI!$A$1:$C$142,3)</f>
        <v>5.4</v>
      </c>
      <c r="M2876" s="2">
        <f t="shared" si="356"/>
        <v>-2079.3774606507482</v>
      </c>
      <c r="N2876">
        <f t="shared" si="357"/>
        <v>1985.4003062701599</v>
      </c>
      <c r="O2876" t="s">
        <v>8</v>
      </c>
    </row>
    <row r="2877" spans="1:15" x14ac:dyDescent="0.35">
      <c r="A2877">
        <v>2007</v>
      </c>
      <c r="B2877">
        <v>11</v>
      </c>
      <c r="C2877">
        <v>15</v>
      </c>
      <c r="D2877" s="1">
        <f t="shared" si="352"/>
        <v>39401</v>
      </c>
      <c r="E2877">
        <v>0</v>
      </c>
      <c r="F2877">
        <f t="shared" si="358"/>
        <v>0</v>
      </c>
      <c r="G2877">
        <f t="shared" si="353"/>
        <v>0</v>
      </c>
      <c r="H2877">
        <f t="shared" si="359"/>
        <v>0</v>
      </c>
      <c r="I2877">
        <v>2876</v>
      </c>
      <c r="J2877">
        <f t="shared" si="354"/>
        <v>-0.71127575197381421</v>
      </c>
      <c r="K2877">
        <f t="shared" si="355"/>
        <v>0.70291308470826253</v>
      </c>
      <c r="L2877">
        <f>VLOOKUP(D2877,[1]SOI!$A$1:$C$142,3)</f>
        <v>5.4</v>
      </c>
      <c r="M2877" s="2">
        <f t="shared" si="356"/>
        <v>-2045.6290626766897</v>
      </c>
      <c r="N2877">
        <f t="shared" si="357"/>
        <v>2021.578031620963</v>
      </c>
      <c r="O2877" t="s">
        <v>8</v>
      </c>
    </row>
    <row r="2878" spans="1:15" x14ac:dyDescent="0.35">
      <c r="A2878">
        <v>2007</v>
      </c>
      <c r="B2878">
        <v>11</v>
      </c>
      <c r="C2878">
        <v>16</v>
      </c>
      <c r="D2878" s="1">
        <f t="shared" si="352"/>
        <v>39402</v>
      </c>
      <c r="E2878">
        <v>0</v>
      </c>
      <c r="F2878">
        <f t="shared" si="358"/>
        <v>0</v>
      </c>
      <c r="G2878">
        <f t="shared" si="353"/>
        <v>0</v>
      </c>
      <c r="H2878">
        <f t="shared" si="359"/>
        <v>0</v>
      </c>
      <c r="I2878">
        <v>2877</v>
      </c>
      <c r="J2878">
        <f t="shared" si="354"/>
        <v>-0.69907930056555945</v>
      </c>
      <c r="K2878">
        <f t="shared" si="355"/>
        <v>0.71504414655374127</v>
      </c>
      <c r="L2878">
        <f>VLOOKUP(D2878,[1]SOI!$A$1:$C$142,3)</f>
        <v>5.4</v>
      </c>
      <c r="M2878" s="2">
        <f t="shared" si="356"/>
        <v>-2011.2511477271146</v>
      </c>
      <c r="N2878">
        <f t="shared" si="357"/>
        <v>2057.1820096351134</v>
      </c>
      <c r="O2878" t="s">
        <v>8</v>
      </c>
    </row>
    <row r="2879" spans="1:15" x14ac:dyDescent="0.35">
      <c r="A2879">
        <v>2007</v>
      </c>
      <c r="B2879">
        <v>11</v>
      </c>
      <c r="C2879">
        <v>17</v>
      </c>
      <c r="D2879" s="1">
        <f t="shared" si="352"/>
        <v>39403</v>
      </c>
      <c r="E2879">
        <v>0</v>
      </c>
      <c r="F2879">
        <f t="shared" si="358"/>
        <v>0</v>
      </c>
      <c r="G2879">
        <f t="shared" si="353"/>
        <v>0</v>
      </c>
      <c r="H2879">
        <f t="shared" si="359"/>
        <v>0</v>
      </c>
      <c r="I2879">
        <v>2878</v>
      </c>
      <c r="J2879">
        <f t="shared" si="354"/>
        <v>-0.68667598034515775</v>
      </c>
      <c r="K2879">
        <f t="shared" si="355"/>
        <v>0.72696361533230569</v>
      </c>
      <c r="L2879">
        <f>VLOOKUP(D2879,[1]SOI!$A$1:$C$142,3)</f>
        <v>5.4</v>
      </c>
      <c r="M2879" s="2">
        <f t="shared" si="356"/>
        <v>-1976.253471433364</v>
      </c>
      <c r="N2879">
        <f t="shared" si="357"/>
        <v>2092.2012849263756</v>
      </c>
      <c r="O2879" t="s">
        <v>8</v>
      </c>
    </row>
    <row r="2880" spans="1:15" x14ac:dyDescent="0.35">
      <c r="A2880">
        <v>2007</v>
      </c>
      <c r="B2880">
        <v>11</v>
      </c>
      <c r="C2880">
        <v>18</v>
      </c>
      <c r="D2880" s="1">
        <f t="shared" si="352"/>
        <v>39404</v>
      </c>
      <c r="E2880">
        <v>1.4</v>
      </c>
      <c r="F2880">
        <f t="shared" si="358"/>
        <v>0</v>
      </c>
      <c r="G2880">
        <f t="shared" si="353"/>
        <v>1</v>
      </c>
      <c r="H2880">
        <f t="shared" si="359"/>
        <v>0</v>
      </c>
      <c r="I2880">
        <v>2879</v>
      </c>
      <c r="J2880">
        <f t="shared" si="354"/>
        <v>-0.67406946165461779</v>
      </c>
      <c r="K2880">
        <f t="shared" si="355"/>
        <v>0.73866796388137324</v>
      </c>
      <c r="L2880">
        <f>VLOOKUP(D2880,[1]SOI!$A$1:$C$142,3)</f>
        <v>5.4</v>
      </c>
      <c r="M2880" s="2">
        <f t="shared" si="356"/>
        <v>-1940.6459801036447</v>
      </c>
      <c r="N2880">
        <f t="shared" si="357"/>
        <v>2126.6250680144735</v>
      </c>
      <c r="O2880" t="s">
        <v>8</v>
      </c>
    </row>
    <row r="2881" spans="1:15" x14ac:dyDescent="0.35">
      <c r="A2881">
        <v>2007</v>
      </c>
      <c r="B2881">
        <v>11</v>
      </c>
      <c r="C2881">
        <v>19</v>
      </c>
      <c r="D2881" s="1">
        <f t="shared" si="352"/>
        <v>39405</v>
      </c>
      <c r="E2881">
        <v>1</v>
      </c>
      <c r="F2881">
        <f t="shared" si="358"/>
        <v>1.4</v>
      </c>
      <c r="G2881">
        <f t="shared" si="353"/>
        <v>1</v>
      </c>
      <c r="H2881">
        <f t="shared" si="359"/>
        <v>1</v>
      </c>
      <c r="I2881">
        <v>2880</v>
      </c>
      <c r="J2881">
        <f t="shared" si="354"/>
        <v>-0.66126347496563931</v>
      </c>
      <c r="K2881">
        <f t="shared" si="355"/>
        <v>0.75015372869590358</v>
      </c>
      <c r="L2881">
        <f>VLOOKUP(D2881,[1]SOI!$A$1:$C$142,3)</f>
        <v>5.4</v>
      </c>
      <c r="M2881" s="2">
        <f t="shared" si="356"/>
        <v>-1904.4388079010412</v>
      </c>
      <c r="N2881">
        <f t="shared" si="357"/>
        <v>2160.4427386442021</v>
      </c>
      <c r="O2881" t="s">
        <v>8</v>
      </c>
    </row>
    <row r="2882" spans="1:15" x14ac:dyDescent="0.35">
      <c r="A2882">
        <v>2007</v>
      </c>
      <c r="B2882">
        <v>11</v>
      </c>
      <c r="C2882">
        <v>20</v>
      </c>
      <c r="D2882" s="1">
        <f t="shared" si="352"/>
        <v>39406</v>
      </c>
      <c r="E2882">
        <v>0</v>
      </c>
      <c r="F2882">
        <f t="shared" si="358"/>
        <v>1</v>
      </c>
      <c r="G2882">
        <f t="shared" si="353"/>
        <v>0</v>
      </c>
      <c r="H2882">
        <f t="shared" si="359"/>
        <v>1</v>
      </c>
      <c r="I2882">
        <v>2881</v>
      </c>
      <c r="J2882">
        <f t="shared" si="354"/>
        <v>-0.64826180977571224</v>
      </c>
      <c r="K2882">
        <f t="shared" si="355"/>
        <v>0.76141751095329968</v>
      </c>
      <c r="L2882">
        <f>VLOOKUP(D2882,[1]SOI!$A$1:$C$142,3)</f>
        <v>5.4</v>
      </c>
      <c r="M2882" s="2">
        <f t="shared" si="356"/>
        <v>-1867.6422739638269</v>
      </c>
      <c r="N2882">
        <f t="shared" si="357"/>
        <v>2193.6438490564565</v>
      </c>
      <c r="O2882" t="s">
        <v>8</v>
      </c>
    </row>
    <row r="2883" spans="1:15" x14ac:dyDescent="0.35">
      <c r="A2883">
        <v>2007</v>
      </c>
      <c r="B2883">
        <v>11</v>
      </c>
      <c r="C2883">
        <v>21</v>
      </c>
      <c r="D2883" s="1">
        <f t="shared" ref="D2883:D2946" si="360">DATE(A2883,B2883,C2883)</f>
        <v>39407</v>
      </c>
      <c r="E2883">
        <v>12.2</v>
      </c>
      <c r="F2883">
        <f t="shared" si="358"/>
        <v>0</v>
      </c>
      <c r="G2883">
        <f t="shared" ref="G2883:G2946" si="361">IF(E2883=0,0,1)</f>
        <v>1</v>
      </c>
      <c r="H2883">
        <f t="shared" si="359"/>
        <v>0</v>
      </c>
      <c r="I2883">
        <v>2882</v>
      </c>
      <c r="J2883">
        <f t="shared" ref="J2883:J2946" si="362">SIN(2*PI()*I2883/365.25)</f>
        <v>-0.63506831348674275</v>
      </c>
      <c r="K2883">
        <f t="shared" ref="K2883:K2946" si="363">COS(2*PI()*I2883/365.25)</f>
        <v>0.77245597751917494</v>
      </c>
      <c r="L2883">
        <f>VLOOKUP(D2883,[1]SOI!$A$1:$C$142,3)</f>
        <v>5.4</v>
      </c>
      <c r="M2883" s="2">
        <f t="shared" ref="M2883:M2946" si="364">I2883*J2883</f>
        <v>-1830.2668794687927</v>
      </c>
      <c r="N2883">
        <f t="shared" ref="N2883:N2946" si="365">I2883*K2883</f>
        <v>2226.2181272102621</v>
      </c>
      <c r="O2883" t="s">
        <v>8</v>
      </c>
    </row>
    <row r="2884" spans="1:15" x14ac:dyDescent="0.35">
      <c r="A2884">
        <v>2007</v>
      </c>
      <c r="B2884">
        <v>11</v>
      </c>
      <c r="C2884">
        <v>22</v>
      </c>
      <c r="D2884" s="1">
        <f t="shared" si="360"/>
        <v>39408</v>
      </c>
      <c r="E2884">
        <v>14.6</v>
      </c>
      <c r="F2884">
        <f t="shared" ref="F2884:F2947" si="366">E2883</f>
        <v>12.2</v>
      </c>
      <c r="G2884">
        <f t="shared" si="361"/>
        <v>1</v>
      </c>
      <c r="H2884">
        <f t="shared" ref="H2884:H2947" si="367">G2883</f>
        <v>1</v>
      </c>
      <c r="I2884">
        <v>2883</v>
      </c>
      <c r="J2884">
        <f t="shared" si="362"/>
        <v>-0.62168689026655155</v>
      </c>
      <c r="K2884">
        <f t="shared" si="363"/>
        <v>0.7832658619336762</v>
      </c>
      <c r="L2884">
        <f>VLOOKUP(D2884,[1]SOI!$A$1:$C$142,3)</f>
        <v>5.4</v>
      </c>
      <c r="M2884" s="2">
        <f t="shared" si="364"/>
        <v>-1792.323304638468</v>
      </c>
      <c r="N2884">
        <f t="shared" si="365"/>
        <v>2258.1554799547885</v>
      </c>
      <c r="O2884" t="s">
        <v>8</v>
      </c>
    </row>
    <row r="2885" spans="1:15" x14ac:dyDescent="0.35">
      <c r="A2885">
        <v>2007</v>
      </c>
      <c r="B2885">
        <v>11</v>
      </c>
      <c r="C2885">
        <v>23</v>
      </c>
      <c r="D2885" s="1">
        <f t="shared" si="360"/>
        <v>39409</v>
      </c>
      <c r="E2885">
        <v>0.8</v>
      </c>
      <c r="F2885">
        <f t="shared" si="366"/>
        <v>14.6</v>
      </c>
      <c r="G2885">
        <f t="shared" si="361"/>
        <v>1</v>
      </c>
      <c r="H2885">
        <f t="shared" si="367"/>
        <v>1</v>
      </c>
      <c r="I2885">
        <v>2884</v>
      </c>
      <c r="J2885">
        <f t="shared" si="362"/>
        <v>-0.60812149989354458</v>
      </c>
      <c r="K2885">
        <f t="shared" si="363"/>
        <v>0.79384396537809976</v>
      </c>
      <c r="L2885">
        <f>VLOOKUP(D2885,[1]SOI!$A$1:$C$142,3)</f>
        <v>5.4</v>
      </c>
      <c r="M2885" s="2">
        <f t="shared" si="364"/>
        <v>-1753.8224056929826</v>
      </c>
      <c r="N2885">
        <f t="shared" si="365"/>
        <v>2289.4459961504399</v>
      </c>
      <c r="O2885" t="s">
        <v>8</v>
      </c>
    </row>
    <row r="2886" spans="1:15" x14ac:dyDescent="0.35">
      <c r="A2886">
        <v>2007</v>
      </c>
      <c r="B2886">
        <v>11</v>
      </c>
      <c r="C2886">
        <v>24</v>
      </c>
      <c r="D2886" s="1">
        <f t="shared" si="360"/>
        <v>39410</v>
      </c>
      <c r="E2886">
        <v>0</v>
      </c>
      <c r="F2886">
        <f t="shared" si="366"/>
        <v>0.8</v>
      </c>
      <c r="G2886">
        <f t="shared" si="361"/>
        <v>0</v>
      </c>
      <c r="H2886">
        <f t="shared" si="367"/>
        <v>1</v>
      </c>
      <c r="I2886">
        <v>2885</v>
      </c>
      <c r="J2886">
        <f t="shared" si="362"/>
        <v>-0.59437615658498499</v>
      </c>
      <c r="K2886">
        <f t="shared" si="363"/>
        <v>0.80418715762144666</v>
      </c>
      <c r="L2886">
        <f>VLOOKUP(D2886,[1]SOI!$A$1:$C$142,3)</f>
        <v>5.4</v>
      </c>
      <c r="M2886" s="2">
        <f t="shared" si="364"/>
        <v>-1714.7752117476816</v>
      </c>
      <c r="N2886">
        <f t="shared" si="365"/>
        <v>2320.0799497378734</v>
      </c>
      <c r="O2886" t="s">
        <v>8</v>
      </c>
    </row>
    <row r="2887" spans="1:15" x14ac:dyDescent="0.35">
      <c r="A2887">
        <v>2007</v>
      </c>
      <c r="B2887">
        <v>11</v>
      </c>
      <c r="C2887">
        <v>25</v>
      </c>
      <c r="D2887" s="1">
        <f t="shared" si="360"/>
        <v>39411</v>
      </c>
      <c r="E2887">
        <v>0</v>
      </c>
      <c r="F2887">
        <f t="shared" si="366"/>
        <v>0</v>
      </c>
      <c r="G2887">
        <f t="shared" si="361"/>
        <v>0</v>
      </c>
      <c r="H2887">
        <f t="shared" si="367"/>
        <v>0</v>
      </c>
      <c r="I2887">
        <v>2886</v>
      </c>
      <c r="J2887">
        <f t="shared" si="362"/>
        <v>-0.58045492780909902</v>
      </c>
      <c r="K2887">
        <f t="shared" si="363"/>
        <v>0.81429237794672604</v>
      </c>
      <c r="L2887">
        <f>VLOOKUP(D2887,[1]SOI!$A$1:$C$142,3)</f>
        <v>5.4</v>
      </c>
      <c r="M2887" s="2">
        <f t="shared" si="364"/>
        <v>-1675.1929216570597</v>
      </c>
      <c r="N2887">
        <f t="shared" si="365"/>
        <v>2350.0478027542513</v>
      </c>
      <c r="O2887" t="s">
        <v>8</v>
      </c>
    </row>
    <row r="2888" spans="1:15" x14ac:dyDescent="0.35">
      <c r="A2888">
        <v>2007</v>
      </c>
      <c r="B2888">
        <v>11</v>
      </c>
      <c r="C2888">
        <v>26</v>
      </c>
      <c r="D2888" s="1">
        <f t="shared" si="360"/>
        <v>39412</v>
      </c>
      <c r="E2888">
        <v>0</v>
      </c>
      <c r="F2888">
        <f t="shared" si="366"/>
        <v>0</v>
      </c>
      <c r="G2888">
        <f t="shared" si="361"/>
        <v>0</v>
      </c>
      <c r="H2888">
        <f t="shared" si="367"/>
        <v>0</v>
      </c>
      <c r="I2888">
        <v>2887</v>
      </c>
      <c r="J2888">
        <f t="shared" si="362"/>
        <v>-0.56636193308145244</v>
      </c>
      <c r="K2888">
        <f t="shared" si="363"/>
        <v>0.82415663605666634</v>
      </c>
      <c r="L2888">
        <f>VLOOKUP(D2888,[1]SOI!$A$1:$C$142,3)</f>
        <v>5.4</v>
      </c>
      <c r="M2888" s="2">
        <f t="shared" si="364"/>
        <v>-1635.0869008061532</v>
      </c>
      <c r="N2888">
        <f t="shared" si="365"/>
        <v>2379.3402082955959</v>
      </c>
      <c r="O2888" t="s">
        <v>8</v>
      </c>
    </row>
    <row r="2889" spans="1:15" x14ac:dyDescent="0.35">
      <c r="A2889">
        <v>2007</v>
      </c>
      <c r="B2889">
        <v>11</v>
      </c>
      <c r="C2889">
        <v>27</v>
      </c>
      <c r="D2889" s="1">
        <f t="shared" si="360"/>
        <v>39413</v>
      </c>
      <c r="E2889">
        <v>0</v>
      </c>
      <c r="F2889">
        <f t="shared" si="366"/>
        <v>0</v>
      </c>
      <c r="G2889">
        <f t="shared" si="361"/>
        <v>0</v>
      </c>
      <c r="H2889">
        <f t="shared" si="367"/>
        <v>0</v>
      </c>
      <c r="I2889">
        <v>2888</v>
      </c>
      <c r="J2889">
        <f t="shared" si="362"/>
        <v>-0.55210134274592571</v>
      </c>
      <c r="K2889">
        <f t="shared" si="363"/>
        <v>0.83377701295858819</v>
      </c>
      <c r="L2889">
        <f>VLOOKUP(D2889,[1]SOI!$A$1:$C$142,3)</f>
        <v>5.4</v>
      </c>
      <c r="M2889" s="2">
        <f t="shared" si="364"/>
        <v>-1594.4686778502335</v>
      </c>
      <c r="N2889">
        <f t="shared" si="365"/>
        <v>2407.9480134244027</v>
      </c>
      <c r="O2889" t="s">
        <v>8</v>
      </c>
    </row>
    <row r="2890" spans="1:15" x14ac:dyDescent="0.35">
      <c r="A2890">
        <v>2007</v>
      </c>
      <c r="B2890">
        <v>11</v>
      </c>
      <c r="C2890">
        <v>28</v>
      </c>
      <c r="D2890" s="1">
        <f t="shared" si="360"/>
        <v>39414</v>
      </c>
      <c r="E2890">
        <v>0</v>
      </c>
      <c r="F2890">
        <f t="shared" si="366"/>
        <v>0</v>
      </c>
      <c r="G2890">
        <f t="shared" si="361"/>
        <v>0</v>
      </c>
      <c r="H2890">
        <f t="shared" si="367"/>
        <v>0</v>
      </c>
      <c r="I2890">
        <v>2889</v>
      </c>
      <c r="J2890">
        <f t="shared" si="362"/>
        <v>-0.53767737674061811</v>
      </c>
      <c r="K2890">
        <f t="shared" si="363"/>
        <v>0.84315066182819742</v>
      </c>
      <c r="L2890">
        <f>VLOOKUP(D2890,[1]SOI!$A$1:$C$142,3)</f>
        <v>5.4</v>
      </c>
      <c r="M2890" s="2">
        <f t="shared" si="364"/>
        <v>-1553.3499414036457</v>
      </c>
      <c r="N2890">
        <f t="shared" si="365"/>
        <v>2435.8622620216624</v>
      </c>
      <c r="O2890" t="s">
        <v>8</v>
      </c>
    </row>
    <row r="2891" spans="1:15" x14ac:dyDescent="0.35">
      <c r="A2891">
        <v>2007</v>
      </c>
      <c r="B2891">
        <v>11</v>
      </c>
      <c r="C2891">
        <v>29</v>
      </c>
      <c r="D2891" s="1">
        <f t="shared" si="360"/>
        <v>39415</v>
      </c>
      <c r="E2891">
        <v>0</v>
      </c>
      <c r="F2891">
        <f t="shared" si="366"/>
        <v>0</v>
      </c>
      <c r="G2891">
        <f t="shared" si="361"/>
        <v>0</v>
      </c>
      <c r="H2891">
        <f t="shared" si="367"/>
        <v>0</v>
      </c>
      <c r="I2891">
        <v>2890</v>
      </c>
      <c r="J2891">
        <f t="shared" si="362"/>
        <v>-0.52309430334913576</v>
      </c>
      <c r="K2891">
        <f t="shared" si="363"/>
        <v>0.85227480885198192</v>
      </c>
      <c r="L2891">
        <f>VLOOKUP(D2891,[1]SOI!$A$1:$C$142,3)</f>
        <v>5.4</v>
      </c>
      <c r="M2891" s="2">
        <f t="shared" si="364"/>
        <v>-1511.7425366790023</v>
      </c>
      <c r="N2891">
        <f t="shared" si="365"/>
        <v>2463.074197582228</v>
      </c>
      <c r="O2891" t="s">
        <v>8</v>
      </c>
    </row>
    <row r="2892" spans="1:15" x14ac:dyDescent="0.35">
      <c r="A2892">
        <v>2007</v>
      </c>
      <c r="B2892">
        <v>11</v>
      </c>
      <c r="C2892">
        <v>30</v>
      </c>
      <c r="D2892" s="1">
        <f t="shared" si="360"/>
        <v>39416</v>
      </c>
      <c r="E2892">
        <v>0</v>
      </c>
      <c r="F2892">
        <f t="shared" si="366"/>
        <v>0</v>
      </c>
      <c r="G2892">
        <f t="shared" si="361"/>
        <v>0</v>
      </c>
      <c r="H2892">
        <f t="shared" si="367"/>
        <v>0</v>
      </c>
      <c r="I2892">
        <v>2891</v>
      </c>
      <c r="J2892">
        <f t="shared" si="362"/>
        <v>-0.50835643793751428</v>
      </c>
      <c r="K2892">
        <f t="shared" si="363"/>
        <v>0.86114675404804386</v>
      </c>
      <c r="L2892">
        <f>VLOOKUP(D2892,[1]SOI!$A$1:$C$142,3)</f>
        <v>5.4</v>
      </c>
      <c r="M2892" s="2">
        <f t="shared" si="364"/>
        <v>-1469.6584620773538</v>
      </c>
      <c r="N2892">
        <f t="shared" si="365"/>
        <v>2489.5752659528948</v>
      </c>
      <c r="O2892" t="s">
        <v>8</v>
      </c>
    </row>
    <row r="2893" spans="1:15" x14ac:dyDescent="0.35">
      <c r="A2893">
        <v>2007</v>
      </c>
      <c r="B2893">
        <v>12</v>
      </c>
      <c r="C2893">
        <v>1</v>
      </c>
      <c r="D2893" s="1">
        <f t="shared" si="360"/>
        <v>39417</v>
      </c>
      <c r="E2893">
        <v>0</v>
      </c>
      <c r="F2893">
        <f t="shared" si="366"/>
        <v>0</v>
      </c>
      <c r="G2893">
        <f t="shared" si="361"/>
        <v>0</v>
      </c>
      <c r="H2893">
        <f t="shared" si="367"/>
        <v>0</v>
      </c>
      <c r="I2893">
        <v>2892</v>
      </c>
      <c r="J2893">
        <f t="shared" si="362"/>
        <v>-0.49346814167723846</v>
      </c>
      <c r="K2893">
        <f t="shared" si="363"/>
        <v>0.86976387206506389</v>
      </c>
      <c r="L2893">
        <f>VLOOKUP(D2893,[1]SOI!$A$1:$C$142,3)</f>
        <v>9.8000000000000007</v>
      </c>
      <c r="M2893" s="2">
        <f t="shared" si="364"/>
        <v>-1427.1098657305736</v>
      </c>
      <c r="N2893">
        <f t="shared" si="365"/>
        <v>2515.3571180121648</v>
      </c>
      <c r="O2893" t="s">
        <v>8</v>
      </c>
    </row>
    <row r="2894" spans="1:15" x14ac:dyDescent="0.35">
      <c r="A2894">
        <v>2007</v>
      </c>
      <c r="B2894">
        <v>12</v>
      </c>
      <c r="C2894">
        <v>2</v>
      </c>
      <c r="D2894" s="1">
        <f t="shared" si="360"/>
        <v>39418</v>
      </c>
      <c r="E2894">
        <v>0</v>
      </c>
      <c r="F2894">
        <f t="shared" si="366"/>
        <v>0</v>
      </c>
      <c r="G2894">
        <f t="shared" si="361"/>
        <v>0</v>
      </c>
      <c r="H2894">
        <f t="shared" si="367"/>
        <v>0</v>
      </c>
      <c r="I2894">
        <v>2893</v>
      </c>
      <c r="J2894">
        <f t="shared" si="362"/>
        <v>-0.47843382025470133</v>
      </c>
      <c r="K2894">
        <f t="shared" si="363"/>
        <v>0.87812361295918473</v>
      </c>
      <c r="L2894">
        <f>VLOOKUP(D2894,[1]SOI!$A$1:$C$142,3)</f>
        <v>9.8000000000000007</v>
      </c>
      <c r="M2894" s="2">
        <f t="shared" si="364"/>
        <v>-1384.1090419968509</v>
      </c>
      <c r="N2894">
        <f t="shared" si="365"/>
        <v>2540.4116122909213</v>
      </c>
      <c r="O2894" t="s">
        <v>8</v>
      </c>
    </row>
    <row r="2895" spans="1:15" x14ac:dyDescent="0.35">
      <c r="A2895">
        <v>2007</v>
      </c>
      <c r="B2895">
        <v>12</v>
      </c>
      <c r="C2895">
        <v>3</v>
      </c>
      <c r="D2895" s="1">
        <f t="shared" si="360"/>
        <v>39419</v>
      </c>
      <c r="E2895">
        <v>3.4</v>
      </c>
      <c r="F2895">
        <f t="shared" si="366"/>
        <v>0</v>
      </c>
      <c r="G2895">
        <f t="shared" si="361"/>
        <v>1</v>
      </c>
      <c r="H2895">
        <f t="shared" si="367"/>
        <v>0</v>
      </c>
      <c r="I2895">
        <v>2894</v>
      </c>
      <c r="J2895">
        <f t="shared" si="362"/>
        <v>-0.46325792256749709</v>
      </c>
      <c r="K2895">
        <f t="shared" si="363"/>
        <v>0.88622350294857721</v>
      </c>
      <c r="L2895">
        <f>VLOOKUP(D2895,[1]SOI!$A$1:$C$142,3)</f>
        <v>9.8000000000000007</v>
      </c>
      <c r="M2895" s="2">
        <f t="shared" si="364"/>
        <v>-1340.6684279103365</v>
      </c>
      <c r="N2895">
        <f t="shared" si="365"/>
        <v>2564.7308175331823</v>
      </c>
      <c r="O2895" t="s">
        <v>8</v>
      </c>
    </row>
    <row r="2896" spans="1:15" x14ac:dyDescent="0.35">
      <c r="A2896">
        <v>2007</v>
      </c>
      <c r="B2896">
        <v>12</v>
      </c>
      <c r="C2896">
        <v>4</v>
      </c>
      <c r="D2896" s="1">
        <f t="shared" si="360"/>
        <v>39420</v>
      </c>
      <c r="E2896">
        <v>5.4</v>
      </c>
      <c r="F2896">
        <f t="shared" si="366"/>
        <v>3.4</v>
      </c>
      <c r="G2896">
        <f t="shared" si="361"/>
        <v>1</v>
      </c>
      <c r="H2896">
        <f t="shared" si="367"/>
        <v>1</v>
      </c>
      <c r="I2896">
        <v>2895</v>
      </c>
      <c r="J2896">
        <f t="shared" si="362"/>
        <v>-0.44794493940789559</v>
      </c>
      <c r="K2896">
        <f t="shared" si="363"/>
        <v>0.8940611451454854</v>
      </c>
      <c r="L2896">
        <f>VLOOKUP(D2896,[1]SOI!$A$1:$C$142,3)</f>
        <v>9.8000000000000007</v>
      </c>
      <c r="M2896" s="2">
        <f t="shared" si="364"/>
        <v>-1296.8005995858578</v>
      </c>
      <c r="N2896">
        <f t="shared" si="365"/>
        <v>2588.3070151961801</v>
      </c>
      <c r="O2896" t="s">
        <v>8</v>
      </c>
    </row>
    <row r="2897" spans="1:15" x14ac:dyDescent="0.35">
      <c r="A2897">
        <v>2007</v>
      </c>
      <c r="B2897">
        <v>12</v>
      </c>
      <c r="C2897">
        <v>5</v>
      </c>
      <c r="D2897" s="1">
        <f t="shared" si="360"/>
        <v>39421</v>
      </c>
      <c r="E2897">
        <v>0</v>
      </c>
      <c r="F2897">
        <f t="shared" si="366"/>
        <v>5.4</v>
      </c>
      <c r="G2897">
        <f t="shared" si="361"/>
        <v>0</v>
      </c>
      <c r="H2897">
        <f t="shared" si="367"/>
        <v>1</v>
      </c>
      <c r="I2897">
        <v>2896</v>
      </c>
      <c r="J2897">
        <f t="shared" si="362"/>
        <v>-0.43249940213398219</v>
      </c>
      <c r="K2897">
        <f t="shared" si="363"/>
        <v>0.90163422026548434</v>
      </c>
      <c r="L2897">
        <f>VLOOKUP(D2897,[1]SOI!$A$1:$C$142,3)</f>
        <v>9.8000000000000007</v>
      </c>
      <c r="M2897" s="2">
        <f t="shared" si="364"/>
        <v>-1252.5182685800123</v>
      </c>
      <c r="N2897">
        <f t="shared" si="365"/>
        <v>2611.1327018888428</v>
      </c>
      <c r="O2897" t="s">
        <v>8</v>
      </c>
    </row>
    <row r="2898" spans="1:15" x14ac:dyDescent="0.35">
      <c r="A2898">
        <v>2007</v>
      </c>
      <c r="B2898">
        <v>12</v>
      </c>
      <c r="C2898">
        <v>6</v>
      </c>
      <c r="D2898" s="1">
        <f t="shared" si="360"/>
        <v>39422</v>
      </c>
      <c r="E2898">
        <v>0</v>
      </c>
      <c r="F2898">
        <f t="shared" si="366"/>
        <v>0</v>
      </c>
      <c r="G2898">
        <f t="shared" si="361"/>
        <v>0</v>
      </c>
      <c r="H2898">
        <f t="shared" si="367"/>
        <v>0</v>
      </c>
      <c r="I2898">
        <v>2897</v>
      </c>
      <c r="J2898">
        <f t="shared" si="362"/>
        <v>-0.41692588132873104</v>
      </c>
      <c r="K2898">
        <f t="shared" si="363"/>
        <v>0.90894048731380694</v>
      </c>
      <c r="L2898">
        <f>VLOOKUP(D2898,[1]SOI!$A$1:$C$142,3)</f>
        <v>9.8000000000000007</v>
      </c>
      <c r="M2898" s="2">
        <f t="shared" si="364"/>
        <v>-1207.8342782093339</v>
      </c>
      <c r="N2898">
        <f t="shared" si="365"/>
        <v>2633.2005917480988</v>
      </c>
      <c r="O2898" t="s">
        <v>8</v>
      </c>
    </row>
    <row r="2899" spans="1:15" x14ac:dyDescent="0.35">
      <c r="A2899">
        <v>2007</v>
      </c>
      <c r="B2899">
        <v>12</v>
      </c>
      <c r="C2899">
        <v>7</v>
      </c>
      <c r="D2899" s="1">
        <f t="shared" si="360"/>
        <v>39423</v>
      </c>
      <c r="E2899">
        <v>0</v>
      </c>
      <c r="F2899">
        <f t="shared" si="366"/>
        <v>0</v>
      </c>
      <c r="G2899">
        <f t="shared" si="361"/>
        <v>0</v>
      </c>
      <c r="H2899">
        <f t="shared" si="367"/>
        <v>0</v>
      </c>
      <c r="I2899">
        <v>2898</v>
      </c>
      <c r="J2899">
        <f t="shared" si="362"/>
        <v>-0.40122898544750224</v>
      </c>
      <c r="K2899">
        <f t="shared" si="363"/>
        <v>0.91597778424848708</v>
      </c>
      <c r="L2899">
        <f>VLOOKUP(D2899,[1]SOI!$A$1:$C$142,3)</f>
        <v>9.8000000000000007</v>
      </c>
      <c r="M2899" s="2">
        <f t="shared" si="364"/>
        <v>-1162.7615998268616</v>
      </c>
      <c r="N2899">
        <f t="shared" si="365"/>
        <v>2654.5036187521155</v>
      </c>
      <c r="O2899" t="s">
        <v>8</v>
      </c>
    </row>
    <row r="2900" spans="1:15" x14ac:dyDescent="0.35">
      <c r="A2900">
        <v>2007</v>
      </c>
      <c r="B2900">
        <v>12</v>
      </c>
      <c r="C2900">
        <v>8</v>
      </c>
      <c r="D2900" s="1">
        <f t="shared" si="360"/>
        <v>39424</v>
      </c>
      <c r="E2900">
        <v>0</v>
      </c>
      <c r="F2900">
        <f t="shared" si="366"/>
        <v>0</v>
      </c>
      <c r="G2900">
        <f t="shared" si="361"/>
        <v>0</v>
      </c>
      <c r="H2900">
        <f t="shared" si="367"/>
        <v>0</v>
      </c>
      <c r="I2900">
        <v>2899</v>
      </c>
      <c r="J2900">
        <f t="shared" si="362"/>
        <v>-0.38541335945433247</v>
      </c>
      <c r="K2900">
        <f t="shared" si="363"/>
        <v>0.92274402862013982</v>
      </c>
      <c r="L2900">
        <f>VLOOKUP(D2900,[1]SOI!$A$1:$C$142,3)</f>
        <v>9.8000000000000007</v>
      </c>
      <c r="M2900" s="2">
        <f t="shared" si="364"/>
        <v>-1117.3133290581097</v>
      </c>
      <c r="N2900">
        <f t="shared" si="365"/>
        <v>2675.0349389697853</v>
      </c>
      <c r="O2900" t="s">
        <v>8</v>
      </c>
    </row>
    <row r="2901" spans="1:15" x14ac:dyDescent="0.35">
      <c r="A2901">
        <v>2007</v>
      </c>
      <c r="B2901">
        <v>12</v>
      </c>
      <c r="C2901">
        <v>9</v>
      </c>
      <c r="D2901" s="1">
        <f t="shared" si="360"/>
        <v>39425</v>
      </c>
      <c r="E2901">
        <v>0</v>
      </c>
      <c r="F2901">
        <f t="shared" si="366"/>
        <v>0</v>
      </c>
      <c r="G2901">
        <f t="shared" si="361"/>
        <v>0</v>
      </c>
      <c r="H2901">
        <f t="shared" si="367"/>
        <v>0</v>
      </c>
      <c r="I2901">
        <v>2900</v>
      </c>
      <c r="J2901">
        <f t="shared" si="362"/>
        <v>-0.36948368344738891</v>
      </c>
      <c r="K2901">
        <f t="shared" si="363"/>
        <v>0.92923721818820282</v>
      </c>
      <c r="L2901">
        <f>VLOOKUP(D2901,[1]SOI!$A$1:$C$142,3)</f>
        <v>9.8000000000000007</v>
      </c>
      <c r="M2901" s="2">
        <f t="shared" si="364"/>
        <v>-1071.5026819974278</v>
      </c>
      <c r="N2901">
        <f t="shared" si="365"/>
        <v>2694.7879327457881</v>
      </c>
      <c r="O2901" t="s">
        <v>8</v>
      </c>
    </row>
    <row r="2902" spans="1:15" x14ac:dyDescent="0.35">
      <c r="A2902">
        <v>2007</v>
      </c>
      <c r="B2902">
        <v>12</v>
      </c>
      <c r="C2902">
        <v>10</v>
      </c>
      <c r="D2902" s="1">
        <f t="shared" si="360"/>
        <v>39426</v>
      </c>
      <c r="E2902">
        <v>0</v>
      </c>
      <c r="F2902">
        <f t="shared" si="366"/>
        <v>0</v>
      </c>
      <c r="G2902">
        <f t="shared" si="361"/>
        <v>0</v>
      </c>
      <c r="H2902">
        <f t="shared" si="367"/>
        <v>0</v>
      </c>
      <c r="I2902">
        <v>2901</v>
      </c>
      <c r="J2902">
        <f t="shared" si="362"/>
        <v>-0.35344467127409235</v>
      </c>
      <c r="K2902">
        <f t="shared" si="363"/>
        <v>0.93545543151341459</v>
      </c>
      <c r="L2902">
        <f>VLOOKUP(D2902,[1]SOI!$A$1:$C$142,3)</f>
        <v>9.8000000000000007</v>
      </c>
      <c r="M2902" s="2">
        <f t="shared" si="364"/>
        <v>-1025.3429913661419</v>
      </c>
      <c r="N2902">
        <f t="shared" si="365"/>
        <v>2713.7562068204156</v>
      </c>
      <c r="O2902" t="s">
        <v>8</v>
      </c>
    </row>
    <row r="2903" spans="1:15" x14ac:dyDescent="0.35">
      <c r="A2903">
        <v>2007</v>
      </c>
      <c r="B2903">
        <v>12</v>
      </c>
      <c r="C2903">
        <v>11</v>
      </c>
      <c r="D2903" s="1">
        <f t="shared" si="360"/>
        <v>39427</v>
      </c>
      <c r="E2903">
        <v>0</v>
      </c>
      <c r="F2903">
        <f t="shared" si="366"/>
        <v>0</v>
      </c>
      <c r="G2903">
        <f t="shared" si="361"/>
        <v>0</v>
      </c>
      <c r="H2903">
        <f t="shared" si="367"/>
        <v>0</v>
      </c>
      <c r="I2903">
        <v>2902</v>
      </c>
      <c r="J2903">
        <f t="shared" si="362"/>
        <v>-0.33730106913618785</v>
      </c>
      <c r="K2903">
        <f t="shared" si="363"/>
        <v>0.94139682852641082</v>
      </c>
      <c r="L2903">
        <f>VLOOKUP(D2903,[1]SOI!$A$1:$C$142,3)</f>
        <v>9.8000000000000007</v>
      </c>
      <c r="M2903" s="2">
        <f t="shared" si="364"/>
        <v>-978.84770263321718</v>
      </c>
      <c r="N2903">
        <f t="shared" si="365"/>
        <v>2731.9335963836443</v>
      </c>
      <c r="O2903" t="s">
        <v>8</v>
      </c>
    </row>
    <row r="2904" spans="1:15" x14ac:dyDescent="0.35">
      <c r="A2904">
        <v>2007</v>
      </c>
      <c r="B2904">
        <v>12</v>
      </c>
      <c r="C2904">
        <v>12</v>
      </c>
      <c r="D2904" s="1">
        <f t="shared" si="360"/>
        <v>39428</v>
      </c>
      <c r="E2904">
        <v>0</v>
      </c>
      <c r="F2904">
        <f t="shared" si="366"/>
        <v>0</v>
      </c>
      <c r="G2904">
        <f t="shared" si="361"/>
        <v>0</v>
      </c>
      <c r="H2904">
        <f t="shared" si="367"/>
        <v>0</v>
      </c>
      <c r="I2904">
        <v>2903</v>
      </c>
      <c r="J2904">
        <f t="shared" si="362"/>
        <v>-0.32105765418526683</v>
      </c>
      <c r="K2904">
        <f t="shared" si="363"/>
        <v>0.94705965107222978</v>
      </c>
      <c r="L2904">
        <f>VLOOKUP(D2904,[1]SOI!$A$1:$C$142,3)</f>
        <v>9.8000000000000007</v>
      </c>
      <c r="M2904" s="2">
        <f t="shared" si="364"/>
        <v>-932.03037009982961</v>
      </c>
      <c r="N2904">
        <f t="shared" si="365"/>
        <v>2749.3141670626828</v>
      </c>
      <c r="O2904" t="s">
        <v>8</v>
      </c>
    </row>
    <row r="2905" spans="1:15" x14ac:dyDescent="0.35">
      <c r="A2905">
        <v>2007</v>
      </c>
      <c r="B2905">
        <v>12</v>
      </c>
      <c r="C2905">
        <v>13</v>
      </c>
      <c r="D2905" s="1">
        <f t="shared" si="360"/>
        <v>39429</v>
      </c>
      <c r="E2905">
        <v>0</v>
      </c>
      <c r="F2905">
        <f t="shared" si="366"/>
        <v>0</v>
      </c>
      <c r="G2905">
        <f t="shared" si="361"/>
        <v>0</v>
      </c>
      <c r="H2905">
        <f t="shared" si="367"/>
        <v>0</v>
      </c>
      <c r="I2905">
        <v>2904</v>
      </c>
      <c r="J2905">
        <f t="shared" si="362"/>
        <v>-0.30471923310915811</v>
      </c>
      <c r="K2905">
        <f t="shared" si="363"/>
        <v>0.95244222343056939</v>
      </c>
      <c r="L2905">
        <f>VLOOKUP(D2905,[1]SOI!$A$1:$C$142,3)</f>
        <v>9.8000000000000007</v>
      </c>
      <c r="M2905" s="2">
        <f t="shared" si="364"/>
        <v>-884.90465294899514</v>
      </c>
      <c r="N2905">
        <f t="shared" si="365"/>
        <v>2765.8922168423737</v>
      </c>
      <c r="O2905" t="s">
        <v>8</v>
      </c>
    </row>
    <row r="2906" spans="1:15" x14ac:dyDescent="0.35">
      <c r="A2906">
        <v>2007</v>
      </c>
      <c r="B2906">
        <v>12</v>
      </c>
      <c r="C2906">
        <v>14</v>
      </c>
      <c r="D2906" s="1">
        <f t="shared" si="360"/>
        <v>39430</v>
      </c>
      <c r="E2906">
        <v>0</v>
      </c>
      <c r="F2906">
        <f t="shared" si="366"/>
        <v>0</v>
      </c>
      <c r="G2906">
        <f t="shared" si="361"/>
        <v>0</v>
      </c>
      <c r="H2906">
        <f t="shared" si="367"/>
        <v>0</v>
      </c>
      <c r="I2906">
        <v>2905</v>
      </c>
      <c r="J2906">
        <f t="shared" si="362"/>
        <v>-0.28829064070952493</v>
      </c>
      <c r="K2906">
        <f t="shared" si="363"/>
        <v>0.95754295281166979</v>
      </c>
      <c r="L2906">
        <f>VLOOKUP(D2906,[1]SOI!$A$1:$C$142,3)</f>
        <v>9.8000000000000007</v>
      </c>
      <c r="M2906" s="2">
        <f t="shared" si="364"/>
        <v>-837.48431126116986</v>
      </c>
      <c r="N2906">
        <f t="shared" si="365"/>
        <v>2781.6622779179006</v>
      </c>
      <c r="O2906" t="s">
        <v>8</v>
      </c>
    </row>
    <row r="2907" spans="1:15" x14ac:dyDescent="0.35">
      <c r="A2907">
        <v>2007</v>
      </c>
      <c r="B2907">
        <v>12</v>
      </c>
      <c r="C2907">
        <v>15</v>
      </c>
      <c r="D2907" s="1">
        <f t="shared" si="360"/>
        <v>39431</v>
      </c>
      <c r="E2907">
        <v>2.4</v>
      </c>
      <c r="F2907">
        <f t="shared" si="366"/>
        <v>0</v>
      </c>
      <c r="G2907">
        <f t="shared" si="361"/>
        <v>1</v>
      </c>
      <c r="H2907">
        <f t="shared" si="367"/>
        <v>0</v>
      </c>
      <c r="I2907">
        <v>2906</v>
      </c>
      <c r="J2907">
        <f t="shared" si="362"/>
        <v>-0.27177673847114181</v>
      </c>
      <c r="K2907">
        <f t="shared" si="363"/>
        <v>0.96236032982765274</v>
      </c>
      <c r="L2907">
        <f>VLOOKUP(D2907,[1]SOI!$A$1:$C$142,3)</f>
        <v>9.8000000000000007</v>
      </c>
      <c r="M2907" s="2">
        <f t="shared" si="364"/>
        <v>-789.78320199713812</v>
      </c>
      <c r="N2907">
        <f t="shared" si="365"/>
        <v>2796.6191184791587</v>
      </c>
      <c r="O2907" t="s">
        <v>8</v>
      </c>
    </row>
    <row r="2908" spans="1:15" x14ac:dyDescent="0.35">
      <c r="A2908">
        <v>2007</v>
      </c>
      <c r="B2908">
        <v>12</v>
      </c>
      <c r="C2908">
        <v>16</v>
      </c>
      <c r="D2908" s="1">
        <f t="shared" si="360"/>
        <v>39432</v>
      </c>
      <c r="E2908">
        <v>9.1999999999999993</v>
      </c>
      <c r="F2908">
        <f t="shared" si="366"/>
        <v>2.4</v>
      </c>
      <c r="G2908">
        <f t="shared" si="361"/>
        <v>1</v>
      </c>
      <c r="H2908">
        <f t="shared" si="367"/>
        <v>1</v>
      </c>
      <c r="I2908">
        <v>2907</v>
      </c>
      <c r="J2908">
        <f t="shared" si="362"/>
        <v>-0.2551824131233778</v>
      </c>
      <c r="K2908">
        <f t="shared" si="363"/>
        <v>0.9668929289391508</v>
      </c>
      <c r="L2908">
        <f>VLOOKUP(D2908,[1]SOI!$A$1:$C$142,3)</f>
        <v>9.8000000000000007</v>
      </c>
      <c r="M2908" s="2">
        <f t="shared" si="364"/>
        <v>-741.81527494965928</v>
      </c>
      <c r="N2908">
        <f t="shared" si="365"/>
        <v>2810.7577444261115</v>
      </c>
      <c r="O2908" t="s">
        <v>8</v>
      </c>
    </row>
    <row r="2909" spans="1:15" x14ac:dyDescent="0.35">
      <c r="A2909">
        <v>2007</v>
      </c>
      <c r="B2909">
        <v>12</v>
      </c>
      <c r="C2909">
        <v>17</v>
      </c>
      <c r="D2909" s="1">
        <f t="shared" si="360"/>
        <v>39433</v>
      </c>
      <c r="E2909">
        <v>0</v>
      </c>
      <c r="F2909">
        <f t="shared" si="366"/>
        <v>9.1999999999999993</v>
      </c>
      <c r="G2909">
        <f t="shared" si="361"/>
        <v>0</v>
      </c>
      <c r="H2909">
        <f t="shared" si="367"/>
        <v>1</v>
      </c>
      <c r="I2909">
        <v>2908</v>
      </c>
      <c r="J2909">
        <f t="shared" si="362"/>
        <v>-0.23851257519407348</v>
      </c>
      <c r="K2909">
        <f t="shared" si="363"/>
        <v>0.97113940887716599</v>
      </c>
      <c r="L2909">
        <f>VLOOKUP(D2909,[1]SOI!$A$1:$C$142,3)</f>
        <v>9.8000000000000007</v>
      </c>
      <c r="M2909" s="2">
        <f t="shared" si="364"/>
        <v>-693.59456866436574</v>
      </c>
      <c r="N2909">
        <f t="shared" si="365"/>
        <v>2824.0734010147985</v>
      </c>
      <c r="O2909" t="s">
        <v>8</v>
      </c>
    </row>
    <row r="2910" spans="1:15" x14ac:dyDescent="0.35">
      <c r="A2910">
        <v>2007</v>
      </c>
      <c r="B2910">
        <v>12</v>
      </c>
      <c r="C2910">
        <v>18</v>
      </c>
      <c r="D2910" s="1">
        <f t="shared" si="360"/>
        <v>39434</v>
      </c>
      <c r="E2910">
        <v>0</v>
      </c>
      <c r="F2910">
        <f t="shared" si="366"/>
        <v>0</v>
      </c>
      <c r="G2910">
        <f t="shared" si="361"/>
        <v>0</v>
      </c>
      <c r="H2910">
        <f t="shared" si="367"/>
        <v>0</v>
      </c>
      <c r="I2910">
        <v>2909</v>
      </c>
      <c r="J2910">
        <f t="shared" si="362"/>
        <v>-0.22177215755647769</v>
      </c>
      <c r="K2910">
        <f t="shared" si="363"/>
        <v>0.97509851303996198</v>
      </c>
      <c r="L2910">
        <f>VLOOKUP(D2910,[1]SOI!$A$1:$C$142,3)</f>
        <v>9.8000000000000007</v>
      </c>
      <c r="M2910" s="2">
        <f t="shared" si="364"/>
        <v>-645.1352063317936</v>
      </c>
      <c r="N2910">
        <f t="shared" si="365"/>
        <v>2836.5615744332495</v>
      </c>
      <c r="O2910" t="s">
        <v>8</v>
      </c>
    </row>
    <row r="2911" spans="1:15" x14ac:dyDescent="0.35">
      <c r="A2911">
        <v>2007</v>
      </c>
      <c r="B2911">
        <v>12</v>
      </c>
      <c r="C2911">
        <v>19</v>
      </c>
      <c r="D2911" s="1">
        <f t="shared" si="360"/>
        <v>39435</v>
      </c>
      <c r="E2911">
        <v>0</v>
      </c>
      <c r="F2911">
        <f t="shared" si="366"/>
        <v>0</v>
      </c>
      <c r="G2911">
        <f t="shared" si="361"/>
        <v>0</v>
      </c>
      <c r="H2911">
        <f t="shared" si="367"/>
        <v>0</v>
      </c>
      <c r="I2911">
        <v>2910</v>
      </c>
      <c r="J2911">
        <f t="shared" si="362"/>
        <v>-0.20496611396950395</v>
      </c>
      <c r="K2911">
        <f t="shared" si="363"/>
        <v>0.97876906986491985</v>
      </c>
      <c r="L2911">
        <f>VLOOKUP(D2911,[1]SOI!$A$1:$C$142,3)</f>
        <v>9.8000000000000007</v>
      </c>
      <c r="M2911" s="2">
        <f t="shared" si="364"/>
        <v>-596.45139165125647</v>
      </c>
      <c r="N2911">
        <f t="shared" si="365"/>
        <v>2848.2179933069169</v>
      </c>
      <c r="O2911" t="s">
        <v>8</v>
      </c>
    </row>
    <row r="2912" spans="1:15" x14ac:dyDescent="0.35">
      <c r="A2912">
        <v>2007</v>
      </c>
      <c r="B2912">
        <v>12</v>
      </c>
      <c r="C2912">
        <v>20</v>
      </c>
      <c r="D2912" s="1">
        <f t="shared" si="360"/>
        <v>39436</v>
      </c>
      <c r="E2912">
        <v>4.2</v>
      </c>
      <c r="F2912">
        <f t="shared" si="366"/>
        <v>0</v>
      </c>
      <c r="G2912">
        <f t="shared" si="361"/>
        <v>1</v>
      </c>
      <c r="H2912">
        <f t="shared" si="367"/>
        <v>0</v>
      </c>
      <c r="I2912">
        <v>2911</v>
      </c>
      <c r="J2912">
        <f t="shared" si="362"/>
        <v>-0.18809941761180507</v>
      </c>
      <c r="K2912">
        <f t="shared" si="363"/>
        <v>0.98214999317522766</v>
      </c>
      <c r="L2912">
        <f>VLOOKUP(D2912,[1]SOI!$A$1:$C$142,3)</f>
        <v>9.8000000000000007</v>
      </c>
      <c r="M2912" s="2">
        <f t="shared" si="364"/>
        <v>-547.55740466796453</v>
      </c>
      <c r="N2912">
        <f t="shared" si="365"/>
        <v>2859.0386301330877</v>
      </c>
      <c r="O2912" t="s">
        <v>8</v>
      </c>
    </row>
    <row r="2913" spans="1:15" x14ac:dyDescent="0.35">
      <c r="A2913">
        <v>2007</v>
      </c>
      <c r="B2913">
        <v>12</v>
      </c>
      <c r="C2913">
        <v>21</v>
      </c>
      <c r="D2913" s="1">
        <f t="shared" si="360"/>
        <v>39437</v>
      </c>
      <c r="E2913">
        <v>14.8</v>
      </c>
      <c r="F2913">
        <f t="shared" si="366"/>
        <v>4.2</v>
      </c>
      <c r="G2913">
        <f t="shared" si="361"/>
        <v>1</v>
      </c>
      <c r="H2913">
        <f t="shared" si="367"/>
        <v>1</v>
      </c>
      <c r="I2913">
        <v>2912</v>
      </c>
      <c r="J2913">
        <f t="shared" si="362"/>
        <v>-0.17117705961019924</v>
      </c>
      <c r="K2913">
        <f t="shared" si="363"/>
        <v>0.98524028250128215</v>
      </c>
      <c r="L2913">
        <f>VLOOKUP(D2913,[1]SOI!$A$1:$C$142,3)</f>
        <v>9.8000000000000007</v>
      </c>
      <c r="M2913" s="2">
        <f t="shared" si="364"/>
        <v>-498.4675975849002</v>
      </c>
      <c r="N2913">
        <f t="shared" si="365"/>
        <v>2869.0197026437336</v>
      </c>
      <c r="O2913" t="s">
        <v>8</v>
      </c>
    </row>
    <row r="2914" spans="1:15" x14ac:dyDescent="0.35">
      <c r="A2914">
        <v>2007</v>
      </c>
      <c r="B2914">
        <v>12</v>
      </c>
      <c r="C2914">
        <v>22</v>
      </c>
      <c r="D2914" s="1">
        <f t="shared" si="360"/>
        <v>39438</v>
      </c>
      <c r="E2914">
        <v>24.2</v>
      </c>
      <c r="F2914">
        <f t="shared" si="366"/>
        <v>14.8</v>
      </c>
      <c r="G2914">
        <f t="shared" si="361"/>
        <v>1</v>
      </c>
      <c r="H2914">
        <f t="shared" si="367"/>
        <v>1</v>
      </c>
      <c r="I2914">
        <v>2913</v>
      </c>
      <c r="J2914">
        <f t="shared" si="362"/>
        <v>-0.15420404756268763</v>
      </c>
      <c r="K2914">
        <f t="shared" si="363"/>
        <v>0.9880390233767512</v>
      </c>
      <c r="L2914">
        <f>VLOOKUP(D2914,[1]SOI!$A$1:$C$142,3)</f>
        <v>9.8000000000000007</v>
      </c>
      <c r="M2914" s="2">
        <f t="shared" si="364"/>
        <v>-449.19639055010907</v>
      </c>
      <c r="N2914">
        <f t="shared" si="365"/>
        <v>2878.1576750964764</v>
      </c>
      <c r="O2914" t="s">
        <v>8</v>
      </c>
    </row>
    <row r="2915" spans="1:15" x14ac:dyDescent="0.35">
      <c r="A2915">
        <v>2007</v>
      </c>
      <c r="B2915">
        <v>12</v>
      </c>
      <c r="C2915">
        <v>23</v>
      </c>
      <c r="D2915" s="1">
        <f t="shared" si="360"/>
        <v>39439</v>
      </c>
      <c r="E2915">
        <v>7.2</v>
      </c>
      <c r="F2915">
        <f t="shared" si="366"/>
        <v>24.2</v>
      </c>
      <c r="G2915">
        <f t="shared" si="361"/>
        <v>1</v>
      </c>
      <c r="H2915">
        <f t="shared" si="367"/>
        <v>1</v>
      </c>
      <c r="I2915">
        <v>2914</v>
      </c>
      <c r="J2915">
        <f t="shared" si="362"/>
        <v>-0.13718540405659765</v>
      </c>
      <c r="K2915">
        <f t="shared" si="363"/>
        <v>0.99054538760918376</v>
      </c>
      <c r="L2915">
        <f>VLOOKUP(D2915,[1]SOI!$A$1:$C$142,3)</f>
        <v>9.8000000000000007</v>
      </c>
      <c r="M2915" s="2">
        <f t="shared" si="364"/>
        <v>-399.75826742092556</v>
      </c>
      <c r="N2915">
        <f t="shared" si="365"/>
        <v>2886.4492594931617</v>
      </c>
      <c r="O2915" t="s">
        <v>8</v>
      </c>
    </row>
    <row r="2916" spans="1:15" x14ac:dyDescent="0.35">
      <c r="A2916">
        <v>2007</v>
      </c>
      <c r="B2916">
        <v>12</v>
      </c>
      <c r="C2916">
        <v>24</v>
      </c>
      <c r="D2916" s="1">
        <f t="shared" si="360"/>
        <v>39440</v>
      </c>
      <c r="E2916">
        <v>0</v>
      </c>
      <c r="F2916">
        <f t="shared" si="366"/>
        <v>7.2</v>
      </c>
      <c r="G2916">
        <f t="shared" si="361"/>
        <v>0</v>
      </c>
      <c r="H2916">
        <f t="shared" si="367"/>
        <v>1</v>
      </c>
      <c r="I2916">
        <v>2915</v>
      </c>
      <c r="J2916">
        <f t="shared" si="362"/>
        <v>-0.12012616518234641</v>
      </c>
      <c r="K2916">
        <f t="shared" si="363"/>
        <v>0.99275863352507976</v>
      </c>
      <c r="L2916">
        <f>VLOOKUP(D2916,[1]SOI!$A$1:$C$142,3)</f>
        <v>9.8000000000000007</v>
      </c>
      <c r="M2916" s="2">
        <f t="shared" si="364"/>
        <v>-350.16777150653979</v>
      </c>
      <c r="N2916">
        <f t="shared" si="365"/>
        <v>2893.8914167256075</v>
      </c>
      <c r="O2916" t="s">
        <v>8</v>
      </c>
    </row>
    <row r="2917" spans="1:15" x14ac:dyDescent="0.35">
      <c r="A2917">
        <v>2007</v>
      </c>
      <c r="B2917">
        <v>12</v>
      </c>
      <c r="C2917">
        <v>25</v>
      </c>
      <c r="D2917" s="1">
        <f t="shared" si="360"/>
        <v>39441</v>
      </c>
      <c r="E2917">
        <v>0.4</v>
      </c>
      <c r="F2917">
        <f t="shared" si="366"/>
        <v>0</v>
      </c>
      <c r="G2917">
        <f t="shared" si="361"/>
        <v>1</v>
      </c>
      <c r="H2917">
        <f t="shared" si="367"/>
        <v>0</v>
      </c>
      <c r="I2917">
        <v>2916</v>
      </c>
      <c r="J2917">
        <f t="shared" si="362"/>
        <v>-0.10303137904318062</v>
      </c>
      <c r="K2917">
        <f t="shared" si="363"/>
        <v>0.99467810618936436</v>
      </c>
      <c r="L2917">
        <f>VLOOKUP(D2917,[1]SOI!$A$1:$C$142,3)</f>
        <v>9.8000000000000007</v>
      </c>
      <c r="M2917" s="2">
        <f t="shared" si="364"/>
        <v>-300.43950128991469</v>
      </c>
      <c r="N2917">
        <f t="shared" si="365"/>
        <v>2900.4813576481865</v>
      </c>
      <c r="O2917" t="s">
        <v>8</v>
      </c>
    </row>
    <row r="2918" spans="1:15" x14ac:dyDescent="0.35">
      <c r="A2918">
        <v>2007</v>
      </c>
      <c r="B2918">
        <v>12</v>
      </c>
      <c r="C2918">
        <v>26</v>
      </c>
      <c r="D2918" s="1">
        <f t="shared" si="360"/>
        <v>39442</v>
      </c>
      <c r="E2918">
        <v>0</v>
      </c>
      <c r="F2918">
        <f t="shared" si="366"/>
        <v>0.4</v>
      </c>
      <c r="G2918">
        <f t="shared" si="361"/>
        <v>0</v>
      </c>
      <c r="H2918">
        <f t="shared" si="367"/>
        <v>1</v>
      </c>
      <c r="I2918">
        <v>2917</v>
      </c>
      <c r="J2918">
        <f t="shared" si="362"/>
        <v>-8.5906104261333383E-2</v>
      </c>
      <c r="K2918">
        <f t="shared" si="363"/>
        <v>0.99630323759919648</v>
      </c>
      <c r="L2918">
        <f>VLOOKUP(D2918,[1]SOI!$A$1:$C$142,3)</f>
        <v>9.8000000000000007</v>
      </c>
      <c r="M2918" s="2">
        <f t="shared" si="364"/>
        <v>-250.58810613030948</v>
      </c>
      <c r="N2918">
        <f t="shared" si="365"/>
        <v>2906.2165440768563</v>
      </c>
      <c r="O2918" t="s">
        <v>8</v>
      </c>
    </row>
    <row r="2919" spans="1:15" x14ac:dyDescent="0.35">
      <c r="A2919">
        <v>2007</v>
      </c>
      <c r="B2919">
        <v>12</v>
      </c>
      <c r="C2919">
        <v>27</v>
      </c>
      <c r="D2919" s="1">
        <f t="shared" si="360"/>
        <v>39443</v>
      </c>
      <c r="E2919">
        <v>0</v>
      </c>
      <c r="F2919">
        <f t="shared" si="366"/>
        <v>0</v>
      </c>
      <c r="G2919">
        <f t="shared" si="361"/>
        <v>0</v>
      </c>
      <c r="H2919">
        <f t="shared" si="367"/>
        <v>0</v>
      </c>
      <c r="I2919">
        <v>2918</v>
      </c>
      <c r="J2919">
        <f t="shared" si="362"/>
        <v>-6.875540848113891E-2</v>
      </c>
      <c r="K2919">
        <f t="shared" si="363"/>
        <v>0.99763354685204508</v>
      </c>
      <c r="L2919">
        <f>VLOOKUP(D2919,[1]SOI!$A$1:$C$142,3)</f>
        <v>9.8000000000000007</v>
      </c>
      <c r="M2919" s="2">
        <f t="shared" si="364"/>
        <v>-200.62828194796333</v>
      </c>
      <c r="N2919">
        <f t="shared" si="365"/>
        <v>2911.0946897142676</v>
      </c>
      <c r="O2919" t="s">
        <v>8</v>
      </c>
    </row>
    <row r="2920" spans="1:15" x14ac:dyDescent="0.35">
      <c r="A2920">
        <v>2007</v>
      </c>
      <c r="B2920">
        <v>12</v>
      </c>
      <c r="C2920">
        <v>28</v>
      </c>
      <c r="D2920" s="1">
        <f t="shared" si="360"/>
        <v>39444</v>
      </c>
      <c r="E2920">
        <v>0</v>
      </c>
      <c r="F2920">
        <f t="shared" si="366"/>
        <v>0</v>
      </c>
      <c r="G2920">
        <f t="shared" si="361"/>
        <v>0</v>
      </c>
      <c r="H2920">
        <f t="shared" si="367"/>
        <v>0</v>
      </c>
      <c r="I2920">
        <v>2919</v>
      </c>
      <c r="J2920">
        <f t="shared" si="362"/>
        <v>-5.1584366869406713E-2</v>
      </c>
      <c r="K2920">
        <f t="shared" si="363"/>
        <v>0.99866864028799984</v>
      </c>
      <c r="L2920">
        <f>VLOOKUP(D2920,[1]SOI!$A$1:$C$142,3)</f>
        <v>9.8000000000000007</v>
      </c>
      <c r="M2920" s="2">
        <f t="shared" si="364"/>
        <v>-150.57476689179819</v>
      </c>
      <c r="N2920">
        <f t="shared" si="365"/>
        <v>2915.1137610006717</v>
      </c>
      <c r="O2920" t="s">
        <v>8</v>
      </c>
    </row>
    <row r="2921" spans="1:15" x14ac:dyDescent="0.35">
      <c r="A2921">
        <v>2007</v>
      </c>
      <c r="B2921">
        <v>12</v>
      </c>
      <c r="C2921">
        <v>29</v>
      </c>
      <c r="D2921" s="1">
        <f t="shared" si="360"/>
        <v>39445</v>
      </c>
      <c r="E2921">
        <v>0</v>
      </c>
      <c r="F2921">
        <f t="shared" si="366"/>
        <v>0</v>
      </c>
      <c r="G2921">
        <f t="shared" si="361"/>
        <v>0</v>
      </c>
      <c r="H2921">
        <f t="shared" si="367"/>
        <v>0</v>
      </c>
      <c r="I2921">
        <v>2920</v>
      </c>
      <c r="J2921">
        <f t="shared" si="362"/>
        <v>-3.4398060613605189E-2</v>
      </c>
      <c r="K2921">
        <f t="shared" si="363"/>
        <v>0.99940821160625992</v>
      </c>
      <c r="L2921">
        <f>VLOOKUP(D2921,[1]SOI!$A$1:$C$142,3)</f>
        <v>9.8000000000000007</v>
      </c>
      <c r="M2921" s="2">
        <f t="shared" si="364"/>
        <v>-100.44233699172715</v>
      </c>
      <c r="N2921">
        <f t="shared" si="365"/>
        <v>2918.2719778902788</v>
      </c>
      <c r="O2921" t="s">
        <v>8</v>
      </c>
    </row>
    <row r="2922" spans="1:15" x14ac:dyDescent="0.35">
      <c r="A2922">
        <v>2007</v>
      </c>
      <c r="B2922">
        <v>12</v>
      </c>
      <c r="C2922">
        <v>30</v>
      </c>
      <c r="D2922" s="1">
        <f t="shared" si="360"/>
        <v>39446</v>
      </c>
      <c r="E2922">
        <v>0</v>
      </c>
      <c r="F2922">
        <f t="shared" si="366"/>
        <v>0</v>
      </c>
      <c r="G2922">
        <f t="shared" si="361"/>
        <v>0</v>
      </c>
      <c r="H2922">
        <f t="shared" si="367"/>
        <v>0</v>
      </c>
      <c r="I2922">
        <v>2921</v>
      </c>
      <c r="J2922">
        <f t="shared" si="362"/>
        <v>-1.7201575418263625E-2</v>
      </c>
      <c r="K2922">
        <f t="shared" si="363"/>
        <v>0.99985204195577349</v>
      </c>
      <c r="L2922">
        <f>VLOOKUP(D2922,[1]SOI!$A$1:$C$142,3)</f>
        <v>9.8000000000000007</v>
      </c>
      <c r="M2922" s="2">
        <f t="shared" si="364"/>
        <v>-50.245801796748047</v>
      </c>
      <c r="N2922">
        <f t="shared" si="365"/>
        <v>2920.5678145528145</v>
      </c>
      <c r="O2922" t="s">
        <v>8</v>
      </c>
    </row>
    <row r="2923" spans="1:15" x14ac:dyDescent="0.35">
      <c r="A2923">
        <v>2007</v>
      </c>
      <c r="B2923">
        <v>12</v>
      </c>
      <c r="C2923">
        <v>31</v>
      </c>
      <c r="D2923" s="1">
        <f t="shared" si="360"/>
        <v>39447</v>
      </c>
      <c r="E2923">
        <v>0</v>
      </c>
      <c r="F2923">
        <f t="shared" si="366"/>
        <v>0</v>
      </c>
      <c r="G2923">
        <f t="shared" si="361"/>
        <v>0</v>
      </c>
      <c r="H2923">
        <f t="shared" si="367"/>
        <v>0</v>
      </c>
      <c r="I2923">
        <v>2922</v>
      </c>
      <c r="J2923">
        <f t="shared" si="362"/>
        <v>-1.960237527853792E-15</v>
      </c>
      <c r="K2923">
        <f t="shared" si="363"/>
        <v>1</v>
      </c>
      <c r="L2923">
        <f>VLOOKUP(D2923,[1]SOI!$A$1:$C$142,3)</f>
        <v>9.8000000000000007</v>
      </c>
      <c r="M2923" s="2">
        <f t="shared" si="364"/>
        <v>-5.7278140563887803E-12</v>
      </c>
      <c r="N2923">
        <f t="shared" si="365"/>
        <v>2922</v>
      </c>
      <c r="O2923" t="s">
        <v>8</v>
      </c>
    </row>
    <row r="2924" spans="1:15" x14ac:dyDescent="0.35">
      <c r="A2924">
        <v>2008</v>
      </c>
      <c r="B2924">
        <v>1</v>
      </c>
      <c r="C2924">
        <v>1</v>
      </c>
      <c r="D2924" s="1">
        <f t="shared" si="360"/>
        <v>39448</v>
      </c>
      <c r="E2924">
        <v>0</v>
      </c>
      <c r="F2924">
        <f t="shared" si="366"/>
        <v>0</v>
      </c>
      <c r="G2924">
        <f t="shared" si="361"/>
        <v>0</v>
      </c>
      <c r="H2924">
        <f t="shared" si="367"/>
        <v>0</v>
      </c>
      <c r="I2924">
        <v>2923</v>
      </c>
      <c r="J2924">
        <f t="shared" si="362"/>
        <v>1.7201575418259708E-2</v>
      </c>
      <c r="K2924">
        <f t="shared" si="363"/>
        <v>0.99985204195577349</v>
      </c>
      <c r="L2924">
        <f>VLOOKUP(D2924,[1]SOI!$A$1:$C$142,3)</f>
        <v>14.4</v>
      </c>
      <c r="M2924" s="2">
        <f t="shared" si="364"/>
        <v>50.280204947573125</v>
      </c>
      <c r="N2924">
        <f t="shared" si="365"/>
        <v>2922.5675186367257</v>
      </c>
      <c r="O2924" t="s">
        <v>8</v>
      </c>
    </row>
    <row r="2925" spans="1:15" x14ac:dyDescent="0.35">
      <c r="A2925">
        <v>2008</v>
      </c>
      <c r="B2925">
        <v>1</v>
      </c>
      <c r="C2925">
        <v>2</v>
      </c>
      <c r="D2925" s="1">
        <f t="shared" si="360"/>
        <v>39449</v>
      </c>
      <c r="E2925">
        <v>0</v>
      </c>
      <c r="F2925">
        <f t="shared" si="366"/>
        <v>0</v>
      </c>
      <c r="G2925">
        <f t="shared" si="361"/>
        <v>0</v>
      </c>
      <c r="H2925">
        <f t="shared" si="367"/>
        <v>0</v>
      </c>
      <c r="I2925">
        <v>2924</v>
      </c>
      <c r="J2925">
        <f t="shared" si="362"/>
        <v>3.4398060613608374E-2</v>
      </c>
      <c r="K2925">
        <f t="shared" si="363"/>
        <v>0.99940821160625981</v>
      </c>
      <c r="L2925">
        <f>VLOOKUP(D2925,[1]SOI!$A$1:$C$142,3)</f>
        <v>14.4</v>
      </c>
      <c r="M2925" s="2">
        <f t="shared" si="364"/>
        <v>100.57992923419089</v>
      </c>
      <c r="N2925">
        <f t="shared" si="365"/>
        <v>2922.2696107367037</v>
      </c>
      <c r="O2925" t="s">
        <v>8</v>
      </c>
    </row>
    <row r="2926" spans="1:15" x14ac:dyDescent="0.35">
      <c r="A2926">
        <v>2008</v>
      </c>
      <c r="B2926">
        <v>1</v>
      </c>
      <c r="C2926">
        <v>3</v>
      </c>
      <c r="D2926" s="1">
        <f t="shared" si="360"/>
        <v>39450</v>
      </c>
      <c r="E2926">
        <v>0</v>
      </c>
      <c r="F2926">
        <f t="shared" si="366"/>
        <v>0</v>
      </c>
      <c r="G2926">
        <f t="shared" si="361"/>
        <v>0</v>
      </c>
      <c r="H2926">
        <f t="shared" si="367"/>
        <v>0</v>
      </c>
      <c r="I2926">
        <v>2925</v>
      </c>
      <c r="J2926">
        <f t="shared" si="362"/>
        <v>5.1584366869409891E-2</v>
      </c>
      <c r="K2926">
        <f t="shared" si="363"/>
        <v>0.99866864028799973</v>
      </c>
      <c r="L2926">
        <f>VLOOKUP(D2926,[1]SOI!$A$1:$C$142,3)</f>
        <v>14.4</v>
      </c>
      <c r="M2926" s="2">
        <f t="shared" si="364"/>
        <v>150.88427309302392</v>
      </c>
      <c r="N2926">
        <f t="shared" si="365"/>
        <v>2921.1057728423993</v>
      </c>
      <c r="O2926" t="s">
        <v>8</v>
      </c>
    </row>
    <row r="2927" spans="1:15" x14ac:dyDescent="0.35">
      <c r="A2927">
        <v>2008</v>
      </c>
      <c r="B2927">
        <v>1</v>
      </c>
      <c r="C2927">
        <v>4</v>
      </c>
      <c r="D2927" s="1">
        <f t="shared" si="360"/>
        <v>39451</v>
      </c>
      <c r="E2927">
        <v>0</v>
      </c>
      <c r="F2927">
        <f t="shared" si="366"/>
        <v>0</v>
      </c>
      <c r="G2927">
        <f t="shared" si="361"/>
        <v>0</v>
      </c>
      <c r="H2927">
        <f t="shared" si="367"/>
        <v>0</v>
      </c>
      <c r="I2927">
        <v>2926</v>
      </c>
      <c r="J2927">
        <f t="shared" si="362"/>
        <v>6.8755408481142088E-2</v>
      </c>
      <c r="K2927">
        <f t="shared" si="363"/>
        <v>0.99763354685204486</v>
      </c>
      <c r="L2927">
        <f>VLOOKUP(D2927,[1]SOI!$A$1:$C$142,3)</f>
        <v>14.4</v>
      </c>
      <c r="M2927" s="2">
        <f t="shared" si="364"/>
        <v>201.17832521582176</v>
      </c>
      <c r="N2927">
        <f t="shared" si="365"/>
        <v>2919.0757580890831</v>
      </c>
      <c r="O2927" t="s">
        <v>8</v>
      </c>
    </row>
    <row r="2928" spans="1:15" x14ac:dyDescent="0.35">
      <c r="A2928">
        <v>2008</v>
      </c>
      <c r="B2928">
        <v>1</v>
      </c>
      <c r="C2928">
        <v>5</v>
      </c>
      <c r="D2928" s="1">
        <f t="shared" si="360"/>
        <v>39452</v>
      </c>
      <c r="E2928">
        <v>0</v>
      </c>
      <c r="F2928">
        <f t="shared" si="366"/>
        <v>0</v>
      </c>
      <c r="G2928">
        <f t="shared" si="361"/>
        <v>0</v>
      </c>
      <c r="H2928">
        <f t="shared" si="367"/>
        <v>0</v>
      </c>
      <c r="I2928">
        <v>2927</v>
      </c>
      <c r="J2928">
        <f t="shared" si="362"/>
        <v>8.5906104261329483E-2</v>
      </c>
      <c r="K2928">
        <f t="shared" si="363"/>
        <v>0.99630323759919681</v>
      </c>
      <c r="L2928">
        <f>VLOOKUP(D2928,[1]SOI!$A$1:$C$142,3)</f>
        <v>14.4</v>
      </c>
      <c r="M2928" s="2">
        <f t="shared" si="364"/>
        <v>251.44716717291141</v>
      </c>
      <c r="N2928">
        <f t="shared" si="365"/>
        <v>2916.1795764528492</v>
      </c>
      <c r="O2928" t="s">
        <v>8</v>
      </c>
    </row>
    <row r="2929" spans="1:15" x14ac:dyDescent="0.35">
      <c r="A2929">
        <v>2008</v>
      </c>
      <c r="B2929">
        <v>1</v>
      </c>
      <c r="C2929">
        <v>6</v>
      </c>
      <c r="D2929" s="1">
        <f t="shared" si="360"/>
        <v>39453</v>
      </c>
      <c r="E2929">
        <v>0</v>
      </c>
      <c r="F2929">
        <f t="shared" si="366"/>
        <v>0</v>
      </c>
      <c r="G2929">
        <f t="shared" si="361"/>
        <v>0</v>
      </c>
      <c r="H2929">
        <f t="shared" si="367"/>
        <v>0</v>
      </c>
      <c r="I2929">
        <v>2928</v>
      </c>
      <c r="J2929">
        <f t="shared" si="362"/>
        <v>0.10303137904317672</v>
      </c>
      <c r="K2929">
        <f t="shared" si="363"/>
        <v>0.99467810618936481</v>
      </c>
      <c r="L2929">
        <f>VLOOKUP(D2929,[1]SOI!$A$1:$C$142,3)</f>
        <v>14.4</v>
      </c>
      <c r="M2929" s="2">
        <f t="shared" si="364"/>
        <v>301.67587783842146</v>
      </c>
      <c r="N2929">
        <f t="shared" si="365"/>
        <v>2912.4174949224603</v>
      </c>
      <c r="O2929" t="s">
        <v>8</v>
      </c>
    </row>
    <row r="2930" spans="1:15" x14ac:dyDescent="0.35">
      <c r="A2930">
        <v>2008</v>
      </c>
      <c r="B2930">
        <v>1</v>
      </c>
      <c r="C2930">
        <v>7</v>
      </c>
      <c r="D2930" s="1">
        <f t="shared" si="360"/>
        <v>39454</v>
      </c>
      <c r="E2930">
        <v>0</v>
      </c>
      <c r="F2930">
        <f t="shared" si="366"/>
        <v>0</v>
      </c>
      <c r="G2930">
        <f t="shared" si="361"/>
        <v>0</v>
      </c>
      <c r="H2930">
        <f t="shared" si="367"/>
        <v>0</v>
      </c>
      <c r="I2930">
        <v>2929</v>
      </c>
      <c r="J2930">
        <f t="shared" si="362"/>
        <v>0.12012616518234957</v>
      </c>
      <c r="K2930">
        <f t="shared" si="363"/>
        <v>0.99275863352507943</v>
      </c>
      <c r="L2930">
        <f>VLOOKUP(D2930,[1]SOI!$A$1:$C$142,3)</f>
        <v>14.4</v>
      </c>
      <c r="M2930" s="2">
        <f t="shared" si="364"/>
        <v>351.8495378191019</v>
      </c>
      <c r="N2930">
        <f t="shared" si="365"/>
        <v>2907.7900375949575</v>
      </c>
      <c r="O2930" t="s">
        <v>8</v>
      </c>
    </row>
    <row r="2931" spans="1:15" x14ac:dyDescent="0.35">
      <c r="A2931">
        <v>2008</v>
      </c>
      <c r="B2931">
        <v>1</v>
      </c>
      <c r="C2931">
        <v>8</v>
      </c>
      <c r="D2931" s="1">
        <f t="shared" si="360"/>
        <v>39455</v>
      </c>
      <c r="E2931">
        <v>0</v>
      </c>
      <c r="F2931">
        <f t="shared" si="366"/>
        <v>0</v>
      </c>
      <c r="G2931">
        <f t="shared" si="361"/>
        <v>0</v>
      </c>
      <c r="H2931">
        <f t="shared" si="367"/>
        <v>0</v>
      </c>
      <c r="I2931">
        <v>2930</v>
      </c>
      <c r="J2931">
        <f t="shared" si="362"/>
        <v>0.13718540405660082</v>
      </c>
      <c r="K2931">
        <f t="shared" si="363"/>
        <v>0.99054538760918331</v>
      </c>
      <c r="L2931">
        <f>VLOOKUP(D2931,[1]SOI!$A$1:$C$142,3)</f>
        <v>14.4</v>
      </c>
      <c r="M2931" s="2">
        <f t="shared" si="364"/>
        <v>401.9532338858404</v>
      </c>
      <c r="N2931">
        <f t="shared" si="365"/>
        <v>2902.2979856949073</v>
      </c>
      <c r="O2931" t="s">
        <v>8</v>
      </c>
    </row>
    <row r="2932" spans="1:15" x14ac:dyDescent="0.35">
      <c r="A2932">
        <v>2008</v>
      </c>
      <c r="B2932">
        <v>1</v>
      </c>
      <c r="C2932">
        <v>9</v>
      </c>
      <c r="D2932" s="1">
        <f t="shared" si="360"/>
        <v>39456</v>
      </c>
      <c r="E2932">
        <v>0</v>
      </c>
      <c r="F2932">
        <f t="shared" si="366"/>
        <v>0</v>
      </c>
      <c r="G2932">
        <f t="shared" si="361"/>
        <v>0</v>
      </c>
      <c r="H2932">
        <f t="shared" si="367"/>
        <v>0</v>
      </c>
      <c r="I2932">
        <v>2931</v>
      </c>
      <c r="J2932">
        <f t="shared" si="362"/>
        <v>0.15420404756269077</v>
      </c>
      <c r="K2932">
        <f t="shared" si="363"/>
        <v>0.98803902337675076</v>
      </c>
      <c r="L2932">
        <f>VLOOKUP(D2932,[1]SOI!$A$1:$C$142,3)</f>
        <v>14.4</v>
      </c>
      <c r="M2932" s="2">
        <f t="shared" si="364"/>
        <v>451.97206340624666</v>
      </c>
      <c r="N2932">
        <f t="shared" si="365"/>
        <v>2895.9423775172563</v>
      </c>
      <c r="O2932" t="s">
        <v>8</v>
      </c>
    </row>
    <row r="2933" spans="1:15" x14ac:dyDescent="0.35">
      <c r="A2933">
        <v>2008</v>
      </c>
      <c r="B2933">
        <v>1</v>
      </c>
      <c r="C2933">
        <v>10</v>
      </c>
      <c r="D2933" s="1">
        <f t="shared" si="360"/>
        <v>39457</v>
      </c>
      <c r="E2933">
        <v>0</v>
      </c>
      <c r="F2933">
        <f t="shared" si="366"/>
        <v>0</v>
      </c>
      <c r="G2933">
        <f t="shared" si="361"/>
        <v>0</v>
      </c>
      <c r="H2933">
        <f t="shared" si="367"/>
        <v>0</v>
      </c>
      <c r="I2933">
        <v>2932</v>
      </c>
      <c r="J2933">
        <f t="shared" si="362"/>
        <v>0.17117705961019536</v>
      </c>
      <c r="K2933">
        <f t="shared" si="363"/>
        <v>0.98524028250128282</v>
      </c>
      <c r="L2933">
        <f>VLOOKUP(D2933,[1]SOI!$A$1:$C$142,3)</f>
        <v>14.4</v>
      </c>
      <c r="M2933" s="2">
        <f t="shared" si="364"/>
        <v>501.89113877709281</v>
      </c>
      <c r="N2933">
        <f t="shared" si="365"/>
        <v>2888.7245082937611</v>
      </c>
      <c r="O2933" t="s">
        <v>8</v>
      </c>
    </row>
    <row r="2934" spans="1:15" x14ac:dyDescent="0.35">
      <c r="A2934">
        <v>2008</v>
      </c>
      <c r="B2934">
        <v>1</v>
      </c>
      <c r="C2934">
        <v>11</v>
      </c>
      <c r="D2934" s="1">
        <f t="shared" si="360"/>
        <v>39458</v>
      </c>
      <c r="E2934">
        <v>0</v>
      </c>
      <c r="F2934">
        <f t="shared" si="366"/>
        <v>0</v>
      </c>
      <c r="G2934">
        <f t="shared" si="361"/>
        <v>0</v>
      </c>
      <c r="H2934">
        <f t="shared" si="367"/>
        <v>0</v>
      </c>
      <c r="I2934">
        <v>2933</v>
      </c>
      <c r="J2934">
        <f t="shared" si="362"/>
        <v>0.18809941761179425</v>
      </c>
      <c r="K2934">
        <f t="shared" si="363"/>
        <v>0.98214999317522977</v>
      </c>
      <c r="L2934">
        <f>VLOOKUP(D2934,[1]SOI!$A$1:$C$142,3)</f>
        <v>14.4</v>
      </c>
      <c r="M2934" s="2">
        <f t="shared" si="364"/>
        <v>551.69559185539254</v>
      </c>
      <c r="N2934">
        <f t="shared" si="365"/>
        <v>2880.6459299829489</v>
      </c>
      <c r="O2934" t="s">
        <v>8</v>
      </c>
    </row>
    <row r="2935" spans="1:15" x14ac:dyDescent="0.35">
      <c r="A2935">
        <v>2008</v>
      </c>
      <c r="B2935">
        <v>1</v>
      </c>
      <c r="C2935">
        <v>12</v>
      </c>
      <c r="D2935" s="1">
        <f t="shared" si="360"/>
        <v>39459</v>
      </c>
      <c r="E2935">
        <v>0</v>
      </c>
      <c r="F2935">
        <f t="shared" si="366"/>
        <v>0</v>
      </c>
      <c r="G2935">
        <f t="shared" si="361"/>
        <v>0</v>
      </c>
      <c r="H2935">
        <f t="shared" si="367"/>
        <v>0</v>
      </c>
      <c r="I2935">
        <v>2934</v>
      </c>
      <c r="J2935">
        <f t="shared" si="362"/>
        <v>0.20496611396949316</v>
      </c>
      <c r="K2935">
        <f t="shared" si="363"/>
        <v>0.97876906986492207</v>
      </c>
      <c r="L2935">
        <f>VLOOKUP(D2935,[1]SOI!$A$1:$C$142,3)</f>
        <v>14.4</v>
      </c>
      <c r="M2935" s="2">
        <f t="shared" si="364"/>
        <v>601.37057838649298</v>
      </c>
      <c r="N2935">
        <f t="shared" si="365"/>
        <v>2871.7084509836814</v>
      </c>
      <c r="O2935" t="s">
        <v>8</v>
      </c>
    </row>
    <row r="2936" spans="1:15" x14ac:dyDescent="0.35">
      <c r="A2936">
        <v>2008</v>
      </c>
      <c r="B2936">
        <v>1</v>
      </c>
      <c r="C2936">
        <v>13</v>
      </c>
      <c r="D2936" s="1">
        <f t="shared" si="360"/>
        <v>39460</v>
      </c>
      <c r="E2936">
        <v>0</v>
      </c>
      <c r="F2936">
        <f t="shared" si="366"/>
        <v>0</v>
      </c>
      <c r="G2936">
        <f t="shared" si="361"/>
        <v>0</v>
      </c>
      <c r="H2936">
        <f t="shared" si="367"/>
        <v>0</v>
      </c>
      <c r="I2936">
        <v>2935</v>
      </c>
      <c r="J2936">
        <f t="shared" si="362"/>
        <v>0.2217721575564808</v>
      </c>
      <c r="K2936">
        <f t="shared" si="363"/>
        <v>0.9750985130399612</v>
      </c>
      <c r="L2936">
        <f>VLOOKUP(D2936,[1]SOI!$A$1:$C$142,3)</f>
        <v>14.4</v>
      </c>
      <c r="M2936" s="2">
        <f t="shared" si="364"/>
        <v>650.9012824282712</v>
      </c>
      <c r="N2936">
        <f t="shared" si="365"/>
        <v>2861.914135772286</v>
      </c>
      <c r="O2936" t="s">
        <v>8</v>
      </c>
    </row>
    <row r="2937" spans="1:15" x14ac:dyDescent="0.35">
      <c r="A2937">
        <v>2008</v>
      </c>
      <c r="B2937">
        <v>1</v>
      </c>
      <c r="C2937">
        <v>14</v>
      </c>
      <c r="D2937" s="1">
        <f t="shared" si="360"/>
        <v>39461</v>
      </c>
      <c r="E2937">
        <v>0</v>
      </c>
      <c r="F2937">
        <f t="shared" si="366"/>
        <v>0</v>
      </c>
      <c r="G2937">
        <f t="shared" si="361"/>
        <v>0</v>
      </c>
      <c r="H2937">
        <f t="shared" si="367"/>
        <v>0</v>
      </c>
      <c r="I2937">
        <v>2936</v>
      </c>
      <c r="J2937">
        <f t="shared" si="362"/>
        <v>0.23851257519407656</v>
      </c>
      <c r="K2937">
        <f t="shared" si="363"/>
        <v>0.97113940887716521</v>
      </c>
      <c r="L2937">
        <f>VLOOKUP(D2937,[1]SOI!$A$1:$C$142,3)</f>
        <v>14.4</v>
      </c>
      <c r="M2937" s="2">
        <f t="shared" si="364"/>
        <v>700.27292076980882</v>
      </c>
      <c r="N2937">
        <f t="shared" si="365"/>
        <v>2851.2653044633571</v>
      </c>
      <c r="O2937" t="s">
        <v>8</v>
      </c>
    </row>
    <row r="2938" spans="1:15" x14ac:dyDescent="0.35">
      <c r="A2938">
        <v>2008</v>
      </c>
      <c r="B2938">
        <v>1</v>
      </c>
      <c r="C2938">
        <v>15</v>
      </c>
      <c r="D2938" s="1">
        <f t="shared" si="360"/>
        <v>39462</v>
      </c>
      <c r="E2938">
        <v>0</v>
      </c>
      <c r="F2938">
        <f t="shared" si="366"/>
        <v>0</v>
      </c>
      <c r="G2938">
        <f t="shared" si="361"/>
        <v>0</v>
      </c>
      <c r="H2938">
        <f t="shared" si="367"/>
        <v>0</v>
      </c>
      <c r="I2938">
        <v>2937</v>
      </c>
      <c r="J2938">
        <f t="shared" si="362"/>
        <v>0.25518241312337403</v>
      </c>
      <c r="K2938">
        <f t="shared" si="363"/>
        <v>0.9668929289391518</v>
      </c>
      <c r="L2938">
        <f>VLOOKUP(D2938,[1]SOI!$A$1:$C$142,3)</f>
        <v>14.4</v>
      </c>
      <c r="M2938" s="2">
        <f t="shared" si="364"/>
        <v>749.47074734334956</v>
      </c>
      <c r="N2938">
        <f t="shared" si="365"/>
        <v>2839.764532294289</v>
      </c>
      <c r="O2938" t="s">
        <v>8</v>
      </c>
    </row>
    <row r="2939" spans="1:15" x14ac:dyDescent="0.35">
      <c r="A2939">
        <v>2008</v>
      </c>
      <c r="B2939">
        <v>1</v>
      </c>
      <c r="C2939">
        <v>16</v>
      </c>
      <c r="D2939" s="1">
        <f t="shared" si="360"/>
        <v>39463</v>
      </c>
      <c r="E2939">
        <v>0</v>
      </c>
      <c r="F2939">
        <f t="shared" si="366"/>
        <v>0</v>
      </c>
      <c r="G2939">
        <f t="shared" si="361"/>
        <v>0</v>
      </c>
      <c r="H2939">
        <f t="shared" si="367"/>
        <v>0</v>
      </c>
      <c r="I2939">
        <v>2938</v>
      </c>
      <c r="J2939">
        <f t="shared" si="362"/>
        <v>0.27177673847113121</v>
      </c>
      <c r="K2939">
        <f t="shared" si="363"/>
        <v>0.96236032982765574</v>
      </c>
      <c r="L2939">
        <f>VLOOKUP(D2939,[1]SOI!$A$1:$C$142,3)</f>
        <v>14.4</v>
      </c>
      <c r="M2939" s="2">
        <f t="shared" si="364"/>
        <v>798.48005762818343</v>
      </c>
      <c r="N2939">
        <f t="shared" si="365"/>
        <v>2827.4146490336525</v>
      </c>
      <c r="O2939" t="s">
        <v>8</v>
      </c>
    </row>
    <row r="2940" spans="1:15" x14ac:dyDescent="0.35">
      <c r="A2940">
        <v>2008</v>
      </c>
      <c r="B2940">
        <v>1</v>
      </c>
      <c r="C2940">
        <v>17</v>
      </c>
      <c r="D2940" s="1">
        <f t="shared" si="360"/>
        <v>39464</v>
      </c>
      <c r="E2940">
        <v>0</v>
      </c>
      <c r="F2940">
        <f t="shared" si="366"/>
        <v>0</v>
      </c>
      <c r="G2940">
        <f t="shared" si="361"/>
        <v>0</v>
      </c>
      <c r="H2940">
        <f t="shared" si="367"/>
        <v>0</v>
      </c>
      <c r="I2940">
        <v>2939</v>
      </c>
      <c r="J2940">
        <f t="shared" si="362"/>
        <v>0.28829064070951432</v>
      </c>
      <c r="K2940">
        <f t="shared" si="363"/>
        <v>0.9575429528116729</v>
      </c>
      <c r="L2940">
        <f>VLOOKUP(D2940,[1]SOI!$A$1:$C$142,3)</f>
        <v>14.4</v>
      </c>
      <c r="M2940" s="2">
        <f t="shared" si="364"/>
        <v>847.28619304526262</v>
      </c>
      <c r="N2940">
        <f t="shared" si="365"/>
        <v>2814.2187383135065</v>
      </c>
      <c r="O2940" t="s">
        <v>8</v>
      </c>
    </row>
    <row r="2941" spans="1:15" x14ac:dyDescent="0.35">
      <c r="A2941">
        <v>2008</v>
      </c>
      <c r="B2941">
        <v>1</v>
      </c>
      <c r="C2941">
        <v>18</v>
      </c>
      <c r="D2941" s="1">
        <f t="shared" si="360"/>
        <v>39465</v>
      </c>
      <c r="E2941">
        <v>0</v>
      </c>
      <c r="F2941">
        <f t="shared" si="366"/>
        <v>0</v>
      </c>
      <c r="G2941">
        <f t="shared" si="361"/>
        <v>0</v>
      </c>
      <c r="H2941">
        <f t="shared" si="367"/>
        <v>0</v>
      </c>
      <c r="I2941">
        <v>2940</v>
      </c>
      <c r="J2941">
        <f t="shared" si="362"/>
        <v>0.30471923310916116</v>
      </c>
      <c r="K2941">
        <f t="shared" si="363"/>
        <v>0.95244222343056839</v>
      </c>
      <c r="L2941">
        <f>VLOOKUP(D2941,[1]SOI!$A$1:$C$142,3)</f>
        <v>14.4</v>
      </c>
      <c r="M2941" s="2">
        <f t="shared" si="364"/>
        <v>895.87454534093376</v>
      </c>
      <c r="N2941">
        <f t="shared" si="365"/>
        <v>2800.180136885871</v>
      </c>
      <c r="O2941" t="s">
        <v>8</v>
      </c>
    </row>
    <row r="2942" spans="1:15" x14ac:dyDescent="0.35">
      <c r="A2942">
        <v>2008</v>
      </c>
      <c r="B2942">
        <v>1</v>
      </c>
      <c r="C2942">
        <v>19</v>
      </c>
      <c r="D2942" s="1">
        <f t="shared" si="360"/>
        <v>39466</v>
      </c>
      <c r="E2942">
        <v>0.6</v>
      </c>
      <c r="F2942">
        <f t="shared" si="366"/>
        <v>0</v>
      </c>
      <c r="G2942">
        <f t="shared" si="361"/>
        <v>1</v>
      </c>
      <c r="H2942">
        <f t="shared" si="367"/>
        <v>0</v>
      </c>
      <c r="I2942">
        <v>2941</v>
      </c>
      <c r="J2942">
        <f t="shared" si="362"/>
        <v>0.32105765418526983</v>
      </c>
      <c r="K2942">
        <f t="shared" si="363"/>
        <v>0.94705965107222878</v>
      </c>
      <c r="L2942">
        <f>VLOOKUP(D2942,[1]SOI!$A$1:$C$142,3)</f>
        <v>14.4</v>
      </c>
      <c r="M2942" s="2">
        <f t="shared" si="364"/>
        <v>944.23056095887853</v>
      </c>
      <c r="N2942">
        <f t="shared" si="365"/>
        <v>2785.3024338034247</v>
      </c>
      <c r="O2942" t="s">
        <v>8</v>
      </c>
    </row>
    <row r="2943" spans="1:15" x14ac:dyDescent="0.35">
      <c r="A2943">
        <v>2008</v>
      </c>
      <c r="B2943">
        <v>1</v>
      </c>
      <c r="C2943">
        <v>20</v>
      </c>
      <c r="D2943" s="1">
        <f t="shared" si="360"/>
        <v>39467</v>
      </c>
      <c r="E2943">
        <v>29.6</v>
      </c>
      <c r="F2943">
        <f t="shared" si="366"/>
        <v>0.6</v>
      </c>
      <c r="G2943">
        <f t="shared" si="361"/>
        <v>1</v>
      </c>
      <c r="H2943">
        <f t="shared" si="367"/>
        <v>1</v>
      </c>
      <c r="I2943">
        <v>2942</v>
      </c>
      <c r="J2943">
        <f t="shared" si="362"/>
        <v>0.33730106913618418</v>
      </c>
      <c r="K2943">
        <f t="shared" si="363"/>
        <v>0.94139682852641215</v>
      </c>
      <c r="L2943">
        <f>VLOOKUP(D2943,[1]SOI!$A$1:$C$142,3)</f>
        <v>14.4</v>
      </c>
      <c r="M2943" s="2">
        <f t="shared" si="364"/>
        <v>992.33974539865392</v>
      </c>
      <c r="N2943">
        <f t="shared" si="365"/>
        <v>2769.5894695247048</v>
      </c>
      <c r="O2943" t="s">
        <v>8</v>
      </c>
    </row>
    <row r="2944" spans="1:15" x14ac:dyDescent="0.35">
      <c r="A2944">
        <v>2008</v>
      </c>
      <c r="B2944">
        <v>1</v>
      </c>
      <c r="C2944">
        <v>21</v>
      </c>
      <c r="D2944" s="1">
        <f t="shared" si="360"/>
        <v>39468</v>
      </c>
      <c r="E2944">
        <v>0.4</v>
      </c>
      <c r="F2944">
        <f t="shared" si="366"/>
        <v>29.6</v>
      </c>
      <c r="G2944">
        <f t="shared" si="361"/>
        <v>1</v>
      </c>
      <c r="H2944">
        <f t="shared" si="367"/>
        <v>1</v>
      </c>
      <c r="I2944">
        <v>2943</v>
      </c>
      <c r="J2944">
        <f t="shared" si="362"/>
        <v>0.35344467127408208</v>
      </c>
      <c r="K2944">
        <f t="shared" si="363"/>
        <v>0.93545543151341859</v>
      </c>
      <c r="L2944">
        <f>VLOOKUP(D2944,[1]SOI!$A$1:$C$142,3)</f>
        <v>14.4</v>
      </c>
      <c r="M2944" s="2">
        <f t="shared" si="364"/>
        <v>1040.1876675596236</v>
      </c>
      <c r="N2944">
        <f t="shared" si="365"/>
        <v>2753.0453349439908</v>
      </c>
      <c r="O2944" t="s">
        <v>8</v>
      </c>
    </row>
    <row r="2945" spans="1:15" x14ac:dyDescent="0.35">
      <c r="A2945">
        <v>2008</v>
      </c>
      <c r="B2945">
        <v>1</v>
      </c>
      <c r="C2945">
        <v>22</v>
      </c>
      <c r="D2945" s="1">
        <f t="shared" si="360"/>
        <v>39469</v>
      </c>
      <c r="E2945">
        <v>0</v>
      </c>
      <c r="F2945">
        <f t="shared" si="366"/>
        <v>0.4</v>
      </c>
      <c r="G2945">
        <f t="shared" si="361"/>
        <v>0</v>
      </c>
      <c r="H2945">
        <f t="shared" si="367"/>
        <v>1</v>
      </c>
      <c r="I2945">
        <v>2944</v>
      </c>
      <c r="J2945">
        <f t="shared" si="362"/>
        <v>0.36948368344737864</v>
      </c>
      <c r="K2945">
        <f t="shared" si="363"/>
        <v>0.92923721818820693</v>
      </c>
      <c r="L2945">
        <f>VLOOKUP(D2945,[1]SOI!$A$1:$C$142,3)</f>
        <v>14.4</v>
      </c>
      <c r="M2945" s="2">
        <f t="shared" si="364"/>
        <v>1087.7599640690828</v>
      </c>
      <c r="N2945">
        <f t="shared" si="365"/>
        <v>2735.6743703460811</v>
      </c>
      <c r="O2945" t="s">
        <v>8</v>
      </c>
    </row>
    <row r="2946" spans="1:15" x14ac:dyDescent="0.35">
      <c r="A2946">
        <v>2008</v>
      </c>
      <c r="B2946">
        <v>1</v>
      </c>
      <c r="C2946">
        <v>23</v>
      </c>
      <c r="D2946" s="1">
        <f t="shared" si="360"/>
        <v>39470</v>
      </c>
      <c r="E2946">
        <v>0</v>
      </c>
      <c r="F2946">
        <f t="shared" si="366"/>
        <v>0</v>
      </c>
      <c r="G2946">
        <f t="shared" si="361"/>
        <v>0</v>
      </c>
      <c r="H2946">
        <f t="shared" si="367"/>
        <v>0</v>
      </c>
      <c r="I2946">
        <v>2945</v>
      </c>
      <c r="J2946">
        <f t="shared" si="362"/>
        <v>0.38541335945432226</v>
      </c>
      <c r="K2946">
        <f t="shared" si="363"/>
        <v>0.92274402862014415</v>
      </c>
      <c r="L2946">
        <f>VLOOKUP(D2946,[1]SOI!$A$1:$C$142,3)</f>
        <v>14.4</v>
      </c>
      <c r="M2946" s="2">
        <f t="shared" si="364"/>
        <v>1135.042343592979</v>
      </c>
      <c r="N2946">
        <f t="shared" si="365"/>
        <v>2717.4811642863247</v>
      </c>
      <c r="O2946" t="s">
        <v>8</v>
      </c>
    </row>
    <row r="2947" spans="1:15" x14ac:dyDescent="0.35">
      <c r="A2947">
        <v>2008</v>
      </c>
      <c r="B2947">
        <v>1</v>
      </c>
      <c r="C2947">
        <v>24</v>
      </c>
      <c r="D2947" s="1">
        <f t="shared" ref="D2947:D3010" si="368">DATE(A2947,B2947,C2947)</f>
        <v>39471</v>
      </c>
      <c r="E2947">
        <v>0</v>
      </c>
      <c r="F2947">
        <f t="shared" si="366"/>
        <v>0</v>
      </c>
      <c r="G2947">
        <f t="shared" ref="G2947:G3010" si="369">IF(E2947=0,0,1)</f>
        <v>0</v>
      </c>
      <c r="H2947">
        <f t="shared" si="367"/>
        <v>0</v>
      </c>
      <c r="I2947">
        <v>2946</v>
      </c>
      <c r="J2947">
        <f t="shared" ref="J2947:J3010" si="370">SIN(2*PI()*I2947/365.25)</f>
        <v>0.40122898544749869</v>
      </c>
      <c r="K2947">
        <f t="shared" ref="K2947:K3010" si="371">COS(2*PI()*I2947/365.25)</f>
        <v>0.91597778424848875</v>
      </c>
      <c r="L2947">
        <f>VLOOKUP(D2947,[1]SOI!$A$1:$C$142,3)</f>
        <v>14.4</v>
      </c>
      <c r="M2947" s="2">
        <f t="shared" ref="M2947:M3010" si="372">I2947*J2947</f>
        <v>1182.020591128331</v>
      </c>
      <c r="N2947">
        <f t="shared" ref="N2947:N3010" si="373">I2947*K2947</f>
        <v>2698.4705523960479</v>
      </c>
      <c r="O2947" t="s">
        <v>8</v>
      </c>
    </row>
    <row r="2948" spans="1:15" x14ac:dyDescent="0.35">
      <c r="A2948">
        <v>2008</v>
      </c>
      <c r="B2948">
        <v>1</v>
      </c>
      <c r="C2948">
        <v>25</v>
      </c>
      <c r="D2948" s="1">
        <f t="shared" si="368"/>
        <v>39472</v>
      </c>
      <c r="E2948">
        <v>0</v>
      </c>
      <c r="F2948">
        <f t="shared" ref="F2948:F3011" si="374">E2947</f>
        <v>0</v>
      </c>
      <c r="G2948">
        <f t="shared" si="369"/>
        <v>0</v>
      </c>
      <c r="H2948">
        <f t="shared" ref="H2948:H3011" si="375">G2947</f>
        <v>0</v>
      </c>
      <c r="I2948">
        <v>2947</v>
      </c>
      <c r="J2948">
        <f t="shared" si="370"/>
        <v>0.41692588132872749</v>
      </c>
      <c r="K2948">
        <f t="shared" si="371"/>
        <v>0.90894048731380861</v>
      </c>
      <c r="L2948">
        <f>VLOOKUP(D2948,[1]SOI!$A$1:$C$142,3)</f>
        <v>14.4</v>
      </c>
      <c r="M2948" s="2">
        <f t="shared" si="372"/>
        <v>1228.6805722757599</v>
      </c>
      <c r="N2948">
        <f t="shared" si="373"/>
        <v>2678.6476161137939</v>
      </c>
      <c r="O2948" t="s">
        <v>8</v>
      </c>
    </row>
    <row r="2949" spans="1:15" x14ac:dyDescent="0.35">
      <c r="A2949">
        <v>2008</v>
      </c>
      <c r="B2949">
        <v>1</v>
      </c>
      <c r="C2949">
        <v>26</v>
      </c>
      <c r="D2949" s="1">
        <f t="shared" si="368"/>
        <v>39473</v>
      </c>
      <c r="E2949">
        <v>0</v>
      </c>
      <c r="F2949">
        <f t="shared" si="374"/>
        <v>0</v>
      </c>
      <c r="G2949">
        <f t="shared" si="369"/>
        <v>0</v>
      </c>
      <c r="H2949">
        <f t="shared" si="375"/>
        <v>0</v>
      </c>
      <c r="I2949">
        <v>2948</v>
      </c>
      <c r="J2949">
        <f t="shared" si="370"/>
        <v>0.43249940213397864</v>
      </c>
      <c r="K2949">
        <f t="shared" si="371"/>
        <v>0.90163422026548601</v>
      </c>
      <c r="L2949">
        <f>VLOOKUP(D2949,[1]SOI!$A$1:$C$142,3)</f>
        <v>14.4</v>
      </c>
      <c r="M2949" s="2">
        <f t="shared" si="372"/>
        <v>1275.0082374909691</v>
      </c>
      <c r="N2949">
        <f t="shared" si="373"/>
        <v>2658.0176813426528</v>
      </c>
      <c r="O2949" t="s">
        <v>8</v>
      </c>
    </row>
    <row r="2950" spans="1:15" x14ac:dyDescent="0.35">
      <c r="A2950">
        <v>2008</v>
      </c>
      <c r="B2950">
        <v>1</v>
      </c>
      <c r="C2950">
        <v>27</v>
      </c>
      <c r="D2950" s="1">
        <f t="shared" si="368"/>
        <v>39474</v>
      </c>
      <c r="E2950">
        <v>0</v>
      </c>
      <c r="F2950">
        <f t="shared" si="374"/>
        <v>0</v>
      </c>
      <c r="G2950">
        <f t="shared" si="369"/>
        <v>0</v>
      </c>
      <c r="H2950">
        <f t="shared" si="375"/>
        <v>0</v>
      </c>
      <c r="I2950">
        <v>2949</v>
      </c>
      <c r="J2950">
        <f t="shared" si="370"/>
        <v>0.44794493940788571</v>
      </c>
      <c r="K2950">
        <f t="shared" si="371"/>
        <v>0.8940611451454904</v>
      </c>
      <c r="L2950">
        <f>VLOOKUP(D2950,[1]SOI!$A$1:$C$142,3)</f>
        <v>14.4</v>
      </c>
      <c r="M2950" s="2">
        <f t="shared" si="372"/>
        <v>1320.9896263138551</v>
      </c>
      <c r="N2950">
        <f t="shared" si="373"/>
        <v>2636.5863170340513</v>
      </c>
      <c r="O2950" t="s">
        <v>8</v>
      </c>
    </row>
    <row r="2951" spans="1:15" x14ac:dyDescent="0.35">
      <c r="A2951">
        <v>2008</v>
      </c>
      <c r="B2951">
        <v>1</v>
      </c>
      <c r="C2951">
        <v>28</v>
      </c>
      <c r="D2951" s="1">
        <f t="shared" si="368"/>
        <v>39475</v>
      </c>
      <c r="E2951">
        <v>0</v>
      </c>
      <c r="F2951">
        <f t="shared" si="374"/>
        <v>0</v>
      </c>
      <c r="G2951">
        <f t="shared" si="369"/>
        <v>0</v>
      </c>
      <c r="H2951">
        <f t="shared" si="375"/>
        <v>0</v>
      </c>
      <c r="I2951">
        <v>2950</v>
      </c>
      <c r="J2951">
        <f t="shared" si="370"/>
        <v>0.46325792256748732</v>
      </c>
      <c r="K2951">
        <f t="shared" si="371"/>
        <v>0.88622350294858232</v>
      </c>
      <c r="L2951">
        <f>VLOOKUP(D2951,[1]SOI!$A$1:$C$142,3)</f>
        <v>14.4</v>
      </c>
      <c r="M2951" s="2">
        <f t="shared" si="372"/>
        <v>1366.6108715740877</v>
      </c>
      <c r="N2951">
        <f t="shared" si="373"/>
        <v>2614.3593336983176</v>
      </c>
      <c r="O2951" t="s">
        <v>8</v>
      </c>
    </row>
    <row r="2952" spans="1:15" x14ac:dyDescent="0.35">
      <c r="A2952">
        <v>2008</v>
      </c>
      <c r="B2952">
        <v>1</v>
      </c>
      <c r="C2952">
        <v>29</v>
      </c>
      <c r="D2952" s="1">
        <f t="shared" si="368"/>
        <v>39476</v>
      </c>
      <c r="E2952">
        <v>0</v>
      </c>
      <c r="F2952">
        <f t="shared" si="374"/>
        <v>0</v>
      </c>
      <c r="G2952">
        <f t="shared" si="369"/>
        <v>0</v>
      </c>
      <c r="H2952">
        <f t="shared" si="375"/>
        <v>0</v>
      </c>
      <c r="I2952">
        <v>2951</v>
      </c>
      <c r="J2952">
        <f t="shared" si="370"/>
        <v>0.47843382025469788</v>
      </c>
      <c r="K2952">
        <f t="shared" si="371"/>
        <v>0.87812361295918662</v>
      </c>
      <c r="L2952">
        <f>VLOOKUP(D2952,[1]SOI!$A$1:$C$142,3)</f>
        <v>14.4</v>
      </c>
      <c r="M2952" s="2">
        <f t="shared" si="372"/>
        <v>1411.8582035716136</v>
      </c>
      <c r="N2952">
        <f t="shared" si="373"/>
        <v>2591.3427818425598</v>
      </c>
      <c r="O2952" t="s">
        <v>8</v>
      </c>
    </row>
    <row r="2953" spans="1:15" x14ac:dyDescent="0.35">
      <c r="A2953">
        <v>2008</v>
      </c>
      <c r="B2953">
        <v>1</v>
      </c>
      <c r="C2953">
        <v>30</v>
      </c>
      <c r="D2953" s="1">
        <f t="shared" si="368"/>
        <v>39477</v>
      </c>
      <c r="E2953">
        <v>0</v>
      </c>
      <c r="F2953">
        <f t="shared" si="374"/>
        <v>0</v>
      </c>
      <c r="G2953">
        <f t="shared" si="369"/>
        <v>0</v>
      </c>
      <c r="H2953">
        <f t="shared" si="375"/>
        <v>0</v>
      </c>
      <c r="I2953">
        <v>2952</v>
      </c>
      <c r="J2953">
        <f t="shared" si="370"/>
        <v>0.49346814167723507</v>
      </c>
      <c r="K2953">
        <f t="shared" si="371"/>
        <v>0.86976387206506589</v>
      </c>
      <c r="L2953">
        <f>VLOOKUP(D2953,[1]SOI!$A$1:$C$142,3)</f>
        <v>14.4</v>
      </c>
      <c r="M2953" s="2">
        <f t="shared" si="372"/>
        <v>1456.7179542311978</v>
      </c>
      <c r="N2953">
        <f t="shared" si="373"/>
        <v>2567.5429503360747</v>
      </c>
      <c r="O2953" t="s">
        <v>8</v>
      </c>
    </row>
    <row r="2954" spans="1:15" x14ac:dyDescent="0.35">
      <c r="A2954">
        <v>2008</v>
      </c>
      <c r="B2954">
        <v>1</v>
      </c>
      <c r="C2954">
        <v>31</v>
      </c>
      <c r="D2954" s="1">
        <f t="shared" si="368"/>
        <v>39478</v>
      </c>
      <c r="E2954">
        <v>2.2000000000000002</v>
      </c>
      <c r="F2954">
        <f t="shared" si="374"/>
        <v>0</v>
      </c>
      <c r="G2954">
        <f t="shared" si="369"/>
        <v>1</v>
      </c>
      <c r="H2954">
        <f t="shared" si="375"/>
        <v>0</v>
      </c>
      <c r="I2954">
        <v>2953</v>
      </c>
      <c r="J2954">
        <f t="shared" si="370"/>
        <v>0.50835643793751095</v>
      </c>
      <c r="K2954">
        <f t="shared" si="371"/>
        <v>0.86114675404804586</v>
      </c>
      <c r="L2954">
        <f>VLOOKUP(D2954,[1]SOI!$A$1:$C$142,3)</f>
        <v>14.4</v>
      </c>
      <c r="M2954" s="2">
        <f t="shared" si="372"/>
        <v>1501.1765612294698</v>
      </c>
      <c r="N2954">
        <f t="shared" si="373"/>
        <v>2542.9663647038792</v>
      </c>
      <c r="O2954" t="s">
        <v>8</v>
      </c>
    </row>
    <row r="2955" spans="1:15" x14ac:dyDescent="0.35">
      <c r="A2955">
        <v>2008</v>
      </c>
      <c r="B2955">
        <v>2</v>
      </c>
      <c r="C2955">
        <v>1</v>
      </c>
      <c r="D2955" s="1">
        <f t="shared" si="368"/>
        <v>39479</v>
      </c>
      <c r="E2955">
        <v>5.2</v>
      </c>
      <c r="F2955">
        <f t="shared" si="374"/>
        <v>2.2000000000000002</v>
      </c>
      <c r="G2955">
        <f t="shared" si="369"/>
        <v>1</v>
      </c>
      <c r="H2955">
        <f t="shared" si="375"/>
        <v>1</v>
      </c>
      <c r="I2955">
        <v>2954</v>
      </c>
      <c r="J2955">
        <f t="shared" si="370"/>
        <v>0.52309430334912643</v>
      </c>
      <c r="K2955">
        <f t="shared" si="371"/>
        <v>0.8522748088519877</v>
      </c>
      <c r="L2955">
        <f>VLOOKUP(D2955,[1]SOI!$A$1:$C$142,3)</f>
        <v>14.1</v>
      </c>
      <c r="M2955" s="2">
        <f t="shared" si="372"/>
        <v>1545.2205720933196</v>
      </c>
      <c r="N2955">
        <f t="shared" si="373"/>
        <v>2517.6197853487715</v>
      </c>
      <c r="O2955" t="s">
        <v>8</v>
      </c>
    </row>
    <row r="2956" spans="1:15" x14ac:dyDescent="0.35">
      <c r="A2956">
        <v>2008</v>
      </c>
      <c r="B2956">
        <v>2</v>
      </c>
      <c r="C2956">
        <v>2</v>
      </c>
      <c r="D2956" s="1">
        <f t="shared" si="368"/>
        <v>39480</v>
      </c>
      <c r="E2956">
        <v>0</v>
      </c>
      <c r="F2956">
        <f t="shared" si="374"/>
        <v>5.2</v>
      </c>
      <c r="G2956">
        <f t="shared" si="369"/>
        <v>0</v>
      </c>
      <c r="H2956">
        <f t="shared" si="375"/>
        <v>1</v>
      </c>
      <c r="I2956">
        <v>2955</v>
      </c>
      <c r="J2956">
        <f t="shared" si="370"/>
        <v>0.53767737674060889</v>
      </c>
      <c r="K2956">
        <f t="shared" si="371"/>
        <v>0.84315066182820342</v>
      </c>
      <c r="L2956">
        <f>VLOOKUP(D2956,[1]SOI!$A$1:$C$142,3)</f>
        <v>14.1</v>
      </c>
      <c r="M2956" s="2">
        <f t="shared" si="372"/>
        <v>1588.8366482684992</v>
      </c>
      <c r="N2956">
        <f t="shared" si="373"/>
        <v>2491.510205702341</v>
      </c>
      <c r="O2956" t="s">
        <v>8</v>
      </c>
    </row>
    <row r="2957" spans="1:15" x14ac:dyDescent="0.35">
      <c r="A2957">
        <v>2008</v>
      </c>
      <c r="B2957">
        <v>2</v>
      </c>
      <c r="C2957">
        <v>3</v>
      </c>
      <c r="D2957" s="1">
        <f t="shared" si="368"/>
        <v>39481</v>
      </c>
      <c r="E2957">
        <v>0</v>
      </c>
      <c r="F2957">
        <f t="shared" si="374"/>
        <v>0</v>
      </c>
      <c r="G2957">
        <f t="shared" si="369"/>
        <v>0</v>
      </c>
      <c r="H2957">
        <f t="shared" si="375"/>
        <v>0</v>
      </c>
      <c r="I2957">
        <v>2956</v>
      </c>
      <c r="J2957">
        <f t="shared" si="370"/>
        <v>0.5521013427459166</v>
      </c>
      <c r="K2957">
        <f t="shared" si="371"/>
        <v>0.8337770129585943</v>
      </c>
      <c r="L2957">
        <f>VLOOKUP(D2957,[1]SOI!$A$1:$C$142,3)</f>
        <v>14.1</v>
      </c>
      <c r="M2957" s="2">
        <f t="shared" si="372"/>
        <v>1632.0115691569295</v>
      </c>
      <c r="N2957">
        <f t="shared" si="373"/>
        <v>2464.6448503056049</v>
      </c>
      <c r="O2957" t="s">
        <v>8</v>
      </c>
    </row>
    <row r="2958" spans="1:15" x14ac:dyDescent="0.35">
      <c r="A2958">
        <v>2008</v>
      </c>
      <c r="B2958">
        <v>2</v>
      </c>
      <c r="C2958">
        <v>4</v>
      </c>
      <c r="D2958" s="1">
        <f t="shared" si="368"/>
        <v>39482</v>
      </c>
      <c r="E2958">
        <v>0</v>
      </c>
      <c r="F2958">
        <f t="shared" si="374"/>
        <v>0</v>
      </c>
      <c r="G2958">
        <f t="shared" si="369"/>
        <v>0</v>
      </c>
      <c r="H2958">
        <f t="shared" si="375"/>
        <v>0</v>
      </c>
      <c r="I2958">
        <v>2957</v>
      </c>
      <c r="J2958">
        <f t="shared" si="370"/>
        <v>0.56636193308144922</v>
      </c>
      <c r="K2958">
        <f t="shared" si="371"/>
        <v>0.82415663605666856</v>
      </c>
      <c r="L2958">
        <f>VLOOKUP(D2958,[1]SOI!$A$1:$C$142,3)</f>
        <v>14.1</v>
      </c>
      <c r="M2958" s="2">
        <f t="shared" si="372"/>
        <v>1674.7322361218453</v>
      </c>
      <c r="N2958">
        <f t="shared" si="373"/>
        <v>2437.0311728195688</v>
      </c>
      <c r="O2958" t="s">
        <v>8</v>
      </c>
    </row>
    <row r="2959" spans="1:15" x14ac:dyDescent="0.35">
      <c r="A2959">
        <v>2008</v>
      </c>
      <c r="B2959">
        <v>2</v>
      </c>
      <c r="C2959">
        <v>5</v>
      </c>
      <c r="D2959" s="1">
        <f t="shared" si="368"/>
        <v>39483</v>
      </c>
      <c r="E2959">
        <v>0</v>
      </c>
      <c r="F2959">
        <f t="shared" si="374"/>
        <v>0</v>
      </c>
      <c r="G2959">
        <f t="shared" si="369"/>
        <v>0</v>
      </c>
      <c r="H2959">
        <f t="shared" si="375"/>
        <v>0</v>
      </c>
      <c r="I2959">
        <v>2958</v>
      </c>
      <c r="J2959">
        <f t="shared" si="370"/>
        <v>0.58045492780910157</v>
      </c>
      <c r="K2959">
        <f t="shared" si="371"/>
        <v>0.81429237794672416</v>
      </c>
      <c r="L2959">
        <f>VLOOKUP(D2959,[1]SOI!$A$1:$C$142,3)</f>
        <v>14.1</v>
      </c>
      <c r="M2959" s="2">
        <f t="shared" si="372"/>
        <v>1716.9856764593223</v>
      </c>
      <c r="N2959">
        <f t="shared" si="373"/>
        <v>2408.6768539664099</v>
      </c>
      <c r="O2959" t="s">
        <v>8</v>
      </c>
    </row>
    <row r="2960" spans="1:15" x14ac:dyDescent="0.35">
      <c r="A2960">
        <v>2008</v>
      </c>
      <c r="B2960">
        <v>2</v>
      </c>
      <c r="C2960">
        <v>6</v>
      </c>
      <c r="D2960" s="1">
        <f t="shared" si="368"/>
        <v>39484</v>
      </c>
      <c r="E2960">
        <v>0</v>
      </c>
      <c r="F2960">
        <f t="shared" si="374"/>
        <v>0</v>
      </c>
      <c r="G2960">
        <f t="shared" si="369"/>
        <v>0</v>
      </c>
      <c r="H2960">
        <f t="shared" si="375"/>
        <v>0</v>
      </c>
      <c r="I2960">
        <v>2959</v>
      </c>
      <c r="J2960">
        <f t="shared" si="370"/>
        <v>0.59437615658498755</v>
      </c>
      <c r="K2960">
        <f t="shared" si="371"/>
        <v>0.80418715762144477</v>
      </c>
      <c r="L2960">
        <f>VLOOKUP(D2960,[1]SOI!$A$1:$C$142,3)</f>
        <v>14.1</v>
      </c>
      <c r="M2960" s="2">
        <f t="shared" si="372"/>
        <v>1758.759047334978</v>
      </c>
      <c r="N2960">
        <f t="shared" si="373"/>
        <v>2379.5897994018551</v>
      </c>
      <c r="O2960" t="s">
        <v>8</v>
      </c>
    </row>
    <row r="2961" spans="1:15" x14ac:dyDescent="0.35">
      <c r="A2961">
        <v>2008</v>
      </c>
      <c r="B2961">
        <v>2</v>
      </c>
      <c r="C2961">
        <v>7</v>
      </c>
      <c r="D2961" s="1">
        <f t="shared" si="368"/>
        <v>39485</v>
      </c>
      <c r="E2961">
        <v>3.8</v>
      </c>
      <c r="F2961">
        <f t="shared" si="374"/>
        <v>0</v>
      </c>
      <c r="G2961">
        <f t="shared" si="369"/>
        <v>1</v>
      </c>
      <c r="H2961">
        <f t="shared" si="375"/>
        <v>0</v>
      </c>
      <c r="I2961">
        <v>2960</v>
      </c>
      <c r="J2961">
        <f t="shared" si="370"/>
        <v>0.60812149989353581</v>
      </c>
      <c r="K2961">
        <f t="shared" si="371"/>
        <v>0.79384396537810653</v>
      </c>
      <c r="L2961">
        <f>VLOOKUP(D2961,[1]SOI!$A$1:$C$142,3)</f>
        <v>14.1</v>
      </c>
      <c r="M2961" s="2">
        <f t="shared" si="372"/>
        <v>1800.039639684866</v>
      </c>
      <c r="N2961">
        <f t="shared" si="373"/>
        <v>2349.7781375191953</v>
      </c>
      <c r="O2961" t="s">
        <v>8</v>
      </c>
    </row>
    <row r="2962" spans="1:15" x14ac:dyDescent="0.35">
      <c r="A2962">
        <v>2008</v>
      </c>
      <c r="B2962">
        <v>2</v>
      </c>
      <c r="C2962">
        <v>8</v>
      </c>
      <c r="D2962" s="1">
        <f t="shared" si="368"/>
        <v>39486</v>
      </c>
      <c r="E2962">
        <v>0.6</v>
      </c>
      <c r="F2962">
        <f t="shared" si="374"/>
        <v>3.8</v>
      </c>
      <c r="G2962">
        <f t="shared" si="369"/>
        <v>1</v>
      </c>
      <c r="H2962">
        <f t="shared" si="375"/>
        <v>1</v>
      </c>
      <c r="I2962">
        <v>2961</v>
      </c>
      <c r="J2962">
        <f t="shared" si="370"/>
        <v>0.62168689026654289</v>
      </c>
      <c r="K2962">
        <f t="shared" si="371"/>
        <v>0.78326586193368308</v>
      </c>
      <c r="L2962">
        <f>VLOOKUP(D2962,[1]SOI!$A$1:$C$142,3)</f>
        <v>14.1</v>
      </c>
      <c r="M2962" s="2">
        <f t="shared" si="372"/>
        <v>1840.8148820792335</v>
      </c>
      <c r="N2962">
        <f t="shared" si="373"/>
        <v>2319.2502171856354</v>
      </c>
      <c r="O2962" t="s">
        <v>8</v>
      </c>
    </row>
    <row r="2963" spans="1:15" x14ac:dyDescent="0.35">
      <c r="A2963">
        <v>2008</v>
      </c>
      <c r="B2963">
        <v>2</v>
      </c>
      <c r="C2963">
        <v>9</v>
      </c>
      <c r="D2963" s="1">
        <f t="shared" si="368"/>
        <v>39487</v>
      </c>
      <c r="E2963">
        <v>1.4</v>
      </c>
      <c r="F2963">
        <f t="shared" si="374"/>
        <v>0.6</v>
      </c>
      <c r="G2963">
        <f t="shared" si="369"/>
        <v>1</v>
      </c>
      <c r="H2963">
        <f t="shared" si="375"/>
        <v>1</v>
      </c>
      <c r="I2963">
        <v>2962</v>
      </c>
      <c r="J2963">
        <f t="shared" si="370"/>
        <v>0.63506831348673976</v>
      </c>
      <c r="K2963">
        <f t="shared" si="371"/>
        <v>0.77245597751917749</v>
      </c>
      <c r="L2963">
        <f>VLOOKUP(D2963,[1]SOI!$A$1:$C$142,3)</f>
        <v>14.1</v>
      </c>
      <c r="M2963" s="2">
        <f t="shared" si="372"/>
        <v>1881.0723445477231</v>
      </c>
      <c r="N2963">
        <f t="shared" si="373"/>
        <v>2288.0146054118036</v>
      </c>
      <c r="O2963" t="s">
        <v>8</v>
      </c>
    </row>
    <row r="2964" spans="1:15" x14ac:dyDescent="0.35">
      <c r="A2964">
        <v>2008</v>
      </c>
      <c r="B2964">
        <v>2</v>
      </c>
      <c r="C2964">
        <v>10</v>
      </c>
      <c r="D2964" s="1">
        <f t="shared" si="368"/>
        <v>39488</v>
      </c>
      <c r="E2964">
        <v>1.4</v>
      </c>
      <c r="F2964">
        <f t="shared" si="374"/>
        <v>1.4</v>
      </c>
      <c r="G2964">
        <f t="shared" si="369"/>
        <v>1</v>
      </c>
      <c r="H2964">
        <f t="shared" si="375"/>
        <v>1</v>
      </c>
      <c r="I2964">
        <v>2963</v>
      </c>
      <c r="J2964">
        <f t="shared" si="370"/>
        <v>0.64826180977571468</v>
      </c>
      <c r="K2964">
        <f t="shared" si="371"/>
        <v>0.76141751095329768</v>
      </c>
      <c r="L2964">
        <f>VLOOKUP(D2964,[1]SOI!$A$1:$C$142,3)</f>
        <v>14.1</v>
      </c>
      <c r="M2964" s="2">
        <f t="shared" si="372"/>
        <v>1920.7997423654426</v>
      </c>
      <c r="N2964">
        <f t="shared" si="373"/>
        <v>2256.0800849546208</v>
      </c>
      <c r="O2964" t="s">
        <v>8</v>
      </c>
    </row>
    <row r="2965" spans="1:15" x14ac:dyDescent="0.35">
      <c r="A2965">
        <v>2008</v>
      </c>
      <c r="B2965">
        <v>2</v>
      </c>
      <c r="C2965">
        <v>11</v>
      </c>
      <c r="D2965" s="1">
        <f t="shared" si="368"/>
        <v>39489</v>
      </c>
      <c r="E2965">
        <v>0</v>
      </c>
      <c r="F2965">
        <f t="shared" si="374"/>
        <v>1.4</v>
      </c>
      <c r="G2965">
        <f t="shared" si="369"/>
        <v>0</v>
      </c>
      <c r="H2965">
        <f t="shared" si="375"/>
        <v>1</v>
      </c>
      <c r="I2965">
        <v>2964</v>
      </c>
      <c r="J2965">
        <f t="shared" si="370"/>
        <v>0.66126347496564175</v>
      </c>
      <c r="K2965">
        <f t="shared" si="371"/>
        <v>0.75015372869590147</v>
      </c>
      <c r="L2965">
        <f>VLOOKUP(D2965,[1]SOI!$A$1:$C$142,3)</f>
        <v>14.1</v>
      </c>
      <c r="M2965" s="2">
        <f t="shared" si="372"/>
        <v>1959.9849397981623</v>
      </c>
      <c r="N2965">
        <f t="shared" si="373"/>
        <v>2223.4556518546519</v>
      </c>
      <c r="O2965" t="s">
        <v>8</v>
      </c>
    </row>
    <row r="2966" spans="1:15" x14ac:dyDescent="0.35">
      <c r="A2966">
        <v>2008</v>
      </c>
      <c r="B2966">
        <v>2</v>
      </c>
      <c r="C2966">
        <v>12</v>
      </c>
      <c r="D2966" s="1">
        <f t="shared" si="368"/>
        <v>39490</v>
      </c>
      <c r="E2966">
        <v>0</v>
      </c>
      <c r="F2966">
        <f t="shared" si="374"/>
        <v>0</v>
      </c>
      <c r="G2966">
        <f t="shared" si="369"/>
        <v>0</v>
      </c>
      <c r="H2966">
        <f t="shared" si="375"/>
        <v>0</v>
      </c>
      <c r="I2966">
        <v>2965</v>
      </c>
      <c r="J2966">
        <f t="shared" si="370"/>
        <v>0.67406946165460968</v>
      </c>
      <c r="K2966">
        <f t="shared" si="371"/>
        <v>0.73866796388138067</v>
      </c>
      <c r="L2966">
        <f>VLOOKUP(D2966,[1]SOI!$A$1:$C$142,3)</f>
        <v>14.1</v>
      </c>
      <c r="M2966" s="2">
        <f t="shared" si="372"/>
        <v>1998.6159538059178</v>
      </c>
      <c r="N2966">
        <f t="shared" si="373"/>
        <v>2190.1505129082939</v>
      </c>
      <c r="O2966" t="s">
        <v>8</v>
      </c>
    </row>
    <row r="2967" spans="1:15" x14ac:dyDescent="0.35">
      <c r="A2967">
        <v>2008</v>
      </c>
      <c r="B2967">
        <v>2</v>
      </c>
      <c r="C2967">
        <v>13</v>
      </c>
      <c r="D2967" s="1">
        <f t="shared" si="368"/>
        <v>39491</v>
      </c>
      <c r="E2967">
        <v>0.4</v>
      </c>
      <c r="F2967">
        <f t="shared" si="374"/>
        <v>0</v>
      </c>
      <c r="G2967">
        <f t="shared" si="369"/>
        <v>1</v>
      </c>
      <c r="H2967">
        <f t="shared" si="375"/>
        <v>0</v>
      </c>
      <c r="I2967">
        <v>2966</v>
      </c>
      <c r="J2967">
        <f t="shared" si="370"/>
        <v>0.68667598034514976</v>
      </c>
      <c r="K2967">
        <f t="shared" si="371"/>
        <v>0.72696361533231324</v>
      </c>
      <c r="L2967">
        <f>VLOOKUP(D2967,[1]SOI!$A$1:$C$142,3)</f>
        <v>14.1</v>
      </c>
      <c r="M2967" s="2">
        <f t="shared" si="372"/>
        <v>2036.6809577037143</v>
      </c>
      <c r="N2967">
        <f t="shared" si="373"/>
        <v>2156.1740830756412</v>
      </c>
      <c r="O2967" t="s">
        <v>8</v>
      </c>
    </row>
    <row r="2968" spans="1:15" x14ac:dyDescent="0.35">
      <c r="A2968">
        <v>2008</v>
      </c>
      <c r="B2968">
        <v>2</v>
      </c>
      <c r="C2968">
        <v>14</v>
      </c>
      <c r="D2968" s="1">
        <f t="shared" si="368"/>
        <v>39492</v>
      </c>
      <c r="E2968">
        <v>0.4</v>
      </c>
      <c r="F2968">
        <f t="shared" si="374"/>
        <v>0.4</v>
      </c>
      <c r="G2968">
        <f t="shared" si="369"/>
        <v>1</v>
      </c>
      <c r="H2968">
        <f t="shared" si="375"/>
        <v>1</v>
      </c>
      <c r="I2968">
        <v>2967</v>
      </c>
      <c r="J2968">
        <f t="shared" si="370"/>
        <v>0.69907930056555667</v>
      </c>
      <c r="K2968">
        <f t="shared" si="371"/>
        <v>0.71504414655374404</v>
      </c>
      <c r="L2968">
        <f>VLOOKUP(D2968,[1]SOI!$A$1:$C$142,3)</f>
        <v>14.1</v>
      </c>
      <c r="M2968" s="2">
        <f t="shared" si="372"/>
        <v>2074.1682847780066</v>
      </c>
      <c r="N2968">
        <f t="shared" si="373"/>
        <v>2121.5359828249584</v>
      </c>
      <c r="O2968" t="s">
        <v>8</v>
      </c>
    </row>
    <row r="2969" spans="1:15" x14ac:dyDescent="0.35">
      <c r="A2969">
        <v>2008</v>
      </c>
      <c r="B2969">
        <v>2</v>
      </c>
      <c r="C2969">
        <v>15</v>
      </c>
      <c r="D2969" s="1">
        <f t="shared" si="368"/>
        <v>39493</v>
      </c>
      <c r="E2969">
        <v>0</v>
      </c>
      <c r="F2969">
        <f t="shared" si="374"/>
        <v>0.4</v>
      </c>
      <c r="G2969">
        <f t="shared" si="369"/>
        <v>0</v>
      </c>
      <c r="H2969">
        <f t="shared" si="375"/>
        <v>1</v>
      </c>
      <c r="I2969">
        <v>2968</v>
      </c>
      <c r="J2969">
        <f t="shared" si="370"/>
        <v>0.71127575197381654</v>
      </c>
      <c r="K2969">
        <f t="shared" si="371"/>
        <v>0.70291308470826031</v>
      </c>
      <c r="L2969">
        <f>VLOOKUP(D2969,[1]SOI!$A$1:$C$142,3)</f>
        <v>14.1</v>
      </c>
      <c r="M2969" s="2">
        <f t="shared" si="372"/>
        <v>2111.0664318582876</v>
      </c>
      <c r="N2969">
        <f t="shared" si="373"/>
        <v>2086.2460354141167</v>
      </c>
      <c r="O2969" t="s">
        <v>8</v>
      </c>
    </row>
    <row r="2970" spans="1:15" x14ac:dyDescent="0.35">
      <c r="A2970">
        <v>2008</v>
      </c>
      <c r="B2970">
        <v>2</v>
      </c>
      <c r="C2970">
        <v>16</v>
      </c>
      <c r="D2970" s="1">
        <f t="shared" si="368"/>
        <v>39494</v>
      </c>
      <c r="E2970">
        <v>0</v>
      </c>
      <c r="F2970">
        <f t="shared" si="374"/>
        <v>0</v>
      </c>
      <c r="G2970">
        <f t="shared" si="369"/>
        <v>0</v>
      </c>
      <c r="H2970">
        <f t="shared" si="375"/>
        <v>0</v>
      </c>
      <c r="I2970">
        <v>2969</v>
      </c>
      <c r="J2970">
        <f t="shared" si="370"/>
        <v>0.72326172544374079</v>
      </c>
      <c r="K2970">
        <f t="shared" si="371"/>
        <v>0.69057401957222719</v>
      </c>
      <c r="L2970">
        <f>VLOOKUP(D2970,[1]SOI!$A$1:$C$142,3)</f>
        <v>14.1</v>
      </c>
      <c r="M2970" s="2">
        <f t="shared" si="372"/>
        <v>2147.3640628424664</v>
      </c>
      <c r="N2970">
        <f t="shared" si="373"/>
        <v>2050.3142641099425</v>
      </c>
      <c r="O2970" t="s">
        <v>8</v>
      </c>
    </row>
    <row r="2971" spans="1:15" x14ac:dyDescent="0.35">
      <c r="A2971">
        <v>2008</v>
      </c>
      <c r="B2971">
        <v>2</v>
      </c>
      <c r="C2971">
        <v>17</v>
      </c>
      <c r="D2971" s="1">
        <f t="shared" si="368"/>
        <v>39495</v>
      </c>
      <c r="E2971">
        <v>0</v>
      </c>
      <c r="F2971">
        <f t="shared" si="374"/>
        <v>0</v>
      </c>
      <c r="G2971">
        <f t="shared" si="369"/>
        <v>0</v>
      </c>
      <c r="H2971">
        <f t="shared" si="375"/>
        <v>0</v>
      </c>
      <c r="I2971">
        <v>2970</v>
      </c>
      <c r="J2971">
        <f t="shared" si="370"/>
        <v>0.73503367413294407</v>
      </c>
      <c r="K2971">
        <f t="shared" si="371"/>
        <v>0.67803060247353519</v>
      </c>
      <c r="L2971">
        <f>VLOOKUP(D2971,[1]SOI!$A$1:$C$142,3)</f>
        <v>14.1</v>
      </c>
      <c r="M2971" s="2">
        <f t="shared" si="372"/>
        <v>2183.0500121748437</v>
      </c>
      <c r="N2971">
        <f t="shared" si="373"/>
        <v>2013.7508893463996</v>
      </c>
      <c r="O2971" t="s">
        <v>8</v>
      </c>
    </row>
    <row r="2972" spans="1:15" x14ac:dyDescent="0.35">
      <c r="A2972">
        <v>2008</v>
      </c>
      <c r="B2972">
        <v>2</v>
      </c>
      <c r="C2972">
        <v>18</v>
      </c>
      <c r="D2972" s="1">
        <f t="shared" si="368"/>
        <v>39496</v>
      </c>
      <c r="E2972">
        <v>0</v>
      </c>
      <c r="F2972">
        <f t="shared" si="374"/>
        <v>0</v>
      </c>
      <c r="G2972">
        <f t="shared" si="369"/>
        <v>0</v>
      </c>
      <c r="H2972">
        <f t="shared" si="375"/>
        <v>0</v>
      </c>
      <c r="I2972">
        <v>2971</v>
      </c>
      <c r="J2972">
        <f t="shared" si="370"/>
        <v>0.74658811453240714</v>
      </c>
      <c r="K2972">
        <f t="shared" si="371"/>
        <v>0.6652865452111183</v>
      </c>
      <c r="L2972">
        <f>VLOOKUP(D2972,[1]SOI!$A$1:$C$142,3)</f>
        <v>14.1</v>
      </c>
      <c r="M2972" s="2">
        <f t="shared" si="372"/>
        <v>2218.1132882757815</v>
      </c>
      <c r="N2972">
        <f t="shared" si="373"/>
        <v>1976.5663258222326</v>
      </c>
      <c r="O2972" t="s">
        <v>8</v>
      </c>
    </row>
    <row r="2973" spans="1:15" x14ac:dyDescent="0.35">
      <c r="A2973">
        <v>2008</v>
      </c>
      <c r="B2973">
        <v>2</v>
      </c>
      <c r="C2973">
        <v>19</v>
      </c>
      <c r="D2973" s="1">
        <f t="shared" si="368"/>
        <v>39497</v>
      </c>
      <c r="E2973">
        <v>0</v>
      </c>
      <c r="F2973">
        <f t="shared" si="374"/>
        <v>0</v>
      </c>
      <c r="G2973">
        <f t="shared" si="369"/>
        <v>0</v>
      </c>
      <c r="H2973">
        <f t="shared" si="375"/>
        <v>0</v>
      </c>
      <c r="I2973">
        <v>2972</v>
      </c>
      <c r="J2973">
        <f t="shared" si="370"/>
        <v>0.75792162749734659</v>
      </c>
      <c r="K2973">
        <f t="shared" si="371"/>
        <v>0.65234561895652621</v>
      </c>
      <c r="L2973">
        <f>VLOOKUP(D2973,[1]SOI!$A$1:$C$142,3)</f>
        <v>14.1</v>
      </c>
      <c r="M2973" s="2">
        <f t="shared" si="372"/>
        <v>2252.5430769221139</v>
      </c>
      <c r="N2973">
        <f t="shared" si="373"/>
        <v>1938.7711795387959</v>
      </c>
      <c r="O2973" t="s">
        <v>8</v>
      </c>
    </row>
    <row r="2974" spans="1:15" x14ac:dyDescent="0.35">
      <c r="A2974">
        <v>2008</v>
      </c>
      <c r="B2974">
        <v>2</v>
      </c>
      <c r="C2974">
        <v>20</v>
      </c>
      <c r="D2974" s="1">
        <f t="shared" si="368"/>
        <v>39498</v>
      </c>
      <c r="E2974">
        <v>0.6</v>
      </c>
      <c r="F2974">
        <f t="shared" si="374"/>
        <v>0</v>
      </c>
      <c r="G2974">
        <f t="shared" si="369"/>
        <v>1</v>
      </c>
      <c r="H2974">
        <f t="shared" si="375"/>
        <v>0</v>
      </c>
      <c r="I2974">
        <v>2973</v>
      </c>
      <c r="J2974">
        <f t="shared" si="370"/>
        <v>0.76903085925891845</v>
      </c>
      <c r="K2974">
        <f t="shared" si="371"/>
        <v>0.6392116531380585</v>
      </c>
      <c r="L2974">
        <f>VLOOKUP(D2974,[1]SOI!$A$1:$C$142,3)</f>
        <v>14.1</v>
      </c>
      <c r="M2974" s="2">
        <f t="shared" si="372"/>
        <v>2286.3287445767646</v>
      </c>
      <c r="N2974">
        <f t="shared" si="373"/>
        <v>1900.3762447794479</v>
      </c>
      <c r="O2974" t="s">
        <v>8</v>
      </c>
    </row>
    <row r="2975" spans="1:15" x14ac:dyDescent="0.35">
      <c r="A2975">
        <v>2008</v>
      </c>
      <c r="B2975">
        <v>2</v>
      </c>
      <c r="C2975">
        <v>21</v>
      </c>
      <c r="D2975" s="1">
        <f t="shared" si="368"/>
        <v>39499</v>
      </c>
      <c r="E2975">
        <v>4.5999999999999996</v>
      </c>
      <c r="F2975">
        <f t="shared" si="374"/>
        <v>0.6</v>
      </c>
      <c r="G2975">
        <f t="shared" si="369"/>
        <v>1</v>
      </c>
      <c r="H2975">
        <f t="shared" si="375"/>
        <v>1</v>
      </c>
      <c r="I2975">
        <v>2974</v>
      </c>
      <c r="J2975">
        <f t="shared" si="370"/>
        <v>0.77991252241671871</v>
      </c>
      <c r="K2975">
        <f t="shared" si="371"/>
        <v>0.62588853430750047</v>
      </c>
      <c r="L2975">
        <f>VLOOKUP(D2975,[1]SOI!$A$1:$C$142,3)</f>
        <v>14.1</v>
      </c>
      <c r="M2975" s="2">
        <f t="shared" si="372"/>
        <v>2319.4598416673216</v>
      </c>
      <c r="N2975">
        <f t="shared" si="373"/>
        <v>1861.3925010305063</v>
      </c>
      <c r="O2975" t="s">
        <v>8</v>
      </c>
    </row>
    <row r="2976" spans="1:15" x14ac:dyDescent="0.35">
      <c r="A2976">
        <v>2008</v>
      </c>
      <c r="B2976">
        <v>2</v>
      </c>
      <c r="C2976">
        <v>22</v>
      </c>
      <c r="D2976" s="1">
        <f t="shared" si="368"/>
        <v>39500</v>
      </c>
      <c r="E2976">
        <v>0</v>
      </c>
      <c r="F2976">
        <f t="shared" si="374"/>
        <v>4.5999999999999996</v>
      </c>
      <c r="G2976">
        <f t="shared" si="369"/>
        <v>0</v>
      </c>
      <c r="H2976">
        <f t="shared" si="375"/>
        <v>1</v>
      </c>
      <c r="I2976">
        <v>2975</v>
      </c>
      <c r="J2976">
        <f t="shared" si="370"/>
        <v>0.79056339691154986</v>
      </c>
      <c r="K2976">
        <f t="shared" si="371"/>
        <v>0.61238020499006274</v>
      </c>
      <c r="L2976">
        <f>VLOOKUP(D2976,[1]SOI!$A$1:$C$142,3)</f>
        <v>14.1</v>
      </c>
      <c r="M2976" s="2">
        <f t="shared" si="372"/>
        <v>2351.9261058118609</v>
      </c>
      <c r="N2976">
        <f t="shared" si="373"/>
        <v>1821.8311098454367</v>
      </c>
      <c r="O2976" t="s">
        <v>8</v>
      </c>
    </row>
    <row r="2977" spans="1:15" x14ac:dyDescent="0.35">
      <c r="A2977">
        <v>2008</v>
      </c>
      <c r="B2977">
        <v>2</v>
      </c>
      <c r="C2977">
        <v>23</v>
      </c>
      <c r="D2977" s="1">
        <f t="shared" si="368"/>
        <v>39501</v>
      </c>
      <c r="E2977">
        <v>1.4</v>
      </c>
      <c r="F2977">
        <f t="shared" si="374"/>
        <v>0</v>
      </c>
      <c r="G2977">
        <f t="shared" si="369"/>
        <v>1</v>
      </c>
      <c r="H2977">
        <f t="shared" si="375"/>
        <v>0</v>
      </c>
      <c r="I2977">
        <v>2976</v>
      </c>
      <c r="J2977">
        <f t="shared" si="370"/>
        <v>0.80098033097828869</v>
      </c>
      <c r="K2977">
        <f t="shared" si="371"/>
        <v>0.59869066251772385</v>
      </c>
      <c r="L2977">
        <f>VLOOKUP(D2977,[1]SOI!$A$1:$C$142,3)</f>
        <v>14.1</v>
      </c>
      <c r="M2977" s="2">
        <f t="shared" si="372"/>
        <v>2383.7174649913873</v>
      </c>
      <c r="N2977">
        <f t="shared" si="373"/>
        <v>1781.7034116527461</v>
      </c>
      <c r="O2977" t="s">
        <v>8</v>
      </c>
    </row>
    <row r="2978" spans="1:15" x14ac:dyDescent="0.35">
      <c r="A2978">
        <v>2008</v>
      </c>
      <c r="B2978">
        <v>2</v>
      </c>
      <c r="C2978">
        <v>24</v>
      </c>
      <c r="D2978" s="1">
        <f t="shared" si="368"/>
        <v>39502</v>
      </c>
      <c r="E2978">
        <v>0</v>
      </c>
      <c r="F2978">
        <f t="shared" si="374"/>
        <v>1.4</v>
      </c>
      <c r="G2978">
        <f t="shared" si="369"/>
        <v>0</v>
      </c>
      <c r="H2978">
        <f t="shared" si="375"/>
        <v>1</v>
      </c>
      <c r="I2978">
        <v>2977</v>
      </c>
      <c r="J2978">
        <f t="shared" si="370"/>
        <v>0.81116024207856086</v>
      </c>
      <c r="K2978">
        <f t="shared" si="371"/>
        <v>0.5848239578463339</v>
      </c>
      <c r="L2978">
        <f>VLOOKUP(D2978,[1]SOI!$A$1:$C$142,3)</f>
        <v>14.1</v>
      </c>
      <c r="M2978" s="2">
        <f t="shared" si="372"/>
        <v>2414.8240406678756</v>
      </c>
      <c r="N2978">
        <f t="shared" si="373"/>
        <v>1741.0209225085359</v>
      </c>
      <c r="O2978" t="s">
        <v>8</v>
      </c>
    </row>
    <row r="2979" spans="1:15" x14ac:dyDescent="0.35">
      <c r="A2979">
        <v>2008</v>
      </c>
      <c r="B2979">
        <v>2</v>
      </c>
      <c r="C2979">
        <v>25</v>
      </c>
      <c r="D2979" s="1">
        <f t="shared" si="368"/>
        <v>39503</v>
      </c>
      <c r="E2979">
        <v>0</v>
      </c>
      <c r="F2979">
        <f t="shared" si="374"/>
        <v>0</v>
      </c>
      <c r="G2979">
        <f t="shared" si="369"/>
        <v>0</v>
      </c>
      <c r="H2979">
        <f t="shared" si="375"/>
        <v>0</v>
      </c>
      <c r="I2979">
        <v>2978</v>
      </c>
      <c r="J2979">
        <f t="shared" si="370"/>
        <v>0.82110011781288861</v>
      </c>
      <c r="K2979">
        <f t="shared" si="371"/>
        <v>0.57078419435690442</v>
      </c>
      <c r="L2979">
        <f>VLOOKUP(D2979,[1]SOI!$A$1:$C$142,3)</f>
        <v>14.1</v>
      </c>
      <c r="M2979" s="2">
        <f t="shared" si="372"/>
        <v>2445.2361508467825</v>
      </c>
      <c r="N2979">
        <f t="shared" si="373"/>
        <v>1699.7953307948615</v>
      </c>
      <c r="O2979" t="s">
        <v>8</v>
      </c>
    </row>
    <row r="2980" spans="1:15" x14ac:dyDescent="0.35">
      <c r="A2980">
        <v>2008</v>
      </c>
      <c r="B2980">
        <v>2</v>
      </c>
      <c r="C2980">
        <v>26</v>
      </c>
      <c r="D2980" s="1">
        <f t="shared" si="368"/>
        <v>39504</v>
      </c>
      <c r="E2980">
        <v>0</v>
      </c>
      <c r="F2980">
        <f t="shared" si="374"/>
        <v>0</v>
      </c>
      <c r="G2980">
        <f t="shared" si="369"/>
        <v>0</v>
      </c>
      <c r="H2980">
        <f t="shared" si="375"/>
        <v>0</v>
      </c>
      <c r="I2980">
        <v>2979</v>
      </c>
      <c r="J2980">
        <f t="shared" si="370"/>
        <v>0.83079701681212492</v>
      </c>
      <c r="K2980">
        <f t="shared" si="371"/>
        <v>0.55657552664133003</v>
      </c>
      <c r="L2980">
        <f>VLOOKUP(D2980,[1]SOI!$A$1:$C$142,3)</f>
        <v>14.1</v>
      </c>
      <c r="M2980" s="2">
        <f t="shared" si="372"/>
        <v>2474.9443130833201</v>
      </c>
      <c r="N2980">
        <f t="shared" si="373"/>
        <v>1658.0384938645223</v>
      </c>
      <c r="O2980" t="s">
        <v>8</v>
      </c>
    </row>
    <row r="2981" spans="1:15" x14ac:dyDescent="0.35">
      <c r="A2981">
        <v>2008</v>
      </c>
      <c r="B2981">
        <v>2</v>
      </c>
      <c r="C2981">
        <v>27</v>
      </c>
      <c r="D2981" s="1">
        <f t="shared" si="368"/>
        <v>39505</v>
      </c>
      <c r="E2981">
        <v>0</v>
      </c>
      <c r="F2981">
        <f t="shared" si="374"/>
        <v>0</v>
      </c>
      <c r="G2981">
        <f t="shared" si="369"/>
        <v>0</v>
      </c>
      <c r="H2981">
        <f t="shared" si="375"/>
        <v>0</v>
      </c>
      <c r="I2981">
        <v>2980</v>
      </c>
      <c r="J2981">
        <f t="shared" si="370"/>
        <v>0.8402480696078477</v>
      </c>
      <c r="K2981">
        <f t="shared" si="371"/>
        <v>0.54220215927298321</v>
      </c>
      <c r="L2981">
        <f>VLOOKUP(D2981,[1]SOI!$A$1:$C$142,3)</f>
        <v>14.1</v>
      </c>
      <c r="M2981" s="2">
        <f t="shared" si="372"/>
        <v>2503.9392474313863</v>
      </c>
      <c r="N2981">
        <f t="shared" si="373"/>
        <v>1615.7624346334899</v>
      </c>
      <c r="O2981" t="s">
        <v>8</v>
      </c>
    </row>
    <row r="2982" spans="1:15" x14ac:dyDescent="0.35">
      <c r="A2982">
        <v>2008</v>
      </c>
      <c r="B2982">
        <v>2</v>
      </c>
      <c r="C2982">
        <v>28</v>
      </c>
      <c r="D2982" s="1">
        <f t="shared" si="368"/>
        <v>39506</v>
      </c>
      <c r="E2982">
        <v>3.6</v>
      </c>
      <c r="F2982">
        <f t="shared" si="374"/>
        <v>0</v>
      </c>
      <c r="G2982">
        <f t="shared" si="369"/>
        <v>1</v>
      </c>
      <c r="H2982">
        <f t="shared" si="375"/>
        <v>0</v>
      </c>
      <c r="I2982">
        <v>2981</v>
      </c>
      <c r="J2982">
        <f t="shared" si="370"/>
        <v>0.849450479481482</v>
      </c>
      <c r="K2982">
        <f t="shared" si="371"/>
        <v>0.52766834556251363</v>
      </c>
      <c r="L2982">
        <f>VLOOKUP(D2982,[1]SOI!$A$1:$C$142,3)</f>
        <v>14.1</v>
      </c>
      <c r="M2982" s="2">
        <f t="shared" si="372"/>
        <v>2532.2118793342979</v>
      </c>
      <c r="N2982">
        <f t="shared" si="373"/>
        <v>1572.9793381218531</v>
      </c>
      <c r="O2982" t="s">
        <v>8</v>
      </c>
    </row>
    <row r="2983" spans="1:15" x14ac:dyDescent="0.35">
      <c r="A2983">
        <v>2008</v>
      </c>
      <c r="B2983">
        <v>2</v>
      </c>
      <c r="C2983">
        <v>29</v>
      </c>
      <c r="D2983" s="1">
        <f t="shared" si="368"/>
        <v>39507</v>
      </c>
      <c r="E2983">
        <v>1.2</v>
      </c>
      <c r="F2983">
        <f t="shared" si="374"/>
        <v>3.6</v>
      </c>
      <c r="G2983">
        <f t="shared" si="369"/>
        <v>1</v>
      </c>
      <c r="H2983">
        <f t="shared" si="375"/>
        <v>1</v>
      </c>
      <c r="I2983">
        <v>2982</v>
      </c>
      <c r="J2983">
        <f t="shared" si="370"/>
        <v>0.85840152329189001</v>
      </c>
      <c r="K2983">
        <f t="shared" si="371"/>
        <v>0.51297838629923087</v>
      </c>
      <c r="L2983">
        <f>VLOOKUP(D2983,[1]SOI!$A$1:$C$142,3)</f>
        <v>14.1</v>
      </c>
      <c r="M2983" s="2">
        <f t="shared" si="372"/>
        <v>2559.7533424564158</v>
      </c>
      <c r="N2983">
        <f t="shared" si="373"/>
        <v>1529.7015479443064</v>
      </c>
      <c r="O2983" t="s">
        <v>8</v>
      </c>
    </row>
    <row r="2984" spans="1:15" x14ac:dyDescent="0.35">
      <c r="A2984">
        <v>2008</v>
      </c>
      <c r="B2984">
        <v>3</v>
      </c>
      <c r="C2984">
        <v>1</v>
      </c>
      <c r="D2984" s="1">
        <f t="shared" si="368"/>
        <v>39508</v>
      </c>
      <c r="E2984">
        <v>0</v>
      </c>
      <c r="F2984">
        <f t="shared" si="374"/>
        <v>1.2</v>
      </c>
      <c r="G2984">
        <f t="shared" si="369"/>
        <v>0</v>
      </c>
      <c r="H2984">
        <f t="shared" si="375"/>
        <v>1</v>
      </c>
      <c r="I2984">
        <v>2983</v>
      </c>
      <c r="J2984">
        <f t="shared" si="370"/>
        <v>0.86709855228120702</v>
      </c>
      <c r="K2984">
        <f t="shared" si="371"/>
        <v>0.4981366284784074</v>
      </c>
      <c r="L2984">
        <f>VLOOKUP(D2984,[1]SOI!$A$1:$C$142,3)</f>
        <v>21.3</v>
      </c>
      <c r="M2984" s="2">
        <f t="shared" si="372"/>
        <v>2586.5549814548403</v>
      </c>
      <c r="N2984">
        <f t="shared" si="373"/>
        <v>1485.9415627510894</v>
      </c>
      <c r="O2984" t="s">
        <v>8</v>
      </c>
    </row>
    <row r="2985" spans="1:15" x14ac:dyDescent="0.35">
      <c r="A2985">
        <v>2008</v>
      </c>
      <c r="B2985">
        <v>3</v>
      </c>
      <c r="C2985">
        <v>2</v>
      </c>
      <c r="D2985" s="1">
        <f t="shared" si="368"/>
        <v>39509</v>
      </c>
      <c r="E2985">
        <v>0</v>
      </c>
      <c r="F2985">
        <f t="shared" si="374"/>
        <v>0</v>
      </c>
      <c r="G2985">
        <f t="shared" si="369"/>
        <v>0</v>
      </c>
      <c r="H2985">
        <f t="shared" si="375"/>
        <v>0</v>
      </c>
      <c r="I2985">
        <v>2984</v>
      </c>
      <c r="J2985">
        <f t="shared" si="370"/>
        <v>0.87553899285862979</v>
      </c>
      <c r="K2985">
        <f t="shared" si="371"/>
        <v>0.48314746401496944</v>
      </c>
      <c r="L2985">
        <f>VLOOKUP(D2985,[1]SOI!$A$1:$C$142,3)</f>
        <v>21.3</v>
      </c>
      <c r="M2985" s="2">
        <f t="shared" si="372"/>
        <v>2612.6083546901514</v>
      </c>
      <c r="N2985">
        <f t="shared" si="373"/>
        <v>1441.7120326206689</v>
      </c>
      <c r="O2985" t="s">
        <v>8</v>
      </c>
    </row>
    <row r="2986" spans="1:15" x14ac:dyDescent="0.35">
      <c r="A2986">
        <v>2008</v>
      </c>
      <c r="B2986">
        <v>3</v>
      </c>
      <c r="C2986">
        <v>3</v>
      </c>
      <c r="D2986" s="1">
        <f t="shared" si="368"/>
        <v>39510</v>
      </c>
      <c r="E2986">
        <v>0</v>
      </c>
      <c r="F2986">
        <f t="shared" si="374"/>
        <v>0</v>
      </c>
      <c r="G2986">
        <f t="shared" si="369"/>
        <v>0</v>
      </c>
      <c r="H2986">
        <f t="shared" si="375"/>
        <v>0</v>
      </c>
      <c r="I2986">
        <v>2985</v>
      </c>
      <c r="J2986">
        <f t="shared" si="370"/>
        <v>0.88372034736199778</v>
      </c>
      <c r="K2986">
        <f t="shared" si="371"/>
        <v>0.46801532844383426</v>
      </c>
      <c r="L2986">
        <f>VLOOKUP(D2986,[1]SOI!$A$1:$C$142,3)</f>
        <v>21.3</v>
      </c>
      <c r="M2986" s="2">
        <f t="shared" si="372"/>
        <v>2637.9052368755633</v>
      </c>
      <c r="N2986">
        <f t="shared" si="373"/>
        <v>1397.0257554048453</v>
      </c>
      <c r="O2986" t="s">
        <v>8</v>
      </c>
    </row>
    <row r="2987" spans="1:15" x14ac:dyDescent="0.35">
      <c r="A2987">
        <v>2008</v>
      </c>
      <c r="B2987">
        <v>3</v>
      </c>
      <c r="C2987">
        <v>4</v>
      </c>
      <c r="D2987" s="1">
        <f t="shared" si="368"/>
        <v>39511</v>
      </c>
      <c r="E2987">
        <v>0</v>
      </c>
      <c r="F2987">
        <f t="shared" si="374"/>
        <v>0</v>
      </c>
      <c r="G2987">
        <f t="shared" si="369"/>
        <v>0</v>
      </c>
      <c r="H2987">
        <f t="shared" si="375"/>
        <v>0</v>
      </c>
      <c r="I2987">
        <v>2986</v>
      </c>
      <c r="J2987">
        <f t="shared" si="370"/>
        <v>0.89164019479688805</v>
      </c>
      <c r="K2987">
        <f t="shared" si="371"/>
        <v>0.45274469960736985</v>
      </c>
      <c r="L2987">
        <f>VLOOKUP(D2987,[1]SOI!$A$1:$C$142,3)</f>
        <v>21.3</v>
      </c>
      <c r="M2987" s="2">
        <f t="shared" si="372"/>
        <v>2662.4376216635078</v>
      </c>
      <c r="N2987">
        <f t="shared" si="373"/>
        <v>1351.8956730276063</v>
      </c>
      <c r="O2987" t="s">
        <v>8</v>
      </c>
    </row>
    <row r="2988" spans="1:15" x14ac:dyDescent="0.35">
      <c r="A2988">
        <v>2008</v>
      </c>
      <c r="B2988">
        <v>3</v>
      </c>
      <c r="C2988">
        <v>5</v>
      </c>
      <c r="D2988" s="1">
        <f t="shared" si="368"/>
        <v>39512</v>
      </c>
      <c r="E2988">
        <v>0</v>
      </c>
      <c r="F2988">
        <f t="shared" si="374"/>
        <v>0</v>
      </c>
      <c r="G2988">
        <f t="shared" si="369"/>
        <v>0</v>
      </c>
      <c r="H2988">
        <f t="shared" si="375"/>
        <v>0</v>
      </c>
      <c r="I2988">
        <v>2987</v>
      </c>
      <c r="J2988">
        <f t="shared" si="370"/>
        <v>0.89929619155302343</v>
      </c>
      <c r="K2988">
        <f t="shared" si="371"/>
        <v>0.43734009633033621</v>
      </c>
      <c r="L2988">
        <f>VLOOKUP(D2988,[1]SOI!$A$1:$C$142,3)</f>
        <v>21.3</v>
      </c>
      <c r="M2988" s="2">
        <f t="shared" si="372"/>
        <v>2686.197724168881</v>
      </c>
      <c r="N2988">
        <f t="shared" si="373"/>
        <v>1306.3348677387144</v>
      </c>
      <c r="O2988" t="s">
        <v>8</v>
      </c>
    </row>
    <row r="2989" spans="1:15" x14ac:dyDescent="0.35">
      <c r="A2989">
        <v>2008</v>
      </c>
      <c r="B2989">
        <v>3</v>
      </c>
      <c r="C2989">
        <v>6</v>
      </c>
      <c r="D2989" s="1">
        <f t="shared" si="368"/>
        <v>39513</v>
      </c>
      <c r="E2989">
        <v>0</v>
      </c>
      <c r="F2989">
        <f t="shared" si="374"/>
        <v>0</v>
      </c>
      <c r="G2989">
        <f t="shared" si="369"/>
        <v>0</v>
      </c>
      <c r="H2989">
        <f t="shared" si="375"/>
        <v>0</v>
      </c>
      <c r="I2989">
        <v>2988</v>
      </c>
      <c r="J2989">
        <f t="shared" si="370"/>
        <v>0.90668607209779706</v>
      </c>
      <c r="K2989">
        <f t="shared" si="371"/>
        <v>0.42180607708266654</v>
      </c>
      <c r="L2989">
        <f>VLOOKUP(D2989,[1]SOI!$A$1:$C$142,3)</f>
        <v>21.3</v>
      </c>
      <c r="M2989" s="2">
        <f t="shared" si="372"/>
        <v>2709.1779834282174</v>
      </c>
      <c r="N2989">
        <f t="shared" si="373"/>
        <v>1260.3565583230077</v>
      </c>
      <c r="O2989" t="s">
        <v>8</v>
      </c>
    </row>
    <row r="2990" spans="1:15" x14ac:dyDescent="0.35">
      <c r="A2990">
        <v>2008</v>
      </c>
      <c r="B2990">
        <v>3</v>
      </c>
      <c r="C2990">
        <v>7</v>
      </c>
      <c r="D2990" s="1">
        <f t="shared" si="368"/>
        <v>39514</v>
      </c>
      <c r="E2990">
        <v>0</v>
      </c>
      <c r="F2990">
        <f t="shared" si="374"/>
        <v>0</v>
      </c>
      <c r="G2990">
        <f t="shared" si="369"/>
        <v>0</v>
      </c>
      <c r="H2990">
        <f t="shared" si="375"/>
        <v>0</v>
      </c>
      <c r="I2990">
        <v>2989</v>
      </c>
      <c r="J2990">
        <f t="shared" si="370"/>
        <v>0.91380764964666061</v>
      </c>
      <c r="K2990">
        <f t="shared" si="371"/>
        <v>0.40614723863058083</v>
      </c>
      <c r="L2990">
        <f>VLOOKUP(D2990,[1]SOI!$A$1:$C$142,3)</f>
        <v>21.3</v>
      </c>
      <c r="M2990" s="2">
        <f t="shared" si="372"/>
        <v>2731.3710647938688</v>
      </c>
      <c r="N2990">
        <f t="shared" si="373"/>
        <v>1213.9740962668061</v>
      </c>
      <c r="O2990" t="s">
        <v>8</v>
      </c>
    </row>
    <row r="2991" spans="1:15" x14ac:dyDescent="0.35">
      <c r="A2991">
        <v>2008</v>
      </c>
      <c r="B2991">
        <v>3</v>
      </c>
      <c r="C2991">
        <v>8</v>
      </c>
      <c r="D2991" s="1">
        <f t="shared" si="368"/>
        <v>39515</v>
      </c>
      <c r="E2991">
        <v>1.4</v>
      </c>
      <c r="F2991">
        <f t="shared" si="374"/>
        <v>0</v>
      </c>
      <c r="G2991">
        <f t="shared" si="369"/>
        <v>1</v>
      </c>
      <c r="H2991">
        <f t="shared" si="375"/>
        <v>0</v>
      </c>
      <c r="I2991">
        <v>2990</v>
      </c>
      <c r="J2991">
        <f t="shared" si="370"/>
        <v>0.92065881681024231</v>
      </c>
      <c r="K2991">
        <f t="shared" si="371"/>
        <v>0.39036821467630362</v>
      </c>
      <c r="L2991">
        <f>VLOOKUP(D2991,[1]SOI!$A$1:$C$142,3)</f>
        <v>21.3</v>
      </c>
      <c r="M2991" s="2">
        <f t="shared" si="372"/>
        <v>2752.7698622626244</v>
      </c>
      <c r="N2991">
        <f t="shared" si="373"/>
        <v>1167.2009618821478</v>
      </c>
      <c r="O2991" t="s">
        <v>8</v>
      </c>
    </row>
    <row r="2992" spans="1:15" x14ac:dyDescent="0.35">
      <c r="A2992">
        <v>2008</v>
      </c>
      <c r="B2992">
        <v>3</v>
      </c>
      <c r="C2992">
        <v>9</v>
      </c>
      <c r="D2992" s="1">
        <f t="shared" si="368"/>
        <v>39516</v>
      </c>
      <c r="E2992">
        <v>0</v>
      </c>
      <c r="F2992">
        <f t="shared" si="374"/>
        <v>1.4</v>
      </c>
      <c r="G2992">
        <f t="shared" si="369"/>
        <v>0</v>
      </c>
      <c r="H2992">
        <f t="shared" si="375"/>
        <v>1</v>
      </c>
      <c r="I2992">
        <v>2991</v>
      </c>
      <c r="J2992">
        <f t="shared" si="370"/>
        <v>0.92723754621795385</v>
      </c>
      <c r="K2992">
        <f t="shared" si="371"/>
        <v>0.37447367448688296</v>
      </c>
      <c r="L2992">
        <f>VLOOKUP(D2992,[1]SOI!$A$1:$C$142,3)</f>
        <v>21.3</v>
      </c>
      <c r="M2992" s="2">
        <f t="shared" si="372"/>
        <v>2773.3675007379002</v>
      </c>
      <c r="N2992">
        <f t="shared" si="373"/>
        <v>1120.050760390267</v>
      </c>
      <c r="O2992" t="s">
        <v>8</v>
      </c>
    </row>
    <row r="2993" spans="1:15" x14ac:dyDescent="0.35">
      <c r="A2993">
        <v>2008</v>
      </c>
      <c r="B2993">
        <v>3</v>
      </c>
      <c r="C2993">
        <v>10</v>
      </c>
      <c r="D2993" s="1">
        <f t="shared" si="368"/>
        <v>39517</v>
      </c>
      <c r="E2993">
        <v>0</v>
      </c>
      <c r="F2993">
        <f t="shared" si="374"/>
        <v>0</v>
      </c>
      <c r="G2993">
        <f t="shared" si="369"/>
        <v>0</v>
      </c>
      <c r="H2993">
        <f t="shared" si="375"/>
        <v>0</v>
      </c>
      <c r="I2993">
        <v>2992</v>
      </c>
      <c r="J2993">
        <f t="shared" si="370"/>
        <v>0.93354189111792174</v>
      </c>
      <c r="K2993">
        <f t="shared" si="371"/>
        <v>0.35846832151247959</v>
      </c>
      <c r="L2993">
        <f>VLOOKUP(D2993,[1]SOI!$A$1:$C$142,3)</f>
        <v>21.3</v>
      </c>
      <c r="M2993" s="2">
        <f t="shared" si="372"/>
        <v>2793.1573382248221</v>
      </c>
      <c r="N2993">
        <f t="shared" si="373"/>
        <v>1072.5372179653389</v>
      </c>
      <c r="O2993" t="s">
        <v>8</v>
      </c>
    </row>
    <row r="2994" spans="1:15" x14ac:dyDescent="0.35">
      <c r="A2994">
        <v>2008</v>
      </c>
      <c r="B2994">
        <v>3</v>
      </c>
      <c r="C2994">
        <v>11</v>
      </c>
      <c r="D2994" s="1">
        <f t="shared" si="368"/>
        <v>39518</v>
      </c>
      <c r="E2994">
        <v>0</v>
      </c>
      <c r="F2994">
        <f t="shared" si="374"/>
        <v>0</v>
      </c>
      <c r="G2994">
        <f t="shared" si="369"/>
        <v>0</v>
      </c>
      <c r="H2994">
        <f t="shared" si="375"/>
        <v>0</v>
      </c>
      <c r="I2994">
        <v>2993</v>
      </c>
      <c r="J2994">
        <f t="shared" si="370"/>
        <v>0.93956998595306052</v>
      </c>
      <c r="K2994">
        <f t="shared" si="371"/>
        <v>0.34235689199454655</v>
      </c>
      <c r="L2994">
        <f>VLOOKUP(D2994,[1]SOI!$A$1:$C$142,3)</f>
        <v>21.3</v>
      </c>
      <c r="M2994" s="2">
        <f t="shared" si="372"/>
        <v>2812.1329679575101</v>
      </c>
      <c r="N2994">
        <f t="shared" si="373"/>
        <v>1024.6741777396778</v>
      </c>
      <c r="O2994" t="s">
        <v>8</v>
      </c>
    </row>
    <row r="2995" spans="1:15" x14ac:dyDescent="0.35">
      <c r="A2995">
        <v>2008</v>
      </c>
      <c r="B2995">
        <v>3</v>
      </c>
      <c r="C2995">
        <v>12</v>
      </c>
      <c r="D2995" s="1">
        <f t="shared" si="368"/>
        <v>39519</v>
      </c>
      <c r="E2995">
        <v>0</v>
      </c>
      <c r="F2995">
        <f t="shared" si="374"/>
        <v>0</v>
      </c>
      <c r="G2995">
        <f t="shared" si="369"/>
        <v>0</v>
      </c>
      <c r="H2995">
        <f t="shared" si="375"/>
        <v>0</v>
      </c>
      <c r="I2995">
        <v>2994</v>
      </c>
      <c r="J2995">
        <f t="shared" si="370"/>
        <v>0.94532004691313087</v>
      </c>
      <c r="K2995">
        <f t="shared" si="371"/>
        <v>0.32614415356427295</v>
      </c>
      <c r="L2995">
        <f>VLOOKUP(D2995,[1]SOI!$A$1:$C$142,3)</f>
        <v>21.3</v>
      </c>
      <c r="M2995" s="2">
        <f t="shared" si="372"/>
        <v>2830.2882204579137</v>
      </c>
      <c r="N2995">
        <f t="shared" si="373"/>
        <v>976.47559577143318</v>
      </c>
      <c r="O2995" t="s">
        <v>8</v>
      </c>
    </row>
    <row r="2996" spans="1:15" x14ac:dyDescent="0.35">
      <c r="A2996">
        <v>2008</v>
      </c>
      <c r="B2996">
        <v>3</v>
      </c>
      <c r="C2996">
        <v>13</v>
      </c>
      <c r="D2996" s="1">
        <f t="shared" si="368"/>
        <v>39520</v>
      </c>
      <c r="E2996">
        <v>0</v>
      </c>
      <c r="F2996">
        <f t="shared" si="374"/>
        <v>0</v>
      </c>
      <c r="G2996">
        <f t="shared" si="369"/>
        <v>0</v>
      </c>
      <c r="H2996">
        <f t="shared" si="375"/>
        <v>0</v>
      </c>
      <c r="I2996">
        <v>2995</v>
      </c>
      <c r="J2996">
        <f t="shared" si="370"/>
        <v>0.95079037246258247</v>
      </c>
      <c r="K2996">
        <f t="shared" si="371"/>
        <v>0.30983490383180479</v>
      </c>
      <c r="L2996">
        <f>VLOOKUP(D2996,[1]SOI!$A$1:$C$142,3)</f>
        <v>21.3</v>
      </c>
      <c r="M2996" s="2">
        <f t="shared" si="372"/>
        <v>2847.6171655254343</v>
      </c>
      <c r="N2996">
        <f t="shared" si="373"/>
        <v>927.9555369762553</v>
      </c>
      <c r="O2996" t="s">
        <v>8</v>
      </c>
    </row>
    <row r="2997" spans="1:15" x14ac:dyDescent="0.35">
      <c r="A2997">
        <v>2008</v>
      </c>
      <c r="B2997">
        <v>3</v>
      </c>
      <c r="C2997">
        <v>14</v>
      </c>
      <c r="D2997" s="1">
        <f t="shared" si="368"/>
        <v>39521</v>
      </c>
      <c r="E2997">
        <v>0</v>
      </c>
      <c r="F2997">
        <f t="shared" si="374"/>
        <v>0</v>
      </c>
      <c r="G2997">
        <f t="shared" si="369"/>
        <v>0</v>
      </c>
      <c r="H2997">
        <f t="shared" si="375"/>
        <v>0</v>
      </c>
      <c r="I2997">
        <v>2996</v>
      </c>
      <c r="J2997">
        <f t="shared" si="370"/>
        <v>0.95597934384407612</v>
      </c>
      <c r="K2997">
        <f t="shared" si="371"/>
        <v>0.29343396896652851</v>
      </c>
      <c r="L2997">
        <f>VLOOKUP(D2997,[1]SOI!$A$1:$C$142,3)</f>
        <v>21.3</v>
      </c>
      <c r="M2997" s="2">
        <f t="shared" si="372"/>
        <v>2864.1141141568519</v>
      </c>
      <c r="N2997">
        <f t="shared" si="373"/>
        <v>879.12817102371946</v>
      </c>
      <c r="O2997" t="s">
        <v>8</v>
      </c>
    </row>
    <row r="2998" spans="1:15" x14ac:dyDescent="0.35">
      <c r="A2998">
        <v>2008</v>
      </c>
      <c r="B2998">
        <v>3</v>
      </c>
      <c r="C2998">
        <v>15</v>
      </c>
      <c r="D2998" s="1">
        <f t="shared" si="368"/>
        <v>39522</v>
      </c>
      <c r="E2998">
        <v>0</v>
      </c>
      <c r="F2998">
        <f t="shared" si="374"/>
        <v>0</v>
      </c>
      <c r="G2998">
        <f t="shared" si="369"/>
        <v>0</v>
      </c>
      <c r="H2998">
        <f t="shared" si="375"/>
        <v>0</v>
      </c>
      <c r="I2998">
        <v>2997</v>
      </c>
      <c r="J2998">
        <f t="shared" si="370"/>
        <v>0.96088542555749767</v>
      </c>
      <c r="K2998">
        <f t="shared" si="371"/>
        <v>0.27694620226893646</v>
      </c>
      <c r="L2998">
        <f>VLOOKUP(D2998,[1]SOI!$A$1:$C$142,3)</f>
        <v>21.3</v>
      </c>
      <c r="M2998" s="2">
        <f t="shared" si="372"/>
        <v>2879.7736203958207</v>
      </c>
      <c r="N2998">
        <f t="shared" si="373"/>
        <v>830.0077682000026</v>
      </c>
      <c r="O2998" t="s">
        <v>8</v>
      </c>
    </row>
    <row r="2999" spans="1:15" x14ac:dyDescent="0.35">
      <c r="A2999">
        <v>2008</v>
      </c>
      <c r="B2999">
        <v>3</v>
      </c>
      <c r="C2999">
        <v>16</v>
      </c>
      <c r="D2999" s="1">
        <f t="shared" si="368"/>
        <v>39523</v>
      </c>
      <c r="E2999">
        <v>0</v>
      </c>
      <c r="F2999">
        <f t="shared" si="374"/>
        <v>0</v>
      </c>
      <c r="G2999">
        <f t="shared" si="369"/>
        <v>0</v>
      </c>
      <c r="H2999">
        <f t="shared" si="375"/>
        <v>0</v>
      </c>
      <c r="I2999">
        <v>2998</v>
      </c>
      <c r="J2999">
        <f t="shared" si="370"/>
        <v>0.96550716581433482</v>
      </c>
      <c r="K2999">
        <f t="shared" si="371"/>
        <v>0.2603764827344639</v>
      </c>
      <c r="L2999">
        <f>VLOOKUP(D2999,[1]SOI!$A$1:$C$142,3)</f>
        <v>21.3</v>
      </c>
      <c r="M2999" s="2">
        <f t="shared" si="372"/>
        <v>2894.5904831113758</v>
      </c>
      <c r="N2999">
        <f t="shared" si="373"/>
        <v>780.6086952379228</v>
      </c>
      <c r="O2999" t="s">
        <v>8</v>
      </c>
    </row>
    <row r="3000" spans="1:15" x14ac:dyDescent="0.35">
      <c r="A3000">
        <v>2008</v>
      </c>
      <c r="B3000">
        <v>3</v>
      </c>
      <c r="C3000">
        <v>17</v>
      </c>
      <c r="D3000" s="1">
        <f t="shared" si="368"/>
        <v>39524</v>
      </c>
      <c r="E3000">
        <v>0</v>
      </c>
      <c r="F3000">
        <f t="shared" si="374"/>
        <v>0</v>
      </c>
      <c r="G3000">
        <f t="shared" si="369"/>
        <v>0</v>
      </c>
      <c r="H3000">
        <f t="shared" si="375"/>
        <v>0</v>
      </c>
      <c r="I3000">
        <v>2999</v>
      </c>
      <c r="J3000">
        <f t="shared" si="370"/>
        <v>0.96984319696729282</v>
      </c>
      <c r="K3000">
        <f t="shared" si="371"/>
        <v>0.24372971360968856</v>
      </c>
      <c r="L3000">
        <f>VLOOKUP(D3000,[1]SOI!$A$1:$C$142,3)</f>
        <v>21.3</v>
      </c>
      <c r="M3000" s="2">
        <f t="shared" si="372"/>
        <v>2908.5597477049114</v>
      </c>
      <c r="N3000">
        <f t="shared" si="373"/>
        <v>730.94541111545595</v>
      </c>
      <c r="O3000" t="s">
        <v>8</v>
      </c>
    </row>
    <row r="3001" spans="1:15" x14ac:dyDescent="0.35">
      <c r="A3001">
        <v>2008</v>
      </c>
      <c r="B3001">
        <v>3</v>
      </c>
      <c r="C3001">
        <v>18</v>
      </c>
      <c r="D3001" s="1">
        <f t="shared" si="368"/>
        <v>39525</v>
      </c>
      <c r="E3001">
        <v>0</v>
      </c>
      <c r="F3001">
        <f t="shared" si="374"/>
        <v>0</v>
      </c>
      <c r="G3001">
        <f t="shared" si="369"/>
        <v>0</v>
      </c>
      <c r="H3001">
        <f t="shared" si="375"/>
        <v>0</v>
      </c>
      <c r="I3001">
        <v>3000</v>
      </c>
      <c r="J3001">
        <f t="shared" si="370"/>
        <v>0.97389223591499152</v>
      </c>
      <c r="K3001">
        <f t="shared" si="371"/>
        <v>0.22701082094142211</v>
      </c>
      <c r="L3001">
        <f>VLOOKUP(D3001,[1]SOI!$A$1:$C$142,3)</f>
        <v>21.3</v>
      </c>
      <c r="M3001" s="2">
        <f t="shared" si="372"/>
        <v>2921.6767077449745</v>
      </c>
      <c r="N3001">
        <f t="shared" si="373"/>
        <v>681.0324628242663</v>
      </c>
      <c r="O3001" t="s">
        <v>8</v>
      </c>
    </row>
    <row r="3002" spans="1:15" x14ac:dyDescent="0.35">
      <c r="A3002">
        <v>2008</v>
      </c>
      <c r="B3002">
        <v>3</v>
      </c>
      <c r="C3002">
        <v>19</v>
      </c>
      <c r="D3002" s="1">
        <f t="shared" si="368"/>
        <v>39526</v>
      </c>
      <c r="E3002">
        <v>0</v>
      </c>
      <c r="F3002">
        <f t="shared" si="374"/>
        <v>0</v>
      </c>
      <c r="G3002">
        <f t="shared" si="369"/>
        <v>0</v>
      </c>
      <c r="H3002">
        <f t="shared" si="375"/>
        <v>0</v>
      </c>
      <c r="I3002">
        <v>3001</v>
      </c>
      <c r="J3002">
        <f t="shared" si="370"/>
        <v>0.97765308448166355</v>
      </c>
      <c r="K3002">
        <f t="shared" si="371"/>
        <v>0.21022475211898614</v>
      </c>
      <c r="L3002">
        <f>VLOOKUP(D3002,[1]SOI!$A$1:$C$142,3)</f>
        <v>21.3</v>
      </c>
      <c r="M3002" s="2">
        <f t="shared" si="372"/>
        <v>2933.9369065294723</v>
      </c>
      <c r="N3002">
        <f t="shared" si="373"/>
        <v>630.88448110907746</v>
      </c>
      <c r="O3002" t="s">
        <v>8</v>
      </c>
    </row>
    <row r="3003" spans="1:15" x14ac:dyDescent="0.35">
      <c r="A3003">
        <v>2008</v>
      </c>
      <c r="B3003">
        <v>3</v>
      </c>
      <c r="C3003">
        <v>20</v>
      </c>
      <c r="D3003" s="1">
        <f t="shared" si="368"/>
        <v>39527</v>
      </c>
      <c r="E3003">
        <v>0</v>
      </c>
      <c r="F3003">
        <f t="shared" si="374"/>
        <v>0</v>
      </c>
      <c r="G3003">
        <f t="shared" si="369"/>
        <v>0</v>
      </c>
      <c r="H3003">
        <f t="shared" si="375"/>
        <v>0</v>
      </c>
      <c r="I3003">
        <v>3002</v>
      </c>
      <c r="J3003">
        <f t="shared" si="370"/>
        <v>0.98112462977171178</v>
      </c>
      <c r="K3003">
        <f t="shared" si="371"/>
        <v>0.19337647441020714</v>
      </c>
      <c r="L3003">
        <f>VLOOKUP(D3003,[1]SOI!$A$1:$C$142,3)</f>
        <v>21.3</v>
      </c>
      <c r="M3003" s="2">
        <f t="shared" si="372"/>
        <v>2945.3361385746789</v>
      </c>
      <c r="N3003">
        <f t="shared" si="373"/>
        <v>580.5161761794418</v>
      </c>
      <c r="O3003" t="s">
        <v>8</v>
      </c>
    </row>
    <row r="3004" spans="1:15" x14ac:dyDescent="0.35">
      <c r="A3004">
        <v>2008</v>
      </c>
      <c r="B3004">
        <v>3</v>
      </c>
      <c r="C3004">
        <v>21</v>
      </c>
      <c r="D3004" s="1">
        <f t="shared" si="368"/>
        <v>39528</v>
      </c>
      <c r="E3004">
        <v>0</v>
      </c>
      <c r="F3004">
        <f t="shared" si="374"/>
        <v>0</v>
      </c>
      <c r="G3004">
        <f t="shared" si="369"/>
        <v>0</v>
      </c>
      <c r="H3004">
        <f t="shared" si="375"/>
        <v>0</v>
      </c>
      <c r="I3004">
        <v>3003</v>
      </c>
      <c r="J3004">
        <f t="shared" si="370"/>
        <v>0.98430584449903302</v>
      </c>
      <c r="K3004">
        <f t="shared" si="371"/>
        <v>0.17647097349152183</v>
      </c>
      <c r="L3004">
        <f>VLOOKUP(D3004,[1]SOI!$A$1:$C$142,3)</f>
        <v>21.3</v>
      </c>
      <c r="M3004" s="2">
        <f t="shared" si="372"/>
        <v>2955.8704510305961</v>
      </c>
      <c r="N3004">
        <f t="shared" si="373"/>
        <v>529.94233339504001</v>
      </c>
      <c r="O3004" t="s">
        <v>8</v>
      </c>
    </row>
    <row r="3005" spans="1:15" x14ac:dyDescent="0.35">
      <c r="A3005">
        <v>2008</v>
      </c>
      <c r="B3005">
        <v>3</v>
      </c>
      <c r="C3005">
        <v>22</v>
      </c>
      <c r="D3005" s="1">
        <f t="shared" si="368"/>
        <v>39529</v>
      </c>
      <c r="E3005">
        <v>0</v>
      </c>
      <c r="F3005">
        <f t="shared" si="374"/>
        <v>0</v>
      </c>
      <c r="G3005">
        <f t="shared" si="369"/>
        <v>0</v>
      </c>
      <c r="H3005">
        <f t="shared" si="375"/>
        <v>0</v>
      </c>
      <c r="I3005">
        <v>3004</v>
      </c>
      <c r="J3005">
        <f t="shared" si="370"/>
        <v>0.98719578729100754</v>
      </c>
      <c r="K3005">
        <f t="shared" si="371"/>
        <v>0.15951325197264243</v>
      </c>
      <c r="L3005">
        <f>VLOOKUP(D3005,[1]SOI!$A$1:$C$142,3)</f>
        <v>21.3</v>
      </c>
      <c r="M3005" s="2">
        <f t="shared" si="372"/>
        <v>2965.5361450221867</v>
      </c>
      <c r="N3005">
        <f t="shared" si="373"/>
        <v>479.17780892581789</v>
      </c>
      <c r="O3005" t="s">
        <v>8</v>
      </c>
    </row>
    <row r="3006" spans="1:15" x14ac:dyDescent="0.35">
      <c r="A3006">
        <v>2008</v>
      </c>
      <c r="B3006">
        <v>3</v>
      </c>
      <c r="C3006">
        <v>23</v>
      </c>
      <c r="D3006" s="1">
        <f t="shared" si="368"/>
        <v>39530</v>
      </c>
      <c r="E3006">
        <v>0</v>
      </c>
      <c r="F3006">
        <f t="shared" si="374"/>
        <v>0</v>
      </c>
      <c r="G3006">
        <f t="shared" si="369"/>
        <v>0</v>
      </c>
      <c r="H3006">
        <f t="shared" si="375"/>
        <v>0</v>
      </c>
      <c r="I3006">
        <v>3005</v>
      </c>
      <c r="J3006">
        <f t="shared" si="370"/>
        <v>0.98979360296707097</v>
      </c>
      <c r="K3006">
        <f t="shared" si="371"/>
        <v>0.14250832791617588</v>
      </c>
      <c r="L3006">
        <f>VLOOKUP(D3006,[1]SOI!$A$1:$C$142,3)</f>
        <v>21.3</v>
      </c>
      <c r="M3006" s="2">
        <f t="shared" si="372"/>
        <v>2974.3297769160481</v>
      </c>
      <c r="N3006">
        <f t="shared" si="373"/>
        <v>428.23752538810851</v>
      </c>
      <c r="O3006" t="s">
        <v>8</v>
      </c>
    </row>
    <row r="3007" spans="1:15" x14ac:dyDescent="0.35">
      <c r="A3007">
        <v>2008</v>
      </c>
      <c r="B3007">
        <v>3</v>
      </c>
      <c r="C3007">
        <v>24</v>
      </c>
      <c r="D3007" s="1">
        <f t="shared" si="368"/>
        <v>39531</v>
      </c>
      <c r="E3007">
        <v>0</v>
      </c>
      <c r="F3007">
        <f t="shared" si="374"/>
        <v>0</v>
      </c>
      <c r="G3007">
        <f t="shared" si="369"/>
        <v>0</v>
      </c>
      <c r="H3007">
        <f t="shared" si="375"/>
        <v>0</v>
      </c>
      <c r="I3007">
        <v>3006</v>
      </c>
      <c r="J3007">
        <f t="shared" si="370"/>
        <v>0.99209852279176847</v>
      </c>
      <c r="K3007">
        <f t="shared" si="371"/>
        <v>0.1254612333527404</v>
      </c>
      <c r="L3007">
        <f>VLOOKUP(D3007,[1]SOI!$A$1:$C$142,3)</f>
        <v>21.3</v>
      </c>
      <c r="M3007" s="2">
        <f t="shared" si="372"/>
        <v>2982.2481595120562</v>
      </c>
      <c r="N3007">
        <f t="shared" si="373"/>
        <v>377.13646745833762</v>
      </c>
      <c r="O3007" t="s">
        <v>8</v>
      </c>
    </row>
    <row r="3008" spans="1:15" x14ac:dyDescent="0.35">
      <c r="A3008">
        <v>2008</v>
      </c>
      <c r="B3008">
        <v>3</v>
      </c>
      <c r="C3008">
        <v>25</v>
      </c>
      <c r="D3008" s="1">
        <f t="shared" si="368"/>
        <v>39532</v>
      </c>
      <c r="E3008">
        <v>13.6</v>
      </c>
      <c r="F3008">
        <f t="shared" si="374"/>
        <v>0</v>
      </c>
      <c r="G3008">
        <f t="shared" si="369"/>
        <v>1</v>
      </c>
      <c r="H3008">
        <f t="shared" si="375"/>
        <v>0</v>
      </c>
      <c r="I3008">
        <v>3007</v>
      </c>
      <c r="J3008">
        <f t="shared" si="370"/>
        <v>0.9941098647022415</v>
      </c>
      <c r="K3008">
        <f t="shared" si="371"/>
        <v>0.1083770127918787</v>
      </c>
      <c r="L3008">
        <f>VLOOKUP(D3008,[1]SOI!$A$1:$C$142,3)</f>
        <v>21.3</v>
      </c>
      <c r="M3008" s="2">
        <f t="shared" si="372"/>
        <v>2989.2883631596401</v>
      </c>
      <c r="N3008">
        <f t="shared" si="373"/>
        <v>325.88967746517926</v>
      </c>
      <c r="O3008" t="s">
        <v>8</v>
      </c>
    </row>
    <row r="3009" spans="1:15" x14ac:dyDescent="0.35">
      <c r="A3009">
        <v>2008</v>
      </c>
      <c r="B3009">
        <v>3</v>
      </c>
      <c r="C3009">
        <v>26</v>
      </c>
      <c r="D3009" s="1">
        <f t="shared" si="368"/>
        <v>39533</v>
      </c>
      <c r="E3009">
        <v>0</v>
      </c>
      <c r="F3009">
        <f t="shared" si="374"/>
        <v>13.6</v>
      </c>
      <c r="G3009">
        <f t="shared" si="369"/>
        <v>0</v>
      </c>
      <c r="H3009">
        <f t="shared" si="375"/>
        <v>1</v>
      </c>
      <c r="I3009">
        <v>3008</v>
      </c>
      <c r="J3009">
        <f t="shared" si="370"/>
        <v>0.9958270335100593</v>
      </c>
      <c r="K3009">
        <f t="shared" si="371"/>
        <v>9.126072172931339E-2</v>
      </c>
      <c r="L3009">
        <f>VLOOKUP(D3009,[1]SOI!$A$1:$C$142,3)</f>
        <v>21.3</v>
      </c>
      <c r="M3009" s="2">
        <f t="shared" si="372"/>
        <v>2995.4477167982582</v>
      </c>
      <c r="N3009">
        <f t="shared" si="373"/>
        <v>274.51225096177467</v>
      </c>
      <c r="O3009" t="s">
        <v>8</v>
      </c>
    </row>
    <row r="3010" spans="1:15" x14ac:dyDescent="0.35">
      <c r="A3010">
        <v>2008</v>
      </c>
      <c r="B3010">
        <v>3</v>
      </c>
      <c r="C3010">
        <v>27</v>
      </c>
      <c r="D3010" s="1">
        <f t="shared" si="368"/>
        <v>39534</v>
      </c>
      <c r="E3010">
        <v>24.8</v>
      </c>
      <c r="F3010">
        <f t="shared" si="374"/>
        <v>0</v>
      </c>
      <c r="G3010">
        <f t="shared" si="369"/>
        <v>1</v>
      </c>
      <c r="H3010">
        <f t="shared" si="375"/>
        <v>0</v>
      </c>
      <c r="I3010">
        <v>3009</v>
      </c>
      <c r="J3010">
        <f t="shared" si="370"/>
        <v>0.99724952107734455</v>
      </c>
      <c r="K3010">
        <f t="shared" si="371"/>
        <v>7.4117425150951627E-2</v>
      </c>
      <c r="L3010">
        <f>VLOOKUP(D3010,[1]SOI!$A$1:$C$142,3)</f>
        <v>21.3</v>
      </c>
      <c r="M3010" s="2">
        <f t="shared" si="372"/>
        <v>3000.7238089217299</v>
      </c>
      <c r="N3010">
        <f t="shared" si="373"/>
        <v>223.01933227921344</v>
      </c>
      <c r="O3010" t="s">
        <v>8</v>
      </c>
    </row>
    <row r="3011" spans="1:15" x14ac:dyDescent="0.35">
      <c r="A3011">
        <v>2008</v>
      </c>
      <c r="B3011">
        <v>3</v>
      </c>
      <c r="C3011">
        <v>28</v>
      </c>
      <c r="D3011" s="1">
        <f t="shared" ref="D3011:D3074" si="376">DATE(A3011,B3011,C3011)</f>
        <v>39535</v>
      </c>
      <c r="E3011">
        <v>28.6</v>
      </c>
      <c r="F3011">
        <f t="shared" si="374"/>
        <v>24.8</v>
      </c>
      <c r="G3011">
        <f t="shared" ref="G3011:G3074" si="377">IF(E3011=0,0,1)</f>
        <v>1</v>
      </c>
      <c r="H3011">
        <f t="shared" si="375"/>
        <v>1</v>
      </c>
      <c r="I3011">
        <v>3010</v>
      </c>
      <c r="J3011">
        <f t="shared" ref="J3011:J3074" si="378">SIN(2*PI()*I3011/365.25)</f>
        <v>0.99837690646714161</v>
      </c>
      <c r="K3011">
        <f t="shared" ref="K3011:K3074" si="379">COS(2*PI()*I3011/365.25)</f>
        <v>5.6952196034045922E-2</v>
      </c>
      <c r="L3011">
        <f>VLOOKUP(D3011,[1]SOI!$A$1:$C$142,3)</f>
        <v>21.3</v>
      </c>
      <c r="M3011" s="2">
        <f t="shared" ref="M3011:M3074" si="380">I3011*J3011</f>
        <v>3005.1144884660962</v>
      </c>
      <c r="N3011">
        <f t="shared" ref="N3011:N3074" si="381">I3011*K3011</f>
        <v>171.42611006247822</v>
      </c>
      <c r="O3011" t="s">
        <v>8</v>
      </c>
    </row>
    <row r="3012" spans="1:15" x14ac:dyDescent="0.35">
      <c r="A3012">
        <v>2008</v>
      </c>
      <c r="B3012">
        <v>3</v>
      </c>
      <c r="C3012">
        <v>29</v>
      </c>
      <c r="D3012" s="1">
        <f t="shared" si="376"/>
        <v>39536</v>
      </c>
      <c r="E3012">
        <v>0</v>
      </c>
      <c r="F3012">
        <f t="shared" ref="F3012:F3075" si="382">E3011</f>
        <v>28.6</v>
      </c>
      <c r="G3012">
        <f t="shared" si="377"/>
        <v>0</v>
      </c>
      <c r="H3012">
        <f t="shared" ref="H3012:H3075" si="383">G3011</f>
        <v>1</v>
      </c>
      <c r="I3012">
        <v>3011</v>
      </c>
      <c r="J3012">
        <f t="shared" si="378"/>
        <v>0.99920885606797505</v>
      </c>
      <c r="K3012">
        <f t="shared" si="379"/>
        <v>3.9770113846061009E-2</v>
      </c>
      <c r="L3012">
        <f>VLOOKUP(D3012,[1]SOI!$A$1:$C$142,3)</f>
        <v>21.3</v>
      </c>
      <c r="M3012" s="2">
        <f t="shared" si="380"/>
        <v>3008.617865620673</v>
      </c>
      <c r="N3012">
        <f t="shared" si="381"/>
        <v>119.7478127904897</v>
      </c>
      <c r="O3012" t="s">
        <v>8</v>
      </c>
    </row>
    <row r="3013" spans="1:15" x14ac:dyDescent="0.35">
      <c r="A3013">
        <v>2008</v>
      </c>
      <c r="B3013">
        <v>3</v>
      </c>
      <c r="C3013">
        <v>30</v>
      </c>
      <c r="D3013" s="1">
        <f t="shared" si="376"/>
        <v>39537</v>
      </c>
      <c r="E3013">
        <v>2.4</v>
      </c>
      <c r="F3013">
        <f t="shared" si="382"/>
        <v>0</v>
      </c>
      <c r="G3013">
        <f t="shared" si="377"/>
        <v>1</v>
      </c>
      <c r="H3013">
        <f t="shared" si="383"/>
        <v>0</v>
      </c>
      <c r="I3013">
        <v>3012</v>
      </c>
      <c r="J3013">
        <f t="shared" si="378"/>
        <v>0.99974512369257329</v>
      </c>
      <c r="K3013">
        <f t="shared" si="379"/>
        <v>2.2576263041549444E-2</v>
      </c>
      <c r="L3013">
        <f>VLOOKUP(D3013,[1]SOI!$A$1:$C$142,3)</f>
        <v>21.3</v>
      </c>
      <c r="M3013" s="2">
        <f t="shared" si="380"/>
        <v>3011.2323125620305</v>
      </c>
      <c r="N3013">
        <f t="shared" si="381"/>
        <v>67.999704281146919</v>
      </c>
      <c r="O3013" t="s">
        <v>8</v>
      </c>
    </row>
    <row r="3014" spans="1:15" x14ac:dyDescent="0.35">
      <c r="A3014">
        <v>2008</v>
      </c>
      <c r="B3014">
        <v>3</v>
      </c>
      <c r="C3014">
        <v>31</v>
      </c>
      <c r="D3014" s="1">
        <f t="shared" si="376"/>
        <v>39538</v>
      </c>
      <c r="E3014">
        <v>0</v>
      </c>
      <c r="F3014">
        <f t="shared" si="382"/>
        <v>2.4</v>
      </c>
      <c r="G3014">
        <f t="shared" si="377"/>
        <v>0</v>
      </c>
      <c r="H3014">
        <f t="shared" si="383"/>
        <v>1</v>
      </c>
      <c r="I3014">
        <v>3013</v>
      </c>
      <c r="J3014">
        <f t="shared" si="378"/>
        <v>0.99998555065071859</v>
      </c>
      <c r="K3014">
        <f t="shared" si="379"/>
        <v>5.3757315575796273E-3</v>
      </c>
      <c r="L3014">
        <f>VLOOKUP(D3014,[1]SOI!$A$1:$C$142,3)</f>
        <v>21.3</v>
      </c>
      <c r="M3014" s="2">
        <f t="shared" si="380"/>
        <v>3012.9564641106149</v>
      </c>
      <c r="N3014">
        <f t="shared" si="381"/>
        <v>16.197079182987416</v>
      </c>
      <c r="O3014" t="s">
        <v>8</v>
      </c>
    </row>
    <row r="3015" spans="1:15" x14ac:dyDescent="0.35">
      <c r="A3015">
        <v>2008</v>
      </c>
      <c r="B3015">
        <v>4</v>
      </c>
      <c r="C3015">
        <v>1</v>
      </c>
      <c r="D3015" s="1">
        <f t="shared" si="376"/>
        <v>39539</v>
      </c>
      <c r="E3015">
        <v>0.2</v>
      </c>
      <c r="F3015">
        <f t="shared" si="382"/>
        <v>0</v>
      </c>
      <c r="G3015">
        <f t="shared" si="377"/>
        <v>1</v>
      </c>
      <c r="H3015">
        <f t="shared" si="383"/>
        <v>0</v>
      </c>
      <c r="I3015">
        <v>3014</v>
      </c>
      <c r="J3015">
        <f t="shared" si="378"/>
        <v>0.99993006579620558</v>
      </c>
      <c r="K3015">
        <f t="shared" si="379"/>
        <v>-1.1826390691838176E-2</v>
      </c>
      <c r="L3015">
        <f>VLOOKUP(D3015,[1]SOI!$A$1:$C$142,3)</f>
        <v>12.2</v>
      </c>
      <c r="M3015" s="2">
        <f t="shared" si="380"/>
        <v>3013.7892183097638</v>
      </c>
      <c r="N3015">
        <f t="shared" si="381"/>
        <v>-35.644741545200262</v>
      </c>
      <c r="O3015" t="s">
        <v>8</v>
      </c>
    </row>
    <row r="3016" spans="1:15" x14ac:dyDescent="0.35">
      <c r="A3016">
        <v>2008</v>
      </c>
      <c r="B3016">
        <v>4</v>
      </c>
      <c r="C3016">
        <v>2</v>
      </c>
      <c r="D3016" s="1">
        <f t="shared" si="376"/>
        <v>39540</v>
      </c>
      <c r="E3016">
        <v>0</v>
      </c>
      <c r="F3016">
        <f t="shared" si="382"/>
        <v>0.2</v>
      </c>
      <c r="G3016">
        <f t="shared" si="377"/>
        <v>0</v>
      </c>
      <c r="H3016">
        <f t="shared" si="383"/>
        <v>1</v>
      </c>
      <c r="I3016">
        <v>3015</v>
      </c>
      <c r="J3016">
        <f t="shared" si="378"/>
        <v>0.99957868554789597</v>
      </c>
      <c r="K3016">
        <f t="shared" si="379"/>
        <v>-2.9025013321967729E-2</v>
      </c>
      <c r="L3016">
        <f>VLOOKUP(D3016,[1]SOI!$A$1:$C$142,3)</f>
        <v>12.2</v>
      </c>
      <c r="M3016" s="2">
        <f t="shared" si="380"/>
        <v>3013.7297369269063</v>
      </c>
      <c r="N3016">
        <f t="shared" si="381"/>
        <v>-87.510415165732709</v>
      </c>
      <c r="O3016" t="s">
        <v>8</v>
      </c>
    </row>
    <row r="3017" spans="1:15" x14ac:dyDescent="0.35">
      <c r="A3017">
        <v>2008</v>
      </c>
      <c r="B3017">
        <v>4</v>
      </c>
      <c r="C3017">
        <v>3</v>
      </c>
      <c r="D3017" s="1">
        <f t="shared" si="376"/>
        <v>39541</v>
      </c>
      <c r="E3017">
        <v>4.4000000000000004</v>
      </c>
      <c r="F3017">
        <f t="shared" si="382"/>
        <v>0</v>
      </c>
      <c r="G3017">
        <f t="shared" si="377"/>
        <v>1</v>
      </c>
      <c r="H3017">
        <f t="shared" si="383"/>
        <v>0</v>
      </c>
      <c r="I3017">
        <v>3016</v>
      </c>
      <c r="J3017">
        <f t="shared" si="378"/>
        <v>0.99893151388485801</v>
      </c>
      <c r="K3017">
        <f t="shared" si="379"/>
        <v>-4.6215046983701963E-2</v>
      </c>
      <c r="L3017">
        <f>VLOOKUP(D3017,[1]SOI!$A$1:$C$142,3)</f>
        <v>12.2</v>
      </c>
      <c r="M3017" s="2">
        <f t="shared" si="380"/>
        <v>3012.7774458767317</v>
      </c>
      <c r="N3017">
        <f t="shared" si="381"/>
        <v>-139.38458170284511</v>
      </c>
      <c r="O3017" t="s">
        <v>8</v>
      </c>
    </row>
    <row r="3018" spans="1:15" x14ac:dyDescent="0.35">
      <c r="A3018">
        <v>2008</v>
      </c>
      <c r="B3018">
        <v>4</v>
      </c>
      <c r="C3018">
        <v>4</v>
      </c>
      <c r="D3018" s="1">
        <f t="shared" si="376"/>
        <v>39542</v>
      </c>
      <c r="E3018">
        <v>0.8</v>
      </c>
      <c r="F3018">
        <f t="shared" si="382"/>
        <v>4.4000000000000004</v>
      </c>
      <c r="G3018">
        <f t="shared" si="377"/>
        <v>1</v>
      </c>
      <c r="H3018">
        <f t="shared" si="383"/>
        <v>1</v>
      </c>
      <c r="I3018">
        <v>3017</v>
      </c>
      <c r="J3018">
        <f t="shared" si="378"/>
        <v>0.99798874231559875</v>
      </c>
      <c r="K3018">
        <f t="shared" si="379"/>
        <v>-6.3391404869505105E-2</v>
      </c>
      <c r="L3018">
        <f>VLOOKUP(D3018,[1]SOI!$A$1:$C$142,3)</f>
        <v>12.2</v>
      </c>
      <c r="M3018" s="2">
        <f t="shared" si="380"/>
        <v>3010.9320355661616</v>
      </c>
      <c r="N3018">
        <f t="shared" si="381"/>
        <v>-191.2518684912969</v>
      </c>
      <c r="O3018" t="s">
        <v>8</v>
      </c>
    </row>
    <row r="3019" spans="1:15" x14ac:dyDescent="0.35">
      <c r="A3019">
        <v>2008</v>
      </c>
      <c r="B3019">
        <v>4</v>
      </c>
      <c r="C3019">
        <v>5</v>
      </c>
      <c r="D3019" s="1">
        <f t="shared" si="376"/>
        <v>39543</v>
      </c>
      <c r="E3019">
        <v>0</v>
      </c>
      <c r="F3019">
        <f t="shared" si="382"/>
        <v>0.8</v>
      </c>
      <c r="G3019">
        <f t="shared" si="377"/>
        <v>0</v>
      </c>
      <c r="H3019">
        <f t="shared" si="383"/>
        <v>1</v>
      </c>
      <c r="I3019">
        <v>3018</v>
      </c>
      <c r="J3019">
        <f t="shared" si="378"/>
        <v>0.99675064982139272</v>
      </c>
      <c r="K3019">
        <f t="shared" si="379"/>
        <v>-8.0549004218744807E-2</v>
      </c>
      <c r="L3019">
        <f>VLOOKUP(D3019,[1]SOI!$A$1:$C$142,3)</f>
        <v>12.2</v>
      </c>
      <c r="M3019" s="2">
        <f t="shared" si="380"/>
        <v>3008.1934611609631</v>
      </c>
      <c r="N3019">
        <f t="shared" si="381"/>
        <v>-243.09689473217182</v>
      </c>
      <c r="O3019" t="s">
        <v>8</v>
      </c>
    </row>
    <row r="3020" spans="1:15" x14ac:dyDescent="0.35">
      <c r="A3020">
        <v>2008</v>
      </c>
      <c r="B3020">
        <v>4</v>
      </c>
      <c r="C3020">
        <v>6</v>
      </c>
      <c r="D3020" s="1">
        <f t="shared" si="376"/>
        <v>39544</v>
      </c>
      <c r="E3020">
        <v>0</v>
      </c>
      <c r="F3020">
        <f t="shared" si="382"/>
        <v>0</v>
      </c>
      <c r="G3020">
        <f t="shared" si="377"/>
        <v>0</v>
      </c>
      <c r="H3020">
        <f t="shared" si="383"/>
        <v>0</v>
      </c>
      <c r="I3020">
        <v>3019</v>
      </c>
      <c r="J3020">
        <f t="shared" si="378"/>
        <v>0.99521760277372906</v>
      </c>
      <c r="K3020">
        <f t="shared" si="379"/>
        <v>-9.7682767821720209E-2</v>
      </c>
      <c r="L3020">
        <f>VLOOKUP(D3020,[1]SOI!$A$1:$C$142,3)</f>
        <v>12.2</v>
      </c>
      <c r="M3020" s="2">
        <f t="shared" si="380"/>
        <v>3004.5619427738879</v>
      </c>
      <c r="N3020">
        <f t="shared" si="381"/>
        <v>-294.90427605377329</v>
      </c>
      <c r="O3020" t="s">
        <v>8</v>
      </c>
    </row>
    <row r="3021" spans="1:15" x14ac:dyDescent="0.35">
      <c r="A3021">
        <v>2008</v>
      </c>
      <c r="B3021">
        <v>4</v>
      </c>
      <c r="C3021">
        <v>7</v>
      </c>
      <c r="D3021" s="1">
        <f t="shared" si="376"/>
        <v>39545</v>
      </c>
      <c r="E3021">
        <v>0</v>
      </c>
      <c r="F3021">
        <f t="shared" si="382"/>
        <v>0</v>
      </c>
      <c r="G3021">
        <f t="shared" si="377"/>
        <v>0</v>
      </c>
      <c r="H3021">
        <f t="shared" si="383"/>
        <v>0</v>
      </c>
      <c r="I3021">
        <v>3020</v>
      </c>
      <c r="J3021">
        <f t="shared" si="378"/>
        <v>0.9933900548258946</v>
      </c>
      <c r="K3021">
        <f t="shared" si="379"/>
        <v>-0.11478762552211845</v>
      </c>
      <c r="L3021">
        <f>VLOOKUP(D3021,[1]SOI!$A$1:$C$142,3)</f>
        <v>12.2</v>
      </c>
      <c r="M3021" s="2">
        <f t="shared" si="380"/>
        <v>3000.0379655742017</v>
      </c>
      <c r="N3021">
        <f t="shared" si="381"/>
        <v>-346.65862907679769</v>
      </c>
      <c r="O3021" t="s">
        <v>8</v>
      </c>
    </row>
    <row r="3022" spans="1:15" x14ac:dyDescent="0.35">
      <c r="A3022">
        <v>2008</v>
      </c>
      <c r="B3022">
        <v>4</v>
      </c>
      <c r="C3022">
        <v>8</v>
      </c>
      <c r="D3022" s="1">
        <f t="shared" si="376"/>
        <v>39546</v>
      </c>
      <c r="E3022">
        <v>0</v>
      </c>
      <c r="F3022">
        <f t="shared" si="382"/>
        <v>0</v>
      </c>
      <c r="G3022">
        <f t="shared" si="377"/>
        <v>0</v>
      </c>
      <c r="H3022">
        <f t="shared" si="383"/>
        <v>0</v>
      </c>
      <c r="I3022">
        <v>3021</v>
      </c>
      <c r="J3022">
        <f t="shared" si="378"/>
        <v>0.99126854677872667</v>
      </c>
      <c r="K3022">
        <f t="shared" si="379"/>
        <v>-0.13185851571738352</v>
      </c>
      <c r="L3022">
        <f>VLOOKUP(D3022,[1]SOI!$A$1:$C$142,3)</f>
        <v>12.2</v>
      </c>
      <c r="M3022" s="2">
        <f t="shared" si="380"/>
        <v>2994.6222798185331</v>
      </c>
      <c r="N3022">
        <f t="shared" si="381"/>
        <v>-398.34457598221564</v>
      </c>
      <c r="O3022" t="s">
        <v>8</v>
      </c>
    </row>
    <row r="3023" spans="1:15" x14ac:dyDescent="0.35">
      <c r="A3023">
        <v>2008</v>
      </c>
      <c r="B3023">
        <v>4</v>
      </c>
      <c r="C3023">
        <v>9</v>
      </c>
      <c r="D3023" s="1">
        <f t="shared" si="376"/>
        <v>39547</v>
      </c>
      <c r="E3023">
        <v>0</v>
      </c>
      <c r="F3023">
        <f t="shared" si="382"/>
        <v>0</v>
      </c>
      <c r="G3023">
        <f t="shared" si="377"/>
        <v>0</v>
      </c>
      <c r="H3023">
        <f t="shared" si="383"/>
        <v>0</v>
      </c>
      <c r="I3023">
        <v>3022</v>
      </c>
      <c r="J3023">
        <f t="shared" si="378"/>
        <v>0.98885370642058834</v>
      </c>
      <c r="K3023">
        <f t="shared" si="379"/>
        <v>-0.14889038685645528</v>
      </c>
      <c r="L3023">
        <f>VLOOKUP(D3023,[1]SOI!$A$1:$C$142,3)</f>
        <v>12.2</v>
      </c>
      <c r="M3023" s="2">
        <f t="shared" si="380"/>
        <v>2988.3159008030179</v>
      </c>
      <c r="N3023">
        <f t="shared" si="381"/>
        <v>-449.94674908020784</v>
      </c>
      <c r="O3023" t="s">
        <v>8</v>
      </c>
    </row>
    <row r="3024" spans="1:15" x14ac:dyDescent="0.35">
      <c r="A3024">
        <v>2008</v>
      </c>
      <c r="B3024">
        <v>4</v>
      </c>
      <c r="C3024">
        <v>10</v>
      </c>
      <c r="D3024" s="1">
        <f t="shared" si="376"/>
        <v>39548</v>
      </c>
      <c r="E3024">
        <v>0</v>
      </c>
      <c r="F3024">
        <f t="shared" si="382"/>
        <v>0</v>
      </c>
      <c r="G3024">
        <f t="shared" si="377"/>
        <v>0</v>
      </c>
      <c r="H3024">
        <f t="shared" si="383"/>
        <v>0</v>
      </c>
      <c r="I3024">
        <v>3023</v>
      </c>
      <c r="J3024">
        <f t="shared" si="378"/>
        <v>0.9861462483415947</v>
      </c>
      <c r="K3024">
        <f t="shared" si="379"/>
        <v>-0.16587819893463321</v>
      </c>
      <c r="L3024">
        <f>VLOOKUP(D3024,[1]SOI!$A$1:$C$142,3)</f>
        <v>12.2</v>
      </c>
      <c r="M3024" s="2">
        <f t="shared" si="380"/>
        <v>2981.1201087366408</v>
      </c>
      <c r="N3024">
        <f t="shared" si="381"/>
        <v>-501.44979537939616</v>
      </c>
      <c r="O3024" t="s">
        <v>8</v>
      </c>
    </row>
    <row r="3025" spans="1:15" x14ac:dyDescent="0.35">
      <c r="A3025">
        <v>2008</v>
      </c>
      <c r="B3025">
        <v>4</v>
      </c>
      <c r="C3025">
        <v>11</v>
      </c>
      <c r="D3025" s="1">
        <f t="shared" si="376"/>
        <v>39549</v>
      </c>
      <c r="E3025">
        <v>0.2</v>
      </c>
      <c r="F3025">
        <f t="shared" si="382"/>
        <v>0</v>
      </c>
      <c r="G3025">
        <f t="shared" si="377"/>
        <v>1</v>
      </c>
      <c r="H3025">
        <f t="shared" si="383"/>
        <v>0</v>
      </c>
      <c r="I3025">
        <v>3024</v>
      </c>
      <c r="J3025">
        <f t="shared" si="378"/>
        <v>0.98314697372214932</v>
      </c>
      <c r="K3025">
        <f t="shared" si="379"/>
        <v>-0.18281692498502278</v>
      </c>
      <c r="L3025">
        <f>VLOOKUP(D3025,[1]SOI!$A$1:$C$142,3)</f>
        <v>12.2</v>
      </c>
      <c r="M3025" s="2">
        <f t="shared" si="380"/>
        <v>2973.0364485357795</v>
      </c>
      <c r="N3025">
        <f t="shared" si="381"/>
        <v>-552.83838115470883</v>
      </c>
      <c r="O3025" t="s">
        <v>8</v>
      </c>
    </row>
    <row r="3026" spans="1:15" x14ac:dyDescent="0.35">
      <c r="A3026">
        <v>2008</v>
      </c>
      <c r="B3026">
        <v>4</v>
      </c>
      <c r="C3026">
        <v>12</v>
      </c>
      <c r="D3026" s="1">
        <f t="shared" si="376"/>
        <v>39550</v>
      </c>
      <c r="E3026">
        <v>0</v>
      </c>
      <c r="F3026">
        <f t="shared" si="382"/>
        <v>0.2</v>
      </c>
      <c r="G3026">
        <f t="shared" si="377"/>
        <v>0</v>
      </c>
      <c r="H3026">
        <f t="shared" si="383"/>
        <v>1</v>
      </c>
      <c r="I3026">
        <v>3025</v>
      </c>
      <c r="J3026">
        <f t="shared" si="378"/>
        <v>0.97985677009586558</v>
      </c>
      <c r="K3026">
        <f t="shared" si="379"/>
        <v>-0.19970155256606775</v>
      </c>
      <c r="L3026">
        <f>VLOOKUP(D3026,[1]SOI!$A$1:$C$142,3)</f>
        <v>12.2</v>
      </c>
      <c r="M3026" s="2">
        <f t="shared" si="380"/>
        <v>2964.0667295399935</v>
      </c>
      <c r="N3026">
        <f t="shared" si="381"/>
        <v>-604.09719651235491</v>
      </c>
      <c r="O3026" t="s">
        <v>8</v>
      </c>
    </row>
    <row r="3027" spans="1:15" x14ac:dyDescent="0.35">
      <c r="A3027">
        <v>2008</v>
      </c>
      <c r="B3027">
        <v>4</v>
      </c>
      <c r="C3027">
        <v>13</v>
      </c>
      <c r="D3027" s="1">
        <f t="shared" si="376"/>
        <v>39551</v>
      </c>
      <c r="E3027">
        <v>0.2</v>
      </c>
      <c r="F3027">
        <f t="shared" si="382"/>
        <v>0</v>
      </c>
      <c r="G3027">
        <f t="shared" si="377"/>
        <v>1</v>
      </c>
      <c r="H3027">
        <f t="shared" si="383"/>
        <v>0</v>
      </c>
      <c r="I3027">
        <v>3026</v>
      </c>
      <c r="J3027">
        <f t="shared" si="378"/>
        <v>0.97627661108693409</v>
      </c>
      <c r="K3027">
        <f t="shared" si="379"/>
        <v>-0.21652708524480554</v>
      </c>
      <c r="L3027">
        <f>VLOOKUP(D3027,[1]SOI!$A$1:$C$142,3)</f>
        <v>12.2</v>
      </c>
      <c r="M3027" s="2">
        <f t="shared" si="380"/>
        <v>2954.2130251490626</v>
      </c>
      <c r="N3027">
        <f t="shared" si="381"/>
        <v>-655.21095995078156</v>
      </c>
      <c r="O3027" t="s">
        <v>8</v>
      </c>
    </row>
    <row r="3028" spans="1:15" x14ac:dyDescent="0.35">
      <c r="A3028">
        <v>2008</v>
      </c>
      <c r="B3028">
        <v>4</v>
      </c>
      <c r="C3028">
        <v>14</v>
      </c>
      <c r="D3028" s="1">
        <f t="shared" si="376"/>
        <v>39552</v>
      </c>
      <c r="E3028">
        <v>0</v>
      </c>
      <c r="F3028">
        <f t="shared" si="382"/>
        <v>0.2</v>
      </c>
      <c r="G3028">
        <f t="shared" si="377"/>
        <v>0</v>
      </c>
      <c r="H3028">
        <f t="shared" si="383"/>
        <v>1</v>
      </c>
      <c r="I3028">
        <v>3027</v>
      </c>
      <c r="J3028">
        <f t="shared" si="378"/>
        <v>0.97240755612199703</v>
      </c>
      <c r="K3028">
        <f t="shared" si="379"/>
        <v>-0.23328854407545438</v>
      </c>
      <c r="L3028">
        <f>VLOOKUP(D3028,[1]SOI!$A$1:$C$142,3)</f>
        <v>12.2</v>
      </c>
      <c r="M3028" s="2">
        <f t="shared" si="380"/>
        <v>2943.4776723812852</v>
      </c>
      <c r="N3028">
        <f t="shared" si="381"/>
        <v>-706.16442291640044</v>
      </c>
      <c r="O3028" t="s">
        <v>8</v>
      </c>
    </row>
    <row r="3029" spans="1:15" x14ac:dyDescent="0.35">
      <c r="A3029">
        <v>2008</v>
      </c>
      <c r="B3029">
        <v>4</v>
      </c>
      <c r="C3029">
        <v>15</v>
      </c>
      <c r="D3029" s="1">
        <f t="shared" si="376"/>
        <v>39553</v>
      </c>
      <c r="E3029">
        <v>0.6</v>
      </c>
      <c r="F3029">
        <f t="shared" si="382"/>
        <v>0</v>
      </c>
      <c r="G3029">
        <f t="shared" si="377"/>
        <v>1</v>
      </c>
      <c r="H3029">
        <f t="shared" si="383"/>
        <v>0</v>
      </c>
      <c r="I3029">
        <v>3028</v>
      </c>
      <c r="J3029">
        <f t="shared" si="378"/>
        <v>0.96825075011667172</v>
      </c>
      <c r="K3029">
        <f t="shared" si="379"/>
        <v>-0.24998096907265258</v>
      </c>
      <c r="L3029">
        <f>VLOOKUP(D3029,[1]SOI!$A$1:$C$142,3)</f>
        <v>12.2</v>
      </c>
      <c r="M3029" s="2">
        <f t="shared" si="380"/>
        <v>2931.863271353282</v>
      </c>
      <c r="N3029">
        <f t="shared" si="381"/>
        <v>-756.94237435199204</v>
      </c>
      <c r="O3029" t="s">
        <v>8</v>
      </c>
    </row>
    <row r="3030" spans="1:15" x14ac:dyDescent="0.35">
      <c r="A3030">
        <v>2008</v>
      </c>
      <c r="B3030">
        <v>4</v>
      </c>
      <c r="C3030">
        <v>16</v>
      </c>
      <c r="D3030" s="1">
        <f t="shared" si="376"/>
        <v>39554</v>
      </c>
      <c r="E3030">
        <v>0</v>
      </c>
      <c r="F3030">
        <f t="shared" si="382"/>
        <v>0.6</v>
      </c>
      <c r="G3030">
        <f t="shared" si="377"/>
        <v>0</v>
      </c>
      <c r="H3030">
        <f t="shared" si="383"/>
        <v>1</v>
      </c>
      <c r="I3030">
        <v>3029</v>
      </c>
      <c r="J3030">
        <f t="shared" si="378"/>
        <v>0.96380742313673029</v>
      </c>
      <c r="K3030">
        <f t="shared" si="379"/>
        <v>-0.2665994206792951</v>
      </c>
      <c r="L3030">
        <f>VLOOKUP(D3030,[1]SOI!$A$1:$C$142,3)</f>
        <v>12.2</v>
      </c>
      <c r="M3030" s="2">
        <f t="shared" si="380"/>
        <v>2919.372684681156</v>
      </c>
      <c r="N3030">
        <f t="shared" si="381"/>
        <v>-807.52964523758487</v>
      </c>
      <c r="O3030" t="s">
        <v>8</v>
      </c>
    </row>
    <row r="3031" spans="1:15" x14ac:dyDescent="0.35">
      <c r="A3031">
        <v>2008</v>
      </c>
      <c r="B3031">
        <v>4</v>
      </c>
      <c r="C3031">
        <v>17</v>
      </c>
      <c r="D3031" s="1">
        <f t="shared" si="376"/>
        <v>39555</v>
      </c>
      <c r="E3031">
        <v>0</v>
      </c>
      <c r="F3031">
        <f t="shared" si="382"/>
        <v>0</v>
      </c>
      <c r="G3031">
        <f t="shared" si="377"/>
        <v>0</v>
      </c>
      <c r="H3031">
        <f t="shared" si="383"/>
        <v>0</v>
      </c>
      <c r="I3031">
        <v>3030</v>
      </c>
      <c r="J3031">
        <f t="shared" si="378"/>
        <v>0.95907889003411217</v>
      </c>
      <c r="K3031">
        <f t="shared" si="379"/>
        <v>-0.28313898122818637</v>
      </c>
      <c r="L3031">
        <f>VLOOKUP(D3031,[1]SOI!$A$1:$C$142,3)</f>
        <v>12.2</v>
      </c>
      <c r="M3031" s="2">
        <f t="shared" si="380"/>
        <v>2906.0090368033598</v>
      </c>
      <c r="N3031">
        <f t="shared" si="381"/>
        <v>-857.9111131214047</v>
      </c>
      <c r="O3031" t="s">
        <v>8</v>
      </c>
    </row>
    <row r="3032" spans="1:15" x14ac:dyDescent="0.35">
      <c r="A3032">
        <v>2008</v>
      </c>
      <c r="B3032">
        <v>4</v>
      </c>
      <c r="C3032">
        <v>18</v>
      </c>
      <c r="D3032" s="1">
        <f t="shared" si="376"/>
        <v>39556</v>
      </c>
      <c r="E3032">
        <v>0</v>
      </c>
      <c r="F3032">
        <f t="shared" si="382"/>
        <v>0</v>
      </c>
      <c r="G3032">
        <f t="shared" si="377"/>
        <v>0</v>
      </c>
      <c r="H3032">
        <f t="shared" si="383"/>
        <v>0</v>
      </c>
      <c r="I3032">
        <v>3031</v>
      </c>
      <c r="J3032">
        <f t="shared" si="378"/>
        <v>0.95406655005783958</v>
      </c>
      <c r="K3032">
        <f t="shared" si="379"/>
        <v>-0.29959475639725724</v>
      </c>
      <c r="L3032">
        <f>VLOOKUP(D3032,[1]SOI!$A$1:$C$142,3)</f>
        <v>12.2</v>
      </c>
      <c r="M3032" s="2">
        <f t="shared" si="380"/>
        <v>2891.7757132253118</v>
      </c>
      <c r="N3032">
        <f t="shared" si="381"/>
        <v>-908.07170664008675</v>
      </c>
      <c r="O3032" t="s">
        <v>8</v>
      </c>
    </row>
    <row r="3033" spans="1:15" x14ac:dyDescent="0.35">
      <c r="A3033">
        <v>2008</v>
      </c>
      <c r="B3033">
        <v>4</v>
      </c>
      <c r="C3033">
        <v>19</v>
      </c>
      <c r="D3033" s="1">
        <f t="shared" si="376"/>
        <v>39557</v>
      </c>
      <c r="E3033">
        <v>0</v>
      </c>
      <c r="F3033">
        <f t="shared" si="382"/>
        <v>0</v>
      </c>
      <c r="G3033">
        <f t="shared" si="377"/>
        <v>0</v>
      </c>
      <c r="H3033">
        <f t="shared" si="383"/>
        <v>0</v>
      </c>
      <c r="I3033">
        <v>3032</v>
      </c>
      <c r="J3033">
        <f t="shared" si="378"/>
        <v>0.94877188643994792</v>
      </c>
      <c r="K3033">
        <f t="shared" si="379"/>
        <v>-0.31596187665790082</v>
      </c>
      <c r="L3033">
        <f>VLOOKUP(D3033,[1]SOI!$A$1:$C$142,3)</f>
        <v>12.2</v>
      </c>
      <c r="M3033" s="2">
        <f t="shared" si="380"/>
        <v>2876.6763596859223</v>
      </c>
      <c r="N3033">
        <f t="shared" si="381"/>
        <v>-957.99641002675526</v>
      </c>
      <c r="O3033" t="s">
        <v>8</v>
      </c>
    </row>
    <row r="3034" spans="1:15" x14ac:dyDescent="0.35">
      <c r="A3034">
        <v>2008</v>
      </c>
      <c r="B3034">
        <v>4</v>
      </c>
      <c r="C3034">
        <v>20</v>
      </c>
      <c r="D3034" s="1">
        <f t="shared" si="376"/>
        <v>39558</v>
      </c>
      <c r="E3034">
        <v>0</v>
      </c>
      <c r="F3034">
        <f t="shared" si="382"/>
        <v>0</v>
      </c>
      <c r="G3034">
        <f t="shared" si="377"/>
        <v>0</v>
      </c>
      <c r="H3034">
        <f t="shared" si="383"/>
        <v>0</v>
      </c>
      <c r="I3034">
        <v>3033</v>
      </c>
      <c r="J3034">
        <f t="shared" si="378"/>
        <v>0.94319646595658679</v>
      </c>
      <c r="K3034">
        <f t="shared" si="379"/>
        <v>-0.33223549871590358</v>
      </c>
      <c r="L3034">
        <f>VLOOKUP(D3034,[1]SOI!$A$1:$C$142,3)</f>
        <v>12.2</v>
      </c>
      <c r="M3034" s="2">
        <f t="shared" si="380"/>
        <v>2860.7148812463279</v>
      </c>
      <c r="N3034">
        <f t="shared" si="381"/>
        <v>-1007.6702676053355</v>
      </c>
      <c r="O3034" t="s">
        <v>8</v>
      </c>
    </row>
    <row r="3035" spans="1:15" x14ac:dyDescent="0.35">
      <c r="A3035">
        <v>2008</v>
      </c>
      <c r="B3035">
        <v>4</v>
      </c>
      <c r="C3035">
        <v>21</v>
      </c>
      <c r="D3035" s="1">
        <f t="shared" si="376"/>
        <v>39559</v>
      </c>
      <c r="E3035">
        <v>0</v>
      </c>
      <c r="F3035">
        <f t="shared" si="382"/>
        <v>0</v>
      </c>
      <c r="G3035">
        <f t="shared" si="377"/>
        <v>0</v>
      </c>
      <c r="H3035">
        <f t="shared" si="383"/>
        <v>0</v>
      </c>
      <c r="I3035">
        <v>3034</v>
      </c>
      <c r="J3035">
        <f t="shared" si="378"/>
        <v>0.93734193846437719</v>
      </c>
      <c r="K3035">
        <f t="shared" si="379"/>
        <v>-0.34841080694468102</v>
      </c>
      <c r="L3035">
        <f>VLOOKUP(D3035,[1]SOI!$A$1:$C$142,3)</f>
        <v>12.2</v>
      </c>
      <c r="M3035" s="2">
        <f t="shared" si="380"/>
        <v>2843.8954413009205</v>
      </c>
      <c r="N3035">
        <f t="shared" si="381"/>
        <v>-1057.0783882701621</v>
      </c>
      <c r="O3035" t="s">
        <v>8</v>
      </c>
    </row>
    <row r="3036" spans="1:15" x14ac:dyDescent="0.35">
      <c r="A3036">
        <v>2008</v>
      </c>
      <c r="B3036">
        <v>4</v>
      </c>
      <c r="C3036">
        <v>22</v>
      </c>
      <c r="D3036" s="1">
        <f t="shared" si="376"/>
        <v>39560</v>
      </c>
      <c r="E3036">
        <v>0</v>
      </c>
      <c r="F3036">
        <f t="shared" si="382"/>
        <v>0</v>
      </c>
      <c r="G3036">
        <f t="shared" si="377"/>
        <v>0</v>
      </c>
      <c r="H3036">
        <f t="shared" si="383"/>
        <v>0</v>
      </c>
      <c r="I3036">
        <v>3035</v>
      </c>
      <c r="J3036">
        <f t="shared" si="378"/>
        <v>0.93121003641219413</v>
      </c>
      <c r="K3036">
        <f t="shared" si="379"/>
        <v>-0.36448301481029272</v>
      </c>
      <c r="L3036">
        <f>VLOOKUP(D3036,[1]SOI!$A$1:$C$142,3)</f>
        <v>12.2</v>
      </c>
      <c r="M3036" s="2">
        <f t="shared" si="380"/>
        <v>2826.2224605110091</v>
      </c>
      <c r="N3036">
        <f t="shared" si="381"/>
        <v>-1106.2059499492384</v>
      </c>
      <c r="O3036" t="s">
        <v>8</v>
      </c>
    </row>
    <row r="3037" spans="1:15" x14ac:dyDescent="0.35">
      <c r="A3037">
        <v>2008</v>
      </c>
      <c r="B3037">
        <v>4</v>
      </c>
      <c r="C3037">
        <v>23</v>
      </c>
      <c r="D3037" s="1">
        <f t="shared" si="376"/>
        <v>39561</v>
      </c>
      <c r="E3037">
        <v>0</v>
      </c>
      <c r="F3037">
        <f t="shared" si="382"/>
        <v>0</v>
      </c>
      <c r="G3037">
        <f t="shared" si="377"/>
        <v>0</v>
      </c>
      <c r="H3037">
        <f t="shared" si="383"/>
        <v>0</v>
      </c>
      <c r="I3037">
        <v>3036</v>
      </c>
      <c r="J3037">
        <f t="shared" si="378"/>
        <v>0.92480257432850788</v>
      </c>
      <c r="K3037">
        <f t="shared" si="379"/>
        <v>-0.38044736628785414</v>
      </c>
      <c r="L3037">
        <f>VLOOKUP(D3037,[1]SOI!$A$1:$C$142,3)</f>
        <v>12.2</v>
      </c>
      <c r="M3037" s="2">
        <f t="shared" si="380"/>
        <v>2807.7006156613497</v>
      </c>
      <c r="N3037">
        <f t="shared" si="381"/>
        <v>-1155.0382040499251</v>
      </c>
      <c r="O3037" t="s">
        <v>8</v>
      </c>
    </row>
    <row r="3038" spans="1:15" x14ac:dyDescent="0.35">
      <c r="A3038">
        <v>2008</v>
      </c>
      <c r="B3038">
        <v>4</v>
      </c>
      <c r="C3038">
        <v>24</v>
      </c>
      <c r="D3038" s="1">
        <f t="shared" si="376"/>
        <v>39562</v>
      </c>
      <c r="E3038">
        <v>0</v>
      </c>
      <c r="F3038">
        <f t="shared" si="382"/>
        <v>0</v>
      </c>
      <c r="G3038">
        <f t="shared" si="377"/>
        <v>0</v>
      </c>
      <c r="H3038">
        <f t="shared" si="383"/>
        <v>0</v>
      </c>
      <c r="I3038">
        <v>3037</v>
      </c>
      <c r="J3038">
        <f t="shared" si="378"/>
        <v>0.91812144828443787</v>
      </c>
      <c r="K3038">
        <f t="shared" si="379"/>
        <v>-0.39629913726891491</v>
      </c>
      <c r="L3038">
        <f>VLOOKUP(D3038,[1]SOI!$A$1:$C$142,3)</f>
        <v>12.2</v>
      </c>
      <c r="M3038" s="2">
        <f t="shared" si="380"/>
        <v>2788.3348384398378</v>
      </c>
      <c r="N3038">
        <f t="shared" si="381"/>
        <v>-1203.5604798856946</v>
      </c>
      <c r="O3038" t="s">
        <v>8</v>
      </c>
    </row>
    <row r="3039" spans="1:15" x14ac:dyDescent="0.35">
      <c r="A3039">
        <v>2008</v>
      </c>
      <c r="B3039">
        <v>4</v>
      </c>
      <c r="C3039">
        <v>25</v>
      </c>
      <c r="D3039" s="1">
        <f t="shared" si="376"/>
        <v>39563</v>
      </c>
      <c r="E3039">
        <v>0</v>
      </c>
      <c r="F3039">
        <f t="shared" si="382"/>
        <v>0</v>
      </c>
      <c r="G3039">
        <f t="shared" si="377"/>
        <v>0</v>
      </c>
      <c r="H3039">
        <f t="shared" si="383"/>
        <v>0</v>
      </c>
      <c r="I3039">
        <v>3038</v>
      </c>
      <c r="J3039">
        <f t="shared" si="378"/>
        <v>0.91116863533266401</v>
      </c>
      <c r="K3039">
        <f t="shared" si="379"/>
        <v>-0.41203363695942435</v>
      </c>
      <c r="L3039">
        <f>VLOOKUP(D3039,[1]SOI!$A$1:$C$142,3)</f>
        <v>12.2</v>
      </c>
      <c r="M3039" s="2">
        <f t="shared" si="380"/>
        <v>2768.1303141406333</v>
      </c>
      <c r="N3039">
        <f t="shared" si="381"/>
        <v>-1251.7581890827312</v>
      </c>
      <c r="O3039" t="s">
        <v>8</v>
      </c>
    </row>
    <row r="3040" spans="1:15" x14ac:dyDescent="0.35">
      <c r="A3040">
        <v>2008</v>
      </c>
      <c r="B3040">
        <v>4</v>
      </c>
      <c r="C3040">
        <v>26</v>
      </c>
      <c r="D3040" s="1">
        <f t="shared" si="376"/>
        <v>39564</v>
      </c>
      <c r="E3040">
        <v>0.4</v>
      </c>
      <c r="F3040">
        <f t="shared" si="382"/>
        <v>0</v>
      </c>
      <c r="G3040">
        <f t="shared" si="377"/>
        <v>1</v>
      </c>
      <c r="H3040">
        <f t="shared" si="383"/>
        <v>0</v>
      </c>
      <c r="I3040">
        <v>3039</v>
      </c>
      <c r="J3040">
        <f t="shared" si="378"/>
        <v>0.90394619292240153</v>
      </c>
      <c r="K3040">
        <f t="shared" si="379"/>
        <v>-0.42764620926777369</v>
      </c>
      <c r="L3040">
        <f>VLOOKUP(D3040,[1]SOI!$A$1:$C$142,3)</f>
        <v>12.2</v>
      </c>
      <c r="M3040" s="2">
        <f t="shared" si="380"/>
        <v>2747.0924802911782</v>
      </c>
      <c r="N3040">
        <f t="shared" si="381"/>
        <v>-1299.6168299647643</v>
      </c>
      <c r="O3040" t="s">
        <v>8</v>
      </c>
    </row>
    <row r="3041" spans="1:15" x14ac:dyDescent="0.35">
      <c r="A3041">
        <v>2008</v>
      </c>
      <c r="B3041">
        <v>4</v>
      </c>
      <c r="C3041">
        <v>27</v>
      </c>
      <c r="D3041" s="1">
        <f t="shared" si="376"/>
        <v>39565</v>
      </c>
      <c r="E3041">
        <v>8</v>
      </c>
      <c r="F3041">
        <f t="shared" si="382"/>
        <v>0.4</v>
      </c>
      <c r="G3041">
        <f t="shared" si="377"/>
        <v>1</v>
      </c>
      <c r="H3041">
        <f t="shared" si="383"/>
        <v>1</v>
      </c>
      <c r="I3041">
        <v>3040</v>
      </c>
      <c r="J3041">
        <f t="shared" si="378"/>
        <v>0.89645625829055742</v>
      </c>
      <c r="K3041">
        <f t="shared" si="379"/>
        <v>-0.44313223418263475</v>
      </c>
      <c r="L3041">
        <f>VLOOKUP(D3041,[1]SOI!$A$1:$C$142,3)</f>
        <v>12.2</v>
      </c>
      <c r="M3041" s="2">
        <f t="shared" si="380"/>
        <v>2725.2270252032945</v>
      </c>
      <c r="N3041">
        <f t="shared" si="381"/>
        <v>-1347.1219919152097</v>
      </c>
      <c r="O3041" t="s">
        <v>8</v>
      </c>
    </row>
    <row r="3042" spans="1:15" x14ac:dyDescent="0.35">
      <c r="A3042">
        <v>2008</v>
      </c>
      <c r="B3042">
        <v>4</v>
      </c>
      <c r="C3042">
        <v>28</v>
      </c>
      <c r="D3042" s="1">
        <f t="shared" si="376"/>
        <v>39566</v>
      </c>
      <c r="E3042">
        <v>0</v>
      </c>
      <c r="F3042">
        <f t="shared" si="382"/>
        <v>8</v>
      </c>
      <c r="G3042">
        <f t="shared" si="377"/>
        <v>0</v>
      </c>
      <c r="H3042">
        <f t="shared" si="383"/>
        <v>1</v>
      </c>
      <c r="I3042">
        <v>3041</v>
      </c>
      <c r="J3042">
        <f t="shared" si="378"/>
        <v>0.88870104782929071</v>
      </c>
      <c r="K3042">
        <f t="shared" si="379"/>
        <v>-0.45848712914008904</v>
      </c>
      <c r="L3042">
        <f>VLOOKUP(D3042,[1]SOI!$A$1:$C$142,3)</f>
        <v>12.2</v>
      </c>
      <c r="M3042" s="2">
        <f t="shared" si="380"/>
        <v>2702.5398864488729</v>
      </c>
      <c r="N3042">
        <f t="shared" si="381"/>
        <v>-1394.2593597150108</v>
      </c>
      <c r="O3042" t="s">
        <v>8</v>
      </c>
    </row>
    <row r="3043" spans="1:15" x14ac:dyDescent="0.35">
      <c r="A3043">
        <v>2008</v>
      </c>
      <c r="B3043">
        <v>4</v>
      </c>
      <c r="C3043">
        <v>29</v>
      </c>
      <c r="D3043" s="1">
        <f t="shared" si="376"/>
        <v>39567</v>
      </c>
      <c r="E3043">
        <v>1.6</v>
      </c>
      <c r="F3043">
        <f t="shared" si="382"/>
        <v>0</v>
      </c>
      <c r="G3043">
        <f t="shared" si="377"/>
        <v>1</v>
      </c>
      <c r="H3043">
        <f t="shared" si="383"/>
        <v>0</v>
      </c>
      <c r="I3043">
        <v>3042</v>
      </c>
      <c r="J3043">
        <f t="shared" si="378"/>
        <v>0.88068285643014976</v>
      </c>
      <c r="K3043">
        <f t="shared" si="379"/>
        <v>-0.4737063503796759</v>
      </c>
      <c r="L3043">
        <f>VLOOKUP(D3043,[1]SOI!$A$1:$C$142,3)</f>
        <v>12.2</v>
      </c>
      <c r="M3043" s="2">
        <f t="shared" si="380"/>
        <v>2679.0372492605156</v>
      </c>
      <c r="N3043">
        <f t="shared" si="381"/>
        <v>-1441.0147178549742</v>
      </c>
      <c r="O3043" t="s">
        <v>8</v>
      </c>
    </row>
    <row r="3044" spans="1:15" x14ac:dyDescent="0.35">
      <c r="A3044">
        <v>2008</v>
      </c>
      <c r="B3044">
        <v>4</v>
      </c>
      <c r="C3044">
        <v>30</v>
      </c>
      <c r="D3044" s="1">
        <f t="shared" si="376"/>
        <v>39568</v>
      </c>
      <c r="E3044">
        <v>0</v>
      </c>
      <c r="F3044">
        <f t="shared" si="382"/>
        <v>1.6</v>
      </c>
      <c r="G3044">
        <f t="shared" si="377"/>
        <v>0</v>
      </c>
      <c r="H3044">
        <f t="shared" si="383"/>
        <v>1</v>
      </c>
      <c r="I3044">
        <v>3043</v>
      </c>
      <c r="J3044">
        <f t="shared" si="378"/>
        <v>0.87240405680496302</v>
      </c>
      <c r="K3044">
        <f t="shared" si="379"/>
        <v>-0.48878539428898943</v>
      </c>
      <c r="L3044">
        <f>VLOOKUP(D3044,[1]SOI!$A$1:$C$142,3)</f>
        <v>12.2</v>
      </c>
      <c r="M3044" s="2">
        <f t="shared" si="380"/>
        <v>2654.7255448575024</v>
      </c>
      <c r="N3044">
        <f t="shared" si="381"/>
        <v>-1487.3739548213948</v>
      </c>
      <c r="O3044" t="s">
        <v>8</v>
      </c>
    </row>
    <row r="3045" spans="1:15" x14ac:dyDescent="0.35">
      <c r="A3045">
        <v>2008</v>
      </c>
      <c r="B3045">
        <v>5</v>
      </c>
      <c r="C3045">
        <v>1</v>
      </c>
      <c r="D3045" s="1">
        <f t="shared" si="376"/>
        <v>39569</v>
      </c>
      <c r="E3045">
        <v>0</v>
      </c>
      <c r="F3045">
        <f t="shared" si="382"/>
        <v>0</v>
      </c>
      <c r="G3045">
        <f t="shared" si="377"/>
        <v>0</v>
      </c>
      <c r="H3045">
        <f t="shared" si="383"/>
        <v>0</v>
      </c>
      <c r="I3045">
        <v>3044</v>
      </c>
      <c r="J3045">
        <f t="shared" si="378"/>
        <v>0.86386709878373613</v>
      </c>
      <c r="K3045">
        <f t="shared" si="379"/>
        <v>-0.50371979873633188</v>
      </c>
      <c r="L3045">
        <f>VLOOKUP(D3045,[1]SOI!$A$1:$C$142,3)</f>
        <v>4.5</v>
      </c>
      <c r="M3045" s="2">
        <f t="shared" si="380"/>
        <v>2629.6114486976926</v>
      </c>
      <c r="N3045">
        <f t="shared" si="381"/>
        <v>-1533.3230673533942</v>
      </c>
      <c r="O3045" t="s">
        <v>8</v>
      </c>
    </row>
    <row r="3046" spans="1:15" x14ac:dyDescent="0.35">
      <c r="A3046">
        <v>2008</v>
      </c>
      <c r="B3046">
        <v>5</v>
      </c>
      <c r="C3046">
        <v>2</v>
      </c>
      <c r="D3046" s="1">
        <f t="shared" si="376"/>
        <v>39570</v>
      </c>
      <c r="E3046">
        <v>6.4</v>
      </c>
      <c r="F3046">
        <f t="shared" si="382"/>
        <v>0</v>
      </c>
      <c r="G3046">
        <f t="shared" si="377"/>
        <v>1</v>
      </c>
      <c r="H3046">
        <f t="shared" si="383"/>
        <v>0</v>
      </c>
      <c r="I3046">
        <v>3045</v>
      </c>
      <c r="J3046">
        <f t="shared" si="378"/>
        <v>0.8550745085896938</v>
      </c>
      <c r="K3046">
        <f t="shared" si="379"/>
        <v>-0.51850514439115603</v>
      </c>
      <c r="L3046">
        <f>VLOOKUP(D3046,[1]SOI!$A$1:$C$142,3)</f>
        <v>4.5</v>
      </c>
      <c r="M3046" s="2">
        <f t="shared" si="380"/>
        <v>2603.7018786556177</v>
      </c>
      <c r="N3046">
        <f t="shared" si="381"/>
        <v>-1578.8481646710702</v>
      </c>
      <c r="O3046" t="s">
        <v>8</v>
      </c>
    </row>
    <row r="3047" spans="1:15" x14ac:dyDescent="0.35">
      <c r="A3047">
        <v>2008</v>
      </c>
      <c r="B3047">
        <v>5</v>
      </c>
      <c r="C3047">
        <v>3</v>
      </c>
      <c r="D3047" s="1">
        <f t="shared" si="376"/>
        <v>39571</v>
      </c>
      <c r="E3047">
        <v>4.8</v>
      </c>
      <c r="F3047">
        <f t="shared" si="382"/>
        <v>6.4</v>
      </c>
      <c r="G3047">
        <f t="shared" si="377"/>
        <v>1</v>
      </c>
      <c r="H3047">
        <f t="shared" si="383"/>
        <v>1</v>
      </c>
      <c r="I3047">
        <v>3046</v>
      </c>
      <c r="J3047">
        <f t="shared" si="378"/>
        <v>0.84602888809173382</v>
      </c>
      <c r="K3047">
        <f t="shared" si="379"/>
        <v>-0.53313705603180928</v>
      </c>
      <c r="L3047">
        <f>VLOOKUP(D3047,[1]SOI!$A$1:$C$142,3)</f>
        <v>4.5</v>
      </c>
      <c r="M3047" s="2">
        <f t="shared" si="380"/>
        <v>2577.0039931274214</v>
      </c>
      <c r="N3047">
        <f t="shared" si="381"/>
        <v>-1623.9354726728911</v>
      </c>
      <c r="O3047" t="s">
        <v>8</v>
      </c>
    </row>
    <row r="3048" spans="1:15" x14ac:dyDescent="0.35">
      <c r="A3048">
        <v>2008</v>
      </c>
      <c r="B3048">
        <v>5</v>
      </c>
      <c r="C3048">
        <v>4</v>
      </c>
      <c r="D3048" s="1">
        <f t="shared" si="376"/>
        <v>39572</v>
      </c>
      <c r="E3048">
        <v>0</v>
      </c>
      <c r="F3048">
        <f t="shared" si="382"/>
        <v>4.8</v>
      </c>
      <c r="G3048">
        <f t="shared" si="377"/>
        <v>0</v>
      </c>
      <c r="H3048">
        <f t="shared" si="383"/>
        <v>1</v>
      </c>
      <c r="I3048">
        <v>3047</v>
      </c>
      <c r="J3048">
        <f t="shared" si="378"/>
        <v>0.83673291403449146</v>
      </c>
      <c r="K3048">
        <f t="shared" si="379"/>
        <v>-0.5476112038402321</v>
      </c>
      <c r="L3048">
        <f>VLOOKUP(D3048,[1]SOI!$A$1:$C$142,3)</f>
        <v>4.5</v>
      </c>
      <c r="M3048" s="2">
        <f t="shared" si="380"/>
        <v>2549.5251890630957</v>
      </c>
      <c r="N3048">
        <f t="shared" si="381"/>
        <v>-1668.5713381011872</v>
      </c>
      <c r="O3048" t="s">
        <v>8</v>
      </c>
    </row>
    <row r="3049" spans="1:15" x14ac:dyDescent="0.35">
      <c r="A3049">
        <v>2008</v>
      </c>
      <c r="B3049">
        <v>5</v>
      </c>
      <c r="C3049">
        <v>5</v>
      </c>
      <c r="D3049" s="1">
        <f t="shared" si="376"/>
        <v>39573</v>
      </c>
      <c r="E3049">
        <v>0</v>
      </c>
      <c r="F3049">
        <f t="shared" si="382"/>
        <v>0</v>
      </c>
      <c r="G3049">
        <f t="shared" si="377"/>
        <v>0</v>
      </c>
      <c r="H3049">
        <f t="shared" si="383"/>
        <v>0</v>
      </c>
      <c r="I3049">
        <v>3048</v>
      </c>
      <c r="J3049">
        <f t="shared" si="378"/>
        <v>0.82718933724625221</v>
      </c>
      <c r="K3049">
        <f t="shared" si="379"/>
        <v>-0.56192330468321572</v>
      </c>
      <c r="L3049">
        <f>VLOOKUP(D3049,[1]SOI!$A$1:$C$142,3)</f>
        <v>4.5</v>
      </c>
      <c r="M3049" s="2">
        <f t="shared" si="380"/>
        <v>2521.2730999265768</v>
      </c>
      <c r="N3049">
        <f t="shared" si="381"/>
        <v>-1712.7422326744415</v>
      </c>
      <c r="O3049" t="s">
        <v>8</v>
      </c>
    </row>
    <row r="3050" spans="1:15" x14ac:dyDescent="0.35">
      <c r="A3050">
        <v>2008</v>
      </c>
      <c r="B3050">
        <v>5</v>
      </c>
      <c r="C3050">
        <v>6</v>
      </c>
      <c r="D3050" s="1">
        <f t="shared" si="376"/>
        <v>39574</v>
      </c>
      <c r="E3050">
        <v>0.4</v>
      </c>
      <c r="F3050">
        <f t="shared" si="382"/>
        <v>0</v>
      </c>
      <c r="G3050">
        <f t="shared" si="377"/>
        <v>1</v>
      </c>
      <c r="H3050">
        <f t="shared" si="383"/>
        <v>0</v>
      </c>
      <c r="I3050">
        <v>3049</v>
      </c>
      <c r="J3050">
        <f t="shared" si="378"/>
        <v>0.81740098182492105</v>
      </c>
      <c r="K3050">
        <f t="shared" si="379"/>
        <v>-0.57606912337987271</v>
      </c>
      <c r="L3050">
        <f>VLOOKUP(D3050,[1]SOI!$A$1:$C$142,3)</f>
        <v>4.5</v>
      </c>
      <c r="M3050" s="2">
        <f t="shared" si="380"/>
        <v>2492.2555935841842</v>
      </c>
      <c r="N3050">
        <f t="shared" si="381"/>
        <v>-1756.4347571852318</v>
      </c>
      <c r="O3050" t="s">
        <v>8</v>
      </c>
    </row>
    <row r="3051" spans="1:15" x14ac:dyDescent="0.35">
      <c r="A3051">
        <v>2008</v>
      </c>
      <c r="B3051">
        <v>5</v>
      </c>
      <c r="C3051">
        <v>7</v>
      </c>
      <c r="D3051" s="1">
        <f t="shared" si="376"/>
        <v>39575</v>
      </c>
      <c r="E3051">
        <v>4</v>
      </c>
      <c r="F3051">
        <f t="shared" si="382"/>
        <v>0.4</v>
      </c>
      <c r="G3051">
        <f t="shared" si="377"/>
        <v>1</v>
      </c>
      <c r="H3051">
        <f t="shared" si="383"/>
        <v>1</v>
      </c>
      <c r="I3051">
        <v>3050</v>
      </c>
      <c r="J3051">
        <f t="shared" si="378"/>
        <v>0.80737074430235067</v>
      </c>
      <c r="K3051">
        <f t="shared" si="379"/>
        <v>-0.5900444739548607</v>
      </c>
      <c r="L3051">
        <f>VLOOKUP(D3051,[1]SOI!$A$1:$C$142,3)</f>
        <v>4.5</v>
      </c>
      <c r="M3051" s="2">
        <f t="shared" si="380"/>
        <v>2462.4807701221694</v>
      </c>
      <c r="N3051">
        <f t="shared" si="381"/>
        <v>-1799.6356455623252</v>
      </c>
      <c r="O3051" t="s">
        <v>8</v>
      </c>
    </row>
    <row r="3052" spans="1:15" x14ac:dyDescent="0.35">
      <c r="A3052">
        <v>2008</v>
      </c>
      <c r="B3052">
        <v>5</v>
      </c>
      <c r="C3052">
        <v>8</v>
      </c>
      <c r="D3052" s="1">
        <f t="shared" si="376"/>
        <v>39576</v>
      </c>
      <c r="E3052">
        <v>0</v>
      </c>
      <c r="F3052">
        <f t="shared" si="382"/>
        <v>4</v>
      </c>
      <c r="G3052">
        <f t="shared" si="377"/>
        <v>0</v>
      </c>
      <c r="H3052">
        <f t="shared" si="383"/>
        <v>1</v>
      </c>
      <c r="I3052">
        <v>3051</v>
      </c>
      <c r="J3052">
        <f t="shared" si="378"/>
        <v>0.79710159278719495</v>
      </c>
      <c r="K3052">
        <f t="shared" si="379"/>
        <v>-0.60384522087710268</v>
      </c>
      <c r="L3052">
        <f>VLOOKUP(D3052,[1]SOI!$A$1:$C$142,3)</f>
        <v>4.5</v>
      </c>
      <c r="M3052" s="2">
        <f t="shared" si="380"/>
        <v>2431.9569595937319</v>
      </c>
      <c r="N3052">
        <f t="shared" si="381"/>
        <v>-1842.3317688960403</v>
      </c>
      <c r="O3052" t="s">
        <v>8</v>
      </c>
    </row>
    <row r="3053" spans="1:15" x14ac:dyDescent="0.35">
      <c r="A3053">
        <v>2008</v>
      </c>
      <c r="B3053">
        <v>5</v>
      </c>
      <c r="C3053">
        <v>9</v>
      </c>
      <c r="D3053" s="1">
        <f t="shared" si="376"/>
        <v>39577</v>
      </c>
      <c r="E3053">
        <v>0</v>
      </c>
      <c r="F3053">
        <f t="shared" si="382"/>
        <v>0</v>
      </c>
      <c r="G3053">
        <f t="shared" si="377"/>
        <v>0</v>
      </c>
      <c r="H3053">
        <f t="shared" si="383"/>
        <v>0</v>
      </c>
      <c r="I3053">
        <v>3052</v>
      </c>
      <c r="J3053">
        <f t="shared" si="378"/>
        <v>0.786596566086602</v>
      </c>
      <c r="K3053">
        <f t="shared" si="379"/>
        <v>-0.61746728028355158</v>
      </c>
      <c r="L3053">
        <f>VLOOKUP(D3053,[1]SOI!$A$1:$C$142,3)</f>
        <v>4.5</v>
      </c>
      <c r="M3053" s="2">
        <f t="shared" si="380"/>
        <v>2400.6927196963093</v>
      </c>
      <c r="N3053">
        <f t="shared" si="381"/>
        <v>-1884.5101394253995</v>
      </c>
      <c r="O3053" t="s">
        <v>8</v>
      </c>
    </row>
    <row r="3054" spans="1:15" x14ac:dyDescent="0.35">
      <c r="A3054">
        <v>2008</v>
      </c>
      <c r="B3054">
        <v>5</v>
      </c>
      <c r="C3054">
        <v>10</v>
      </c>
      <c r="D3054" s="1">
        <f t="shared" si="376"/>
        <v>39578</v>
      </c>
      <c r="E3054">
        <v>0</v>
      </c>
      <c r="F3054">
        <f t="shared" si="382"/>
        <v>0</v>
      </c>
      <c r="G3054">
        <f t="shared" si="377"/>
        <v>0</v>
      </c>
      <c r="H3054">
        <f t="shared" si="383"/>
        <v>0</v>
      </c>
      <c r="I3054">
        <v>3053</v>
      </c>
      <c r="J3054">
        <f t="shared" si="378"/>
        <v>0.77585877280698656</v>
      </c>
      <c r="K3054">
        <f t="shared" si="379"/>
        <v>-0.63090662118766583</v>
      </c>
      <c r="L3054">
        <f>VLOOKUP(D3054,[1]SOI!$A$1:$C$142,3)</f>
        <v>4.5</v>
      </c>
      <c r="M3054" s="2">
        <f t="shared" si="380"/>
        <v>2368.6968333797299</v>
      </c>
      <c r="N3054">
        <f t="shared" si="381"/>
        <v>-1926.1579144859438</v>
      </c>
      <c r="O3054" t="s">
        <v>8</v>
      </c>
    </row>
    <row r="3055" spans="1:15" x14ac:dyDescent="0.35">
      <c r="A3055">
        <v>2008</v>
      </c>
      <c r="B3055">
        <v>5</v>
      </c>
      <c r="C3055">
        <v>11</v>
      </c>
      <c r="D3055" s="1">
        <f t="shared" si="376"/>
        <v>39579</v>
      </c>
      <c r="E3055">
        <v>0</v>
      </c>
      <c r="F3055">
        <f t="shared" si="382"/>
        <v>0</v>
      </c>
      <c r="G3055">
        <f t="shared" si="377"/>
        <v>0</v>
      </c>
      <c r="H3055">
        <f t="shared" si="383"/>
        <v>0</v>
      </c>
      <c r="I3055">
        <v>3054</v>
      </c>
      <c r="J3055">
        <f t="shared" si="378"/>
        <v>0.7648913904341258</v>
      </c>
      <c r="K3055">
        <f t="shared" si="379"/>
        <v>-0.64415926667226464</v>
      </c>
      <c r="L3055">
        <f>VLOOKUP(D3055,[1]SOI!$A$1:$C$142,3)</f>
        <v>4.5</v>
      </c>
      <c r="M3055" s="2">
        <f t="shared" si="380"/>
        <v>2335.9783063858204</v>
      </c>
      <c r="N3055">
        <f t="shared" si="381"/>
        <v>-1967.2624004170962</v>
      </c>
      <c r="O3055" t="s">
        <v>8</v>
      </c>
    </row>
    <row r="3056" spans="1:15" x14ac:dyDescent="0.35">
      <c r="A3056">
        <v>2008</v>
      </c>
      <c r="B3056">
        <v>5</v>
      </c>
      <c r="C3056">
        <v>12</v>
      </c>
      <c r="D3056" s="1">
        <f t="shared" si="376"/>
        <v>39580</v>
      </c>
      <c r="E3056">
        <v>0</v>
      </c>
      <c r="F3056">
        <f t="shared" si="382"/>
        <v>0</v>
      </c>
      <c r="G3056">
        <f t="shared" si="377"/>
        <v>0</v>
      </c>
      <c r="H3056">
        <f t="shared" si="383"/>
        <v>0</v>
      </c>
      <c r="I3056">
        <v>3055</v>
      </c>
      <c r="J3056">
        <f t="shared" si="378"/>
        <v>0.75369766439291641</v>
      </c>
      <c r="K3056">
        <f t="shared" si="379"/>
        <v>-0.65722129506632909</v>
      </c>
      <c r="L3056">
        <f>VLOOKUP(D3056,[1]SOI!$A$1:$C$142,3)</f>
        <v>4.5</v>
      </c>
      <c r="M3056" s="2">
        <f t="shared" si="380"/>
        <v>2302.5463647203596</v>
      </c>
      <c r="N3056">
        <f t="shared" si="381"/>
        <v>-2007.8110564276353</v>
      </c>
      <c r="O3056" t="s">
        <v>8</v>
      </c>
    </row>
    <row r="3057" spans="1:15" x14ac:dyDescent="0.35">
      <c r="A3057">
        <v>2008</v>
      </c>
      <c r="B3057">
        <v>5</v>
      </c>
      <c r="C3057">
        <v>13</v>
      </c>
      <c r="D3057" s="1">
        <f t="shared" si="376"/>
        <v>39581</v>
      </c>
      <c r="E3057">
        <v>0</v>
      </c>
      <c r="F3057">
        <f t="shared" si="382"/>
        <v>0</v>
      </c>
      <c r="G3057">
        <f t="shared" si="377"/>
        <v>0</v>
      </c>
      <c r="H3057">
        <f t="shared" si="383"/>
        <v>0</v>
      </c>
      <c r="I3057">
        <v>3056</v>
      </c>
      <c r="J3057">
        <f t="shared" si="378"/>
        <v>0.74228090708698369</v>
      </c>
      <c r="K3057">
        <f t="shared" si="379"/>
        <v>-0.67008884110550948</v>
      </c>
      <c r="L3057">
        <f>VLOOKUP(D3057,[1]SOI!$A$1:$C$142,3)</f>
        <v>4.5</v>
      </c>
      <c r="M3057" s="2">
        <f t="shared" si="380"/>
        <v>2268.4104520578221</v>
      </c>
      <c r="N3057">
        <f t="shared" si="381"/>
        <v>-2047.791498418437</v>
      </c>
      <c r="O3057" t="s">
        <v>8</v>
      </c>
    </row>
    <row r="3058" spans="1:15" x14ac:dyDescent="0.35">
      <c r="A3058">
        <v>2008</v>
      </c>
      <c r="B3058">
        <v>5</v>
      </c>
      <c r="C3058">
        <v>14</v>
      </c>
      <c r="D3058" s="1">
        <f t="shared" si="376"/>
        <v>39582</v>
      </c>
      <c r="E3058">
        <v>0</v>
      </c>
      <c r="F3058">
        <f t="shared" si="382"/>
        <v>0</v>
      </c>
      <c r="G3058">
        <f t="shared" si="377"/>
        <v>0</v>
      </c>
      <c r="H3058">
        <f t="shared" si="383"/>
        <v>0</v>
      </c>
      <c r="I3058">
        <v>3057</v>
      </c>
      <c r="J3058">
        <f t="shared" si="378"/>
        <v>0.73064449691849243</v>
      </c>
      <c r="K3058">
        <f t="shared" si="379"/>
        <v>-0.68275809707591395</v>
      </c>
      <c r="L3058">
        <f>VLOOKUP(D3058,[1]SOI!$A$1:$C$142,3)</f>
        <v>4.5</v>
      </c>
      <c r="M3058" s="2">
        <f t="shared" si="380"/>
        <v>2233.5802270798313</v>
      </c>
      <c r="N3058">
        <f t="shared" si="381"/>
        <v>-2087.1915027610689</v>
      </c>
      <c r="O3058" t="s">
        <v>8</v>
      </c>
    </row>
    <row r="3059" spans="1:15" x14ac:dyDescent="0.35">
      <c r="A3059">
        <v>2008</v>
      </c>
      <c r="B3059">
        <v>5</v>
      </c>
      <c r="C3059">
        <v>15</v>
      </c>
      <c r="D3059" s="1">
        <f t="shared" si="376"/>
        <v>39583</v>
      </c>
      <c r="E3059">
        <v>0</v>
      </c>
      <c r="F3059">
        <f t="shared" si="382"/>
        <v>0</v>
      </c>
      <c r="G3059">
        <f t="shared" si="377"/>
        <v>0</v>
      </c>
      <c r="H3059">
        <f t="shared" si="383"/>
        <v>0</v>
      </c>
      <c r="I3059">
        <v>3058</v>
      </c>
      <c r="J3059">
        <f t="shared" si="378"/>
        <v>0.71879187728842331</v>
      </c>
      <c r="K3059">
        <f t="shared" si="379"/>
        <v>-0.69522531394087206</v>
      </c>
      <c r="L3059">
        <f>VLOOKUP(D3059,[1]SOI!$A$1:$C$142,3)</f>
        <v>4.5</v>
      </c>
      <c r="M3059" s="2">
        <f t="shared" si="380"/>
        <v>2198.0655607479985</v>
      </c>
      <c r="N3059">
        <f t="shared" si="381"/>
        <v>-2125.9990100311866</v>
      </c>
      <c r="O3059" t="s">
        <v>8</v>
      </c>
    </row>
    <row r="3060" spans="1:15" x14ac:dyDescent="0.35">
      <c r="A3060">
        <v>2008</v>
      </c>
      <c r="B3060">
        <v>5</v>
      </c>
      <c r="C3060">
        <v>16</v>
      </c>
      <c r="D3060" s="1">
        <f t="shared" si="376"/>
        <v>39584</v>
      </c>
      <c r="E3060">
        <v>0</v>
      </c>
      <c r="F3060">
        <f t="shared" si="382"/>
        <v>0</v>
      </c>
      <c r="G3060">
        <f t="shared" si="377"/>
        <v>0</v>
      </c>
      <c r="H3060">
        <f t="shared" si="383"/>
        <v>0</v>
      </c>
      <c r="I3060">
        <v>3059</v>
      </c>
      <c r="J3060">
        <f t="shared" si="378"/>
        <v>0.70672655557762032</v>
      </c>
      <c r="K3060">
        <f t="shared" si="379"/>
        <v>-0.70748680245033035</v>
      </c>
      <c r="L3060">
        <f>VLOOKUP(D3060,[1]SOI!$A$1:$C$142,3)</f>
        <v>4.5</v>
      </c>
      <c r="M3060" s="2">
        <f t="shared" si="380"/>
        <v>2161.8765335119406</v>
      </c>
      <c r="N3060">
        <f t="shared" si="381"/>
        <v>-2164.2021286955605</v>
      </c>
      <c r="O3060" t="s">
        <v>8</v>
      </c>
    </row>
    <row r="3061" spans="1:15" x14ac:dyDescent="0.35">
      <c r="A3061">
        <v>2008</v>
      </c>
      <c r="B3061">
        <v>5</v>
      </c>
      <c r="C3061">
        <v>17</v>
      </c>
      <c r="D3061" s="1">
        <f t="shared" si="376"/>
        <v>39585</v>
      </c>
      <c r="E3061">
        <v>6.4</v>
      </c>
      <c r="F3061">
        <f t="shared" si="382"/>
        <v>0</v>
      </c>
      <c r="G3061">
        <f t="shared" si="377"/>
        <v>1</v>
      </c>
      <c r="H3061">
        <f t="shared" si="383"/>
        <v>0</v>
      </c>
      <c r="I3061">
        <v>3060</v>
      </c>
      <c r="J3061">
        <f t="shared" si="378"/>
        <v>0.69445210210887998</v>
      </c>
      <c r="K3061">
        <f t="shared" si="379"/>
        <v>-0.71953893423258042</v>
      </c>
      <c r="L3061">
        <f>VLOOKUP(D3061,[1]SOI!$A$1:$C$142,3)</f>
        <v>4.5</v>
      </c>
      <c r="M3061" s="2">
        <f t="shared" si="380"/>
        <v>2125.0234324531725</v>
      </c>
      <c r="N3061">
        <f t="shared" si="381"/>
        <v>-2201.7891387516961</v>
      </c>
      <c r="O3061" t="s">
        <v>8</v>
      </c>
    </row>
    <row r="3062" spans="1:15" x14ac:dyDescent="0.35">
      <c r="A3062">
        <v>2008</v>
      </c>
      <c r="B3062">
        <v>5</v>
      </c>
      <c r="C3062">
        <v>18</v>
      </c>
      <c r="D3062" s="1">
        <f t="shared" si="376"/>
        <v>39586</v>
      </c>
      <c r="E3062">
        <v>17.2</v>
      </c>
      <c r="F3062">
        <f t="shared" si="382"/>
        <v>6.4</v>
      </c>
      <c r="G3062">
        <f t="shared" si="377"/>
        <v>1</v>
      </c>
      <c r="H3062">
        <f t="shared" si="383"/>
        <v>1</v>
      </c>
      <c r="I3062">
        <v>3061</v>
      </c>
      <c r="J3062">
        <f t="shared" si="378"/>
        <v>0.68197214909046566</v>
      </c>
      <c r="K3062">
        <f t="shared" si="379"/>
        <v>-0.7313781428679228</v>
      </c>
      <c r="L3062">
        <f>VLOOKUP(D3062,[1]SOI!$A$1:$C$142,3)</f>
        <v>4.5</v>
      </c>
      <c r="M3062" s="2">
        <f t="shared" si="380"/>
        <v>2087.5167483659152</v>
      </c>
      <c r="N3062">
        <f t="shared" si="381"/>
        <v>-2238.7484953187118</v>
      </c>
      <c r="O3062" t="s">
        <v>8</v>
      </c>
    </row>
    <row r="3063" spans="1:15" x14ac:dyDescent="0.35">
      <c r="A3063">
        <v>2008</v>
      </c>
      <c r="B3063">
        <v>5</v>
      </c>
      <c r="C3063">
        <v>19</v>
      </c>
      <c r="D3063" s="1">
        <f t="shared" si="376"/>
        <v>39587</v>
      </c>
      <c r="E3063">
        <v>0</v>
      </c>
      <c r="F3063">
        <f t="shared" si="382"/>
        <v>17.2</v>
      </c>
      <c r="G3063">
        <f t="shared" si="377"/>
        <v>0</v>
      </c>
      <c r="H3063">
        <f t="shared" si="383"/>
        <v>1</v>
      </c>
      <c r="I3063">
        <v>3062</v>
      </c>
      <c r="J3063">
        <f t="shared" si="378"/>
        <v>0.66929038954125852</v>
      </c>
      <c r="K3063">
        <f t="shared" si="379"/>
        <v>-0.74300092494404768</v>
      </c>
      <c r="L3063">
        <f>VLOOKUP(D3063,[1]SOI!$A$1:$C$142,3)</f>
        <v>4.5</v>
      </c>
      <c r="M3063" s="2">
        <f t="shared" si="380"/>
        <v>2049.3671727753335</v>
      </c>
      <c r="N3063">
        <f t="shared" si="381"/>
        <v>-2275.0688321786738</v>
      </c>
      <c r="O3063" t="s">
        <v>8</v>
      </c>
    </row>
    <row r="3064" spans="1:15" x14ac:dyDescent="0.35">
      <c r="A3064">
        <v>2008</v>
      </c>
      <c r="B3064">
        <v>5</v>
      </c>
      <c r="C3064">
        <v>20</v>
      </c>
      <c r="D3064" s="1">
        <f t="shared" si="376"/>
        <v>39588</v>
      </c>
      <c r="E3064">
        <v>0.6</v>
      </c>
      <c r="F3064">
        <f t="shared" si="382"/>
        <v>0</v>
      </c>
      <c r="G3064">
        <f t="shared" si="377"/>
        <v>1</v>
      </c>
      <c r="H3064">
        <f t="shared" si="383"/>
        <v>0</v>
      </c>
      <c r="I3064">
        <v>3063</v>
      </c>
      <c r="J3064">
        <f t="shared" si="378"/>
        <v>0.65641057619793919</v>
      </c>
      <c r="K3064">
        <f t="shared" si="379"/>
        <v>-0.75440384109274616</v>
      </c>
      <c r="L3064">
        <f>VLOOKUP(D3064,[1]SOI!$A$1:$C$142,3)</f>
        <v>4.5</v>
      </c>
      <c r="M3064" s="2">
        <f t="shared" si="380"/>
        <v>2010.5855948942876</v>
      </c>
      <c r="N3064">
        <f t="shared" si="381"/>
        <v>-2310.7389652670813</v>
      </c>
      <c r="O3064" t="s">
        <v>8</v>
      </c>
    </row>
    <row r="3065" spans="1:15" x14ac:dyDescent="0.35">
      <c r="A3065">
        <v>2008</v>
      </c>
      <c r="B3065">
        <v>5</v>
      </c>
      <c r="C3065">
        <v>21</v>
      </c>
      <c r="D3065" s="1">
        <f t="shared" si="376"/>
        <v>39589</v>
      </c>
      <c r="E3065">
        <v>0.8</v>
      </c>
      <c r="F3065">
        <f t="shared" si="382"/>
        <v>0.6</v>
      </c>
      <c r="G3065">
        <f t="shared" si="377"/>
        <v>1</v>
      </c>
      <c r="H3065">
        <f t="shared" si="383"/>
        <v>1</v>
      </c>
      <c r="I3065">
        <v>3064</v>
      </c>
      <c r="J3065">
        <f t="shared" si="378"/>
        <v>0.64333652040449762</v>
      </c>
      <c r="K3065">
        <f t="shared" si="379"/>
        <v>-0.76558351700767002</v>
      </c>
      <c r="L3065">
        <f>VLOOKUP(D3065,[1]SOI!$A$1:$C$142,3)</f>
        <v>4.5</v>
      </c>
      <c r="M3065" s="2">
        <f t="shared" si="380"/>
        <v>1971.1830985193808</v>
      </c>
      <c r="N3065">
        <f t="shared" si="381"/>
        <v>-2345.7478961115007</v>
      </c>
      <c r="O3065" t="s">
        <v>8</v>
      </c>
    </row>
    <row r="3066" spans="1:15" x14ac:dyDescent="0.35">
      <c r="A3066">
        <v>2008</v>
      </c>
      <c r="B3066">
        <v>5</v>
      </c>
      <c r="C3066">
        <v>22</v>
      </c>
      <c r="D3066" s="1">
        <f t="shared" si="376"/>
        <v>39590</v>
      </c>
      <c r="E3066">
        <v>0</v>
      </c>
      <c r="F3066">
        <f t="shared" si="382"/>
        <v>0.8</v>
      </c>
      <c r="G3066">
        <f t="shared" si="377"/>
        <v>0</v>
      </c>
      <c r="H3066">
        <f t="shared" si="383"/>
        <v>1</v>
      </c>
      <c r="I3066">
        <v>3065</v>
      </c>
      <c r="J3066">
        <f t="shared" si="378"/>
        <v>0.63007209098437367</v>
      </c>
      <c r="K3066">
        <f t="shared" si="379"/>
        <v>-0.77653664444286152</v>
      </c>
      <c r="L3066">
        <f>VLOOKUP(D3066,[1]SOI!$A$1:$C$142,3)</f>
        <v>4.5</v>
      </c>
      <c r="M3066" s="2">
        <f t="shared" si="380"/>
        <v>1931.1709588671054</v>
      </c>
      <c r="N3066">
        <f t="shared" si="381"/>
        <v>-2380.0848152173708</v>
      </c>
      <c r="O3066" t="s">
        <v>8</v>
      </c>
    </row>
    <row r="3067" spans="1:15" x14ac:dyDescent="0.35">
      <c r="A3067">
        <v>2008</v>
      </c>
      <c r="B3067">
        <v>5</v>
      </c>
      <c r="C3067">
        <v>23</v>
      </c>
      <c r="D3067" s="1">
        <f t="shared" si="376"/>
        <v>39591</v>
      </c>
      <c r="E3067">
        <v>0</v>
      </c>
      <c r="F3067">
        <f t="shared" si="382"/>
        <v>0</v>
      </c>
      <c r="G3067">
        <f t="shared" si="377"/>
        <v>0</v>
      </c>
      <c r="H3067">
        <f t="shared" si="383"/>
        <v>0</v>
      </c>
      <c r="I3067">
        <v>3066</v>
      </c>
      <c r="J3067">
        <f t="shared" si="378"/>
        <v>0.61662121309564222</v>
      </c>
      <c r="K3067">
        <f t="shared" si="379"/>
        <v>-0.78725998219168913</v>
      </c>
      <c r="L3067">
        <f>VLOOKUP(D3067,[1]SOI!$A$1:$C$142,3)</f>
        <v>4.5</v>
      </c>
      <c r="M3067" s="2">
        <f t="shared" si="380"/>
        <v>1890.5606393512389</v>
      </c>
      <c r="N3067">
        <f t="shared" si="381"/>
        <v>-2413.7391053997189</v>
      </c>
      <c r="O3067" t="s">
        <v>8</v>
      </c>
    </row>
    <row r="3068" spans="1:15" x14ac:dyDescent="0.35">
      <c r="A3068">
        <v>2008</v>
      </c>
      <c r="B3068">
        <v>5</v>
      </c>
      <c r="C3068">
        <v>24</v>
      </c>
      <c r="D3068" s="1">
        <f t="shared" si="376"/>
        <v>39592</v>
      </c>
      <c r="E3068">
        <v>0</v>
      </c>
      <c r="F3068">
        <f t="shared" si="382"/>
        <v>0</v>
      </c>
      <c r="G3068">
        <f t="shared" si="377"/>
        <v>0</v>
      </c>
      <c r="H3068">
        <f t="shared" si="383"/>
        <v>0</v>
      </c>
      <c r="I3068">
        <v>3067</v>
      </c>
      <c r="J3068">
        <f t="shared" si="378"/>
        <v>0.60298786706947427</v>
      </c>
      <c r="K3068">
        <f t="shared" si="379"/>
        <v>-0.79775035704599095</v>
      </c>
      <c r="L3068">
        <f>VLOOKUP(D3068,[1]SOI!$A$1:$C$142,3)</f>
        <v>4.5</v>
      </c>
      <c r="M3068" s="2">
        <f t="shared" si="380"/>
        <v>1849.3637883020776</v>
      </c>
      <c r="N3068">
        <f t="shared" si="381"/>
        <v>-2446.7003450600541</v>
      </c>
      <c r="O3068" t="s">
        <v>8</v>
      </c>
    </row>
    <row r="3069" spans="1:15" x14ac:dyDescent="0.35">
      <c r="A3069">
        <v>2008</v>
      </c>
      <c r="B3069">
        <v>5</v>
      </c>
      <c r="C3069">
        <v>25</v>
      </c>
      <c r="D3069" s="1">
        <f t="shared" si="376"/>
        <v>39593</v>
      </c>
      <c r="E3069">
        <v>0</v>
      </c>
      <c r="F3069">
        <f t="shared" si="382"/>
        <v>0</v>
      </c>
      <c r="G3069">
        <f t="shared" si="377"/>
        <v>0</v>
      </c>
      <c r="H3069">
        <f t="shared" si="383"/>
        <v>0</v>
      </c>
      <c r="I3069">
        <v>3068</v>
      </c>
      <c r="J3069">
        <f t="shared" si="378"/>
        <v>0.58917608723229864</v>
      </c>
      <c r="K3069">
        <f t="shared" si="379"/>
        <v>-0.80800466473507371</v>
      </c>
      <c r="L3069">
        <f>VLOOKUP(D3069,[1]SOI!$A$1:$C$142,3)</f>
        <v>4.5</v>
      </c>
      <c r="M3069" s="2">
        <f t="shared" si="380"/>
        <v>1807.5922356286922</v>
      </c>
      <c r="N3069">
        <f t="shared" si="381"/>
        <v>-2478.9583114072061</v>
      </c>
      <c r="O3069" t="s">
        <v>8</v>
      </c>
    </row>
    <row r="3070" spans="1:15" x14ac:dyDescent="0.35">
      <c r="A3070">
        <v>2008</v>
      </c>
      <c r="B3070">
        <v>5</v>
      </c>
      <c r="C3070">
        <v>26</v>
      </c>
      <c r="D3070" s="1">
        <f t="shared" si="376"/>
        <v>39594</v>
      </c>
      <c r="E3070">
        <v>0</v>
      </c>
      <c r="F3070">
        <f t="shared" si="382"/>
        <v>0</v>
      </c>
      <c r="G3070">
        <f t="shared" si="377"/>
        <v>0</v>
      </c>
      <c r="H3070">
        <f t="shared" si="383"/>
        <v>0</v>
      </c>
      <c r="I3070">
        <v>3069</v>
      </c>
      <c r="J3070">
        <f t="shared" si="378"/>
        <v>0.57518996071197326</v>
      </c>
      <c r="K3070">
        <f t="shared" si="379"/>
        <v>-0.81801987084432037</v>
      </c>
      <c r="L3070">
        <f>VLOOKUP(D3070,[1]SOI!$A$1:$C$142,3)</f>
        <v>4.5</v>
      </c>
      <c r="M3070" s="2">
        <f t="shared" si="380"/>
        <v>1765.2579894250459</v>
      </c>
      <c r="N3070">
        <f t="shared" si="381"/>
        <v>-2510.5029836212193</v>
      </c>
      <c r="O3070" t="s">
        <v>8</v>
      </c>
    </row>
    <row r="3071" spans="1:15" x14ac:dyDescent="0.35">
      <c r="A3071">
        <v>2008</v>
      </c>
      <c r="B3071">
        <v>5</v>
      </c>
      <c r="C3071">
        <v>27</v>
      </c>
      <c r="D3071" s="1">
        <f t="shared" si="376"/>
        <v>39595</v>
      </c>
      <c r="E3071">
        <v>2.4</v>
      </c>
      <c r="F3071">
        <f t="shared" si="382"/>
        <v>0</v>
      </c>
      <c r="G3071">
        <f t="shared" si="377"/>
        <v>1</v>
      </c>
      <c r="H3071">
        <f t="shared" si="383"/>
        <v>0</v>
      </c>
      <c r="I3071">
        <v>3070</v>
      </c>
      <c r="J3071">
        <f t="shared" si="378"/>
        <v>0.56103362622837416</v>
      </c>
      <c r="K3071">
        <f t="shared" si="379"/>
        <v>-0.82779301171309783</v>
      </c>
      <c r="L3071">
        <f>VLOOKUP(D3071,[1]SOI!$A$1:$C$142,3)</f>
        <v>4.5</v>
      </c>
      <c r="M3071" s="2">
        <f t="shared" si="380"/>
        <v>1722.3732325211088</v>
      </c>
      <c r="N3071">
        <f t="shared" si="381"/>
        <v>-2541.3245459592104</v>
      </c>
      <c r="O3071" t="s">
        <v>8</v>
      </c>
    </row>
    <row r="3072" spans="1:15" x14ac:dyDescent="0.35">
      <c r="A3072">
        <v>2008</v>
      </c>
      <c r="B3072">
        <v>5</v>
      </c>
      <c r="C3072">
        <v>28</v>
      </c>
      <c r="D3072" s="1">
        <f t="shared" si="376"/>
        <v>39596</v>
      </c>
      <c r="E3072">
        <v>1</v>
      </c>
      <c r="F3072">
        <f t="shared" si="382"/>
        <v>2.4</v>
      </c>
      <c r="G3072">
        <f t="shared" si="377"/>
        <v>1</v>
      </c>
      <c r="H3072">
        <f t="shared" si="383"/>
        <v>1</v>
      </c>
      <c r="I3072">
        <v>3071</v>
      </c>
      <c r="J3072">
        <f t="shared" si="378"/>
        <v>0.54671127286859933</v>
      </c>
      <c r="K3072">
        <f t="shared" si="379"/>
        <v>-0.8373211953118086</v>
      </c>
      <c r="L3072">
        <f>VLOOKUP(D3072,[1]SOI!$A$1:$C$142,3)</f>
        <v>4.5</v>
      </c>
      <c r="M3072" s="2">
        <f t="shared" si="380"/>
        <v>1678.9503189794686</v>
      </c>
      <c r="N3072">
        <f t="shared" si="381"/>
        <v>-2571.4133908025642</v>
      </c>
      <c r="O3072" t="s">
        <v>8</v>
      </c>
    </row>
    <row r="3073" spans="1:15" x14ac:dyDescent="0.35">
      <c r="A3073">
        <v>2008</v>
      </c>
      <c r="B3073">
        <v>5</v>
      </c>
      <c r="C3073">
        <v>29</v>
      </c>
      <c r="D3073" s="1">
        <f t="shared" si="376"/>
        <v>39597</v>
      </c>
      <c r="E3073">
        <v>0</v>
      </c>
      <c r="F3073">
        <f t="shared" si="382"/>
        <v>1</v>
      </c>
      <c r="G3073">
        <f t="shared" si="377"/>
        <v>0</v>
      </c>
      <c r="H3073">
        <f t="shared" si="383"/>
        <v>1</v>
      </c>
      <c r="I3073">
        <v>3072</v>
      </c>
      <c r="J3073">
        <f t="shared" si="378"/>
        <v>0.53222713884744399</v>
      </c>
      <c r="K3073">
        <f t="shared" si="379"/>
        <v>-0.84660160209762392</v>
      </c>
      <c r="L3073">
        <f>VLOOKUP(D3073,[1]SOI!$A$1:$C$142,3)</f>
        <v>4.5</v>
      </c>
      <c r="M3073" s="2">
        <f t="shared" si="380"/>
        <v>1635.0017705393479</v>
      </c>
      <c r="N3073">
        <f t="shared" si="381"/>
        <v>-2600.7601216439007</v>
      </c>
      <c r="O3073" t="s">
        <v>8</v>
      </c>
    </row>
    <row r="3074" spans="1:15" x14ac:dyDescent="0.35">
      <c r="A3074">
        <v>2008</v>
      </c>
      <c r="B3074">
        <v>5</v>
      </c>
      <c r="C3074">
        <v>30</v>
      </c>
      <c r="D3074" s="1">
        <f t="shared" si="376"/>
        <v>39598</v>
      </c>
      <c r="E3074">
        <v>0</v>
      </c>
      <c r="F3074">
        <f t="shared" si="382"/>
        <v>0</v>
      </c>
      <c r="G3074">
        <f t="shared" si="377"/>
        <v>0</v>
      </c>
      <c r="H3074">
        <f t="shared" si="383"/>
        <v>0</v>
      </c>
      <c r="I3074">
        <v>3073</v>
      </c>
      <c r="J3074">
        <f t="shared" si="378"/>
        <v>0.51758551025318633</v>
      </c>
      <c r="K3074">
        <f t="shared" si="379"/>
        <v>-0.85563148584887216</v>
      </c>
      <c r="L3074">
        <f>VLOOKUP(D3074,[1]SOI!$A$1:$C$142,3)</f>
        <v>4.5</v>
      </c>
      <c r="M3074" s="2">
        <f t="shared" si="380"/>
        <v>1590.5402730080416</v>
      </c>
      <c r="N3074">
        <f t="shared" si="381"/>
        <v>-2629.3555560135842</v>
      </c>
      <c r="O3074" t="s">
        <v>8</v>
      </c>
    </row>
    <row r="3075" spans="1:15" x14ac:dyDescent="0.35">
      <c r="A3075">
        <v>2008</v>
      </c>
      <c r="B3075">
        <v>5</v>
      </c>
      <c r="C3075">
        <v>31</v>
      </c>
      <c r="D3075" s="1">
        <f t="shared" ref="D3075:D3138" si="384">DATE(A3075,B3075,C3075)</f>
        <v>39599</v>
      </c>
      <c r="E3075">
        <v>0</v>
      </c>
      <c r="F3075">
        <f t="shared" si="382"/>
        <v>0</v>
      </c>
      <c r="G3075">
        <f t="shared" ref="G3075:G3138" si="385">IF(E3075=0,0,1)</f>
        <v>0</v>
      </c>
      <c r="H3075">
        <f t="shared" si="383"/>
        <v>0</v>
      </c>
      <c r="I3075">
        <v>3074</v>
      </c>
      <c r="J3075">
        <f t="shared" ref="J3075:J3138" si="386">SIN(2*PI()*I3075/365.25)</f>
        <v>0.50279071977930068</v>
      </c>
      <c r="K3075">
        <f t="shared" ref="K3075:K3138" si="387">COS(2*PI()*I3075/365.25)</f>
        <v>-0.86440817447766705</v>
      </c>
      <c r="L3075">
        <f>VLOOKUP(D3075,[1]SOI!$A$1:$C$142,3)</f>
        <v>4.5</v>
      </c>
      <c r="M3075" s="2">
        <f t="shared" ref="M3075:M3138" si="388">I3075*J3075</f>
        <v>1545.5786726015704</v>
      </c>
      <c r="N3075">
        <f t="shared" ref="N3075:N3138" si="389">I3075*K3075</f>
        <v>-2657.1907283443484</v>
      </c>
      <c r="O3075" t="s">
        <v>8</v>
      </c>
    </row>
    <row r="3076" spans="1:15" x14ac:dyDescent="0.35">
      <c r="A3076">
        <v>2008</v>
      </c>
      <c r="B3076">
        <v>6</v>
      </c>
      <c r="C3076">
        <v>1</v>
      </c>
      <c r="D3076" s="1">
        <f t="shared" si="384"/>
        <v>39600</v>
      </c>
      <c r="E3076">
        <v>0.2</v>
      </c>
      <c r="F3076">
        <f t="shared" ref="F3076:F3139" si="390">E3075</f>
        <v>0</v>
      </c>
      <c r="G3076">
        <f t="shared" si="385"/>
        <v>1</v>
      </c>
      <c r="H3076">
        <f t="shared" ref="H3076:H3139" si="391">G3075</f>
        <v>0</v>
      </c>
      <c r="I3076">
        <v>3075</v>
      </c>
      <c r="J3076">
        <f t="shared" si="386"/>
        <v>0.48784714544231977</v>
      </c>
      <c r="K3076">
        <f t="shared" si="387"/>
        <v>-0.87292907082063664</v>
      </c>
      <c r="L3076">
        <f>VLOOKUP(D3076,[1]SOI!$A$1:$C$142,3)</f>
        <v>-4.3</v>
      </c>
      <c r="M3076" s="2">
        <f t="shared" si="388"/>
        <v>1500.1299722351332</v>
      </c>
      <c r="N3076">
        <f t="shared" si="389"/>
        <v>-2684.2568927734578</v>
      </c>
      <c r="O3076" t="s">
        <v>8</v>
      </c>
    </row>
    <row r="3077" spans="1:15" x14ac:dyDescent="0.35">
      <c r="A3077">
        <v>2008</v>
      </c>
      <c r="B3077">
        <v>6</v>
      </c>
      <c r="C3077">
        <v>2</v>
      </c>
      <c r="D3077" s="1">
        <f t="shared" si="384"/>
        <v>39601</v>
      </c>
      <c r="E3077">
        <v>0</v>
      </c>
      <c r="F3077">
        <f t="shared" si="390"/>
        <v>0.2</v>
      </c>
      <c r="G3077">
        <f t="shared" si="385"/>
        <v>0</v>
      </c>
      <c r="H3077">
        <f t="shared" si="391"/>
        <v>1</v>
      </c>
      <c r="I3077">
        <v>3076</v>
      </c>
      <c r="J3077">
        <f t="shared" si="386"/>
        <v>0.4727592092862844</v>
      </c>
      <c r="K3077">
        <f t="shared" si="387"/>
        <v>-0.88119165340747929</v>
      </c>
      <c r="L3077">
        <f>VLOOKUP(D3077,[1]SOI!$A$1:$C$142,3)</f>
        <v>-4.3</v>
      </c>
      <c r="M3077" s="2">
        <f t="shared" si="388"/>
        <v>1454.2073277646109</v>
      </c>
      <c r="N3077">
        <f t="shared" si="389"/>
        <v>-2710.5455258814063</v>
      </c>
      <c r="O3077" t="s">
        <v>8</v>
      </c>
    </row>
    <row r="3078" spans="1:15" x14ac:dyDescent="0.35">
      <c r="A3078">
        <v>2008</v>
      </c>
      <c r="B3078">
        <v>6</v>
      </c>
      <c r="C3078">
        <v>3</v>
      </c>
      <c r="D3078" s="1">
        <f t="shared" si="384"/>
        <v>39602</v>
      </c>
      <c r="E3078">
        <v>0</v>
      </c>
      <c r="F3078">
        <f t="shared" si="390"/>
        <v>0</v>
      </c>
      <c r="G3078">
        <f t="shared" si="385"/>
        <v>0</v>
      </c>
      <c r="H3078">
        <f t="shared" si="391"/>
        <v>0</v>
      </c>
      <c r="I3078">
        <v>3077</v>
      </c>
      <c r="J3078">
        <f t="shared" si="386"/>
        <v>0.4575313760742506</v>
      </c>
      <c r="K3078">
        <f t="shared" si="387"/>
        <v>-0.88919347720707143</v>
      </c>
      <c r="L3078">
        <f>VLOOKUP(D3078,[1]SOI!$A$1:$C$142,3)</f>
        <v>-4.3</v>
      </c>
      <c r="M3078" s="2">
        <f t="shared" si="388"/>
        <v>1407.8240441804692</v>
      </c>
      <c r="N3078">
        <f t="shared" si="389"/>
        <v>-2736.0483293661587</v>
      </c>
      <c r="O3078" t="s">
        <v>8</v>
      </c>
    </row>
    <row r="3079" spans="1:15" x14ac:dyDescent="0.35">
      <c r="A3079">
        <v>2008</v>
      </c>
      <c r="B3079">
        <v>6</v>
      </c>
      <c r="C3079">
        <v>4</v>
      </c>
      <c r="D3079" s="1">
        <f t="shared" si="384"/>
        <v>39603</v>
      </c>
      <c r="E3079">
        <v>0</v>
      </c>
      <c r="F3079">
        <f t="shared" si="390"/>
        <v>0</v>
      </c>
      <c r="G3079">
        <f t="shared" si="385"/>
        <v>0</v>
      </c>
      <c r="H3079">
        <f t="shared" si="391"/>
        <v>0</v>
      </c>
      <c r="I3079">
        <v>3078</v>
      </c>
      <c r="J3079">
        <f t="shared" si="386"/>
        <v>0.4421681519670706</v>
      </c>
      <c r="K3079">
        <f t="shared" si="387"/>
        <v>-0.89693217435100725</v>
      </c>
      <c r="L3079">
        <f>VLOOKUP(D3079,[1]SOI!$A$1:$C$142,3)</f>
        <v>-4.3</v>
      </c>
      <c r="M3079" s="2">
        <f t="shared" si="388"/>
        <v>1360.9935717546432</v>
      </c>
      <c r="N3079">
        <f t="shared" si="389"/>
        <v>-2760.7572326524005</v>
      </c>
      <c r="O3079" t="s">
        <v>8</v>
      </c>
    </row>
    <row r="3080" spans="1:15" x14ac:dyDescent="0.35">
      <c r="A3080">
        <v>2008</v>
      </c>
      <c r="B3080">
        <v>6</v>
      </c>
      <c r="C3080">
        <v>5</v>
      </c>
      <c r="D3080" s="1">
        <f t="shared" si="384"/>
        <v>39604</v>
      </c>
      <c r="E3080">
        <v>0</v>
      </c>
      <c r="F3080">
        <f t="shared" si="390"/>
        <v>0</v>
      </c>
      <c r="G3080">
        <f t="shared" si="385"/>
        <v>0</v>
      </c>
      <c r="H3080">
        <f t="shared" si="391"/>
        <v>0</v>
      </c>
      <c r="I3080">
        <v>3079</v>
      </c>
      <c r="J3080">
        <f t="shared" si="386"/>
        <v>0.426674083189922</v>
      </c>
      <c r="K3080">
        <f t="shared" si="387"/>
        <v>-0.90440545483430135</v>
      </c>
      <c r="L3080">
        <f>VLOOKUP(D3080,[1]SOI!$A$1:$C$142,3)</f>
        <v>-4.3</v>
      </c>
      <c r="M3080" s="2">
        <f t="shared" si="388"/>
        <v>1313.7295021417699</v>
      </c>
      <c r="N3080">
        <f t="shared" si="389"/>
        <v>-2784.6643954348137</v>
      </c>
      <c r="O3080" t="s">
        <v>8</v>
      </c>
    </row>
    <row r="3081" spans="1:15" x14ac:dyDescent="0.35">
      <c r="A3081">
        <v>2008</v>
      </c>
      <c r="B3081">
        <v>6</v>
      </c>
      <c r="C3081">
        <v>6</v>
      </c>
      <c r="D3081" s="1">
        <f t="shared" si="384"/>
        <v>39605</v>
      </c>
      <c r="E3081">
        <v>0</v>
      </c>
      <c r="F3081">
        <f t="shared" si="390"/>
        <v>0</v>
      </c>
      <c r="G3081">
        <f t="shared" si="385"/>
        <v>0</v>
      </c>
      <c r="H3081">
        <f t="shared" si="391"/>
        <v>0</v>
      </c>
      <c r="I3081">
        <v>3080</v>
      </c>
      <c r="J3081">
        <f t="shared" si="386"/>
        <v>0.41105375468703165</v>
      </c>
      <c r="K3081">
        <f t="shared" si="387"/>
        <v>-0.91161110719302541</v>
      </c>
      <c r="L3081">
        <f>VLOOKUP(D3081,[1]SOI!$A$1:$C$142,3)</f>
        <v>-4.3</v>
      </c>
      <c r="M3081" s="2">
        <f t="shared" si="388"/>
        <v>1266.0455644360575</v>
      </c>
      <c r="N3081">
        <f t="shared" si="389"/>
        <v>-2807.7622101545185</v>
      </c>
      <c r="O3081" t="s">
        <v>8</v>
      </c>
    </row>
    <row r="3082" spans="1:15" x14ac:dyDescent="0.35">
      <c r="A3082">
        <v>2008</v>
      </c>
      <c r="B3082">
        <v>6</v>
      </c>
      <c r="C3082">
        <v>7</v>
      </c>
      <c r="D3082" s="1">
        <f t="shared" si="384"/>
        <v>39606</v>
      </c>
      <c r="E3082">
        <v>0.4</v>
      </c>
      <c r="F3082">
        <f t="shared" si="390"/>
        <v>0</v>
      </c>
      <c r="G3082">
        <f t="shared" si="385"/>
        <v>1</v>
      </c>
      <c r="H3082">
        <f t="shared" si="391"/>
        <v>0</v>
      </c>
      <c r="I3082">
        <v>3081</v>
      </c>
      <c r="J3082">
        <f t="shared" si="386"/>
        <v>0.3953117887649234</v>
      </c>
      <c r="K3082">
        <f t="shared" si="387"/>
        <v>-0.91854699915871296</v>
      </c>
      <c r="L3082">
        <f>VLOOKUP(D3082,[1]SOI!$A$1:$C$142,3)</f>
        <v>-4.3</v>
      </c>
      <c r="M3082" s="2">
        <f t="shared" si="388"/>
        <v>1217.9556211847289</v>
      </c>
      <c r="N3082">
        <f t="shared" si="389"/>
        <v>-2830.0433044079946</v>
      </c>
      <c r="O3082" t="s">
        <v>8</v>
      </c>
    </row>
    <row r="3083" spans="1:15" x14ac:dyDescent="0.35">
      <c r="A3083">
        <v>2008</v>
      </c>
      <c r="B3083">
        <v>6</v>
      </c>
      <c r="C3083">
        <v>8</v>
      </c>
      <c r="D3083" s="1">
        <f t="shared" si="384"/>
        <v>39607</v>
      </c>
      <c r="E3083">
        <v>0</v>
      </c>
      <c r="F3083">
        <f t="shared" si="390"/>
        <v>0.4</v>
      </c>
      <c r="G3083">
        <f t="shared" si="385"/>
        <v>0</v>
      </c>
      <c r="H3083">
        <f t="shared" si="391"/>
        <v>1</v>
      </c>
      <c r="I3083">
        <v>3082</v>
      </c>
      <c r="J3083">
        <f t="shared" si="386"/>
        <v>0.37945284372454491</v>
      </c>
      <c r="K3083">
        <f t="shared" si="387"/>
        <v>-0.92521107828935778</v>
      </c>
      <c r="L3083">
        <f>VLOOKUP(D3083,[1]SOI!$A$1:$C$142,3)</f>
        <v>-4.3</v>
      </c>
      <c r="M3083" s="2">
        <f t="shared" si="388"/>
        <v>1169.4736643590475</v>
      </c>
      <c r="N3083">
        <f t="shared" si="389"/>
        <v>-2851.5005432878006</v>
      </c>
      <c r="O3083" t="s">
        <v>8</v>
      </c>
    </row>
    <row r="3084" spans="1:15" x14ac:dyDescent="0.35">
      <c r="A3084">
        <v>2008</v>
      </c>
      <c r="B3084">
        <v>6</v>
      </c>
      <c r="C3084">
        <v>9</v>
      </c>
      <c r="D3084" s="1">
        <f t="shared" si="384"/>
        <v>39608</v>
      </c>
      <c r="E3084">
        <v>0</v>
      </c>
      <c r="F3084">
        <f t="shared" si="390"/>
        <v>0</v>
      </c>
      <c r="G3084">
        <f t="shared" si="385"/>
        <v>0</v>
      </c>
      <c r="H3084">
        <f t="shared" si="391"/>
        <v>0</v>
      </c>
      <c r="I3084">
        <v>3083</v>
      </c>
      <c r="J3084">
        <f t="shared" si="386"/>
        <v>0.36348161248290567</v>
      </c>
      <c r="K3084">
        <f t="shared" si="387"/>
        <v>-0.93160137257671893</v>
      </c>
      <c r="L3084">
        <f>VLOOKUP(D3084,[1]SOI!$A$1:$C$142,3)</f>
        <v>-4.3</v>
      </c>
      <c r="M3084" s="2">
        <f t="shared" si="388"/>
        <v>1120.6138112847982</v>
      </c>
      <c r="N3084">
        <f t="shared" si="389"/>
        <v>-2872.1270316540244</v>
      </c>
      <c r="O3084" t="s">
        <v>8</v>
      </c>
    </row>
    <row r="3085" spans="1:15" x14ac:dyDescent="0.35">
      <c r="A3085">
        <v>2008</v>
      </c>
      <c r="B3085">
        <v>6</v>
      </c>
      <c r="C3085">
        <v>10</v>
      </c>
      <c r="D3085" s="1">
        <f t="shared" si="384"/>
        <v>39609</v>
      </c>
      <c r="E3085">
        <v>0</v>
      </c>
      <c r="F3085">
        <f t="shared" si="390"/>
        <v>0</v>
      </c>
      <c r="G3085">
        <f t="shared" si="385"/>
        <v>0</v>
      </c>
      <c r="H3085">
        <f t="shared" si="391"/>
        <v>0</v>
      </c>
      <c r="I3085">
        <v>3084</v>
      </c>
      <c r="J3085">
        <f t="shared" si="386"/>
        <v>0.3474028211842759</v>
      </c>
      <c r="K3085">
        <f t="shared" si="387"/>
        <v>-0.93771599102990988</v>
      </c>
      <c r="L3085">
        <f>VLOOKUP(D3085,[1]SOI!$A$1:$C$142,3)</f>
        <v>-4.3</v>
      </c>
      <c r="M3085" s="2">
        <f t="shared" si="388"/>
        <v>1071.3903005323068</v>
      </c>
      <c r="N3085">
        <f t="shared" si="389"/>
        <v>-2891.9161163362419</v>
      </c>
      <c r="O3085" t="s">
        <v>8</v>
      </c>
    </row>
    <row r="3086" spans="1:15" x14ac:dyDescent="0.35">
      <c r="A3086">
        <v>2008</v>
      </c>
      <c r="B3086">
        <v>6</v>
      </c>
      <c r="C3086">
        <v>11</v>
      </c>
      <c r="D3086" s="1">
        <f t="shared" si="384"/>
        <v>39610</v>
      </c>
      <c r="E3086">
        <v>0.2</v>
      </c>
      <c r="F3086">
        <f t="shared" si="390"/>
        <v>0</v>
      </c>
      <c r="G3086">
        <f t="shared" si="385"/>
        <v>1</v>
      </c>
      <c r="H3086">
        <f t="shared" si="391"/>
        <v>0</v>
      </c>
      <c r="I3086">
        <v>3085</v>
      </c>
      <c r="J3086">
        <f t="shared" si="386"/>
        <v>0.33122122780168373</v>
      </c>
      <c r="K3086">
        <f t="shared" si="387"/>
        <v>-0.94355312423495541</v>
      </c>
      <c r="L3086">
        <f>VLOOKUP(D3086,[1]SOI!$A$1:$C$142,3)</f>
        <v>-4.3</v>
      </c>
      <c r="M3086" s="2">
        <f t="shared" si="388"/>
        <v>1021.8174877681943</v>
      </c>
      <c r="N3086">
        <f t="shared" si="389"/>
        <v>-2910.8613882648374</v>
      </c>
      <c r="O3086" t="s">
        <v>8</v>
      </c>
    </row>
    <row r="3087" spans="1:15" x14ac:dyDescent="0.35">
      <c r="A3087">
        <v>2008</v>
      </c>
      <c r="B3087">
        <v>6</v>
      </c>
      <c r="C3087">
        <v>12</v>
      </c>
      <c r="D3087" s="1">
        <f t="shared" si="384"/>
        <v>39611</v>
      </c>
      <c r="E3087">
        <v>0</v>
      </c>
      <c r="F3087">
        <f t="shared" si="390"/>
        <v>0.2</v>
      </c>
      <c r="G3087">
        <f t="shared" si="385"/>
        <v>0</v>
      </c>
      <c r="H3087">
        <f t="shared" si="391"/>
        <v>1</v>
      </c>
      <c r="I3087">
        <v>3086</v>
      </c>
      <c r="J3087">
        <f t="shared" si="386"/>
        <v>0.31494162072895465</v>
      </c>
      <c r="K3087">
        <f t="shared" si="387"/>
        <v>-0.94911104489022746</v>
      </c>
      <c r="L3087">
        <f>VLOOKUP(D3087,[1]SOI!$A$1:$C$142,3)</f>
        <v>-4.3</v>
      </c>
      <c r="M3087" s="2">
        <f t="shared" si="388"/>
        <v>971.90984156955403</v>
      </c>
      <c r="N3087">
        <f t="shared" si="389"/>
        <v>-2928.956684531242</v>
      </c>
      <c r="O3087" t="s">
        <v>8</v>
      </c>
    </row>
    <row r="3088" spans="1:15" x14ac:dyDescent="0.35">
      <c r="A3088">
        <v>2008</v>
      </c>
      <c r="B3088">
        <v>6</v>
      </c>
      <c r="C3088">
        <v>13</v>
      </c>
      <c r="D3088" s="1">
        <f t="shared" si="384"/>
        <v>39612</v>
      </c>
      <c r="E3088">
        <v>5.2</v>
      </c>
      <c r="F3088">
        <f t="shared" si="390"/>
        <v>0</v>
      </c>
      <c r="G3088">
        <f t="shared" si="385"/>
        <v>1</v>
      </c>
      <c r="H3088">
        <f t="shared" si="391"/>
        <v>0</v>
      </c>
      <c r="I3088">
        <v>3087</v>
      </c>
      <c r="J3088">
        <f t="shared" si="386"/>
        <v>0.29856881736372165</v>
      </c>
      <c r="K3088">
        <f t="shared" si="387"/>
        <v>-0.95438810831759036</v>
      </c>
      <c r="L3088">
        <f>VLOOKUP(D3088,[1]SOI!$A$1:$C$142,3)</f>
        <v>-4.3</v>
      </c>
      <c r="M3088" s="2">
        <f t="shared" si="388"/>
        <v>921.68193920180875</v>
      </c>
      <c r="N3088">
        <f t="shared" si="389"/>
        <v>-2946.1960903764016</v>
      </c>
      <c r="O3088" t="s">
        <v>8</v>
      </c>
    </row>
    <row r="3089" spans="1:15" x14ac:dyDescent="0.35">
      <c r="A3089">
        <v>2008</v>
      </c>
      <c r="B3089">
        <v>6</v>
      </c>
      <c r="C3089">
        <v>14</v>
      </c>
      <c r="D3089" s="1">
        <f t="shared" si="384"/>
        <v>39613</v>
      </c>
      <c r="E3089">
        <v>1.8</v>
      </c>
      <c r="F3089">
        <f t="shared" si="390"/>
        <v>5.2</v>
      </c>
      <c r="G3089">
        <f t="shared" si="385"/>
        <v>1</v>
      </c>
      <c r="H3089">
        <f t="shared" si="391"/>
        <v>1</v>
      </c>
      <c r="I3089">
        <v>3088</v>
      </c>
      <c r="J3089">
        <f t="shared" si="386"/>
        <v>0.28210766268192039</v>
      </c>
      <c r="K3089">
        <f t="shared" si="387"/>
        <v>-0.95938275294907394</v>
      </c>
      <c r="L3089">
        <f>VLOOKUP(D3089,[1]SOI!$A$1:$C$142,3)</f>
        <v>-4.3</v>
      </c>
      <c r="M3089" s="2">
        <f t="shared" si="388"/>
        <v>871.14846236177016</v>
      </c>
      <c r="N3089">
        <f t="shared" si="389"/>
        <v>-2962.5739411067402</v>
      </c>
      <c r="O3089" t="s">
        <v>8</v>
      </c>
    </row>
    <row r="3090" spans="1:15" x14ac:dyDescent="0.35">
      <c r="A3090">
        <v>2008</v>
      </c>
      <c r="B3090">
        <v>6</v>
      </c>
      <c r="C3090">
        <v>15</v>
      </c>
      <c r="D3090" s="1">
        <f t="shared" si="384"/>
        <v>39614</v>
      </c>
      <c r="E3090">
        <v>0.2</v>
      </c>
      <c r="F3090">
        <f t="shared" si="390"/>
        <v>1.8</v>
      </c>
      <c r="G3090">
        <f t="shared" si="385"/>
        <v>1</v>
      </c>
      <c r="H3090">
        <f t="shared" si="391"/>
        <v>1</v>
      </c>
      <c r="I3090">
        <v>3089</v>
      </c>
      <c r="J3090">
        <f t="shared" si="386"/>
        <v>0.26556302780405566</v>
      </c>
      <c r="K3090">
        <f t="shared" si="387"/>
        <v>-0.96409350078897549</v>
      </c>
      <c r="L3090">
        <f>VLOOKUP(D3090,[1]SOI!$A$1:$C$142,3)</f>
        <v>-4.3</v>
      </c>
      <c r="M3090" s="2">
        <f t="shared" si="388"/>
        <v>820.32419288672793</v>
      </c>
      <c r="N3090">
        <f t="shared" si="389"/>
        <v>-2978.0848239371453</v>
      </c>
      <c r="O3090" t="s">
        <v>8</v>
      </c>
    </row>
    <row r="3091" spans="1:15" x14ac:dyDescent="0.35">
      <c r="A3091">
        <v>2008</v>
      </c>
      <c r="B3091">
        <v>6</v>
      </c>
      <c r="C3091">
        <v>16</v>
      </c>
      <c r="D3091" s="1">
        <f t="shared" si="384"/>
        <v>39615</v>
      </c>
      <c r="E3091">
        <v>0</v>
      </c>
      <c r="F3091">
        <f t="shared" si="390"/>
        <v>0.2</v>
      </c>
      <c r="G3091">
        <f t="shared" si="385"/>
        <v>0</v>
      </c>
      <c r="H3091">
        <f t="shared" si="391"/>
        <v>1</v>
      </c>
      <c r="I3091">
        <v>3090</v>
      </c>
      <c r="J3091">
        <f t="shared" si="386"/>
        <v>0.24893980855376546</v>
      </c>
      <c r="K3091">
        <f t="shared" si="387"/>
        <v>-0.96851895785122066</v>
      </c>
      <c r="L3091">
        <f>VLOOKUP(D3091,[1]SOI!$A$1:$C$142,3)</f>
        <v>-4.3</v>
      </c>
      <c r="M3091" s="2">
        <f t="shared" si="388"/>
        <v>769.2240084311353</v>
      </c>
      <c r="N3091">
        <f t="shared" si="389"/>
        <v>-2992.7235797602721</v>
      </c>
      <c r="O3091" t="s">
        <v>8</v>
      </c>
    </row>
    <row r="3092" spans="1:15" x14ac:dyDescent="0.35">
      <c r="A3092">
        <v>2008</v>
      </c>
      <c r="B3092">
        <v>6</v>
      </c>
      <c r="C3092">
        <v>17</v>
      </c>
      <c r="D3092" s="1">
        <f t="shared" si="384"/>
        <v>39616</v>
      </c>
      <c r="E3092">
        <v>0</v>
      </c>
      <c r="F3092">
        <f t="shared" si="390"/>
        <v>0</v>
      </c>
      <c r="G3092">
        <f t="shared" si="385"/>
        <v>0</v>
      </c>
      <c r="H3092">
        <f t="shared" si="391"/>
        <v>0</v>
      </c>
      <c r="I3092">
        <v>3091</v>
      </c>
      <c r="J3092">
        <f t="shared" si="386"/>
        <v>0.23224292400906776</v>
      </c>
      <c r="K3092">
        <f t="shared" si="387"/>
        <v>-0.97265781457186595</v>
      </c>
      <c r="L3092">
        <f>VLOOKUP(D3092,[1]SOI!$A$1:$C$142,3)</f>
        <v>-4.3</v>
      </c>
      <c r="M3092" s="2">
        <f t="shared" si="388"/>
        <v>717.86287811202851</v>
      </c>
      <c r="N3092">
        <f t="shared" si="389"/>
        <v>-3006.4853048416376</v>
      </c>
      <c r="O3092" t="s">
        <v>8</v>
      </c>
    </row>
    <row r="3093" spans="1:15" x14ac:dyDescent="0.35">
      <c r="A3093">
        <v>2008</v>
      </c>
      <c r="B3093">
        <v>6</v>
      </c>
      <c r="C3093">
        <v>18</v>
      </c>
      <c r="D3093" s="1">
        <f t="shared" si="384"/>
        <v>39617</v>
      </c>
      <c r="E3093">
        <v>0</v>
      </c>
      <c r="F3093">
        <f t="shared" si="390"/>
        <v>0</v>
      </c>
      <c r="G3093">
        <f t="shared" si="385"/>
        <v>0</v>
      </c>
      <c r="H3093">
        <f t="shared" si="391"/>
        <v>0</v>
      </c>
      <c r="I3093">
        <v>3092</v>
      </c>
      <c r="J3093">
        <f t="shared" si="386"/>
        <v>0.21547731504673334</v>
      </c>
      <c r="K3093">
        <f t="shared" si="387"/>
        <v>-0.97650884619661837</v>
      </c>
      <c r="L3093">
        <f>VLOOKUP(D3093,[1]SOI!$A$1:$C$142,3)</f>
        <v>-4.3</v>
      </c>
      <c r="M3093" s="2">
        <f t="shared" si="388"/>
        <v>666.25585812449947</v>
      </c>
      <c r="N3093">
        <f t="shared" si="389"/>
        <v>-3019.3653524399442</v>
      </c>
      <c r="O3093" t="s">
        <v>8</v>
      </c>
    </row>
    <row r="3094" spans="1:15" x14ac:dyDescent="0.35">
      <c r="A3094">
        <v>2008</v>
      </c>
      <c r="B3094">
        <v>6</v>
      </c>
      <c r="C3094">
        <v>19</v>
      </c>
      <c r="D3094" s="1">
        <f t="shared" si="384"/>
        <v>39618</v>
      </c>
      <c r="E3094">
        <v>0</v>
      </c>
      <c r="F3094">
        <f t="shared" si="390"/>
        <v>0</v>
      </c>
      <c r="G3094">
        <f t="shared" si="385"/>
        <v>0</v>
      </c>
      <c r="H3094">
        <f t="shared" si="391"/>
        <v>0</v>
      </c>
      <c r="I3094">
        <v>3093</v>
      </c>
      <c r="J3094">
        <f t="shared" si="386"/>
        <v>0.19864794288017304</v>
      </c>
      <c r="K3094">
        <f t="shared" si="387"/>
        <v>-0.98007091314326611</v>
      </c>
      <c r="L3094">
        <f>VLOOKUP(D3094,[1]SOI!$A$1:$C$142,3)</f>
        <v>-4.3</v>
      </c>
      <c r="M3094" s="2">
        <f t="shared" si="388"/>
        <v>614.41808732837524</v>
      </c>
      <c r="N3094">
        <f t="shared" si="389"/>
        <v>-3031.359334352122</v>
      </c>
      <c r="O3094" t="s">
        <v>8</v>
      </c>
    </row>
    <row r="3095" spans="1:15" x14ac:dyDescent="0.35">
      <c r="A3095">
        <v>2008</v>
      </c>
      <c r="B3095">
        <v>6</v>
      </c>
      <c r="C3095">
        <v>20</v>
      </c>
      <c r="D3095" s="1">
        <f t="shared" si="384"/>
        <v>39619</v>
      </c>
      <c r="E3095">
        <v>2.8</v>
      </c>
      <c r="F3095">
        <f t="shared" si="390"/>
        <v>0</v>
      </c>
      <c r="G3095">
        <f t="shared" si="385"/>
        <v>1</v>
      </c>
      <c r="H3095">
        <f t="shared" si="391"/>
        <v>0</v>
      </c>
      <c r="I3095">
        <v>3094</v>
      </c>
      <c r="J3095">
        <f t="shared" si="386"/>
        <v>0.1817597875913764</v>
      </c>
      <c r="K3095">
        <f t="shared" si="387"/>
        <v>-0.98334296133888999</v>
      </c>
      <c r="L3095">
        <f>VLOOKUP(D3095,[1]SOI!$A$1:$C$142,3)</f>
        <v>-4.3</v>
      </c>
      <c r="M3095" s="2">
        <f t="shared" si="388"/>
        <v>562.3647828077186</v>
      </c>
      <c r="N3095">
        <f t="shared" si="389"/>
        <v>-3042.4631223825254</v>
      </c>
      <c r="O3095" t="s">
        <v>8</v>
      </c>
    </row>
    <row r="3096" spans="1:15" x14ac:dyDescent="0.35">
      <c r="A3096">
        <v>2008</v>
      </c>
      <c r="B3096">
        <v>6</v>
      </c>
      <c r="C3096">
        <v>21</v>
      </c>
      <c r="D3096" s="1">
        <f t="shared" si="384"/>
        <v>39620</v>
      </c>
      <c r="E3096">
        <v>1.2</v>
      </c>
      <c r="F3096">
        <f t="shared" si="390"/>
        <v>2.8</v>
      </c>
      <c r="G3096">
        <f t="shared" si="385"/>
        <v>1</v>
      </c>
      <c r="H3096">
        <f t="shared" si="391"/>
        <v>1</v>
      </c>
      <c r="I3096">
        <v>3095</v>
      </c>
      <c r="J3096">
        <f t="shared" si="386"/>
        <v>0.16481784665719768</v>
      </c>
      <c r="K3096">
        <f t="shared" si="387"/>
        <v>-0.98632402253178675</v>
      </c>
      <c r="L3096">
        <f>VLOOKUP(D3096,[1]SOI!$A$1:$C$142,3)</f>
        <v>-4.3</v>
      </c>
      <c r="M3096" s="2">
        <f t="shared" si="388"/>
        <v>510.11123540402679</v>
      </c>
      <c r="N3096">
        <f t="shared" si="389"/>
        <v>-3052.6728497358799</v>
      </c>
      <c r="O3096" t="s">
        <v>8</v>
      </c>
    </row>
    <row r="3097" spans="1:15" x14ac:dyDescent="0.35">
      <c r="A3097">
        <v>2008</v>
      </c>
      <c r="B3097">
        <v>6</v>
      </c>
      <c r="C3097">
        <v>22</v>
      </c>
      <c r="D3097" s="1">
        <f t="shared" si="384"/>
        <v>39621</v>
      </c>
      <c r="E3097">
        <v>1.4</v>
      </c>
      <c r="F3097">
        <f t="shared" si="390"/>
        <v>1.2</v>
      </c>
      <c r="G3097">
        <f t="shared" si="385"/>
        <v>1</v>
      </c>
      <c r="H3097">
        <f t="shared" si="391"/>
        <v>1</v>
      </c>
      <c r="I3097">
        <v>3096</v>
      </c>
      <c r="J3097">
        <f t="shared" si="386"/>
        <v>0.14782713347052889</v>
      </c>
      <c r="K3097">
        <f t="shared" si="387"/>
        <v>-0.98901321457798852</v>
      </c>
      <c r="L3097">
        <f>VLOOKUP(D3097,[1]SOI!$A$1:$C$142,3)</f>
        <v>-4.3</v>
      </c>
      <c r="M3097" s="2">
        <f t="shared" si="388"/>
        <v>457.67280522475744</v>
      </c>
      <c r="N3097">
        <f t="shared" si="389"/>
        <v>-3061.9849123334525</v>
      </c>
      <c r="O3097" t="s">
        <v>8</v>
      </c>
    </row>
    <row r="3098" spans="1:15" x14ac:dyDescent="0.35">
      <c r="A3098">
        <v>2008</v>
      </c>
      <c r="B3098">
        <v>6</v>
      </c>
      <c r="C3098">
        <v>23</v>
      </c>
      <c r="D3098" s="1">
        <f t="shared" si="384"/>
        <v>39622</v>
      </c>
      <c r="E3098">
        <v>0.8</v>
      </c>
      <c r="F3098">
        <f t="shared" si="390"/>
        <v>1.4</v>
      </c>
      <c r="G3098">
        <f t="shared" si="385"/>
        <v>1</v>
      </c>
      <c r="H3098">
        <f t="shared" si="391"/>
        <v>1</v>
      </c>
      <c r="I3098">
        <v>3097</v>
      </c>
      <c r="J3098">
        <f t="shared" si="386"/>
        <v>0.13079267585676335</v>
      </c>
      <c r="K3098">
        <f t="shared" si="387"/>
        <v>-0.99140974170230323</v>
      </c>
      <c r="L3098">
        <f>VLOOKUP(D3098,[1]SOI!$A$1:$C$142,3)</f>
        <v>-4.3</v>
      </c>
      <c r="M3098" s="2">
        <f t="shared" si="388"/>
        <v>405.06491712839608</v>
      </c>
      <c r="N3098">
        <f t="shared" si="389"/>
        <v>-3070.3959700520331</v>
      </c>
      <c r="O3098" t="s">
        <v>8</v>
      </c>
    </row>
    <row r="3099" spans="1:15" x14ac:dyDescent="0.35">
      <c r="A3099">
        <v>2008</v>
      </c>
      <c r="B3099">
        <v>6</v>
      </c>
      <c r="C3099">
        <v>24</v>
      </c>
      <c r="D3099" s="1">
        <f t="shared" si="384"/>
        <v>39623</v>
      </c>
      <c r="E3099">
        <v>0.2</v>
      </c>
      <c r="F3099">
        <f t="shared" si="390"/>
        <v>0.8</v>
      </c>
      <c r="G3099">
        <f t="shared" si="385"/>
        <v>1</v>
      </c>
      <c r="H3099">
        <f t="shared" si="391"/>
        <v>1</v>
      </c>
      <c r="I3099">
        <v>3098</v>
      </c>
      <c r="J3099">
        <f t="shared" si="386"/>
        <v>0.11371951458595295</v>
      </c>
      <c r="K3099">
        <f t="shared" si="387"/>
        <v>-0.99351289473380022</v>
      </c>
      <c r="L3099">
        <f>VLOOKUP(D3099,[1]SOI!$A$1:$C$142,3)</f>
        <v>-4.3</v>
      </c>
      <c r="M3099" s="2">
        <f t="shared" si="388"/>
        <v>352.30305618728221</v>
      </c>
      <c r="N3099">
        <f t="shared" si="389"/>
        <v>-3077.9029478853131</v>
      </c>
      <c r="O3099" t="s">
        <v>8</v>
      </c>
    </row>
    <row r="3100" spans="1:15" x14ac:dyDescent="0.35">
      <c r="A3100">
        <v>2008</v>
      </c>
      <c r="B3100">
        <v>6</v>
      </c>
      <c r="C3100">
        <v>25</v>
      </c>
      <c r="D3100" s="1">
        <f t="shared" si="384"/>
        <v>39624</v>
      </c>
      <c r="E3100">
        <v>0</v>
      </c>
      <c r="F3100">
        <f t="shared" si="390"/>
        <v>0.2</v>
      </c>
      <c r="G3100">
        <f t="shared" si="385"/>
        <v>0</v>
      </c>
      <c r="H3100">
        <f t="shared" si="391"/>
        <v>1</v>
      </c>
      <c r="I3100">
        <v>3099</v>
      </c>
      <c r="J3100">
        <f t="shared" si="386"/>
        <v>9.6612701881205493E-2</v>
      </c>
      <c r="K3100">
        <f t="shared" si="387"/>
        <v>-0.99532205131565998</v>
      </c>
      <c r="L3100">
        <f>VLOOKUP(D3100,[1]SOI!$A$1:$C$142,3)</f>
        <v>-4.3</v>
      </c>
      <c r="M3100" s="2">
        <f t="shared" si="388"/>
        <v>299.40276312985583</v>
      </c>
      <c r="N3100">
        <f t="shared" si="389"/>
        <v>-3084.5030370272302</v>
      </c>
      <c r="O3100" t="s">
        <v>8</v>
      </c>
    </row>
    <row r="3101" spans="1:15" x14ac:dyDescent="0.35">
      <c r="A3101">
        <v>2008</v>
      </c>
      <c r="B3101">
        <v>6</v>
      </c>
      <c r="C3101">
        <v>26</v>
      </c>
      <c r="D3101" s="1">
        <f t="shared" si="384"/>
        <v>39625</v>
      </c>
      <c r="E3101">
        <v>0</v>
      </c>
      <c r="F3101">
        <f t="shared" si="390"/>
        <v>0</v>
      </c>
      <c r="G3101">
        <f t="shared" si="385"/>
        <v>0</v>
      </c>
      <c r="H3101">
        <f t="shared" si="391"/>
        <v>0</v>
      </c>
      <c r="I3101">
        <v>3100</v>
      </c>
      <c r="J3101">
        <f t="shared" si="386"/>
        <v>7.9477299923622485E-2</v>
      </c>
      <c r="K3101">
        <f t="shared" si="387"/>
        <v>-0.99683667608934345</v>
      </c>
      <c r="L3101">
        <f>VLOOKUP(D3101,[1]SOI!$A$1:$C$142,3)</f>
        <v>-4.3</v>
      </c>
      <c r="M3101" s="2">
        <f t="shared" si="388"/>
        <v>246.3796297632297</v>
      </c>
      <c r="N3101">
        <f t="shared" si="389"/>
        <v>-3090.1936958769647</v>
      </c>
      <c r="O3101" t="s">
        <v>8</v>
      </c>
    </row>
    <row r="3102" spans="1:15" x14ac:dyDescent="0.35">
      <c r="A3102">
        <v>2008</v>
      </c>
      <c r="B3102">
        <v>6</v>
      </c>
      <c r="C3102">
        <v>27</v>
      </c>
      <c r="D3102" s="1">
        <f t="shared" si="384"/>
        <v>39626</v>
      </c>
      <c r="E3102">
        <v>0</v>
      </c>
      <c r="F3102">
        <f t="shared" si="390"/>
        <v>0</v>
      </c>
      <c r="G3102">
        <f t="shared" si="385"/>
        <v>0</v>
      </c>
      <c r="H3102">
        <f t="shared" si="391"/>
        <v>0</v>
      </c>
      <c r="I3102">
        <v>3101</v>
      </c>
      <c r="J3102">
        <f t="shared" si="386"/>
        <v>6.2318379354325264E-2</v>
      </c>
      <c r="K3102">
        <f t="shared" si="387"/>
        <v>-0.99805632085301199</v>
      </c>
      <c r="L3102">
        <f>VLOOKUP(D3102,[1]SOI!$A$1:$C$142,3)</f>
        <v>-4.3</v>
      </c>
      <c r="M3102" s="2">
        <f t="shared" si="388"/>
        <v>193.24929437776265</v>
      </c>
      <c r="N3102">
        <f t="shared" si="389"/>
        <v>-3094.97265096519</v>
      </c>
      <c r="O3102" t="s">
        <v>8</v>
      </c>
    </row>
    <row r="3103" spans="1:15" x14ac:dyDescent="0.35">
      <c r="A3103">
        <v>2008</v>
      </c>
      <c r="B3103">
        <v>6</v>
      </c>
      <c r="C3103">
        <v>28</v>
      </c>
      <c r="D3103" s="1">
        <f t="shared" si="384"/>
        <v>39627</v>
      </c>
      <c r="E3103">
        <v>0</v>
      </c>
      <c r="F3103">
        <f t="shared" si="390"/>
        <v>0</v>
      </c>
      <c r="G3103">
        <f t="shared" si="385"/>
        <v>0</v>
      </c>
      <c r="H3103">
        <f t="shared" si="391"/>
        <v>0</v>
      </c>
      <c r="I3103">
        <v>3102</v>
      </c>
      <c r="J3103">
        <f t="shared" si="386"/>
        <v>4.5141017773970782E-2</v>
      </c>
      <c r="K3103">
        <f t="shared" si="387"/>
        <v>-0.99898062469415794</v>
      </c>
      <c r="L3103">
        <f>VLOOKUP(D3103,[1]SOI!$A$1:$C$142,3)</f>
        <v>-4.3</v>
      </c>
      <c r="M3103" s="2">
        <f t="shared" si="388"/>
        <v>140.02743713485737</v>
      </c>
      <c r="N3103">
        <f t="shared" si="389"/>
        <v>-3098.8378978012779</v>
      </c>
      <c r="O3103" t="s">
        <v>8</v>
      </c>
    </row>
    <row r="3104" spans="1:15" x14ac:dyDescent="0.35">
      <c r="A3104">
        <v>2008</v>
      </c>
      <c r="B3104">
        <v>6</v>
      </c>
      <c r="C3104">
        <v>29</v>
      </c>
      <c r="D3104" s="1">
        <f t="shared" si="384"/>
        <v>39628</v>
      </c>
      <c r="E3104">
        <v>0</v>
      </c>
      <c r="F3104">
        <f t="shared" si="390"/>
        <v>0</v>
      </c>
      <c r="G3104">
        <f t="shared" si="385"/>
        <v>0</v>
      </c>
      <c r="H3104">
        <f t="shared" si="391"/>
        <v>0</v>
      </c>
      <c r="I3104">
        <v>3103</v>
      </c>
      <c r="J3104">
        <f t="shared" si="386"/>
        <v>2.7950298240214944E-2</v>
      </c>
      <c r="K3104">
        <f t="shared" si="387"/>
        <v>-0.99960931409640386</v>
      </c>
      <c r="L3104">
        <f>VLOOKUP(D3104,[1]SOI!$A$1:$C$142,3)</f>
        <v>-4.3</v>
      </c>
      <c r="M3104" s="2">
        <f t="shared" si="388"/>
        <v>86.72977543938697</v>
      </c>
      <c r="N3104">
        <f t="shared" si="389"/>
        <v>-3101.7877016411412</v>
      </c>
      <c r="O3104" t="s">
        <v>8</v>
      </c>
    </row>
    <row r="3105" spans="1:15" x14ac:dyDescent="0.35">
      <c r="A3105">
        <v>2008</v>
      </c>
      <c r="B3105">
        <v>6</v>
      </c>
      <c r="C3105">
        <v>30</v>
      </c>
      <c r="D3105" s="1">
        <f t="shared" si="384"/>
        <v>39629</v>
      </c>
      <c r="E3105">
        <v>0</v>
      </c>
      <c r="F3105">
        <f t="shared" si="390"/>
        <v>0</v>
      </c>
      <c r="G3105">
        <f t="shared" si="385"/>
        <v>0</v>
      </c>
      <c r="H3105">
        <f t="shared" si="391"/>
        <v>0</v>
      </c>
      <c r="I3105">
        <v>3104</v>
      </c>
      <c r="J3105">
        <f t="shared" si="386"/>
        <v>1.0751307763525666E-2</v>
      </c>
      <c r="K3105">
        <f t="shared" si="387"/>
        <v>-0.99994220302044157</v>
      </c>
      <c r="L3105">
        <f>VLOOKUP(D3105,[1]SOI!$A$1:$C$142,3)</f>
        <v>-4.3</v>
      </c>
      <c r="M3105" s="2">
        <f t="shared" si="388"/>
        <v>33.372059297983668</v>
      </c>
      <c r="N3105">
        <f t="shared" si="389"/>
        <v>-3103.8205981754504</v>
      </c>
      <c r="O3105" t="s">
        <v>8</v>
      </c>
    </row>
    <row r="3106" spans="1:15" x14ac:dyDescent="0.35">
      <c r="A3106">
        <v>2008</v>
      </c>
      <c r="B3106">
        <v>7</v>
      </c>
      <c r="C3106">
        <v>1</v>
      </c>
      <c r="D3106" s="1">
        <f t="shared" si="384"/>
        <v>39630</v>
      </c>
      <c r="E3106">
        <v>2</v>
      </c>
      <c r="F3106">
        <f t="shared" si="390"/>
        <v>0</v>
      </c>
      <c r="G3106">
        <f t="shared" si="385"/>
        <v>1</v>
      </c>
      <c r="H3106">
        <f t="shared" si="391"/>
        <v>0</v>
      </c>
      <c r="I3106">
        <v>3105</v>
      </c>
      <c r="J3106">
        <f t="shared" si="386"/>
        <v>-6.4508641981027457E-3</v>
      </c>
      <c r="K3106">
        <f t="shared" si="387"/>
        <v>-0.99997919295908233</v>
      </c>
      <c r="L3106">
        <f>VLOOKUP(D3106,[1]SOI!$A$1:$C$142,3)</f>
        <v>5</v>
      </c>
      <c r="M3106" s="2">
        <f t="shared" si="388"/>
        <v>-20.029933335109025</v>
      </c>
      <c r="N3106">
        <f t="shared" si="389"/>
        <v>-3104.9353941379504</v>
      </c>
      <c r="O3106" t="s">
        <v>8</v>
      </c>
    </row>
    <row r="3107" spans="1:15" x14ac:dyDescent="0.35">
      <c r="A3107">
        <v>2008</v>
      </c>
      <c r="B3107">
        <v>7</v>
      </c>
      <c r="C3107">
        <v>2</v>
      </c>
      <c r="D3107" s="1">
        <f t="shared" si="384"/>
        <v>39631</v>
      </c>
      <c r="E3107">
        <v>0.6</v>
      </c>
      <c r="F3107">
        <f t="shared" si="390"/>
        <v>2</v>
      </c>
      <c r="G3107">
        <f t="shared" si="385"/>
        <v>1</v>
      </c>
      <c r="H3107">
        <f t="shared" si="391"/>
        <v>1</v>
      </c>
      <c r="I3107">
        <v>3106</v>
      </c>
      <c r="J3107">
        <f t="shared" si="386"/>
        <v>-2.3651127245230514E-2</v>
      </c>
      <c r="K3107">
        <f t="shared" si="387"/>
        <v>-0.99972027296640831</v>
      </c>
      <c r="L3107">
        <f>VLOOKUP(D3107,[1]SOI!$A$1:$C$142,3)</f>
        <v>5</v>
      </c>
      <c r="M3107" s="2">
        <f t="shared" si="388"/>
        <v>-73.460401223685977</v>
      </c>
      <c r="N3107">
        <f t="shared" si="389"/>
        <v>-3105.1311678336642</v>
      </c>
      <c r="O3107" t="s">
        <v>8</v>
      </c>
    </row>
    <row r="3108" spans="1:15" x14ac:dyDescent="0.35">
      <c r="A3108">
        <v>2008</v>
      </c>
      <c r="B3108">
        <v>7</v>
      </c>
      <c r="C3108">
        <v>3</v>
      </c>
      <c r="D3108" s="1">
        <f t="shared" si="384"/>
        <v>39632</v>
      </c>
      <c r="E3108">
        <v>1.4</v>
      </c>
      <c r="F3108">
        <f t="shared" si="390"/>
        <v>0.6</v>
      </c>
      <c r="G3108">
        <f t="shared" si="385"/>
        <v>1</v>
      </c>
      <c r="H3108">
        <f t="shared" si="391"/>
        <v>1</v>
      </c>
      <c r="I3108">
        <v>3107</v>
      </c>
      <c r="J3108">
        <f t="shared" si="386"/>
        <v>-4.0844391543296374E-2</v>
      </c>
      <c r="K3108">
        <f t="shared" si="387"/>
        <v>-0.99916551966101086</v>
      </c>
      <c r="L3108">
        <f>VLOOKUP(D3108,[1]SOI!$A$1:$C$142,3)</f>
        <v>5</v>
      </c>
      <c r="M3108" s="2">
        <f t="shared" si="388"/>
        <v>-126.90352452502184</v>
      </c>
      <c r="N3108">
        <f t="shared" si="389"/>
        <v>-3104.4072695867608</v>
      </c>
      <c r="O3108" t="s">
        <v>8</v>
      </c>
    </row>
    <row r="3109" spans="1:15" x14ac:dyDescent="0.35">
      <c r="A3109">
        <v>2008</v>
      </c>
      <c r="B3109">
        <v>7</v>
      </c>
      <c r="C3109">
        <v>4</v>
      </c>
      <c r="D3109" s="1">
        <f t="shared" si="384"/>
        <v>39633</v>
      </c>
      <c r="E3109">
        <v>0.6</v>
      </c>
      <c r="F3109">
        <f t="shared" si="390"/>
        <v>1.4</v>
      </c>
      <c r="G3109">
        <f t="shared" si="385"/>
        <v>1</v>
      </c>
      <c r="H3109">
        <f t="shared" si="391"/>
        <v>1</v>
      </c>
      <c r="I3109">
        <v>3108</v>
      </c>
      <c r="J3109">
        <f t="shared" si="386"/>
        <v>-5.8025569328774403E-2</v>
      </c>
      <c r="K3109">
        <f t="shared" si="387"/>
        <v>-0.99831509720331868</v>
      </c>
      <c r="L3109">
        <f>VLOOKUP(D3109,[1]SOI!$A$1:$C$142,3)</f>
        <v>5</v>
      </c>
      <c r="M3109" s="2">
        <f t="shared" si="388"/>
        <v>-180.34346947383085</v>
      </c>
      <c r="N3109">
        <f t="shared" si="389"/>
        <v>-3102.7633221079145</v>
      </c>
      <c r="O3109" t="s">
        <v>8</v>
      </c>
    </row>
    <row r="3110" spans="1:15" x14ac:dyDescent="0.35">
      <c r="A3110">
        <v>2008</v>
      </c>
      <c r="B3110">
        <v>7</v>
      </c>
      <c r="C3110">
        <v>5</v>
      </c>
      <c r="D3110" s="1">
        <f t="shared" si="384"/>
        <v>39634</v>
      </c>
      <c r="E3110">
        <v>0</v>
      </c>
      <c r="F3110">
        <f t="shared" si="390"/>
        <v>0.6</v>
      </c>
      <c r="G3110">
        <f t="shared" si="385"/>
        <v>0</v>
      </c>
      <c r="H3110">
        <f t="shared" si="391"/>
        <v>1</v>
      </c>
      <c r="I3110">
        <v>3109</v>
      </c>
      <c r="J3110">
        <f t="shared" si="386"/>
        <v>-7.5189576414753503E-2</v>
      </c>
      <c r="K3110">
        <f t="shared" si="387"/>
        <v>-0.99716925724701821</v>
      </c>
      <c r="L3110">
        <f>VLOOKUP(D3110,[1]SOI!$A$1:$C$142,3)</f>
        <v>5</v>
      </c>
      <c r="M3110" s="2">
        <f t="shared" si="388"/>
        <v>-233.76439307346865</v>
      </c>
      <c r="N3110">
        <f t="shared" si="389"/>
        <v>-3100.1992207809794</v>
      </c>
      <c r="O3110" t="s">
        <v>8</v>
      </c>
    </row>
    <row r="3111" spans="1:15" x14ac:dyDescent="0.35">
      <c r="A3111">
        <v>2008</v>
      </c>
      <c r="B3111">
        <v>7</v>
      </c>
      <c r="C3111">
        <v>6</v>
      </c>
      <c r="D3111" s="1">
        <f t="shared" si="384"/>
        <v>39635</v>
      </c>
      <c r="E3111">
        <v>0</v>
      </c>
      <c r="F3111">
        <f t="shared" si="390"/>
        <v>0</v>
      </c>
      <c r="G3111">
        <f t="shared" si="385"/>
        <v>0</v>
      </c>
      <c r="H3111">
        <f t="shared" si="391"/>
        <v>0</v>
      </c>
      <c r="I3111">
        <v>3110</v>
      </c>
      <c r="J3111">
        <f t="shared" si="386"/>
        <v>-9.2331333695387499E-2</v>
      </c>
      <c r="K3111">
        <f t="shared" si="387"/>
        <v>-0.99572833886458756</v>
      </c>
      <c r="L3111">
        <f>VLOOKUP(D3111,[1]SOI!$A$1:$C$142,3)</f>
        <v>5</v>
      </c>
      <c r="M3111" s="2">
        <f t="shared" si="388"/>
        <v>-287.15044779265514</v>
      </c>
      <c r="N3111">
        <f t="shared" si="389"/>
        <v>-3096.7151338688673</v>
      </c>
      <c r="O3111" t="s">
        <v>8</v>
      </c>
    </row>
    <row r="3112" spans="1:15" x14ac:dyDescent="0.35">
      <c r="A3112">
        <v>2008</v>
      </c>
      <c r="B3112">
        <v>7</v>
      </c>
      <c r="C3112">
        <v>7</v>
      </c>
      <c r="D3112" s="1">
        <f t="shared" si="384"/>
        <v>39636</v>
      </c>
      <c r="E3112">
        <v>0</v>
      </c>
      <c r="F3112">
        <f t="shared" si="390"/>
        <v>0</v>
      </c>
      <c r="G3112">
        <f t="shared" si="385"/>
        <v>0</v>
      </c>
      <c r="H3112">
        <f t="shared" si="391"/>
        <v>0</v>
      </c>
      <c r="I3112">
        <v>3111</v>
      </c>
      <c r="J3112">
        <f t="shared" si="386"/>
        <v>-0.10944576864891273</v>
      </c>
      <c r="K3112">
        <f t="shared" si="387"/>
        <v>-0.99399276844695839</v>
      </c>
      <c r="L3112">
        <f>VLOOKUP(D3112,[1]SOI!$A$1:$C$142,3)</f>
        <v>5</v>
      </c>
      <c r="M3112" s="2">
        <f t="shared" si="388"/>
        <v>-340.48578626676749</v>
      </c>
      <c r="N3112">
        <f t="shared" si="389"/>
        <v>-3092.3115026384876</v>
      </c>
      <c r="O3112" t="s">
        <v>8</v>
      </c>
    </row>
    <row r="3113" spans="1:15" x14ac:dyDescent="0.35">
      <c r="A3113">
        <v>2008</v>
      </c>
      <c r="B3113">
        <v>7</v>
      </c>
      <c r="C3113">
        <v>8</v>
      </c>
      <c r="D3113" s="1">
        <f t="shared" si="384"/>
        <v>39637</v>
      </c>
      <c r="E3113">
        <v>5</v>
      </c>
      <c r="F3113">
        <f t="shared" si="390"/>
        <v>0</v>
      </c>
      <c r="G3113">
        <f t="shared" si="385"/>
        <v>1</v>
      </c>
      <c r="H3113">
        <f t="shared" si="391"/>
        <v>0</v>
      </c>
      <c r="I3113">
        <v>3112</v>
      </c>
      <c r="J3113">
        <f t="shared" si="386"/>
        <v>-0.12652781683868164</v>
      </c>
      <c r="K3113">
        <f t="shared" si="387"/>
        <v>-0.99196305957733977</v>
      </c>
      <c r="L3113">
        <f>VLOOKUP(D3113,[1]SOI!$A$1:$C$142,3)</f>
        <v>5</v>
      </c>
      <c r="M3113" s="2">
        <f t="shared" si="388"/>
        <v>-393.75456600197725</v>
      </c>
      <c r="N3113">
        <f t="shared" si="389"/>
        <v>-3086.9890414046813</v>
      </c>
      <c r="O3113" t="s">
        <v>8</v>
      </c>
    </row>
    <row r="3114" spans="1:15" x14ac:dyDescent="0.35">
      <c r="A3114">
        <v>2008</v>
      </c>
      <c r="B3114">
        <v>7</v>
      </c>
      <c r="C3114">
        <v>9</v>
      </c>
      <c r="D3114" s="1">
        <f t="shared" si="384"/>
        <v>39638</v>
      </c>
      <c r="E3114">
        <v>1.2</v>
      </c>
      <c r="F3114">
        <f t="shared" si="390"/>
        <v>5</v>
      </c>
      <c r="G3114">
        <f t="shared" si="385"/>
        <v>1</v>
      </c>
      <c r="H3114">
        <f t="shared" si="391"/>
        <v>1</v>
      </c>
      <c r="I3114">
        <v>3113</v>
      </c>
      <c r="J3114">
        <f t="shared" si="386"/>
        <v>-0.14357242341181112</v>
      </c>
      <c r="K3114">
        <f t="shared" si="387"/>
        <v>-0.9896398128792413</v>
      </c>
      <c r="L3114">
        <f>VLOOKUP(D3114,[1]SOI!$A$1:$C$142,3)</f>
        <v>5</v>
      </c>
      <c r="M3114" s="2">
        <f t="shared" si="388"/>
        <v>-446.94095408096803</v>
      </c>
      <c r="N3114">
        <f t="shared" si="389"/>
        <v>-3080.7487374930784</v>
      </c>
      <c r="O3114" t="s">
        <v>8</v>
      </c>
    </row>
    <row r="3115" spans="1:15" x14ac:dyDescent="0.35">
      <c r="A3115">
        <v>2008</v>
      </c>
      <c r="B3115">
        <v>7</v>
      </c>
      <c r="C3115">
        <v>10</v>
      </c>
      <c r="D3115" s="1">
        <f t="shared" si="384"/>
        <v>39639</v>
      </c>
      <c r="E3115">
        <v>3</v>
      </c>
      <c r="F3115">
        <f t="shared" si="390"/>
        <v>1.2</v>
      </c>
      <c r="G3115">
        <f t="shared" si="385"/>
        <v>1</v>
      </c>
      <c r="H3115">
        <f t="shared" si="391"/>
        <v>1</v>
      </c>
      <c r="I3115">
        <v>3114</v>
      </c>
      <c r="J3115">
        <f t="shared" si="386"/>
        <v>-0.16057454459498788</v>
      </c>
      <c r="K3115">
        <f t="shared" si="387"/>
        <v>-0.98702371583873927</v>
      </c>
      <c r="L3115">
        <f>VLOOKUP(D3115,[1]SOI!$A$1:$C$142,3)</f>
        <v>5</v>
      </c>
      <c r="M3115" s="2">
        <f t="shared" si="388"/>
        <v>-500.02913186879226</v>
      </c>
      <c r="N3115">
        <f t="shared" si="389"/>
        <v>-3073.5918511218342</v>
      </c>
      <c r="O3115" t="s">
        <v>8</v>
      </c>
    </row>
    <row r="3116" spans="1:15" x14ac:dyDescent="0.35">
      <c r="A3116">
        <v>2008</v>
      </c>
      <c r="B3116">
        <v>7</v>
      </c>
      <c r="C3116">
        <v>11</v>
      </c>
      <c r="D3116" s="1">
        <f t="shared" si="384"/>
        <v>39640</v>
      </c>
      <c r="E3116">
        <v>0.2</v>
      </c>
      <c r="F3116">
        <f t="shared" si="390"/>
        <v>3</v>
      </c>
      <c r="G3116">
        <f t="shared" si="385"/>
        <v>1</v>
      </c>
      <c r="H3116">
        <f t="shared" si="391"/>
        <v>1</v>
      </c>
      <c r="I3116">
        <v>3115</v>
      </c>
      <c r="J3116">
        <f t="shared" si="386"/>
        <v>-0.17752914918703</v>
      </c>
      <c r="K3116">
        <f t="shared" si="387"/>
        <v>-0.98411554260103484</v>
      </c>
      <c r="L3116">
        <f>VLOOKUP(D3116,[1]SOI!$A$1:$C$142,3)</f>
        <v>5</v>
      </c>
      <c r="M3116" s="2">
        <f t="shared" si="388"/>
        <v>-553.00329971759845</v>
      </c>
      <c r="N3116">
        <f t="shared" si="389"/>
        <v>-3065.5199152022237</v>
      </c>
      <c r="O3116" t="s">
        <v>8</v>
      </c>
    </row>
    <row r="3117" spans="1:15" x14ac:dyDescent="0.35">
      <c r="A3117">
        <v>2008</v>
      </c>
      <c r="B3117">
        <v>7</v>
      </c>
      <c r="C3117">
        <v>12</v>
      </c>
      <c r="D3117" s="1">
        <f t="shared" si="384"/>
        <v>39641</v>
      </c>
      <c r="E3117">
        <v>0</v>
      </c>
      <c r="F3117">
        <f t="shared" si="390"/>
        <v>0.2</v>
      </c>
      <c r="G3117">
        <f t="shared" si="385"/>
        <v>0</v>
      </c>
      <c r="H3117">
        <f t="shared" si="391"/>
        <v>1</v>
      </c>
      <c r="I3117">
        <v>3116</v>
      </c>
      <c r="J3117">
        <f t="shared" si="386"/>
        <v>-0.19443122004765828</v>
      </c>
      <c r="K3117">
        <f t="shared" si="387"/>
        <v>-0.98091615374137819</v>
      </c>
      <c r="L3117">
        <f>VLOOKUP(D3117,[1]SOI!$A$1:$C$142,3)</f>
        <v>5</v>
      </c>
      <c r="M3117" s="2">
        <f t="shared" si="388"/>
        <v>-605.84768166850324</v>
      </c>
      <c r="N3117">
        <f t="shared" si="389"/>
        <v>-3056.5347350581346</v>
      </c>
      <c r="O3117" t="s">
        <v>8</v>
      </c>
    </row>
    <row r="3118" spans="1:15" x14ac:dyDescent="0.35">
      <c r="A3118">
        <v>2008</v>
      </c>
      <c r="B3118">
        <v>7</v>
      </c>
      <c r="C3118">
        <v>13</v>
      </c>
      <c r="D3118" s="1">
        <f t="shared" si="384"/>
        <v>39642</v>
      </c>
      <c r="E3118">
        <v>0</v>
      </c>
      <c r="F3118">
        <f t="shared" si="390"/>
        <v>0</v>
      </c>
      <c r="G3118">
        <f t="shared" si="385"/>
        <v>0</v>
      </c>
      <c r="H3118">
        <f t="shared" si="391"/>
        <v>0</v>
      </c>
      <c r="I3118">
        <v>3117</v>
      </c>
      <c r="J3118">
        <f t="shared" si="386"/>
        <v>-0.21127575558217693</v>
      </c>
      <c r="K3118">
        <f t="shared" si="387"/>
        <v>-0.97742649601040599</v>
      </c>
      <c r="L3118">
        <f>VLOOKUP(D3118,[1]SOI!$A$1:$C$142,3)</f>
        <v>5</v>
      </c>
      <c r="M3118" s="2">
        <f t="shared" si="388"/>
        <v>-658.54653014964549</v>
      </c>
      <c r="N3118">
        <f t="shared" si="389"/>
        <v>-3046.6383880644353</v>
      </c>
      <c r="O3118" t="s">
        <v>8</v>
      </c>
    </row>
    <row r="3119" spans="1:15" x14ac:dyDescent="0.35">
      <c r="A3119">
        <v>2008</v>
      </c>
      <c r="B3119">
        <v>7</v>
      </c>
      <c r="C3119">
        <v>14</v>
      </c>
      <c r="D3119" s="1">
        <f t="shared" si="384"/>
        <v>39643</v>
      </c>
      <c r="E3119">
        <v>0</v>
      </c>
      <c r="F3119">
        <f t="shared" si="390"/>
        <v>0</v>
      </c>
      <c r="G3119">
        <f t="shared" si="385"/>
        <v>0</v>
      </c>
      <c r="H3119">
        <f t="shared" si="391"/>
        <v>0</v>
      </c>
      <c r="I3119">
        <v>3118</v>
      </c>
      <c r="J3119">
        <f t="shared" si="386"/>
        <v>-0.22805777122151874</v>
      </c>
      <c r="K3119">
        <f t="shared" si="387"/>
        <v>-0.97364760205398415</v>
      </c>
      <c r="L3119">
        <f>VLOOKUP(D3119,[1]SOI!$A$1:$C$142,3)</f>
        <v>5</v>
      </c>
      <c r="M3119" s="2">
        <f t="shared" si="388"/>
        <v>-711.08413066869548</v>
      </c>
      <c r="N3119">
        <f t="shared" si="389"/>
        <v>-3035.8332232043226</v>
      </c>
      <c r="O3119" t="s">
        <v>8</v>
      </c>
    </row>
    <row r="3120" spans="1:15" x14ac:dyDescent="0.35">
      <c r="A3120">
        <v>2008</v>
      </c>
      <c r="B3120">
        <v>7</v>
      </c>
      <c r="C3120">
        <v>15</v>
      </c>
      <c r="D3120" s="1">
        <f t="shared" si="384"/>
        <v>39644</v>
      </c>
      <c r="E3120">
        <v>0</v>
      </c>
      <c r="F3120">
        <f t="shared" si="390"/>
        <v>0</v>
      </c>
      <c r="G3120">
        <f t="shared" si="385"/>
        <v>0</v>
      </c>
      <c r="H3120">
        <f t="shared" si="391"/>
        <v>0</v>
      </c>
      <c r="I3120">
        <v>3119</v>
      </c>
      <c r="J3120">
        <f t="shared" si="386"/>
        <v>-0.24477230089725249</v>
      </c>
      <c r="K3120">
        <f t="shared" si="387"/>
        <v>-0.96958059010763253</v>
      </c>
      <c r="L3120">
        <f>VLOOKUP(D3120,[1]SOI!$A$1:$C$142,3)</f>
        <v>5</v>
      </c>
      <c r="M3120" s="2">
        <f t="shared" si="388"/>
        <v>-763.44480649853051</v>
      </c>
      <c r="N3120">
        <f t="shared" si="389"/>
        <v>-3024.1218605457057</v>
      </c>
      <c r="O3120" t="s">
        <v>8</v>
      </c>
    </row>
    <row r="3121" spans="1:15" x14ac:dyDescent="0.35">
      <c r="A3121">
        <v>2008</v>
      </c>
      <c r="B3121">
        <v>7</v>
      </c>
      <c r="C3121">
        <v>16</v>
      </c>
      <c r="D3121" s="1">
        <f t="shared" si="384"/>
        <v>39645</v>
      </c>
      <c r="E3121">
        <v>0</v>
      </c>
      <c r="F3121">
        <f t="shared" si="390"/>
        <v>0</v>
      </c>
      <c r="G3121">
        <f t="shared" si="385"/>
        <v>0</v>
      </c>
      <c r="H3121">
        <f t="shared" si="391"/>
        <v>0</v>
      </c>
      <c r="I3121">
        <v>3120</v>
      </c>
      <c r="J3121">
        <f t="shared" si="386"/>
        <v>-0.26141439851115</v>
      </c>
      <c r="K3121">
        <f t="shared" si="387"/>
        <v>-0.96522666366561471</v>
      </c>
      <c r="L3121">
        <f>VLOOKUP(D3121,[1]SOI!$A$1:$C$142,3)</f>
        <v>5</v>
      </c>
      <c r="M3121" s="2">
        <f t="shared" si="388"/>
        <v>-815.61292335478799</v>
      </c>
      <c r="N3121">
        <f t="shared" si="389"/>
        <v>-3011.507190636718</v>
      </c>
      <c r="O3121" t="s">
        <v>8</v>
      </c>
    </row>
    <row r="3122" spans="1:15" x14ac:dyDescent="0.35">
      <c r="A3122">
        <v>2008</v>
      </c>
      <c r="B3122">
        <v>7</v>
      </c>
      <c r="C3122">
        <v>17</v>
      </c>
      <c r="D3122" s="1">
        <f t="shared" si="384"/>
        <v>39646</v>
      </c>
      <c r="E3122">
        <v>0</v>
      </c>
      <c r="F3122">
        <f t="shared" si="390"/>
        <v>0</v>
      </c>
      <c r="G3122">
        <f t="shared" si="385"/>
        <v>0</v>
      </c>
      <c r="H3122">
        <f t="shared" si="391"/>
        <v>0</v>
      </c>
      <c r="I3122">
        <v>3121</v>
      </c>
      <c r="J3122">
        <f t="shared" si="386"/>
        <v>-0.27797913939877483</v>
      </c>
      <c r="K3122">
        <f t="shared" si="387"/>
        <v>-0.96058711112481443</v>
      </c>
      <c r="L3122">
        <f>VLOOKUP(D3122,[1]SOI!$A$1:$C$142,3)</f>
        <v>5</v>
      </c>
      <c r="M3122" s="2">
        <f t="shared" si="388"/>
        <v>-867.5728940635762</v>
      </c>
      <c r="N3122">
        <f t="shared" si="389"/>
        <v>-2997.9923738205457</v>
      </c>
      <c r="O3122" t="s">
        <v>8</v>
      </c>
    </row>
    <row r="3123" spans="1:15" x14ac:dyDescent="0.35">
      <c r="A3123">
        <v>2008</v>
      </c>
      <c r="B3123">
        <v>7</v>
      </c>
      <c r="C3123">
        <v>18</v>
      </c>
      <c r="D3123" s="1">
        <f t="shared" si="384"/>
        <v>39647</v>
      </c>
      <c r="E3123">
        <v>0.8</v>
      </c>
      <c r="F3123">
        <f t="shared" si="390"/>
        <v>0</v>
      </c>
      <c r="G3123">
        <f t="shared" si="385"/>
        <v>1</v>
      </c>
      <c r="H3123">
        <f t="shared" si="391"/>
        <v>0</v>
      </c>
      <c r="I3123">
        <v>3122</v>
      </c>
      <c r="J3123">
        <f t="shared" si="386"/>
        <v>-0.29446162178679719</v>
      </c>
      <c r="K3123">
        <f t="shared" si="387"/>
        <v>-0.95566330540347166</v>
      </c>
      <c r="L3123">
        <f>VLOOKUP(D3123,[1]SOI!$A$1:$C$142,3)</f>
        <v>5</v>
      </c>
      <c r="M3123" s="2">
        <f t="shared" si="388"/>
        <v>-919.30918321838078</v>
      </c>
      <c r="N3123">
        <f t="shared" si="389"/>
        <v>-2983.5808394696387</v>
      </c>
      <c r="O3123" t="s">
        <v>8</v>
      </c>
    </row>
    <row r="3124" spans="1:15" x14ac:dyDescent="0.35">
      <c r="A3124">
        <v>2008</v>
      </c>
      <c r="B3124">
        <v>7</v>
      </c>
      <c r="C3124">
        <v>19</v>
      </c>
      <c r="D3124" s="1">
        <f t="shared" si="384"/>
        <v>39648</v>
      </c>
      <c r="E3124">
        <v>1.6</v>
      </c>
      <c r="F3124">
        <f t="shared" si="390"/>
        <v>0.8</v>
      </c>
      <c r="G3124">
        <f t="shared" si="385"/>
        <v>1</v>
      </c>
      <c r="H3124">
        <f t="shared" si="391"/>
        <v>1</v>
      </c>
      <c r="I3124">
        <v>3123</v>
      </c>
      <c r="J3124">
        <f t="shared" si="386"/>
        <v>-0.3108569682435009</v>
      </c>
      <c r="K3124">
        <f t="shared" si="387"/>
        <v>-0.95045670353491596</v>
      </c>
      <c r="L3124">
        <f>VLOOKUP(D3124,[1]SOI!$A$1:$C$142,3)</f>
        <v>5</v>
      </c>
      <c r="M3124" s="2">
        <f t="shared" si="388"/>
        <v>-970.80631182445325</v>
      </c>
      <c r="N3124">
        <f t="shared" si="389"/>
        <v>-2968.2762851395423</v>
      </c>
      <c r="O3124" t="s">
        <v>8</v>
      </c>
    </row>
    <row r="3125" spans="1:15" x14ac:dyDescent="0.35">
      <c r="A3125">
        <v>2008</v>
      </c>
      <c r="B3125">
        <v>7</v>
      </c>
      <c r="C3125">
        <v>20</v>
      </c>
      <c r="D3125" s="1">
        <f t="shared" si="384"/>
        <v>39649</v>
      </c>
      <c r="E3125">
        <v>0.8</v>
      </c>
      <c r="F3125">
        <f t="shared" si="390"/>
        <v>1.6</v>
      </c>
      <c r="G3125">
        <f t="shared" si="385"/>
        <v>1</v>
      </c>
      <c r="H3125">
        <f t="shared" si="391"/>
        <v>1</v>
      </c>
      <c r="I3125">
        <v>3124</v>
      </c>
      <c r="J3125">
        <f t="shared" si="386"/>
        <v>-0.32716032712210036</v>
      </c>
      <c r="K3125">
        <f t="shared" si="387"/>
        <v>-0.94496884623640387</v>
      </c>
      <c r="L3125">
        <f>VLOOKUP(D3125,[1]SOI!$A$1:$C$142,3)</f>
        <v>5</v>
      </c>
      <c r="M3125" s="2">
        <f t="shared" si="388"/>
        <v>-1022.0488619294415</v>
      </c>
      <c r="N3125">
        <f t="shared" si="389"/>
        <v>-2952.0826756425258</v>
      </c>
      <c r="O3125" t="s">
        <v>8</v>
      </c>
    </row>
    <row r="3126" spans="1:15" x14ac:dyDescent="0.35">
      <c r="A3126">
        <v>2008</v>
      </c>
      <c r="B3126">
        <v>7</v>
      </c>
      <c r="C3126">
        <v>21</v>
      </c>
      <c r="D3126" s="1">
        <f t="shared" si="384"/>
        <v>39650</v>
      </c>
      <c r="E3126">
        <v>13.8</v>
      </c>
      <c r="F3126">
        <f t="shared" si="390"/>
        <v>0.8</v>
      </c>
      <c r="G3126">
        <f t="shared" si="385"/>
        <v>1</v>
      </c>
      <c r="H3126">
        <f t="shared" si="391"/>
        <v>1</v>
      </c>
      <c r="I3126">
        <v>3125</v>
      </c>
      <c r="J3126">
        <f t="shared" si="386"/>
        <v>-0.34336687399638077</v>
      </c>
      <c r="K3126">
        <f t="shared" si="387"/>
        <v>-0.93920135745321065</v>
      </c>
      <c r="L3126">
        <f>VLOOKUP(D3126,[1]SOI!$A$1:$C$142,3)</f>
        <v>5</v>
      </c>
      <c r="M3126" s="2">
        <f t="shared" si="388"/>
        <v>-1073.0214812386898</v>
      </c>
      <c r="N3126">
        <f t="shared" si="389"/>
        <v>-2935.0042420412833</v>
      </c>
      <c r="O3126" t="s">
        <v>8</v>
      </c>
    </row>
    <row r="3127" spans="1:15" x14ac:dyDescent="0.35">
      <c r="A3127">
        <v>2008</v>
      </c>
      <c r="B3127">
        <v>7</v>
      </c>
      <c r="C3127">
        <v>22</v>
      </c>
      <c r="D3127" s="1">
        <f t="shared" si="384"/>
        <v>39651</v>
      </c>
      <c r="E3127">
        <v>2.4</v>
      </c>
      <c r="F3127">
        <f t="shared" si="390"/>
        <v>13.8</v>
      </c>
      <c r="G3127">
        <f t="shared" si="385"/>
        <v>1</v>
      </c>
      <c r="H3127">
        <f t="shared" si="391"/>
        <v>1</v>
      </c>
      <c r="I3127">
        <v>3126</v>
      </c>
      <c r="J3127">
        <f t="shared" si="386"/>
        <v>-0.35947181308841725</v>
      </c>
      <c r="K3127">
        <f t="shared" si="387"/>
        <v>-0.93315594387804557</v>
      </c>
      <c r="L3127">
        <f>VLOOKUP(D3127,[1]SOI!$A$1:$C$142,3)</f>
        <v>5</v>
      </c>
      <c r="M3127" s="2">
        <f t="shared" si="388"/>
        <v>-1123.7088877143924</v>
      </c>
      <c r="N3127">
        <f t="shared" si="389"/>
        <v>-2917.0454805627705</v>
      </c>
      <c r="O3127" t="s">
        <v>8</v>
      </c>
    </row>
    <row r="3128" spans="1:15" x14ac:dyDescent="0.35">
      <c r="A3128">
        <v>2008</v>
      </c>
      <c r="B3128">
        <v>7</v>
      </c>
      <c r="C3128">
        <v>23</v>
      </c>
      <c r="D3128" s="1">
        <f t="shared" si="384"/>
        <v>39652</v>
      </c>
      <c r="E3128">
        <v>0.8</v>
      </c>
      <c r="F3128">
        <f t="shared" si="390"/>
        <v>2.4</v>
      </c>
      <c r="G3128">
        <f t="shared" si="385"/>
        <v>1</v>
      </c>
      <c r="H3128">
        <f t="shared" si="391"/>
        <v>1</v>
      </c>
      <c r="I3128">
        <v>3127</v>
      </c>
      <c r="J3128">
        <f t="shared" si="386"/>
        <v>-0.37547037868761546</v>
      </c>
      <c r="K3128">
        <f t="shared" si="387"/>
        <v>-0.92683439444605131</v>
      </c>
      <c r="L3128">
        <f>VLOOKUP(D3128,[1]SOI!$A$1:$C$142,3)</f>
        <v>5</v>
      </c>
      <c r="M3128" s="2">
        <f t="shared" si="388"/>
        <v>-1174.0958741561735</v>
      </c>
      <c r="N3128">
        <f t="shared" si="389"/>
        <v>-2898.2111514328026</v>
      </c>
      <c r="O3128" t="s">
        <v>8</v>
      </c>
    </row>
    <row r="3129" spans="1:15" x14ac:dyDescent="0.35">
      <c r="A3129">
        <v>2008</v>
      </c>
      <c r="B3129">
        <v>7</v>
      </c>
      <c r="C3129">
        <v>24</v>
      </c>
      <c r="D3129" s="1">
        <f t="shared" si="384"/>
        <v>39653</v>
      </c>
      <c r="E3129">
        <v>0</v>
      </c>
      <c r="F3129">
        <f t="shared" si="390"/>
        <v>0.8</v>
      </c>
      <c r="G3129">
        <f t="shared" si="385"/>
        <v>0</v>
      </c>
      <c r="H3129">
        <f t="shared" si="391"/>
        <v>1</v>
      </c>
      <c r="I3129">
        <v>3128</v>
      </c>
      <c r="J3129">
        <f t="shared" si="386"/>
        <v>-0.39135783656102902</v>
      </c>
      <c r="K3129">
        <f t="shared" si="387"/>
        <v>-0.92023857980540613</v>
      </c>
      <c r="L3129">
        <f>VLOOKUP(D3129,[1]SOI!$A$1:$C$142,3)</f>
        <v>5</v>
      </c>
      <c r="M3129" s="2">
        <f t="shared" si="388"/>
        <v>-1224.1673127628987</v>
      </c>
      <c r="N3129">
        <f t="shared" si="389"/>
        <v>-2878.5062776313102</v>
      </c>
      <c r="O3129" t="s">
        <v>8</v>
      </c>
    </row>
    <row r="3130" spans="1:15" x14ac:dyDescent="0.35">
      <c r="A3130">
        <v>2008</v>
      </c>
      <c r="B3130">
        <v>7</v>
      </c>
      <c r="C3130">
        <v>25</v>
      </c>
      <c r="D3130" s="1">
        <f t="shared" si="384"/>
        <v>39654</v>
      </c>
      <c r="E3130">
        <v>0</v>
      </c>
      <c r="F3130">
        <f t="shared" si="390"/>
        <v>0</v>
      </c>
      <c r="G3130">
        <f t="shared" si="385"/>
        <v>0</v>
      </c>
      <c r="H3130">
        <f t="shared" si="391"/>
        <v>0</v>
      </c>
      <c r="I3130">
        <v>3129</v>
      </c>
      <c r="J3130">
        <f t="shared" si="386"/>
        <v>-0.40712948535425547</v>
      </c>
      <c r="K3130">
        <f t="shared" si="387"/>
        <v>-0.91337045176378417</v>
      </c>
      <c r="L3130">
        <f>VLOOKUP(D3130,[1]SOI!$A$1:$C$142,3)</f>
        <v>5</v>
      </c>
      <c r="M3130" s="2">
        <f t="shared" si="388"/>
        <v>-1273.9081596734654</v>
      </c>
      <c r="N3130">
        <f t="shared" si="389"/>
        <v>-2857.9361435688807</v>
      </c>
      <c r="O3130" t="s">
        <v>8</v>
      </c>
    </row>
    <row r="3131" spans="1:15" x14ac:dyDescent="0.35">
      <c r="A3131">
        <v>2008</v>
      </c>
      <c r="B3131">
        <v>7</v>
      </c>
      <c r="C3131">
        <v>26</v>
      </c>
      <c r="D3131" s="1">
        <f t="shared" si="384"/>
        <v>39655</v>
      </c>
      <c r="E3131">
        <v>0</v>
      </c>
      <c r="F3131">
        <f t="shared" si="390"/>
        <v>0</v>
      </c>
      <c r="G3131">
        <f t="shared" si="385"/>
        <v>0</v>
      </c>
      <c r="H3131">
        <f t="shared" si="391"/>
        <v>0</v>
      </c>
      <c r="I3131">
        <v>3130</v>
      </c>
      <c r="J3131">
        <f t="shared" si="386"/>
        <v>-0.42278065798266906</v>
      </c>
      <c r="K3131">
        <f t="shared" si="387"/>
        <v>-0.90623204271077362</v>
      </c>
      <c r="L3131">
        <f>VLOOKUP(D3131,[1]SOI!$A$1:$C$142,3)</f>
        <v>5</v>
      </c>
      <c r="M3131" s="2">
        <f t="shared" si="388"/>
        <v>-1323.3034594857543</v>
      </c>
      <c r="N3131">
        <f t="shared" si="389"/>
        <v>-2836.5062936847216</v>
      </c>
      <c r="O3131" t="s">
        <v>8</v>
      </c>
    </row>
    <row r="3132" spans="1:15" x14ac:dyDescent="0.35">
      <c r="A3132">
        <v>2008</v>
      </c>
      <c r="B3132">
        <v>7</v>
      </c>
      <c r="C3132">
        <v>27</v>
      </c>
      <c r="D3132" s="1">
        <f t="shared" si="384"/>
        <v>39656</v>
      </c>
      <c r="E3132">
        <v>8.1999999999999993</v>
      </c>
      <c r="F3132">
        <f t="shared" si="390"/>
        <v>0</v>
      </c>
      <c r="G3132">
        <f t="shared" si="385"/>
        <v>1</v>
      </c>
      <c r="H3132">
        <f t="shared" si="391"/>
        <v>0</v>
      </c>
      <c r="I3132">
        <v>3131</v>
      </c>
      <c r="J3132">
        <f t="shared" si="386"/>
        <v>-0.43830672301251189</v>
      </c>
      <c r="K3132">
        <f t="shared" si="387"/>
        <v>-0.89882546501644756</v>
      </c>
      <c r="L3132">
        <f>VLOOKUP(D3132,[1]SOI!$A$1:$C$142,3)</f>
        <v>5</v>
      </c>
      <c r="M3132" s="2">
        <f t="shared" si="388"/>
        <v>-1372.3383497521747</v>
      </c>
      <c r="N3132">
        <f t="shared" si="389"/>
        <v>-2814.2225309664973</v>
      </c>
      <c r="O3132" t="s">
        <v>8</v>
      </c>
    </row>
    <row r="3133" spans="1:15" x14ac:dyDescent="0.35">
      <c r="A3133">
        <v>2008</v>
      </c>
      <c r="B3133">
        <v>7</v>
      </c>
      <c r="C3133">
        <v>28</v>
      </c>
      <c r="D3133" s="1">
        <f t="shared" si="384"/>
        <v>39657</v>
      </c>
      <c r="E3133">
        <v>1.6</v>
      </c>
      <c r="F3133">
        <f t="shared" si="390"/>
        <v>8.1999999999999993</v>
      </c>
      <c r="G3133">
        <f t="shared" si="385"/>
        <v>1</v>
      </c>
      <c r="H3133">
        <f t="shared" si="391"/>
        <v>1</v>
      </c>
      <c r="I3133">
        <v>3132</v>
      </c>
      <c r="J3133">
        <f t="shared" si="386"/>
        <v>-0.45370308603134446</v>
      </c>
      <c r="K3133">
        <f t="shared" si="387"/>
        <v>-0.89115291040630873</v>
      </c>
      <c r="L3133">
        <f>VLOOKUP(D3133,[1]SOI!$A$1:$C$142,3)</f>
        <v>5</v>
      </c>
      <c r="M3133" s="2">
        <f t="shared" si="388"/>
        <v>-1420.9980654501708</v>
      </c>
      <c r="N3133">
        <f t="shared" si="389"/>
        <v>-2791.0909153925591</v>
      </c>
      <c r="O3133" t="s">
        <v>8</v>
      </c>
    </row>
    <row r="3134" spans="1:15" x14ac:dyDescent="0.35">
      <c r="A3134">
        <v>2008</v>
      </c>
      <c r="B3134">
        <v>7</v>
      </c>
      <c r="C3134">
        <v>29</v>
      </c>
      <c r="D3134" s="1">
        <f t="shared" si="384"/>
        <v>39658</v>
      </c>
      <c r="E3134">
        <v>0</v>
      </c>
      <c r="F3134">
        <f t="shared" si="390"/>
        <v>1.6</v>
      </c>
      <c r="G3134">
        <f t="shared" si="385"/>
        <v>0</v>
      </c>
      <c r="H3134">
        <f t="shared" si="391"/>
        <v>1</v>
      </c>
      <c r="I3134">
        <v>3133</v>
      </c>
      <c r="J3134">
        <f t="shared" si="386"/>
        <v>-0.46896519100763329</v>
      </c>
      <c r="K3134">
        <f t="shared" si="387"/>
        <v>-0.88321664931271193</v>
      </c>
      <c r="L3134">
        <f>VLOOKUP(D3134,[1]SOI!$A$1:$C$142,3)</f>
        <v>5</v>
      </c>
      <c r="M3134" s="2">
        <f t="shared" si="388"/>
        <v>-1469.2679434269151</v>
      </c>
      <c r="N3134">
        <f t="shared" si="389"/>
        <v>-2767.1177622967266</v>
      </c>
      <c r="O3134" t="s">
        <v>8</v>
      </c>
    </row>
    <row r="3135" spans="1:15" x14ac:dyDescent="0.35">
      <c r="A3135">
        <v>2008</v>
      </c>
      <c r="B3135">
        <v>7</v>
      </c>
      <c r="C3135">
        <v>30</v>
      </c>
      <c r="D3135" s="1">
        <f t="shared" si="384"/>
        <v>39659</v>
      </c>
      <c r="E3135">
        <v>0</v>
      </c>
      <c r="F3135">
        <f t="shared" si="390"/>
        <v>0</v>
      </c>
      <c r="G3135">
        <f t="shared" si="385"/>
        <v>0</v>
      </c>
      <c r="H3135">
        <f t="shared" si="391"/>
        <v>0</v>
      </c>
      <c r="I3135">
        <v>3134</v>
      </c>
      <c r="J3135">
        <f t="shared" si="386"/>
        <v>-0.48408852163897842</v>
      </c>
      <c r="K3135">
        <f t="shared" si="387"/>
        <v>-0.8750190302029941</v>
      </c>
      <c r="L3135">
        <f>VLOOKUP(D3135,[1]SOI!$A$1:$C$142,3)</f>
        <v>5</v>
      </c>
      <c r="M3135" s="2">
        <f t="shared" si="388"/>
        <v>-1517.1334268165583</v>
      </c>
      <c r="N3135">
        <f t="shared" si="389"/>
        <v>-2742.3096406561835</v>
      </c>
      <c r="O3135" t="s">
        <v>8</v>
      </c>
    </row>
    <row r="3136" spans="1:15" x14ac:dyDescent="0.35">
      <c r="A3136">
        <v>2008</v>
      </c>
      <c r="B3136">
        <v>7</v>
      </c>
      <c r="C3136">
        <v>31</v>
      </c>
      <c r="D3136" s="1">
        <f t="shared" si="384"/>
        <v>39660</v>
      </c>
      <c r="E3136">
        <v>0.4</v>
      </c>
      <c r="F3136">
        <f t="shared" si="390"/>
        <v>0</v>
      </c>
      <c r="G3136">
        <f t="shared" si="385"/>
        <v>1</v>
      </c>
      <c r="H3136">
        <f t="shared" si="391"/>
        <v>0</v>
      </c>
      <c r="I3136">
        <v>3135</v>
      </c>
      <c r="J3136">
        <f t="shared" si="386"/>
        <v>-0.49906860268853526</v>
      </c>
      <c r="K3136">
        <f t="shared" si="387"/>
        <v>-0.86656247888453664</v>
      </c>
      <c r="L3136">
        <f>VLOOKUP(D3136,[1]SOI!$A$1:$C$142,3)</f>
        <v>5</v>
      </c>
      <c r="M3136" s="2">
        <f t="shared" si="388"/>
        <v>-1564.5800694285581</v>
      </c>
      <c r="N3136">
        <f t="shared" si="389"/>
        <v>-2716.6733713030226</v>
      </c>
      <c r="O3136" t="s">
        <v>8</v>
      </c>
    </row>
    <row r="3137" spans="1:15" x14ac:dyDescent="0.35">
      <c r="A3137">
        <v>2008</v>
      </c>
      <c r="B3137">
        <v>8</v>
      </c>
      <c r="C3137">
        <v>1</v>
      </c>
      <c r="D3137" s="1">
        <f t="shared" si="384"/>
        <v>39661</v>
      </c>
      <c r="E3137">
        <v>0.4</v>
      </c>
      <c r="F3137">
        <f t="shared" si="390"/>
        <v>0.4</v>
      </c>
      <c r="G3137">
        <f t="shared" si="385"/>
        <v>1</v>
      </c>
      <c r="H3137">
        <f t="shared" si="391"/>
        <v>1</v>
      </c>
      <c r="I3137">
        <v>3136</v>
      </c>
      <c r="J3137">
        <f t="shared" si="386"/>
        <v>-0.5139010013093025</v>
      </c>
      <c r="K3137">
        <f t="shared" si="387"/>
        <v>-0.85784949778693476</v>
      </c>
      <c r="L3137">
        <f>VLOOKUP(D3137,[1]SOI!$A$1:$C$142,3)</f>
        <v>2.2000000000000002</v>
      </c>
      <c r="M3137" s="2">
        <f t="shared" si="388"/>
        <v>-1611.5935401059726</v>
      </c>
      <c r="N3137">
        <f t="shared" si="389"/>
        <v>-2690.2160250598272</v>
      </c>
      <c r="O3137" t="s">
        <v>8</v>
      </c>
    </row>
    <row r="3138" spans="1:15" x14ac:dyDescent="0.35">
      <c r="A3138">
        <v>2008</v>
      </c>
      <c r="B3138">
        <v>8</v>
      </c>
      <c r="C3138">
        <v>2</v>
      </c>
      <c r="D3138" s="1">
        <f t="shared" si="384"/>
        <v>39662</v>
      </c>
      <c r="E3138">
        <v>0.6</v>
      </c>
      <c r="F3138">
        <f t="shared" si="390"/>
        <v>0.4</v>
      </c>
      <c r="G3138">
        <f t="shared" si="385"/>
        <v>1</v>
      </c>
      <c r="H3138">
        <f t="shared" si="391"/>
        <v>1</v>
      </c>
      <c r="I3138">
        <v>3137</v>
      </c>
      <c r="J3138">
        <f t="shared" si="386"/>
        <v>-0.52858132835592864</v>
      </c>
      <c r="K3138">
        <f t="shared" si="387"/>
        <v>-0.84888266522145561</v>
      </c>
      <c r="L3138">
        <f>VLOOKUP(D3138,[1]SOI!$A$1:$C$142,3)</f>
        <v>2.2000000000000002</v>
      </c>
      <c r="M3138" s="2">
        <f t="shared" si="388"/>
        <v>-1658.1596270525481</v>
      </c>
      <c r="N3138">
        <f t="shared" si="389"/>
        <v>-2662.9449207997063</v>
      </c>
      <c r="O3138" t="s">
        <v>8</v>
      </c>
    </row>
    <row r="3139" spans="1:15" x14ac:dyDescent="0.35">
      <c r="A3139">
        <v>2008</v>
      </c>
      <c r="B3139">
        <v>8</v>
      </c>
      <c r="C3139">
        <v>3</v>
      </c>
      <c r="D3139" s="1">
        <f t="shared" ref="D3139:D3202" si="392">DATE(A3139,B3139,C3139)</f>
        <v>39663</v>
      </c>
      <c r="E3139">
        <v>0</v>
      </c>
      <c r="F3139">
        <f t="shared" si="390"/>
        <v>0.6</v>
      </c>
      <c r="G3139">
        <f t="shared" ref="G3139:G3202" si="393">IF(E3139=0,0,1)</f>
        <v>0</v>
      </c>
      <c r="H3139">
        <f t="shared" si="391"/>
        <v>1</v>
      </c>
      <c r="I3139">
        <v>3138</v>
      </c>
      <c r="J3139">
        <f t="shared" ref="J3139:J3202" si="394">SIN(2*PI()*I3139/365.25)</f>
        <v>-0.54310523968343227</v>
      </c>
      <c r="K3139">
        <f t="shared" ref="K3139:K3202" si="395">COS(2*PI()*I3139/365.25)</f>
        <v>-0.83966463461813223</v>
      </c>
      <c r="L3139">
        <f>VLOOKUP(D3139,[1]SOI!$A$1:$C$142,3)</f>
        <v>2.2000000000000002</v>
      </c>
      <c r="M3139" s="2">
        <f t="shared" ref="M3139:M3202" si="396">I3139*J3139</f>
        <v>-1704.2642421266105</v>
      </c>
      <c r="N3139">
        <f t="shared" ref="N3139:N3202" si="397">I3139*K3139</f>
        <v>-2634.867623431699</v>
      </c>
      <c r="O3139" t="s">
        <v>8</v>
      </c>
    </row>
    <row r="3140" spans="1:15" x14ac:dyDescent="0.35">
      <c r="A3140">
        <v>2008</v>
      </c>
      <c r="B3140">
        <v>8</v>
      </c>
      <c r="C3140">
        <v>4</v>
      </c>
      <c r="D3140" s="1">
        <f t="shared" si="392"/>
        <v>39664</v>
      </c>
      <c r="E3140">
        <v>0.2</v>
      </c>
      <c r="F3140">
        <f t="shared" ref="F3140:F3203" si="398">E3139</f>
        <v>0</v>
      </c>
      <c r="G3140">
        <f t="shared" si="393"/>
        <v>1</v>
      </c>
      <c r="H3140">
        <f t="shared" ref="H3140:H3203" si="399">G3139</f>
        <v>0</v>
      </c>
      <c r="I3140">
        <v>3139</v>
      </c>
      <c r="J3140">
        <f t="shared" si="394"/>
        <v>-0.55746843743279051</v>
      </c>
      <c r="K3140">
        <f t="shared" si="395"/>
        <v>-0.83019813374052032</v>
      </c>
      <c r="L3140">
        <f>VLOOKUP(D3140,[1]SOI!$A$1:$C$142,3)</f>
        <v>2.2000000000000002</v>
      </c>
      <c r="M3140" s="2">
        <f t="shared" si="396"/>
        <v>-1749.8934251015294</v>
      </c>
      <c r="N3140">
        <f t="shared" si="397"/>
        <v>-2605.9919418114932</v>
      </c>
      <c r="O3140" t="s">
        <v>8</v>
      </c>
    </row>
    <row r="3141" spans="1:15" x14ac:dyDescent="0.35">
      <c r="A3141">
        <v>2008</v>
      </c>
      <c r="B3141">
        <v>8</v>
      </c>
      <c r="C3141">
        <v>5</v>
      </c>
      <c r="D3141" s="1">
        <f t="shared" si="392"/>
        <v>39665</v>
      </c>
      <c r="E3141">
        <v>0.2</v>
      </c>
      <c r="F3141">
        <f t="shared" si="398"/>
        <v>0.2</v>
      </c>
      <c r="G3141">
        <f t="shared" si="393"/>
        <v>1</v>
      </c>
      <c r="H3141">
        <f t="shared" si="399"/>
        <v>1</v>
      </c>
      <c r="I3141">
        <v>3140</v>
      </c>
      <c r="J3141">
        <f t="shared" si="394"/>
        <v>-0.57166667130270765</v>
      </c>
      <c r="K3141">
        <f t="shared" si="395"/>
        <v>-0.82048596387853101</v>
      </c>
      <c r="L3141">
        <f>VLOOKUP(D3141,[1]SOI!$A$1:$C$142,3)</f>
        <v>2.2000000000000002</v>
      </c>
      <c r="M3141" s="2">
        <f t="shared" si="396"/>
        <v>-1795.033347890502</v>
      </c>
      <c r="N3141">
        <f t="shared" si="397"/>
        <v>-2576.3259265785873</v>
      </c>
      <c r="O3141" t="s">
        <v>8</v>
      </c>
    </row>
    <row r="3142" spans="1:15" x14ac:dyDescent="0.35">
      <c r="A3142">
        <v>2008</v>
      </c>
      <c r="B3142">
        <v>8</v>
      </c>
      <c r="C3142">
        <v>6</v>
      </c>
      <c r="D3142" s="1">
        <f t="shared" si="392"/>
        <v>39666</v>
      </c>
      <c r="E3142">
        <v>0</v>
      </c>
      <c r="F3142">
        <f t="shared" si="398"/>
        <v>0.2</v>
      </c>
      <c r="G3142">
        <f t="shared" si="393"/>
        <v>0</v>
      </c>
      <c r="H3142">
        <f t="shared" si="399"/>
        <v>1</v>
      </c>
      <c r="I3142">
        <v>3141</v>
      </c>
      <c r="J3142">
        <f t="shared" si="394"/>
        <v>-0.58569573980734813</v>
      </c>
      <c r="K3142">
        <f t="shared" si="395"/>
        <v>-0.81053099901948422</v>
      </c>
      <c r="L3142">
        <f>VLOOKUP(D3142,[1]SOI!$A$1:$C$142,3)</f>
        <v>2.2000000000000002</v>
      </c>
      <c r="M3142" s="2">
        <f t="shared" si="396"/>
        <v>-1839.6703187348805</v>
      </c>
      <c r="N3142">
        <f t="shared" si="397"/>
        <v>-2545.8778679202001</v>
      </c>
      <c r="O3142" t="s">
        <v>8</v>
      </c>
    </row>
    <row r="3143" spans="1:15" x14ac:dyDescent="0.35">
      <c r="A3143">
        <v>2008</v>
      </c>
      <c r="B3143">
        <v>8</v>
      </c>
      <c r="C3143">
        <v>7</v>
      </c>
      <c r="D3143" s="1">
        <f t="shared" si="392"/>
        <v>39667</v>
      </c>
      <c r="E3143">
        <v>0</v>
      </c>
      <c r="F3143">
        <f t="shared" si="398"/>
        <v>0</v>
      </c>
      <c r="G3143">
        <f t="shared" si="393"/>
        <v>0</v>
      </c>
      <c r="H3143">
        <f t="shared" si="399"/>
        <v>0</v>
      </c>
      <c r="I3143">
        <v>3142</v>
      </c>
      <c r="J3143">
        <f t="shared" si="394"/>
        <v>-0.59955149151964704</v>
      </c>
      <c r="K3143">
        <f t="shared" si="395"/>
        <v>-0.8003361849976337</v>
      </c>
      <c r="L3143">
        <f>VLOOKUP(D3143,[1]SOI!$A$1:$C$142,3)</f>
        <v>2.2000000000000002</v>
      </c>
      <c r="M3143" s="2">
        <f t="shared" si="396"/>
        <v>-1883.7907863547309</v>
      </c>
      <c r="N3143">
        <f t="shared" si="397"/>
        <v>-2514.6562932625652</v>
      </c>
      <c r="O3143" t="s">
        <v>8</v>
      </c>
    </row>
    <row r="3144" spans="1:15" x14ac:dyDescent="0.35">
      <c r="A3144">
        <v>2008</v>
      </c>
      <c r="B3144">
        <v>8</v>
      </c>
      <c r="C3144">
        <v>8</v>
      </c>
      <c r="D3144" s="1">
        <f t="shared" si="392"/>
        <v>39668</v>
      </c>
      <c r="E3144">
        <v>0.4</v>
      </c>
      <c r="F3144">
        <f t="shared" si="398"/>
        <v>0</v>
      </c>
      <c r="G3144">
        <f t="shared" si="393"/>
        <v>1</v>
      </c>
      <c r="H3144">
        <f t="shared" si="399"/>
        <v>0</v>
      </c>
      <c r="I3144">
        <v>3143</v>
      </c>
      <c r="J3144">
        <f t="shared" si="394"/>
        <v>-0.61322982629974931</v>
      </c>
      <c r="K3144">
        <f t="shared" si="395"/>
        <v>-0.78990453862247134</v>
      </c>
      <c r="L3144">
        <f>VLOOKUP(D3144,[1]SOI!$A$1:$C$142,3)</f>
        <v>2.2000000000000002</v>
      </c>
      <c r="M3144" s="2">
        <f t="shared" si="396"/>
        <v>-1927.381344060112</v>
      </c>
      <c r="N3144">
        <f t="shared" si="397"/>
        <v>-2482.6699648904273</v>
      </c>
      <c r="O3144" t="s">
        <v>8</v>
      </c>
    </row>
    <row r="3145" spans="1:15" x14ac:dyDescent="0.35">
      <c r="A3145">
        <v>2008</v>
      </c>
      <c r="B3145">
        <v>8</v>
      </c>
      <c r="C3145">
        <v>9</v>
      </c>
      <c r="D3145" s="1">
        <f t="shared" si="392"/>
        <v>39669</v>
      </c>
      <c r="E3145">
        <v>1.8</v>
      </c>
      <c r="F3145">
        <f t="shared" si="398"/>
        <v>0.4</v>
      </c>
      <c r="G3145">
        <f t="shared" si="393"/>
        <v>1</v>
      </c>
      <c r="H3145">
        <f t="shared" si="399"/>
        <v>1</v>
      </c>
      <c r="I3145">
        <v>3144</v>
      </c>
      <c r="J3145">
        <f t="shared" si="394"/>
        <v>-0.62672669650833024</v>
      </c>
      <c r="K3145">
        <f t="shared" si="395"/>
        <v>-0.77923914678598849</v>
      </c>
      <c r="L3145">
        <f>VLOOKUP(D3145,[1]SOI!$A$1:$C$142,3)</f>
        <v>2.2000000000000002</v>
      </c>
      <c r="M3145" s="2">
        <f t="shared" si="396"/>
        <v>-1970.4287338221902</v>
      </c>
      <c r="N3145">
        <f t="shared" si="397"/>
        <v>-2449.9278774951476</v>
      </c>
      <c r="O3145" t="s">
        <v>8</v>
      </c>
    </row>
    <row r="3146" spans="1:15" x14ac:dyDescent="0.35">
      <c r="A3146">
        <v>2008</v>
      </c>
      <c r="B3146">
        <v>8</v>
      </c>
      <c r="C3146">
        <v>10</v>
      </c>
      <c r="D3146" s="1">
        <f t="shared" si="392"/>
        <v>39670</v>
      </c>
      <c r="E3146">
        <v>4.8</v>
      </c>
      <c r="F3146">
        <f t="shared" si="398"/>
        <v>1.8</v>
      </c>
      <c r="G3146">
        <f t="shared" si="393"/>
        <v>1</v>
      </c>
      <c r="H3146">
        <f t="shared" si="399"/>
        <v>1</v>
      </c>
      <c r="I3146">
        <v>3145</v>
      </c>
      <c r="J3146">
        <f t="shared" si="394"/>
        <v>-0.64003810820435147</v>
      </c>
      <c r="K3146">
        <f t="shared" si="395"/>
        <v>-0.76834316554921922</v>
      </c>
      <c r="L3146">
        <f>VLOOKUP(D3146,[1]SOI!$A$1:$C$142,3)</f>
        <v>2.2000000000000002</v>
      </c>
      <c r="M3146" s="2">
        <f t="shared" si="396"/>
        <v>-2012.9198503026853</v>
      </c>
      <c r="N3146">
        <f t="shared" si="397"/>
        <v>-2416.4392556522944</v>
      </c>
      <c r="O3146" t="s">
        <v>8</v>
      </c>
    </row>
    <row r="3147" spans="1:15" x14ac:dyDescent="0.35">
      <c r="A3147">
        <v>2008</v>
      </c>
      <c r="B3147">
        <v>8</v>
      </c>
      <c r="C3147">
        <v>11</v>
      </c>
      <c r="D3147" s="1">
        <f t="shared" si="392"/>
        <v>39671</v>
      </c>
      <c r="E3147">
        <v>11.4</v>
      </c>
      <c r="F3147">
        <f t="shared" si="398"/>
        <v>4.8</v>
      </c>
      <c r="G3147">
        <f t="shared" si="393"/>
        <v>1</v>
      </c>
      <c r="H3147">
        <f t="shared" si="399"/>
        <v>1</v>
      </c>
      <c r="I3147">
        <v>3146</v>
      </c>
      <c r="J3147">
        <f t="shared" si="394"/>
        <v>-0.65316012232693188</v>
      </c>
      <c r="K3147">
        <f t="shared" si="395"/>
        <v>-0.75721981920831116</v>
      </c>
      <c r="L3147">
        <f>VLOOKUP(D3147,[1]SOI!$A$1:$C$142,3)</f>
        <v>2.2000000000000002</v>
      </c>
      <c r="M3147" s="2">
        <f t="shared" si="396"/>
        <v>-2054.8417448405276</v>
      </c>
      <c r="N3147">
        <f t="shared" si="397"/>
        <v>-2382.2135512293471</v>
      </c>
      <c r="O3147" t="s">
        <v>8</v>
      </c>
    </row>
    <row r="3148" spans="1:15" x14ac:dyDescent="0.35">
      <c r="A3148">
        <v>2008</v>
      </c>
      <c r="B3148">
        <v>8</v>
      </c>
      <c r="C3148">
        <v>12</v>
      </c>
      <c r="D3148" s="1">
        <f t="shared" si="392"/>
        <v>39672</v>
      </c>
      <c r="E3148">
        <v>0.6</v>
      </c>
      <c r="F3148">
        <f t="shared" si="398"/>
        <v>11.4</v>
      </c>
      <c r="G3148">
        <f t="shared" si="393"/>
        <v>1</v>
      </c>
      <c r="H3148">
        <f t="shared" si="399"/>
        <v>1</v>
      </c>
      <c r="I3148">
        <v>3147</v>
      </c>
      <c r="J3148">
        <f t="shared" si="394"/>
        <v>-0.66608885586097455</v>
      </c>
      <c r="K3148">
        <f t="shared" si="395"/>
        <v>-0.7458723993404085</v>
      </c>
      <c r="L3148">
        <f>VLOOKUP(D3148,[1]SOI!$A$1:$C$142,3)</f>
        <v>2.2000000000000002</v>
      </c>
      <c r="M3148" s="2">
        <f t="shared" si="396"/>
        <v>-2096.1816293944871</v>
      </c>
      <c r="N3148">
        <f t="shared" si="397"/>
        <v>-2347.2604407242657</v>
      </c>
      <c r="O3148" t="s">
        <v>8</v>
      </c>
    </row>
    <row r="3149" spans="1:15" x14ac:dyDescent="0.35">
      <c r="A3149">
        <v>2008</v>
      </c>
      <c r="B3149">
        <v>8</v>
      </c>
      <c r="C3149">
        <v>13</v>
      </c>
      <c r="D3149" s="1">
        <f t="shared" si="392"/>
        <v>39673</v>
      </c>
      <c r="E3149">
        <v>1.6</v>
      </c>
      <c r="F3149">
        <f t="shared" si="398"/>
        <v>0.6</v>
      </c>
      <c r="G3149">
        <f t="shared" si="393"/>
        <v>1</v>
      </c>
      <c r="H3149">
        <f t="shared" si="399"/>
        <v>1</v>
      </c>
      <c r="I3149">
        <v>3148</v>
      </c>
      <c r="J3149">
        <f t="shared" si="394"/>
        <v>-0.67882048298623421</v>
      </c>
      <c r="K3149">
        <f t="shared" si="395"/>
        <v>-0.73430426382960334</v>
      </c>
      <c r="L3149">
        <f>VLOOKUP(D3149,[1]SOI!$A$1:$C$142,3)</f>
        <v>2.2000000000000002</v>
      </c>
      <c r="M3149" s="2">
        <f t="shared" si="396"/>
        <v>-2136.9268804406652</v>
      </c>
      <c r="N3149">
        <f t="shared" si="397"/>
        <v>-2311.5898225355913</v>
      </c>
      <c r="O3149" t="s">
        <v>8</v>
      </c>
    </row>
    <row r="3150" spans="1:15" x14ac:dyDescent="0.35">
      <c r="A3150">
        <v>2008</v>
      </c>
      <c r="B3150">
        <v>8</v>
      </c>
      <c r="C3150">
        <v>14</v>
      </c>
      <c r="D3150" s="1">
        <f t="shared" si="392"/>
        <v>39674</v>
      </c>
      <c r="E3150">
        <v>0.2</v>
      </c>
      <c r="F3150">
        <f t="shared" si="398"/>
        <v>1.6</v>
      </c>
      <c r="G3150">
        <f t="shared" si="393"/>
        <v>1</v>
      </c>
      <c r="H3150">
        <f t="shared" si="399"/>
        <v>1</v>
      </c>
      <c r="I3150">
        <v>3149</v>
      </c>
      <c r="J3150">
        <f t="shared" si="394"/>
        <v>-0.69135123620940664</v>
      </c>
      <c r="K3150">
        <f t="shared" si="395"/>
        <v>-0.72251883587331145</v>
      </c>
      <c r="L3150">
        <f>VLOOKUP(D3150,[1]SOI!$A$1:$C$142,3)</f>
        <v>2.2000000000000002</v>
      </c>
      <c r="M3150" s="2">
        <f t="shared" si="396"/>
        <v>-2177.0650428234217</v>
      </c>
      <c r="N3150">
        <f t="shared" si="397"/>
        <v>-2275.2118141650576</v>
      </c>
      <c r="O3150" t="s">
        <v>8</v>
      </c>
    </row>
    <row r="3151" spans="1:15" x14ac:dyDescent="0.35">
      <c r="A3151">
        <v>2008</v>
      </c>
      <c r="B3151">
        <v>8</v>
      </c>
      <c r="C3151">
        <v>15</v>
      </c>
      <c r="D3151" s="1">
        <f t="shared" si="392"/>
        <v>39675</v>
      </c>
      <c r="E3151">
        <v>0.2</v>
      </c>
      <c r="F3151">
        <f t="shared" si="398"/>
        <v>0.2</v>
      </c>
      <c r="G3151">
        <f t="shared" si="393"/>
        <v>1</v>
      </c>
      <c r="H3151">
        <f t="shared" si="399"/>
        <v>1</v>
      </c>
      <c r="I3151">
        <v>3150</v>
      </c>
      <c r="J3151">
        <f t="shared" si="394"/>
        <v>-0.70367740747901297</v>
      </c>
      <c r="K3151">
        <f t="shared" si="395"/>
        <v>-0.7105196029692743</v>
      </c>
      <c r="L3151">
        <f>VLOOKUP(D3151,[1]SOI!$A$1:$C$142,3)</f>
        <v>2.2000000000000002</v>
      </c>
      <c r="M3151" s="2">
        <f t="shared" si="396"/>
        <v>-2216.583833558891</v>
      </c>
      <c r="N3151">
        <f t="shared" si="397"/>
        <v>-2238.1367493532139</v>
      </c>
      <c r="O3151" t="s">
        <v>8</v>
      </c>
    </row>
    <row r="3152" spans="1:15" x14ac:dyDescent="0.35">
      <c r="A3152">
        <v>2008</v>
      </c>
      <c r="B3152">
        <v>8</v>
      </c>
      <c r="C3152">
        <v>16</v>
      </c>
      <c r="D3152" s="1">
        <f t="shared" si="392"/>
        <v>39676</v>
      </c>
      <c r="E3152">
        <v>2.2000000000000002</v>
      </c>
      <c r="F3152">
        <f t="shared" si="398"/>
        <v>0.2</v>
      </c>
      <c r="G3152">
        <f t="shared" si="393"/>
        <v>1</v>
      </c>
      <c r="H3152">
        <f t="shared" si="399"/>
        <v>1</v>
      </c>
      <c r="I3152">
        <v>3151</v>
      </c>
      <c r="J3152">
        <f t="shared" si="394"/>
        <v>-0.71579534928266531</v>
      </c>
      <c r="K3152">
        <f t="shared" si="395"/>
        <v>-0.69831011588355729</v>
      </c>
      <c r="L3152">
        <f>VLOOKUP(D3152,[1]SOI!$A$1:$C$142,3)</f>
        <v>2.2000000000000002</v>
      </c>
      <c r="M3152" s="2">
        <f t="shared" si="396"/>
        <v>-2255.4711455896786</v>
      </c>
      <c r="N3152">
        <f t="shared" si="397"/>
        <v>-2200.375175149089</v>
      </c>
      <c r="O3152" t="s">
        <v>8</v>
      </c>
    </row>
    <row r="3153" spans="1:15" x14ac:dyDescent="0.35">
      <c r="A3153">
        <v>2008</v>
      </c>
      <c r="B3153">
        <v>8</v>
      </c>
      <c r="C3153">
        <v>17</v>
      </c>
      <c r="D3153" s="1">
        <f t="shared" si="392"/>
        <v>39677</v>
      </c>
      <c r="E3153">
        <v>4.2</v>
      </c>
      <c r="F3153">
        <f t="shared" si="398"/>
        <v>2.2000000000000002</v>
      </c>
      <c r="G3153">
        <f t="shared" si="393"/>
        <v>1</v>
      </c>
      <c r="H3153">
        <f t="shared" si="399"/>
        <v>1</v>
      </c>
      <c r="I3153">
        <v>3152</v>
      </c>
      <c r="J3153">
        <f t="shared" si="394"/>
        <v>-0.72770147572642019</v>
      </c>
      <c r="K3153">
        <f t="shared" si="395"/>
        <v>-0.685893987599826</v>
      </c>
      <c r="L3153">
        <f>VLOOKUP(D3153,[1]SOI!$A$1:$C$142,3)</f>
        <v>2.2000000000000002</v>
      </c>
      <c r="M3153" s="2">
        <f t="shared" si="396"/>
        <v>-2293.7150514896766</v>
      </c>
      <c r="N3153">
        <f t="shared" si="397"/>
        <v>-2161.9378489146516</v>
      </c>
      <c r="O3153" t="s">
        <v>8</v>
      </c>
    </row>
    <row r="3154" spans="1:15" x14ac:dyDescent="0.35">
      <c r="A3154">
        <v>2008</v>
      </c>
      <c r="B3154">
        <v>8</v>
      </c>
      <c r="C3154">
        <v>18</v>
      </c>
      <c r="D3154" s="1">
        <f t="shared" si="392"/>
        <v>39678</v>
      </c>
      <c r="E3154">
        <v>0.4</v>
      </c>
      <c r="F3154">
        <f t="shared" si="398"/>
        <v>4.2</v>
      </c>
      <c r="G3154">
        <f t="shared" si="393"/>
        <v>1</v>
      </c>
      <c r="H3154">
        <f t="shared" si="399"/>
        <v>1</v>
      </c>
      <c r="I3154">
        <v>3153</v>
      </c>
      <c r="J3154">
        <f t="shared" si="394"/>
        <v>-0.73939226359592158</v>
      </c>
      <c r="K3154">
        <f t="shared" si="395"/>
        <v>-0.67327489225018577</v>
      </c>
      <c r="L3154">
        <f>VLOOKUP(D3154,[1]SOI!$A$1:$C$142,3)</f>
        <v>2.2000000000000002</v>
      </c>
      <c r="M3154" s="2">
        <f t="shared" si="396"/>
        <v>-2331.3038071179408</v>
      </c>
      <c r="N3154">
        <f t="shared" si="397"/>
        <v>-2122.8357352648359</v>
      </c>
      <c r="O3154" t="s">
        <v>8</v>
      </c>
    </row>
    <row r="3155" spans="1:15" x14ac:dyDescent="0.35">
      <c r="A3155">
        <v>2008</v>
      </c>
      <c r="B3155">
        <v>8</v>
      </c>
      <c r="C3155">
        <v>19</v>
      </c>
      <c r="D3155" s="1">
        <f t="shared" si="392"/>
        <v>39679</v>
      </c>
      <c r="E3155">
        <v>0</v>
      </c>
      <c r="F3155">
        <f t="shared" si="398"/>
        <v>0.4</v>
      </c>
      <c r="G3155">
        <f t="shared" si="393"/>
        <v>0</v>
      </c>
      <c r="H3155">
        <f t="shared" si="399"/>
        <v>1</v>
      </c>
      <c r="I3155">
        <v>3154</v>
      </c>
      <c r="J3155">
        <f t="shared" si="394"/>
        <v>-0.75086425339894736</v>
      </c>
      <c r="K3155">
        <f t="shared" si="395"/>
        <v>-0.66045656402797714</v>
      </c>
      <c r="L3155">
        <f>VLOOKUP(D3155,[1]SOI!$A$1:$C$142,3)</f>
        <v>2.2000000000000002</v>
      </c>
      <c r="M3155" s="2">
        <f t="shared" si="396"/>
        <v>-2368.2258552202798</v>
      </c>
      <c r="N3155">
        <f t="shared" si="397"/>
        <v>-2083.0800029442398</v>
      </c>
      <c r="O3155" t="s">
        <v>8</v>
      </c>
    </row>
    <row r="3156" spans="1:15" x14ac:dyDescent="0.35">
      <c r="A3156">
        <v>2008</v>
      </c>
      <c r="B3156">
        <v>8</v>
      </c>
      <c r="C3156">
        <v>20</v>
      </c>
      <c r="D3156" s="1">
        <f t="shared" si="392"/>
        <v>39680</v>
      </c>
      <c r="E3156">
        <v>0</v>
      </c>
      <c r="F3156">
        <f t="shared" si="398"/>
        <v>0</v>
      </c>
      <c r="G3156">
        <f t="shared" si="393"/>
        <v>0</v>
      </c>
      <c r="H3156">
        <f t="shared" si="399"/>
        <v>0</v>
      </c>
      <c r="I3156">
        <v>3155</v>
      </c>
      <c r="J3156">
        <f t="shared" si="394"/>
        <v>-0.76211405038914803</v>
      </c>
      <c r="K3156">
        <f t="shared" si="395"/>
        <v>-0.64744279608274824</v>
      </c>
      <c r="L3156">
        <f>VLOOKUP(D3156,[1]SOI!$A$1:$C$142,3)</f>
        <v>2.2000000000000002</v>
      </c>
      <c r="M3156" s="2">
        <f t="shared" si="396"/>
        <v>-2404.4698289777621</v>
      </c>
      <c r="N3156">
        <f t="shared" si="397"/>
        <v>-2042.6820216410706</v>
      </c>
      <c r="O3156" t="s">
        <v>8</v>
      </c>
    </row>
    <row r="3157" spans="1:15" x14ac:dyDescent="0.35">
      <c r="A3157">
        <v>2008</v>
      </c>
      <c r="B3157">
        <v>8</v>
      </c>
      <c r="C3157">
        <v>21</v>
      </c>
      <c r="D3157" s="1">
        <f t="shared" si="392"/>
        <v>39681</v>
      </c>
      <c r="E3157">
        <v>0</v>
      </c>
      <c r="F3157">
        <f t="shared" si="398"/>
        <v>0</v>
      </c>
      <c r="G3157">
        <f t="shared" si="393"/>
        <v>0</v>
      </c>
      <c r="H3157">
        <f t="shared" si="399"/>
        <v>0</v>
      </c>
      <c r="I3157">
        <v>3156</v>
      </c>
      <c r="J3157">
        <f t="shared" si="394"/>
        <v>-0.77313832557060247</v>
      </c>
      <c r="K3157">
        <f t="shared" si="395"/>
        <v>-0.63423743939780552</v>
      </c>
      <c r="L3157">
        <f>VLOOKUP(D3157,[1]SOI!$A$1:$C$142,3)</f>
        <v>2.2000000000000002</v>
      </c>
      <c r="M3157" s="2">
        <f t="shared" si="396"/>
        <v>-2440.0245555008214</v>
      </c>
      <c r="N3157">
        <f t="shared" si="397"/>
        <v>-2001.6533587394742</v>
      </c>
      <c r="O3157" t="s">
        <v>8</v>
      </c>
    </row>
    <row r="3158" spans="1:15" x14ac:dyDescent="0.35">
      <c r="A3158">
        <v>2008</v>
      </c>
      <c r="B3158">
        <v>8</v>
      </c>
      <c r="C3158">
        <v>22</v>
      </c>
      <c r="D3158" s="1">
        <f t="shared" si="392"/>
        <v>39682</v>
      </c>
      <c r="E3158">
        <v>14</v>
      </c>
      <c r="F3158">
        <f t="shared" si="398"/>
        <v>0</v>
      </c>
      <c r="G3158">
        <f t="shared" si="393"/>
        <v>1</v>
      </c>
      <c r="H3158">
        <f t="shared" si="399"/>
        <v>0</v>
      </c>
      <c r="I3158">
        <v>3157</v>
      </c>
      <c r="J3158">
        <f t="shared" si="394"/>
        <v>-0.78393381668292106</v>
      </c>
      <c r="K3158">
        <f t="shared" si="395"/>
        <v>-0.62084440165064569</v>
      </c>
      <c r="L3158">
        <f>VLOOKUP(D3158,[1]SOI!$A$1:$C$142,3)</f>
        <v>2.2000000000000002</v>
      </c>
      <c r="M3158" s="2">
        <f t="shared" si="396"/>
        <v>-2474.8790592679816</v>
      </c>
      <c r="N3158">
        <f t="shared" si="397"/>
        <v>-1960.0057760110885</v>
      </c>
      <c r="O3158" t="s">
        <v>8</v>
      </c>
    </row>
    <row r="3159" spans="1:15" x14ac:dyDescent="0.35">
      <c r="A3159">
        <v>2008</v>
      </c>
      <c r="B3159">
        <v>8</v>
      </c>
      <c r="C3159">
        <v>23</v>
      </c>
      <c r="D3159" s="1">
        <f t="shared" si="392"/>
        <v>39683</v>
      </c>
      <c r="E3159">
        <v>0.6</v>
      </c>
      <c r="F3159">
        <f t="shared" si="398"/>
        <v>14</v>
      </c>
      <c r="G3159">
        <f t="shared" si="393"/>
        <v>1</v>
      </c>
      <c r="H3159">
        <f t="shared" si="399"/>
        <v>1</v>
      </c>
      <c r="I3159">
        <v>3158</v>
      </c>
      <c r="J3159">
        <f t="shared" si="394"/>
        <v>-0.79449732916659643</v>
      </c>
      <c r="K3159">
        <f t="shared" si="395"/>
        <v>-0.60726764605661721</v>
      </c>
      <c r="L3159">
        <f>VLOOKUP(D3159,[1]SOI!$A$1:$C$142,3)</f>
        <v>2.2000000000000002</v>
      </c>
      <c r="M3159" s="2">
        <f t="shared" si="396"/>
        <v>-2509.0225655081117</v>
      </c>
      <c r="N3159">
        <f t="shared" si="397"/>
        <v>-1917.7512262467972</v>
      </c>
      <c r="O3159" t="s">
        <v>8</v>
      </c>
    </row>
    <row r="3160" spans="1:15" x14ac:dyDescent="0.35">
      <c r="A3160">
        <v>2008</v>
      </c>
      <c r="B3160">
        <v>8</v>
      </c>
      <c r="C3160">
        <v>24</v>
      </c>
      <c r="D3160" s="1">
        <f t="shared" si="392"/>
        <v>39684</v>
      </c>
      <c r="E3160">
        <v>0.2</v>
      </c>
      <c r="F3160">
        <f t="shared" si="398"/>
        <v>0.6</v>
      </c>
      <c r="G3160">
        <f t="shared" si="393"/>
        <v>1</v>
      </c>
      <c r="H3160">
        <f t="shared" si="399"/>
        <v>1</v>
      </c>
      <c r="I3160">
        <v>3159</v>
      </c>
      <c r="J3160">
        <f t="shared" si="394"/>
        <v>-0.80482573710834293</v>
      </c>
      <c r="K3160">
        <f t="shared" si="395"/>
        <v>-0.59351119019611798</v>
      </c>
      <c r="L3160">
        <f>VLOOKUP(D3160,[1]SOI!$A$1:$C$142,3)</f>
        <v>2.2000000000000002</v>
      </c>
      <c r="M3160" s="2">
        <f t="shared" si="396"/>
        <v>-2542.4445035252552</v>
      </c>
      <c r="N3160">
        <f t="shared" si="397"/>
        <v>-1874.9018498295368</v>
      </c>
      <c r="O3160" t="s">
        <v>8</v>
      </c>
    </row>
    <row r="3161" spans="1:15" x14ac:dyDescent="0.35">
      <c r="A3161">
        <v>2008</v>
      </c>
      <c r="B3161">
        <v>8</v>
      </c>
      <c r="C3161">
        <v>25</v>
      </c>
      <c r="D3161" s="1">
        <f t="shared" si="392"/>
        <v>39685</v>
      </c>
      <c r="E3161">
        <v>0</v>
      </c>
      <c r="F3161">
        <f t="shared" si="398"/>
        <v>0.2</v>
      </c>
      <c r="G3161">
        <f t="shared" si="393"/>
        <v>0</v>
      </c>
      <c r="H3161">
        <f t="shared" si="399"/>
        <v>1</v>
      </c>
      <c r="I3161">
        <v>3160</v>
      </c>
      <c r="J3161">
        <f t="shared" si="394"/>
        <v>-0.81491598416607802</v>
      </c>
      <c r="K3161">
        <f t="shared" si="395"/>
        <v>-0.5795791048257628</v>
      </c>
      <c r="L3161">
        <f>VLOOKUP(D3161,[1]SOI!$A$1:$C$142,3)</f>
        <v>2.2000000000000002</v>
      </c>
      <c r="M3161" s="2">
        <f t="shared" si="396"/>
        <v>-2575.1345099648065</v>
      </c>
      <c r="N3161">
        <f t="shared" si="397"/>
        <v>-1831.4699712494105</v>
      </c>
      <c r="O3161" t="s">
        <v>8</v>
      </c>
    </row>
    <row r="3162" spans="1:15" x14ac:dyDescent="0.35">
      <c r="A3162">
        <v>2008</v>
      </c>
      <c r="B3162">
        <v>8</v>
      </c>
      <c r="C3162">
        <v>26</v>
      </c>
      <c r="D3162" s="1">
        <f t="shared" si="392"/>
        <v>39686</v>
      </c>
      <c r="E3162">
        <v>0</v>
      </c>
      <c r="F3162">
        <f t="shared" si="398"/>
        <v>0</v>
      </c>
      <c r="G3162">
        <f t="shared" si="393"/>
        <v>0</v>
      </c>
      <c r="H3162">
        <f t="shared" si="399"/>
        <v>0</v>
      </c>
      <c r="I3162">
        <v>3161</v>
      </c>
      <c r="J3162">
        <f t="shared" si="394"/>
        <v>-0.82476508447336083</v>
      </c>
      <c r="K3162">
        <f t="shared" si="395"/>
        <v>-0.56547551267375851</v>
      </c>
      <c r="L3162">
        <f>VLOOKUP(D3162,[1]SOI!$A$1:$C$142,3)</f>
        <v>2.2000000000000002</v>
      </c>
      <c r="M3162" s="2">
        <f t="shared" si="396"/>
        <v>-2607.0824320202937</v>
      </c>
      <c r="N3162">
        <f t="shared" si="397"/>
        <v>-1787.4680955617507</v>
      </c>
      <c r="O3162" t="s">
        <v>8</v>
      </c>
    </row>
    <row r="3163" spans="1:15" x14ac:dyDescent="0.35">
      <c r="A3163">
        <v>2008</v>
      </c>
      <c r="B3163">
        <v>8</v>
      </c>
      <c r="C3163">
        <v>27</v>
      </c>
      <c r="D3163" s="1">
        <f t="shared" si="392"/>
        <v>39687</v>
      </c>
      <c r="E3163">
        <v>0</v>
      </c>
      <c r="F3163">
        <f t="shared" si="398"/>
        <v>0</v>
      </c>
      <c r="G3163">
        <f t="shared" si="393"/>
        <v>0</v>
      </c>
      <c r="H3163">
        <f t="shared" si="399"/>
        <v>0</v>
      </c>
      <c r="I3163">
        <v>3162</v>
      </c>
      <c r="J3163">
        <f t="shared" si="394"/>
        <v>-0.8343701235229537</v>
      </c>
      <c r="K3163">
        <f t="shared" si="395"/>
        <v>-0.55120458721992782</v>
      </c>
      <c r="L3163">
        <f>VLOOKUP(D3163,[1]SOI!$A$1:$C$142,3)</f>
        <v>2.2000000000000002</v>
      </c>
      <c r="M3163" s="2">
        <f t="shared" si="396"/>
        <v>-2638.2783305795797</v>
      </c>
      <c r="N3163">
        <f t="shared" si="397"/>
        <v>-1742.9089047894117</v>
      </c>
      <c r="O3163" t="s">
        <v>8</v>
      </c>
    </row>
    <row r="3164" spans="1:15" x14ac:dyDescent="0.35">
      <c r="A3164">
        <v>2008</v>
      </c>
      <c r="B3164">
        <v>8</v>
      </c>
      <c r="C3164">
        <v>28</v>
      </c>
      <c r="D3164" s="1">
        <f t="shared" si="392"/>
        <v>39688</v>
      </c>
      <c r="E3164">
        <v>0</v>
      </c>
      <c r="F3164">
        <f t="shared" si="398"/>
        <v>0</v>
      </c>
      <c r="G3164">
        <f t="shared" si="393"/>
        <v>0</v>
      </c>
      <c r="H3164">
        <f t="shared" si="399"/>
        <v>0</v>
      </c>
      <c r="I3164">
        <v>3163</v>
      </c>
      <c r="J3164">
        <f t="shared" si="394"/>
        <v>-0.84372825902926774</v>
      </c>
      <c r="K3164">
        <f t="shared" si="395"/>
        <v>-0.53677055146071573</v>
      </c>
      <c r="L3164">
        <f>VLOOKUP(D3164,[1]SOI!$A$1:$C$142,3)</f>
        <v>2.2000000000000002</v>
      </c>
      <c r="M3164" s="2">
        <f t="shared" si="396"/>
        <v>-2668.7124833095741</v>
      </c>
      <c r="N3164">
        <f t="shared" si="397"/>
        <v>-1697.8052542702439</v>
      </c>
      <c r="O3164" t="s">
        <v>8</v>
      </c>
    </row>
    <row r="3165" spans="1:15" x14ac:dyDescent="0.35">
      <c r="A3165">
        <v>2008</v>
      </c>
      <c r="B3165">
        <v>8</v>
      </c>
      <c r="C3165">
        <v>29</v>
      </c>
      <c r="D3165" s="1">
        <f t="shared" si="392"/>
        <v>39689</v>
      </c>
      <c r="E3165">
        <v>0.4</v>
      </c>
      <c r="F3165">
        <f t="shared" si="398"/>
        <v>0</v>
      </c>
      <c r="G3165">
        <f t="shared" si="393"/>
        <v>1</v>
      </c>
      <c r="H3165">
        <f t="shared" si="399"/>
        <v>0</v>
      </c>
      <c r="I3165">
        <v>3164</v>
      </c>
      <c r="J3165">
        <f t="shared" si="394"/>
        <v>-0.85283672176945657</v>
      </c>
      <c r="K3165">
        <f t="shared" si="395"/>
        <v>-0.52217767665951265</v>
      </c>
      <c r="L3165">
        <f>VLOOKUP(D3165,[1]SOI!$A$1:$C$142,3)</f>
        <v>2.2000000000000002</v>
      </c>
      <c r="M3165" s="2">
        <f t="shared" si="396"/>
        <v>-2698.3753876785604</v>
      </c>
      <c r="N3165">
        <f t="shared" si="397"/>
        <v>-1652.1701689506981</v>
      </c>
      <c r="O3165" t="s">
        <v>8</v>
      </c>
    </row>
    <row r="3166" spans="1:15" x14ac:dyDescent="0.35">
      <c r="A3166">
        <v>2008</v>
      </c>
      <c r="B3166">
        <v>8</v>
      </c>
      <c r="C3166">
        <v>30</v>
      </c>
      <c r="D3166" s="1">
        <f t="shared" si="392"/>
        <v>39690</v>
      </c>
      <c r="E3166">
        <v>0</v>
      </c>
      <c r="F3166">
        <f t="shared" si="398"/>
        <v>0.4</v>
      </c>
      <c r="G3166">
        <f t="shared" si="393"/>
        <v>0</v>
      </c>
      <c r="H3166">
        <f t="shared" si="399"/>
        <v>1</v>
      </c>
      <c r="I3166">
        <v>3165</v>
      </c>
      <c r="J3166">
        <f t="shared" si="394"/>
        <v>-0.86169281640285023</v>
      </c>
      <c r="K3166">
        <f t="shared" si="395"/>
        <v>-0.50743028108275501</v>
      </c>
      <c r="L3166">
        <f>VLOOKUP(D3166,[1]SOI!$A$1:$C$142,3)</f>
        <v>2.2000000000000002</v>
      </c>
      <c r="M3166" s="2">
        <f t="shared" si="396"/>
        <v>-2727.2577639150209</v>
      </c>
      <c r="N3166">
        <f t="shared" si="397"/>
        <v>-1606.0168396269196</v>
      </c>
      <c r="O3166" t="s">
        <v>8</v>
      </c>
    </row>
    <row r="3167" spans="1:15" x14ac:dyDescent="0.35">
      <c r="A3167">
        <v>2008</v>
      </c>
      <c r="B3167">
        <v>8</v>
      </c>
      <c r="C3167">
        <v>31</v>
      </c>
      <c r="D3167" s="1">
        <f t="shared" si="392"/>
        <v>39691</v>
      </c>
      <c r="E3167">
        <v>0.4</v>
      </c>
      <c r="F3167">
        <f t="shared" si="398"/>
        <v>0</v>
      </c>
      <c r="G3167">
        <f t="shared" si="393"/>
        <v>1</v>
      </c>
      <c r="H3167">
        <f t="shared" si="399"/>
        <v>0</v>
      </c>
      <c r="I3167">
        <v>3166</v>
      </c>
      <c r="J3167">
        <f t="shared" si="394"/>
        <v>-0.87029392226856606</v>
      </c>
      <c r="K3167">
        <f t="shared" si="395"/>
        <v>-0.49253272872205678</v>
      </c>
      <c r="L3167">
        <f>VLOOKUP(D3167,[1]SOI!$A$1:$C$142,3)</f>
        <v>2.2000000000000002</v>
      </c>
      <c r="M3167" s="2">
        <f t="shared" si="396"/>
        <v>-2755.3505579022803</v>
      </c>
      <c r="N3167">
        <f t="shared" si="397"/>
        <v>-1559.3586191340319</v>
      </c>
      <c r="O3167" t="s">
        <v>8</v>
      </c>
    </row>
    <row r="3168" spans="1:15" x14ac:dyDescent="0.35">
      <c r="A3168">
        <v>2008</v>
      </c>
      <c r="B3168">
        <v>9</v>
      </c>
      <c r="C3168">
        <v>1</v>
      </c>
      <c r="D3168" s="1">
        <f t="shared" si="392"/>
        <v>39692</v>
      </c>
      <c r="E3168">
        <v>0.8</v>
      </c>
      <c r="F3168">
        <f t="shared" si="398"/>
        <v>0.4</v>
      </c>
      <c r="G3168">
        <f t="shared" si="393"/>
        <v>1</v>
      </c>
      <c r="H3168">
        <f t="shared" si="399"/>
        <v>1</v>
      </c>
      <c r="I3168">
        <v>3167</v>
      </c>
      <c r="J3168">
        <f t="shared" si="394"/>
        <v>-0.87863749416099957</v>
      </c>
      <c r="K3168">
        <f t="shared" si="395"/>
        <v>-0.47748942800284006</v>
      </c>
      <c r="L3168">
        <f>VLOOKUP(D3168,[1]SOI!$A$1:$C$142,3)</f>
        <v>9.1</v>
      </c>
      <c r="M3168" s="2">
        <f t="shared" si="396"/>
        <v>-2782.6449440078854</v>
      </c>
      <c r="N3168">
        <f t="shared" si="397"/>
        <v>-1512.2090184849944</v>
      </c>
      <c r="O3168" t="s">
        <v>8</v>
      </c>
    </row>
    <row r="3169" spans="1:15" x14ac:dyDescent="0.35">
      <c r="A3169">
        <v>2008</v>
      </c>
      <c r="B3169">
        <v>9</v>
      </c>
      <c r="C3169">
        <v>2</v>
      </c>
      <c r="D3169" s="1">
        <f t="shared" si="392"/>
        <v>39693</v>
      </c>
      <c r="E3169">
        <v>0.8</v>
      </c>
      <c r="F3169">
        <f t="shared" si="398"/>
        <v>0.8</v>
      </c>
      <c r="G3169">
        <f t="shared" si="393"/>
        <v>1</v>
      </c>
      <c r="H3169">
        <f t="shared" si="399"/>
        <v>1</v>
      </c>
      <c r="I3169">
        <v>3168</v>
      </c>
      <c r="J3169">
        <f t="shared" si="394"/>
        <v>-0.88672106308299292</v>
      </c>
      <c r="K3169">
        <f t="shared" si="395"/>
        <v>-0.46230483047981102</v>
      </c>
      <c r="L3169">
        <f>VLOOKUP(D3169,[1]SOI!$A$1:$C$142,3)</f>
        <v>9.1</v>
      </c>
      <c r="M3169" s="2">
        <f t="shared" si="396"/>
        <v>-2809.1323278469217</v>
      </c>
      <c r="N3169">
        <f t="shared" si="397"/>
        <v>-1464.5817029600414</v>
      </c>
      <c r="O3169" t="s">
        <v>8</v>
      </c>
    </row>
    <row r="3170" spans="1:15" x14ac:dyDescent="0.35">
      <c r="A3170">
        <v>2008</v>
      </c>
      <c r="B3170">
        <v>9</v>
      </c>
      <c r="C3170">
        <v>3</v>
      </c>
      <c r="D3170" s="1">
        <f t="shared" si="392"/>
        <v>39694</v>
      </c>
      <c r="E3170">
        <v>0.4</v>
      </c>
      <c r="F3170">
        <f t="shared" si="398"/>
        <v>0.8</v>
      </c>
      <c r="G3170">
        <f t="shared" si="393"/>
        <v>1</v>
      </c>
      <c r="H3170">
        <f t="shared" si="399"/>
        <v>1</v>
      </c>
      <c r="I3170">
        <v>3169</v>
      </c>
      <c r="J3170">
        <f t="shared" si="394"/>
        <v>-0.89454223697644675</v>
      </c>
      <c r="K3170">
        <f t="shared" si="395"/>
        <v>-0.4469834295196799</v>
      </c>
      <c r="L3170">
        <f>VLOOKUP(D3170,[1]SOI!$A$1:$C$142,3)</f>
        <v>9.1</v>
      </c>
      <c r="M3170" s="2">
        <f t="shared" si="396"/>
        <v>-2834.8043489783599</v>
      </c>
      <c r="N3170">
        <f t="shared" si="397"/>
        <v>-1416.4904881478656</v>
      </c>
      <c r="O3170" t="s">
        <v>8</v>
      </c>
    </row>
    <row r="3171" spans="1:15" x14ac:dyDescent="0.35">
      <c r="A3171">
        <v>2008</v>
      </c>
      <c r="B3171">
        <v>9</v>
      </c>
      <c r="C3171">
        <v>4</v>
      </c>
      <c r="D3171" s="1">
        <f t="shared" si="392"/>
        <v>39695</v>
      </c>
      <c r="E3171">
        <v>0</v>
      </c>
      <c r="F3171">
        <f t="shared" si="398"/>
        <v>0.4</v>
      </c>
      <c r="G3171">
        <f t="shared" si="393"/>
        <v>0</v>
      </c>
      <c r="H3171">
        <f t="shared" si="399"/>
        <v>1</v>
      </c>
      <c r="I3171">
        <v>3170</v>
      </c>
      <c r="J3171">
        <f t="shared" si="394"/>
        <v>-0.90209870143018167</v>
      </c>
      <c r="K3171">
        <f t="shared" si="395"/>
        <v>-0.43152975897147566</v>
      </c>
      <c r="L3171">
        <f>VLOOKUP(D3171,[1]SOI!$A$1:$C$142,3)</f>
        <v>9.1</v>
      </c>
      <c r="M3171" s="2">
        <f t="shared" si="396"/>
        <v>-2859.6528835336758</v>
      </c>
      <c r="N3171">
        <f t="shared" si="397"/>
        <v>-1367.9493359395778</v>
      </c>
      <c r="O3171" t="s">
        <v>8</v>
      </c>
    </row>
    <row r="3172" spans="1:15" x14ac:dyDescent="0.35">
      <c r="A3172">
        <v>2008</v>
      </c>
      <c r="B3172">
        <v>9</v>
      </c>
      <c r="C3172">
        <v>5</v>
      </c>
      <c r="D3172" s="1">
        <f t="shared" si="392"/>
        <v>39696</v>
      </c>
      <c r="E3172">
        <v>0</v>
      </c>
      <c r="F3172">
        <f t="shared" si="398"/>
        <v>0</v>
      </c>
      <c r="G3172">
        <f t="shared" si="393"/>
        <v>0</v>
      </c>
      <c r="H3172">
        <f t="shared" si="399"/>
        <v>0</v>
      </c>
      <c r="I3172">
        <v>3171</v>
      </c>
      <c r="J3172">
        <f t="shared" si="394"/>
        <v>-0.90938822036479094</v>
      </c>
      <c r="K3172">
        <f t="shared" si="395"/>
        <v>-0.41594839182494553</v>
      </c>
      <c r="L3172">
        <f>VLOOKUP(D3172,[1]SOI!$A$1:$C$142,3)</f>
        <v>9.1</v>
      </c>
      <c r="M3172" s="2">
        <f t="shared" si="396"/>
        <v>-2883.6700467767519</v>
      </c>
      <c r="N3172">
        <f t="shared" si="397"/>
        <v>-1318.9723504769022</v>
      </c>
      <c r="O3172" t="s">
        <v>8</v>
      </c>
    </row>
    <row r="3173" spans="1:15" x14ac:dyDescent="0.35">
      <c r="A3173">
        <v>2008</v>
      </c>
      <c r="B3173">
        <v>9</v>
      </c>
      <c r="C3173">
        <v>6</v>
      </c>
      <c r="D3173" s="1">
        <f t="shared" si="392"/>
        <v>39697</v>
      </c>
      <c r="E3173">
        <v>0</v>
      </c>
      <c r="F3173">
        <f t="shared" si="398"/>
        <v>0</v>
      </c>
      <c r="G3173">
        <f t="shared" si="393"/>
        <v>0</v>
      </c>
      <c r="H3173">
        <f t="shared" si="399"/>
        <v>0</v>
      </c>
      <c r="I3173">
        <v>3172</v>
      </c>
      <c r="J3173">
        <f t="shared" si="394"/>
        <v>-0.91640863669434458</v>
      </c>
      <c r="K3173">
        <f t="shared" si="395"/>
        <v>-0.40024393885730819</v>
      </c>
      <c r="L3173">
        <f>VLOOKUP(D3173,[1]SOI!$A$1:$C$142,3)</f>
        <v>9.1</v>
      </c>
      <c r="M3173" s="2">
        <f t="shared" si="396"/>
        <v>-2906.8481955944612</v>
      </c>
      <c r="N3173">
        <f t="shared" si="397"/>
        <v>-1269.5737740553816</v>
      </c>
      <c r="O3173" t="s">
        <v>8</v>
      </c>
    </row>
    <row r="3174" spans="1:15" x14ac:dyDescent="0.35">
      <c r="A3174">
        <v>2008</v>
      </c>
      <c r="B3174">
        <v>9</v>
      </c>
      <c r="C3174">
        <v>7</v>
      </c>
      <c r="D3174" s="1">
        <f t="shared" si="392"/>
        <v>39698</v>
      </c>
      <c r="E3174">
        <v>0</v>
      </c>
      <c r="F3174">
        <f t="shared" si="398"/>
        <v>0</v>
      </c>
      <c r="G3174">
        <f t="shared" si="393"/>
        <v>0</v>
      </c>
      <c r="H3174">
        <f t="shared" si="399"/>
        <v>0</v>
      </c>
      <c r="I3174">
        <v>3173</v>
      </c>
      <c r="J3174">
        <f t="shared" si="394"/>
        <v>-0.9231578729647032</v>
      </c>
      <c r="K3174">
        <f t="shared" si="395"/>
        <v>-0.38442104726885723</v>
      </c>
      <c r="L3174">
        <f>VLOOKUP(D3174,[1]SOI!$A$1:$C$142,3)</f>
        <v>9.1</v>
      </c>
      <c r="M3174" s="2">
        <f t="shared" si="396"/>
        <v>-2929.1799309170033</v>
      </c>
      <c r="N3174">
        <f t="shared" si="397"/>
        <v>-1219.767982984084</v>
      </c>
      <c r="O3174" t="s">
        <v>8</v>
      </c>
    </row>
    <row r="3175" spans="1:15" x14ac:dyDescent="0.35">
      <c r="A3175">
        <v>2008</v>
      </c>
      <c r="B3175">
        <v>9</v>
      </c>
      <c r="C3175">
        <v>8</v>
      </c>
      <c r="D3175" s="1">
        <f t="shared" si="392"/>
        <v>39699</v>
      </c>
      <c r="E3175">
        <v>0.2</v>
      </c>
      <c r="F3175">
        <f t="shared" si="398"/>
        <v>0</v>
      </c>
      <c r="G3175">
        <f t="shared" si="393"/>
        <v>1</v>
      </c>
      <c r="H3175">
        <f t="shared" si="399"/>
        <v>0</v>
      </c>
      <c r="I3175">
        <v>3174</v>
      </c>
      <c r="J3175">
        <f t="shared" si="394"/>
        <v>-0.92963393196826682</v>
      </c>
      <c r="K3175">
        <f t="shared" si="395"/>
        <v>-0.36848439930778609</v>
      </c>
      <c r="L3175">
        <f>VLOOKUP(D3175,[1]SOI!$A$1:$C$142,3)</f>
        <v>9.1</v>
      </c>
      <c r="M3175" s="2">
        <f t="shared" si="396"/>
        <v>-2950.6581000672791</v>
      </c>
      <c r="N3175">
        <f t="shared" si="397"/>
        <v>-1169.569483402913</v>
      </c>
      <c r="O3175" t="s">
        <v>8</v>
      </c>
    </row>
    <row r="3176" spans="1:15" x14ac:dyDescent="0.35">
      <c r="A3176">
        <v>2008</v>
      </c>
      <c r="B3176">
        <v>9</v>
      </c>
      <c r="C3176">
        <v>9</v>
      </c>
      <c r="D3176" s="1">
        <f t="shared" si="392"/>
        <v>39700</v>
      </c>
      <c r="E3176">
        <v>0.2</v>
      </c>
      <c r="F3176">
        <f t="shared" si="398"/>
        <v>0.2</v>
      </c>
      <c r="G3176">
        <f t="shared" si="393"/>
        <v>1</v>
      </c>
      <c r="H3176">
        <f t="shared" si="399"/>
        <v>1</v>
      </c>
      <c r="I3176">
        <v>3175</v>
      </c>
      <c r="J3176">
        <f t="shared" si="394"/>
        <v>-0.93583489733499192</v>
      </c>
      <c r="K3176">
        <f t="shared" si="395"/>
        <v>-0.35243871088460926</v>
      </c>
      <c r="L3176">
        <f>VLOOKUP(D3176,[1]SOI!$A$1:$C$142,3)</f>
        <v>9.1</v>
      </c>
      <c r="M3176" s="2">
        <f t="shared" si="396"/>
        <v>-2971.2757990385994</v>
      </c>
      <c r="N3176">
        <f t="shared" si="397"/>
        <v>-1118.9929070586345</v>
      </c>
      <c r="O3176" t="s">
        <v>8</v>
      </c>
    </row>
    <row r="3177" spans="1:15" x14ac:dyDescent="0.35">
      <c r="A3177">
        <v>2008</v>
      </c>
      <c r="B3177">
        <v>9</v>
      </c>
      <c r="C3177">
        <v>10</v>
      </c>
      <c r="D3177" s="1">
        <f t="shared" si="392"/>
        <v>39701</v>
      </c>
      <c r="E3177">
        <v>0</v>
      </c>
      <c r="F3177">
        <f t="shared" si="398"/>
        <v>0.2</v>
      </c>
      <c r="G3177">
        <f t="shared" si="393"/>
        <v>0</v>
      </c>
      <c r="H3177">
        <f t="shared" si="399"/>
        <v>1</v>
      </c>
      <c r="I3177">
        <v>3176</v>
      </c>
      <c r="J3177">
        <f t="shared" si="394"/>
        <v>-0.94175893409945988</v>
      </c>
      <c r="K3177">
        <f t="shared" si="395"/>
        <v>-0.33628873017668803</v>
      </c>
      <c r="L3177">
        <f>VLOOKUP(D3177,[1]SOI!$A$1:$C$142,3)</f>
        <v>9.1</v>
      </c>
      <c r="M3177" s="2">
        <f t="shared" si="396"/>
        <v>-2991.0263746998844</v>
      </c>
      <c r="N3177">
        <f t="shared" si="397"/>
        <v>-1068.0530070411612</v>
      </c>
      <c r="O3177" t="s">
        <v>8</v>
      </c>
    </row>
    <row r="3178" spans="1:15" x14ac:dyDescent="0.35">
      <c r="A3178">
        <v>2008</v>
      </c>
      <c r="B3178">
        <v>9</v>
      </c>
      <c r="C3178">
        <v>11</v>
      </c>
      <c r="D3178" s="1">
        <f t="shared" si="392"/>
        <v>39702</v>
      </c>
      <c r="E3178">
        <v>0</v>
      </c>
      <c r="F3178">
        <f t="shared" si="398"/>
        <v>0</v>
      </c>
      <c r="G3178">
        <f t="shared" si="393"/>
        <v>0</v>
      </c>
      <c r="H3178">
        <f t="shared" si="399"/>
        <v>0</v>
      </c>
      <c r="I3178">
        <v>3177</v>
      </c>
      <c r="J3178">
        <f t="shared" si="394"/>
        <v>-0.94740428924388342</v>
      </c>
      <c r="K3178">
        <f t="shared" si="395"/>
        <v>-0.32003923622314212</v>
      </c>
      <c r="L3178">
        <f>VLOOKUP(D3178,[1]SOI!$A$1:$C$142,3)</f>
        <v>9.1</v>
      </c>
      <c r="M3178" s="2">
        <f t="shared" si="396"/>
        <v>-3009.9034269278177</v>
      </c>
      <c r="N3178">
        <f t="shared" si="397"/>
        <v>-1016.7646534809226</v>
      </c>
      <c r="O3178" t="s">
        <v>8</v>
      </c>
    </row>
    <row r="3179" spans="1:15" x14ac:dyDescent="0.35">
      <c r="A3179">
        <v>2008</v>
      </c>
      <c r="B3179">
        <v>9</v>
      </c>
      <c r="C3179">
        <v>12</v>
      </c>
      <c r="D3179" s="1">
        <f t="shared" si="392"/>
        <v>39703</v>
      </c>
      <c r="E3179">
        <v>0</v>
      </c>
      <c r="F3179">
        <f t="shared" si="398"/>
        <v>0</v>
      </c>
      <c r="G3179">
        <f t="shared" si="393"/>
        <v>0</v>
      </c>
      <c r="H3179">
        <f t="shared" si="399"/>
        <v>0</v>
      </c>
      <c r="I3179">
        <v>3178</v>
      </c>
      <c r="J3179">
        <f t="shared" si="394"/>
        <v>-0.95276929221685025</v>
      </c>
      <c r="K3179">
        <f t="shared" si="395"/>
        <v>-0.30369503751066151</v>
      </c>
      <c r="L3179">
        <f>VLOOKUP(D3179,[1]SOI!$A$1:$C$142,3)</f>
        <v>9.1</v>
      </c>
      <c r="M3179" s="2">
        <f t="shared" si="396"/>
        <v>-3027.9008106651499</v>
      </c>
      <c r="N3179">
        <f t="shared" si="397"/>
        <v>-965.14282920888229</v>
      </c>
      <c r="O3179" t="s">
        <v>8</v>
      </c>
    </row>
    <row r="3180" spans="1:15" x14ac:dyDescent="0.35">
      <c r="A3180">
        <v>2008</v>
      </c>
      <c r="B3180">
        <v>9</v>
      </c>
      <c r="C3180">
        <v>13</v>
      </c>
      <c r="D3180" s="1">
        <f t="shared" si="392"/>
        <v>39704</v>
      </c>
      <c r="E3180">
        <v>0</v>
      </c>
      <c r="F3180">
        <f t="shared" si="398"/>
        <v>0</v>
      </c>
      <c r="G3180">
        <f t="shared" si="393"/>
        <v>0</v>
      </c>
      <c r="H3180">
        <f t="shared" si="399"/>
        <v>0</v>
      </c>
      <c r="I3180">
        <v>3179</v>
      </c>
      <c r="J3180">
        <f t="shared" si="394"/>
        <v>-0.95785235542766833</v>
      </c>
      <c r="K3180">
        <f t="shared" si="395"/>
        <v>-0.28726097055059141</v>
      </c>
      <c r="L3180">
        <f>VLOOKUP(D3180,[1]SOI!$A$1:$C$142,3)</f>
        <v>9.1</v>
      </c>
      <c r="M3180" s="2">
        <f t="shared" si="396"/>
        <v>-3045.0126379045578</v>
      </c>
      <c r="N3180">
        <f t="shared" si="397"/>
        <v>-913.20262538033012</v>
      </c>
      <c r="O3180" t="s">
        <v>8</v>
      </c>
    </row>
    <row r="3181" spans="1:15" x14ac:dyDescent="0.35">
      <c r="A3181">
        <v>2008</v>
      </c>
      <c r="B3181">
        <v>9</v>
      </c>
      <c r="C3181">
        <v>14</v>
      </c>
      <c r="D3181" s="1">
        <f t="shared" si="392"/>
        <v>39705</v>
      </c>
      <c r="E3181">
        <v>0</v>
      </c>
      <c r="F3181">
        <f t="shared" si="398"/>
        <v>0</v>
      </c>
      <c r="G3181">
        <f t="shared" si="393"/>
        <v>0</v>
      </c>
      <c r="H3181">
        <f t="shared" si="399"/>
        <v>0</v>
      </c>
      <c r="I3181">
        <v>3180</v>
      </c>
      <c r="J3181">
        <f t="shared" si="394"/>
        <v>-0.96265197471614672</v>
      </c>
      <c r="K3181">
        <f t="shared" si="395"/>
        <v>-0.27074189844777119</v>
      </c>
      <c r="L3181">
        <f>VLOOKUP(D3181,[1]SOI!$A$1:$C$142,3)</f>
        <v>9.1</v>
      </c>
      <c r="M3181" s="2">
        <f t="shared" si="396"/>
        <v>-3061.2332795973466</v>
      </c>
      <c r="N3181">
        <f t="shared" si="397"/>
        <v>-860.95923706391238</v>
      </c>
      <c r="O3181" t="s">
        <v>8</v>
      </c>
    </row>
    <row r="3182" spans="1:15" x14ac:dyDescent="0.35">
      <c r="A3182">
        <v>2008</v>
      </c>
      <c r="B3182">
        <v>9</v>
      </c>
      <c r="C3182">
        <v>15</v>
      </c>
      <c r="D3182" s="1">
        <f t="shared" si="392"/>
        <v>39706</v>
      </c>
      <c r="E3182">
        <v>0</v>
      </c>
      <c r="F3182">
        <f t="shared" si="398"/>
        <v>0</v>
      </c>
      <c r="G3182">
        <f t="shared" si="393"/>
        <v>0</v>
      </c>
      <c r="H3182">
        <f t="shared" si="399"/>
        <v>0</v>
      </c>
      <c r="I3182">
        <v>3181</v>
      </c>
      <c r="J3182">
        <f t="shared" si="394"/>
        <v>-0.96716672979772955</v>
      </c>
      <c r="K3182">
        <f t="shared" si="395"/>
        <v>-0.25414270946136841</v>
      </c>
      <c r="L3182">
        <f>VLOOKUP(D3182,[1]SOI!$A$1:$C$142,3)</f>
        <v>9.1</v>
      </c>
      <c r="M3182" s="2">
        <f t="shared" si="396"/>
        <v>-3076.5573674865777</v>
      </c>
      <c r="N3182">
        <f t="shared" si="397"/>
        <v>-808.42795879661287</v>
      </c>
      <c r="O3182" t="s">
        <v>8</v>
      </c>
    </row>
    <row r="3183" spans="1:15" x14ac:dyDescent="0.35">
      <c r="A3183">
        <v>2008</v>
      </c>
      <c r="B3183">
        <v>9</v>
      </c>
      <c r="C3183">
        <v>16</v>
      </c>
      <c r="D3183" s="1">
        <f t="shared" si="392"/>
        <v>39707</v>
      </c>
      <c r="E3183">
        <v>2</v>
      </c>
      <c r="F3183">
        <f t="shared" si="398"/>
        <v>0</v>
      </c>
      <c r="G3183">
        <f t="shared" si="393"/>
        <v>1</v>
      </c>
      <c r="H3183">
        <f t="shared" si="399"/>
        <v>0</v>
      </c>
      <c r="I3183">
        <v>3182</v>
      </c>
      <c r="J3183">
        <f t="shared" si="394"/>
        <v>-0.97139528468374892</v>
      </c>
      <c r="K3183">
        <f t="shared" si="395"/>
        <v>-0.23746831555847292</v>
      </c>
      <c r="L3183">
        <f>VLOOKUP(D3183,[1]SOI!$A$1:$C$142,3)</f>
        <v>9.1</v>
      </c>
      <c r="M3183" s="2">
        <f t="shared" si="396"/>
        <v>-3090.9797958636891</v>
      </c>
      <c r="N3183">
        <f t="shared" si="397"/>
        <v>-755.62418010706085</v>
      </c>
      <c r="O3183" t="s">
        <v>8</v>
      </c>
    </row>
    <row r="3184" spans="1:15" x14ac:dyDescent="0.35">
      <c r="A3184">
        <v>2008</v>
      </c>
      <c r="B3184">
        <v>9</v>
      </c>
      <c r="C3184">
        <v>17</v>
      </c>
      <c r="D3184" s="1">
        <f t="shared" si="392"/>
        <v>39708</v>
      </c>
      <c r="E3184">
        <v>0</v>
      </c>
      <c r="F3184">
        <f t="shared" si="398"/>
        <v>2</v>
      </c>
      <c r="G3184">
        <f t="shared" si="393"/>
        <v>0</v>
      </c>
      <c r="H3184">
        <f t="shared" si="399"/>
        <v>1</v>
      </c>
      <c r="I3184">
        <v>3183</v>
      </c>
      <c r="J3184">
        <f t="shared" si="394"/>
        <v>-0.97533638807678447</v>
      </c>
      <c r="K3184">
        <f t="shared" si="395"/>
        <v>-0.22072365096049892</v>
      </c>
      <c r="L3184">
        <f>VLOOKUP(D3184,[1]SOI!$A$1:$C$142,3)</f>
        <v>9.1</v>
      </c>
      <c r="M3184" s="2">
        <f t="shared" si="396"/>
        <v>-3104.4957232484048</v>
      </c>
      <c r="N3184">
        <f t="shared" si="397"/>
        <v>-702.56338100726805</v>
      </c>
      <c r="O3184" t="s">
        <v>8</v>
      </c>
    </row>
    <row r="3185" spans="1:15" x14ac:dyDescent="0.35">
      <c r="A3185">
        <v>2008</v>
      </c>
      <c r="B3185">
        <v>9</v>
      </c>
      <c r="C3185">
        <v>18</v>
      </c>
      <c r="D3185" s="1">
        <f t="shared" si="392"/>
        <v>39709</v>
      </c>
      <c r="E3185">
        <v>0</v>
      </c>
      <c r="F3185">
        <f t="shared" si="398"/>
        <v>0</v>
      </c>
      <c r="G3185">
        <f t="shared" si="393"/>
        <v>0</v>
      </c>
      <c r="H3185">
        <f t="shared" si="399"/>
        <v>0</v>
      </c>
      <c r="I3185">
        <v>3184</v>
      </c>
      <c r="J3185">
        <f t="shared" si="394"/>
        <v>-0.97898887374093269</v>
      </c>
      <c r="K3185">
        <f t="shared" si="395"/>
        <v>-0.20391367068311053</v>
      </c>
      <c r="L3185">
        <f>VLOOKUP(D3185,[1]SOI!$A$1:$C$142,3)</f>
        <v>9.1</v>
      </c>
      <c r="M3185" s="2">
        <f t="shared" si="396"/>
        <v>-3117.1005739911297</v>
      </c>
      <c r="N3185">
        <f t="shared" si="397"/>
        <v>-649.26112745502394</v>
      </c>
      <c r="O3185" t="s">
        <v>8</v>
      </c>
    </row>
    <row r="3186" spans="1:15" x14ac:dyDescent="0.35">
      <c r="A3186">
        <v>2008</v>
      </c>
      <c r="B3186">
        <v>9</v>
      </c>
      <c r="C3186">
        <v>19</v>
      </c>
      <c r="D3186" s="1">
        <f t="shared" si="392"/>
        <v>39710</v>
      </c>
      <c r="E3186">
        <v>0</v>
      </c>
      <c r="F3186">
        <f t="shared" si="398"/>
        <v>0</v>
      </c>
      <c r="G3186">
        <f t="shared" si="393"/>
        <v>0</v>
      </c>
      <c r="H3186">
        <f t="shared" si="399"/>
        <v>0</v>
      </c>
      <c r="I3186">
        <v>3185</v>
      </c>
      <c r="J3186">
        <f t="shared" si="394"/>
        <v>-0.98235166084692194</v>
      </c>
      <c r="K3186">
        <f t="shared" si="395"/>
        <v>-0.18704334906992548</v>
      </c>
      <c r="L3186">
        <f>VLOOKUP(D3186,[1]SOI!$A$1:$C$142,3)</f>
        <v>9.1</v>
      </c>
      <c r="M3186" s="2">
        <f t="shared" si="396"/>
        <v>-3128.7900397974463</v>
      </c>
      <c r="N3186">
        <f t="shared" si="397"/>
        <v>-595.73306678771269</v>
      </c>
      <c r="O3186" t="s">
        <v>8</v>
      </c>
    </row>
    <row r="3187" spans="1:15" x14ac:dyDescent="0.35">
      <c r="A3187">
        <v>2008</v>
      </c>
      <c r="B3187">
        <v>9</v>
      </c>
      <c r="C3187">
        <v>20</v>
      </c>
      <c r="D3187" s="1">
        <f t="shared" si="392"/>
        <v>39711</v>
      </c>
      <c r="E3187">
        <v>0.2</v>
      </c>
      <c r="F3187">
        <f t="shared" si="398"/>
        <v>0</v>
      </c>
      <c r="G3187">
        <f t="shared" si="393"/>
        <v>1</v>
      </c>
      <c r="H3187">
        <f t="shared" si="399"/>
        <v>0</v>
      </c>
      <c r="I3187">
        <v>3186</v>
      </c>
      <c r="J3187">
        <f t="shared" si="394"/>
        <v>-0.98542375429195095</v>
      </c>
      <c r="K3187">
        <f t="shared" si="395"/>
        <v>-0.17011767832049859</v>
      </c>
      <c r="L3187">
        <f>VLOOKUP(D3187,[1]SOI!$A$1:$C$142,3)</f>
        <v>9.1</v>
      </c>
      <c r="M3187" s="2">
        <f t="shared" si="396"/>
        <v>-3139.5600811741556</v>
      </c>
      <c r="N3187">
        <f t="shared" si="397"/>
        <v>-541.99492312910854</v>
      </c>
      <c r="O3187" t="s">
        <v>8</v>
      </c>
    </row>
    <row r="3188" spans="1:15" x14ac:dyDescent="0.35">
      <c r="A3188">
        <v>2008</v>
      </c>
      <c r="B3188">
        <v>9</v>
      </c>
      <c r="C3188">
        <v>21</v>
      </c>
      <c r="D3188" s="1">
        <f t="shared" si="392"/>
        <v>39712</v>
      </c>
      <c r="E3188">
        <v>0.4</v>
      </c>
      <c r="F3188">
        <f t="shared" si="398"/>
        <v>0.2</v>
      </c>
      <c r="G3188">
        <f t="shared" si="393"/>
        <v>1</v>
      </c>
      <c r="H3188">
        <f t="shared" si="399"/>
        <v>1</v>
      </c>
      <c r="I3188">
        <v>3187</v>
      </c>
      <c r="J3188">
        <f t="shared" si="394"/>
        <v>-0.98820424499414128</v>
      </c>
      <c r="K3188">
        <f t="shared" si="395"/>
        <v>-0.15314166701312637</v>
      </c>
      <c r="L3188">
        <f>VLOOKUP(D3188,[1]SOI!$A$1:$C$142,3)</f>
        <v>9.1</v>
      </c>
      <c r="M3188" s="2">
        <f t="shared" si="396"/>
        <v>-3149.4069287963284</v>
      </c>
      <c r="N3188">
        <f t="shared" si="397"/>
        <v>-488.06249277083373</v>
      </c>
      <c r="O3188" t="s">
        <v>8</v>
      </c>
    </row>
    <row r="3189" spans="1:15" x14ac:dyDescent="0.35">
      <c r="A3189">
        <v>2008</v>
      </c>
      <c r="B3189">
        <v>9</v>
      </c>
      <c r="C3189">
        <v>22</v>
      </c>
      <c r="D3189" s="1">
        <f t="shared" si="392"/>
        <v>39713</v>
      </c>
      <c r="E3189">
        <v>0</v>
      </c>
      <c r="F3189">
        <f t="shared" si="398"/>
        <v>0.4</v>
      </c>
      <c r="G3189">
        <f t="shared" si="393"/>
        <v>0</v>
      </c>
      <c r="H3189">
        <f t="shared" si="399"/>
        <v>1</v>
      </c>
      <c r="I3189">
        <v>3188</v>
      </c>
      <c r="J3189">
        <f t="shared" si="394"/>
        <v>-0.99069231016156112</v>
      </c>
      <c r="K3189">
        <f t="shared" si="395"/>
        <v>-0.13612033862266545</v>
      </c>
      <c r="L3189">
        <f>VLOOKUP(D3189,[1]SOI!$A$1:$C$142,3)</f>
        <v>9.1</v>
      </c>
      <c r="M3189" s="2">
        <f t="shared" si="396"/>
        <v>-3158.3270847950566</v>
      </c>
      <c r="N3189">
        <f t="shared" si="397"/>
        <v>-433.95163952905745</v>
      </c>
      <c r="O3189" t="s">
        <v>8</v>
      </c>
    </row>
    <row r="3190" spans="1:15" x14ac:dyDescent="0.35">
      <c r="A3190">
        <v>2008</v>
      </c>
      <c r="B3190">
        <v>9</v>
      </c>
      <c r="C3190">
        <v>23</v>
      </c>
      <c r="D3190" s="1">
        <f t="shared" si="392"/>
        <v>39714</v>
      </c>
      <c r="E3190">
        <v>6.4</v>
      </c>
      <c r="F3190">
        <f t="shared" si="398"/>
        <v>0</v>
      </c>
      <c r="G3190">
        <f t="shared" si="393"/>
        <v>1</v>
      </c>
      <c r="H3190">
        <f t="shared" si="399"/>
        <v>0</v>
      </c>
      <c r="I3190">
        <v>3189</v>
      </c>
      <c r="J3190">
        <f t="shared" si="394"/>
        <v>-0.99288721353569653</v>
      </c>
      <c r="K3190">
        <f t="shared" si="395"/>
        <v>-0.11905873003404742</v>
      </c>
      <c r="L3190">
        <f>VLOOKUP(D3190,[1]SOI!$A$1:$C$142,3)</f>
        <v>9.1</v>
      </c>
      <c r="M3190" s="2">
        <f t="shared" si="396"/>
        <v>-3166.3173239653361</v>
      </c>
      <c r="N3190">
        <f t="shared" si="397"/>
        <v>-379.67829007857722</v>
      </c>
      <c r="O3190" t="s">
        <v>8</v>
      </c>
    </row>
    <row r="3191" spans="1:15" x14ac:dyDescent="0.35">
      <c r="A3191">
        <v>2008</v>
      </c>
      <c r="B3191">
        <v>9</v>
      </c>
      <c r="C3191">
        <v>24</v>
      </c>
      <c r="D3191" s="1">
        <f t="shared" si="392"/>
        <v>39715</v>
      </c>
      <c r="E3191">
        <v>0</v>
      </c>
      <c r="F3191">
        <f t="shared" si="398"/>
        <v>6.4</v>
      </c>
      <c r="G3191">
        <f t="shared" si="393"/>
        <v>0</v>
      </c>
      <c r="H3191">
        <f t="shared" si="399"/>
        <v>1</v>
      </c>
      <c r="I3191">
        <v>3190</v>
      </c>
      <c r="J3191">
        <f t="shared" si="394"/>
        <v>-0.99478830560932741</v>
      </c>
      <c r="K3191">
        <f t="shared" si="395"/>
        <v>-0.10196189005174153</v>
      </c>
      <c r="L3191">
        <f>VLOOKUP(D3191,[1]SOI!$A$1:$C$142,3)</f>
        <v>9.1</v>
      </c>
      <c r="M3191" s="2">
        <f t="shared" si="396"/>
        <v>-3173.3746948937546</v>
      </c>
      <c r="N3191">
        <f t="shared" si="397"/>
        <v>-325.2584292650555</v>
      </c>
      <c r="O3191" t="s">
        <v>8</v>
      </c>
    </row>
    <row r="3192" spans="1:15" x14ac:dyDescent="0.35">
      <c r="A3192">
        <v>2008</v>
      </c>
      <c r="B3192">
        <v>9</v>
      </c>
      <c r="C3192">
        <v>25</v>
      </c>
      <c r="D3192" s="1">
        <f t="shared" si="392"/>
        <v>39716</v>
      </c>
      <c r="E3192">
        <v>0</v>
      </c>
      <c r="F3192">
        <f t="shared" si="398"/>
        <v>0</v>
      </c>
      <c r="G3192">
        <f t="shared" si="393"/>
        <v>0</v>
      </c>
      <c r="H3192">
        <f t="shared" si="399"/>
        <v>0</v>
      </c>
      <c r="I3192">
        <v>3191</v>
      </c>
      <c r="J3192">
        <f t="shared" si="394"/>
        <v>-0.99639502381872236</v>
      </c>
      <c r="K3192">
        <f t="shared" si="395"/>
        <v>-8.4834877905774417E-2</v>
      </c>
      <c r="L3192">
        <f>VLOOKUP(D3192,[1]SOI!$A$1:$C$142,3)</f>
        <v>9.1</v>
      </c>
      <c r="M3192" s="2">
        <f t="shared" si="396"/>
        <v>-3179.4965210055429</v>
      </c>
      <c r="N3192">
        <f t="shared" si="397"/>
        <v>-270.70809539732619</v>
      </c>
      <c r="O3192" t="s">
        <v>8</v>
      </c>
    </row>
    <row r="3193" spans="1:15" x14ac:dyDescent="0.35">
      <c r="A3193">
        <v>2008</v>
      </c>
      <c r="B3193">
        <v>9</v>
      </c>
      <c r="C3193">
        <v>26</v>
      </c>
      <c r="D3193" s="1">
        <f t="shared" si="392"/>
        <v>39717</v>
      </c>
      <c r="E3193">
        <v>0</v>
      </c>
      <c r="F3193">
        <f t="shared" si="398"/>
        <v>0</v>
      </c>
      <c r="G3193">
        <f t="shared" si="393"/>
        <v>0</v>
      </c>
      <c r="H3193">
        <f t="shared" si="399"/>
        <v>0</v>
      </c>
      <c r="I3193">
        <v>3192</v>
      </c>
      <c r="J3193">
        <f t="shared" si="394"/>
        <v>-0.99770689271011681</v>
      </c>
      <c r="K3193">
        <f t="shared" si="395"/>
        <v>-6.7682761754551804E-2</v>
      </c>
      <c r="L3193">
        <f>VLOOKUP(D3193,[1]SOI!$A$1:$C$142,3)</f>
        <v>9.1</v>
      </c>
      <c r="M3193" s="2">
        <f t="shared" si="396"/>
        <v>-3184.680401530693</v>
      </c>
      <c r="N3193">
        <f t="shared" si="397"/>
        <v>-216.04337552052937</v>
      </c>
      <c r="O3193" t="s">
        <v>8</v>
      </c>
    </row>
    <row r="3194" spans="1:15" x14ac:dyDescent="0.35">
      <c r="A3194">
        <v>2008</v>
      </c>
      <c r="B3194">
        <v>9</v>
      </c>
      <c r="C3194">
        <v>27</v>
      </c>
      <c r="D3194" s="1">
        <f t="shared" si="392"/>
        <v>39718</v>
      </c>
      <c r="E3194">
        <v>0</v>
      </c>
      <c r="F3194">
        <f t="shared" si="398"/>
        <v>0</v>
      </c>
      <c r="G3194">
        <f t="shared" si="393"/>
        <v>0</v>
      </c>
      <c r="H3194">
        <f t="shared" si="399"/>
        <v>0</v>
      </c>
      <c r="I3194">
        <v>3193</v>
      </c>
      <c r="J3194">
        <f t="shared" si="394"/>
        <v>-0.99872352408039733</v>
      </c>
      <c r="K3194">
        <f t="shared" si="395"/>
        <v>-5.0510617185222179E-2</v>
      </c>
      <c r="L3194">
        <f>VLOOKUP(D3194,[1]SOI!$A$1:$C$142,3)</f>
        <v>9.1</v>
      </c>
      <c r="M3194" s="2">
        <f t="shared" si="396"/>
        <v>-3188.9242123887088</v>
      </c>
      <c r="N3194">
        <f t="shared" si="397"/>
        <v>-161.28040067241443</v>
      </c>
      <c r="O3194" t="s">
        <v>8</v>
      </c>
    </row>
    <row r="3195" spans="1:15" x14ac:dyDescent="0.35">
      <c r="A3195">
        <v>2008</v>
      </c>
      <c r="B3195">
        <v>9</v>
      </c>
      <c r="C3195">
        <v>28</v>
      </c>
      <c r="D3195" s="1">
        <f t="shared" si="392"/>
        <v>39719</v>
      </c>
      <c r="E3195">
        <v>0</v>
      </c>
      <c r="F3195">
        <f t="shared" si="398"/>
        <v>0</v>
      </c>
      <c r="G3195">
        <f t="shared" si="393"/>
        <v>0</v>
      </c>
      <c r="H3195">
        <f t="shared" si="399"/>
        <v>0</v>
      </c>
      <c r="I3195">
        <v>3194</v>
      </c>
      <c r="J3195">
        <f t="shared" si="394"/>
        <v>-0.99944461709198595</v>
      </c>
      <c r="K3195">
        <f t="shared" si="395"/>
        <v>-3.3323525711629755E-2</v>
      </c>
      <c r="L3195">
        <f>VLOOKUP(D3195,[1]SOI!$A$1:$C$142,3)</f>
        <v>9.1</v>
      </c>
      <c r="M3195" s="2">
        <f t="shared" si="396"/>
        <v>-3192.2261069918031</v>
      </c>
      <c r="N3195">
        <f t="shared" si="397"/>
        <v>-106.43534112294543</v>
      </c>
      <c r="O3195" t="s">
        <v>8</v>
      </c>
    </row>
    <row r="3196" spans="1:15" x14ac:dyDescent="0.35">
      <c r="A3196">
        <v>2008</v>
      </c>
      <c r="B3196">
        <v>9</v>
      </c>
      <c r="C3196">
        <v>29</v>
      </c>
      <c r="D3196" s="1">
        <f t="shared" si="392"/>
        <v>39720</v>
      </c>
      <c r="E3196">
        <v>0.6</v>
      </c>
      <c r="F3196">
        <f t="shared" si="398"/>
        <v>0</v>
      </c>
      <c r="G3196">
        <f t="shared" si="393"/>
        <v>1</v>
      </c>
      <c r="H3196">
        <f t="shared" si="399"/>
        <v>0</v>
      </c>
      <c r="I3196">
        <v>3195</v>
      </c>
      <c r="J3196">
        <f t="shared" si="394"/>
        <v>-0.99986995836185932</v>
      </c>
      <c r="K3196">
        <f t="shared" si="395"/>
        <v>-1.6126573270655281E-2</v>
      </c>
      <c r="L3196">
        <f>VLOOKUP(D3196,[1]SOI!$A$1:$C$142,3)</f>
        <v>9.1</v>
      </c>
      <c r="M3196" s="2">
        <f t="shared" si="396"/>
        <v>-3194.5845169661407</v>
      </c>
      <c r="N3196">
        <f t="shared" si="397"/>
        <v>-51.524401599743626</v>
      </c>
      <c r="O3196" t="s">
        <v>8</v>
      </c>
    </row>
    <row r="3197" spans="1:15" x14ac:dyDescent="0.35">
      <c r="A3197">
        <v>2008</v>
      </c>
      <c r="B3197">
        <v>9</v>
      </c>
      <c r="C3197">
        <v>30</v>
      </c>
      <c r="D3197" s="1">
        <f t="shared" si="392"/>
        <v>39721</v>
      </c>
      <c r="E3197">
        <v>0</v>
      </c>
      <c r="F3197">
        <f t="shared" si="398"/>
        <v>0.6</v>
      </c>
      <c r="G3197">
        <f t="shared" si="393"/>
        <v>0</v>
      </c>
      <c r="H3197">
        <f t="shared" si="399"/>
        <v>1</v>
      </c>
      <c r="I3197">
        <v>3196</v>
      </c>
      <c r="J3197">
        <f t="shared" si="394"/>
        <v>-0.9999994220246925</v>
      </c>
      <c r="K3197">
        <f t="shared" si="395"/>
        <v>1.0751512827944893E-3</v>
      </c>
      <c r="L3197">
        <f>VLOOKUP(D3197,[1]SOI!$A$1:$C$142,3)</f>
        <v>9.1</v>
      </c>
      <c r="M3197" s="2">
        <f t="shared" si="396"/>
        <v>-3195.9981527909172</v>
      </c>
      <c r="N3197">
        <f t="shared" si="397"/>
        <v>3.4361834998111878</v>
      </c>
      <c r="O3197" t="s">
        <v>8</v>
      </c>
    </row>
    <row r="3198" spans="1:15" x14ac:dyDescent="0.35">
      <c r="A3198">
        <v>2008</v>
      </c>
      <c r="B3198">
        <v>10</v>
      </c>
      <c r="C3198">
        <v>1</v>
      </c>
      <c r="D3198" s="1">
        <f t="shared" si="392"/>
        <v>39722</v>
      </c>
      <c r="E3198">
        <v>0</v>
      </c>
      <c r="F3198">
        <f t="shared" si="398"/>
        <v>0</v>
      </c>
      <c r="G3198">
        <f t="shared" si="393"/>
        <v>0</v>
      </c>
      <c r="H3198">
        <f t="shared" si="399"/>
        <v>0</v>
      </c>
      <c r="I3198">
        <v>3197</v>
      </c>
      <c r="J3198">
        <f t="shared" si="394"/>
        <v>-0.99983296977010505</v>
      </c>
      <c r="K3198">
        <f t="shared" si="395"/>
        <v>1.8276557681689266E-2</v>
      </c>
      <c r="L3198">
        <f>VLOOKUP(D3198,[1]SOI!$A$1:$C$142,3)</f>
        <v>14.1</v>
      </c>
      <c r="M3198" s="2">
        <f t="shared" si="396"/>
        <v>-3196.4660043550257</v>
      </c>
      <c r="N3198">
        <f t="shared" si="397"/>
        <v>58.430154908360585</v>
      </c>
      <c r="O3198" t="s">
        <v>8</v>
      </c>
    </row>
    <row r="3199" spans="1:15" x14ac:dyDescent="0.35">
      <c r="A3199">
        <v>2008</v>
      </c>
      <c r="B3199">
        <v>10</v>
      </c>
      <c r="C3199">
        <v>2</v>
      </c>
      <c r="D3199" s="1">
        <f t="shared" si="392"/>
        <v>39723</v>
      </c>
      <c r="E3199">
        <v>0</v>
      </c>
      <c r="F3199">
        <f t="shared" si="398"/>
        <v>0</v>
      </c>
      <c r="G3199">
        <f t="shared" si="393"/>
        <v>0</v>
      </c>
      <c r="H3199">
        <f t="shared" si="399"/>
        <v>0</v>
      </c>
      <c r="I3199">
        <v>3198</v>
      </c>
      <c r="J3199">
        <f t="shared" si="394"/>
        <v>-0.9993706508539969</v>
      </c>
      <c r="K3199">
        <f t="shared" si="395"/>
        <v>3.5472555753124489E-2</v>
      </c>
      <c r="L3199">
        <f>VLOOKUP(D3199,[1]SOI!$A$1:$C$142,3)</f>
        <v>14.1</v>
      </c>
      <c r="M3199" s="2">
        <f t="shared" si="396"/>
        <v>-3195.9873414310823</v>
      </c>
      <c r="N3199">
        <f t="shared" si="397"/>
        <v>113.44123329849212</v>
      </c>
      <c r="O3199" t="s">
        <v>8</v>
      </c>
    </row>
    <row r="3200" spans="1:15" x14ac:dyDescent="0.35">
      <c r="A3200">
        <v>2008</v>
      </c>
      <c r="B3200">
        <v>10</v>
      </c>
      <c r="C3200">
        <v>3</v>
      </c>
      <c r="D3200" s="1">
        <f t="shared" si="392"/>
        <v>39724</v>
      </c>
      <c r="E3200">
        <v>0</v>
      </c>
      <c r="F3200">
        <f t="shared" si="398"/>
        <v>0</v>
      </c>
      <c r="G3200">
        <f t="shared" si="393"/>
        <v>0</v>
      </c>
      <c r="H3200">
        <f t="shared" si="399"/>
        <v>0</v>
      </c>
      <c r="I3200">
        <v>3199</v>
      </c>
      <c r="J3200">
        <f t="shared" si="394"/>
        <v>-0.9986126020839734</v>
      </c>
      <c r="K3200">
        <f t="shared" si="395"/>
        <v>5.2658056924613818E-2</v>
      </c>
      <c r="L3200">
        <f>VLOOKUP(D3200,[1]SOI!$A$1:$C$142,3)</f>
        <v>14.1</v>
      </c>
      <c r="M3200" s="2">
        <f t="shared" si="396"/>
        <v>-3194.5617140666309</v>
      </c>
      <c r="N3200">
        <f t="shared" si="397"/>
        <v>168.45312410183959</v>
      </c>
      <c r="O3200" t="s">
        <v>8</v>
      </c>
    </row>
    <row r="3201" spans="1:15" x14ac:dyDescent="0.35">
      <c r="A3201">
        <v>2008</v>
      </c>
      <c r="B3201">
        <v>10</v>
      </c>
      <c r="C3201">
        <v>4</v>
      </c>
      <c r="D3201" s="1">
        <f t="shared" si="392"/>
        <v>39725</v>
      </c>
      <c r="E3201">
        <v>4.4000000000000004</v>
      </c>
      <c r="F3201">
        <f t="shared" si="398"/>
        <v>0</v>
      </c>
      <c r="G3201">
        <f t="shared" si="393"/>
        <v>1</v>
      </c>
      <c r="H3201">
        <f t="shared" si="399"/>
        <v>0</v>
      </c>
      <c r="I3201">
        <v>3200</v>
      </c>
      <c r="J3201">
        <f t="shared" si="394"/>
        <v>-0.99755904777886117</v>
      </c>
      <c r="K3201">
        <f t="shared" si="395"/>
        <v>6.9827975729872482E-2</v>
      </c>
      <c r="L3201">
        <f>VLOOKUP(D3201,[1]SOI!$A$1:$C$142,3)</f>
        <v>14.1</v>
      </c>
      <c r="M3201" s="2">
        <f t="shared" si="396"/>
        <v>-3192.1889528923557</v>
      </c>
      <c r="N3201">
        <f t="shared" si="397"/>
        <v>223.44952233559195</v>
      </c>
      <c r="O3201" t="s">
        <v>8</v>
      </c>
    </row>
    <row r="3202" spans="1:15" x14ac:dyDescent="0.35">
      <c r="A3202">
        <v>2008</v>
      </c>
      <c r="B3202">
        <v>10</v>
      </c>
      <c r="C3202">
        <v>5</v>
      </c>
      <c r="D3202" s="1">
        <f t="shared" si="392"/>
        <v>39726</v>
      </c>
      <c r="E3202">
        <v>0</v>
      </c>
      <c r="F3202">
        <f t="shared" si="398"/>
        <v>4.4000000000000004</v>
      </c>
      <c r="G3202">
        <f t="shared" si="393"/>
        <v>0</v>
      </c>
      <c r="H3202">
        <f t="shared" si="399"/>
        <v>1</v>
      </c>
      <c r="I3202">
        <v>3201</v>
      </c>
      <c r="J3202">
        <f t="shared" si="394"/>
        <v>-0.99621029970232944</v>
      </c>
      <c r="K3202">
        <f t="shared" si="395"/>
        <v>8.6977231313688563E-2</v>
      </c>
      <c r="L3202">
        <f>VLOOKUP(D3202,[1]SOI!$A$1:$C$142,3)</f>
        <v>14.1</v>
      </c>
      <c r="M3202" s="2">
        <f t="shared" si="396"/>
        <v>-3188.8691693471565</v>
      </c>
      <c r="N3202">
        <f t="shared" si="397"/>
        <v>278.41411743511708</v>
      </c>
      <c r="O3202" t="s">
        <v>8</v>
      </c>
    </row>
    <row r="3203" spans="1:15" x14ac:dyDescent="0.35">
      <c r="A3203">
        <v>2008</v>
      </c>
      <c r="B3203">
        <v>10</v>
      </c>
      <c r="C3203">
        <v>6</v>
      </c>
      <c r="D3203" s="1">
        <f t="shared" ref="D3203:D3266" si="400">DATE(A3203,B3203,C3203)</f>
        <v>39727</v>
      </c>
      <c r="E3203">
        <v>1</v>
      </c>
      <c r="F3203">
        <f t="shared" si="398"/>
        <v>0</v>
      </c>
      <c r="G3203">
        <f t="shared" ref="G3203:G3266" si="401">IF(E3203=0,0,1)</f>
        <v>1</v>
      </c>
      <c r="H3203">
        <f t="shared" si="399"/>
        <v>0</v>
      </c>
      <c r="I3203">
        <v>3202</v>
      </c>
      <c r="J3203">
        <f t="shared" ref="J3203:J3266" si="402">SIN(2*PI()*I3203/365.25)</f>
        <v>-0.99456675697063401</v>
      </c>
      <c r="K3203">
        <f t="shared" ref="K3203:K3266" si="403">COS(2*PI()*I3203/365.25)</f>
        <v>0.10410074893542277</v>
      </c>
      <c r="L3203">
        <f>VLOOKUP(D3203,[1]SOI!$A$1:$C$142,3)</f>
        <v>14.1</v>
      </c>
      <c r="M3203" s="2">
        <f t="shared" ref="M3203:M3266" si="404">I3203*J3203</f>
        <v>-3184.6027558199703</v>
      </c>
      <c r="N3203">
        <f t="shared" ref="N3203:N3266" si="405">I3203*K3203</f>
        <v>333.33059809122375</v>
      </c>
      <c r="O3203" t="s">
        <v>8</v>
      </c>
    </row>
    <row r="3204" spans="1:15" x14ac:dyDescent="0.35">
      <c r="A3204">
        <v>2008</v>
      </c>
      <c r="B3204">
        <v>10</v>
      </c>
      <c r="C3204">
        <v>7</v>
      </c>
      <c r="D3204" s="1">
        <f t="shared" si="400"/>
        <v>39728</v>
      </c>
      <c r="E3204">
        <v>2</v>
      </c>
      <c r="F3204">
        <f t="shared" ref="F3204:F3267" si="406">E3203</f>
        <v>1</v>
      </c>
      <c r="G3204">
        <f t="shared" si="401"/>
        <v>1</v>
      </c>
      <c r="H3204">
        <f t="shared" ref="H3204:H3267" si="407">G3203</f>
        <v>1</v>
      </c>
      <c r="I3204">
        <v>3203</v>
      </c>
      <c r="J3204">
        <f t="shared" si="402"/>
        <v>-0.9926289059345097</v>
      </c>
      <c r="K3204">
        <f t="shared" si="403"/>
        <v>0.12119346147073405</v>
      </c>
      <c r="L3204">
        <f>VLOOKUP(D3204,[1]SOI!$A$1:$C$142,3)</f>
        <v>14.1</v>
      </c>
      <c r="M3204" s="2">
        <f t="shared" si="404"/>
        <v>-3179.3903857082346</v>
      </c>
      <c r="N3204">
        <f t="shared" si="405"/>
        <v>388.18265709076115</v>
      </c>
      <c r="O3204" t="s">
        <v>8</v>
      </c>
    </row>
    <row r="3205" spans="1:15" x14ac:dyDescent="0.35">
      <c r="A3205">
        <v>2008</v>
      </c>
      <c r="B3205">
        <v>10</v>
      </c>
      <c r="C3205">
        <v>8</v>
      </c>
      <c r="D3205" s="1">
        <f t="shared" si="400"/>
        <v>39729</v>
      </c>
      <c r="E3205">
        <v>1.6</v>
      </c>
      <c r="F3205">
        <f t="shared" si="406"/>
        <v>2</v>
      </c>
      <c r="G3205">
        <f t="shared" si="401"/>
        <v>1</v>
      </c>
      <c r="H3205">
        <f t="shared" si="407"/>
        <v>1</v>
      </c>
      <c r="I3205">
        <v>3204</v>
      </c>
      <c r="J3205">
        <f t="shared" si="402"/>
        <v>-0.99039732003525593</v>
      </c>
      <c r="K3205">
        <f t="shared" si="403"/>
        <v>0.13825031091098083</v>
      </c>
      <c r="L3205">
        <f>VLOOKUP(D3205,[1]SOI!$A$1:$C$142,3)</f>
        <v>14.1</v>
      </c>
      <c r="M3205" s="2">
        <f t="shared" si="404"/>
        <v>-3173.2330133929599</v>
      </c>
      <c r="N3205">
        <f t="shared" si="405"/>
        <v>442.95399615878262</v>
      </c>
      <c r="O3205" t="s">
        <v>8</v>
      </c>
    </row>
    <row r="3206" spans="1:15" x14ac:dyDescent="0.35">
      <c r="A3206">
        <v>2008</v>
      </c>
      <c r="B3206">
        <v>10</v>
      </c>
      <c r="C3206">
        <v>9</v>
      </c>
      <c r="D3206" s="1">
        <f t="shared" si="400"/>
        <v>39730</v>
      </c>
      <c r="E3206">
        <v>0</v>
      </c>
      <c r="F3206">
        <f t="shared" si="406"/>
        <v>1.6</v>
      </c>
      <c r="G3206">
        <f t="shared" si="401"/>
        <v>0</v>
      </c>
      <c r="H3206">
        <f t="shared" si="407"/>
        <v>1</v>
      </c>
      <c r="I3206">
        <v>3205</v>
      </c>
      <c r="J3206">
        <f t="shared" si="402"/>
        <v>-0.987872659635043</v>
      </c>
      <c r="K3206">
        <f t="shared" si="403"/>
        <v>0.15526624985999543</v>
      </c>
      <c r="L3206">
        <f>VLOOKUP(D3206,[1]SOI!$A$1:$C$142,3)</f>
        <v>14.1</v>
      </c>
      <c r="M3206" s="2">
        <f t="shared" si="404"/>
        <v>-3166.131874130313</v>
      </c>
      <c r="N3206">
        <f t="shared" si="405"/>
        <v>497.62833080128536</v>
      </c>
      <c r="O3206" t="s">
        <v>8</v>
      </c>
    </row>
    <row r="3207" spans="1:15" x14ac:dyDescent="0.35">
      <c r="A3207">
        <v>2008</v>
      </c>
      <c r="B3207">
        <v>10</v>
      </c>
      <c r="C3207">
        <v>10</v>
      </c>
      <c r="D3207" s="1">
        <f t="shared" si="400"/>
        <v>39731</v>
      </c>
      <c r="E3207">
        <v>0</v>
      </c>
      <c r="F3207">
        <f t="shared" si="406"/>
        <v>0</v>
      </c>
      <c r="G3207">
        <f t="shared" si="401"/>
        <v>0</v>
      </c>
      <c r="H3207">
        <f t="shared" si="407"/>
        <v>0</v>
      </c>
      <c r="I3207">
        <v>3206</v>
      </c>
      <c r="J3207">
        <f t="shared" si="402"/>
        <v>-0.98505567182150122</v>
      </c>
      <c r="K3207">
        <f t="shared" si="403"/>
        <v>0.1722362430276827</v>
      </c>
      <c r="L3207">
        <f>VLOOKUP(D3207,[1]SOI!$A$1:$C$142,3)</f>
        <v>14.1</v>
      </c>
      <c r="M3207" s="2">
        <f t="shared" si="404"/>
        <v>-3158.0884838597331</v>
      </c>
      <c r="N3207">
        <f t="shared" si="405"/>
        <v>552.18939514675071</v>
      </c>
      <c r="O3207" t="s">
        <v>8</v>
      </c>
    </row>
    <row r="3208" spans="1:15" x14ac:dyDescent="0.35">
      <c r="A3208">
        <v>2008</v>
      </c>
      <c r="B3208">
        <v>10</v>
      </c>
      <c r="C3208">
        <v>11</v>
      </c>
      <c r="D3208" s="1">
        <f t="shared" si="400"/>
        <v>39732</v>
      </c>
      <c r="E3208">
        <v>0</v>
      </c>
      <c r="F3208">
        <f t="shared" si="406"/>
        <v>0</v>
      </c>
      <c r="G3208">
        <f t="shared" si="401"/>
        <v>0</v>
      </c>
      <c r="H3208">
        <f t="shared" si="407"/>
        <v>0</v>
      </c>
      <c r="I3208">
        <v>3207</v>
      </c>
      <c r="J3208">
        <f t="shared" si="402"/>
        <v>-0.98194719018664689</v>
      </c>
      <c r="K3208">
        <f t="shared" si="403"/>
        <v>0.18915526872003638</v>
      </c>
      <c r="L3208">
        <f>VLOOKUP(D3208,[1]SOI!$A$1:$C$142,3)</f>
        <v>14.1</v>
      </c>
      <c r="M3208" s="2">
        <f t="shared" si="404"/>
        <v>-3149.1046389285766</v>
      </c>
      <c r="N3208">
        <f t="shared" si="405"/>
        <v>606.62094678515666</v>
      </c>
      <c r="O3208" t="s">
        <v>8</v>
      </c>
    </row>
    <row r="3209" spans="1:15" x14ac:dyDescent="0.35">
      <c r="A3209">
        <v>2008</v>
      </c>
      <c r="B3209">
        <v>10</v>
      </c>
      <c r="C3209">
        <v>12</v>
      </c>
      <c r="D3209" s="1">
        <f t="shared" si="400"/>
        <v>39733</v>
      </c>
      <c r="E3209">
        <v>0</v>
      </c>
      <c r="F3209">
        <f t="shared" si="406"/>
        <v>0</v>
      </c>
      <c r="G3209">
        <f t="shared" si="401"/>
        <v>0</v>
      </c>
      <c r="H3209">
        <f t="shared" si="407"/>
        <v>0</v>
      </c>
      <c r="I3209">
        <v>3208</v>
      </c>
      <c r="J3209">
        <f t="shared" si="402"/>
        <v>-0.97854813458020384</v>
      </c>
      <c r="K3209">
        <f t="shared" si="403"/>
        <v>0.20601832032516718</v>
      </c>
      <c r="L3209">
        <f>VLOOKUP(D3209,[1]SOI!$A$1:$C$142,3)</f>
        <v>14.1</v>
      </c>
      <c r="M3209" s="2">
        <f t="shared" si="404"/>
        <v>-3139.182415733294</v>
      </c>
      <c r="N3209">
        <f t="shared" si="405"/>
        <v>660.90677160313635</v>
      </c>
      <c r="O3209" t="s">
        <v>8</v>
      </c>
    </row>
    <row r="3210" spans="1:15" x14ac:dyDescent="0.35">
      <c r="A3210">
        <v>2008</v>
      </c>
      <c r="B3210">
        <v>10</v>
      </c>
      <c r="C3210">
        <v>13</v>
      </c>
      <c r="D3210" s="1">
        <f t="shared" si="400"/>
        <v>39734</v>
      </c>
      <c r="E3210">
        <v>0</v>
      </c>
      <c r="F3210">
        <f t="shared" si="406"/>
        <v>0</v>
      </c>
      <c r="G3210">
        <f t="shared" si="401"/>
        <v>0</v>
      </c>
      <c r="H3210">
        <f t="shared" si="407"/>
        <v>0</v>
      </c>
      <c r="I3210">
        <v>3209</v>
      </c>
      <c r="J3210">
        <f t="shared" si="402"/>
        <v>-0.97485951083741296</v>
      </c>
      <c r="K3210">
        <f t="shared" si="403"/>
        <v>0.22282040779479767</v>
      </c>
      <c r="L3210">
        <f>VLOOKUP(D3210,[1]SOI!$A$1:$C$142,3)</f>
        <v>14.1</v>
      </c>
      <c r="M3210" s="2">
        <f t="shared" si="404"/>
        <v>-3128.324170277258</v>
      </c>
      <c r="N3210">
        <f t="shared" si="405"/>
        <v>715.03068861350573</v>
      </c>
      <c r="O3210" t="s">
        <v>8</v>
      </c>
    </row>
    <row r="3211" spans="1:15" x14ac:dyDescent="0.35">
      <c r="A3211">
        <v>2008</v>
      </c>
      <c r="B3211">
        <v>10</v>
      </c>
      <c r="C3211">
        <v>14</v>
      </c>
      <c r="D3211" s="1">
        <f t="shared" si="400"/>
        <v>39735</v>
      </c>
      <c r="E3211">
        <v>0</v>
      </c>
      <c r="F3211">
        <f t="shared" si="406"/>
        <v>0</v>
      </c>
      <c r="G3211">
        <f t="shared" si="401"/>
        <v>0</v>
      </c>
      <c r="H3211">
        <f t="shared" si="407"/>
        <v>0</v>
      </c>
      <c r="I3211">
        <v>3210</v>
      </c>
      <c r="J3211">
        <f t="shared" si="402"/>
        <v>-0.9708824104813838</v>
      </c>
      <c r="K3211">
        <f t="shared" si="403"/>
        <v>0.23955655912092605</v>
      </c>
      <c r="L3211">
        <f>VLOOKUP(D3211,[1]SOI!$A$1:$C$142,3)</f>
        <v>14.1</v>
      </c>
      <c r="M3211" s="2">
        <f t="shared" si="404"/>
        <v>-3116.532537645242</v>
      </c>
      <c r="N3211">
        <f t="shared" si="405"/>
        <v>768.97655477817261</v>
      </c>
      <c r="O3211" t="s">
        <v>8</v>
      </c>
    </row>
    <row r="3212" spans="1:15" x14ac:dyDescent="0.35">
      <c r="A3212">
        <v>2008</v>
      </c>
      <c r="B3212">
        <v>10</v>
      </c>
      <c r="C3212">
        <v>15</v>
      </c>
      <c r="D3212" s="1">
        <f t="shared" si="400"/>
        <v>39736</v>
      </c>
      <c r="E3212">
        <v>0</v>
      </c>
      <c r="F3212">
        <f t="shared" si="406"/>
        <v>0</v>
      </c>
      <c r="G3212">
        <f t="shared" si="401"/>
        <v>0</v>
      </c>
      <c r="H3212">
        <f t="shared" si="407"/>
        <v>0</v>
      </c>
      <c r="I3212">
        <v>3211</v>
      </c>
      <c r="J3212">
        <f t="shared" si="402"/>
        <v>-0.96661801040009721</v>
      </c>
      <c r="K3212">
        <f t="shared" si="403"/>
        <v>0.25622182180711611</v>
      </c>
      <c r="L3212">
        <f>VLOOKUP(D3212,[1]SOI!$A$1:$C$142,3)</f>
        <v>14.1</v>
      </c>
      <c r="M3212" s="2">
        <f t="shared" si="404"/>
        <v>-3103.8104313947119</v>
      </c>
      <c r="N3212">
        <f t="shared" si="405"/>
        <v>822.72826982264985</v>
      </c>
      <c r="O3212" t="s">
        <v>8</v>
      </c>
    </row>
    <row r="3213" spans="1:15" x14ac:dyDescent="0.35">
      <c r="A3213">
        <v>2008</v>
      </c>
      <c r="B3213">
        <v>10</v>
      </c>
      <c r="C3213">
        <v>16</v>
      </c>
      <c r="D3213" s="1">
        <f t="shared" si="400"/>
        <v>39737</v>
      </c>
      <c r="E3213">
        <v>0</v>
      </c>
      <c r="F3213">
        <f t="shared" si="406"/>
        <v>0</v>
      </c>
      <c r="G3213">
        <f t="shared" si="401"/>
        <v>0</v>
      </c>
      <c r="H3213">
        <f t="shared" si="407"/>
        <v>0</v>
      </c>
      <c r="I3213">
        <v>3212</v>
      </c>
      <c r="J3213">
        <f t="shared" si="402"/>
        <v>-0.96206757249814479</v>
      </c>
      <c r="K3213">
        <f t="shared" si="403"/>
        <v>0.2728112643340207</v>
      </c>
      <c r="L3213">
        <f>VLOOKUP(D3213,[1]SOI!$A$1:$C$142,3)</f>
        <v>14.1</v>
      </c>
      <c r="M3213" s="2">
        <f t="shared" si="404"/>
        <v>-3090.1610428640411</v>
      </c>
      <c r="N3213">
        <f t="shared" si="405"/>
        <v>876.26978104087448</v>
      </c>
      <c r="O3213" t="s">
        <v>8</v>
      </c>
    </row>
    <row r="3214" spans="1:15" x14ac:dyDescent="0.35">
      <c r="A3214">
        <v>2008</v>
      </c>
      <c r="B3214">
        <v>10</v>
      </c>
      <c r="C3214">
        <v>17</v>
      </c>
      <c r="D3214" s="1">
        <f t="shared" si="400"/>
        <v>39738</v>
      </c>
      <c r="E3214">
        <v>0</v>
      </c>
      <c r="F3214">
        <f t="shared" si="406"/>
        <v>0</v>
      </c>
      <c r="G3214">
        <f t="shared" si="401"/>
        <v>0</v>
      </c>
      <c r="H3214">
        <f t="shared" si="407"/>
        <v>0</v>
      </c>
      <c r="I3214">
        <v>3213</v>
      </c>
      <c r="J3214">
        <f t="shared" si="402"/>
        <v>-0.95723244332331336</v>
      </c>
      <c r="K3214">
        <f t="shared" si="403"/>
        <v>0.28931997761869083</v>
      </c>
      <c r="L3214">
        <f>VLOOKUP(D3214,[1]SOI!$A$1:$C$142,3)</f>
        <v>14.1</v>
      </c>
      <c r="M3214" s="2">
        <f t="shared" si="404"/>
        <v>-3075.5878403978058</v>
      </c>
      <c r="N3214">
        <f t="shared" si="405"/>
        <v>929.58508808885358</v>
      </c>
      <c r="O3214" t="s">
        <v>8</v>
      </c>
    </row>
    <row r="3215" spans="1:15" x14ac:dyDescent="0.35">
      <c r="A3215">
        <v>2008</v>
      </c>
      <c r="B3215">
        <v>10</v>
      </c>
      <c r="C3215">
        <v>18</v>
      </c>
      <c r="D3215" s="1">
        <f t="shared" si="400"/>
        <v>39739</v>
      </c>
      <c r="E3215">
        <v>0</v>
      </c>
      <c r="F3215">
        <f t="shared" si="406"/>
        <v>0</v>
      </c>
      <c r="G3215">
        <f t="shared" si="401"/>
        <v>0</v>
      </c>
      <c r="H3215">
        <f t="shared" si="407"/>
        <v>0</v>
      </c>
      <c r="I3215">
        <v>3214</v>
      </c>
      <c r="J3215">
        <f t="shared" si="402"/>
        <v>-0.95211405366811142</v>
      </c>
      <c r="K3215">
        <f t="shared" si="403"/>
        <v>0.30574307646727955</v>
      </c>
      <c r="L3215">
        <f>VLOOKUP(D3215,[1]SOI!$A$1:$C$142,3)</f>
        <v>14.1</v>
      </c>
      <c r="M3215" s="2">
        <f t="shared" si="404"/>
        <v>-3060.0945684893099</v>
      </c>
      <c r="N3215">
        <f t="shared" si="405"/>
        <v>982.65824776583645</v>
      </c>
      <c r="O3215" t="s">
        <v>8</v>
      </c>
    </row>
    <row r="3216" spans="1:15" x14ac:dyDescent="0.35">
      <c r="A3216">
        <v>2008</v>
      </c>
      <c r="B3216">
        <v>10</v>
      </c>
      <c r="C3216">
        <v>19</v>
      </c>
      <c r="D3216" s="1">
        <f t="shared" si="400"/>
        <v>39740</v>
      </c>
      <c r="E3216">
        <v>0</v>
      </c>
      <c r="F3216">
        <f t="shared" si="406"/>
        <v>0</v>
      </c>
      <c r="G3216">
        <f t="shared" si="401"/>
        <v>0</v>
      </c>
      <c r="H3216">
        <f t="shared" si="407"/>
        <v>0</v>
      </c>
      <c r="I3216">
        <v>3215</v>
      </c>
      <c r="J3216">
        <f t="shared" si="402"/>
        <v>-0.94671391814638683</v>
      </c>
      <c r="K3216">
        <f t="shared" si="403"/>
        <v>0.32207570102060851</v>
      </c>
      <c r="L3216">
        <f>VLOOKUP(D3216,[1]SOI!$A$1:$C$142,3)</f>
        <v>14.1</v>
      </c>
      <c r="M3216" s="2">
        <f t="shared" si="404"/>
        <v>-3043.6852468406337</v>
      </c>
      <c r="N3216">
        <f t="shared" si="405"/>
        <v>1035.4733787812563</v>
      </c>
      <c r="O3216" t="s">
        <v>8</v>
      </c>
    </row>
    <row r="3217" spans="1:15" x14ac:dyDescent="0.35">
      <c r="A3217">
        <v>2008</v>
      </c>
      <c r="B3217">
        <v>10</v>
      </c>
      <c r="C3217">
        <v>20</v>
      </c>
      <c r="D3217" s="1">
        <f t="shared" si="400"/>
        <v>39741</v>
      </c>
      <c r="E3217">
        <v>0</v>
      </c>
      <c r="F3217">
        <f t="shared" si="406"/>
        <v>0</v>
      </c>
      <c r="G3217">
        <f t="shared" si="401"/>
        <v>0</v>
      </c>
      <c r="H3217">
        <f t="shared" si="407"/>
        <v>0</v>
      </c>
      <c r="I3217">
        <v>3216</v>
      </c>
      <c r="J3217">
        <f t="shared" si="402"/>
        <v>-0.94103363474512036</v>
      </c>
      <c r="K3217">
        <f t="shared" si="403"/>
        <v>0.33831301819230569</v>
      </c>
      <c r="L3217">
        <f>VLOOKUP(D3217,[1]SOI!$A$1:$C$142,3)</f>
        <v>14.1</v>
      </c>
      <c r="M3217" s="2">
        <f t="shared" si="404"/>
        <v>-3026.3641693403069</v>
      </c>
      <c r="N3217">
        <f t="shared" si="405"/>
        <v>1088.0146665064551</v>
      </c>
      <c r="O3217" t="s">
        <v>8</v>
      </c>
    </row>
    <row r="3218" spans="1:15" x14ac:dyDescent="0.35">
      <c r="A3218">
        <v>2008</v>
      </c>
      <c r="B3218">
        <v>10</v>
      </c>
      <c r="C3218">
        <v>21</v>
      </c>
      <c r="D3218" s="1">
        <f t="shared" si="400"/>
        <v>39742</v>
      </c>
      <c r="E3218">
        <v>0</v>
      </c>
      <c r="F3218">
        <f t="shared" si="406"/>
        <v>0</v>
      </c>
      <c r="G3218">
        <f t="shared" si="401"/>
        <v>0</v>
      </c>
      <c r="H3218">
        <f t="shared" si="407"/>
        <v>0</v>
      </c>
      <c r="I3218">
        <v>3217</v>
      </c>
      <c r="J3218">
        <f t="shared" si="402"/>
        <v>-0.9350748843515575</v>
      </c>
      <c r="K3218">
        <f t="shared" si="403"/>
        <v>0.35445022309898672</v>
      </c>
      <c r="L3218">
        <f>VLOOKUP(D3218,[1]SOI!$A$1:$C$142,3)</f>
        <v>14.1</v>
      </c>
      <c r="M3218" s="2">
        <f t="shared" si="404"/>
        <v>-3008.1359029589603</v>
      </c>
      <c r="N3218">
        <f t="shared" si="405"/>
        <v>1140.2663677094404</v>
      </c>
      <c r="O3218" t="s">
        <v>8</v>
      </c>
    </row>
    <row r="3219" spans="1:15" x14ac:dyDescent="0.35">
      <c r="A3219">
        <v>2008</v>
      </c>
      <c r="B3219">
        <v>10</v>
      </c>
      <c r="C3219">
        <v>22</v>
      </c>
      <c r="D3219" s="1">
        <f t="shared" si="400"/>
        <v>39743</v>
      </c>
      <c r="E3219">
        <v>2.6</v>
      </c>
      <c r="F3219">
        <f t="shared" si="406"/>
        <v>0</v>
      </c>
      <c r="G3219">
        <f t="shared" si="401"/>
        <v>1</v>
      </c>
      <c r="H3219">
        <f t="shared" si="407"/>
        <v>0</v>
      </c>
      <c r="I3219">
        <v>3218</v>
      </c>
      <c r="J3219">
        <f t="shared" si="402"/>
        <v>-0.92883943025580917</v>
      </c>
      <c r="K3219">
        <f t="shared" si="403"/>
        <v>0.37048254048209034</v>
      </c>
      <c r="L3219">
        <f>VLOOKUP(D3219,[1]SOI!$A$1:$C$142,3)</f>
        <v>14.1</v>
      </c>
      <c r="M3219" s="2">
        <f t="shared" si="404"/>
        <v>-2989.0052865631937</v>
      </c>
      <c r="N3219">
        <f t="shared" si="405"/>
        <v>1192.2128152713667</v>
      </c>
      <c r="O3219" t="s">
        <v>8</v>
      </c>
    </row>
    <row r="3220" spans="1:15" x14ac:dyDescent="0.35">
      <c r="A3220">
        <v>2008</v>
      </c>
      <c r="B3220">
        <v>10</v>
      </c>
      <c r="C3220">
        <v>23</v>
      </c>
      <c r="D3220" s="1">
        <f t="shared" si="400"/>
        <v>39744</v>
      </c>
      <c r="E3220">
        <v>0</v>
      </c>
      <c r="F3220">
        <f t="shared" si="406"/>
        <v>2.6</v>
      </c>
      <c r="G3220">
        <f t="shared" si="401"/>
        <v>0</v>
      </c>
      <c r="H3220">
        <f t="shared" si="407"/>
        <v>1</v>
      </c>
      <c r="I3220">
        <v>3219</v>
      </c>
      <c r="J3220">
        <f t="shared" si="402"/>
        <v>-0.92232911762905623</v>
      </c>
      <c r="K3220">
        <f t="shared" si="403"/>
        <v>0.38640522612098105</v>
      </c>
      <c r="L3220">
        <f>VLOOKUP(D3220,[1]SOI!$A$1:$C$142,3)</f>
        <v>14.1</v>
      </c>
      <c r="M3220" s="2">
        <f t="shared" si="404"/>
        <v>-2968.9774296479318</v>
      </c>
      <c r="N3220">
        <f t="shared" si="405"/>
        <v>1243.8384228834379</v>
      </c>
      <c r="O3220" t="s">
        <v>8</v>
      </c>
    </row>
    <row r="3221" spans="1:15" x14ac:dyDescent="0.35">
      <c r="A3221">
        <v>2008</v>
      </c>
      <c r="B3221">
        <v>10</v>
      </c>
      <c r="C3221">
        <v>24</v>
      </c>
      <c r="D3221" s="1">
        <f t="shared" si="400"/>
        <v>39745</v>
      </c>
      <c r="E3221">
        <v>0</v>
      </c>
      <c r="F3221">
        <f t="shared" si="406"/>
        <v>0</v>
      </c>
      <c r="G3221">
        <f t="shared" si="401"/>
        <v>0</v>
      </c>
      <c r="H3221">
        <f t="shared" si="407"/>
        <v>0</v>
      </c>
      <c r="I3221">
        <v>3220</v>
      </c>
      <c r="J3221">
        <f t="shared" si="402"/>
        <v>-0.91554587297754819</v>
      </c>
      <c r="K3221">
        <f t="shared" si="403"/>
        <v>0.40221356823680027</v>
      </c>
      <c r="L3221">
        <f>VLOOKUP(D3221,[1]SOI!$A$1:$C$142,3)</f>
        <v>14.1</v>
      </c>
      <c r="M3221" s="2">
        <f t="shared" si="404"/>
        <v>-2948.0577109877054</v>
      </c>
      <c r="N3221">
        <f t="shared" si="405"/>
        <v>1295.1276897224968</v>
      </c>
      <c r="O3221" t="s">
        <v>8</v>
      </c>
    </row>
    <row r="3222" spans="1:15" x14ac:dyDescent="0.35">
      <c r="A3222">
        <v>2008</v>
      </c>
      <c r="B3222">
        <v>10</v>
      </c>
      <c r="C3222">
        <v>25</v>
      </c>
      <c r="D3222" s="1">
        <f t="shared" si="400"/>
        <v>39746</v>
      </c>
      <c r="E3222">
        <v>0</v>
      </c>
      <c r="F3222">
        <f t="shared" si="406"/>
        <v>0</v>
      </c>
      <c r="G3222">
        <f t="shared" si="401"/>
        <v>0</v>
      </c>
      <c r="H3222">
        <f t="shared" si="407"/>
        <v>0</v>
      </c>
      <c r="I3222">
        <v>3221</v>
      </c>
      <c r="J3222">
        <f t="shared" si="402"/>
        <v>-0.9084917035725093</v>
      </c>
      <c r="K3222">
        <f t="shared" si="403"/>
        <v>0.41790288888678406</v>
      </c>
      <c r="L3222">
        <f>VLOOKUP(D3222,[1]SOI!$A$1:$C$142,3)</f>
        <v>14.1</v>
      </c>
      <c r="M3222" s="2">
        <f t="shared" si="404"/>
        <v>-2926.2517772070523</v>
      </c>
      <c r="N3222">
        <f t="shared" si="405"/>
        <v>1346.0652051043314</v>
      </c>
      <c r="O3222" t="s">
        <v>8</v>
      </c>
    </row>
    <row r="3223" spans="1:15" x14ac:dyDescent="0.35">
      <c r="A3223">
        <v>2008</v>
      </c>
      <c r="B3223">
        <v>10</v>
      </c>
      <c r="C3223">
        <v>26</v>
      </c>
      <c r="D3223" s="1">
        <f t="shared" si="400"/>
        <v>39747</v>
      </c>
      <c r="E3223">
        <v>0</v>
      </c>
      <c r="F3223">
        <f t="shared" si="406"/>
        <v>0</v>
      </c>
      <c r="G3223">
        <f t="shared" si="401"/>
        <v>0</v>
      </c>
      <c r="H3223">
        <f t="shared" si="407"/>
        <v>0</v>
      </c>
      <c r="I3223">
        <v>3222</v>
      </c>
      <c r="J3223">
        <f t="shared" si="402"/>
        <v>-0.9011686968561573</v>
      </c>
      <c r="K3223">
        <f t="shared" si="403"/>
        <v>0.43346854534853535</v>
      </c>
      <c r="L3223">
        <f>VLOOKUP(D3223,[1]SOI!$A$1:$C$142,3)</f>
        <v>14.1</v>
      </c>
      <c r="M3223" s="2">
        <f t="shared" si="404"/>
        <v>-2903.5655412705387</v>
      </c>
      <c r="N3223">
        <f t="shared" si="405"/>
        <v>1396.6356531129809</v>
      </c>
      <c r="O3223" t="s">
        <v>8</v>
      </c>
    </row>
    <row r="3224" spans="1:15" x14ac:dyDescent="0.35">
      <c r="A3224">
        <v>2008</v>
      </c>
      <c r="B3224">
        <v>10</v>
      </c>
      <c r="C3224">
        <v>27</v>
      </c>
      <c r="D3224" s="1">
        <f t="shared" si="400"/>
        <v>39748</v>
      </c>
      <c r="E3224">
        <v>0</v>
      </c>
      <c r="F3224">
        <f t="shared" si="406"/>
        <v>0</v>
      </c>
      <c r="G3224">
        <f t="shared" si="401"/>
        <v>0</v>
      </c>
      <c r="H3224">
        <f t="shared" si="407"/>
        <v>0</v>
      </c>
      <c r="I3224">
        <v>3223</v>
      </c>
      <c r="J3224">
        <f t="shared" si="402"/>
        <v>-0.89357901982399535</v>
      </c>
      <c r="K3224">
        <f t="shared" si="403"/>
        <v>0.44890593149387964</v>
      </c>
      <c r="L3224">
        <f>VLOOKUP(D3224,[1]SOI!$A$1:$C$142,3)</f>
        <v>14.1</v>
      </c>
      <c r="M3224" s="2">
        <f t="shared" si="404"/>
        <v>-2880.0051808927369</v>
      </c>
      <c r="N3224">
        <f t="shared" si="405"/>
        <v>1446.8238172047741</v>
      </c>
      <c r="O3224" t="s">
        <v>8</v>
      </c>
    </row>
    <row r="3225" spans="1:15" x14ac:dyDescent="0.35">
      <c r="A3225">
        <v>2008</v>
      </c>
      <c r="B3225">
        <v>10</v>
      </c>
      <c r="C3225">
        <v>28</v>
      </c>
      <c r="D3225" s="1">
        <f t="shared" si="400"/>
        <v>39749</v>
      </c>
      <c r="E3225">
        <v>2.2000000000000002</v>
      </c>
      <c r="F3225">
        <f t="shared" si="406"/>
        <v>0</v>
      </c>
      <c r="G3225">
        <f t="shared" si="401"/>
        <v>1</v>
      </c>
      <c r="H3225">
        <f t="shared" si="407"/>
        <v>0</v>
      </c>
      <c r="I3225">
        <v>3224</v>
      </c>
      <c r="J3225">
        <f t="shared" si="402"/>
        <v>-0.88572491838356671</v>
      </c>
      <c r="K3225">
        <f t="shared" si="403"/>
        <v>0.46421047915188662</v>
      </c>
      <c r="L3225">
        <f>VLOOKUP(D3225,[1]SOI!$A$1:$C$142,3)</f>
        <v>14.1</v>
      </c>
      <c r="M3225" s="2">
        <f t="shared" si="404"/>
        <v>-2855.5771368686192</v>
      </c>
      <c r="N3225">
        <f t="shared" si="405"/>
        <v>1496.6145847856824</v>
      </c>
      <c r="O3225" t="s">
        <v>8</v>
      </c>
    </row>
    <row r="3226" spans="1:15" x14ac:dyDescent="0.35">
      <c r="A3226">
        <v>2008</v>
      </c>
      <c r="B3226">
        <v>10</v>
      </c>
      <c r="C3226">
        <v>29</v>
      </c>
      <c r="D3226" s="1">
        <f t="shared" si="400"/>
        <v>39750</v>
      </c>
      <c r="E3226">
        <v>0</v>
      </c>
      <c r="F3226">
        <f t="shared" si="406"/>
        <v>2.2000000000000002</v>
      </c>
      <c r="G3226">
        <f t="shared" si="401"/>
        <v>0</v>
      </c>
      <c r="H3226">
        <f t="shared" si="407"/>
        <v>1</v>
      </c>
      <c r="I3226">
        <v>3225</v>
      </c>
      <c r="J3226">
        <f t="shared" si="402"/>
        <v>-0.87760871668984142</v>
      </c>
      <c r="K3226">
        <f t="shared" si="403"/>
        <v>0.47937765946069044</v>
      </c>
      <c r="L3226">
        <f>VLOOKUP(D3226,[1]SOI!$A$1:$C$142,3)</f>
        <v>14.1</v>
      </c>
      <c r="M3226" s="2">
        <f t="shared" si="404"/>
        <v>-2830.2881113247386</v>
      </c>
      <c r="N3226">
        <f t="shared" si="405"/>
        <v>1545.9929517607268</v>
      </c>
      <c r="O3226" t="s">
        <v>8</v>
      </c>
    </row>
    <row r="3227" spans="1:15" x14ac:dyDescent="0.35">
      <c r="A3227">
        <v>2008</v>
      </c>
      <c r="B3227">
        <v>10</v>
      </c>
      <c r="C3227">
        <v>30</v>
      </c>
      <c r="D3227" s="1">
        <f t="shared" si="400"/>
        <v>39751</v>
      </c>
      <c r="E3227">
        <v>0</v>
      </c>
      <c r="F3227">
        <f t="shared" si="406"/>
        <v>0</v>
      </c>
      <c r="G3227">
        <f t="shared" si="401"/>
        <v>0</v>
      </c>
      <c r="H3227">
        <f t="shared" si="407"/>
        <v>0</v>
      </c>
      <c r="I3227">
        <v>3226</v>
      </c>
      <c r="J3227">
        <f t="shared" si="402"/>
        <v>-0.86923281645748096</v>
      </c>
      <c r="K3227">
        <f t="shared" si="403"/>
        <v>0.49440298420761492</v>
      </c>
      <c r="L3227">
        <f>VLOOKUP(D3227,[1]SOI!$A$1:$C$142,3)</f>
        <v>14.1</v>
      </c>
      <c r="M3227" s="2">
        <f t="shared" si="404"/>
        <v>-2804.1450658918334</v>
      </c>
      <c r="N3227">
        <f t="shared" si="405"/>
        <v>1594.9440270537657</v>
      </c>
      <c r="O3227" t="s">
        <v>8</v>
      </c>
    </row>
    <row r="3228" spans="1:15" x14ac:dyDescent="0.35">
      <c r="A3228">
        <v>2008</v>
      </c>
      <c r="B3228">
        <v>10</v>
      </c>
      <c r="C3228">
        <v>31</v>
      </c>
      <c r="D3228" s="1">
        <f t="shared" si="400"/>
        <v>39752</v>
      </c>
      <c r="E3228">
        <v>0.4</v>
      </c>
      <c r="F3228">
        <f t="shared" si="406"/>
        <v>0</v>
      </c>
      <c r="G3228">
        <f t="shared" si="401"/>
        <v>1</v>
      </c>
      <c r="H3228">
        <f t="shared" si="407"/>
        <v>0</v>
      </c>
      <c r="I3228">
        <v>3227</v>
      </c>
      <c r="J3228">
        <f t="shared" si="402"/>
        <v>-0.86059969625011956</v>
      </c>
      <c r="K3228">
        <f t="shared" si="403"/>
        <v>0.50928200715733318</v>
      </c>
      <c r="L3228">
        <f>VLOOKUP(D3228,[1]SOI!$A$1:$C$142,3)</f>
        <v>14.1</v>
      </c>
      <c r="M3228" s="2">
        <f t="shared" si="404"/>
        <v>-2777.1552197991359</v>
      </c>
      <c r="N3228">
        <f t="shared" si="405"/>
        <v>1643.4530370967141</v>
      </c>
      <c r="O3228" t="s">
        <v>8</v>
      </c>
    </row>
    <row r="3229" spans="1:15" x14ac:dyDescent="0.35">
      <c r="A3229">
        <v>2008</v>
      </c>
      <c r="B3229">
        <v>11</v>
      </c>
      <c r="C3229">
        <v>1</v>
      </c>
      <c r="D3229" s="1">
        <f t="shared" si="400"/>
        <v>39753</v>
      </c>
      <c r="E3229">
        <v>0.2</v>
      </c>
      <c r="F3229">
        <f t="shared" si="406"/>
        <v>0.4</v>
      </c>
      <c r="G3229">
        <f t="shared" si="401"/>
        <v>1</v>
      </c>
      <c r="H3229">
        <f t="shared" si="407"/>
        <v>1</v>
      </c>
      <c r="I3229">
        <v>3228</v>
      </c>
      <c r="J3229">
        <f t="shared" si="402"/>
        <v>-0.85171191074691988</v>
      </c>
      <c r="K3229">
        <f t="shared" si="403"/>
        <v>0.52401032536757397</v>
      </c>
      <c r="L3229">
        <f>VLOOKUP(D3229,[1]SOI!$A$1:$C$142,3)</f>
        <v>13.4</v>
      </c>
      <c r="M3229" s="2">
        <f t="shared" si="404"/>
        <v>-2749.3260478910574</v>
      </c>
      <c r="N3229">
        <f t="shared" si="405"/>
        <v>1691.5053302865288</v>
      </c>
      <c r="O3229" t="s">
        <v>8</v>
      </c>
    </row>
    <row r="3230" spans="1:15" x14ac:dyDescent="0.35">
      <c r="A3230">
        <v>2008</v>
      </c>
      <c r="B3230">
        <v>11</v>
      </c>
      <c r="C3230">
        <v>2</v>
      </c>
      <c r="D3230" s="1">
        <f t="shared" si="400"/>
        <v>39754</v>
      </c>
      <c r="E3230">
        <v>0</v>
      </c>
      <c r="F3230">
        <f t="shared" si="406"/>
        <v>0.2</v>
      </c>
      <c r="G3230">
        <f t="shared" si="401"/>
        <v>0</v>
      </c>
      <c r="H3230">
        <f t="shared" si="407"/>
        <v>1</v>
      </c>
      <c r="I3230">
        <v>3229</v>
      </c>
      <c r="J3230">
        <f t="shared" si="402"/>
        <v>-0.84257208998660704</v>
      </c>
      <c r="K3230">
        <f t="shared" si="403"/>
        <v>0.53858358049201693</v>
      </c>
      <c r="L3230">
        <f>VLOOKUP(D3230,[1]SOI!$A$1:$C$142,3)</f>
        <v>13.4</v>
      </c>
      <c r="M3230" s="2">
        <f t="shared" si="404"/>
        <v>-2720.6652785667543</v>
      </c>
      <c r="N3230">
        <f t="shared" si="405"/>
        <v>1739.0863814087227</v>
      </c>
      <c r="O3230" t="s">
        <v>8</v>
      </c>
    </row>
    <row r="3231" spans="1:15" x14ac:dyDescent="0.35">
      <c r="A3231">
        <v>2008</v>
      </c>
      <c r="B3231">
        <v>11</v>
      </c>
      <c r="C3231">
        <v>3</v>
      </c>
      <c r="D3231" s="1">
        <f t="shared" si="400"/>
        <v>39755</v>
      </c>
      <c r="E3231">
        <v>2.8</v>
      </c>
      <c r="F3231">
        <f t="shared" si="406"/>
        <v>0</v>
      </c>
      <c r="G3231">
        <f t="shared" si="401"/>
        <v>1</v>
      </c>
      <c r="H3231">
        <f t="shared" si="407"/>
        <v>0</v>
      </c>
      <c r="I3231">
        <v>3230</v>
      </c>
      <c r="J3231">
        <f t="shared" si="402"/>
        <v>-0.83318293858918202</v>
      </c>
      <c r="K3231">
        <f t="shared" si="403"/>
        <v>0.55299746007002182</v>
      </c>
      <c r="L3231">
        <f>VLOOKUP(D3231,[1]SOI!$A$1:$C$142,3)</f>
        <v>13.4</v>
      </c>
      <c r="M3231" s="2">
        <f t="shared" si="404"/>
        <v>-2691.1808916430577</v>
      </c>
      <c r="N3231">
        <f t="shared" si="405"/>
        <v>1786.1817960261706</v>
      </c>
      <c r="O3231" t="s">
        <v>8</v>
      </c>
    </row>
    <row r="3232" spans="1:15" x14ac:dyDescent="0.35">
      <c r="A3232">
        <v>2008</v>
      </c>
      <c r="B3232">
        <v>11</v>
      </c>
      <c r="C3232">
        <v>4</v>
      </c>
      <c r="D3232" s="1">
        <f t="shared" si="400"/>
        <v>39756</v>
      </c>
      <c r="E3232">
        <v>2</v>
      </c>
      <c r="F3232">
        <f t="shared" si="406"/>
        <v>2.8</v>
      </c>
      <c r="G3232">
        <f t="shared" si="401"/>
        <v>1</v>
      </c>
      <c r="H3232">
        <f t="shared" si="407"/>
        <v>1</v>
      </c>
      <c r="I3232">
        <v>3231</v>
      </c>
      <c r="J3232">
        <f t="shared" si="402"/>
        <v>-0.82354723495560378</v>
      </c>
      <c r="K3232">
        <f t="shared" si="403"/>
        <v>0.5672476988027183</v>
      </c>
      <c r="L3232">
        <f>VLOOKUP(D3232,[1]SOI!$A$1:$C$142,3)</f>
        <v>13.4</v>
      </c>
      <c r="M3232" s="2">
        <f t="shared" si="404"/>
        <v>-2660.8811161415556</v>
      </c>
      <c r="N3232">
        <f t="shared" si="405"/>
        <v>1832.7773148315828</v>
      </c>
      <c r="O3232" t="s">
        <v>8</v>
      </c>
    </row>
    <row r="3233" spans="1:15" x14ac:dyDescent="0.35">
      <c r="A3233">
        <v>2008</v>
      </c>
      <c r="B3233">
        <v>11</v>
      </c>
      <c r="C3233">
        <v>5</v>
      </c>
      <c r="D3233" s="1">
        <f t="shared" si="400"/>
        <v>39757</v>
      </c>
      <c r="E3233">
        <v>0</v>
      </c>
      <c r="F3233">
        <f t="shared" si="406"/>
        <v>2</v>
      </c>
      <c r="G3233">
        <f t="shared" si="401"/>
        <v>0</v>
      </c>
      <c r="H3233">
        <f t="shared" si="407"/>
        <v>1</v>
      </c>
      <c r="I3233">
        <v>3232</v>
      </c>
      <c r="J3233">
        <f t="shared" si="402"/>
        <v>-0.81366783044560131</v>
      </c>
      <c r="K3233">
        <f t="shared" si="403"/>
        <v>0.58133007981520124</v>
      </c>
      <c r="L3233">
        <f>VLOOKUP(D3233,[1]SOI!$A$1:$C$142,3)</f>
        <v>13.4</v>
      </c>
      <c r="M3233" s="2">
        <f t="shared" si="404"/>
        <v>-2629.7744280001834</v>
      </c>
      <c r="N3233">
        <f t="shared" si="405"/>
        <v>1878.8588179627304</v>
      </c>
      <c r="O3233" t="s">
        <v>8</v>
      </c>
    </row>
    <row r="3234" spans="1:15" x14ac:dyDescent="0.35">
      <c r="A3234">
        <v>2008</v>
      </c>
      <c r="B3234">
        <v>11</v>
      </c>
      <c r="C3234">
        <v>6</v>
      </c>
      <c r="D3234" s="1">
        <f t="shared" si="400"/>
        <v>39758</v>
      </c>
      <c r="E3234">
        <v>0</v>
      </c>
      <c r="F3234">
        <f t="shared" si="406"/>
        <v>0</v>
      </c>
      <c r="G3234">
        <f t="shared" si="401"/>
        <v>0</v>
      </c>
      <c r="H3234">
        <f t="shared" si="407"/>
        <v>0</v>
      </c>
      <c r="I3234">
        <v>3233</v>
      </c>
      <c r="J3234">
        <f t="shared" si="402"/>
        <v>-0.80354764853391325</v>
      </c>
      <c r="K3234">
        <f t="shared" si="403"/>
        <v>0.59524043590436504</v>
      </c>
      <c r="L3234">
        <f>VLOOKUP(D3234,[1]SOI!$A$1:$C$142,3)</f>
        <v>13.4</v>
      </c>
      <c r="M3234" s="2">
        <f t="shared" si="404"/>
        <v>-2597.8695477101414</v>
      </c>
      <c r="N3234">
        <f t="shared" si="405"/>
        <v>1924.4123292788122</v>
      </c>
      <c r="O3234" t="s">
        <v>8</v>
      </c>
    </row>
    <row r="3235" spans="1:15" x14ac:dyDescent="0.35">
      <c r="A3235">
        <v>2008</v>
      </c>
      <c r="B3235">
        <v>11</v>
      </c>
      <c r="C3235">
        <v>7</v>
      </c>
      <c r="D3235" s="1">
        <f t="shared" si="400"/>
        <v>39759</v>
      </c>
      <c r="E3235">
        <v>0</v>
      </c>
      <c r="F3235">
        <f t="shared" si="406"/>
        <v>0</v>
      </c>
      <c r="G3235">
        <f t="shared" si="401"/>
        <v>0</v>
      </c>
      <c r="H3235">
        <f t="shared" si="407"/>
        <v>0</v>
      </c>
      <c r="I3235">
        <v>3234</v>
      </c>
      <c r="J3235">
        <f t="shared" si="402"/>
        <v>-0.79318968394518119</v>
      </c>
      <c r="K3235">
        <f t="shared" si="403"/>
        <v>0.60897465077205271</v>
      </c>
      <c r="L3235">
        <f>VLOOKUP(D3235,[1]SOI!$A$1:$C$142,3)</f>
        <v>13.4</v>
      </c>
      <c r="M3235" s="2">
        <f t="shared" si="404"/>
        <v>-2565.1754378787159</v>
      </c>
      <c r="N3235">
        <f t="shared" si="405"/>
        <v>1969.4240205968185</v>
      </c>
      <c r="O3235" t="s">
        <v>8</v>
      </c>
    </row>
    <row r="3236" spans="1:15" x14ac:dyDescent="0.35">
      <c r="A3236">
        <v>2008</v>
      </c>
      <c r="B3236">
        <v>11</v>
      </c>
      <c r="C3236">
        <v>8</v>
      </c>
      <c r="D3236" s="1">
        <f t="shared" si="400"/>
        <v>39760</v>
      </c>
      <c r="E3236">
        <v>7.6</v>
      </c>
      <c r="F3236">
        <f t="shared" si="406"/>
        <v>0</v>
      </c>
      <c r="G3236">
        <f t="shared" si="401"/>
        <v>1</v>
      </c>
      <c r="H3236">
        <f t="shared" si="407"/>
        <v>0</v>
      </c>
      <c r="I3236">
        <v>3235</v>
      </c>
      <c r="J3236">
        <f t="shared" si="402"/>
        <v>-0.7825970017677879</v>
      </c>
      <c r="K3236">
        <f t="shared" si="403"/>
        <v>0.62252866024309994</v>
      </c>
      <c r="L3236">
        <f>VLOOKUP(D3236,[1]SOI!$A$1:$C$142,3)</f>
        <v>13.4</v>
      </c>
      <c r="M3236" s="2">
        <f t="shared" si="404"/>
        <v>-2531.7013007187938</v>
      </c>
      <c r="N3236">
        <f t="shared" si="405"/>
        <v>2013.8802158864282</v>
      </c>
      <c r="O3236" t="s">
        <v>8</v>
      </c>
    </row>
    <row r="3237" spans="1:15" x14ac:dyDescent="0.35">
      <c r="A3237">
        <v>2008</v>
      </c>
      <c r="B3237">
        <v>11</v>
      </c>
      <c r="C3237">
        <v>9</v>
      </c>
      <c r="D3237" s="1">
        <f t="shared" si="400"/>
        <v>39761</v>
      </c>
      <c r="E3237">
        <v>0</v>
      </c>
      <c r="F3237">
        <f t="shared" si="406"/>
        <v>7.6</v>
      </c>
      <c r="G3237">
        <f t="shared" si="401"/>
        <v>0</v>
      </c>
      <c r="H3237">
        <f t="shared" si="407"/>
        <v>1</v>
      </c>
      <c r="I3237">
        <v>3236</v>
      </c>
      <c r="J3237">
        <f t="shared" si="402"/>
        <v>-0.77177273654678769</v>
      </c>
      <c r="K3237">
        <f t="shared" si="403"/>
        <v>0.6358984534680695</v>
      </c>
      <c r="L3237">
        <f>VLOOKUP(D3237,[1]SOI!$A$1:$C$142,3)</f>
        <v>13.4</v>
      </c>
      <c r="M3237" s="2">
        <f t="shared" si="404"/>
        <v>-2497.456575465405</v>
      </c>
      <c r="N3237">
        <f t="shared" si="405"/>
        <v>2057.767395422673</v>
      </c>
      <c r="O3237" t="s">
        <v>8</v>
      </c>
    </row>
    <row r="3238" spans="1:15" x14ac:dyDescent="0.35">
      <c r="A3238">
        <v>2008</v>
      </c>
      <c r="B3238">
        <v>11</v>
      </c>
      <c r="C3238">
        <v>10</v>
      </c>
      <c r="D3238" s="1">
        <f t="shared" si="400"/>
        <v>39762</v>
      </c>
      <c r="E3238">
        <v>0</v>
      </c>
      <c r="F3238">
        <f t="shared" si="406"/>
        <v>0</v>
      </c>
      <c r="G3238">
        <f t="shared" si="401"/>
        <v>0</v>
      </c>
      <c r="H3238">
        <f t="shared" si="407"/>
        <v>0</v>
      </c>
      <c r="I3238">
        <v>3237</v>
      </c>
      <c r="J3238">
        <f t="shared" si="402"/>
        <v>-0.76072009135641394</v>
      </c>
      <c r="K3238">
        <f t="shared" si="403"/>
        <v>0.64908007411003554</v>
      </c>
      <c r="L3238">
        <f>VLOOKUP(D3238,[1]SOI!$A$1:$C$142,3)</f>
        <v>13.4</v>
      </c>
      <c r="M3238" s="2">
        <f t="shared" si="404"/>
        <v>-2462.4509357207121</v>
      </c>
      <c r="N3238">
        <f t="shared" si="405"/>
        <v>2101.0721998941849</v>
      </c>
      <c r="O3238" t="s">
        <v>8</v>
      </c>
    </row>
    <row r="3239" spans="1:15" x14ac:dyDescent="0.35">
      <c r="A3239">
        <v>2008</v>
      </c>
      <c r="B3239">
        <v>11</v>
      </c>
      <c r="C3239">
        <v>11</v>
      </c>
      <c r="D3239" s="1">
        <f t="shared" si="400"/>
        <v>39763</v>
      </c>
      <c r="E3239">
        <v>0</v>
      </c>
      <c r="F3239">
        <f t="shared" si="406"/>
        <v>0</v>
      </c>
      <c r="G3239">
        <f t="shared" si="401"/>
        <v>0</v>
      </c>
      <c r="H3239">
        <f t="shared" si="407"/>
        <v>0</v>
      </c>
      <c r="I3239">
        <v>3238</v>
      </c>
      <c r="J3239">
        <f t="shared" si="402"/>
        <v>-0.74944233685219375</v>
      </c>
      <c r="K3239">
        <f t="shared" si="403"/>
        <v>0.6620696215153834</v>
      </c>
      <c r="L3239">
        <f>VLOOKUP(D3239,[1]SOI!$A$1:$C$142,3)</f>
        <v>13.4</v>
      </c>
      <c r="M3239" s="2">
        <f t="shared" si="404"/>
        <v>-2426.6942867274033</v>
      </c>
      <c r="N3239">
        <f t="shared" si="405"/>
        <v>2143.7814344668113</v>
      </c>
      <c r="O3239" t="s">
        <v>8</v>
      </c>
    </row>
    <row r="3240" spans="1:15" x14ac:dyDescent="0.35">
      <c r="A3240">
        <v>2008</v>
      </c>
      <c r="B3240">
        <v>11</v>
      </c>
      <c r="C3240">
        <v>12</v>
      </c>
      <c r="D3240" s="1">
        <f t="shared" si="400"/>
        <v>39764</v>
      </c>
      <c r="E3240">
        <v>0</v>
      </c>
      <c r="F3240">
        <f t="shared" si="406"/>
        <v>0</v>
      </c>
      <c r="G3240">
        <f t="shared" si="401"/>
        <v>0</v>
      </c>
      <c r="H3240">
        <f t="shared" si="407"/>
        <v>0</v>
      </c>
      <c r="I3240">
        <v>3239</v>
      </c>
      <c r="J3240">
        <f t="shared" si="402"/>
        <v>-0.73794281030313569</v>
      </c>
      <c r="K3240">
        <f t="shared" si="403"/>
        <v>0.67486325186804352</v>
      </c>
      <c r="L3240">
        <f>VLOOKUP(D3240,[1]SOI!$A$1:$C$142,3)</f>
        <v>13.4</v>
      </c>
      <c r="M3240" s="2">
        <f t="shared" si="404"/>
        <v>-2390.1967625718567</v>
      </c>
      <c r="N3240">
        <f t="shared" si="405"/>
        <v>2185.8820728005931</v>
      </c>
      <c r="O3240" t="s">
        <v>8</v>
      </c>
    </row>
    <row r="3241" spans="1:15" x14ac:dyDescent="0.35">
      <c r="A3241">
        <v>2008</v>
      </c>
      <c r="B3241">
        <v>11</v>
      </c>
      <c r="C3241">
        <v>13</v>
      </c>
      <c r="D3241" s="1">
        <f t="shared" si="400"/>
        <v>39765</v>
      </c>
      <c r="E3241">
        <v>0</v>
      </c>
      <c r="F3241">
        <f t="shared" si="406"/>
        <v>0</v>
      </c>
      <c r="G3241">
        <f t="shared" si="401"/>
        <v>0</v>
      </c>
      <c r="H3241">
        <f t="shared" si="407"/>
        <v>0</v>
      </c>
      <c r="I3241">
        <v>3240</v>
      </c>
      <c r="J3241">
        <f t="shared" si="402"/>
        <v>-0.7262249146041605</v>
      </c>
      <c r="K3241">
        <f t="shared" si="403"/>
        <v>0.68745717932695982</v>
      </c>
      <c r="L3241">
        <f>VLOOKUP(D3241,[1]SOI!$A$1:$C$142,3)</f>
        <v>13.4</v>
      </c>
      <c r="M3241" s="2">
        <f t="shared" si="404"/>
        <v>-2352.96872331748</v>
      </c>
      <c r="N3241">
        <f t="shared" si="405"/>
        <v>2227.36126101935</v>
      </c>
      <c r="O3241" t="s">
        <v>8</v>
      </c>
    </row>
    <row r="3242" spans="1:15" x14ac:dyDescent="0.35">
      <c r="A3242">
        <v>2008</v>
      </c>
      <c r="B3242">
        <v>11</v>
      </c>
      <c r="C3242">
        <v>14</v>
      </c>
      <c r="D3242" s="1">
        <f t="shared" si="400"/>
        <v>39766</v>
      </c>
      <c r="E3242">
        <v>10.199999999999999</v>
      </c>
      <c r="F3242">
        <f t="shared" si="406"/>
        <v>0</v>
      </c>
      <c r="G3242">
        <f t="shared" si="401"/>
        <v>1</v>
      </c>
      <c r="H3242">
        <f t="shared" si="407"/>
        <v>0</v>
      </c>
      <c r="I3242">
        <v>3241</v>
      </c>
      <c r="J3242">
        <f t="shared" si="402"/>
        <v>-0.71429211726910902</v>
      </c>
      <c r="K3242">
        <f t="shared" si="403"/>
        <v>0.69984767714640117</v>
      </c>
      <c r="L3242">
        <f>VLOOKUP(D3242,[1]SOI!$A$1:$C$142,3)</f>
        <v>13.4</v>
      </c>
      <c r="M3242" s="2">
        <f t="shared" si="404"/>
        <v>-2315.0207520691824</v>
      </c>
      <c r="N3242">
        <f t="shared" si="405"/>
        <v>2268.2063216314864</v>
      </c>
      <c r="O3242" t="s">
        <v>8</v>
      </c>
    </row>
    <row r="3243" spans="1:15" x14ac:dyDescent="0.35">
      <c r="A3243">
        <v>2008</v>
      </c>
      <c r="B3243">
        <v>11</v>
      </c>
      <c r="C3243">
        <v>15</v>
      </c>
      <c r="D3243" s="1">
        <f t="shared" si="400"/>
        <v>39767</v>
      </c>
      <c r="E3243">
        <v>0</v>
      </c>
      <c r="F3243">
        <f t="shared" si="406"/>
        <v>10.199999999999999</v>
      </c>
      <c r="G3243">
        <f t="shared" si="401"/>
        <v>0</v>
      </c>
      <c r="H3243">
        <f t="shared" si="407"/>
        <v>1</v>
      </c>
      <c r="I3243">
        <v>3242</v>
      </c>
      <c r="J3243">
        <f t="shared" si="402"/>
        <v>-0.70214794940470238</v>
      </c>
      <c r="K3243">
        <f t="shared" si="403"/>
        <v>0.71203107877870853</v>
      </c>
      <c r="L3243">
        <f>VLOOKUP(D3243,[1]SOI!$A$1:$C$142,3)</f>
        <v>13.4</v>
      </c>
      <c r="M3243" s="2">
        <f t="shared" si="404"/>
        <v>-2276.3636519700449</v>
      </c>
      <c r="N3243">
        <f t="shared" si="405"/>
        <v>2308.4047574005731</v>
      </c>
      <c r="O3243" t="s">
        <v>8</v>
      </c>
    </row>
    <row r="3244" spans="1:15" x14ac:dyDescent="0.35">
      <c r="A3244">
        <v>2008</v>
      </c>
      <c r="B3244">
        <v>11</v>
      </c>
      <c r="C3244">
        <v>16</v>
      </c>
      <c r="D3244" s="1">
        <f t="shared" si="400"/>
        <v>39768</v>
      </c>
      <c r="E3244">
        <v>0</v>
      </c>
      <c r="F3244">
        <f t="shared" si="406"/>
        <v>0</v>
      </c>
      <c r="G3244">
        <f t="shared" si="401"/>
        <v>0</v>
      </c>
      <c r="H3244">
        <f t="shared" si="407"/>
        <v>0</v>
      </c>
      <c r="I3244">
        <v>3243</v>
      </c>
      <c r="J3244">
        <f t="shared" si="402"/>
        <v>-0.68979600466558755</v>
      </c>
      <c r="K3244">
        <f t="shared" si="403"/>
        <v>0.72400377895933166</v>
      </c>
      <c r="L3244">
        <f>VLOOKUP(D3244,[1]SOI!$A$1:$C$142,3)</f>
        <v>13.4</v>
      </c>
      <c r="M3244" s="2">
        <f t="shared" si="404"/>
        <v>-2237.0084431305004</v>
      </c>
      <c r="N3244">
        <f t="shared" si="405"/>
        <v>2347.9442551651127</v>
      </c>
      <c r="O3244" t="s">
        <v>8</v>
      </c>
    </row>
    <row r="3245" spans="1:15" x14ac:dyDescent="0.35">
      <c r="A3245">
        <v>2008</v>
      </c>
      <c r="B3245">
        <v>11</v>
      </c>
      <c r="C3245">
        <v>17</v>
      </c>
      <c r="D3245" s="1">
        <f t="shared" si="400"/>
        <v>39769</v>
      </c>
      <c r="E3245">
        <v>0</v>
      </c>
      <c r="F3245">
        <f t="shared" si="406"/>
        <v>0</v>
      </c>
      <c r="G3245">
        <f t="shared" si="401"/>
        <v>0</v>
      </c>
      <c r="H3245">
        <f t="shared" si="407"/>
        <v>0</v>
      </c>
      <c r="I3245">
        <v>3244</v>
      </c>
      <c r="J3245">
        <f t="shared" si="402"/>
        <v>-0.67723993819094652</v>
      </c>
      <c r="K3245">
        <f t="shared" si="403"/>
        <v>0.73576223477365488</v>
      </c>
      <c r="L3245">
        <f>VLOOKUP(D3245,[1]SOI!$A$1:$C$142,3)</f>
        <v>13.4</v>
      </c>
      <c r="M3245" s="2">
        <f t="shared" si="404"/>
        <v>-2196.9663594914305</v>
      </c>
      <c r="N3245">
        <f t="shared" si="405"/>
        <v>2386.8126896057365</v>
      </c>
      <c r="O3245" t="s">
        <v>8</v>
      </c>
    </row>
    <row r="3246" spans="1:15" x14ac:dyDescent="0.35">
      <c r="A3246">
        <v>2008</v>
      </c>
      <c r="B3246">
        <v>11</v>
      </c>
      <c r="C3246">
        <v>18</v>
      </c>
      <c r="D3246" s="1">
        <f t="shared" si="400"/>
        <v>39770</v>
      </c>
      <c r="E3246">
        <v>0</v>
      </c>
      <c r="F3246">
        <f t="shared" si="406"/>
        <v>0</v>
      </c>
      <c r="G3246">
        <f t="shared" si="401"/>
        <v>0</v>
      </c>
      <c r="H3246">
        <f t="shared" si="407"/>
        <v>0</v>
      </c>
      <c r="I3246">
        <v>3245</v>
      </c>
      <c r="J3246">
        <f t="shared" si="402"/>
        <v>-0.66448346552285198</v>
      </c>
      <c r="K3246">
        <f t="shared" si="403"/>
        <v>0.7473029667054325</v>
      </c>
      <c r="L3246">
        <f>VLOOKUP(D3246,[1]SOI!$A$1:$C$142,3)</f>
        <v>13.4</v>
      </c>
      <c r="M3246" s="2">
        <f t="shared" si="404"/>
        <v>-2156.2488456216547</v>
      </c>
      <c r="N3246">
        <f t="shared" si="405"/>
        <v>2424.9981269591285</v>
      </c>
      <c r="O3246" t="s">
        <v>8</v>
      </c>
    </row>
    <row r="3247" spans="1:15" x14ac:dyDescent="0.35">
      <c r="A3247">
        <v>2008</v>
      </c>
      <c r="B3247">
        <v>11</v>
      </c>
      <c r="C3247">
        <v>19</v>
      </c>
      <c r="D3247" s="1">
        <f t="shared" si="400"/>
        <v>39771</v>
      </c>
      <c r="E3247">
        <v>0.4</v>
      </c>
      <c r="F3247">
        <f t="shared" si="406"/>
        <v>0</v>
      </c>
      <c r="G3247">
        <f t="shared" si="401"/>
        <v>1</v>
      </c>
      <c r="H3247">
        <f t="shared" si="407"/>
        <v>0</v>
      </c>
      <c r="I3247">
        <v>3246</v>
      </c>
      <c r="J3247">
        <f t="shared" si="402"/>
        <v>-0.65153036150680899</v>
      </c>
      <c r="K3247">
        <f t="shared" si="403"/>
        <v>0.75862255966640402</v>
      </c>
      <c r="L3247">
        <f>VLOOKUP(D3247,[1]SOI!$A$1:$C$142,3)</f>
        <v>13.4</v>
      </c>
      <c r="M3247" s="2">
        <f t="shared" si="404"/>
        <v>-2114.8675534511021</v>
      </c>
      <c r="N3247">
        <f t="shared" si="405"/>
        <v>2462.4888286771475</v>
      </c>
      <c r="O3247" t="s">
        <v>8</v>
      </c>
    </row>
    <row r="3248" spans="1:15" x14ac:dyDescent="0.35">
      <c r="A3248">
        <v>2008</v>
      </c>
      <c r="B3248">
        <v>11</v>
      </c>
      <c r="C3248">
        <v>20</v>
      </c>
      <c r="D3248" s="1">
        <f t="shared" si="400"/>
        <v>39772</v>
      </c>
      <c r="E3248">
        <v>4</v>
      </c>
      <c r="F3248">
        <f t="shared" si="406"/>
        <v>0.4</v>
      </c>
      <c r="G3248">
        <f t="shared" si="401"/>
        <v>1</v>
      </c>
      <c r="H3248">
        <f t="shared" si="407"/>
        <v>1</v>
      </c>
      <c r="I3248">
        <v>3247</v>
      </c>
      <c r="J3248">
        <f t="shared" si="402"/>
        <v>-0.63838445917466446</v>
      </c>
      <c r="K3248">
        <f t="shared" si="403"/>
        <v>0.76971766400692088</v>
      </c>
      <c r="L3248">
        <f>VLOOKUP(D3248,[1]SOI!$A$1:$C$142,3)</f>
        <v>13.4</v>
      </c>
      <c r="M3248" s="2">
        <f t="shared" si="404"/>
        <v>-2072.8343389401357</v>
      </c>
      <c r="N3248">
        <f t="shared" si="405"/>
        <v>2499.2732550304722</v>
      </c>
      <c r="O3248" t="s">
        <v>8</v>
      </c>
    </row>
    <row r="3249" spans="1:15" x14ac:dyDescent="0.35">
      <c r="A3249">
        <v>2008</v>
      </c>
      <c r="B3249">
        <v>11</v>
      </c>
      <c r="C3249">
        <v>21</v>
      </c>
      <c r="D3249" s="1">
        <f t="shared" si="400"/>
        <v>39773</v>
      </c>
      <c r="E3249">
        <v>0.2</v>
      </c>
      <c r="F3249">
        <f t="shared" si="406"/>
        <v>4</v>
      </c>
      <c r="G3249">
        <f t="shared" si="401"/>
        <v>1</v>
      </c>
      <c r="H3249">
        <f t="shared" si="407"/>
        <v>1</v>
      </c>
      <c r="I3249">
        <v>3248</v>
      </c>
      <c r="J3249">
        <f t="shared" si="402"/>
        <v>-0.6250496486104371</v>
      </c>
      <c r="K3249">
        <f t="shared" si="403"/>
        <v>0.78058499650708701</v>
      </c>
      <c r="L3249">
        <f>VLOOKUP(D3249,[1]SOI!$A$1:$C$142,3)</f>
        <v>13.4</v>
      </c>
      <c r="M3249" s="2">
        <f t="shared" si="404"/>
        <v>-2030.1612586866997</v>
      </c>
      <c r="N3249">
        <f t="shared" si="405"/>
        <v>2535.3400686550185</v>
      </c>
      <c r="O3249" t="s">
        <v>8</v>
      </c>
    </row>
    <row r="3250" spans="1:15" x14ac:dyDescent="0.35">
      <c r="A3250">
        <v>2008</v>
      </c>
      <c r="B3250">
        <v>11</v>
      </c>
      <c r="C3250">
        <v>22</v>
      </c>
      <c r="D3250" s="1">
        <f t="shared" si="400"/>
        <v>39774</v>
      </c>
      <c r="E3250">
        <v>5.8</v>
      </c>
      <c r="F3250">
        <f t="shared" si="406"/>
        <v>0.2</v>
      </c>
      <c r="G3250">
        <f t="shared" si="401"/>
        <v>1</v>
      </c>
      <c r="H3250">
        <f t="shared" si="407"/>
        <v>1</v>
      </c>
      <c r="I3250">
        <v>3249</v>
      </c>
      <c r="J3250">
        <f t="shared" si="402"/>
        <v>-0.61152987579910412</v>
      </c>
      <c r="K3250">
        <f t="shared" si="403"/>
        <v>0.79122134134838173</v>
      </c>
      <c r="L3250">
        <f>VLOOKUP(D3250,[1]SOI!$A$1:$C$142,3)</f>
        <v>13.4</v>
      </c>
      <c r="M3250" s="2">
        <f t="shared" si="404"/>
        <v>-1986.8605664712893</v>
      </c>
      <c r="N3250">
        <f t="shared" si="405"/>
        <v>2570.6781380408925</v>
      </c>
      <c r="O3250" t="s">
        <v>8</v>
      </c>
    </row>
    <row r="3251" spans="1:15" x14ac:dyDescent="0.35">
      <c r="A3251">
        <v>2008</v>
      </c>
      <c r="B3251">
        <v>11</v>
      </c>
      <c r="C3251">
        <v>23</v>
      </c>
      <c r="D3251" s="1">
        <f t="shared" si="400"/>
        <v>39775</v>
      </c>
      <c r="E3251">
        <v>15.2</v>
      </c>
      <c r="F3251">
        <f t="shared" si="406"/>
        <v>5.8</v>
      </c>
      <c r="G3251">
        <f t="shared" si="401"/>
        <v>1</v>
      </c>
      <c r="H3251">
        <f t="shared" si="407"/>
        <v>1</v>
      </c>
      <c r="I3251">
        <v>3250</v>
      </c>
      <c r="J3251">
        <f t="shared" si="402"/>
        <v>-0.59782914145895238</v>
      </c>
      <c r="K3251">
        <f t="shared" si="403"/>
        <v>0.80162355106524397</v>
      </c>
      <c r="L3251">
        <f>VLOOKUP(D3251,[1]SOI!$A$1:$C$142,3)</f>
        <v>13.4</v>
      </c>
      <c r="M3251" s="2">
        <f t="shared" si="404"/>
        <v>-1942.9447097415953</v>
      </c>
      <c r="N3251">
        <f t="shared" si="405"/>
        <v>2605.2765409620429</v>
      </c>
      <c r="O3251" t="s">
        <v>8</v>
      </c>
    </row>
    <row r="3252" spans="1:15" x14ac:dyDescent="0.35">
      <c r="A3252">
        <v>2008</v>
      </c>
      <c r="B3252">
        <v>11</v>
      </c>
      <c r="C3252">
        <v>24</v>
      </c>
      <c r="D3252" s="1">
        <f t="shared" si="400"/>
        <v>39776</v>
      </c>
      <c r="E3252">
        <v>0</v>
      </c>
      <c r="F3252">
        <f t="shared" si="406"/>
        <v>15.2</v>
      </c>
      <c r="G3252">
        <f t="shared" si="401"/>
        <v>0</v>
      </c>
      <c r="H3252">
        <f t="shared" si="407"/>
        <v>1</v>
      </c>
      <c r="I3252">
        <v>3251</v>
      </c>
      <c r="J3252">
        <f t="shared" si="402"/>
        <v>-0.58395149985770856</v>
      </c>
      <c r="K3252">
        <f t="shared" si="403"/>
        <v>0.81178854747645501</v>
      </c>
      <c r="L3252">
        <f>VLOOKUP(D3252,[1]SOI!$A$1:$C$142,3)</f>
        <v>13.4</v>
      </c>
      <c r="M3252" s="2">
        <f t="shared" si="404"/>
        <v>-1898.4263260374105</v>
      </c>
      <c r="N3252">
        <f t="shared" si="405"/>
        <v>2639.1245678459554</v>
      </c>
      <c r="O3252" t="s">
        <v>8</v>
      </c>
    </row>
    <row r="3253" spans="1:15" x14ac:dyDescent="0.35">
      <c r="A3253">
        <v>2008</v>
      </c>
      <c r="B3253">
        <v>11</v>
      </c>
      <c r="C3253">
        <v>25</v>
      </c>
      <c r="D3253" s="1">
        <f t="shared" si="400"/>
        <v>39777</v>
      </c>
      <c r="E3253">
        <v>0</v>
      </c>
      <c r="F3253">
        <f t="shared" si="406"/>
        <v>0</v>
      </c>
      <c r="G3253">
        <f t="shared" si="401"/>
        <v>0</v>
      </c>
      <c r="H3253">
        <f t="shared" si="407"/>
        <v>0</v>
      </c>
      <c r="I3253">
        <v>3252</v>
      </c>
      <c r="J3253">
        <f t="shared" si="402"/>
        <v>-0.56990105761276333</v>
      </c>
      <c r="K3253">
        <f t="shared" si="403"/>
        <v>0.82171332259605834</v>
      </c>
      <c r="L3253">
        <f>VLOOKUP(D3253,[1]SOI!$A$1:$C$142,3)</f>
        <v>13.4</v>
      </c>
      <c r="M3253" s="2">
        <f t="shared" si="404"/>
        <v>-1853.3182393567063</v>
      </c>
      <c r="N3253">
        <f t="shared" si="405"/>
        <v>2672.2117250823817</v>
      </c>
      <c r="O3253" t="s">
        <v>8</v>
      </c>
    </row>
    <row r="3254" spans="1:15" x14ac:dyDescent="0.35">
      <c r="A3254">
        <v>2008</v>
      </c>
      <c r="B3254">
        <v>11</v>
      </c>
      <c r="C3254">
        <v>26</v>
      </c>
      <c r="D3254" s="1">
        <f t="shared" si="400"/>
        <v>39778</v>
      </c>
      <c r="E3254">
        <v>0</v>
      </c>
      <c r="F3254">
        <f t="shared" si="406"/>
        <v>0</v>
      </c>
      <c r="G3254">
        <f t="shared" si="401"/>
        <v>0</v>
      </c>
      <c r="H3254">
        <f t="shared" si="407"/>
        <v>0</v>
      </c>
      <c r="I3254">
        <v>3253</v>
      </c>
      <c r="J3254">
        <f t="shared" si="402"/>
        <v>-0.55568197247604978</v>
      </c>
      <c r="K3254">
        <f t="shared" si="403"/>
        <v>0.83139493952340515</v>
      </c>
      <c r="L3254">
        <f>VLOOKUP(D3254,[1]SOI!$A$1:$C$142,3)</f>
        <v>13.4</v>
      </c>
      <c r="M3254" s="2">
        <f t="shared" si="404"/>
        <v>-1807.6334564645899</v>
      </c>
      <c r="N3254">
        <f t="shared" si="405"/>
        <v>2704.5277382696368</v>
      </c>
      <c r="O3254" t="s">
        <v>8</v>
      </c>
    </row>
    <row r="3255" spans="1:15" x14ac:dyDescent="0.35">
      <c r="A3255">
        <v>2008</v>
      </c>
      <c r="B3255">
        <v>11</v>
      </c>
      <c r="C3255">
        <v>27</v>
      </c>
      <c r="D3255" s="1">
        <f t="shared" si="400"/>
        <v>39779</v>
      </c>
      <c r="E3255">
        <v>0</v>
      </c>
      <c r="F3255">
        <f t="shared" si="406"/>
        <v>0</v>
      </c>
      <c r="G3255">
        <f t="shared" si="401"/>
        <v>0</v>
      </c>
      <c r="H3255">
        <f t="shared" si="407"/>
        <v>0</v>
      </c>
      <c r="I3255">
        <v>3254</v>
      </c>
      <c r="J3255">
        <f t="shared" si="402"/>
        <v>-0.54129845210361738</v>
      </c>
      <c r="K3255">
        <f t="shared" si="403"/>
        <v>0.84083053331228874</v>
      </c>
      <c r="L3255">
        <f>VLOOKUP(D3255,[1]SOI!$A$1:$C$142,3)</f>
        <v>13.4</v>
      </c>
      <c r="M3255" s="2">
        <f t="shared" si="404"/>
        <v>-1761.385163145171</v>
      </c>
      <c r="N3255">
        <f t="shared" si="405"/>
        <v>2736.0625553981877</v>
      </c>
      <c r="O3255" t="s">
        <v>8</v>
      </c>
    </row>
    <row r="3256" spans="1:15" x14ac:dyDescent="0.35">
      <c r="A3256">
        <v>2008</v>
      </c>
      <c r="B3256">
        <v>11</v>
      </c>
      <c r="C3256">
        <v>28</v>
      </c>
      <c r="D3256" s="1">
        <f t="shared" si="400"/>
        <v>39780</v>
      </c>
      <c r="E3256">
        <v>0.4</v>
      </c>
      <c r="F3256">
        <f t="shared" si="406"/>
        <v>0</v>
      </c>
      <c r="G3256">
        <f t="shared" si="401"/>
        <v>1</v>
      </c>
      <c r="H3256">
        <f t="shared" si="407"/>
        <v>0</v>
      </c>
      <c r="I3256">
        <v>3255</v>
      </c>
      <c r="J3256">
        <f t="shared" si="402"/>
        <v>-0.52675475281055284</v>
      </c>
      <c r="K3256">
        <f t="shared" si="403"/>
        <v>0.85001731181870255</v>
      </c>
      <c r="L3256">
        <f>VLOOKUP(D3256,[1]SOI!$A$1:$C$142,3)</f>
        <v>13.4</v>
      </c>
      <c r="M3256" s="2">
        <f t="shared" si="404"/>
        <v>-1714.5867203983496</v>
      </c>
      <c r="N3256">
        <f t="shared" si="405"/>
        <v>2766.8063499698769</v>
      </c>
      <c r="O3256" t="s">
        <v>8</v>
      </c>
    </row>
    <row r="3257" spans="1:15" x14ac:dyDescent="0.35">
      <c r="A3257">
        <v>2008</v>
      </c>
      <c r="B3257">
        <v>11</v>
      </c>
      <c r="C3257">
        <v>29</v>
      </c>
      <c r="D3257" s="1">
        <f t="shared" si="400"/>
        <v>39781</v>
      </c>
      <c r="E3257">
        <v>5.4</v>
      </c>
      <c r="F3257">
        <f t="shared" si="406"/>
        <v>0.4</v>
      </c>
      <c r="G3257">
        <f t="shared" si="401"/>
        <v>1</v>
      </c>
      <c r="H3257">
        <f t="shared" si="407"/>
        <v>1</v>
      </c>
      <c r="I3257">
        <v>3256</v>
      </c>
      <c r="J3257">
        <f t="shared" si="402"/>
        <v>-0.51205517831146252</v>
      </c>
      <c r="K3257">
        <f t="shared" si="403"/>
        <v>0.85895255652708569</v>
      </c>
      <c r="L3257">
        <f>VLOOKUP(D3257,[1]SOI!$A$1:$C$142,3)</f>
        <v>13.4</v>
      </c>
      <c r="M3257" s="2">
        <f t="shared" si="404"/>
        <v>-1667.251660582122</v>
      </c>
      <c r="N3257">
        <f t="shared" si="405"/>
        <v>2796.7495240521912</v>
      </c>
      <c r="O3257" t="s">
        <v>8</v>
      </c>
    </row>
    <row r="3258" spans="1:15" x14ac:dyDescent="0.35">
      <c r="A3258">
        <v>2008</v>
      </c>
      <c r="B3258">
        <v>11</v>
      </c>
      <c r="C3258">
        <v>30</v>
      </c>
      <c r="D3258" s="1">
        <f t="shared" si="400"/>
        <v>39782</v>
      </c>
      <c r="E3258">
        <v>0</v>
      </c>
      <c r="F3258">
        <f t="shared" si="406"/>
        <v>5.4</v>
      </c>
      <c r="G3258">
        <f t="shared" si="401"/>
        <v>0</v>
      </c>
      <c r="H3258">
        <f t="shared" si="407"/>
        <v>1</v>
      </c>
      <c r="I3258">
        <v>3257</v>
      </c>
      <c r="J3258">
        <f t="shared" si="402"/>
        <v>-0.49720407844694031</v>
      </c>
      <c r="K3258">
        <f t="shared" si="403"/>
        <v>0.86763362335477112</v>
      </c>
      <c r="L3258">
        <f>VLOOKUP(D3258,[1]SOI!$A$1:$C$142,3)</f>
        <v>13.4</v>
      </c>
      <c r="M3258" s="2">
        <f t="shared" si="404"/>
        <v>-1619.3936835016846</v>
      </c>
      <c r="N3258">
        <f t="shared" si="405"/>
        <v>2825.8827112664894</v>
      </c>
      <c r="O3258" t="s">
        <v>8</v>
      </c>
    </row>
    <row r="3259" spans="1:15" x14ac:dyDescent="0.35">
      <c r="A3259">
        <v>2008</v>
      </c>
      <c r="B3259">
        <v>12</v>
      </c>
      <c r="C3259">
        <v>1</v>
      </c>
      <c r="D3259" s="1">
        <f t="shared" si="400"/>
        <v>39783</v>
      </c>
      <c r="E3259">
        <v>1.4</v>
      </c>
      <c r="F3259">
        <f t="shared" si="406"/>
        <v>0</v>
      </c>
      <c r="G3259">
        <f t="shared" si="401"/>
        <v>1</v>
      </c>
      <c r="H3259">
        <f t="shared" si="407"/>
        <v>0</v>
      </c>
      <c r="I3259">
        <v>3258</v>
      </c>
      <c r="J3259">
        <f t="shared" si="402"/>
        <v>-0.48220584789635512</v>
      </c>
      <c r="K3259">
        <f t="shared" si="403"/>
        <v>0.87605794343442678</v>
      </c>
      <c r="L3259">
        <f>VLOOKUP(D3259,[1]SOI!$A$1:$C$142,3)</f>
        <v>17.100000000000001</v>
      </c>
      <c r="M3259" s="2">
        <f t="shared" si="404"/>
        <v>-1571.026652446325</v>
      </c>
      <c r="N3259">
        <f t="shared" si="405"/>
        <v>2854.1967797093625</v>
      </c>
      <c r="O3259" t="s">
        <v>8</v>
      </c>
    </row>
    <row r="3260" spans="1:15" x14ac:dyDescent="0.35">
      <c r="A3260">
        <v>2008</v>
      </c>
      <c r="B3260">
        <v>12</v>
      </c>
      <c r="C3260">
        <v>2</v>
      </c>
      <c r="D3260" s="1">
        <f t="shared" si="400"/>
        <v>39784</v>
      </c>
      <c r="E3260">
        <v>0</v>
      </c>
      <c r="F3260">
        <f t="shared" si="406"/>
        <v>1.4</v>
      </c>
      <c r="G3260">
        <f t="shared" si="401"/>
        <v>0</v>
      </c>
      <c r="H3260">
        <f t="shared" si="407"/>
        <v>1</v>
      </c>
      <c r="I3260">
        <v>3259</v>
      </c>
      <c r="J3260">
        <f t="shared" si="402"/>
        <v>-0.46706492487743129</v>
      </c>
      <c r="K3260">
        <f t="shared" si="403"/>
        <v>0.88422302387420304</v>
      </c>
      <c r="L3260">
        <f>VLOOKUP(D3260,[1]SOI!$A$1:$C$142,3)</f>
        <v>17.100000000000001</v>
      </c>
      <c r="M3260" s="2">
        <f t="shared" si="404"/>
        <v>-1522.1645901755485</v>
      </c>
      <c r="N3260">
        <f t="shared" si="405"/>
        <v>2881.6828348060276</v>
      </c>
      <c r="O3260" t="s">
        <v>8</v>
      </c>
    </row>
    <row r="3261" spans="1:15" x14ac:dyDescent="0.35">
      <c r="A3261">
        <v>2008</v>
      </c>
      <c r="B3261">
        <v>12</v>
      </c>
      <c r="C3261">
        <v>3</v>
      </c>
      <c r="D3261" s="1">
        <f t="shared" si="400"/>
        <v>39785</v>
      </c>
      <c r="E3261">
        <v>0</v>
      </c>
      <c r="F3261">
        <f t="shared" si="406"/>
        <v>0</v>
      </c>
      <c r="G3261">
        <f t="shared" si="401"/>
        <v>0</v>
      </c>
      <c r="H3261">
        <f t="shared" si="407"/>
        <v>0</v>
      </c>
      <c r="I3261">
        <v>3260</v>
      </c>
      <c r="J3261">
        <f t="shared" si="402"/>
        <v>-0.45178578983288414</v>
      </c>
      <c r="K3261">
        <f t="shared" si="403"/>
        <v>0.89212644849543443</v>
      </c>
      <c r="L3261">
        <f>VLOOKUP(D3261,[1]SOI!$A$1:$C$142,3)</f>
        <v>17.100000000000001</v>
      </c>
      <c r="M3261" s="2">
        <f t="shared" si="404"/>
        <v>-1472.8216748552022</v>
      </c>
      <c r="N3261">
        <f t="shared" si="405"/>
        <v>2908.3322220951163</v>
      </c>
      <c r="O3261" t="s">
        <v>8</v>
      </c>
    </row>
    <row r="3262" spans="1:15" x14ac:dyDescent="0.35">
      <c r="A3262">
        <v>2008</v>
      </c>
      <c r="B3262">
        <v>12</v>
      </c>
      <c r="C3262">
        <v>4</v>
      </c>
      <c r="D3262" s="1">
        <f t="shared" si="400"/>
        <v>39786</v>
      </c>
      <c r="E3262">
        <v>0</v>
      </c>
      <c r="F3262">
        <f t="shared" si="406"/>
        <v>0</v>
      </c>
      <c r="G3262">
        <f t="shared" si="401"/>
        <v>0</v>
      </c>
      <c r="H3262">
        <f t="shared" si="407"/>
        <v>0</v>
      </c>
      <c r="I3262">
        <v>3261</v>
      </c>
      <c r="J3262">
        <f t="shared" si="402"/>
        <v>-0.43637296410459098</v>
      </c>
      <c r="K3262">
        <f t="shared" si="403"/>
        <v>0.89976587854762158</v>
      </c>
      <c r="L3262">
        <f>VLOOKUP(D3262,[1]SOI!$A$1:$C$142,3)</f>
        <v>17.100000000000001</v>
      </c>
      <c r="M3262" s="2">
        <f t="shared" si="404"/>
        <v>-1423.0122359450711</v>
      </c>
      <c r="N3262">
        <f t="shared" si="405"/>
        <v>2934.1365299437939</v>
      </c>
      <c r="O3262" t="s">
        <v>8</v>
      </c>
    </row>
    <row r="3263" spans="1:15" x14ac:dyDescent="0.35">
      <c r="A3263">
        <v>2008</v>
      </c>
      <c r="B3263">
        <v>12</v>
      </c>
      <c r="C3263">
        <v>5</v>
      </c>
      <c r="D3263" s="1">
        <f t="shared" si="400"/>
        <v>39787</v>
      </c>
      <c r="E3263">
        <v>0.6</v>
      </c>
      <c r="F3263">
        <f t="shared" si="406"/>
        <v>0</v>
      </c>
      <c r="G3263">
        <f t="shared" si="401"/>
        <v>1</v>
      </c>
      <c r="H3263">
        <f t="shared" si="407"/>
        <v>0</v>
      </c>
      <c r="I3263">
        <v>3262</v>
      </c>
      <c r="J3263">
        <f t="shared" si="402"/>
        <v>-0.42083100859565981</v>
      </c>
      <c r="K3263">
        <f t="shared" si="403"/>
        <v>0.90713905340050249</v>
      </c>
      <c r="L3263">
        <f>VLOOKUP(D3263,[1]SOI!$A$1:$C$142,3)</f>
        <v>17.100000000000001</v>
      </c>
      <c r="M3263" s="2">
        <f t="shared" si="404"/>
        <v>-1372.7507500390423</v>
      </c>
      <c r="N3263">
        <f t="shared" si="405"/>
        <v>2959.0875921924389</v>
      </c>
      <c r="O3263" t="s">
        <v>8</v>
      </c>
    </row>
    <row r="3264" spans="1:15" x14ac:dyDescent="0.35">
      <c r="A3264">
        <v>2008</v>
      </c>
      <c r="B3264">
        <v>12</v>
      </c>
      <c r="C3264">
        <v>6</v>
      </c>
      <c r="D3264" s="1">
        <f t="shared" si="400"/>
        <v>39788</v>
      </c>
      <c r="E3264">
        <v>0</v>
      </c>
      <c r="F3264">
        <f t="shared" si="406"/>
        <v>0.6</v>
      </c>
      <c r="G3264">
        <f t="shared" si="401"/>
        <v>0</v>
      </c>
      <c r="H3264">
        <f t="shared" si="407"/>
        <v>1</v>
      </c>
      <c r="I3264">
        <v>3263</v>
      </c>
      <c r="J3264">
        <f t="shared" si="402"/>
        <v>-0.4051645224207589</v>
      </c>
      <c r="K3264">
        <f t="shared" si="403"/>
        <v>0.91424379121302124</v>
      </c>
      <c r="L3264">
        <f>VLOOKUP(D3264,[1]SOI!$A$1:$C$142,3)</f>
        <v>17.100000000000001</v>
      </c>
      <c r="M3264" s="2">
        <f t="shared" si="404"/>
        <v>-1322.0518366589363</v>
      </c>
      <c r="N3264">
        <f t="shared" si="405"/>
        <v>2983.1774907280883</v>
      </c>
      <c r="O3264" t="s">
        <v>8</v>
      </c>
    </row>
    <row r="3265" spans="1:15" x14ac:dyDescent="0.35">
      <c r="A3265">
        <v>2008</v>
      </c>
      <c r="B3265">
        <v>12</v>
      </c>
      <c r="C3265">
        <v>7</v>
      </c>
      <c r="D3265" s="1">
        <f t="shared" si="400"/>
        <v>39789</v>
      </c>
      <c r="E3265">
        <v>0.4</v>
      </c>
      <c r="F3265">
        <f t="shared" si="406"/>
        <v>0</v>
      </c>
      <c r="G3265">
        <f t="shared" si="401"/>
        <v>1</v>
      </c>
      <c r="H3265">
        <f t="shared" si="407"/>
        <v>0</v>
      </c>
      <c r="I3265">
        <v>3264</v>
      </c>
      <c r="J3265">
        <f t="shared" si="402"/>
        <v>-0.38937814154520334</v>
      </c>
      <c r="K3265">
        <f t="shared" si="403"/>
        <v>0.92107798957895182</v>
      </c>
      <c r="L3265">
        <f>VLOOKUP(D3265,[1]SOI!$A$1:$C$142,3)</f>
        <v>17.100000000000001</v>
      </c>
      <c r="M3265" s="2">
        <f t="shared" si="404"/>
        <v>-1270.9302540035437</v>
      </c>
      <c r="N3265">
        <f t="shared" si="405"/>
        <v>3006.3985579856985</v>
      </c>
      <c r="O3265" t="s">
        <v>8</v>
      </c>
    </row>
    <row r="3266" spans="1:15" x14ac:dyDescent="0.35">
      <c r="A3266">
        <v>2008</v>
      </c>
      <c r="B3266">
        <v>12</v>
      </c>
      <c r="C3266">
        <v>8</v>
      </c>
      <c r="D3266" s="1">
        <f t="shared" si="400"/>
        <v>39790</v>
      </c>
      <c r="E3266">
        <v>0</v>
      </c>
      <c r="F3266">
        <f t="shared" si="406"/>
        <v>0.4</v>
      </c>
      <c r="G3266">
        <f t="shared" si="401"/>
        <v>0</v>
      </c>
      <c r="H3266">
        <f t="shared" si="407"/>
        <v>1</v>
      </c>
      <c r="I3266">
        <v>3265</v>
      </c>
      <c r="J3266">
        <f t="shared" si="402"/>
        <v>-0.37347653741307257</v>
      </c>
      <c r="K3266">
        <f t="shared" si="403"/>
        <v>0.92763962614904594</v>
      </c>
      <c r="L3266">
        <f>VLOOKUP(D3266,[1]SOI!$A$1:$C$142,3)</f>
        <v>17.100000000000001</v>
      </c>
      <c r="M3266" s="2">
        <f t="shared" si="404"/>
        <v>-1219.4008946536819</v>
      </c>
      <c r="N3266">
        <f t="shared" si="405"/>
        <v>3028.7433793766349</v>
      </c>
      <c r="O3266" t="s">
        <v>8</v>
      </c>
    </row>
    <row r="3267" spans="1:15" x14ac:dyDescent="0.35">
      <c r="A3267">
        <v>2008</v>
      </c>
      <c r="B3267">
        <v>12</v>
      </c>
      <c r="C3267">
        <v>9</v>
      </c>
      <c r="D3267" s="1">
        <f t="shared" ref="D3267:D3330" si="408">DATE(A3267,B3267,C3267)</f>
        <v>39791</v>
      </c>
      <c r="E3267">
        <v>0</v>
      </c>
      <c r="F3267">
        <f t="shared" si="406"/>
        <v>0</v>
      </c>
      <c r="G3267">
        <f t="shared" ref="G3267:G3330" si="409">IF(E3267=0,0,1)</f>
        <v>0</v>
      </c>
      <c r="H3267">
        <f t="shared" si="407"/>
        <v>0</v>
      </c>
      <c r="I3267">
        <v>3266</v>
      </c>
      <c r="J3267">
        <f t="shared" ref="J3267:J3330" si="410">SIN(2*PI()*I3267/365.25)</f>
        <v>-0.35746441556486158</v>
      </c>
      <c r="K3267">
        <f t="shared" ref="K3267:K3330" si="411">COS(2*PI()*I3267/365.25)</f>
        <v>0.93392675922947621</v>
      </c>
      <c r="L3267">
        <f>VLOOKUP(D3267,[1]SOI!$A$1:$C$142,3)</f>
        <v>17.100000000000001</v>
      </c>
      <c r="M3267" s="2">
        <f t="shared" ref="M3267:M3330" si="412">I3267*J3267</f>
        <v>-1167.4787812348379</v>
      </c>
      <c r="N3267">
        <f t="shared" ref="N3267:N3330" si="413">I3267*K3267</f>
        <v>3050.2047956434694</v>
      </c>
      <c r="O3267" t="s">
        <v>8</v>
      </c>
    </row>
    <row r="3268" spans="1:15" x14ac:dyDescent="0.35">
      <c r="A3268">
        <v>2008</v>
      </c>
      <c r="B3268">
        <v>12</v>
      </c>
      <c r="C3268">
        <v>10</v>
      </c>
      <c r="D3268" s="1">
        <f t="shared" si="408"/>
        <v>39792</v>
      </c>
      <c r="E3268">
        <v>4.8</v>
      </c>
      <c r="F3268">
        <f t="shared" ref="F3268:F3331" si="414">E3267</f>
        <v>0</v>
      </c>
      <c r="G3268">
        <f t="shared" si="409"/>
        <v>1</v>
      </c>
      <c r="H3268">
        <f t="shared" ref="H3268:H3331" si="415">G3267</f>
        <v>0</v>
      </c>
      <c r="I3268">
        <v>3267</v>
      </c>
      <c r="J3268">
        <f t="shared" si="410"/>
        <v>-0.34134651424503548</v>
      </c>
      <c r="K3268">
        <f t="shared" si="411"/>
        <v>0.93993752835641353</v>
      </c>
      <c r="L3268">
        <f>VLOOKUP(D3268,[1]SOI!$A$1:$C$142,3)</f>
        <v>17.100000000000001</v>
      </c>
      <c r="M3268" s="2">
        <f t="shared" si="412"/>
        <v>-1115.1790620385309</v>
      </c>
      <c r="N3268">
        <f t="shared" si="413"/>
        <v>3070.7759051404032</v>
      </c>
      <c r="O3268" t="s">
        <v>8</v>
      </c>
    </row>
    <row r="3269" spans="1:15" x14ac:dyDescent="0.35">
      <c r="A3269">
        <v>2008</v>
      </c>
      <c r="B3269">
        <v>12</v>
      </c>
      <c r="C3269">
        <v>11</v>
      </c>
      <c r="D3269" s="1">
        <f t="shared" si="408"/>
        <v>39793</v>
      </c>
      <c r="E3269">
        <v>0</v>
      </c>
      <c r="F3269">
        <f t="shared" si="414"/>
        <v>4.8</v>
      </c>
      <c r="G3269">
        <f t="shared" si="409"/>
        <v>0</v>
      </c>
      <c r="H3269">
        <f t="shared" si="415"/>
        <v>1</v>
      </c>
      <c r="I3269">
        <v>3268</v>
      </c>
      <c r="J3269">
        <f t="shared" si="410"/>
        <v>-0.32512760299991367</v>
      </c>
      <c r="K3269">
        <f t="shared" si="411"/>
        <v>0.94567015484656725</v>
      </c>
      <c r="L3269">
        <f>VLOOKUP(D3269,[1]SOI!$A$1:$C$142,3)</f>
        <v>17.100000000000001</v>
      </c>
      <c r="M3269" s="2">
        <f t="shared" si="412"/>
        <v>-1062.5170066037178</v>
      </c>
      <c r="N3269">
        <f t="shared" si="413"/>
        <v>3090.4500660385816</v>
      </c>
      <c r="O3269" t="s">
        <v>8</v>
      </c>
    </row>
    <row r="3270" spans="1:15" x14ac:dyDescent="0.35">
      <c r="A3270">
        <v>2008</v>
      </c>
      <c r="B3270">
        <v>12</v>
      </c>
      <c r="C3270">
        <v>12</v>
      </c>
      <c r="D3270" s="1">
        <f t="shared" si="408"/>
        <v>39794</v>
      </c>
      <c r="E3270">
        <v>0</v>
      </c>
      <c r="F3270">
        <f t="shared" si="414"/>
        <v>0</v>
      </c>
      <c r="G3270">
        <f t="shared" si="409"/>
        <v>0</v>
      </c>
      <c r="H3270">
        <f t="shared" si="415"/>
        <v>0</v>
      </c>
      <c r="I3270">
        <v>3269</v>
      </c>
      <c r="J3270">
        <f t="shared" si="410"/>
        <v>-0.30881248126625732</v>
      </c>
      <c r="K3270">
        <f t="shared" si="411"/>
        <v>0.95112294232353445</v>
      </c>
      <c r="L3270">
        <f>VLOOKUP(D3270,[1]SOI!$A$1:$C$142,3)</f>
        <v>17.100000000000001</v>
      </c>
      <c r="M3270" s="2">
        <f t="shared" si="412"/>
        <v>-1009.5080012593952</v>
      </c>
      <c r="N3270">
        <f t="shared" si="413"/>
        <v>3109.2208984556341</v>
      </c>
      <c r="O3270" t="s">
        <v>8</v>
      </c>
    </row>
    <row r="3271" spans="1:15" x14ac:dyDescent="0.35">
      <c r="A3271">
        <v>2008</v>
      </c>
      <c r="B3271">
        <v>12</v>
      </c>
      <c r="C3271">
        <v>13</v>
      </c>
      <c r="D3271" s="1">
        <f t="shared" si="408"/>
        <v>39795</v>
      </c>
      <c r="E3271">
        <v>36.200000000000003</v>
      </c>
      <c r="F3271">
        <f t="shared" si="414"/>
        <v>0</v>
      </c>
      <c r="G3271">
        <f t="shared" si="409"/>
        <v>1</v>
      </c>
      <c r="H3271">
        <f t="shared" si="415"/>
        <v>0</v>
      </c>
      <c r="I3271">
        <v>3270</v>
      </c>
      <c r="J3271">
        <f t="shared" si="410"/>
        <v>-0.29240597695107923</v>
      </c>
      <c r="K3271">
        <f t="shared" si="411"/>
        <v>0.95629427721977134</v>
      </c>
      <c r="L3271">
        <f>VLOOKUP(D3271,[1]SOI!$A$1:$C$142,3)</f>
        <v>17.100000000000001</v>
      </c>
      <c r="M3271" s="2">
        <f t="shared" si="412"/>
        <v>-956.16754463002906</v>
      </c>
      <c r="N3271">
        <f t="shared" si="413"/>
        <v>3127.0822865086525</v>
      </c>
      <c r="O3271" t="s">
        <v>8</v>
      </c>
    </row>
    <row r="3272" spans="1:15" x14ac:dyDescent="0.35">
      <c r="A3272">
        <v>2008</v>
      </c>
      <c r="B3272">
        <v>12</v>
      </c>
      <c r="C3272">
        <v>14</v>
      </c>
      <c r="D3272" s="1">
        <f t="shared" si="408"/>
        <v>39796</v>
      </c>
      <c r="E3272">
        <v>21.8</v>
      </c>
      <c r="F3272">
        <f t="shared" si="414"/>
        <v>36.200000000000003</v>
      </c>
      <c r="G3272">
        <f t="shared" si="409"/>
        <v>1</v>
      </c>
      <c r="H3272">
        <f t="shared" si="415"/>
        <v>1</v>
      </c>
      <c r="I3272">
        <v>3271</v>
      </c>
      <c r="J3272">
        <f t="shared" si="410"/>
        <v>-0.27591294500296148</v>
      </c>
      <c r="K3272">
        <f t="shared" si="411"/>
        <v>0.96118262925408338</v>
      </c>
      <c r="L3272">
        <f>VLOOKUP(D3272,[1]SOI!$A$1:$C$142,3)</f>
        <v>17.100000000000001</v>
      </c>
      <c r="M3272" s="2">
        <f t="shared" si="412"/>
        <v>-902.51124310468697</v>
      </c>
      <c r="N3272">
        <f t="shared" si="413"/>
        <v>3144.0283802901067</v>
      </c>
      <c r="O3272" t="s">
        <v>8</v>
      </c>
    </row>
    <row r="3273" spans="1:15" x14ac:dyDescent="0.35">
      <c r="A3273">
        <v>2008</v>
      </c>
      <c r="B3273">
        <v>12</v>
      </c>
      <c r="C3273">
        <v>15</v>
      </c>
      <c r="D3273" s="1">
        <f t="shared" si="408"/>
        <v>39797</v>
      </c>
      <c r="E3273">
        <v>0.8</v>
      </c>
      <c r="F3273">
        <f t="shared" si="414"/>
        <v>21.8</v>
      </c>
      <c r="G3273">
        <f t="shared" si="409"/>
        <v>1</v>
      </c>
      <c r="H3273">
        <f t="shared" si="415"/>
        <v>1</v>
      </c>
      <c r="I3273">
        <v>3272</v>
      </c>
      <c r="J3273">
        <f t="shared" si="410"/>
        <v>-0.25933826597540494</v>
      </c>
      <c r="K3273">
        <f t="shared" si="411"/>
        <v>0.96578655188445761</v>
      </c>
      <c r="L3273">
        <f>VLOOKUP(D3273,[1]SOI!$A$1:$C$142,3)</f>
        <v>17.100000000000001</v>
      </c>
      <c r="M3273" s="2">
        <f t="shared" si="412"/>
        <v>-848.55480627152497</v>
      </c>
      <c r="N3273">
        <f t="shared" si="413"/>
        <v>3160.0535977659451</v>
      </c>
      <c r="O3273" t="s">
        <v>8</v>
      </c>
    </row>
    <row r="3274" spans="1:15" x14ac:dyDescent="0.35">
      <c r="A3274">
        <v>2008</v>
      </c>
      <c r="B3274">
        <v>12</v>
      </c>
      <c r="C3274">
        <v>16</v>
      </c>
      <c r="D3274" s="1">
        <f t="shared" si="408"/>
        <v>39798</v>
      </c>
      <c r="E3274">
        <v>0</v>
      </c>
      <c r="F3274">
        <f t="shared" si="414"/>
        <v>0.8</v>
      </c>
      <c r="G3274">
        <f t="shared" si="409"/>
        <v>0</v>
      </c>
      <c r="H3274">
        <f t="shared" si="415"/>
        <v>1</v>
      </c>
      <c r="I3274">
        <v>3273</v>
      </c>
      <c r="J3274">
        <f t="shared" si="410"/>
        <v>-0.24268684458260162</v>
      </c>
      <c r="K3274">
        <f t="shared" si="411"/>
        <v>0.97010468273611594</v>
      </c>
      <c r="L3274">
        <f>VLOOKUP(D3274,[1]SOI!$A$1:$C$142,3)</f>
        <v>17.100000000000001</v>
      </c>
      <c r="M3274" s="2">
        <f t="shared" si="412"/>
        <v>-794.31404231885506</v>
      </c>
      <c r="N3274">
        <f t="shared" si="413"/>
        <v>3175.1526265953075</v>
      </c>
      <c r="O3274" t="s">
        <v>8</v>
      </c>
    </row>
    <row r="3275" spans="1:15" x14ac:dyDescent="0.35">
      <c r="A3275">
        <v>2008</v>
      </c>
      <c r="B3275">
        <v>12</v>
      </c>
      <c r="C3275">
        <v>17</v>
      </c>
      <c r="D3275" s="1">
        <f t="shared" si="408"/>
        <v>39799</v>
      </c>
      <c r="E3275">
        <v>3.4</v>
      </c>
      <c r="F3275">
        <f t="shared" si="414"/>
        <v>0</v>
      </c>
      <c r="G3275">
        <f t="shared" si="409"/>
        <v>1</v>
      </c>
      <c r="H3275">
        <f t="shared" si="415"/>
        <v>0</v>
      </c>
      <c r="I3275">
        <v>3274</v>
      </c>
      <c r="J3275">
        <f t="shared" si="410"/>
        <v>-0.22596360824802356</v>
      </c>
      <c r="K3275">
        <f t="shared" si="411"/>
        <v>0.97413574400467096</v>
      </c>
      <c r="L3275">
        <f>VLOOKUP(D3275,[1]SOI!$A$1:$C$142,3)</f>
        <v>17.100000000000001</v>
      </c>
      <c r="M3275" s="2">
        <f t="shared" si="412"/>
        <v>-739.80485340402913</v>
      </c>
      <c r="N3275">
        <f t="shared" si="413"/>
        <v>3189.3204258712926</v>
      </c>
      <c r="O3275" t="s">
        <v>8</v>
      </c>
    </row>
    <row r="3276" spans="1:15" x14ac:dyDescent="0.35">
      <c r="A3276">
        <v>2008</v>
      </c>
      <c r="B3276">
        <v>12</v>
      </c>
      <c r="C3276">
        <v>18</v>
      </c>
      <c r="D3276" s="1">
        <f t="shared" si="408"/>
        <v>39800</v>
      </c>
      <c r="E3276">
        <v>1.4</v>
      </c>
      <c r="F3276">
        <f t="shared" si="414"/>
        <v>3.4</v>
      </c>
      <c r="G3276">
        <f t="shared" si="409"/>
        <v>1</v>
      </c>
      <c r="H3276">
        <f t="shared" si="415"/>
        <v>1</v>
      </c>
      <c r="I3276">
        <v>3275</v>
      </c>
      <c r="J3276">
        <f t="shared" si="410"/>
        <v>-0.20917350564636003</v>
      </c>
      <c r="K3276">
        <f t="shared" si="411"/>
        <v>0.97787854283423781</v>
      </c>
      <c r="L3276">
        <f>VLOOKUP(D3276,[1]SOI!$A$1:$C$142,3)</f>
        <v>17.100000000000001</v>
      </c>
      <c r="M3276" s="2">
        <f t="shared" si="412"/>
        <v>-685.04323099182909</v>
      </c>
      <c r="N3276">
        <f t="shared" si="413"/>
        <v>3202.5522277821287</v>
      </c>
      <c r="O3276" t="s">
        <v>8</v>
      </c>
    </row>
    <row r="3277" spans="1:15" x14ac:dyDescent="0.35">
      <c r="A3277">
        <v>2008</v>
      </c>
      <c r="B3277">
        <v>12</v>
      </c>
      <c r="C3277">
        <v>19</v>
      </c>
      <c r="D3277" s="1">
        <f t="shared" si="408"/>
        <v>39801</v>
      </c>
      <c r="E3277">
        <v>4</v>
      </c>
      <c r="F3277">
        <f t="shared" si="414"/>
        <v>1.4</v>
      </c>
      <c r="G3277">
        <f t="shared" si="409"/>
        <v>1</v>
      </c>
      <c r="H3277">
        <f t="shared" si="415"/>
        <v>1</v>
      </c>
      <c r="I3277">
        <v>3276</v>
      </c>
      <c r="J3277">
        <f t="shared" si="410"/>
        <v>-0.19232150523909763</v>
      </c>
      <c r="K3277">
        <f t="shared" si="411"/>
        <v>0.98133197167042696</v>
      </c>
      <c r="L3277">
        <f>VLOOKUP(D3277,[1]SOI!$A$1:$C$142,3)</f>
        <v>17.100000000000001</v>
      </c>
      <c r="M3277" s="2">
        <f t="shared" si="412"/>
        <v>-630.04525116328387</v>
      </c>
      <c r="N3277">
        <f t="shared" si="413"/>
        <v>3214.8435391923185</v>
      </c>
      <c r="O3277" t="s">
        <v>8</v>
      </c>
    </row>
    <row r="3278" spans="1:15" x14ac:dyDescent="0.35">
      <c r="A3278">
        <v>2008</v>
      </c>
      <c r="B3278">
        <v>12</v>
      </c>
      <c r="C3278">
        <v>20</v>
      </c>
      <c r="D3278" s="1">
        <f t="shared" si="408"/>
        <v>39802</v>
      </c>
      <c r="E3278">
        <v>0.2</v>
      </c>
      <c r="F3278">
        <f t="shared" si="414"/>
        <v>4</v>
      </c>
      <c r="G3278">
        <f t="shared" si="409"/>
        <v>1</v>
      </c>
      <c r="H3278">
        <f t="shared" si="415"/>
        <v>1</v>
      </c>
      <c r="I3278">
        <v>3277</v>
      </c>
      <c r="J3278">
        <f t="shared" si="410"/>
        <v>-0.17541259380427948</v>
      </c>
      <c r="K3278">
        <f t="shared" si="411"/>
        <v>0.9844950085880857</v>
      </c>
      <c r="L3278">
        <f>VLOOKUP(D3278,[1]SOI!$A$1:$C$142,3)</f>
        <v>17.100000000000001</v>
      </c>
      <c r="M3278" s="2">
        <f t="shared" si="412"/>
        <v>-574.82706989662381</v>
      </c>
      <c r="N3278">
        <f t="shared" si="413"/>
        <v>3226.190143143157</v>
      </c>
      <c r="O3278" t="s">
        <v>8</v>
      </c>
    </row>
    <row r="3279" spans="1:15" x14ac:dyDescent="0.35">
      <c r="A3279">
        <v>2008</v>
      </c>
      <c r="B3279">
        <v>12</v>
      </c>
      <c r="C3279">
        <v>21</v>
      </c>
      <c r="D3279" s="1">
        <f t="shared" si="408"/>
        <v>39803</v>
      </c>
      <c r="E3279">
        <v>0</v>
      </c>
      <c r="F3279">
        <f t="shared" si="414"/>
        <v>0.2</v>
      </c>
      <c r="G3279">
        <f t="shared" si="409"/>
        <v>0</v>
      </c>
      <c r="H3279">
        <f t="shared" si="415"/>
        <v>1</v>
      </c>
      <c r="I3279">
        <v>3278</v>
      </c>
      <c r="J3279">
        <f t="shared" si="410"/>
        <v>-0.1584517749608374</v>
      </c>
      <c r="K3279">
        <f t="shared" si="411"/>
        <v>0.98736671759370143</v>
      </c>
      <c r="L3279">
        <f>VLOOKUP(D3279,[1]SOI!$A$1:$C$142,3)</f>
        <v>17.100000000000001</v>
      </c>
      <c r="M3279" s="2">
        <f t="shared" si="412"/>
        <v>-519.40491832162502</v>
      </c>
      <c r="N3279">
        <f t="shared" si="413"/>
        <v>3236.5881002721535</v>
      </c>
      <c r="O3279" t="s">
        <v>8</v>
      </c>
    </row>
    <row r="3280" spans="1:15" x14ac:dyDescent="0.35">
      <c r="A3280">
        <v>2008</v>
      </c>
      <c r="B3280">
        <v>12</v>
      </c>
      <c r="C3280">
        <v>22</v>
      </c>
      <c r="D3280" s="1">
        <f t="shared" si="408"/>
        <v>39804</v>
      </c>
      <c r="E3280">
        <v>0</v>
      </c>
      <c r="F3280">
        <f t="shared" si="414"/>
        <v>0</v>
      </c>
      <c r="G3280">
        <f t="shared" si="409"/>
        <v>0</v>
      </c>
      <c r="H3280">
        <f t="shared" si="415"/>
        <v>0</v>
      </c>
      <c r="I3280">
        <v>3279</v>
      </c>
      <c r="J3280">
        <f t="shared" si="410"/>
        <v>-0.14144406768794748</v>
      </c>
      <c r="K3280">
        <f t="shared" si="411"/>
        <v>0.98994624890237715</v>
      </c>
      <c r="L3280">
        <f>VLOOKUP(D3280,[1]SOI!$A$1:$C$142,3)</f>
        <v>17.100000000000001</v>
      </c>
      <c r="M3280" s="2">
        <f t="shared" si="412"/>
        <v>-463.79509794877981</v>
      </c>
      <c r="N3280">
        <f t="shared" si="413"/>
        <v>3246.0337501508948</v>
      </c>
      <c r="O3280" t="s">
        <v>8</v>
      </c>
    </row>
    <row r="3281" spans="1:15" x14ac:dyDescent="0.35">
      <c r="A3281">
        <v>2008</v>
      </c>
      <c r="B3281">
        <v>12</v>
      </c>
      <c r="C3281">
        <v>23</v>
      </c>
      <c r="D3281" s="1">
        <f t="shared" si="408"/>
        <v>39805</v>
      </c>
      <c r="E3281">
        <v>0</v>
      </c>
      <c r="F3281">
        <f t="shared" si="414"/>
        <v>0</v>
      </c>
      <c r="G3281">
        <f t="shared" si="409"/>
        <v>0</v>
      </c>
      <c r="H3281">
        <f t="shared" si="415"/>
        <v>0</v>
      </c>
      <c r="I3281">
        <v>3280</v>
      </c>
      <c r="J3281">
        <f t="shared" si="410"/>
        <v>-0.12439450483980545</v>
      </c>
      <c r="K3281">
        <f t="shared" si="411"/>
        <v>0.99223283918930016</v>
      </c>
      <c r="L3281">
        <f>VLOOKUP(D3281,[1]SOI!$A$1:$C$142,3)</f>
        <v>17.100000000000001</v>
      </c>
      <c r="M3281" s="2">
        <f t="shared" si="412"/>
        <v>-408.01397587456188</v>
      </c>
      <c r="N3281">
        <f t="shared" si="413"/>
        <v>3254.5237125409044</v>
      </c>
      <c r="O3281" t="s">
        <v>8</v>
      </c>
    </row>
    <row r="3282" spans="1:15" x14ac:dyDescent="0.35">
      <c r="A3282">
        <v>2008</v>
      </c>
      <c r="B3282">
        <v>12</v>
      </c>
      <c r="C3282">
        <v>24</v>
      </c>
      <c r="D3282" s="1">
        <f t="shared" si="408"/>
        <v>39806</v>
      </c>
      <c r="E3282">
        <v>0</v>
      </c>
      <c r="F3282">
        <f t="shared" si="414"/>
        <v>0</v>
      </c>
      <c r="G3282">
        <f t="shared" si="409"/>
        <v>0</v>
      </c>
      <c r="H3282">
        <f t="shared" si="415"/>
        <v>0</v>
      </c>
      <c r="I3282">
        <v>3281</v>
      </c>
      <c r="J3282">
        <f t="shared" si="410"/>
        <v>-0.10730813165636618</v>
      </c>
      <c r="K3282">
        <f t="shared" si="411"/>
        <v>0.99422581181561565</v>
      </c>
      <c r="L3282">
        <f>VLOOKUP(D3282,[1]SOI!$A$1:$C$142,3)</f>
        <v>17.100000000000001</v>
      </c>
      <c r="M3282" s="2">
        <f t="shared" si="412"/>
        <v>-352.07797996453746</v>
      </c>
      <c r="N3282">
        <f t="shared" si="413"/>
        <v>3262.0548885670351</v>
      </c>
      <c r="O3282" t="s">
        <v>8</v>
      </c>
    </row>
    <row r="3283" spans="1:15" x14ac:dyDescent="0.35">
      <c r="A3283">
        <v>2008</v>
      </c>
      <c r="B3283">
        <v>12</v>
      </c>
      <c r="C3283">
        <v>25</v>
      </c>
      <c r="D3283" s="1">
        <f t="shared" si="408"/>
        <v>39807</v>
      </c>
      <c r="E3283">
        <v>0</v>
      </c>
      <c r="F3283">
        <f t="shared" si="414"/>
        <v>0</v>
      </c>
      <c r="G3283">
        <f t="shared" si="409"/>
        <v>0</v>
      </c>
      <c r="H3283">
        <f t="shared" si="415"/>
        <v>0</v>
      </c>
      <c r="I3283">
        <v>3282</v>
      </c>
      <c r="J3283">
        <f t="shared" si="410"/>
        <v>-9.0190004270347957E-2</v>
      </c>
      <c r="K3283">
        <f t="shared" si="411"/>
        <v>0.99592457702865966</v>
      </c>
      <c r="L3283">
        <f>VLOOKUP(D3283,[1]SOI!$A$1:$C$142,3)</f>
        <v>17.100000000000001</v>
      </c>
      <c r="M3283" s="2">
        <f t="shared" si="412"/>
        <v>-296.00359401528198</v>
      </c>
      <c r="N3283">
        <f t="shared" si="413"/>
        <v>3268.6244618080609</v>
      </c>
      <c r="O3283" t="s">
        <v>8</v>
      </c>
    </row>
    <row r="3284" spans="1:15" x14ac:dyDescent="0.35">
      <c r="A3284">
        <v>2008</v>
      </c>
      <c r="B3284">
        <v>12</v>
      </c>
      <c r="C3284">
        <v>26</v>
      </c>
      <c r="D3284" s="1">
        <f t="shared" si="408"/>
        <v>39808</v>
      </c>
      <c r="E3284">
        <v>0</v>
      </c>
      <c r="F3284">
        <f t="shared" si="414"/>
        <v>0</v>
      </c>
      <c r="G3284">
        <f t="shared" si="409"/>
        <v>0</v>
      </c>
      <c r="H3284">
        <f t="shared" si="415"/>
        <v>0</v>
      </c>
      <c r="I3284">
        <v>3283</v>
      </c>
      <c r="J3284">
        <f t="shared" si="410"/>
        <v>-7.3045188211048495E-2</v>
      </c>
      <c r="K3284">
        <f t="shared" si="411"/>
        <v>0.99732863213647516</v>
      </c>
      <c r="L3284">
        <f>VLOOKUP(D3284,[1]SOI!$A$1:$C$142,3)</f>
        <v>17.100000000000001</v>
      </c>
      <c r="M3284" s="2">
        <f t="shared" si="412"/>
        <v>-239.8073528968722</v>
      </c>
      <c r="N3284">
        <f t="shared" si="413"/>
        <v>3274.2298993040481</v>
      </c>
      <c r="O3284" t="s">
        <v>8</v>
      </c>
    </row>
    <row r="3285" spans="1:15" x14ac:dyDescent="0.35">
      <c r="A3285">
        <v>2008</v>
      </c>
      <c r="B3285">
        <v>12</v>
      </c>
      <c r="C3285">
        <v>27</v>
      </c>
      <c r="D3285" s="1">
        <f t="shared" si="408"/>
        <v>39809</v>
      </c>
      <c r="E3285">
        <v>0</v>
      </c>
      <c r="F3285">
        <f t="shared" si="414"/>
        <v>0</v>
      </c>
      <c r="G3285">
        <f t="shared" si="409"/>
        <v>0</v>
      </c>
      <c r="H3285">
        <f t="shared" si="415"/>
        <v>0</v>
      </c>
      <c r="I3285">
        <v>3284</v>
      </c>
      <c r="J3285">
        <f t="shared" si="410"/>
        <v>-5.5878756905380411E-2</v>
      </c>
      <c r="K3285">
        <f t="shared" si="411"/>
        <v>0.99843756165656616</v>
      </c>
      <c r="L3285">
        <f>VLOOKUP(D3285,[1]SOI!$A$1:$C$142,3)</f>
        <v>17.100000000000001</v>
      </c>
      <c r="M3285" s="2">
        <f t="shared" si="412"/>
        <v>-183.50583767726928</v>
      </c>
      <c r="N3285">
        <f t="shared" si="413"/>
        <v>3278.8689524801634</v>
      </c>
      <c r="O3285" t="s">
        <v>8</v>
      </c>
    </row>
    <row r="3286" spans="1:15" x14ac:dyDescent="0.35">
      <c r="A3286">
        <v>2008</v>
      </c>
      <c r="B3286">
        <v>12</v>
      </c>
      <c r="C3286">
        <v>28</v>
      </c>
      <c r="D3286" s="1">
        <f t="shared" si="408"/>
        <v>39810</v>
      </c>
      <c r="E3286">
        <v>0</v>
      </c>
      <c r="F3286">
        <f t="shared" si="414"/>
        <v>0</v>
      </c>
      <c r="G3286">
        <f t="shared" si="409"/>
        <v>0</v>
      </c>
      <c r="H3286">
        <f t="shared" si="415"/>
        <v>0</v>
      </c>
      <c r="I3286">
        <v>3285</v>
      </c>
      <c r="J3286">
        <f t="shared" si="410"/>
        <v>-3.8695790176534177E-2</v>
      </c>
      <c r="K3286">
        <f t="shared" si="411"/>
        <v>0.9992510374388478</v>
      </c>
      <c r="L3286">
        <f>VLOOKUP(D3286,[1]SOI!$A$1:$C$142,3)</f>
        <v>17.100000000000001</v>
      </c>
      <c r="M3286" s="2">
        <f t="shared" si="412"/>
        <v>-127.11567072991477</v>
      </c>
      <c r="N3286">
        <f t="shared" si="413"/>
        <v>3282.5396579866151</v>
      </c>
      <c r="O3286" t="s">
        <v>8</v>
      </c>
    </row>
    <row r="3287" spans="1:15" x14ac:dyDescent="0.35">
      <c r="A3287">
        <v>2008</v>
      </c>
      <c r="B3287">
        <v>12</v>
      </c>
      <c r="C3287">
        <v>29</v>
      </c>
      <c r="D3287" s="1">
        <f t="shared" si="408"/>
        <v>39811</v>
      </c>
      <c r="E3287">
        <v>0</v>
      </c>
      <c r="F3287">
        <f t="shared" si="414"/>
        <v>0</v>
      </c>
      <c r="G3287">
        <f t="shared" si="409"/>
        <v>0</v>
      </c>
      <c r="H3287">
        <f t="shared" si="415"/>
        <v>0</v>
      </c>
      <c r="I3287">
        <v>3286</v>
      </c>
      <c r="J3287">
        <f t="shared" si="410"/>
        <v>-2.1501372740819303E-2</v>
      </c>
      <c r="K3287">
        <f t="shared" si="411"/>
        <v>0.99976881876274792</v>
      </c>
      <c r="L3287">
        <f>VLOOKUP(D3287,[1]SOI!$A$1:$C$142,3)</f>
        <v>17.100000000000001</v>
      </c>
      <c r="M3287" s="2">
        <f t="shared" si="412"/>
        <v>-70.653510826332223</v>
      </c>
      <c r="N3287">
        <f t="shared" si="413"/>
        <v>3285.2403384543895</v>
      </c>
      <c r="O3287" t="s">
        <v>8</v>
      </c>
    </row>
    <row r="3288" spans="1:15" x14ac:dyDescent="0.35">
      <c r="A3288">
        <v>2008</v>
      </c>
      <c r="B3288">
        <v>12</v>
      </c>
      <c r="C3288">
        <v>30</v>
      </c>
      <c r="D3288" s="1">
        <f t="shared" si="408"/>
        <v>39812</v>
      </c>
      <c r="E3288">
        <v>1.8</v>
      </c>
      <c r="F3288">
        <f t="shared" si="414"/>
        <v>0</v>
      </c>
      <c r="G3288">
        <f t="shared" si="409"/>
        <v>1</v>
      </c>
      <c r="H3288">
        <f t="shared" si="415"/>
        <v>0</v>
      </c>
      <c r="I3288">
        <v>3287</v>
      </c>
      <c r="J3288">
        <f t="shared" si="410"/>
        <v>-4.3005927029865984E-3</v>
      </c>
      <c r="K3288">
        <f t="shared" si="411"/>
        <v>0.99999075240844248</v>
      </c>
      <c r="L3288">
        <f>VLOOKUP(D3288,[1]SOI!$A$1:$C$142,3)</f>
        <v>17.100000000000001</v>
      </c>
      <c r="M3288" s="2">
        <f t="shared" si="412"/>
        <v>-14.136048214716949</v>
      </c>
      <c r="N3288">
        <f t="shared" si="413"/>
        <v>3286.9696031665503</v>
      </c>
      <c r="O3288" t="s">
        <v>8</v>
      </c>
    </row>
    <row r="3289" spans="1:15" x14ac:dyDescent="0.35">
      <c r="A3289">
        <v>2008</v>
      </c>
      <c r="B3289">
        <v>12</v>
      </c>
      <c r="C3289">
        <v>31</v>
      </c>
      <c r="D3289" s="1">
        <f t="shared" si="408"/>
        <v>39813</v>
      </c>
      <c r="E3289">
        <v>0</v>
      </c>
      <c r="F3289">
        <f t="shared" si="414"/>
        <v>1.8</v>
      </c>
      <c r="G3289">
        <f t="shared" si="409"/>
        <v>0</v>
      </c>
      <c r="H3289">
        <f t="shared" si="415"/>
        <v>1</v>
      </c>
      <c r="I3289">
        <v>3288</v>
      </c>
      <c r="J3289">
        <f t="shared" si="410"/>
        <v>1.2901459949416804E-2</v>
      </c>
      <c r="K3289">
        <f t="shared" si="411"/>
        <v>0.99991677270219526</v>
      </c>
      <c r="L3289">
        <f>VLOOKUP(D3289,[1]SOI!$A$1:$C$142,3)</f>
        <v>17.100000000000001</v>
      </c>
      <c r="M3289" s="2">
        <f t="shared" si="412"/>
        <v>42.420000313682451</v>
      </c>
      <c r="N3289">
        <f t="shared" si="413"/>
        <v>3287.7263486448178</v>
      </c>
      <c r="O3289" t="s">
        <v>8</v>
      </c>
    </row>
    <row r="3290" spans="1:15" x14ac:dyDescent="0.35">
      <c r="A3290">
        <v>2009</v>
      </c>
      <c r="B3290">
        <v>1</v>
      </c>
      <c r="C3290">
        <v>1</v>
      </c>
      <c r="D3290" s="1">
        <f t="shared" si="408"/>
        <v>39814</v>
      </c>
      <c r="E3290">
        <v>0</v>
      </c>
      <c r="F3290">
        <f t="shared" si="414"/>
        <v>0</v>
      </c>
      <c r="G3290">
        <f t="shared" si="409"/>
        <v>0</v>
      </c>
      <c r="H3290">
        <f t="shared" si="415"/>
        <v>0</v>
      </c>
      <c r="I3290">
        <v>3289</v>
      </c>
      <c r="J3290">
        <f t="shared" si="410"/>
        <v>3.0099694852263745E-2</v>
      </c>
      <c r="K3290">
        <f t="shared" si="411"/>
        <v>0.99954690153579118</v>
      </c>
      <c r="L3290">
        <f>VLOOKUP(D3290,[1]SOI!$A$1:$C$142,3)</f>
        <v>13.3</v>
      </c>
      <c r="M3290" s="2">
        <f t="shared" si="412"/>
        <v>98.997896369095457</v>
      </c>
      <c r="N3290">
        <f t="shared" si="413"/>
        <v>3287.5097591512172</v>
      </c>
      <c r="O3290" t="s">
        <v>8</v>
      </c>
    </row>
    <row r="3291" spans="1:15" x14ac:dyDescent="0.35">
      <c r="A3291">
        <v>2009</v>
      </c>
      <c r="B3291">
        <v>1</v>
      </c>
      <c r="C3291">
        <v>2</v>
      </c>
      <c r="D3291" s="1">
        <f t="shared" si="408"/>
        <v>39815</v>
      </c>
      <c r="E3291">
        <v>0.2</v>
      </c>
      <c r="F3291">
        <f t="shared" si="414"/>
        <v>0</v>
      </c>
      <c r="G3291">
        <f t="shared" si="409"/>
        <v>1</v>
      </c>
      <c r="H3291">
        <f t="shared" si="415"/>
        <v>0</v>
      </c>
      <c r="I3291">
        <v>3290</v>
      </c>
      <c r="J3291">
        <f t="shared" si="410"/>
        <v>4.7289022771125074E-2</v>
      </c>
      <c r="K3291">
        <f t="shared" si="411"/>
        <v>0.99888124836006009</v>
      </c>
      <c r="L3291">
        <f>VLOOKUP(D3291,[1]SOI!$A$1:$C$142,3)</f>
        <v>13.3</v>
      </c>
      <c r="M3291" s="2">
        <f t="shared" si="412"/>
        <v>155.5808849170015</v>
      </c>
      <c r="N3291">
        <f t="shared" si="413"/>
        <v>3286.3193071045976</v>
      </c>
      <c r="O3291" t="s">
        <v>8</v>
      </c>
    </row>
    <row r="3292" spans="1:15" x14ac:dyDescent="0.35">
      <c r="A3292">
        <v>2009</v>
      </c>
      <c r="B3292">
        <v>1</v>
      </c>
      <c r="C3292">
        <v>3</v>
      </c>
      <c r="D3292" s="1">
        <f t="shared" si="408"/>
        <v>39816</v>
      </c>
      <c r="E3292">
        <v>0.6</v>
      </c>
      <c r="F3292">
        <f t="shared" si="414"/>
        <v>0.2</v>
      </c>
      <c r="G3292">
        <f t="shared" si="409"/>
        <v>1</v>
      </c>
      <c r="H3292">
        <f t="shared" si="415"/>
        <v>1</v>
      </c>
      <c r="I3292">
        <v>3291</v>
      </c>
      <c r="J3292">
        <f t="shared" si="410"/>
        <v>6.4464357107355416E-2</v>
      </c>
      <c r="K3292">
        <f t="shared" si="411"/>
        <v>0.99792001015248477</v>
      </c>
      <c r="L3292">
        <f>VLOOKUP(D3292,[1]SOI!$A$1:$C$142,3)</f>
        <v>13.3</v>
      </c>
      <c r="M3292" s="2">
        <f t="shared" si="412"/>
        <v>212.15219924030669</v>
      </c>
      <c r="N3292">
        <f t="shared" si="413"/>
        <v>3284.1547534118272</v>
      </c>
      <c r="O3292" t="s">
        <v>8</v>
      </c>
    </row>
    <row r="3293" spans="1:15" x14ac:dyDescent="0.35">
      <c r="A3293">
        <v>2009</v>
      </c>
      <c r="B3293">
        <v>1</v>
      </c>
      <c r="C3293">
        <v>4</v>
      </c>
      <c r="D3293" s="1">
        <f t="shared" si="408"/>
        <v>39817</v>
      </c>
      <c r="E3293">
        <v>0</v>
      </c>
      <c r="F3293">
        <f t="shared" si="414"/>
        <v>0.6</v>
      </c>
      <c r="G3293">
        <f t="shared" si="409"/>
        <v>0</v>
      </c>
      <c r="H3293">
        <f t="shared" si="415"/>
        <v>1</v>
      </c>
      <c r="I3293">
        <v>3292</v>
      </c>
      <c r="J3293">
        <f t="shared" si="410"/>
        <v>8.1620615403185909E-2</v>
      </c>
      <c r="K3293">
        <f t="shared" si="411"/>
        <v>0.9966634713589162</v>
      </c>
      <c r="L3293">
        <f>VLOOKUP(D3293,[1]SOI!$A$1:$C$142,3)</f>
        <v>13.3</v>
      </c>
      <c r="M3293" s="2">
        <f t="shared" si="412"/>
        <v>268.69506590728804</v>
      </c>
      <c r="N3293">
        <f t="shared" si="413"/>
        <v>3281.0161477135521</v>
      </c>
      <c r="O3293" t="s">
        <v>8</v>
      </c>
    </row>
    <row r="3294" spans="1:15" x14ac:dyDescent="0.35">
      <c r="A3294">
        <v>2009</v>
      </c>
      <c r="B3294">
        <v>1</v>
      </c>
      <c r="C3294">
        <v>5</v>
      </c>
      <c r="D3294" s="1">
        <f t="shared" si="408"/>
        <v>39818</v>
      </c>
      <c r="E3294">
        <v>0</v>
      </c>
      <c r="F3294">
        <f t="shared" si="414"/>
        <v>0</v>
      </c>
      <c r="G3294">
        <f t="shared" si="409"/>
        <v>0</v>
      </c>
      <c r="H3294">
        <f t="shared" si="415"/>
        <v>0</v>
      </c>
      <c r="I3294">
        <v>3293</v>
      </c>
      <c r="J3294">
        <f t="shared" si="410"/>
        <v>9.8752720845776229E-2</v>
      </c>
      <c r="K3294">
        <f t="shared" si="411"/>
        <v>0.99511200380939846</v>
      </c>
      <c r="L3294">
        <f>VLOOKUP(D3294,[1]SOI!$A$1:$C$142,3)</f>
        <v>13.3</v>
      </c>
      <c r="M3294" s="2">
        <f t="shared" si="412"/>
        <v>325.19270974514114</v>
      </c>
      <c r="N3294">
        <f t="shared" si="413"/>
        <v>3276.9038285443489</v>
      </c>
      <c r="O3294" t="s">
        <v>8</v>
      </c>
    </row>
    <row r="3295" spans="1:15" x14ac:dyDescent="0.35">
      <c r="A3295">
        <v>2009</v>
      </c>
      <c r="B3295">
        <v>1</v>
      </c>
      <c r="C3295">
        <v>6</v>
      </c>
      <c r="D3295" s="1">
        <f t="shared" si="408"/>
        <v>39819</v>
      </c>
      <c r="E3295">
        <v>0</v>
      </c>
      <c r="F3295">
        <f t="shared" si="414"/>
        <v>0</v>
      </c>
      <c r="G3295">
        <f t="shared" si="409"/>
        <v>0</v>
      </c>
      <c r="H3295">
        <f t="shared" si="415"/>
        <v>0</v>
      </c>
      <c r="I3295">
        <v>3294</v>
      </c>
      <c r="J3295">
        <f t="shared" si="410"/>
        <v>0.1158556037694827</v>
      </c>
      <c r="K3295">
        <f t="shared" si="411"/>
        <v>0.99326606660814132</v>
      </c>
      <c r="L3295">
        <f>VLOOKUP(D3295,[1]SOI!$A$1:$C$142,3)</f>
        <v>13.3</v>
      </c>
      <c r="M3295" s="2">
        <f t="shared" si="412"/>
        <v>381.62835881667604</v>
      </c>
      <c r="N3295">
        <f t="shared" si="413"/>
        <v>3271.8184234072173</v>
      </c>
      <c r="O3295" t="s">
        <v>8</v>
      </c>
    </row>
    <row r="3296" spans="1:15" x14ac:dyDescent="0.35">
      <c r="A3296">
        <v>2009</v>
      </c>
      <c r="B3296">
        <v>1</v>
      </c>
      <c r="C3296">
        <v>7</v>
      </c>
      <c r="D3296" s="1">
        <f t="shared" si="408"/>
        <v>39820</v>
      </c>
      <c r="E3296">
        <v>0</v>
      </c>
      <c r="F3296">
        <f t="shared" si="414"/>
        <v>0</v>
      </c>
      <c r="G3296">
        <f t="shared" si="409"/>
        <v>0</v>
      </c>
      <c r="H3296">
        <f t="shared" si="415"/>
        <v>0</v>
      </c>
      <c r="I3296">
        <v>3295</v>
      </c>
      <c r="J3296">
        <f t="shared" si="410"/>
        <v>0.13292420315608228</v>
      </c>
      <c r="K3296">
        <f t="shared" si="411"/>
        <v>0.99112620599766232</v>
      </c>
      <c r="L3296">
        <f>VLOOKUP(D3296,[1]SOI!$A$1:$C$142,3)</f>
        <v>13.3</v>
      </c>
      <c r="M3296" s="2">
        <f t="shared" si="412"/>
        <v>437.98524939929109</v>
      </c>
      <c r="N3296">
        <f t="shared" si="413"/>
        <v>3265.7608487622974</v>
      </c>
      <c r="O3296" t="s">
        <v>8</v>
      </c>
    </row>
    <row r="3297" spans="1:15" x14ac:dyDescent="0.35">
      <c r="A3297">
        <v>2009</v>
      </c>
      <c r="B3297">
        <v>1</v>
      </c>
      <c r="C3297">
        <v>8</v>
      </c>
      <c r="D3297" s="1">
        <f t="shared" si="408"/>
        <v>39821</v>
      </c>
      <c r="E3297">
        <v>0</v>
      </c>
      <c r="F3297">
        <f t="shared" si="414"/>
        <v>0</v>
      </c>
      <c r="G3297">
        <f t="shared" si="409"/>
        <v>0</v>
      </c>
      <c r="H3297">
        <f t="shared" si="415"/>
        <v>0</v>
      </c>
      <c r="I3297">
        <v>3296</v>
      </c>
      <c r="J3297">
        <f t="shared" si="410"/>
        <v>0.14995346813243726</v>
      </c>
      <c r="K3297">
        <f t="shared" si="411"/>
        <v>0.98869305519713957</v>
      </c>
      <c r="L3297">
        <f>VLOOKUP(D3297,[1]SOI!$A$1:$C$142,3)</f>
        <v>13.3</v>
      </c>
      <c r="M3297" s="2">
        <f t="shared" si="412"/>
        <v>494.2466309645132</v>
      </c>
      <c r="N3297">
        <f t="shared" si="413"/>
        <v>3258.7323099297719</v>
      </c>
      <c r="O3297" t="s">
        <v>8</v>
      </c>
    </row>
    <row r="3298" spans="1:15" x14ac:dyDescent="0.35">
      <c r="A3298">
        <v>2009</v>
      </c>
      <c r="B3298">
        <v>1</v>
      </c>
      <c r="C3298">
        <v>9</v>
      </c>
      <c r="D3298" s="1">
        <f t="shared" si="408"/>
        <v>39822</v>
      </c>
      <c r="E3298">
        <v>0</v>
      </c>
      <c r="F3298">
        <f t="shared" si="414"/>
        <v>0</v>
      </c>
      <c r="G3298">
        <f t="shared" si="409"/>
        <v>0</v>
      </c>
      <c r="H3298">
        <f t="shared" si="415"/>
        <v>0</v>
      </c>
      <c r="I3298">
        <v>3297</v>
      </c>
      <c r="J3298">
        <f t="shared" si="410"/>
        <v>0.16693835946505256</v>
      </c>
      <c r="K3298">
        <f t="shared" si="411"/>
        <v>0.98596733421504223</v>
      </c>
      <c r="L3298">
        <f>VLOOKUP(D3298,[1]SOI!$A$1:$C$142,3)</f>
        <v>13.3</v>
      </c>
      <c r="M3298" s="2">
        <f t="shared" si="412"/>
        <v>550.39577115627833</v>
      </c>
      <c r="N3298">
        <f t="shared" si="413"/>
        <v>3250.7343009069941</v>
      </c>
      <c r="O3298" t="s">
        <v>8</v>
      </c>
    </row>
    <row r="3299" spans="1:15" x14ac:dyDescent="0.35">
      <c r="A3299">
        <v>2009</v>
      </c>
      <c r="B3299">
        <v>1</v>
      </c>
      <c r="C3299">
        <v>10</v>
      </c>
      <c r="D3299" s="1">
        <f t="shared" si="408"/>
        <v>39823</v>
      </c>
      <c r="E3299">
        <v>0</v>
      </c>
      <c r="F3299">
        <f t="shared" si="414"/>
        <v>0</v>
      </c>
      <c r="G3299">
        <f t="shared" si="409"/>
        <v>0</v>
      </c>
      <c r="H3299">
        <f t="shared" si="415"/>
        <v>0</v>
      </c>
      <c r="I3299">
        <v>3298</v>
      </c>
      <c r="J3299">
        <f t="shared" si="410"/>
        <v>0.18387385105132917</v>
      </c>
      <c r="K3299">
        <f t="shared" si="411"/>
        <v>0.98294984963606036</v>
      </c>
      <c r="L3299">
        <f>VLOOKUP(D3299,[1]SOI!$A$1:$C$142,3)</f>
        <v>13.3</v>
      </c>
      <c r="M3299" s="2">
        <f t="shared" si="412"/>
        <v>606.41596076728365</v>
      </c>
      <c r="N3299">
        <f t="shared" si="413"/>
        <v>3241.7686040997269</v>
      </c>
      <c r="O3299" t="s">
        <v>8</v>
      </c>
    </row>
    <row r="3300" spans="1:15" x14ac:dyDescent="0.35">
      <c r="A3300">
        <v>2009</v>
      </c>
      <c r="B3300">
        <v>1</v>
      </c>
      <c r="C3300">
        <v>11</v>
      </c>
      <c r="D3300" s="1">
        <f t="shared" si="408"/>
        <v>39824</v>
      </c>
      <c r="E3300">
        <v>0</v>
      </c>
      <c r="F3300">
        <f t="shared" si="414"/>
        <v>0</v>
      </c>
      <c r="G3300">
        <f t="shared" si="409"/>
        <v>0</v>
      </c>
      <c r="H3300">
        <f t="shared" si="415"/>
        <v>0</v>
      </c>
      <c r="I3300">
        <v>3299</v>
      </c>
      <c r="J3300">
        <f t="shared" si="410"/>
        <v>0.20075493140682688</v>
      </c>
      <c r="K3300">
        <f t="shared" si="411"/>
        <v>0.97964149438242976</v>
      </c>
      <c r="L3300">
        <f>VLOOKUP(D3300,[1]SOI!$A$1:$C$142,3)</f>
        <v>13.3</v>
      </c>
      <c r="M3300" s="2">
        <f t="shared" si="412"/>
        <v>662.29051871112188</v>
      </c>
      <c r="N3300">
        <f t="shared" si="413"/>
        <v>3231.8372899676356</v>
      </c>
      <c r="O3300" t="s">
        <v>8</v>
      </c>
    </row>
    <row r="3301" spans="1:15" x14ac:dyDescent="0.35">
      <c r="A3301">
        <v>2009</v>
      </c>
      <c r="B3301">
        <v>1</v>
      </c>
      <c r="C3301">
        <v>12</v>
      </c>
      <c r="D3301" s="1">
        <f t="shared" si="408"/>
        <v>39825</v>
      </c>
      <c r="E3301">
        <v>0</v>
      </c>
      <c r="F3301">
        <f t="shared" si="414"/>
        <v>0</v>
      </c>
      <c r="G3301">
        <f t="shared" si="409"/>
        <v>0</v>
      </c>
      <c r="H3301">
        <f t="shared" si="415"/>
        <v>0</v>
      </c>
      <c r="I3301">
        <v>3300</v>
      </c>
      <c r="J3301">
        <f t="shared" si="410"/>
        <v>0.21757660514828503</v>
      </c>
      <c r="K3301">
        <f t="shared" si="411"/>
        <v>0.97604324744969539</v>
      </c>
      <c r="L3301">
        <f>VLOOKUP(D3301,[1]SOI!$A$1:$C$142,3)</f>
        <v>13.3</v>
      </c>
      <c r="M3301" s="2">
        <f t="shared" si="412"/>
        <v>718.0027969893406</v>
      </c>
      <c r="N3301">
        <f t="shared" si="413"/>
        <v>3220.9427165839948</v>
      </c>
      <c r="O3301" t="s">
        <v>8</v>
      </c>
    </row>
    <row r="3302" spans="1:15" x14ac:dyDescent="0.35">
      <c r="A3302">
        <v>2009</v>
      </c>
      <c r="B3302">
        <v>1</v>
      </c>
      <c r="C3302">
        <v>13</v>
      </c>
      <c r="D3302" s="1">
        <f t="shared" si="408"/>
        <v>39826</v>
      </c>
      <c r="E3302">
        <v>0</v>
      </c>
      <c r="F3302">
        <f t="shared" si="414"/>
        <v>0</v>
      </c>
      <c r="G3302">
        <f t="shared" si="409"/>
        <v>0</v>
      </c>
      <c r="H3302">
        <f t="shared" si="415"/>
        <v>0</v>
      </c>
      <c r="I3302">
        <v>3301</v>
      </c>
      <c r="J3302">
        <f t="shared" si="410"/>
        <v>0.23433389447179498</v>
      </c>
      <c r="K3302">
        <f t="shared" si="411"/>
        <v>0.972156173617018</v>
      </c>
      <c r="L3302">
        <f>VLOOKUP(D3302,[1]SOI!$A$1:$C$142,3)</f>
        <v>13.3</v>
      </c>
      <c r="M3302" s="2">
        <f t="shared" si="412"/>
        <v>773.53618565139527</v>
      </c>
      <c r="N3302">
        <f t="shared" si="413"/>
        <v>3209.0875291097764</v>
      </c>
      <c r="O3302" t="s">
        <v>8</v>
      </c>
    </row>
    <row r="3303" spans="1:15" x14ac:dyDescent="0.35">
      <c r="A3303">
        <v>2009</v>
      </c>
      <c r="B3303">
        <v>1</v>
      </c>
      <c r="C3303">
        <v>14</v>
      </c>
      <c r="D3303" s="1">
        <f t="shared" si="408"/>
        <v>39827</v>
      </c>
      <c r="E3303">
        <v>0</v>
      </c>
      <c r="F3303">
        <f t="shared" si="414"/>
        <v>0</v>
      </c>
      <c r="G3303">
        <f t="shared" si="409"/>
        <v>0</v>
      </c>
      <c r="H3303">
        <f t="shared" si="415"/>
        <v>0</v>
      </c>
      <c r="I3303">
        <v>3302</v>
      </c>
      <c r="J3303">
        <f t="shared" si="410"/>
        <v>0.25102184062588168</v>
      </c>
      <c r="K3303">
        <f t="shared" si="411"/>
        <v>0.96798142313207358</v>
      </c>
      <c r="L3303">
        <f>VLOOKUP(D3303,[1]SOI!$A$1:$C$142,3)</f>
        <v>13.3</v>
      </c>
      <c r="M3303" s="2">
        <f t="shared" si="412"/>
        <v>828.87411774666134</v>
      </c>
      <c r="N3303">
        <f t="shared" si="413"/>
        <v>3196.2746591821069</v>
      </c>
      <c r="O3303" t="s">
        <v>8</v>
      </c>
    </row>
    <row r="3304" spans="1:15" x14ac:dyDescent="0.35">
      <c r="A3304">
        <v>2009</v>
      </c>
      <c r="B3304">
        <v>1</v>
      </c>
      <c r="C3304">
        <v>15</v>
      </c>
      <c r="D3304" s="1">
        <f t="shared" si="408"/>
        <v>39828</v>
      </c>
      <c r="E3304">
        <v>0</v>
      </c>
      <c r="F3304">
        <f t="shared" si="414"/>
        <v>0</v>
      </c>
      <c r="G3304">
        <f t="shared" si="409"/>
        <v>0</v>
      </c>
      <c r="H3304">
        <f t="shared" si="415"/>
        <v>0</v>
      </c>
      <c r="I3304">
        <v>3303</v>
      </c>
      <c r="J3304">
        <f t="shared" si="410"/>
        <v>0.26763550537876712</v>
      </c>
      <c r="K3304">
        <f t="shared" si="411"/>
        <v>0.96352023137070242</v>
      </c>
      <c r="L3304">
        <f>VLOOKUP(D3304,[1]SOI!$A$1:$C$142,3)</f>
        <v>13.3</v>
      </c>
      <c r="M3304" s="2">
        <f t="shared" si="412"/>
        <v>884.00007426606783</v>
      </c>
      <c r="N3304">
        <f t="shared" si="413"/>
        <v>3182.5073242174299</v>
      </c>
      <c r="O3304" t="s">
        <v>8</v>
      </c>
    </row>
    <row r="3305" spans="1:15" x14ac:dyDescent="0.35">
      <c r="A3305">
        <v>2009</v>
      </c>
      <c r="B3305">
        <v>1</v>
      </c>
      <c r="C3305">
        <v>16</v>
      </c>
      <c r="D3305" s="1">
        <f t="shared" si="408"/>
        <v>39829</v>
      </c>
      <c r="E3305">
        <v>0</v>
      </c>
      <c r="F3305">
        <f t="shared" si="414"/>
        <v>0</v>
      </c>
      <c r="G3305">
        <f t="shared" si="409"/>
        <v>0</v>
      </c>
      <c r="H3305">
        <f t="shared" si="415"/>
        <v>0</v>
      </c>
      <c r="I3305">
        <v>3304</v>
      </c>
      <c r="J3305">
        <f t="shared" si="410"/>
        <v>0.28416997247976977</v>
      </c>
      <c r="K3305">
        <f t="shared" si="411"/>
        <v>0.95877391847131865</v>
      </c>
      <c r="L3305">
        <f>VLOOKUP(D3305,[1]SOI!$A$1:$C$142,3)</f>
        <v>13.3</v>
      </c>
      <c r="M3305" s="2">
        <f t="shared" si="412"/>
        <v>938.89758907315934</v>
      </c>
      <c r="N3305">
        <f t="shared" si="413"/>
        <v>3167.789026629237</v>
      </c>
      <c r="O3305" t="s">
        <v>8</v>
      </c>
    </row>
    <row r="3306" spans="1:15" x14ac:dyDescent="0.35">
      <c r="A3306">
        <v>2009</v>
      </c>
      <c r="B3306">
        <v>1</v>
      </c>
      <c r="C3306">
        <v>17</v>
      </c>
      <c r="D3306" s="1">
        <f t="shared" si="408"/>
        <v>39830</v>
      </c>
      <c r="E3306">
        <v>0</v>
      </c>
      <c r="F3306">
        <f t="shared" si="414"/>
        <v>0</v>
      </c>
      <c r="G3306">
        <f t="shared" si="409"/>
        <v>0</v>
      </c>
      <c r="H3306">
        <f t="shared" si="415"/>
        <v>0</v>
      </c>
      <c r="I3306">
        <v>3305</v>
      </c>
      <c r="J3306">
        <f t="shared" si="410"/>
        <v>0.30062034911406044</v>
      </c>
      <c r="K3306">
        <f t="shared" si="411"/>
        <v>0.9537438889442702</v>
      </c>
      <c r="L3306">
        <f>VLOOKUP(D3306,[1]SOI!$A$1:$C$142,3)</f>
        <v>13.3</v>
      </c>
      <c r="M3306" s="2">
        <f t="shared" si="412"/>
        <v>993.5502538219697</v>
      </c>
      <c r="N3306">
        <f t="shared" si="413"/>
        <v>3152.123552960813</v>
      </c>
      <c r="O3306" t="s">
        <v>8</v>
      </c>
    </row>
    <row r="3307" spans="1:15" x14ac:dyDescent="0.35">
      <c r="A3307">
        <v>2009</v>
      </c>
      <c r="B3307">
        <v>1</v>
      </c>
      <c r="C3307">
        <v>18</v>
      </c>
      <c r="D3307" s="1">
        <f t="shared" si="408"/>
        <v>39831</v>
      </c>
      <c r="E3307">
        <v>0</v>
      </c>
      <c r="F3307">
        <f t="shared" si="414"/>
        <v>0</v>
      </c>
      <c r="G3307">
        <f t="shared" si="409"/>
        <v>0</v>
      </c>
      <c r="H3307">
        <f t="shared" si="415"/>
        <v>0</v>
      </c>
      <c r="I3307">
        <v>3306</v>
      </c>
      <c r="J3307">
        <f t="shared" si="410"/>
        <v>0.31698176735051842</v>
      </c>
      <c r="K3307">
        <f t="shared" si="411"/>
        <v>0.94843163125622387</v>
      </c>
      <c r="L3307">
        <f>VLOOKUP(D3307,[1]SOI!$A$1:$C$142,3)</f>
        <v>13.3</v>
      </c>
      <c r="M3307" s="2">
        <f t="shared" si="412"/>
        <v>1047.9417228608138</v>
      </c>
      <c r="N3307">
        <f t="shared" si="413"/>
        <v>3135.514972933076</v>
      </c>
      <c r="O3307" t="s">
        <v>8</v>
      </c>
    </row>
    <row r="3308" spans="1:15" x14ac:dyDescent="0.35">
      <c r="A3308">
        <v>2009</v>
      </c>
      <c r="B3308">
        <v>1</v>
      </c>
      <c r="C3308">
        <v>19</v>
      </c>
      <c r="D3308" s="1">
        <f t="shared" si="408"/>
        <v>39832</v>
      </c>
      <c r="E3308">
        <v>0</v>
      </c>
      <c r="F3308">
        <f t="shared" si="414"/>
        <v>0</v>
      </c>
      <c r="G3308">
        <f t="shared" si="409"/>
        <v>0</v>
      </c>
      <c r="H3308">
        <f t="shared" si="415"/>
        <v>0</v>
      </c>
      <c r="I3308">
        <v>3307</v>
      </c>
      <c r="J3308">
        <f t="shared" si="410"/>
        <v>0.33324938558229134</v>
      </c>
      <c r="K3308">
        <f t="shared" si="411"/>
        <v>0.9428387173896845</v>
      </c>
      <c r="L3308">
        <f>VLOOKUP(D3308,[1]SOI!$A$1:$C$142,3)</f>
        <v>13.3</v>
      </c>
      <c r="M3308" s="2">
        <f t="shared" si="412"/>
        <v>1102.0557181206375</v>
      </c>
      <c r="N3308">
        <f t="shared" si="413"/>
        <v>3117.9676384076865</v>
      </c>
      <c r="O3308" t="s">
        <v>8</v>
      </c>
    </row>
    <row r="3309" spans="1:15" x14ac:dyDescent="0.35">
      <c r="A3309">
        <v>2009</v>
      </c>
      <c r="B3309">
        <v>1</v>
      </c>
      <c r="C3309">
        <v>20</v>
      </c>
      <c r="D3309" s="1">
        <f t="shared" si="408"/>
        <v>39833</v>
      </c>
      <c r="E3309">
        <v>0</v>
      </c>
      <c r="F3309">
        <f t="shared" si="414"/>
        <v>0</v>
      </c>
      <c r="G3309">
        <f t="shared" si="409"/>
        <v>0</v>
      </c>
      <c r="H3309">
        <f t="shared" si="415"/>
        <v>0</v>
      </c>
      <c r="I3309">
        <v>3308</v>
      </c>
      <c r="J3309">
        <f t="shared" si="410"/>
        <v>0.34941838995939667</v>
      </c>
      <c r="K3309">
        <f t="shared" si="411"/>
        <v>0.93696680237785535</v>
      </c>
      <c r="L3309">
        <f>VLOOKUP(D3309,[1]SOI!$A$1:$C$142,3)</f>
        <v>13.3</v>
      </c>
      <c r="M3309" s="2">
        <f t="shared" si="412"/>
        <v>1155.8760339856842</v>
      </c>
      <c r="N3309">
        <f t="shared" si="413"/>
        <v>3099.4861822659454</v>
      </c>
      <c r="O3309" t="s">
        <v>8</v>
      </c>
    </row>
    <row r="3310" spans="1:15" x14ac:dyDescent="0.35">
      <c r="A3310">
        <v>2009</v>
      </c>
      <c r="B3310">
        <v>1</v>
      </c>
      <c r="C3310">
        <v>21</v>
      </c>
      <c r="D3310" s="1">
        <f t="shared" si="408"/>
        <v>39834</v>
      </c>
      <c r="E3310">
        <v>0</v>
      </c>
      <c r="F3310">
        <f t="shared" si="414"/>
        <v>0</v>
      </c>
      <c r="G3310">
        <f t="shared" si="409"/>
        <v>0</v>
      </c>
      <c r="H3310">
        <f t="shared" si="415"/>
        <v>0</v>
      </c>
      <c r="I3310">
        <v>3309</v>
      </c>
      <c r="J3310">
        <f t="shared" si="410"/>
        <v>0.36548399581331165</v>
      </c>
      <c r="K3310">
        <f t="shared" si="411"/>
        <v>0.93081762381485622</v>
      </c>
      <c r="L3310">
        <f>VLOOKUP(D3310,[1]SOI!$A$1:$C$142,3)</f>
        <v>13.3</v>
      </c>
      <c r="M3310" s="2">
        <f t="shared" si="412"/>
        <v>1209.3865421462483</v>
      </c>
      <c r="N3310">
        <f t="shared" si="413"/>
        <v>3080.0755172033591</v>
      </c>
      <c r="O3310" t="s">
        <v>8</v>
      </c>
    </row>
    <row r="3311" spans="1:15" x14ac:dyDescent="0.35">
      <c r="A3311">
        <v>2009</v>
      </c>
      <c r="B3311">
        <v>1</v>
      </c>
      <c r="C3311">
        <v>22</v>
      </c>
      <c r="D3311" s="1">
        <f t="shared" si="408"/>
        <v>39835</v>
      </c>
      <c r="E3311">
        <v>0</v>
      </c>
      <c r="F3311">
        <f t="shared" si="414"/>
        <v>0</v>
      </c>
      <c r="G3311">
        <f t="shared" si="409"/>
        <v>0</v>
      </c>
      <c r="H3311">
        <f t="shared" si="415"/>
        <v>0</v>
      </c>
      <c r="I3311">
        <v>3310</v>
      </c>
      <c r="J3311">
        <f t="shared" si="410"/>
        <v>0.38144144907279337</v>
      </c>
      <c r="K3311">
        <f t="shared" si="411"/>
        <v>0.92439300134155467</v>
      </c>
      <c r="L3311">
        <f>VLOOKUP(D3311,[1]SOI!$A$1:$C$142,3)</f>
        <v>13.3</v>
      </c>
      <c r="M3311" s="2">
        <f t="shared" si="412"/>
        <v>1262.571196430946</v>
      </c>
      <c r="N3311">
        <f t="shared" si="413"/>
        <v>3059.7408344405458</v>
      </c>
      <c r="O3311" t="s">
        <v>8</v>
      </c>
    </row>
    <row r="3312" spans="1:15" x14ac:dyDescent="0.35">
      <c r="A3312">
        <v>2009</v>
      </c>
      <c r="B3312">
        <v>1</v>
      </c>
      <c r="C3312">
        <v>23</v>
      </c>
      <c r="D3312" s="1">
        <f t="shared" si="408"/>
        <v>39836</v>
      </c>
      <c r="E3312">
        <v>0</v>
      </c>
      <c r="F3312">
        <f t="shared" si="414"/>
        <v>0</v>
      </c>
      <c r="G3312">
        <f t="shared" si="409"/>
        <v>0</v>
      </c>
      <c r="H3312">
        <f t="shared" si="415"/>
        <v>0</v>
      </c>
      <c r="I3312">
        <v>3311</v>
      </c>
      <c r="J3312">
        <f t="shared" si="410"/>
        <v>0.39728602767069165</v>
      </c>
      <c r="K3312">
        <f t="shared" si="411"/>
        <v>0.9176948361071029</v>
      </c>
      <c r="L3312">
        <f>VLOOKUP(D3312,[1]SOI!$A$1:$C$142,3)</f>
        <v>13.3</v>
      </c>
      <c r="M3312" s="2">
        <f t="shared" si="412"/>
        <v>1315.4140376176601</v>
      </c>
      <c r="N3312">
        <f t="shared" si="413"/>
        <v>3038.4876023506176</v>
      </c>
      <c r="O3312" t="s">
        <v>8</v>
      </c>
    </row>
    <row r="3313" spans="1:15" x14ac:dyDescent="0.35">
      <c r="A3313">
        <v>2009</v>
      </c>
      <c r="B3313">
        <v>1</v>
      </c>
      <c r="C3313">
        <v>24</v>
      </c>
      <c r="D3313" s="1">
        <f t="shared" si="408"/>
        <v>39837</v>
      </c>
      <c r="E3313">
        <v>0</v>
      </c>
      <c r="F3313">
        <f t="shared" si="414"/>
        <v>0</v>
      </c>
      <c r="G3313">
        <f t="shared" si="409"/>
        <v>0</v>
      </c>
      <c r="H3313">
        <f t="shared" si="415"/>
        <v>0</v>
      </c>
      <c r="I3313">
        <v>3312</v>
      </c>
      <c r="J3313">
        <f t="shared" si="410"/>
        <v>0.41301304294127816</v>
      </c>
      <c r="K3313">
        <f t="shared" si="411"/>
        <v>0.9107251102063596</v>
      </c>
      <c r="L3313">
        <f>VLOOKUP(D3313,[1]SOI!$A$1:$C$142,3)</f>
        <v>13.3</v>
      </c>
      <c r="M3313" s="2">
        <f t="shared" si="412"/>
        <v>1367.8991982215132</v>
      </c>
      <c r="N3313">
        <f t="shared" si="413"/>
        <v>3016.3215650034631</v>
      </c>
      <c r="O3313" t="s">
        <v>8</v>
      </c>
    </row>
    <row r="3314" spans="1:15" x14ac:dyDescent="0.35">
      <c r="A3314">
        <v>2009</v>
      </c>
      <c r="B3314">
        <v>1</v>
      </c>
      <c r="C3314">
        <v>25</v>
      </c>
      <c r="D3314" s="1">
        <f t="shared" si="408"/>
        <v>39838</v>
      </c>
      <c r="E3314">
        <v>0</v>
      </c>
      <c r="F3314">
        <f t="shared" si="414"/>
        <v>0</v>
      </c>
      <c r="G3314">
        <f t="shared" si="409"/>
        <v>0</v>
      </c>
      <c r="H3314">
        <f t="shared" si="415"/>
        <v>0</v>
      </c>
      <c r="I3314">
        <v>3313</v>
      </c>
      <c r="J3314">
        <f t="shared" si="410"/>
        <v>0.42861784100772388</v>
      </c>
      <c r="K3314">
        <f t="shared" si="411"/>
        <v>0.90348588609334546</v>
      </c>
      <c r="L3314">
        <f>VLOOKUP(D3314,[1]SOI!$A$1:$C$142,3)</f>
        <v>13.3</v>
      </c>
      <c r="M3314" s="2">
        <f t="shared" si="412"/>
        <v>1420.0109072585892</v>
      </c>
      <c r="N3314">
        <f t="shared" si="413"/>
        <v>2993.2487406272535</v>
      </c>
      <c r="O3314" t="s">
        <v>8</v>
      </c>
    </row>
    <row r="3315" spans="1:15" x14ac:dyDescent="0.35">
      <c r="A3315">
        <v>2009</v>
      </c>
      <c r="B3315">
        <v>1</v>
      </c>
      <c r="C3315">
        <v>26</v>
      </c>
      <c r="D3315" s="1">
        <f t="shared" si="408"/>
        <v>39839</v>
      </c>
      <c r="E3315">
        <v>0</v>
      </c>
      <c r="F3315">
        <f t="shared" si="414"/>
        <v>0</v>
      </c>
      <c r="G3315">
        <f t="shared" si="409"/>
        <v>0</v>
      </c>
      <c r="H3315">
        <f t="shared" si="415"/>
        <v>0</v>
      </c>
      <c r="I3315">
        <v>3314</v>
      </c>
      <c r="J3315">
        <f t="shared" si="410"/>
        <v>0.44409580415921746</v>
      </c>
      <c r="K3315">
        <f t="shared" si="411"/>
        <v>0.89597930597094599</v>
      </c>
      <c r="L3315">
        <f>VLOOKUP(D3315,[1]SOI!$A$1:$C$142,3)</f>
        <v>13.3</v>
      </c>
      <c r="M3315" s="2">
        <f t="shared" si="412"/>
        <v>1471.7334949836466</v>
      </c>
      <c r="N3315">
        <f t="shared" si="413"/>
        <v>2969.2754199877149</v>
      </c>
      <c r="O3315" t="s">
        <v>8</v>
      </c>
    </row>
    <row r="3316" spans="1:15" x14ac:dyDescent="0.35">
      <c r="A3316">
        <v>2009</v>
      </c>
      <c r="B3316">
        <v>1</v>
      </c>
      <c r="C3316">
        <v>27</v>
      </c>
      <c r="D3316" s="1">
        <f t="shared" si="408"/>
        <v>39840</v>
      </c>
      <c r="E3316">
        <v>0</v>
      </c>
      <c r="F3316">
        <f t="shared" si="414"/>
        <v>0</v>
      </c>
      <c r="G3316">
        <f t="shared" si="409"/>
        <v>0</v>
      </c>
      <c r="H3316">
        <f t="shared" si="415"/>
        <v>0</v>
      </c>
      <c r="I3316">
        <v>3315</v>
      </c>
      <c r="J3316">
        <f t="shared" si="410"/>
        <v>0.45944235221744584</v>
      </c>
      <c r="K3316">
        <f t="shared" si="411"/>
        <v>0.88820759115698877</v>
      </c>
      <c r="L3316">
        <f>VLOOKUP(D3316,[1]SOI!$A$1:$C$142,3)</f>
        <v>13.3</v>
      </c>
      <c r="M3316" s="2">
        <f t="shared" si="412"/>
        <v>1523.0513976008328</v>
      </c>
      <c r="N3316">
        <f t="shared" si="413"/>
        <v>2944.4081646854179</v>
      </c>
      <c r="O3316" t="s">
        <v>8</v>
      </c>
    </row>
    <row r="3317" spans="1:15" x14ac:dyDescent="0.35">
      <c r="A3317">
        <v>2009</v>
      </c>
      <c r="B3317">
        <v>1</v>
      </c>
      <c r="C3317">
        <v>28</v>
      </c>
      <c r="D3317" s="1">
        <f t="shared" si="408"/>
        <v>39841</v>
      </c>
      <c r="E3317">
        <v>0</v>
      </c>
      <c r="F3317">
        <f t="shared" si="414"/>
        <v>0</v>
      </c>
      <c r="G3317">
        <f t="shared" si="409"/>
        <v>0</v>
      </c>
      <c r="H3317">
        <f t="shared" si="415"/>
        <v>0</v>
      </c>
      <c r="I3317">
        <v>3316</v>
      </c>
      <c r="J3317">
        <f t="shared" si="410"/>
        <v>0.47465294389193635</v>
      </c>
      <c r="K3317">
        <f t="shared" si="411"/>
        <v>0.8801730414269221</v>
      </c>
      <c r="L3317">
        <f>VLOOKUP(D3317,[1]SOI!$A$1:$C$142,3)</f>
        <v>13.3</v>
      </c>
      <c r="M3317" s="2">
        <f t="shared" si="412"/>
        <v>1573.949161945661</v>
      </c>
      <c r="N3317">
        <f t="shared" si="413"/>
        <v>2918.6538053716736</v>
      </c>
      <c r="O3317" t="s">
        <v>8</v>
      </c>
    </row>
    <row r="3318" spans="1:15" x14ac:dyDescent="0.35">
      <c r="A3318">
        <v>2009</v>
      </c>
      <c r="B3318">
        <v>1</v>
      </c>
      <c r="C3318">
        <v>29</v>
      </c>
      <c r="D3318" s="1">
        <f t="shared" si="408"/>
        <v>39842</v>
      </c>
      <c r="E3318">
        <v>0</v>
      </c>
      <c r="F3318">
        <f t="shared" si="414"/>
        <v>0</v>
      </c>
      <c r="G3318">
        <f t="shared" si="409"/>
        <v>0</v>
      </c>
      <c r="H3318">
        <f t="shared" si="415"/>
        <v>0</v>
      </c>
      <c r="I3318">
        <v>3317</v>
      </c>
      <c r="J3318">
        <f t="shared" si="410"/>
        <v>0.48972307812389154</v>
      </c>
      <c r="K3318">
        <f t="shared" si="411"/>
        <v>0.87187803433327804</v>
      </c>
      <c r="L3318">
        <f>VLOOKUP(D3318,[1]SOI!$A$1:$C$142,3)</f>
        <v>13.3</v>
      </c>
      <c r="M3318" s="2">
        <f t="shared" si="412"/>
        <v>1624.4114501369481</v>
      </c>
      <c r="N3318">
        <f t="shared" si="413"/>
        <v>2892.0194398834833</v>
      </c>
      <c r="O3318" t="s">
        <v>8</v>
      </c>
    </row>
    <row r="3319" spans="1:15" x14ac:dyDescent="0.35">
      <c r="A3319">
        <v>2009</v>
      </c>
      <c r="B3319">
        <v>1</v>
      </c>
      <c r="C3319">
        <v>30</v>
      </c>
      <c r="D3319" s="1">
        <f t="shared" si="408"/>
        <v>39843</v>
      </c>
      <c r="E3319">
        <v>0</v>
      </c>
      <c r="F3319">
        <f t="shared" si="414"/>
        <v>0</v>
      </c>
      <c r="G3319">
        <f t="shared" si="409"/>
        <v>0</v>
      </c>
      <c r="H3319">
        <f t="shared" si="415"/>
        <v>0</v>
      </c>
      <c r="I3319">
        <v>3318</v>
      </c>
      <c r="J3319">
        <f t="shared" si="410"/>
        <v>0.50464829541814937</v>
      </c>
      <c r="K3319">
        <f t="shared" si="411"/>
        <v>0.86332502450210269</v>
      </c>
      <c r="L3319">
        <f>VLOOKUP(D3319,[1]SOI!$A$1:$C$142,3)</f>
        <v>13.3</v>
      </c>
      <c r="M3319" s="2">
        <f t="shared" si="412"/>
        <v>1674.4230441974196</v>
      </c>
      <c r="N3319">
        <f t="shared" si="413"/>
        <v>2864.5124312979769</v>
      </c>
      <c r="O3319" t="s">
        <v>8</v>
      </c>
    </row>
    <row r="3320" spans="1:15" x14ac:dyDescent="0.35">
      <c r="A3320">
        <v>2009</v>
      </c>
      <c r="B3320">
        <v>1</v>
      </c>
      <c r="C3320">
        <v>31</v>
      </c>
      <c r="D3320" s="1">
        <f t="shared" si="408"/>
        <v>39844</v>
      </c>
      <c r="E3320">
        <v>0</v>
      </c>
      <c r="F3320">
        <f t="shared" si="414"/>
        <v>0</v>
      </c>
      <c r="G3320">
        <f t="shared" si="409"/>
        <v>0</v>
      </c>
      <c r="H3320">
        <f t="shared" si="415"/>
        <v>0</v>
      </c>
      <c r="I3320">
        <v>3319</v>
      </c>
      <c r="J3320">
        <f t="shared" si="410"/>
        <v>0.51942417916278261</v>
      </c>
      <c r="K3320">
        <f t="shared" si="411"/>
        <v>0.85451654290661305</v>
      </c>
      <c r="L3320">
        <f>VLOOKUP(D3320,[1]SOI!$A$1:$C$142,3)</f>
        <v>13.3</v>
      </c>
      <c r="M3320" s="2">
        <f t="shared" si="412"/>
        <v>1723.9688506412754</v>
      </c>
      <c r="N3320">
        <f t="shared" si="413"/>
        <v>2836.1404059070487</v>
      </c>
      <c r="O3320" t="s">
        <v>8</v>
      </c>
    </row>
    <row r="3321" spans="1:15" x14ac:dyDescent="0.35">
      <c r="A3321">
        <v>2009</v>
      </c>
      <c r="B3321">
        <v>2</v>
      </c>
      <c r="C3321">
        <v>1</v>
      </c>
      <c r="D3321" s="1">
        <f t="shared" si="408"/>
        <v>39845</v>
      </c>
      <c r="E3321">
        <v>0</v>
      </c>
      <c r="F3321">
        <f t="shared" si="414"/>
        <v>0</v>
      </c>
      <c r="G3321">
        <f t="shared" si="409"/>
        <v>0</v>
      </c>
      <c r="H3321">
        <f t="shared" si="415"/>
        <v>0</v>
      </c>
      <c r="I3321">
        <v>3320</v>
      </c>
      <c r="J3321">
        <f t="shared" si="410"/>
        <v>0.53404635693607005</v>
      </c>
      <c r="K3321">
        <f t="shared" si="411"/>
        <v>0.84545519611822817</v>
      </c>
      <c r="L3321">
        <f>VLOOKUP(D3321,[1]SOI!$A$1:$C$142,3)</f>
        <v>9.4</v>
      </c>
      <c r="M3321" s="2">
        <f t="shared" si="412"/>
        <v>1773.0339050277526</v>
      </c>
      <c r="N3321">
        <f t="shared" si="413"/>
        <v>2806.9112511125177</v>
      </c>
      <c r="O3321" t="s">
        <v>8</v>
      </c>
    </row>
    <row r="3322" spans="1:15" x14ac:dyDescent="0.35">
      <c r="A3322">
        <v>2009</v>
      </c>
      <c r="B3322">
        <v>2</v>
      </c>
      <c r="C3322">
        <v>2</v>
      </c>
      <c r="D3322" s="1">
        <f t="shared" si="408"/>
        <v>39846</v>
      </c>
      <c r="E3322">
        <v>0</v>
      </c>
      <c r="F3322">
        <f t="shared" si="414"/>
        <v>0</v>
      </c>
      <c r="G3322">
        <f t="shared" si="409"/>
        <v>0</v>
      </c>
      <c r="H3322">
        <f t="shared" si="415"/>
        <v>0</v>
      </c>
      <c r="I3322">
        <v>3321</v>
      </c>
      <c r="J3322">
        <f t="shared" si="410"/>
        <v>0.54851050180036043</v>
      </c>
      <c r="K3322">
        <f t="shared" si="411"/>
        <v>0.83614366553524566</v>
      </c>
      <c r="L3322">
        <f>VLOOKUP(D3322,[1]SOI!$A$1:$C$142,3)</f>
        <v>9.4</v>
      </c>
      <c r="M3322" s="2">
        <f t="shared" si="412"/>
        <v>1821.603376478997</v>
      </c>
      <c r="N3322">
        <f t="shared" si="413"/>
        <v>2776.833113242551</v>
      </c>
      <c r="O3322" t="s">
        <v>8</v>
      </c>
    </row>
    <row r="3323" spans="1:15" x14ac:dyDescent="0.35">
      <c r="A3323">
        <v>2009</v>
      </c>
      <c r="B3323">
        <v>2</v>
      </c>
      <c r="C3323">
        <v>3</v>
      </c>
      <c r="D3323" s="1">
        <f t="shared" si="408"/>
        <v>39847</v>
      </c>
      <c r="E3323">
        <v>0</v>
      </c>
      <c r="F3323">
        <f t="shared" si="414"/>
        <v>0</v>
      </c>
      <c r="G3323">
        <f t="shared" si="409"/>
        <v>0</v>
      </c>
      <c r="H3323">
        <f t="shared" si="415"/>
        <v>0</v>
      </c>
      <c r="I3323">
        <v>3322</v>
      </c>
      <c r="J3323">
        <f t="shared" si="410"/>
        <v>0.56281233358248262</v>
      </c>
      <c r="K3323">
        <f t="shared" si="411"/>
        <v>0.82658470658937333</v>
      </c>
      <c r="L3323">
        <f>VLOOKUP(D3323,[1]SOI!$A$1:$C$142,3)</f>
        <v>9.4</v>
      </c>
      <c r="M3323" s="2">
        <f t="shared" si="412"/>
        <v>1869.6625721610073</v>
      </c>
      <c r="N3323">
        <f t="shared" si="413"/>
        <v>2745.914395289898</v>
      </c>
      <c r="O3323" t="s">
        <v>8</v>
      </c>
    </row>
    <row r="3324" spans="1:15" x14ac:dyDescent="0.35">
      <c r="A3324">
        <v>2009</v>
      </c>
      <c r="B3324">
        <v>2</v>
      </c>
      <c r="C3324">
        <v>4</v>
      </c>
      <c r="D3324" s="1">
        <f t="shared" si="408"/>
        <v>39848</v>
      </c>
      <c r="E3324">
        <v>0</v>
      </c>
      <c r="F3324">
        <f t="shared" si="414"/>
        <v>0</v>
      </c>
      <c r="G3324">
        <f t="shared" si="409"/>
        <v>0</v>
      </c>
      <c r="H3324">
        <f t="shared" si="415"/>
        <v>0</v>
      </c>
      <c r="I3324">
        <v>3323</v>
      </c>
      <c r="J3324">
        <f t="shared" si="410"/>
        <v>0.5769476201403122</v>
      </c>
      <c r="K3324">
        <f t="shared" si="411"/>
        <v>0.81678114793035594</v>
      </c>
      <c r="L3324">
        <f>VLOOKUP(D3324,[1]SOI!$A$1:$C$142,3)</f>
        <v>9.4</v>
      </c>
      <c r="M3324" s="2">
        <f t="shared" si="412"/>
        <v>1917.1969417262574</v>
      </c>
      <c r="N3324">
        <f t="shared" si="413"/>
        <v>2714.163754572573</v>
      </c>
      <c r="O3324" t="s">
        <v>8</v>
      </c>
    </row>
    <row r="3325" spans="1:15" x14ac:dyDescent="0.35">
      <c r="A3325">
        <v>2009</v>
      </c>
      <c r="B3325">
        <v>2</v>
      </c>
      <c r="C3325">
        <v>5</v>
      </c>
      <c r="D3325" s="1">
        <f t="shared" si="408"/>
        <v>39849</v>
      </c>
      <c r="E3325">
        <v>0</v>
      </c>
      <c r="F3325">
        <f t="shared" si="414"/>
        <v>0</v>
      </c>
      <c r="G3325">
        <f t="shared" si="409"/>
        <v>0</v>
      </c>
      <c r="H3325">
        <f t="shared" si="415"/>
        <v>0</v>
      </c>
      <c r="I3325">
        <v>3324</v>
      </c>
      <c r="J3325">
        <f t="shared" si="410"/>
        <v>0.59091217861515344</v>
      </c>
      <c r="K3325">
        <f t="shared" si="411"/>
        <v>0.80673589058891693</v>
      </c>
      <c r="L3325">
        <f>VLOOKUP(D3325,[1]SOI!$A$1:$C$142,3)</f>
        <v>9.4</v>
      </c>
      <c r="M3325" s="2">
        <f t="shared" si="412"/>
        <v>1964.19208171677</v>
      </c>
      <c r="N3325">
        <f t="shared" si="413"/>
        <v>2681.59010031756</v>
      </c>
      <c r="O3325" t="s">
        <v>8</v>
      </c>
    </row>
    <row r="3326" spans="1:15" x14ac:dyDescent="0.35">
      <c r="A3326">
        <v>2009</v>
      </c>
      <c r="B3326">
        <v>2</v>
      </c>
      <c r="C3326">
        <v>6</v>
      </c>
      <c r="D3326" s="1">
        <f t="shared" si="408"/>
        <v>39850</v>
      </c>
      <c r="E3326">
        <v>0</v>
      </c>
      <c r="F3326">
        <f t="shared" si="414"/>
        <v>0</v>
      </c>
      <c r="G3326">
        <f t="shared" si="409"/>
        <v>0</v>
      </c>
      <c r="H3326">
        <f t="shared" si="415"/>
        <v>0</v>
      </c>
      <c r="I3326">
        <v>3325</v>
      </c>
      <c r="J3326">
        <f t="shared" si="410"/>
        <v>0.60470187666947972</v>
      </c>
      <c r="K3326">
        <f t="shared" si="411"/>
        <v>0.79645190711832026</v>
      </c>
      <c r="L3326">
        <f>VLOOKUP(D3326,[1]SOI!$A$1:$C$142,3)</f>
        <v>9.4</v>
      </c>
      <c r="M3326" s="2">
        <f t="shared" si="412"/>
        <v>2010.6337399260201</v>
      </c>
      <c r="N3326">
        <f t="shared" si="413"/>
        <v>2648.202591168415</v>
      </c>
      <c r="O3326" t="s">
        <v>8</v>
      </c>
    </row>
    <row r="3327" spans="1:15" x14ac:dyDescent="0.35">
      <c r="A3327">
        <v>2009</v>
      </c>
      <c r="B3327">
        <v>2</v>
      </c>
      <c r="C3327">
        <v>7</v>
      </c>
      <c r="D3327" s="1">
        <f t="shared" si="408"/>
        <v>39851</v>
      </c>
      <c r="E3327">
        <v>0</v>
      </c>
      <c r="F3327">
        <f t="shared" si="414"/>
        <v>0</v>
      </c>
      <c r="G3327">
        <f t="shared" si="409"/>
        <v>0</v>
      </c>
      <c r="H3327">
        <f t="shared" si="415"/>
        <v>0</v>
      </c>
      <c r="I3327">
        <v>3326</v>
      </c>
      <c r="J3327">
        <f t="shared" si="410"/>
        <v>0.61831263370978173</v>
      </c>
      <c r="K3327">
        <f t="shared" si="411"/>
        <v>0.78593224071472811</v>
      </c>
      <c r="L3327">
        <f>VLOOKUP(D3327,[1]SOI!$A$1:$C$142,3)</f>
        <v>9.4</v>
      </c>
      <c r="M3327" s="2">
        <f t="shared" si="412"/>
        <v>2056.507819718734</v>
      </c>
      <c r="N3327">
        <f t="shared" si="413"/>
        <v>2614.0106326171858</v>
      </c>
      <c r="O3327" t="s">
        <v>8</v>
      </c>
    </row>
    <row r="3328" spans="1:15" x14ac:dyDescent="0.35">
      <c r="A3328">
        <v>2009</v>
      </c>
      <c r="B3328">
        <v>2</v>
      </c>
      <c r="C3328">
        <v>8</v>
      </c>
      <c r="D3328" s="1">
        <f t="shared" si="408"/>
        <v>39852</v>
      </c>
      <c r="E3328">
        <v>0.8</v>
      </c>
      <c r="F3328">
        <f t="shared" si="414"/>
        <v>0</v>
      </c>
      <c r="G3328">
        <f t="shared" si="409"/>
        <v>1</v>
      </c>
      <c r="H3328">
        <f t="shared" si="415"/>
        <v>0</v>
      </c>
      <c r="I3328">
        <v>3327</v>
      </c>
      <c r="J3328">
        <f t="shared" si="410"/>
        <v>0.63174042209407522</v>
      </c>
      <c r="K3328">
        <f t="shared" si="411"/>
        <v>0.77518000431667455</v>
      </c>
      <c r="L3328">
        <f>VLOOKUP(D3328,[1]SOI!$A$1:$C$142,3)</f>
        <v>9.4</v>
      </c>
      <c r="M3328" s="2">
        <f t="shared" si="412"/>
        <v>2101.8003843069882</v>
      </c>
      <c r="N3328">
        <f t="shared" si="413"/>
        <v>2579.0238743615764</v>
      </c>
      <c r="O3328" t="s">
        <v>8</v>
      </c>
    </row>
    <row r="3329" spans="1:15" x14ac:dyDescent="0.35">
      <c r="A3329">
        <v>2009</v>
      </c>
      <c r="B3329">
        <v>2</v>
      </c>
      <c r="C3329">
        <v>9</v>
      </c>
      <c r="D3329" s="1">
        <f t="shared" si="408"/>
        <v>39853</v>
      </c>
      <c r="E3329">
        <v>0.6</v>
      </c>
      <c r="F3329">
        <f t="shared" si="414"/>
        <v>0.8</v>
      </c>
      <c r="G3329">
        <f t="shared" si="409"/>
        <v>1</v>
      </c>
      <c r="H3329">
        <f t="shared" si="415"/>
        <v>1</v>
      </c>
      <c r="I3329">
        <v>3328</v>
      </c>
      <c r="J3329">
        <f t="shared" si="410"/>
        <v>0.64498126832374503</v>
      </c>
      <c r="K3329">
        <f t="shared" si="411"/>
        <v>0.7641983796838967</v>
      </c>
      <c r="L3329">
        <f>VLOOKUP(D3329,[1]SOI!$A$1:$C$142,3)</f>
        <v>9.4</v>
      </c>
      <c r="M3329" s="2">
        <f t="shared" si="412"/>
        <v>2146.4976609814235</v>
      </c>
      <c r="N3329">
        <f t="shared" si="413"/>
        <v>2543.2522075880083</v>
      </c>
      <c r="O3329" t="s">
        <v>8</v>
      </c>
    </row>
    <row r="3330" spans="1:15" x14ac:dyDescent="0.35">
      <c r="A3330">
        <v>2009</v>
      </c>
      <c r="B3330">
        <v>2</v>
      </c>
      <c r="C3330">
        <v>10</v>
      </c>
      <c r="D3330" s="1">
        <f t="shared" si="408"/>
        <v>39854</v>
      </c>
      <c r="E3330">
        <v>0</v>
      </c>
      <c r="F3330">
        <f t="shared" si="414"/>
        <v>0.6</v>
      </c>
      <c r="G3330">
        <f t="shared" si="409"/>
        <v>0</v>
      </c>
      <c r="H3330">
        <f t="shared" si="415"/>
        <v>1</v>
      </c>
      <c r="I3330">
        <v>3329</v>
      </c>
      <c r="J3330">
        <f t="shared" si="410"/>
        <v>0.65803125421936171</v>
      </c>
      <c r="K3330">
        <f t="shared" si="411"/>
        <v>0.75299061645580534</v>
      </c>
      <c r="L3330">
        <f>VLOOKUP(D3330,[1]SOI!$A$1:$C$142,3)</f>
        <v>9.4</v>
      </c>
      <c r="M3330" s="2">
        <f t="shared" si="412"/>
        <v>2190.5860452962552</v>
      </c>
      <c r="N3330">
        <f t="shared" si="413"/>
        <v>2506.705762181376</v>
      </c>
      <c r="O3330" t="s">
        <v>8</v>
      </c>
    </row>
    <row r="3331" spans="1:15" x14ac:dyDescent="0.35">
      <c r="A3331">
        <v>2009</v>
      </c>
      <c r="B3331">
        <v>2</v>
      </c>
      <c r="C3331">
        <v>11</v>
      </c>
      <c r="D3331" s="1">
        <f t="shared" ref="D3331:D3394" si="416">DATE(A3331,B3331,C3331)</f>
        <v>39855</v>
      </c>
      <c r="E3331">
        <v>0</v>
      </c>
      <c r="F3331">
        <f t="shared" si="414"/>
        <v>0</v>
      </c>
      <c r="G3331">
        <f t="shared" ref="G3331:G3394" si="417">IF(E3331=0,0,1)</f>
        <v>0</v>
      </c>
      <c r="H3331">
        <f t="shared" si="415"/>
        <v>0</v>
      </c>
      <c r="I3331">
        <v>3330</v>
      </c>
      <c r="J3331">
        <f t="shared" ref="J3331:J3394" si="418">SIN(2*PI()*I3331/365.25)</f>
        <v>0.67088651808015543</v>
      </c>
      <c r="K3331">
        <f t="shared" ref="K3331:K3394" si="419">COS(2*PI()*I3331/365.25)</f>
        <v>0.74156003118984593</v>
      </c>
      <c r="L3331">
        <f>VLOOKUP(D3331,[1]SOI!$A$1:$C$142,3)</f>
        <v>9.4</v>
      </c>
      <c r="M3331" s="2">
        <f t="shared" ref="M3331:M3394" si="420">I3331*J3331</f>
        <v>2234.0521052069175</v>
      </c>
      <c r="N3331">
        <f t="shared" ref="N3331:N3394" si="421">I3331*K3331</f>
        <v>2469.3949038621868</v>
      </c>
      <c r="O3331" t="s">
        <v>8</v>
      </c>
    </row>
    <row r="3332" spans="1:15" x14ac:dyDescent="0.35">
      <c r="A3332">
        <v>2009</v>
      </c>
      <c r="B3332">
        <v>2</v>
      </c>
      <c r="C3332">
        <v>12</v>
      </c>
      <c r="D3332" s="1">
        <f t="shared" si="416"/>
        <v>39856</v>
      </c>
      <c r="E3332">
        <v>0</v>
      </c>
      <c r="F3332">
        <f t="shared" ref="F3332:F3395" si="422">E3331</f>
        <v>0</v>
      </c>
      <c r="G3332">
        <f t="shared" si="417"/>
        <v>0</v>
      </c>
      <c r="H3332">
        <f t="shared" ref="H3332:H3395" si="423">G3331</f>
        <v>0</v>
      </c>
      <c r="I3332">
        <v>3331</v>
      </c>
      <c r="J3332">
        <f t="shared" si="418"/>
        <v>0.68354325582672293</v>
      </c>
      <c r="K3332">
        <f t="shared" si="419"/>
        <v>0.72991000638010384</v>
      </c>
      <c r="L3332">
        <f>VLOOKUP(D3332,[1]SOI!$A$1:$C$142,3)</f>
        <v>9.4</v>
      </c>
      <c r="M3332" s="2">
        <f t="shared" si="420"/>
        <v>2276.882585158814</v>
      </c>
      <c r="N3332">
        <f t="shared" si="421"/>
        <v>2431.3302312521259</v>
      </c>
      <c r="O3332" t="s">
        <v>8</v>
      </c>
    </row>
    <row r="3333" spans="1:15" x14ac:dyDescent="0.35">
      <c r="A3333">
        <v>2009</v>
      </c>
      <c r="B3333">
        <v>2</v>
      </c>
      <c r="C3333">
        <v>13</v>
      </c>
      <c r="D3333" s="1">
        <f t="shared" si="416"/>
        <v>39857</v>
      </c>
      <c r="E3333">
        <v>0</v>
      </c>
      <c r="F3333">
        <f t="shared" si="422"/>
        <v>0</v>
      </c>
      <c r="G3333">
        <f t="shared" si="417"/>
        <v>0</v>
      </c>
      <c r="H3333">
        <f t="shared" si="423"/>
        <v>0</v>
      </c>
      <c r="I3333">
        <v>3332</v>
      </c>
      <c r="J3333">
        <f t="shared" si="418"/>
        <v>0.69599772212673783</v>
      </c>
      <c r="K3333">
        <f t="shared" si="419"/>
        <v>0.71804398945635095</v>
      </c>
      <c r="L3333">
        <f>VLOOKUP(D3333,[1]SOI!$A$1:$C$142,3)</f>
        <v>9.4</v>
      </c>
      <c r="M3333" s="2">
        <f t="shared" si="420"/>
        <v>2319.0644101262906</v>
      </c>
      <c r="N3333">
        <f t="shared" si="421"/>
        <v>2392.5225728685614</v>
      </c>
      <c r="O3333" t="s">
        <v>8</v>
      </c>
    </row>
    <row r="3334" spans="1:15" x14ac:dyDescent="0.35">
      <c r="A3334">
        <v>2009</v>
      </c>
      <c r="B3334">
        <v>2</v>
      </c>
      <c r="C3334">
        <v>14</v>
      </c>
      <c r="D3334" s="1">
        <f t="shared" si="416"/>
        <v>39858</v>
      </c>
      <c r="E3334">
        <v>0</v>
      </c>
      <c r="F3334">
        <f t="shared" si="422"/>
        <v>0</v>
      </c>
      <c r="G3334">
        <f t="shared" si="417"/>
        <v>0</v>
      </c>
      <c r="H3334">
        <f t="shared" si="423"/>
        <v>0</v>
      </c>
      <c r="I3334">
        <v>3333</v>
      </c>
      <c r="J3334">
        <f t="shared" si="418"/>
        <v>0.70824623150324872</v>
      </c>
      <c r="K3334">
        <f t="shared" si="419"/>
        <v>0.705965491763901</v>
      </c>
      <c r="L3334">
        <f>VLOOKUP(D3334,[1]SOI!$A$1:$C$142,3)</f>
        <v>9.4</v>
      </c>
      <c r="M3334" s="2">
        <f t="shared" si="420"/>
        <v>2360.5846896003281</v>
      </c>
      <c r="N3334">
        <f t="shared" si="421"/>
        <v>2352.982984049082</v>
      </c>
      <c r="O3334" t="s">
        <v>8</v>
      </c>
    </row>
    <row r="3335" spans="1:15" x14ac:dyDescent="0.35">
      <c r="A3335">
        <v>2009</v>
      </c>
      <c r="B3335">
        <v>2</v>
      </c>
      <c r="C3335">
        <v>15</v>
      </c>
      <c r="D3335" s="1">
        <f t="shared" si="416"/>
        <v>39859</v>
      </c>
      <c r="E3335">
        <v>0</v>
      </c>
      <c r="F3335">
        <f t="shared" si="422"/>
        <v>0</v>
      </c>
      <c r="G3335">
        <f t="shared" si="417"/>
        <v>0</v>
      </c>
      <c r="H3335">
        <f t="shared" si="423"/>
        <v>0</v>
      </c>
      <c r="I3335">
        <v>3334</v>
      </c>
      <c r="J3335">
        <f t="shared" si="418"/>
        <v>0.72028515942526672</v>
      </c>
      <c r="K3335">
        <f t="shared" si="419"/>
        <v>0.69367808752455062</v>
      </c>
      <c r="L3335">
        <f>VLOOKUP(D3335,[1]SOI!$A$1:$C$142,3)</f>
        <v>9.4</v>
      </c>
      <c r="M3335" s="2">
        <f t="shared" si="420"/>
        <v>2401.4307215238391</v>
      </c>
      <c r="N3335">
        <f t="shared" si="421"/>
        <v>2312.7227438068517</v>
      </c>
      <c r="O3335" t="s">
        <v>8</v>
      </c>
    </row>
    <row r="3336" spans="1:15" x14ac:dyDescent="0.35">
      <c r="A3336">
        <v>2009</v>
      </c>
      <c r="B3336">
        <v>2</v>
      </c>
      <c r="C3336">
        <v>16</v>
      </c>
      <c r="D3336" s="1">
        <f t="shared" si="416"/>
        <v>39860</v>
      </c>
      <c r="E3336">
        <v>0</v>
      </c>
      <c r="F3336">
        <f t="shared" si="422"/>
        <v>0</v>
      </c>
      <c r="G3336">
        <f t="shared" si="417"/>
        <v>0</v>
      </c>
      <c r="H3336">
        <f t="shared" si="423"/>
        <v>0</v>
      </c>
      <c r="I3336">
        <v>3335</v>
      </c>
      <c r="J3336">
        <f t="shared" si="418"/>
        <v>0.73211094338034188</v>
      </c>
      <c r="K3336">
        <f t="shared" si="419"/>
        <v>0.68118541277888933</v>
      </c>
      <c r="L3336">
        <f>VLOOKUP(D3336,[1]SOI!$A$1:$C$142,3)</f>
        <v>9.4</v>
      </c>
      <c r="M3336" s="2">
        <f t="shared" si="420"/>
        <v>2441.5899961734403</v>
      </c>
      <c r="N3336">
        <f t="shared" si="421"/>
        <v>2271.7533516175959</v>
      </c>
      <c r="O3336" t="s">
        <v>8</v>
      </c>
    </row>
    <row r="3337" spans="1:15" x14ac:dyDescent="0.35">
      <c r="A3337">
        <v>2009</v>
      </c>
      <c r="B3337">
        <v>2</v>
      </c>
      <c r="C3337">
        <v>17</v>
      </c>
      <c r="D3337" s="1">
        <f t="shared" si="416"/>
        <v>39861</v>
      </c>
      <c r="E3337">
        <v>0</v>
      </c>
      <c r="F3337">
        <f t="shared" si="422"/>
        <v>0</v>
      </c>
      <c r="G3337">
        <f t="shared" si="417"/>
        <v>0</v>
      </c>
      <c r="H3337">
        <f t="shared" si="423"/>
        <v>0</v>
      </c>
      <c r="I3337">
        <v>3336</v>
      </c>
      <c r="J3337">
        <f t="shared" si="418"/>
        <v>0.74372008392873823</v>
      </c>
      <c r="K3337">
        <f t="shared" si="419"/>
        <v>0.66849116431036726</v>
      </c>
      <c r="L3337">
        <f>VLOOKUP(D3337,[1]SOI!$A$1:$C$142,3)</f>
        <v>9.4</v>
      </c>
      <c r="M3337" s="2">
        <f t="shared" si="420"/>
        <v>2481.0501999862709</v>
      </c>
      <c r="N3337">
        <f t="shared" si="421"/>
        <v>2230.0865241393853</v>
      </c>
      <c r="O3337" t="s">
        <v>8</v>
      </c>
    </row>
    <row r="3338" spans="1:15" x14ac:dyDescent="0.35">
      <c r="A3338">
        <v>2009</v>
      </c>
      <c r="B3338">
        <v>2</v>
      </c>
      <c r="C3338">
        <v>18</v>
      </c>
      <c r="D3338" s="1">
        <f t="shared" si="416"/>
        <v>39862</v>
      </c>
      <c r="E3338">
        <v>0</v>
      </c>
      <c r="F3338">
        <f t="shared" si="422"/>
        <v>0</v>
      </c>
      <c r="G3338">
        <f t="shared" si="417"/>
        <v>0</v>
      </c>
      <c r="H3338">
        <f t="shared" si="423"/>
        <v>0</v>
      </c>
      <c r="I3338">
        <v>3337</v>
      </c>
      <c r="J3338">
        <f t="shared" si="418"/>
        <v>0.75510914573899457</v>
      </c>
      <c r="K3338">
        <f t="shared" si="419"/>
        <v>0.65559909855133713</v>
      </c>
      <c r="L3338">
        <f>VLOOKUP(D3338,[1]SOI!$A$1:$C$142,3)</f>
        <v>9.4</v>
      </c>
      <c r="M3338" s="2">
        <f t="shared" si="420"/>
        <v>2519.7992193310247</v>
      </c>
      <c r="N3338">
        <f t="shared" si="421"/>
        <v>2187.7341918658121</v>
      </c>
      <c r="O3338" t="s">
        <v>8</v>
      </c>
    </row>
    <row r="3339" spans="1:15" x14ac:dyDescent="0.35">
      <c r="A3339">
        <v>2009</v>
      </c>
      <c r="B3339">
        <v>2</v>
      </c>
      <c r="C3339">
        <v>19</v>
      </c>
      <c r="D3339" s="1">
        <f t="shared" si="416"/>
        <v>39863</v>
      </c>
      <c r="E3339">
        <v>0</v>
      </c>
      <c r="F3339">
        <f t="shared" si="422"/>
        <v>0</v>
      </c>
      <c r="G3339">
        <f t="shared" si="417"/>
        <v>0</v>
      </c>
      <c r="H3339">
        <f t="shared" si="423"/>
        <v>0</v>
      </c>
      <c r="I3339">
        <v>3338</v>
      </c>
      <c r="J3339">
        <f t="shared" si="418"/>
        <v>0.76627475860448868</v>
      </c>
      <c r="K3339">
        <f t="shared" si="419"/>
        <v>0.64251303047147035</v>
      </c>
      <c r="L3339">
        <f>VLOOKUP(D3339,[1]SOI!$A$1:$C$142,3)</f>
        <v>9.4</v>
      </c>
      <c r="M3339" s="2">
        <f t="shared" si="420"/>
        <v>2557.8251442217834</v>
      </c>
      <c r="N3339">
        <f t="shared" si="421"/>
        <v>2144.7084957137681</v>
      </c>
      <c r="O3339" t="s">
        <v>8</v>
      </c>
    </row>
    <row r="3340" spans="1:15" x14ac:dyDescent="0.35">
      <c r="A3340">
        <v>2009</v>
      </c>
      <c r="B3340">
        <v>2</v>
      </c>
      <c r="C3340">
        <v>20</v>
      </c>
      <c r="D3340" s="1">
        <f t="shared" si="416"/>
        <v>39864</v>
      </c>
      <c r="E3340">
        <v>0</v>
      </c>
      <c r="F3340">
        <f t="shared" si="422"/>
        <v>0</v>
      </c>
      <c r="G3340">
        <f t="shared" si="417"/>
        <v>0</v>
      </c>
      <c r="H3340">
        <f t="shared" si="423"/>
        <v>0</v>
      </c>
      <c r="I3340">
        <v>3339</v>
      </c>
      <c r="J3340">
        <f t="shared" si="418"/>
        <v>0.77721361844073622</v>
      </c>
      <c r="K3340">
        <f t="shared" si="419"/>
        <v>0.62923683244884643</v>
      </c>
      <c r="L3340">
        <f>VLOOKUP(D3340,[1]SOI!$A$1:$C$142,3)</f>
        <v>9.4</v>
      </c>
      <c r="M3340" s="2">
        <f t="shared" si="420"/>
        <v>2595.116271973618</v>
      </c>
      <c r="N3340">
        <f t="shared" si="421"/>
        <v>2101.0217835466983</v>
      </c>
      <c r="O3340" t="s">
        <v>8</v>
      </c>
    </row>
    <row r="3341" spans="1:15" x14ac:dyDescent="0.35">
      <c r="A3341">
        <v>2009</v>
      </c>
      <c r="B3341">
        <v>2</v>
      </c>
      <c r="C3341">
        <v>21</v>
      </c>
      <c r="D3341" s="1">
        <f t="shared" si="416"/>
        <v>39865</v>
      </c>
      <c r="E3341">
        <v>0.2</v>
      </c>
      <c r="F3341">
        <f t="shared" si="422"/>
        <v>0</v>
      </c>
      <c r="G3341">
        <f t="shared" si="417"/>
        <v>1</v>
      </c>
      <c r="H3341">
        <f t="shared" si="423"/>
        <v>0</v>
      </c>
      <c r="I3341">
        <v>3340</v>
      </c>
      <c r="J3341">
        <f t="shared" si="418"/>
        <v>0.78792248826311806</v>
      </c>
      <c r="K3341">
        <f t="shared" si="419"/>
        <v>0.61577443312405922</v>
      </c>
      <c r="L3341">
        <f>VLOOKUP(D3341,[1]SOI!$A$1:$C$142,3)</f>
        <v>9.4</v>
      </c>
      <c r="M3341" s="2">
        <f t="shared" si="420"/>
        <v>2631.6611107988142</v>
      </c>
      <c r="N3341">
        <f t="shared" si="421"/>
        <v>2056.6866066343578</v>
      </c>
      <c r="O3341" t="s">
        <v>8</v>
      </c>
    </row>
    <row r="3342" spans="1:15" x14ac:dyDescent="0.35">
      <c r="A3342">
        <v>2009</v>
      </c>
      <c r="B3342">
        <v>2</v>
      </c>
      <c r="C3342">
        <v>22</v>
      </c>
      <c r="D3342" s="1">
        <f t="shared" si="416"/>
        <v>39866</v>
      </c>
      <c r="E3342">
        <v>0</v>
      </c>
      <c r="F3342">
        <f t="shared" si="422"/>
        <v>0.2</v>
      </c>
      <c r="G3342">
        <f t="shared" si="417"/>
        <v>0</v>
      </c>
      <c r="H3342">
        <f t="shared" si="423"/>
        <v>1</v>
      </c>
      <c r="I3342">
        <v>3341</v>
      </c>
      <c r="J3342">
        <f t="shared" si="418"/>
        <v>0.79839819914477339</v>
      </c>
      <c r="K3342">
        <f t="shared" si="419"/>
        <v>0.60212981623764716</v>
      </c>
      <c r="L3342">
        <f>VLOOKUP(D3342,[1]SOI!$A$1:$C$142,3)</f>
        <v>9.4</v>
      </c>
      <c r="M3342" s="2">
        <f t="shared" si="420"/>
        <v>2667.448383342688</v>
      </c>
      <c r="N3342">
        <f t="shared" si="421"/>
        <v>2011.7157160499792</v>
      </c>
      <c r="O3342" t="s">
        <v>8</v>
      </c>
    </row>
    <row r="3343" spans="1:15" x14ac:dyDescent="0.35">
      <c r="A3343">
        <v>2009</v>
      </c>
      <c r="B3343">
        <v>2</v>
      </c>
      <c r="C3343">
        <v>23</v>
      </c>
      <c r="D3343" s="1">
        <f t="shared" si="416"/>
        <v>39867</v>
      </c>
      <c r="E3343">
        <v>0</v>
      </c>
      <c r="F3343">
        <f t="shared" si="422"/>
        <v>0</v>
      </c>
      <c r="G3343">
        <f t="shared" si="417"/>
        <v>0</v>
      </c>
      <c r="H3343">
        <f t="shared" si="423"/>
        <v>0</v>
      </c>
      <c r="I3343">
        <v>3342</v>
      </c>
      <c r="J3343">
        <f t="shared" si="418"/>
        <v>0.80863765115430997</v>
      </c>
      <c r="K3343">
        <f t="shared" si="419"/>
        <v>0.58830701945127306</v>
      </c>
      <c r="L3343">
        <f>VLOOKUP(D3343,[1]SOI!$A$1:$C$142,3)</f>
        <v>9.4</v>
      </c>
      <c r="M3343" s="2">
        <f t="shared" si="420"/>
        <v>2702.4670301577039</v>
      </c>
      <c r="N3343">
        <f t="shared" si="421"/>
        <v>1966.1220590061546</v>
      </c>
      <c r="O3343" t="s">
        <v>8</v>
      </c>
    </row>
    <row r="3344" spans="1:15" x14ac:dyDescent="0.35">
      <c r="A3344">
        <v>2009</v>
      </c>
      <c r="B3344">
        <v>2</v>
      </c>
      <c r="C3344">
        <v>24</v>
      </c>
      <c r="D3344" s="1">
        <f t="shared" si="416"/>
        <v>39868</v>
      </c>
      <c r="E3344">
        <v>0</v>
      </c>
      <c r="F3344">
        <f t="shared" si="422"/>
        <v>0</v>
      </c>
      <c r="G3344">
        <f t="shared" si="417"/>
        <v>0</v>
      </c>
      <c r="H3344">
        <f t="shared" si="423"/>
        <v>0</v>
      </c>
      <c r="I3344">
        <v>3343</v>
      </c>
      <c r="J3344">
        <f t="shared" si="418"/>
        <v>0.81863781427314108</v>
      </c>
      <c r="K3344">
        <f t="shared" si="419"/>
        <v>0.57431013315289348</v>
      </c>
      <c r="L3344">
        <f>VLOOKUP(D3344,[1]SOI!$A$1:$C$142,3)</f>
        <v>9.4</v>
      </c>
      <c r="M3344" s="2">
        <f t="shared" si="420"/>
        <v>2736.7062131151106</v>
      </c>
      <c r="N3344">
        <f t="shared" si="421"/>
        <v>1919.9187751301229</v>
      </c>
      <c r="O3344" t="s">
        <v>8</v>
      </c>
    </row>
    <row r="3345" spans="1:15" x14ac:dyDescent="0.35">
      <c r="A3345">
        <v>2009</v>
      </c>
      <c r="B3345">
        <v>2</v>
      </c>
      <c r="C3345">
        <v>25</v>
      </c>
      <c r="D3345" s="1">
        <f t="shared" si="416"/>
        <v>39869</v>
      </c>
      <c r="E3345">
        <v>1.2</v>
      </c>
      <c r="F3345">
        <f t="shared" si="422"/>
        <v>0</v>
      </c>
      <c r="G3345">
        <f t="shared" si="417"/>
        <v>1</v>
      </c>
      <c r="H3345">
        <f t="shared" si="423"/>
        <v>0</v>
      </c>
      <c r="I3345">
        <v>3344</v>
      </c>
      <c r="J3345">
        <f t="shared" si="418"/>
        <v>0.82839572929211669</v>
      </c>
      <c r="K3345">
        <f t="shared" si="419"/>
        <v>0.56014329924634654</v>
      </c>
      <c r="L3345">
        <f>VLOOKUP(D3345,[1]SOI!$A$1:$C$142,3)</f>
        <v>9.4</v>
      </c>
      <c r="M3345" s="2">
        <f t="shared" si="420"/>
        <v>2770.1553187528384</v>
      </c>
      <c r="N3345">
        <f t="shared" si="421"/>
        <v>1873.1191926797828</v>
      </c>
      <c r="O3345" t="s">
        <v>8</v>
      </c>
    </row>
    <row r="3346" spans="1:15" x14ac:dyDescent="0.35">
      <c r="A3346">
        <v>2009</v>
      </c>
      <c r="B3346">
        <v>2</v>
      </c>
      <c r="C3346">
        <v>26</v>
      </c>
      <c r="D3346" s="1">
        <f t="shared" si="416"/>
        <v>39870</v>
      </c>
      <c r="E3346">
        <v>0.2</v>
      </c>
      <c r="F3346">
        <f t="shared" si="422"/>
        <v>1.2</v>
      </c>
      <c r="G3346">
        <f t="shared" si="417"/>
        <v>1</v>
      </c>
      <c r="H3346">
        <f t="shared" si="423"/>
        <v>1</v>
      </c>
      <c r="I3346">
        <v>3345</v>
      </c>
      <c r="J3346">
        <f t="shared" si="418"/>
        <v>0.83790850868717726</v>
      </c>
      <c r="K3346">
        <f t="shared" si="419"/>
        <v>0.54581070992573111</v>
      </c>
      <c r="L3346">
        <f>VLOOKUP(D3346,[1]SOI!$A$1:$C$142,3)</f>
        <v>9.4</v>
      </c>
      <c r="M3346" s="2">
        <f t="shared" si="420"/>
        <v>2802.8039615586081</v>
      </c>
      <c r="N3346">
        <f t="shared" si="421"/>
        <v>1825.7368247015706</v>
      </c>
      <c r="O3346" t="s">
        <v>8</v>
      </c>
    </row>
    <row r="3347" spans="1:15" x14ac:dyDescent="0.35">
      <c r="A3347">
        <v>2009</v>
      </c>
      <c r="B3347">
        <v>2</v>
      </c>
      <c r="C3347">
        <v>27</v>
      </c>
      <c r="D3347" s="1">
        <f t="shared" si="416"/>
        <v>39871</v>
      </c>
      <c r="E3347">
        <v>0</v>
      </c>
      <c r="F3347">
        <f t="shared" si="422"/>
        <v>0.2</v>
      </c>
      <c r="G3347">
        <f t="shared" si="417"/>
        <v>0</v>
      </c>
      <c r="H3347">
        <f t="shared" si="423"/>
        <v>1</v>
      </c>
      <c r="I3347">
        <v>3346</v>
      </c>
      <c r="J3347">
        <f t="shared" si="418"/>
        <v>0.84717333747387358</v>
      </c>
      <c r="K3347">
        <f t="shared" si="419"/>
        <v>0.53131660643478695</v>
      </c>
      <c r="L3347">
        <f>VLOOKUP(D3347,[1]SOI!$A$1:$C$142,3)</f>
        <v>9.4</v>
      </c>
      <c r="M3347" s="2">
        <f t="shared" si="420"/>
        <v>2834.641987187581</v>
      </c>
      <c r="N3347">
        <f t="shared" si="421"/>
        <v>1777.7853651307971</v>
      </c>
      <c r="O3347" t="s">
        <v>8</v>
      </c>
    </row>
    <row r="3348" spans="1:15" x14ac:dyDescent="0.35">
      <c r="A3348">
        <v>2009</v>
      </c>
      <c r="B3348">
        <v>2</v>
      </c>
      <c r="C3348">
        <v>28</v>
      </c>
      <c r="D3348" s="1">
        <f t="shared" si="416"/>
        <v>39872</v>
      </c>
      <c r="E3348">
        <v>0</v>
      </c>
      <c r="F3348">
        <f t="shared" si="422"/>
        <v>0</v>
      </c>
      <c r="G3348">
        <f t="shared" si="417"/>
        <v>0</v>
      </c>
      <c r="H3348">
        <f t="shared" si="423"/>
        <v>0</v>
      </c>
      <c r="I3348">
        <v>3347</v>
      </c>
      <c r="J3348">
        <f t="shared" si="418"/>
        <v>0.85618747404030293</v>
      </c>
      <c r="K3348">
        <f t="shared" si="419"/>
        <v>0.5166652778119365</v>
      </c>
      <c r="L3348">
        <f>VLOOKUP(D3348,[1]SOI!$A$1:$C$142,3)</f>
        <v>9.4</v>
      </c>
      <c r="M3348" s="2">
        <f t="shared" si="420"/>
        <v>2865.6594756128939</v>
      </c>
      <c r="N3348">
        <f t="shared" si="421"/>
        <v>1729.2786848365515</v>
      </c>
      <c r="O3348" t="s">
        <v>8</v>
      </c>
    </row>
    <row r="3349" spans="1:15" x14ac:dyDescent="0.35">
      <c r="A3349">
        <v>2009</v>
      </c>
      <c r="B3349">
        <v>3</v>
      </c>
      <c r="C3349">
        <v>1</v>
      </c>
      <c r="D3349" s="1">
        <f t="shared" si="416"/>
        <v>39873</v>
      </c>
      <c r="E3349">
        <v>1.6</v>
      </c>
      <c r="F3349">
        <f t="shared" si="422"/>
        <v>0</v>
      </c>
      <c r="G3349">
        <f t="shared" si="417"/>
        <v>1</v>
      </c>
      <c r="H3349">
        <f t="shared" si="423"/>
        <v>0</v>
      </c>
      <c r="I3349">
        <v>3348</v>
      </c>
      <c r="J3349">
        <f t="shared" si="418"/>
        <v>0.86494825095843186</v>
      </c>
      <c r="K3349">
        <f t="shared" si="419"/>
        <v>0.50186105962103655</v>
      </c>
      <c r="L3349">
        <f>VLOOKUP(D3349,[1]SOI!$A$1:$C$142,3)</f>
        <v>14.8</v>
      </c>
      <c r="M3349" s="2">
        <f t="shared" si="420"/>
        <v>2895.8467442088299</v>
      </c>
      <c r="N3349">
        <f t="shared" si="421"/>
        <v>1680.2308276112303</v>
      </c>
      <c r="O3349" t="s">
        <v>8</v>
      </c>
    </row>
    <row r="3350" spans="1:15" x14ac:dyDescent="0.35">
      <c r="A3350">
        <v>2009</v>
      </c>
      <c r="B3350">
        <v>3</v>
      </c>
      <c r="C3350">
        <v>2</v>
      </c>
      <c r="D3350" s="1">
        <f t="shared" si="416"/>
        <v>39874</v>
      </c>
      <c r="E3350">
        <v>0</v>
      </c>
      <c r="F3350">
        <f t="shared" si="422"/>
        <v>1.6</v>
      </c>
      <c r="G3350">
        <f t="shared" si="417"/>
        <v>0</v>
      </c>
      <c r="H3350">
        <f t="shared" si="423"/>
        <v>1</v>
      </c>
      <c r="I3350">
        <v>3349</v>
      </c>
      <c r="J3350">
        <f t="shared" si="418"/>
        <v>0.87345307577342635</v>
      </c>
      <c r="K3350">
        <f t="shared" si="419"/>
        <v>0.48690833266842037</v>
      </c>
      <c r="L3350">
        <f>VLOOKUP(D3350,[1]SOI!$A$1:$C$142,3)</f>
        <v>14.8</v>
      </c>
      <c r="M3350" s="2">
        <f t="shared" si="420"/>
        <v>2925.1943507652049</v>
      </c>
      <c r="N3350">
        <f t="shared" si="421"/>
        <v>1630.6560061065397</v>
      </c>
      <c r="O3350" t="s">
        <v>8</v>
      </c>
    </row>
    <row r="3351" spans="1:15" x14ac:dyDescent="0.35">
      <c r="A3351">
        <v>2009</v>
      </c>
      <c r="B3351">
        <v>3</v>
      </c>
      <c r="C3351">
        <v>3</v>
      </c>
      <c r="D3351" s="1">
        <f t="shared" si="416"/>
        <v>39875</v>
      </c>
      <c r="E3351">
        <v>0.8</v>
      </c>
      <c r="F3351">
        <f t="shared" si="422"/>
        <v>0</v>
      </c>
      <c r="G3351">
        <f t="shared" si="417"/>
        <v>1</v>
      </c>
      <c r="H3351">
        <f t="shared" si="423"/>
        <v>0</v>
      </c>
      <c r="I3351">
        <v>3350</v>
      </c>
      <c r="J3351">
        <f t="shared" si="418"/>
        <v>0.88169943177078713</v>
      </c>
      <c r="K3351">
        <f t="shared" si="419"/>
        <v>0.47181152170657192</v>
      </c>
      <c r="L3351">
        <f>VLOOKUP(D3351,[1]SOI!$A$1:$C$142,3)</f>
        <v>14.8</v>
      </c>
      <c r="M3351" s="2">
        <f t="shared" si="420"/>
        <v>2953.6930964321368</v>
      </c>
      <c r="N3351">
        <f t="shared" si="421"/>
        <v>1580.568597717016</v>
      </c>
      <c r="O3351" t="s">
        <v>8</v>
      </c>
    </row>
    <row r="3352" spans="1:15" x14ac:dyDescent="0.35">
      <c r="A3352">
        <v>2009</v>
      </c>
      <c r="B3352">
        <v>3</v>
      </c>
      <c r="C3352">
        <v>4</v>
      </c>
      <c r="D3352" s="1">
        <f t="shared" si="416"/>
        <v>39876</v>
      </c>
      <c r="E3352">
        <v>2.4</v>
      </c>
      <c r="F3352">
        <f t="shared" si="422"/>
        <v>0.8</v>
      </c>
      <c r="G3352">
        <f t="shared" si="417"/>
        <v>1</v>
      </c>
      <c r="H3352">
        <f t="shared" si="423"/>
        <v>1</v>
      </c>
      <c r="I3352">
        <v>3351</v>
      </c>
      <c r="J3352">
        <f t="shared" si="418"/>
        <v>0.88968487872110069</v>
      </c>
      <c r="K3352">
        <f t="shared" si="419"/>
        <v>0.45657509412474573</v>
      </c>
      <c r="L3352">
        <f>VLOOKUP(D3352,[1]SOI!$A$1:$C$142,3)</f>
        <v>14.8</v>
      </c>
      <c r="M3352" s="2">
        <f t="shared" si="420"/>
        <v>2981.3340285944082</v>
      </c>
      <c r="N3352">
        <f t="shared" si="421"/>
        <v>1529.983140412023</v>
      </c>
      <c r="O3352" t="s">
        <v>8</v>
      </c>
    </row>
    <row r="3353" spans="1:15" x14ac:dyDescent="0.35">
      <c r="A3353">
        <v>2009</v>
      </c>
      <c r="B3353">
        <v>3</v>
      </c>
      <c r="C3353">
        <v>5</v>
      </c>
      <c r="D3353" s="1">
        <f t="shared" si="416"/>
        <v>39877</v>
      </c>
      <c r="E3353">
        <v>2</v>
      </c>
      <c r="F3353">
        <f t="shared" si="422"/>
        <v>2.4</v>
      </c>
      <c r="G3353">
        <f t="shared" si="417"/>
        <v>1</v>
      </c>
      <c r="H3353">
        <f t="shared" si="423"/>
        <v>1</v>
      </c>
      <c r="I3353">
        <v>3352</v>
      </c>
      <c r="J3353">
        <f t="shared" si="418"/>
        <v>0.89740705360215389</v>
      </c>
      <c r="K3353">
        <f t="shared" si="419"/>
        <v>0.44120355862696847</v>
      </c>
      <c r="L3353">
        <f>VLOOKUP(D3353,[1]SOI!$A$1:$C$142,3)</f>
        <v>14.8</v>
      </c>
      <c r="M3353" s="2">
        <f t="shared" si="420"/>
        <v>3008.10844367442</v>
      </c>
      <c r="N3353">
        <f t="shared" si="421"/>
        <v>1478.9143285175983</v>
      </c>
      <c r="O3353" t="s">
        <v>8</v>
      </c>
    </row>
    <row r="3354" spans="1:15" x14ac:dyDescent="0.35">
      <c r="A3354">
        <v>2009</v>
      </c>
      <c r="B3354">
        <v>3</v>
      </c>
      <c r="C3354">
        <v>6</v>
      </c>
      <c r="D3354" s="1">
        <f t="shared" si="416"/>
        <v>39878</v>
      </c>
      <c r="E3354">
        <v>6.6</v>
      </c>
      <c r="F3354">
        <f t="shared" si="422"/>
        <v>2</v>
      </c>
      <c r="G3354">
        <f t="shared" si="417"/>
        <v>1</v>
      </c>
      <c r="H3354">
        <f t="shared" si="423"/>
        <v>1</v>
      </c>
      <c r="I3354">
        <v>3353</v>
      </c>
      <c r="J3354">
        <f t="shared" si="418"/>
        <v>0.90486367129815815</v>
      </c>
      <c r="K3354">
        <f t="shared" si="419"/>
        <v>0.42570146389790442</v>
      </c>
      <c r="L3354">
        <f>VLOOKUP(D3354,[1]SOI!$A$1:$C$142,3)</f>
        <v>14.8</v>
      </c>
      <c r="M3354" s="2">
        <f t="shared" si="420"/>
        <v>3034.0078898627244</v>
      </c>
      <c r="N3354">
        <f t="shared" si="421"/>
        <v>1427.3770084496734</v>
      </c>
      <c r="O3354" t="s">
        <v>8</v>
      </c>
    </row>
    <row r="3355" spans="1:15" x14ac:dyDescent="0.35">
      <c r="A3355">
        <v>2009</v>
      </c>
      <c r="B3355">
        <v>3</v>
      </c>
      <c r="C3355">
        <v>7</v>
      </c>
      <c r="D3355" s="1">
        <f t="shared" si="416"/>
        <v>39879</v>
      </c>
      <c r="E3355">
        <v>0.4</v>
      </c>
      <c r="F3355">
        <f t="shared" si="422"/>
        <v>6.6</v>
      </c>
      <c r="G3355">
        <f t="shared" si="417"/>
        <v>1</v>
      </c>
      <c r="H3355">
        <f t="shared" si="423"/>
        <v>1</v>
      </c>
      <c r="I3355">
        <v>3354</v>
      </c>
      <c r="J3355">
        <f t="shared" si="418"/>
        <v>0.91205252527596548</v>
      </c>
      <c r="K3355">
        <f t="shared" si="419"/>
        <v>0.41007339725680131</v>
      </c>
      <c r="L3355">
        <f>VLOOKUP(D3355,[1]SOI!$A$1:$C$142,3)</f>
        <v>14.8</v>
      </c>
      <c r="M3355" s="2">
        <f t="shared" si="420"/>
        <v>3059.0241697755882</v>
      </c>
      <c r="N3355">
        <f t="shared" si="421"/>
        <v>1375.3861743993116</v>
      </c>
      <c r="O3355" t="s">
        <v>8</v>
      </c>
    </row>
    <row r="3356" spans="1:15" x14ac:dyDescent="0.35">
      <c r="A3356">
        <v>2009</v>
      </c>
      <c r="B3356">
        <v>3</v>
      </c>
      <c r="C3356">
        <v>8</v>
      </c>
      <c r="D3356" s="1">
        <f t="shared" si="416"/>
        <v>39880</v>
      </c>
      <c r="E3356">
        <v>0</v>
      </c>
      <c r="F3356">
        <f t="shared" si="422"/>
        <v>0.4</v>
      </c>
      <c r="G3356">
        <f t="shared" si="417"/>
        <v>0</v>
      </c>
      <c r="H3356">
        <f t="shared" si="423"/>
        <v>1</v>
      </c>
      <c r="I3356">
        <v>3355</v>
      </c>
      <c r="J3356">
        <f t="shared" si="418"/>
        <v>0.91897148823802943</v>
      </c>
      <c r="K3356">
        <f t="shared" si="419"/>
        <v>0.39432398330000334</v>
      </c>
      <c r="L3356">
        <f>VLOOKUP(D3356,[1]SOI!$A$1:$C$142,3)</f>
        <v>14.8</v>
      </c>
      <c r="M3356" s="2">
        <f t="shared" si="420"/>
        <v>3083.1493430385885</v>
      </c>
      <c r="N3356">
        <f t="shared" si="421"/>
        <v>1322.9569639715112</v>
      </c>
      <c r="O3356" t="s">
        <v>8</v>
      </c>
    </row>
    <row r="3357" spans="1:15" x14ac:dyDescent="0.35">
      <c r="A3357">
        <v>2009</v>
      </c>
      <c r="B3357">
        <v>3</v>
      </c>
      <c r="C3357">
        <v>9</v>
      </c>
      <c r="D3357" s="1">
        <f t="shared" si="416"/>
        <v>39881</v>
      </c>
      <c r="E3357">
        <v>0</v>
      </c>
      <c r="F3357">
        <f t="shared" si="422"/>
        <v>0</v>
      </c>
      <c r="G3357">
        <f t="shared" si="417"/>
        <v>0</v>
      </c>
      <c r="H3357">
        <f t="shared" si="423"/>
        <v>0</v>
      </c>
      <c r="I3357">
        <v>3356</v>
      </c>
      <c r="J3357">
        <f t="shared" si="418"/>
        <v>0.92561851275188878</v>
      </c>
      <c r="K3357">
        <f t="shared" si="419"/>
        <v>0.37845788253249718</v>
      </c>
      <c r="L3357">
        <f>VLOOKUP(D3357,[1]SOI!$A$1:$C$142,3)</f>
        <v>14.8</v>
      </c>
      <c r="M3357" s="2">
        <f t="shared" si="420"/>
        <v>3106.3757287953385</v>
      </c>
      <c r="N3357">
        <f t="shared" si="421"/>
        <v>1270.1046537790605</v>
      </c>
      <c r="O3357" t="s">
        <v>8</v>
      </c>
    </row>
    <row r="3358" spans="1:15" x14ac:dyDescent="0.35">
      <c r="A3358">
        <v>2009</v>
      </c>
      <c r="B3358">
        <v>3</v>
      </c>
      <c r="C3358">
        <v>10</v>
      </c>
      <c r="D3358" s="1">
        <f t="shared" si="416"/>
        <v>39882</v>
      </c>
      <c r="E3358">
        <v>0</v>
      </c>
      <c r="F3358">
        <f t="shared" si="422"/>
        <v>0</v>
      </c>
      <c r="G3358">
        <f t="shared" si="417"/>
        <v>0</v>
      </c>
      <c r="H3358">
        <f t="shared" si="423"/>
        <v>0</v>
      </c>
      <c r="I3358">
        <v>3357</v>
      </c>
      <c r="J3358">
        <f t="shared" si="418"/>
        <v>0.93199163185606315</v>
      </c>
      <c r="K3358">
        <f t="shared" si="419"/>
        <v>0.36247978998872815</v>
      </c>
      <c r="L3358">
        <f>VLOOKUP(D3358,[1]SOI!$A$1:$C$142,3)</f>
        <v>14.8</v>
      </c>
      <c r="M3358" s="2">
        <f t="shared" si="420"/>
        <v>3128.695908140804</v>
      </c>
      <c r="N3358">
        <f t="shared" si="421"/>
        <v>1216.8446549921605</v>
      </c>
      <c r="O3358" t="s">
        <v>8</v>
      </c>
    </row>
    <row r="3359" spans="1:15" x14ac:dyDescent="0.35">
      <c r="A3359">
        <v>2009</v>
      </c>
      <c r="B3359">
        <v>3</v>
      </c>
      <c r="C3359">
        <v>11</v>
      </c>
      <c r="D3359" s="1">
        <f t="shared" si="416"/>
        <v>39883</v>
      </c>
      <c r="E3359">
        <v>0</v>
      </c>
      <c r="F3359">
        <f t="shared" si="422"/>
        <v>0</v>
      </c>
      <c r="G3359">
        <f t="shared" si="417"/>
        <v>0</v>
      </c>
      <c r="H3359">
        <f t="shared" si="423"/>
        <v>0</v>
      </c>
      <c r="I3359">
        <v>3358</v>
      </c>
      <c r="J3359">
        <f t="shared" si="418"/>
        <v>0.93808895964206507</v>
      </c>
      <c r="K3359">
        <f t="shared" si="419"/>
        <v>0.34639443384336893</v>
      </c>
      <c r="L3359">
        <f>VLOOKUP(D3359,[1]SOI!$A$1:$C$142,3)</f>
        <v>14.8</v>
      </c>
      <c r="M3359" s="2">
        <f t="shared" si="420"/>
        <v>3150.1027264780546</v>
      </c>
      <c r="N3359">
        <f t="shared" si="421"/>
        <v>1163.192508846033</v>
      </c>
      <c r="O3359" t="s">
        <v>8</v>
      </c>
    </row>
    <row r="3360" spans="1:15" x14ac:dyDescent="0.35">
      <c r="A3360">
        <v>2009</v>
      </c>
      <c r="B3360">
        <v>3</v>
      </c>
      <c r="C3360">
        <v>12</v>
      </c>
      <c r="D3360" s="1">
        <f t="shared" si="416"/>
        <v>39884</v>
      </c>
      <c r="E3360">
        <v>5.4</v>
      </c>
      <c r="F3360">
        <f t="shared" si="422"/>
        <v>0</v>
      </c>
      <c r="G3360">
        <f t="shared" si="417"/>
        <v>1</v>
      </c>
      <c r="H3360">
        <f t="shared" si="423"/>
        <v>0</v>
      </c>
      <c r="I3360">
        <v>3359</v>
      </c>
      <c r="J3360">
        <f t="shared" si="418"/>
        <v>0.94390869181250869</v>
      </c>
      <c r="K3360">
        <f t="shared" si="419"/>
        <v>0.33020657401208492</v>
      </c>
      <c r="L3360">
        <f>VLOOKUP(D3360,[1]SOI!$A$1:$C$142,3)</f>
        <v>14.8</v>
      </c>
      <c r="M3360" s="2">
        <f t="shared" si="420"/>
        <v>3170.5892957982169</v>
      </c>
      <c r="N3360">
        <f t="shared" si="421"/>
        <v>1109.1638821065933</v>
      </c>
      <c r="O3360" t="s">
        <v>8</v>
      </c>
    </row>
    <row r="3361" spans="1:15" x14ac:dyDescent="0.35">
      <c r="A3361">
        <v>2009</v>
      </c>
      <c r="B3361">
        <v>3</v>
      </c>
      <c r="C3361">
        <v>13</v>
      </c>
      <c r="D3361" s="1">
        <f t="shared" si="416"/>
        <v>39885</v>
      </c>
      <c r="E3361">
        <v>3</v>
      </c>
      <c r="F3361">
        <f t="shared" si="422"/>
        <v>5.4</v>
      </c>
      <c r="G3361">
        <f t="shared" si="417"/>
        <v>1</v>
      </c>
      <c r="H3361">
        <f t="shared" si="423"/>
        <v>1</v>
      </c>
      <c r="I3361">
        <v>3360</v>
      </c>
      <c r="J3361">
        <f t="shared" si="418"/>
        <v>0.94944910621501433</v>
      </c>
      <c r="K3361">
        <f t="shared" si="419"/>
        <v>0.3139210007430378</v>
      </c>
      <c r="L3361">
        <f>VLOOKUP(D3361,[1]SOI!$A$1:$C$142,3)</f>
        <v>14.8</v>
      </c>
      <c r="M3361" s="2">
        <f t="shared" si="420"/>
        <v>3190.148996882448</v>
      </c>
      <c r="N3361">
        <f t="shared" si="421"/>
        <v>1054.7745624966071</v>
      </c>
      <c r="O3361" t="s">
        <v>8</v>
      </c>
    </row>
    <row r="3362" spans="1:15" x14ac:dyDescent="0.35">
      <c r="A3362">
        <v>2009</v>
      </c>
      <c r="B3362">
        <v>3</v>
      </c>
      <c r="C3362">
        <v>14</v>
      </c>
      <c r="D3362" s="1">
        <f t="shared" si="416"/>
        <v>39886</v>
      </c>
      <c r="E3362">
        <v>0.4</v>
      </c>
      <c r="F3362">
        <f t="shared" si="422"/>
        <v>3</v>
      </c>
      <c r="G3362">
        <f t="shared" si="417"/>
        <v>1</v>
      </c>
      <c r="H3362">
        <f t="shared" si="423"/>
        <v>1</v>
      </c>
      <c r="I3362">
        <v>3361</v>
      </c>
      <c r="J3362">
        <f t="shared" si="418"/>
        <v>0.95470856335182375</v>
      </c>
      <c r="K3362">
        <f t="shared" si="419"/>
        <v>0.29754253319936752</v>
      </c>
      <c r="L3362">
        <f>VLOOKUP(D3362,[1]SOI!$A$1:$C$142,3)</f>
        <v>14.8</v>
      </c>
      <c r="M3362" s="2">
        <f t="shared" si="420"/>
        <v>3208.7754814254795</v>
      </c>
      <c r="N3362">
        <f t="shared" si="421"/>
        <v>1000.0404540830742</v>
      </c>
      <c r="O3362" t="s">
        <v>8</v>
      </c>
    </row>
    <row r="3363" spans="1:15" x14ac:dyDescent="0.35">
      <c r="A3363">
        <v>2009</v>
      </c>
      <c r="B3363">
        <v>3</v>
      </c>
      <c r="C3363">
        <v>15</v>
      </c>
      <c r="D3363" s="1">
        <f t="shared" si="416"/>
        <v>39887</v>
      </c>
      <c r="E3363">
        <v>20.399999999999999</v>
      </c>
      <c r="F3363">
        <f t="shared" si="422"/>
        <v>0.4</v>
      </c>
      <c r="G3363">
        <f t="shared" si="417"/>
        <v>1</v>
      </c>
      <c r="H3363">
        <f t="shared" si="423"/>
        <v>1</v>
      </c>
      <c r="I3363">
        <v>3362</v>
      </c>
      <c r="J3363">
        <f t="shared" si="418"/>
        <v>0.95968550686495147</v>
      </c>
      <c r="K3363">
        <f t="shared" si="419"/>
        <v>0.28107601803313131</v>
      </c>
      <c r="L3363">
        <f>VLOOKUP(D3363,[1]SOI!$A$1:$C$142,3)</f>
        <v>14.8</v>
      </c>
      <c r="M3363" s="2">
        <f t="shared" si="420"/>
        <v>3226.4626740799667</v>
      </c>
      <c r="N3363">
        <f t="shared" si="421"/>
        <v>944.97757262738753</v>
      </c>
      <c r="O3363" t="s">
        <v>8</v>
      </c>
    </row>
    <row r="3364" spans="1:15" x14ac:dyDescent="0.35">
      <c r="A3364">
        <v>2009</v>
      </c>
      <c r="B3364">
        <v>3</v>
      </c>
      <c r="C3364">
        <v>16</v>
      </c>
      <c r="D3364" s="1">
        <f t="shared" si="416"/>
        <v>39888</v>
      </c>
      <c r="E3364">
        <v>0.4</v>
      </c>
      <c r="F3364">
        <f t="shared" si="422"/>
        <v>20.399999999999999</v>
      </c>
      <c r="G3364">
        <f t="shared" si="417"/>
        <v>1</v>
      </c>
      <c r="H3364">
        <f t="shared" si="423"/>
        <v>1</v>
      </c>
      <c r="I3364">
        <v>3363</v>
      </c>
      <c r="J3364">
        <f t="shared" si="418"/>
        <v>0.96437846399674476</v>
      </c>
      <c r="K3364">
        <f t="shared" si="419"/>
        <v>0.26452632795107406</v>
      </c>
      <c r="L3364">
        <f>VLOOKUP(D3364,[1]SOI!$A$1:$C$142,3)</f>
        <v>14.8</v>
      </c>
      <c r="M3364" s="2">
        <f t="shared" si="420"/>
        <v>3243.2047744210527</v>
      </c>
      <c r="N3364">
        <f t="shared" si="421"/>
        <v>889.60204089946205</v>
      </c>
      <c r="O3364" t="s">
        <v>8</v>
      </c>
    </row>
    <row r="3365" spans="1:15" x14ac:dyDescent="0.35">
      <c r="A3365">
        <v>2009</v>
      </c>
      <c r="B3365">
        <v>3</v>
      </c>
      <c r="C3365">
        <v>17</v>
      </c>
      <c r="D3365" s="1">
        <f t="shared" si="416"/>
        <v>39889</v>
      </c>
      <c r="E3365">
        <v>0.2</v>
      </c>
      <c r="F3365">
        <f t="shared" si="422"/>
        <v>0.4</v>
      </c>
      <c r="G3365">
        <f t="shared" si="417"/>
        <v>1</v>
      </c>
      <c r="H3365">
        <f t="shared" si="423"/>
        <v>1</v>
      </c>
      <c r="I3365">
        <v>3364</v>
      </c>
      <c r="J3365">
        <f t="shared" si="418"/>
        <v>0.96878604602568397</v>
      </c>
      <c r="K3365">
        <f t="shared" si="419"/>
        <v>0.24789836027275663</v>
      </c>
      <c r="L3365">
        <f>VLOOKUP(D3365,[1]SOI!$A$1:$C$142,3)</f>
        <v>14.8</v>
      </c>
      <c r="M3365" s="2">
        <f t="shared" si="420"/>
        <v>3258.9962588304011</v>
      </c>
      <c r="N3365">
        <f t="shared" si="421"/>
        <v>833.93008395755328</v>
      </c>
      <c r="O3365" t="s">
        <v>8</v>
      </c>
    </row>
    <row r="3366" spans="1:15" x14ac:dyDescent="0.35">
      <c r="A3366">
        <v>2009</v>
      </c>
      <c r="B3366">
        <v>3</v>
      </c>
      <c r="C3366">
        <v>18</v>
      </c>
      <c r="D3366" s="1">
        <f t="shared" si="416"/>
        <v>39890</v>
      </c>
      <c r="E3366">
        <v>0</v>
      </c>
      <c r="F3366">
        <f t="shared" si="422"/>
        <v>0.2</v>
      </c>
      <c r="G3366">
        <f t="shared" si="417"/>
        <v>0</v>
      </c>
      <c r="H3366">
        <f t="shared" si="423"/>
        <v>1</v>
      </c>
      <c r="I3366">
        <v>3365</v>
      </c>
      <c r="J3366">
        <f t="shared" si="418"/>
        <v>0.97290694867733529</v>
      </c>
      <c r="K3366">
        <f t="shared" si="419"/>
        <v>0.23119703548133341</v>
      </c>
      <c r="L3366">
        <f>VLOOKUP(D3366,[1]SOI!$A$1:$C$142,3)</f>
        <v>14.8</v>
      </c>
      <c r="M3366" s="2">
        <f t="shared" si="420"/>
        <v>3273.8318822992333</v>
      </c>
      <c r="N3366">
        <f t="shared" si="421"/>
        <v>777.97802439468694</v>
      </c>
      <c r="O3366" t="s">
        <v>8</v>
      </c>
    </row>
    <row r="3367" spans="1:15" x14ac:dyDescent="0.35">
      <c r="A3367">
        <v>2009</v>
      </c>
      <c r="B3367">
        <v>3</v>
      </c>
      <c r="C3367">
        <v>19</v>
      </c>
      <c r="D3367" s="1">
        <f t="shared" si="416"/>
        <v>39891</v>
      </c>
      <c r="E3367">
        <v>0</v>
      </c>
      <c r="F3367">
        <f t="shared" si="422"/>
        <v>0</v>
      </c>
      <c r="G3367">
        <f t="shared" si="417"/>
        <v>0</v>
      </c>
      <c r="H3367">
        <f t="shared" si="423"/>
        <v>0</v>
      </c>
      <c r="I3367">
        <v>3366</v>
      </c>
      <c r="J3367">
        <f t="shared" si="418"/>
        <v>0.97673995251030532</v>
      </c>
      <c r="K3367">
        <f t="shared" si="419"/>
        <v>0.2144272957675086</v>
      </c>
      <c r="L3367">
        <f>VLOOKUP(D3367,[1]SOI!$A$1:$C$142,3)</f>
        <v>14.8</v>
      </c>
      <c r="M3367" s="2">
        <f t="shared" si="420"/>
        <v>3287.7066801496876</v>
      </c>
      <c r="N3367">
        <f t="shared" si="421"/>
        <v>721.76227755343393</v>
      </c>
      <c r="O3367" t="s">
        <v>8</v>
      </c>
    </row>
    <row r="3368" spans="1:15" x14ac:dyDescent="0.35">
      <c r="A3368">
        <v>2009</v>
      </c>
      <c r="B3368">
        <v>3</v>
      </c>
      <c r="C3368">
        <v>20</v>
      </c>
      <c r="D3368" s="1">
        <f t="shared" si="416"/>
        <v>39892</v>
      </c>
      <c r="E3368">
        <v>0</v>
      </c>
      <c r="F3368">
        <f t="shared" si="422"/>
        <v>0</v>
      </c>
      <c r="G3368">
        <f t="shared" si="417"/>
        <v>0</v>
      </c>
      <c r="H3368">
        <f t="shared" si="423"/>
        <v>0</v>
      </c>
      <c r="I3368">
        <v>3367</v>
      </c>
      <c r="J3368">
        <f t="shared" si="418"/>
        <v>0.98028392327709124</v>
      </c>
      <c r="K3368">
        <f t="shared" si="419"/>
        <v>0.19759410356706969</v>
      </c>
      <c r="L3368">
        <f>VLOOKUP(D3368,[1]SOI!$A$1:$C$142,3)</f>
        <v>14.8</v>
      </c>
      <c r="M3368" s="2">
        <f t="shared" si="420"/>
        <v>3300.615969673966</v>
      </c>
      <c r="N3368">
        <f t="shared" si="421"/>
        <v>665.29934671032368</v>
      </c>
      <c r="O3368" t="s">
        <v>8</v>
      </c>
    </row>
    <row r="3369" spans="1:15" x14ac:dyDescent="0.35">
      <c r="A3369">
        <v>2009</v>
      </c>
      <c r="B3369">
        <v>3</v>
      </c>
      <c r="C3369">
        <v>21</v>
      </c>
      <c r="D3369" s="1">
        <f t="shared" si="416"/>
        <v>39893</v>
      </c>
      <c r="E3369">
        <v>0</v>
      </c>
      <c r="F3369">
        <f t="shared" si="422"/>
        <v>0</v>
      </c>
      <c r="G3369">
        <f t="shared" si="417"/>
        <v>0</v>
      </c>
      <c r="H3369">
        <f t="shared" si="423"/>
        <v>0</v>
      </c>
      <c r="I3369">
        <v>3368</v>
      </c>
      <c r="J3369">
        <f t="shared" si="418"/>
        <v>0.98353781225972925</v>
      </c>
      <c r="K3369">
        <f t="shared" si="419"/>
        <v>0.18070244009239492</v>
      </c>
      <c r="L3369">
        <f>VLOOKUP(D3369,[1]SOI!$A$1:$C$142,3)</f>
        <v>14.8</v>
      </c>
      <c r="M3369" s="2">
        <f t="shared" si="420"/>
        <v>3312.555351690768</v>
      </c>
      <c r="N3369">
        <f t="shared" si="421"/>
        <v>608.60581823118605</v>
      </c>
      <c r="O3369" t="s">
        <v>8</v>
      </c>
    </row>
    <row r="3370" spans="1:15" x14ac:dyDescent="0.35">
      <c r="A3370">
        <v>2009</v>
      </c>
      <c r="B3370">
        <v>3</v>
      </c>
      <c r="C3370">
        <v>22</v>
      </c>
      <c r="D3370" s="1">
        <f t="shared" si="416"/>
        <v>39894</v>
      </c>
      <c r="E3370">
        <v>0</v>
      </c>
      <c r="F3370">
        <f t="shared" si="422"/>
        <v>0</v>
      </c>
      <c r="G3370">
        <f t="shared" si="417"/>
        <v>0</v>
      </c>
      <c r="H3370">
        <f t="shared" si="423"/>
        <v>0</v>
      </c>
      <c r="I3370">
        <v>3369</v>
      </c>
      <c r="J3370">
        <f t="shared" si="418"/>
        <v>0.98650065658011776</v>
      </c>
      <c r="K3370">
        <f t="shared" si="419"/>
        <v>0.16375730385847406</v>
      </c>
      <c r="L3370">
        <f>VLOOKUP(D3370,[1]SOI!$A$1:$C$142,3)</f>
        <v>14.8</v>
      </c>
      <c r="M3370" s="2">
        <f t="shared" si="420"/>
        <v>3323.5207120184168</v>
      </c>
      <c r="N3370">
        <f t="shared" si="421"/>
        <v>551.69835669919917</v>
      </c>
      <c r="O3370" t="s">
        <v>8</v>
      </c>
    </row>
    <row r="3371" spans="1:15" x14ac:dyDescent="0.35">
      <c r="A3371">
        <v>2009</v>
      </c>
      <c r="B3371">
        <v>3</v>
      </c>
      <c r="C3371">
        <v>23</v>
      </c>
      <c r="D3371" s="1">
        <f t="shared" si="416"/>
        <v>39895</v>
      </c>
      <c r="E3371">
        <v>1.6</v>
      </c>
      <c r="F3371">
        <f t="shared" si="422"/>
        <v>0</v>
      </c>
      <c r="G3371">
        <f t="shared" si="417"/>
        <v>1</v>
      </c>
      <c r="H3371">
        <f t="shared" si="423"/>
        <v>0</v>
      </c>
      <c r="I3371">
        <v>3370</v>
      </c>
      <c r="J3371">
        <f t="shared" si="418"/>
        <v>0.98917157948495471</v>
      </c>
      <c r="K3371">
        <f t="shared" si="419"/>
        <v>0.14676370920373982</v>
      </c>
      <c r="L3371">
        <f>VLOOKUP(D3371,[1]SOI!$A$1:$C$142,3)</f>
        <v>14.8</v>
      </c>
      <c r="M3371" s="2">
        <f t="shared" si="420"/>
        <v>3333.5082228642973</v>
      </c>
      <c r="N3371">
        <f t="shared" si="421"/>
        <v>494.59370001660318</v>
      </c>
      <c r="O3371" t="s">
        <v>8</v>
      </c>
    </row>
    <row r="3372" spans="1:15" x14ac:dyDescent="0.35">
      <c r="A3372">
        <v>2009</v>
      </c>
      <c r="B3372">
        <v>3</v>
      </c>
      <c r="C3372">
        <v>24</v>
      </c>
      <c r="D3372" s="1">
        <f t="shared" si="416"/>
        <v>39896</v>
      </c>
      <c r="E3372">
        <v>0</v>
      </c>
      <c r="F3372">
        <f t="shared" si="422"/>
        <v>1.6</v>
      </c>
      <c r="G3372">
        <f t="shared" si="417"/>
        <v>0</v>
      </c>
      <c r="H3372">
        <f t="shared" si="423"/>
        <v>1</v>
      </c>
      <c r="I3372">
        <v>3371</v>
      </c>
      <c r="J3372">
        <f t="shared" si="418"/>
        <v>0.99154979060518167</v>
      </c>
      <c r="K3372">
        <f t="shared" si="419"/>
        <v>0.12972668480625113</v>
      </c>
      <c r="L3372">
        <f>VLOOKUP(D3372,[1]SOI!$A$1:$C$142,3)</f>
        <v>14.8</v>
      </c>
      <c r="M3372" s="2">
        <f t="shared" si="420"/>
        <v>3342.5143441300675</v>
      </c>
      <c r="N3372">
        <f t="shared" si="421"/>
        <v>437.30865448187257</v>
      </c>
      <c r="O3372" t="s">
        <v>8</v>
      </c>
    </row>
    <row r="3373" spans="1:15" x14ac:dyDescent="0.35">
      <c r="A3373">
        <v>2009</v>
      </c>
      <c r="B3373">
        <v>3</v>
      </c>
      <c r="C3373">
        <v>25</v>
      </c>
      <c r="D3373" s="1">
        <f t="shared" si="416"/>
        <v>39897</v>
      </c>
      <c r="E3373">
        <v>2.4</v>
      </c>
      <c r="F3373">
        <f t="shared" si="422"/>
        <v>0</v>
      </c>
      <c r="G3373">
        <f t="shared" si="417"/>
        <v>1</v>
      </c>
      <c r="H3373">
        <f t="shared" si="423"/>
        <v>0</v>
      </c>
      <c r="I3373">
        <v>3372</v>
      </c>
      <c r="J3373">
        <f t="shared" si="418"/>
        <v>0.99363458618986633</v>
      </c>
      <c r="K3373">
        <f t="shared" si="419"/>
        <v>0.11265127219562662</v>
      </c>
      <c r="L3373">
        <f>VLOOKUP(D3373,[1]SOI!$A$1:$C$142,3)</f>
        <v>14.8</v>
      </c>
      <c r="M3373" s="2">
        <f t="shared" si="420"/>
        <v>3350.5358246322294</v>
      </c>
      <c r="N3373">
        <f t="shared" si="421"/>
        <v>379.86008984365299</v>
      </c>
      <c r="O3373" t="s">
        <v>8</v>
      </c>
    </row>
    <row r="3374" spans="1:15" x14ac:dyDescent="0.35">
      <c r="A3374">
        <v>2009</v>
      </c>
      <c r="B3374">
        <v>3</v>
      </c>
      <c r="C3374">
        <v>26</v>
      </c>
      <c r="D3374" s="1">
        <f t="shared" si="416"/>
        <v>39898</v>
      </c>
      <c r="E3374">
        <v>0</v>
      </c>
      <c r="F3374">
        <f t="shared" si="422"/>
        <v>2.4</v>
      </c>
      <c r="G3374">
        <f t="shared" si="417"/>
        <v>0</v>
      </c>
      <c r="H3374">
        <f t="shared" si="423"/>
        <v>1</v>
      </c>
      <c r="I3374">
        <v>3373</v>
      </c>
      <c r="J3374">
        <f t="shared" si="418"/>
        <v>0.99542534931445337</v>
      </c>
      <c r="K3374">
        <f t="shared" si="419"/>
        <v>9.5542524261181802E-2</v>
      </c>
      <c r="L3374">
        <f>VLOOKUP(D3374,[1]SOI!$A$1:$C$142,3)</f>
        <v>14.8</v>
      </c>
      <c r="M3374" s="2">
        <f t="shared" si="420"/>
        <v>3357.5697032376511</v>
      </c>
      <c r="N3374">
        <f t="shared" si="421"/>
        <v>322.26493433296622</v>
      </c>
      <c r="O3374" t="s">
        <v>8</v>
      </c>
    </row>
    <row r="3375" spans="1:15" x14ac:dyDescent="0.35">
      <c r="A3375">
        <v>2009</v>
      </c>
      <c r="B3375">
        <v>3</v>
      </c>
      <c r="C3375">
        <v>27</v>
      </c>
      <c r="D3375" s="1">
        <f t="shared" si="416"/>
        <v>39899</v>
      </c>
      <c r="E3375">
        <v>0</v>
      </c>
      <c r="F3375">
        <f t="shared" si="422"/>
        <v>0</v>
      </c>
      <c r="G3375">
        <f t="shared" si="417"/>
        <v>0</v>
      </c>
      <c r="H3375">
        <f t="shared" si="423"/>
        <v>0</v>
      </c>
      <c r="I3375">
        <v>3374</v>
      </c>
      <c r="J3375">
        <f t="shared" si="418"/>
        <v>0.99692155006332517</v>
      </c>
      <c r="K3375">
        <f t="shared" si="419"/>
        <v>7.8405503756669617E-2</v>
      </c>
      <c r="L3375">
        <f>VLOOKUP(D3375,[1]SOI!$A$1:$C$142,3)</f>
        <v>14.8</v>
      </c>
      <c r="M3375" s="2">
        <f t="shared" si="420"/>
        <v>3363.6133099136591</v>
      </c>
      <c r="N3375">
        <f t="shared" si="421"/>
        <v>264.54016967500331</v>
      </c>
      <c r="O3375" t="s">
        <v>8</v>
      </c>
    </row>
    <row r="3376" spans="1:15" x14ac:dyDescent="0.35">
      <c r="A3376">
        <v>2009</v>
      </c>
      <c r="B3376">
        <v>3</v>
      </c>
      <c r="C3376">
        <v>28</v>
      </c>
      <c r="D3376" s="1">
        <f t="shared" si="416"/>
        <v>39900</v>
      </c>
      <c r="E3376">
        <v>0</v>
      </c>
      <c r="F3376">
        <f t="shared" si="422"/>
        <v>0</v>
      </c>
      <c r="G3376">
        <f t="shared" si="417"/>
        <v>0</v>
      </c>
      <c r="H3376">
        <f t="shared" si="423"/>
        <v>0</v>
      </c>
      <c r="I3376">
        <v>3375</v>
      </c>
      <c r="J3376">
        <f t="shared" si="418"/>
        <v>0.99812274568660764</v>
      </c>
      <c r="K3376">
        <f t="shared" si="419"/>
        <v>6.124528180217257E-2</v>
      </c>
      <c r="L3376">
        <f>VLOOKUP(D3376,[1]SOI!$A$1:$C$142,3)</f>
        <v>14.8</v>
      </c>
      <c r="M3376" s="2">
        <f t="shared" si="420"/>
        <v>3368.6642666923008</v>
      </c>
      <c r="N3376">
        <f t="shared" si="421"/>
        <v>206.70282608233242</v>
      </c>
      <c r="O3376" t="s">
        <v>8</v>
      </c>
    </row>
    <row r="3377" spans="1:15" x14ac:dyDescent="0.35">
      <c r="A3377">
        <v>2009</v>
      </c>
      <c r="B3377">
        <v>3</v>
      </c>
      <c r="C3377">
        <v>29</v>
      </c>
      <c r="D3377" s="1">
        <f t="shared" si="416"/>
        <v>39901</v>
      </c>
      <c r="E3377">
        <v>0</v>
      </c>
      <c r="F3377">
        <f t="shared" si="422"/>
        <v>0</v>
      </c>
      <c r="G3377">
        <f t="shared" si="417"/>
        <v>0</v>
      </c>
      <c r="H3377">
        <f t="shared" si="423"/>
        <v>0</v>
      </c>
      <c r="I3377">
        <v>3376</v>
      </c>
      <c r="J3377">
        <f t="shared" si="418"/>
        <v>0.99902858073119061</v>
      </c>
      <c r="K3377">
        <f t="shared" si="419"/>
        <v>4.4066936383448434E-2</v>
      </c>
      <c r="L3377">
        <f>VLOOKUP(D3377,[1]SOI!$A$1:$C$142,3)</f>
        <v>14.8</v>
      </c>
      <c r="M3377" s="2">
        <f t="shared" si="420"/>
        <v>3372.7204885484994</v>
      </c>
      <c r="N3377">
        <f t="shared" si="421"/>
        <v>148.7699772305219</v>
      </c>
      <c r="O3377" t="s">
        <v>8</v>
      </c>
    </row>
    <row r="3378" spans="1:15" x14ac:dyDescent="0.35">
      <c r="A3378">
        <v>2009</v>
      </c>
      <c r="B3378">
        <v>3</v>
      </c>
      <c r="C3378">
        <v>30</v>
      </c>
      <c r="D3378" s="1">
        <f t="shared" si="416"/>
        <v>39902</v>
      </c>
      <c r="E3378">
        <v>0</v>
      </c>
      <c r="F3378">
        <f t="shared" si="422"/>
        <v>0</v>
      </c>
      <c r="G3378">
        <f t="shared" si="417"/>
        <v>0</v>
      </c>
      <c r="H3378">
        <f t="shared" si="423"/>
        <v>0</v>
      </c>
      <c r="I3378">
        <v>3377</v>
      </c>
      <c r="J3378">
        <f t="shared" si="418"/>
        <v>0.99963878714591092</v>
      </c>
      <c r="K3378">
        <f t="shared" si="419"/>
        <v>2.6875550849279593E-2</v>
      </c>
      <c r="L3378">
        <f>VLOOKUP(D3378,[1]SOI!$A$1:$C$142,3)</f>
        <v>14.8</v>
      </c>
      <c r="M3378" s="2">
        <f t="shared" si="420"/>
        <v>3375.7801841917412</v>
      </c>
      <c r="N3378">
        <f t="shared" si="421"/>
        <v>90.758735218017179</v>
      </c>
      <c r="O3378" t="s">
        <v>8</v>
      </c>
    </row>
    <row r="3379" spans="1:15" x14ac:dyDescent="0.35">
      <c r="A3379">
        <v>2009</v>
      </c>
      <c r="B3379">
        <v>3</v>
      </c>
      <c r="C3379">
        <v>31</v>
      </c>
      <c r="D3379" s="1">
        <f t="shared" si="416"/>
        <v>39903</v>
      </c>
      <c r="E3379">
        <v>0</v>
      </c>
      <c r="F3379">
        <f t="shared" si="422"/>
        <v>0</v>
      </c>
      <c r="G3379">
        <f t="shared" si="417"/>
        <v>0</v>
      </c>
      <c r="H3379">
        <f t="shared" si="423"/>
        <v>0</v>
      </c>
      <c r="I3379">
        <v>3378</v>
      </c>
      <c r="J3379">
        <f t="shared" si="418"/>
        <v>0.99995318436087299</v>
      </c>
      <c r="K3379">
        <f t="shared" si="419"/>
        <v>9.6762124072355214E-3</v>
      </c>
      <c r="L3379">
        <f>VLOOKUP(D3379,[1]SOI!$A$1:$C$142,3)</f>
        <v>14.8</v>
      </c>
      <c r="M3379" s="2">
        <f t="shared" si="420"/>
        <v>3377.8418567710291</v>
      </c>
      <c r="N3379">
        <f t="shared" si="421"/>
        <v>32.686245511641594</v>
      </c>
      <c r="O3379" t="s">
        <v>8</v>
      </c>
    </row>
    <row r="3380" spans="1:15" x14ac:dyDescent="0.35">
      <c r="A3380">
        <v>2009</v>
      </c>
      <c r="B3380">
        <v>4</v>
      </c>
      <c r="C3380">
        <v>1</v>
      </c>
      <c r="D3380" s="1">
        <f t="shared" si="416"/>
        <v>39904</v>
      </c>
      <c r="E3380">
        <v>0</v>
      </c>
      <c r="F3380">
        <f t="shared" si="422"/>
        <v>0</v>
      </c>
      <c r="G3380">
        <f t="shared" si="417"/>
        <v>0</v>
      </c>
      <c r="H3380">
        <f t="shared" si="423"/>
        <v>0</v>
      </c>
      <c r="I3380">
        <v>3379</v>
      </c>
      <c r="J3380">
        <f t="shared" si="418"/>
        <v>0.99997167934088305</v>
      </c>
      <c r="K3380">
        <f t="shared" si="419"/>
        <v>-7.5259893817422431E-3</v>
      </c>
      <c r="L3380">
        <f>VLOOKUP(D3380,[1]SOI!$A$1:$C$142,3)</f>
        <v>0.2</v>
      </c>
      <c r="M3380" s="2">
        <f t="shared" si="420"/>
        <v>3378.9043044928439</v>
      </c>
      <c r="N3380">
        <f t="shared" si="421"/>
        <v>-25.430318120907039</v>
      </c>
      <c r="O3380" t="s">
        <v>8</v>
      </c>
    </row>
    <row r="3381" spans="1:15" x14ac:dyDescent="0.35">
      <c r="A3381">
        <v>2009</v>
      </c>
      <c r="B3381">
        <v>4</v>
      </c>
      <c r="C3381">
        <v>2</v>
      </c>
      <c r="D3381" s="1">
        <f t="shared" si="416"/>
        <v>39905</v>
      </c>
      <c r="E3381">
        <v>0</v>
      </c>
      <c r="F3381">
        <f t="shared" si="422"/>
        <v>0</v>
      </c>
      <c r="G3381">
        <f t="shared" si="417"/>
        <v>0</v>
      </c>
      <c r="H3381">
        <f t="shared" si="423"/>
        <v>0</v>
      </c>
      <c r="I3381">
        <v>3380</v>
      </c>
      <c r="J3381">
        <f t="shared" si="418"/>
        <v>0.99969426661297889</v>
      </c>
      <c r="K3381">
        <f t="shared" si="419"/>
        <v>-2.4725964109380424E-2</v>
      </c>
      <c r="L3381">
        <f>VLOOKUP(D3381,[1]SOI!$A$1:$C$142,3)</f>
        <v>0.2</v>
      </c>
      <c r="M3381" s="2">
        <f t="shared" si="420"/>
        <v>3378.9666211518688</v>
      </c>
      <c r="N3381">
        <f t="shared" si="421"/>
        <v>-83.573758689705841</v>
      </c>
      <c r="O3381" t="s">
        <v>8</v>
      </c>
    </row>
    <row r="3382" spans="1:15" x14ac:dyDescent="0.35">
      <c r="A3382">
        <v>2009</v>
      </c>
      <c r="B3382">
        <v>4</v>
      </c>
      <c r="C3382">
        <v>3</v>
      </c>
      <c r="D3382" s="1">
        <f t="shared" si="416"/>
        <v>39906</v>
      </c>
      <c r="E3382">
        <v>0</v>
      </c>
      <c r="F3382">
        <f t="shared" si="422"/>
        <v>0</v>
      </c>
      <c r="G3382">
        <f t="shared" si="417"/>
        <v>0</v>
      </c>
      <c r="H3382">
        <f t="shared" si="423"/>
        <v>0</v>
      </c>
      <c r="I3382">
        <v>3381</v>
      </c>
      <c r="J3382">
        <f t="shared" si="418"/>
        <v>0.9991210282680496</v>
      </c>
      <c r="K3382">
        <f t="shared" si="419"/>
        <v>-4.1918622026436127E-2</v>
      </c>
      <c r="L3382">
        <f>VLOOKUP(D3382,[1]SOI!$A$1:$C$142,3)</f>
        <v>0.2</v>
      </c>
      <c r="M3382" s="2">
        <f t="shared" si="420"/>
        <v>3378.0281965742756</v>
      </c>
      <c r="N3382">
        <f t="shared" si="421"/>
        <v>-141.72686107138054</v>
      </c>
      <c r="O3382" t="s">
        <v>8</v>
      </c>
    </row>
    <row r="3383" spans="1:15" x14ac:dyDescent="0.35">
      <c r="A3383">
        <v>2009</v>
      </c>
      <c r="B3383">
        <v>4</v>
      </c>
      <c r="C3383">
        <v>4</v>
      </c>
      <c r="D3383" s="1">
        <f t="shared" si="416"/>
        <v>39907</v>
      </c>
      <c r="E3383">
        <v>18</v>
      </c>
      <c r="F3383">
        <f t="shared" si="422"/>
        <v>0</v>
      </c>
      <c r="G3383">
        <f t="shared" si="417"/>
        <v>1</v>
      </c>
      <c r="H3383">
        <f t="shared" si="423"/>
        <v>0</v>
      </c>
      <c r="I3383">
        <v>3382</v>
      </c>
      <c r="J3383">
        <f t="shared" si="418"/>
        <v>0.99825213393654411</v>
      </c>
      <c r="K3383">
        <f t="shared" si="419"/>
        <v>-5.9098875548828429E-2</v>
      </c>
      <c r="L3383">
        <f>VLOOKUP(D3383,[1]SOI!$A$1:$C$142,3)</f>
        <v>0.2</v>
      </c>
      <c r="M3383" s="2">
        <f t="shared" si="420"/>
        <v>3376.0887169733924</v>
      </c>
      <c r="N3383">
        <f t="shared" si="421"/>
        <v>-199.87239710613775</v>
      </c>
      <c r="O3383" t="s">
        <v>8</v>
      </c>
    </row>
    <row r="3384" spans="1:15" x14ac:dyDescent="0.35">
      <c r="A3384">
        <v>2009</v>
      </c>
      <c r="B3384">
        <v>4</v>
      </c>
      <c r="C3384">
        <v>5</v>
      </c>
      <c r="D3384" s="1">
        <f t="shared" si="416"/>
        <v>39908</v>
      </c>
      <c r="E3384">
        <v>0</v>
      </c>
      <c r="F3384">
        <f t="shared" si="422"/>
        <v>18</v>
      </c>
      <c r="G3384">
        <f t="shared" si="417"/>
        <v>0</v>
      </c>
      <c r="H3384">
        <f t="shared" si="423"/>
        <v>1</v>
      </c>
      <c r="I3384">
        <v>3383</v>
      </c>
      <c r="J3384">
        <f t="shared" si="418"/>
        <v>0.99708784073827439</v>
      </c>
      <c r="K3384">
        <f t="shared" si="419"/>
        <v>-7.6261640763136351E-2</v>
      </c>
      <c r="L3384">
        <f>VLOOKUP(D3384,[1]SOI!$A$1:$C$142,3)</f>
        <v>0.2</v>
      </c>
      <c r="M3384" s="2">
        <f t="shared" si="420"/>
        <v>3373.1481652175821</v>
      </c>
      <c r="N3384">
        <f t="shared" si="421"/>
        <v>-257.99313070169029</v>
      </c>
      <c r="O3384" t="s">
        <v>8</v>
      </c>
    </row>
    <row r="3385" spans="1:15" x14ac:dyDescent="0.35">
      <c r="A3385">
        <v>2009</v>
      </c>
      <c r="B3385">
        <v>4</v>
      </c>
      <c r="C3385">
        <v>6</v>
      </c>
      <c r="D3385" s="1">
        <f t="shared" si="416"/>
        <v>39909</v>
      </c>
      <c r="E3385">
        <v>0.2</v>
      </c>
      <c r="F3385">
        <f t="shared" si="422"/>
        <v>0</v>
      </c>
      <c r="G3385">
        <f t="shared" si="417"/>
        <v>1</v>
      </c>
      <c r="H3385">
        <f t="shared" si="423"/>
        <v>0</v>
      </c>
      <c r="I3385">
        <v>3384</v>
      </c>
      <c r="J3385">
        <f t="shared" si="418"/>
        <v>0.99562849320632985</v>
      </c>
      <c r="K3385">
        <f t="shared" si="419"/>
        <v>-9.3401838931003567E-2</v>
      </c>
      <c r="L3385">
        <f>VLOOKUP(D3385,[1]SOI!$A$1:$C$142,3)</f>
        <v>0.2</v>
      </c>
      <c r="M3385" s="2">
        <f t="shared" si="420"/>
        <v>3369.2068210102202</v>
      </c>
      <c r="N3385">
        <f t="shared" si="421"/>
        <v>-316.07182294251606</v>
      </c>
      <c r="O3385" t="s">
        <v>8</v>
      </c>
    </row>
    <row r="3386" spans="1:15" x14ac:dyDescent="0.35">
      <c r="A3386">
        <v>2009</v>
      </c>
      <c r="B3386">
        <v>4</v>
      </c>
      <c r="C3386">
        <v>7</v>
      </c>
      <c r="D3386" s="1">
        <f t="shared" si="416"/>
        <v>39910</v>
      </c>
      <c r="E3386">
        <v>2.2000000000000002</v>
      </c>
      <c r="F3386">
        <f t="shared" si="422"/>
        <v>0.2</v>
      </c>
      <c r="G3386">
        <f t="shared" si="417"/>
        <v>1</v>
      </c>
      <c r="H3386">
        <f t="shared" si="423"/>
        <v>1</v>
      </c>
      <c r="I3386">
        <v>3385</v>
      </c>
      <c r="J3386">
        <f t="shared" si="418"/>
        <v>0.99387452318512293</v>
      </c>
      <c r="K3386">
        <f t="shared" si="419"/>
        <v>-0.11051439799204708</v>
      </c>
      <c r="L3386">
        <f>VLOOKUP(D3386,[1]SOI!$A$1:$C$142,3)</f>
        <v>0.2</v>
      </c>
      <c r="M3386" s="2">
        <f t="shared" si="420"/>
        <v>3364.2652609816409</v>
      </c>
      <c r="N3386">
        <f t="shared" si="421"/>
        <v>-374.0912372030794</v>
      </c>
      <c r="O3386" t="s">
        <v>8</v>
      </c>
    </row>
    <row r="3387" spans="1:15" x14ac:dyDescent="0.35">
      <c r="A3387">
        <v>2009</v>
      </c>
      <c r="B3387">
        <v>4</v>
      </c>
      <c r="C3387">
        <v>8</v>
      </c>
      <c r="D3387" s="1">
        <f t="shared" si="416"/>
        <v>39911</v>
      </c>
      <c r="E3387">
        <v>1.6</v>
      </c>
      <c r="F3387">
        <f t="shared" si="422"/>
        <v>2.2000000000000002</v>
      </c>
      <c r="G3387">
        <f t="shared" si="417"/>
        <v>1</v>
      </c>
      <c r="H3387">
        <f t="shared" si="423"/>
        <v>1</v>
      </c>
      <c r="I3387">
        <v>3386</v>
      </c>
      <c r="J3387">
        <f t="shared" si="418"/>
        <v>0.99182644970260192</v>
      </c>
      <c r="K3387">
        <f t="shared" si="419"/>
        <v>-0.12759425406471905</v>
      </c>
      <c r="L3387">
        <f>VLOOKUP(D3387,[1]SOI!$A$1:$C$142,3)</f>
        <v>0.2</v>
      </c>
      <c r="M3387" s="2">
        <f t="shared" si="420"/>
        <v>3358.3243586930103</v>
      </c>
      <c r="N3387">
        <f t="shared" si="421"/>
        <v>-432.03414426313873</v>
      </c>
      <c r="O3387" t="s">
        <v>8</v>
      </c>
    </row>
    <row r="3388" spans="1:15" x14ac:dyDescent="0.35">
      <c r="A3388">
        <v>2009</v>
      </c>
      <c r="B3388">
        <v>4</v>
      </c>
      <c r="C3388">
        <v>9</v>
      </c>
      <c r="D3388" s="1">
        <f t="shared" si="416"/>
        <v>39912</v>
      </c>
      <c r="E3388">
        <v>0</v>
      </c>
      <c r="F3388">
        <f t="shared" si="422"/>
        <v>1.6</v>
      </c>
      <c r="G3388">
        <f t="shared" si="417"/>
        <v>0</v>
      </c>
      <c r="H3388">
        <f t="shared" si="423"/>
        <v>1</v>
      </c>
      <c r="I3388">
        <v>3387</v>
      </c>
      <c r="J3388">
        <f t="shared" si="418"/>
        <v>0.9894848788166607</v>
      </c>
      <c r="K3388">
        <f t="shared" si="419"/>
        <v>-0.14463635294481911</v>
      </c>
      <c r="L3388">
        <f>VLOOKUP(D3388,[1]SOI!$A$1:$C$142,3)</f>
        <v>0.2</v>
      </c>
      <c r="M3388" s="2">
        <f t="shared" si="420"/>
        <v>3351.3852845520296</v>
      </c>
      <c r="N3388">
        <f t="shared" si="421"/>
        <v>-489.88332742410233</v>
      </c>
      <c r="O3388" t="s">
        <v>8</v>
      </c>
    </row>
    <row r="3389" spans="1:15" x14ac:dyDescent="0.35">
      <c r="A3389">
        <v>2009</v>
      </c>
      <c r="B3389">
        <v>4</v>
      </c>
      <c r="C3389">
        <v>10</v>
      </c>
      <c r="D3389" s="1">
        <f t="shared" si="416"/>
        <v>39913</v>
      </c>
      <c r="E3389">
        <v>0</v>
      </c>
      <c r="F3389">
        <f t="shared" si="422"/>
        <v>0</v>
      </c>
      <c r="G3389">
        <f t="shared" si="417"/>
        <v>0</v>
      </c>
      <c r="H3389">
        <f t="shared" si="423"/>
        <v>0</v>
      </c>
      <c r="I3389">
        <v>3388</v>
      </c>
      <c r="J3389">
        <f t="shared" si="418"/>
        <v>0.98685050343579672</v>
      </c>
      <c r="K3389">
        <f t="shared" si="419"/>
        <v>-0.16163565160110765</v>
      </c>
      <c r="L3389">
        <f>VLOOKUP(D3389,[1]SOI!$A$1:$C$142,3)</f>
        <v>0.2</v>
      </c>
      <c r="M3389" s="2">
        <f t="shared" si="420"/>
        <v>3343.4495056404794</v>
      </c>
      <c r="N3389">
        <f t="shared" si="421"/>
        <v>-547.62158762455272</v>
      </c>
      <c r="O3389" t="s">
        <v>8</v>
      </c>
    </row>
    <row r="3390" spans="1:15" x14ac:dyDescent="0.35">
      <c r="A3390">
        <v>2009</v>
      </c>
      <c r="B3390">
        <v>4</v>
      </c>
      <c r="C3390">
        <v>11</v>
      </c>
      <c r="D3390" s="1">
        <f t="shared" si="416"/>
        <v>39914</v>
      </c>
      <c r="E3390">
        <v>0</v>
      </c>
      <c r="F3390">
        <f t="shared" si="422"/>
        <v>0</v>
      </c>
      <c r="G3390">
        <f t="shared" si="417"/>
        <v>0</v>
      </c>
      <c r="H3390">
        <f t="shared" si="423"/>
        <v>0</v>
      </c>
      <c r="I3390">
        <v>3389</v>
      </c>
      <c r="J3390">
        <f t="shared" si="418"/>
        <v>0.9839241031140693</v>
      </c>
      <c r="K3390">
        <f t="shared" si="419"/>
        <v>-0.17858711966761281</v>
      </c>
      <c r="L3390">
        <f>VLOOKUP(D3390,[1]SOI!$A$1:$C$142,3)</f>
        <v>0.2</v>
      </c>
      <c r="M3390" s="2">
        <f t="shared" si="420"/>
        <v>3334.5187854535807</v>
      </c>
      <c r="N3390">
        <f t="shared" si="421"/>
        <v>-605.23174855353977</v>
      </c>
      <c r="O3390" t="s">
        <v>8</v>
      </c>
    </row>
    <row r="3391" spans="1:15" x14ac:dyDescent="0.35">
      <c r="A3391">
        <v>2009</v>
      </c>
      <c r="B3391">
        <v>4</v>
      </c>
      <c r="C3391">
        <v>12</v>
      </c>
      <c r="D3391" s="1">
        <f t="shared" si="416"/>
        <v>39915</v>
      </c>
      <c r="E3391">
        <v>0</v>
      </c>
      <c r="F3391">
        <f t="shared" si="422"/>
        <v>0</v>
      </c>
      <c r="G3391">
        <f t="shared" si="417"/>
        <v>0</v>
      </c>
      <c r="H3391">
        <f t="shared" si="423"/>
        <v>0</v>
      </c>
      <c r="I3391">
        <v>3390</v>
      </c>
      <c r="J3391">
        <f t="shared" si="418"/>
        <v>0.98070654382041267</v>
      </c>
      <c r="K3391">
        <f t="shared" si="419"/>
        <v>-0.1954857409322249</v>
      </c>
      <c r="L3391">
        <f>VLOOKUP(D3391,[1]SOI!$A$1:$C$142,3)</f>
        <v>0.2</v>
      </c>
      <c r="M3391" s="2">
        <f t="shared" si="420"/>
        <v>3324.5951835511992</v>
      </c>
      <c r="N3391">
        <f t="shared" si="421"/>
        <v>-662.69666176024236</v>
      </c>
      <c r="O3391" t="s">
        <v>8</v>
      </c>
    </row>
    <row r="3392" spans="1:15" x14ac:dyDescent="0.35">
      <c r="A3392">
        <v>2009</v>
      </c>
      <c r="B3392">
        <v>4</v>
      </c>
      <c r="C3392">
        <v>13</v>
      </c>
      <c r="D3392" s="1">
        <f t="shared" si="416"/>
        <v>39916</v>
      </c>
      <c r="E3392">
        <v>0</v>
      </c>
      <c r="F3392">
        <f t="shared" si="422"/>
        <v>0</v>
      </c>
      <c r="G3392">
        <f t="shared" si="417"/>
        <v>0</v>
      </c>
      <c r="H3392">
        <f t="shared" si="423"/>
        <v>0</v>
      </c>
      <c r="I3392">
        <v>3391</v>
      </c>
      <c r="J3392">
        <f t="shared" si="418"/>
        <v>0.9771987776823885</v>
      </c>
      <c r="K3392">
        <f t="shared" si="419"/>
        <v>-0.21232651482103196</v>
      </c>
      <c r="L3392">
        <f>VLOOKUP(D3392,[1]SOI!$A$1:$C$142,3)</f>
        <v>0.2</v>
      </c>
      <c r="M3392" s="2">
        <f t="shared" si="420"/>
        <v>3313.6810551209792</v>
      </c>
      <c r="N3392">
        <f t="shared" si="421"/>
        <v>-719.99921175811937</v>
      </c>
      <c r="O3392" t="s">
        <v>8</v>
      </c>
    </row>
    <row r="3393" spans="1:15" x14ac:dyDescent="0.35">
      <c r="A3393">
        <v>2009</v>
      </c>
      <c r="B3393">
        <v>4</v>
      </c>
      <c r="C3393">
        <v>14</v>
      </c>
      <c r="D3393" s="1">
        <f t="shared" si="416"/>
        <v>39917</v>
      </c>
      <c r="E3393">
        <v>0</v>
      </c>
      <c r="F3393">
        <f t="shared" si="422"/>
        <v>0</v>
      </c>
      <c r="G3393">
        <f t="shared" si="417"/>
        <v>0</v>
      </c>
      <c r="H3393">
        <f t="shared" si="423"/>
        <v>0</v>
      </c>
      <c r="I3393">
        <v>3392</v>
      </c>
      <c r="J3393">
        <f t="shared" si="418"/>
        <v>0.97340184270443142</v>
      </c>
      <c r="K3393">
        <f t="shared" si="419"/>
        <v>-0.22910445787809833</v>
      </c>
      <c r="L3393">
        <f>VLOOKUP(D3393,[1]SOI!$A$1:$C$142,3)</f>
        <v>0.2</v>
      </c>
      <c r="M3393" s="2">
        <f t="shared" si="420"/>
        <v>3301.7790504534314</v>
      </c>
      <c r="N3393">
        <f t="shared" si="421"/>
        <v>-777.12232112250956</v>
      </c>
      <c r="O3393" t="s">
        <v>8</v>
      </c>
    </row>
    <row r="3394" spans="1:15" x14ac:dyDescent="0.35">
      <c r="A3394">
        <v>2009</v>
      </c>
      <c r="B3394">
        <v>4</v>
      </c>
      <c r="C3394">
        <v>15</v>
      </c>
      <c r="D3394" s="1">
        <f t="shared" si="416"/>
        <v>39918</v>
      </c>
      <c r="E3394">
        <v>1.2</v>
      </c>
      <c r="F3394">
        <f t="shared" si="422"/>
        <v>0</v>
      </c>
      <c r="G3394">
        <f t="shared" si="417"/>
        <v>1</v>
      </c>
      <c r="H3394">
        <f t="shared" si="423"/>
        <v>0</v>
      </c>
      <c r="I3394">
        <v>3393</v>
      </c>
      <c r="J3394">
        <f t="shared" si="418"/>
        <v>0.96931686246068838</v>
      </c>
      <c r="K3394">
        <f t="shared" si="419"/>
        <v>-0.24581460524014229</v>
      </c>
      <c r="L3394">
        <f>VLOOKUP(D3394,[1]SOI!$A$1:$C$142,3)</f>
        <v>0.2</v>
      </c>
      <c r="M3394" s="2">
        <f t="shared" si="420"/>
        <v>3288.8921143291159</v>
      </c>
      <c r="N3394">
        <f t="shared" si="421"/>
        <v>-834.04895557980274</v>
      </c>
      <c r="O3394" t="s">
        <v>8</v>
      </c>
    </row>
    <row r="3395" spans="1:15" x14ac:dyDescent="0.35">
      <c r="A3395">
        <v>2009</v>
      </c>
      <c r="B3395">
        <v>4</v>
      </c>
      <c r="C3395">
        <v>16</v>
      </c>
      <c r="D3395" s="1">
        <f t="shared" ref="D3395:D3458" si="424">DATE(A3395,B3395,C3395)</f>
        <v>39919</v>
      </c>
      <c r="E3395">
        <v>0</v>
      </c>
      <c r="F3395">
        <f t="shared" si="422"/>
        <v>1.2</v>
      </c>
      <c r="G3395">
        <f t="shared" ref="G3395:G3458" si="425">IF(E3395=0,0,1)</f>
        <v>0</v>
      </c>
      <c r="H3395">
        <f t="shared" si="423"/>
        <v>1</v>
      </c>
      <c r="I3395">
        <v>3394</v>
      </c>
      <c r="J3395">
        <f t="shared" ref="J3395:J3458" si="426">SIN(2*PI()*I3395/365.25)</f>
        <v>0.96494504576253437</v>
      </c>
      <c r="K3395">
        <f t="shared" ref="K3395:K3458" si="427">COS(2*PI()*I3395/365.25)</f>
        <v>-0.26245201210571895</v>
      </c>
      <c r="L3395">
        <f>VLOOKUP(D3395,[1]SOI!$A$1:$C$142,3)</f>
        <v>0.2</v>
      </c>
      <c r="M3395" s="2">
        <f t="shared" ref="M3395:M3458" si="428">I3395*J3395</f>
        <v>3275.0234853180418</v>
      </c>
      <c r="N3395">
        <f t="shared" ref="N3395:N3458" si="429">I3395*K3395</f>
        <v>-890.76212908681009</v>
      </c>
      <c r="O3395" t="s">
        <v>8</v>
      </c>
    </row>
    <row r="3396" spans="1:15" x14ac:dyDescent="0.35">
      <c r="A3396">
        <v>2009</v>
      </c>
      <c r="B3396">
        <v>4</v>
      </c>
      <c r="C3396">
        <v>17</v>
      </c>
      <c r="D3396" s="1">
        <f t="shared" si="424"/>
        <v>39920</v>
      </c>
      <c r="E3396">
        <v>0</v>
      </c>
      <c r="F3396">
        <f t="shared" ref="F3396:F3459" si="430">E3395</f>
        <v>0</v>
      </c>
      <c r="G3396">
        <f t="shared" si="425"/>
        <v>0</v>
      </c>
      <c r="H3396">
        <f t="shared" ref="H3396:H3459" si="431">G3395</f>
        <v>0</v>
      </c>
      <c r="I3396">
        <v>3395</v>
      </c>
      <c r="J3396">
        <f t="shared" si="426"/>
        <v>0.96028768630086825</v>
      </c>
      <c r="K3396">
        <f t="shared" si="427"/>
        <v>-0.27901175519845983</v>
      </c>
      <c r="L3396">
        <f>VLOOKUP(D3396,[1]SOI!$A$1:$C$142,3)</f>
        <v>0.2</v>
      </c>
      <c r="M3396" s="2">
        <f t="shared" si="428"/>
        <v>3260.1766949914477</v>
      </c>
      <c r="N3396">
        <f t="shared" si="429"/>
        <v>-947.24490889877109</v>
      </c>
      <c r="O3396" t="s">
        <v>8</v>
      </c>
    </row>
    <row r="3397" spans="1:15" x14ac:dyDescent="0.35">
      <c r="A3397">
        <v>2009</v>
      </c>
      <c r="B3397">
        <v>4</v>
      </c>
      <c r="C3397">
        <v>18</v>
      </c>
      <c r="D3397" s="1">
        <f t="shared" si="424"/>
        <v>39921</v>
      </c>
      <c r="E3397">
        <v>0</v>
      </c>
      <c r="F3397">
        <f t="shared" si="430"/>
        <v>0</v>
      </c>
      <c r="G3397">
        <f t="shared" si="425"/>
        <v>0</v>
      </c>
      <c r="H3397">
        <f t="shared" si="431"/>
        <v>0</v>
      </c>
      <c r="I3397">
        <v>3396</v>
      </c>
      <c r="J3397">
        <f t="shared" si="426"/>
        <v>0.95534616226328051</v>
      </c>
      <c r="K3397">
        <f t="shared" si="427"/>
        <v>-0.29548893422397687</v>
      </c>
      <c r="L3397">
        <f>VLOOKUP(D3397,[1]SOI!$A$1:$C$142,3)</f>
        <v>0.2</v>
      </c>
      <c r="M3397" s="2">
        <f t="shared" si="428"/>
        <v>3244.3555670461005</v>
      </c>
      <c r="N3397">
        <f t="shared" si="429"/>
        <v>-1003.4804206246255</v>
      </c>
      <c r="O3397" t="s">
        <v>8</v>
      </c>
    </row>
    <row r="3398" spans="1:15" x14ac:dyDescent="0.35">
      <c r="A3398">
        <v>2009</v>
      </c>
      <c r="B3398">
        <v>4</v>
      </c>
      <c r="C3398">
        <v>19</v>
      </c>
      <c r="D3398" s="1">
        <f t="shared" si="424"/>
        <v>39922</v>
      </c>
      <c r="E3398">
        <v>0</v>
      </c>
      <c r="F3398">
        <f t="shared" si="430"/>
        <v>0</v>
      </c>
      <c r="G3398">
        <f t="shared" si="425"/>
        <v>0</v>
      </c>
      <c r="H3398">
        <f t="shared" si="431"/>
        <v>0</v>
      </c>
      <c r="I3398">
        <v>3397</v>
      </c>
      <c r="J3398">
        <f t="shared" si="426"/>
        <v>0.95012193592623728</v>
      </c>
      <c r="K3398">
        <f t="shared" si="427"/>
        <v>-0.31187867331989716</v>
      </c>
      <c r="L3398">
        <f>VLOOKUP(D3398,[1]SOI!$A$1:$C$142,3)</f>
        <v>0.2</v>
      </c>
      <c r="M3398" s="2">
        <f t="shared" si="428"/>
        <v>3227.5642163414282</v>
      </c>
      <c r="N3398">
        <f t="shared" si="429"/>
        <v>-1059.4518532676907</v>
      </c>
      <c r="O3398" t="s">
        <v>8</v>
      </c>
    </row>
    <row r="3399" spans="1:15" x14ac:dyDescent="0.35">
      <c r="A3399">
        <v>2009</v>
      </c>
      <c r="B3399">
        <v>4</v>
      </c>
      <c r="C3399">
        <v>20</v>
      </c>
      <c r="D3399" s="1">
        <f t="shared" si="424"/>
        <v>39923</v>
      </c>
      <c r="E3399">
        <v>0</v>
      </c>
      <c r="F3399">
        <f t="shared" si="430"/>
        <v>0</v>
      </c>
      <c r="G3399">
        <f t="shared" si="425"/>
        <v>0</v>
      </c>
      <c r="H3399">
        <f t="shared" si="431"/>
        <v>0</v>
      </c>
      <c r="I3399">
        <v>3398</v>
      </c>
      <c r="J3399">
        <f t="shared" si="426"/>
        <v>0.94461655322236127</v>
      </c>
      <c r="K3399">
        <f t="shared" si="427"/>
        <v>-0.32817612249873673</v>
      </c>
      <c r="L3399">
        <f>VLOOKUP(D3399,[1]SOI!$A$1:$C$142,3)</f>
        <v>0.2</v>
      </c>
      <c r="M3399" s="2">
        <f t="shared" si="428"/>
        <v>3209.8070478495838</v>
      </c>
      <c r="N3399">
        <f t="shared" si="429"/>
        <v>-1115.1424642507075</v>
      </c>
      <c r="O3399" t="s">
        <v>8</v>
      </c>
    </row>
    <row r="3400" spans="1:15" x14ac:dyDescent="0.35">
      <c r="A3400">
        <v>2009</v>
      </c>
      <c r="B3400">
        <v>4</v>
      </c>
      <c r="C3400">
        <v>21</v>
      </c>
      <c r="D3400" s="1">
        <f t="shared" si="424"/>
        <v>39924</v>
      </c>
      <c r="E3400">
        <v>0</v>
      </c>
      <c r="F3400">
        <f t="shared" si="430"/>
        <v>0</v>
      </c>
      <c r="G3400">
        <f t="shared" si="425"/>
        <v>0</v>
      </c>
      <c r="H3400">
        <f t="shared" si="431"/>
        <v>0</v>
      </c>
      <c r="I3400">
        <v>3399</v>
      </c>
      <c r="J3400">
        <f t="shared" si="426"/>
        <v>0.93883164328296542</v>
      </c>
      <c r="K3400">
        <f t="shared" si="427"/>
        <v>-0.3443764590830895</v>
      </c>
      <c r="L3400">
        <f>VLOOKUP(D3400,[1]SOI!$A$1:$C$142,3)</f>
        <v>0.2</v>
      </c>
      <c r="M3400" s="2">
        <f t="shared" si="428"/>
        <v>3191.0887555187996</v>
      </c>
      <c r="N3400">
        <f t="shared" si="429"/>
        <v>-1170.5355844234211</v>
      </c>
      <c r="O3400" t="s">
        <v>8</v>
      </c>
    </row>
    <row r="3401" spans="1:15" x14ac:dyDescent="0.35">
      <c r="A3401">
        <v>2009</v>
      </c>
      <c r="B3401">
        <v>4</v>
      </c>
      <c r="C3401">
        <v>22</v>
      </c>
      <c r="D3401" s="1">
        <f t="shared" si="424"/>
        <v>39925</v>
      </c>
      <c r="E3401">
        <v>0</v>
      </c>
      <c r="F3401">
        <f t="shared" si="430"/>
        <v>0</v>
      </c>
      <c r="G3401">
        <f t="shared" si="425"/>
        <v>0</v>
      </c>
      <c r="H3401">
        <f t="shared" si="431"/>
        <v>0</v>
      </c>
      <c r="I3401">
        <v>3400</v>
      </c>
      <c r="J3401">
        <f t="shared" si="426"/>
        <v>0.93276891795598071</v>
      </c>
      <c r="K3401">
        <f t="shared" si="427"/>
        <v>-0.36047488913269515</v>
      </c>
      <c r="L3401">
        <f>VLOOKUP(D3401,[1]SOI!$A$1:$C$142,3)</f>
        <v>0.2</v>
      </c>
      <c r="M3401" s="2">
        <f t="shared" si="428"/>
        <v>3171.4143210503344</v>
      </c>
      <c r="N3401">
        <f t="shared" si="429"/>
        <v>-1225.6146230511636</v>
      </c>
      <c r="O3401" t="s">
        <v>8</v>
      </c>
    </row>
    <row r="3402" spans="1:15" x14ac:dyDescent="0.35">
      <c r="A3402">
        <v>2009</v>
      </c>
      <c r="B3402">
        <v>4</v>
      </c>
      <c r="C3402">
        <v>23</v>
      </c>
      <c r="D3402" s="1">
        <f t="shared" si="424"/>
        <v>39926</v>
      </c>
      <c r="E3402">
        <v>0</v>
      </c>
      <c r="F3402">
        <f t="shared" si="430"/>
        <v>0</v>
      </c>
      <c r="G3402">
        <f t="shared" si="425"/>
        <v>0</v>
      </c>
      <c r="H3402">
        <f t="shared" si="431"/>
        <v>0</v>
      </c>
      <c r="I3402">
        <v>3401</v>
      </c>
      <c r="J3402">
        <f t="shared" si="426"/>
        <v>0.92643017129935912</v>
      </c>
      <c r="K3402">
        <f t="shared" si="427"/>
        <v>-0.37646664886313641</v>
      </c>
      <c r="L3402">
        <f>VLOOKUP(D3402,[1]SOI!$A$1:$C$142,3)</f>
        <v>0.2</v>
      </c>
      <c r="M3402" s="2">
        <f t="shared" si="428"/>
        <v>3150.7890125891204</v>
      </c>
      <c r="N3402">
        <f t="shared" si="429"/>
        <v>-1280.3630727835268</v>
      </c>
      <c r="O3402" t="s">
        <v>8</v>
      </c>
    </row>
    <row r="3403" spans="1:15" x14ac:dyDescent="0.35">
      <c r="A3403">
        <v>2009</v>
      </c>
      <c r="B3403">
        <v>4</v>
      </c>
      <c r="C3403">
        <v>24</v>
      </c>
      <c r="D3403" s="1">
        <f t="shared" si="424"/>
        <v>39927</v>
      </c>
      <c r="E3403">
        <v>0</v>
      </c>
      <c r="F3403">
        <f t="shared" si="430"/>
        <v>0</v>
      </c>
      <c r="G3403">
        <f t="shared" si="425"/>
        <v>0</v>
      </c>
      <c r="H3403">
        <f t="shared" si="431"/>
        <v>0</v>
      </c>
      <c r="I3403">
        <v>3402</v>
      </c>
      <c r="J3403">
        <f t="shared" si="426"/>
        <v>0.91981727905022181</v>
      </c>
      <c r="K3403">
        <f t="shared" si="427"/>
        <v>-0.39234700605541312</v>
      </c>
      <c r="L3403">
        <f>VLOOKUP(D3403,[1]SOI!$A$1:$C$142,3)</f>
        <v>0.2</v>
      </c>
      <c r="M3403" s="2">
        <f t="shared" si="428"/>
        <v>3129.2183833288545</v>
      </c>
      <c r="N3403">
        <f t="shared" si="429"/>
        <v>-1334.7645146005154</v>
      </c>
      <c r="O3403" t="s">
        <v>8</v>
      </c>
    </row>
    <row r="3404" spans="1:15" x14ac:dyDescent="0.35">
      <c r="A3404">
        <v>2009</v>
      </c>
      <c r="B3404">
        <v>4</v>
      </c>
      <c r="C3404">
        <v>25</v>
      </c>
      <c r="D3404" s="1">
        <f t="shared" si="424"/>
        <v>39928</v>
      </c>
      <c r="E3404">
        <v>3.4</v>
      </c>
      <c r="F3404">
        <f t="shared" si="430"/>
        <v>0</v>
      </c>
      <c r="G3404">
        <f t="shared" si="425"/>
        <v>1</v>
      </c>
      <c r="H3404">
        <f t="shared" si="431"/>
        <v>0</v>
      </c>
      <c r="I3404">
        <v>3403</v>
      </c>
      <c r="J3404">
        <f t="shared" si="426"/>
        <v>0.91293219806977643</v>
      </c>
      <c r="K3404">
        <f t="shared" si="427"/>
        <v>-0.40811126145634169</v>
      </c>
      <c r="L3404">
        <f>VLOOKUP(D3404,[1]SOI!$A$1:$C$142,3)</f>
        <v>0.2</v>
      </c>
      <c r="M3404" s="2">
        <f t="shared" si="428"/>
        <v>3106.708270031449</v>
      </c>
      <c r="N3404">
        <f t="shared" si="429"/>
        <v>-1388.8026227359308</v>
      </c>
      <c r="O3404" t="s">
        <v>8</v>
      </c>
    </row>
    <row r="3405" spans="1:15" x14ac:dyDescent="0.35">
      <c r="A3405">
        <v>2009</v>
      </c>
      <c r="B3405">
        <v>4</v>
      </c>
      <c r="C3405">
        <v>26</v>
      </c>
      <c r="D3405" s="1">
        <f t="shared" si="424"/>
        <v>39929</v>
      </c>
      <c r="E3405">
        <v>2.6</v>
      </c>
      <c r="F3405">
        <f t="shared" si="430"/>
        <v>3.4</v>
      </c>
      <c r="G3405">
        <f t="shared" si="425"/>
        <v>1</v>
      </c>
      <c r="H3405">
        <f t="shared" si="431"/>
        <v>1</v>
      </c>
      <c r="I3405">
        <v>3404</v>
      </c>
      <c r="J3405">
        <f t="shared" si="426"/>
        <v>0.90577696576425248</v>
      </c>
      <c r="K3405">
        <f t="shared" si="427"/>
        <v>-0.42375475016913289</v>
      </c>
      <c r="L3405">
        <f>VLOOKUP(D3405,[1]SOI!$A$1:$C$142,3)</f>
        <v>0.2</v>
      </c>
      <c r="M3405" s="2">
        <f t="shared" si="428"/>
        <v>3083.2647914615154</v>
      </c>
      <c r="N3405">
        <f t="shared" si="429"/>
        <v>-1442.4611695757283</v>
      </c>
      <c r="O3405" t="s">
        <v>8</v>
      </c>
    </row>
    <row r="3406" spans="1:15" x14ac:dyDescent="0.35">
      <c r="A3406">
        <v>2009</v>
      </c>
      <c r="B3406">
        <v>4</v>
      </c>
      <c r="C3406">
        <v>27</v>
      </c>
      <c r="D3406" s="1">
        <f t="shared" si="424"/>
        <v>39930</v>
      </c>
      <c r="E3406">
        <v>1.8</v>
      </c>
      <c r="F3406">
        <f t="shared" si="430"/>
        <v>2.6</v>
      </c>
      <c r="G3406">
        <f t="shared" si="425"/>
        <v>1</v>
      </c>
      <c r="H3406">
        <f t="shared" si="431"/>
        <v>1</v>
      </c>
      <c r="I3406">
        <v>3405</v>
      </c>
      <c r="J3406">
        <f t="shared" si="426"/>
        <v>0.8983536994820116</v>
      </c>
      <c r="K3406">
        <f t="shared" si="427"/>
        <v>-0.43927284303378417</v>
      </c>
      <c r="L3406">
        <f>VLOOKUP(D3406,[1]SOI!$A$1:$C$142,3)</f>
        <v>0.2</v>
      </c>
      <c r="M3406" s="2">
        <f t="shared" si="428"/>
        <v>3058.8943467362496</v>
      </c>
      <c r="N3406">
        <f t="shared" si="429"/>
        <v>-1495.7240305300352</v>
      </c>
      <c r="O3406" t="s">
        <v>8</v>
      </c>
    </row>
    <row r="3407" spans="1:15" x14ac:dyDescent="0.35">
      <c r="A3407">
        <v>2009</v>
      </c>
      <c r="B3407">
        <v>4</v>
      </c>
      <c r="C3407">
        <v>28</v>
      </c>
      <c r="D3407" s="1">
        <f t="shared" si="424"/>
        <v>39931</v>
      </c>
      <c r="E3407">
        <v>6.6</v>
      </c>
      <c r="F3407">
        <f t="shared" si="430"/>
        <v>1.8</v>
      </c>
      <c r="G3407">
        <f t="shared" si="425"/>
        <v>1</v>
      </c>
      <c r="H3407">
        <f t="shared" si="431"/>
        <v>1</v>
      </c>
      <c r="I3407">
        <v>3406</v>
      </c>
      <c r="J3407">
        <f t="shared" si="426"/>
        <v>0.89066459588697922</v>
      </c>
      <c r="K3407">
        <f t="shared" si="427"/>
        <v>-0.45466094799694862</v>
      </c>
      <c r="L3407">
        <f>VLOOKUP(D3407,[1]SOI!$A$1:$C$142,3)</f>
        <v>0.2</v>
      </c>
      <c r="M3407" s="2">
        <f t="shared" si="428"/>
        <v>3033.6036135910513</v>
      </c>
      <c r="N3407">
        <f t="shared" si="429"/>
        <v>-1548.5751888776069</v>
      </c>
      <c r="O3407" t="s">
        <v>8</v>
      </c>
    </row>
    <row r="3408" spans="1:15" x14ac:dyDescent="0.35">
      <c r="A3408">
        <v>2009</v>
      </c>
      <c r="B3408">
        <v>4</v>
      </c>
      <c r="C3408">
        <v>29</v>
      </c>
      <c r="D3408" s="1">
        <f t="shared" si="424"/>
        <v>39932</v>
      </c>
      <c r="E3408">
        <v>1.6</v>
      </c>
      <c r="F3408">
        <f t="shared" si="430"/>
        <v>6.6</v>
      </c>
      <c r="G3408">
        <f t="shared" si="425"/>
        <v>1</v>
      </c>
      <c r="H3408">
        <f t="shared" si="431"/>
        <v>1</v>
      </c>
      <c r="I3408">
        <v>3407</v>
      </c>
      <c r="J3408">
        <f t="shared" si="426"/>
        <v>0.88271193030860218</v>
      </c>
      <c r="K3408">
        <f t="shared" si="427"/>
        <v>-0.46991451147082225</v>
      </c>
      <c r="L3408">
        <f>VLOOKUP(D3408,[1]SOI!$A$1:$C$142,3)</f>
        <v>0.2</v>
      </c>
      <c r="M3408" s="2">
        <f t="shared" si="428"/>
        <v>3007.3995465614075</v>
      </c>
      <c r="N3408">
        <f t="shared" si="429"/>
        <v>-1600.9987405810914</v>
      </c>
      <c r="O3408" t="s">
        <v>8</v>
      </c>
    </row>
    <row r="3409" spans="1:15" x14ac:dyDescent="0.35">
      <c r="A3409">
        <v>2009</v>
      </c>
      <c r="B3409">
        <v>4</v>
      </c>
      <c r="C3409">
        <v>30</v>
      </c>
      <c r="D3409" s="1">
        <f t="shared" si="424"/>
        <v>39933</v>
      </c>
      <c r="E3409">
        <v>0</v>
      </c>
      <c r="F3409">
        <f t="shared" si="430"/>
        <v>1.6</v>
      </c>
      <c r="G3409">
        <f t="shared" si="425"/>
        <v>0</v>
      </c>
      <c r="H3409">
        <f t="shared" si="431"/>
        <v>1</v>
      </c>
      <c r="I3409">
        <v>3408</v>
      </c>
      <c r="J3409">
        <f t="shared" si="426"/>
        <v>0.87449805606857389</v>
      </c>
      <c r="K3409">
        <f t="shared" si="427"/>
        <v>-0.48502901968056034</v>
      </c>
      <c r="L3409">
        <f>VLOOKUP(D3409,[1]SOI!$A$1:$C$142,3)</f>
        <v>0.2</v>
      </c>
      <c r="M3409" s="2">
        <f t="shared" si="428"/>
        <v>2980.2893750816997</v>
      </c>
      <c r="N3409">
        <f t="shared" si="429"/>
        <v>-1652.9788990713496</v>
      </c>
      <c r="O3409" t="s">
        <v>8</v>
      </c>
    </row>
    <row r="3410" spans="1:15" x14ac:dyDescent="0.35">
      <c r="A3410">
        <v>2009</v>
      </c>
      <c r="B3410">
        <v>5</v>
      </c>
      <c r="C3410">
        <v>1</v>
      </c>
      <c r="D3410" s="1">
        <f t="shared" si="424"/>
        <v>39934</v>
      </c>
      <c r="E3410">
        <v>0</v>
      </c>
      <c r="F3410">
        <f t="shared" si="430"/>
        <v>0</v>
      </c>
      <c r="G3410">
        <f t="shared" si="425"/>
        <v>0</v>
      </c>
      <c r="H3410">
        <f t="shared" si="431"/>
        <v>0</v>
      </c>
      <c r="I3410">
        <v>3409</v>
      </c>
      <c r="J3410">
        <f t="shared" si="426"/>
        <v>0.86602540378443738</v>
      </c>
      <c r="K3410">
        <f t="shared" si="427"/>
        <v>-0.50000000000000211</v>
      </c>
      <c r="L3410">
        <f>VLOOKUP(D3410,[1]SOI!$A$1:$C$142,3)</f>
        <v>8.6</v>
      </c>
      <c r="M3410" s="2">
        <f t="shared" si="428"/>
        <v>2952.280601501147</v>
      </c>
      <c r="N3410">
        <f t="shared" si="429"/>
        <v>-1704.5000000000073</v>
      </c>
      <c r="O3410" t="s">
        <v>8</v>
      </c>
    </row>
    <row r="3411" spans="1:15" x14ac:dyDescent="0.35">
      <c r="A3411">
        <v>2009</v>
      </c>
      <c r="B3411">
        <v>5</v>
      </c>
      <c r="C3411">
        <v>2</v>
      </c>
      <c r="D3411" s="1">
        <f t="shared" si="424"/>
        <v>39935</v>
      </c>
      <c r="E3411">
        <v>0</v>
      </c>
      <c r="F3411">
        <f t="shared" si="430"/>
        <v>0</v>
      </c>
      <c r="G3411">
        <f t="shared" si="425"/>
        <v>0</v>
      </c>
      <c r="H3411">
        <f t="shared" si="431"/>
        <v>0</v>
      </c>
      <c r="I3411">
        <v>3410</v>
      </c>
      <c r="J3411">
        <f t="shared" si="426"/>
        <v>0.85729648065031216</v>
      </c>
      <c r="K3411">
        <f t="shared" si="427"/>
        <v>-0.51482302227521737</v>
      </c>
      <c r="L3411">
        <f>VLOOKUP(D3411,[1]SOI!$A$1:$C$142,3)</f>
        <v>8.6</v>
      </c>
      <c r="M3411" s="2">
        <f t="shared" si="428"/>
        <v>2923.3809990175646</v>
      </c>
      <c r="N3411">
        <f t="shared" si="429"/>
        <v>-1755.5465059584913</v>
      </c>
      <c r="O3411" t="s">
        <v>8</v>
      </c>
    </row>
    <row r="3412" spans="1:15" x14ac:dyDescent="0.35">
      <c r="A3412">
        <v>2009</v>
      </c>
      <c r="B3412">
        <v>5</v>
      </c>
      <c r="C3412">
        <v>3</v>
      </c>
      <c r="D3412" s="1">
        <f t="shared" si="424"/>
        <v>39936</v>
      </c>
      <c r="E3412">
        <v>0</v>
      </c>
      <c r="F3412">
        <f t="shared" si="430"/>
        <v>0</v>
      </c>
      <c r="G3412">
        <f t="shared" si="425"/>
        <v>0</v>
      </c>
      <c r="H3412">
        <f t="shared" si="431"/>
        <v>0</v>
      </c>
      <c r="I3412">
        <v>3411</v>
      </c>
      <c r="J3412">
        <f t="shared" si="426"/>
        <v>0.84831386969499578</v>
      </c>
      <c r="K3412">
        <f t="shared" si="427"/>
        <v>-0.52949370013542341</v>
      </c>
      <c r="L3412">
        <f>VLOOKUP(D3412,[1]SOI!$A$1:$C$142,3)</f>
        <v>8.6</v>
      </c>
      <c r="M3412" s="2">
        <f t="shared" si="428"/>
        <v>2893.5986095296307</v>
      </c>
      <c r="N3412">
        <f t="shared" si="429"/>
        <v>-1806.1030111619293</v>
      </c>
      <c r="O3412" t="s">
        <v>8</v>
      </c>
    </row>
    <row r="3413" spans="1:15" x14ac:dyDescent="0.35">
      <c r="A3413">
        <v>2009</v>
      </c>
      <c r="B3413">
        <v>5</v>
      </c>
      <c r="C3413">
        <v>4</v>
      </c>
      <c r="D3413" s="1">
        <f t="shared" si="424"/>
        <v>39937</v>
      </c>
      <c r="E3413">
        <v>0</v>
      </c>
      <c r="F3413">
        <f t="shared" si="430"/>
        <v>0</v>
      </c>
      <c r="G3413">
        <f t="shared" si="425"/>
        <v>0</v>
      </c>
      <c r="H3413">
        <f t="shared" si="431"/>
        <v>0</v>
      </c>
      <c r="I3413">
        <v>3412</v>
      </c>
      <c r="J3413">
        <f t="shared" si="426"/>
        <v>0.83908022901756774</v>
      </c>
      <c r="K3413">
        <f t="shared" si="427"/>
        <v>-0.54400769229104295</v>
      </c>
      <c r="L3413">
        <f>VLOOKUP(D3413,[1]SOI!$A$1:$C$142,3)</f>
        <v>8.6</v>
      </c>
      <c r="M3413" s="2">
        <f t="shared" si="428"/>
        <v>2862.9417414079412</v>
      </c>
      <c r="N3413">
        <f t="shared" si="429"/>
        <v>-1856.1542460970386</v>
      </c>
      <c r="O3413" t="s">
        <v>8</v>
      </c>
    </row>
    <row r="3414" spans="1:15" x14ac:dyDescent="0.35">
      <c r="A3414">
        <v>2009</v>
      </c>
      <c r="B3414">
        <v>5</v>
      </c>
      <c r="C3414">
        <v>5</v>
      </c>
      <c r="D3414" s="1">
        <f t="shared" si="424"/>
        <v>39938</v>
      </c>
      <c r="E3414">
        <v>0</v>
      </c>
      <c r="F3414">
        <f t="shared" si="430"/>
        <v>0</v>
      </c>
      <c r="G3414">
        <f t="shared" si="425"/>
        <v>0</v>
      </c>
      <c r="H3414">
        <f t="shared" si="431"/>
        <v>0</v>
      </c>
      <c r="I3414">
        <v>3413</v>
      </c>
      <c r="J3414">
        <f t="shared" si="426"/>
        <v>0.82959829100087434</v>
      </c>
      <c r="K3414">
        <f t="shared" si="427"/>
        <v>-0.5583607038182653</v>
      </c>
      <c r="L3414">
        <f>VLOOKUP(D3414,[1]SOI!$A$1:$C$142,3)</f>
        <v>8.6</v>
      </c>
      <c r="M3414" s="2">
        <f t="shared" si="428"/>
        <v>2831.418967185984</v>
      </c>
      <c r="N3414">
        <f t="shared" si="429"/>
        <v>-1905.6850821317396</v>
      </c>
      <c r="O3414" t="s">
        <v>8</v>
      </c>
    </row>
    <row r="3415" spans="1:15" x14ac:dyDescent="0.35">
      <c r="A3415">
        <v>2009</v>
      </c>
      <c r="B3415">
        <v>5</v>
      </c>
      <c r="C3415">
        <v>6</v>
      </c>
      <c r="D3415" s="1">
        <f t="shared" si="424"/>
        <v>39939</v>
      </c>
      <c r="E3415">
        <v>0</v>
      </c>
      <c r="F3415">
        <f t="shared" si="430"/>
        <v>0</v>
      </c>
      <c r="G3415">
        <f t="shared" si="425"/>
        <v>0</v>
      </c>
      <c r="H3415">
        <f t="shared" si="431"/>
        <v>0</v>
      </c>
      <c r="I3415">
        <v>3414</v>
      </c>
      <c r="J3415">
        <f t="shared" si="426"/>
        <v>0.81987086150292066</v>
      </c>
      <c r="K3415">
        <f t="shared" si="427"/>
        <v>-0.57254848743006792</v>
      </c>
      <c r="L3415">
        <f>VLOOKUP(D3415,[1]SOI!$A$1:$C$142,3)</f>
        <v>8.6</v>
      </c>
      <c r="M3415" s="2">
        <f t="shared" si="428"/>
        <v>2799.0391211709712</v>
      </c>
      <c r="N3415">
        <f t="shared" si="429"/>
        <v>-1954.6805360862518</v>
      </c>
      <c r="O3415" t="s">
        <v>8</v>
      </c>
    </row>
    <row r="3416" spans="1:15" x14ac:dyDescent="0.35">
      <c r="A3416">
        <v>2009</v>
      </c>
      <c r="B3416">
        <v>5</v>
      </c>
      <c r="C3416">
        <v>7</v>
      </c>
      <c r="D3416" s="1">
        <f t="shared" si="424"/>
        <v>39940</v>
      </c>
      <c r="E3416">
        <v>0</v>
      </c>
      <c r="F3416">
        <f t="shared" si="430"/>
        <v>0</v>
      </c>
      <c r="G3416">
        <f t="shared" si="425"/>
        <v>0</v>
      </c>
      <c r="H3416">
        <f t="shared" si="431"/>
        <v>0</v>
      </c>
      <c r="I3416">
        <v>3415</v>
      </c>
      <c r="J3416">
        <f t="shared" si="426"/>
        <v>0.80990081902659439</v>
      </c>
      <c r="K3416">
        <f t="shared" si="427"/>
        <v>-0.58656684473302068</v>
      </c>
      <c r="L3416">
        <f>VLOOKUP(D3416,[1]SOI!$A$1:$C$142,3)</f>
        <v>8.6</v>
      </c>
      <c r="M3416" s="2">
        <f t="shared" si="428"/>
        <v>2765.8112969758199</v>
      </c>
      <c r="N3416">
        <f t="shared" si="429"/>
        <v>-2003.1257747632656</v>
      </c>
      <c r="O3416" t="s">
        <v>8</v>
      </c>
    </row>
    <row r="3417" spans="1:15" x14ac:dyDescent="0.35">
      <c r="A3417">
        <v>2009</v>
      </c>
      <c r="B3417">
        <v>5</v>
      </c>
      <c r="C3417">
        <v>8</v>
      </c>
      <c r="D3417" s="1">
        <f t="shared" si="424"/>
        <v>39941</v>
      </c>
      <c r="E3417">
        <v>0.2</v>
      </c>
      <c r="F3417">
        <f t="shared" si="430"/>
        <v>0</v>
      </c>
      <c r="G3417">
        <f t="shared" si="425"/>
        <v>1</v>
      </c>
      <c r="H3417">
        <f t="shared" si="431"/>
        <v>0</v>
      </c>
      <c r="I3417">
        <v>3416</v>
      </c>
      <c r="J3417">
        <f t="shared" si="426"/>
        <v>0.79969111386786695</v>
      </c>
      <c r="K3417">
        <f t="shared" si="427"/>
        <v>-0.6004116274696637</v>
      </c>
      <c r="L3417">
        <f>VLOOKUP(D3417,[1]SOI!$A$1:$C$142,3)</f>
        <v>8.6</v>
      </c>
      <c r="M3417" s="2">
        <f t="shared" si="428"/>
        <v>2731.7448449726335</v>
      </c>
      <c r="N3417">
        <f t="shared" si="429"/>
        <v>-2051.0061194363711</v>
      </c>
      <c r="O3417" t="s">
        <v>8</v>
      </c>
    </row>
    <row r="3418" spans="1:15" x14ac:dyDescent="0.35">
      <c r="A3418">
        <v>2009</v>
      </c>
      <c r="B3418">
        <v>5</v>
      </c>
      <c r="C3418">
        <v>9</v>
      </c>
      <c r="D3418" s="1">
        <f t="shared" si="424"/>
        <v>39942</v>
      </c>
      <c r="E3418">
        <v>3.2</v>
      </c>
      <c r="F3418">
        <f t="shared" si="430"/>
        <v>0.2</v>
      </c>
      <c r="G3418">
        <f t="shared" si="425"/>
        <v>1</v>
      </c>
      <c r="H3418">
        <f t="shared" si="431"/>
        <v>1</v>
      </c>
      <c r="I3418">
        <v>3417</v>
      </c>
      <c r="J3418">
        <f t="shared" si="426"/>
        <v>0.78924476724275749</v>
      </c>
      <c r="K3418">
        <f t="shared" si="427"/>
        <v>-0.61407873874603858</v>
      </c>
      <c r="L3418">
        <f>VLOOKUP(D3418,[1]SOI!$A$1:$C$142,3)</f>
        <v>8.6</v>
      </c>
      <c r="M3418" s="2">
        <f t="shared" si="428"/>
        <v>2696.8493696685023</v>
      </c>
      <c r="N3418">
        <f t="shared" si="429"/>
        <v>-2098.3070502952137</v>
      </c>
      <c r="O3418" t="s">
        <v>8</v>
      </c>
    </row>
    <row r="3419" spans="1:15" x14ac:dyDescent="0.35">
      <c r="A3419">
        <v>2009</v>
      </c>
      <c r="B3419">
        <v>5</v>
      </c>
      <c r="C3419">
        <v>10</v>
      </c>
      <c r="D3419" s="1">
        <f t="shared" si="424"/>
        <v>39943</v>
      </c>
      <c r="E3419">
        <v>0</v>
      </c>
      <c r="F3419">
        <f t="shared" si="430"/>
        <v>3.2</v>
      </c>
      <c r="G3419">
        <f t="shared" si="425"/>
        <v>0</v>
      </c>
      <c r="H3419">
        <f t="shared" si="431"/>
        <v>1</v>
      </c>
      <c r="I3419">
        <v>3418</v>
      </c>
      <c r="J3419">
        <f t="shared" si="426"/>
        <v>0.77856487039328925</v>
      </c>
      <c r="K3419">
        <f t="shared" si="427"/>
        <v>-0.62756413424404733</v>
      </c>
      <c r="L3419">
        <f>VLOOKUP(D3419,[1]SOI!$A$1:$C$142,3)</f>
        <v>8.6</v>
      </c>
      <c r="M3419" s="2">
        <f t="shared" si="428"/>
        <v>2661.1347270042625</v>
      </c>
      <c r="N3419">
        <f t="shared" si="429"/>
        <v>-2145.0142108461537</v>
      </c>
      <c r="O3419" t="s">
        <v>8</v>
      </c>
    </row>
    <row r="3420" spans="1:15" x14ac:dyDescent="0.35">
      <c r="A3420">
        <v>2009</v>
      </c>
      <c r="B3420">
        <v>5</v>
      </c>
      <c r="C3420">
        <v>11</v>
      </c>
      <c r="D3420" s="1">
        <f t="shared" si="424"/>
        <v>39944</v>
      </c>
      <c r="E3420">
        <v>0.2</v>
      </c>
      <c r="F3420">
        <f t="shared" si="430"/>
        <v>0</v>
      </c>
      <c r="G3420">
        <f t="shared" si="425"/>
        <v>1</v>
      </c>
      <c r="H3420">
        <f t="shared" si="431"/>
        <v>0</v>
      </c>
      <c r="I3420">
        <v>3419</v>
      </c>
      <c r="J3420">
        <f t="shared" si="426"/>
        <v>0.7676545836727674</v>
      </c>
      <c r="K3420">
        <f t="shared" si="427"/>
        <v>-0.64086382341819714</v>
      </c>
      <c r="L3420">
        <f>VLOOKUP(D3420,[1]SOI!$A$1:$C$142,3)</f>
        <v>8.6</v>
      </c>
      <c r="M3420" s="2">
        <f t="shared" si="428"/>
        <v>2624.6110215771919</v>
      </c>
      <c r="N3420">
        <f t="shared" si="429"/>
        <v>-2191.1134122668159</v>
      </c>
      <c r="O3420" t="s">
        <v>8</v>
      </c>
    </row>
    <row r="3421" spans="1:15" x14ac:dyDescent="0.35">
      <c r="A3421">
        <v>2009</v>
      </c>
      <c r="B3421">
        <v>5</v>
      </c>
      <c r="C3421">
        <v>12</v>
      </c>
      <c r="D3421" s="1">
        <f t="shared" si="424"/>
        <v>39945</v>
      </c>
      <c r="E3421">
        <v>0</v>
      </c>
      <c r="F3421">
        <f t="shared" si="430"/>
        <v>0.2</v>
      </c>
      <c r="G3421">
        <f t="shared" si="425"/>
        <v>0</v>
      </c>
      <c r="H3421">
        <f t="shared" si="431"/>
        <v>1</v>
      </c>
      <c r="I3421">
        <v>3420</v>
      </c>
      <c r="J3421">
        <f t="shared" si="426"/>
        <v>0.756517135610562</v>
      </c>
      <c r="K3421">
        <f t="shared" si="427"/>
        <v>-0.65397387067649004</v>
      </c>
      <c r="L3421">
        <f>VLOOKUP(D3421,[1]SOI!$A$1:$C$142,3)</f>
        <v>8.6</v>
      </c>
      <c r="M3421" s="2">
        <f t="shared" si="428"/>
        <v>2587.2886037881221</v>
      </c>
      <c r="N3421">
        <f t="shared" si="429"/>
        <v>-2236.5906377135962</v>
      </c>
      <c r="O3421" t="s">
        <v>8</v>
      </c>
    </row>
    <row r="3422" spans="1:15" x14ac:dyDescent="0.35">
      <c r="A3422">
        <v>2009</v>
      </c>
      <c r="B3422">
        <v>5</v>
      </c>
      <c r="C3422">
        <v>13</v>
      </c>
      <c r="D3422" s="1">
        <f t="shared" si="424"/>
        <v>39946</v>
      </c>
      <c r="E3422">
        <v>0.2</v>
      </c>
      <c r="F3422">
        <f t="shared" si="430"/>
        <v>0</v>
      </c>
      <c r="G3422">
        <f t="shared" si="425"/>
        <v>1</v>
      </c>
      <c r="H3422">
        <f t="shared" si="431"/>
        <v>0</v>
      </c>
      <c r="I3422">
        <v>3421</v>
      </c>
      <c r="J3422">
        <f t="shared" si="426"/>
        <v>0.74515582195673902</v>
      </c>
      <c r="K3422">
        <f t="shared" si="427"/>
        <v>-0.66689039654502191</v>
      </c>
      <c r="L3422">
        <f>VLOOKUP(D3422,[1]SOI!$A$1:$C$142,3)</f>
        <v>8.6</v>
      </c>
      <c r="M3422" s="2">
        <f t="shared" si="428"/>
        <v>2549.1780669140044</v>
      </c>
      <c r="N3422">
        <f t="shared" si="429"/>
        <v>-2281.4320465805199</v>
      </c>
      <c r="O3422" t="s">
        <v>8</v>
      </c>
    </row>
    <row r="3423" spans="1:15" x14ac:dyDescent="0.35">
      <c r="A3423">
        <v>2009</v>
      </c>
      <c r="B3423">
        <v>5</v>
      </c>
      <c r="C3423">
        <v>14</v>
      </c>
      <c r="D3423" s="1">
        <f t="shared" si="424"/>
        <v>39947</v>
      </c>
      <c r="E3423">
        <v>0</v>
      </c>
      <c r="F3423">
        <f t="shared" si="430"/>
        <v>0.2</v>
      </c>
      <c r="G3423">
        <f t="shared" si="425"/>
        <v>0</v>
      </c>
      <c r="H3423">
        <f t="shared" si="431"/>
        <v>1</v>
      </c>
      <c r="I3423">
        <v>3422</v>
      </c>
      <c r="J3423">
        <f t="shared" si="426"/>
        <v>0.73357400470679957</v>
      </c>
      <c r="K3423">
        <f t="shared" si="427"/>
        <v>-0.67960957881597606</v>
      </c>
      <c r="L3423">
        <f>VLOOKUP(D3423,[1]SOI!$A$1:$C$142,3)</f>
        <v>8.6</v>
      </c>
      <c r="M3423" s="2">
        <f t="shared" si="428"/>
        <v>2510.2902441066681</v>
      </c>
      <c r="N3423">
        <f t="shared" si="429"/>
        <v>-2325.62397870827</v>
      </c>
      <c r="O3423" t="s">
        <v>8</v>
      </c>
    </row>
    <row r="3424" spans="1:15" x14ac:dyDescent="0.35">
      <c r="A3424">
        <v>2009</v>
      </c>
      <c r="B3424">
        <v>5</v>
      </c>
      <c r="C3424">
        <v>15</v>
      </c>
      <c r="D3424" s="1">
        <f t="shared" si="424"/>
        <v>39948</v>
      </c>
      <c r="E3424">
        <v>0</v>
      </c>
      <c r="F3424">
        <f t="shared" si="430"/>
        <v>0</v>
      </c>
      <c r="G3424">
        <f t="shared" si="425"/>
        <v>0</v>
      </c>
      <c r="H3424">
        <f t="shared" si="431"/>
        <v>0</v>
      </c>
      <c r="I3424">
        <v>3423</v>
      </c>
      <c r="J3424">
        <f t="shared" si="426"/>
        <v>0.72177511110679171</v>
      </c>
      <c r="K3424">
        <f t="shared" si="427"/>
        <v>-0.69212765367869711</v>
      </c>
      <c r="L3424">
        <f>VLOOKUP(D3424,[1]SOI!$A$1:$C$142,3)</f>
        <v>8.6</v>
      </c>
      <c r="M3424" s="2">
        <f t="shared" si="428"/>
        <v>2470.636205318548</v>
      </c>
      <c r="N3424">
        <f t="shared" si="429"/>
        <v>-2369.1529585421804</v>
      </c>
      <c r="O3424" t="s">
        <v>8</v>
      </c>
    </row>
    <row r="3425" spans="1:15" x14ac:dyDescent="0.35">
      <c r="A3425">
        <v>2009</v>
      </c>
      <c r="B3425">
        <v>5</v>
      </c>
      <c r="C3425">
        <v>16</v>
      </c>
      <c r="D3425" s="1">
        <f t="shared" si="424"/>
        <v>39949</v>
      </c>
      <c r="E3425">
        <v>0.4</v>
      </c>
      <c r="F3425">
        <f t="shared" si="430"/>
        <v>0</v>
      </c>
      <c r="G3425">
        <f t="shared" si="425"/>
        <v>1</v>
      </c>
      <c r="H3425">
        <f t="shared" si="431"/>
        <v>0</v>
      </c>
      <c r="I3425">
        <v>3424</v>
      </c>
      <c r="J3425">
        <f t="shared" si="426"/>
        <v>0.70976263263916239</v>
      </c>
      <c r="K3425">
        <f t="shared" si="427"/>
        <v>-0.70444091683343146</v>
      </c>
      <c r="L3425">
        <f>VLOOKUP(D3425,[1]SOI!$A$1:$C$142,3)</f>
        <v>8.6</v>
      </c>
      <c r="M3425" s="2">
        <f t="shared" si="428"/>
        <v>2430.2272541564921</v>
      </c>
      <c r="N3425">
        <f t="shared" si="429"/>
        <v>-2412.0056992376694</v>
      </c>
      <c r="O3425" t="s">
        <v>8</v>
      </c>
    </row>
    <row r="3426" spans="1:15" x14ac:dyDescent="0.35">
      <c r="A3426">
        <v>2009</v>
      </c>
      <c r="B3426">
        <v>5</v>
      </c>
      <c r="C3426">
        <v>17</v>
      </c>
      <c r="D3426" s="1">
        <f t="shared" si="424"/>
        <v>39950</v>
      </c>
      <c r="E3426">
        <v>0</v>
      </c>
      <c r="F3426">
        <f t="shared" si="430"/>
        <v>0.4</v>
      </c>
      <c r="G3426">
        <f t="shared" si="425"/>
        <v>0</v>
      </c>
      <c r="H3426">
        <f t="shared" si="431"/>
        <v>1</v>
      </c>
      <c r="I3426">
        <v>3425</v>
      </c>
      <c r="J3426">
        <f t="shared" si="426"/>
        <v>0.69754012398955234</v>
      </c>
      <c r="K3426">
        <f t="shared" si="427"/>
        <v>-0.71654572458751009</v>
      </c>
      <c r="L3426">
        <f>VLOOKUP(D3426,[1]SOI!$A$1:$C$142,3)</f>
        <v>8.6</v>
      </c>
      <c r="M3426" s="2">
        <f t="shared" si="428"/>
        <v>2389.0749246642167</v>
      </c>
      <c r="N3426">
        <f t="shared" si="429"/>
        <v>-2454.1691067122219</v>
      </c>
      <c r="O3426" t="s">
        <v>8</v>
      </c>
    </row>
    <row r="3427" spans="1:15" x14ac:dyDescent="0.35">
      <c r="A3427">
        <v>2009</v>
      </c>
      <c r="B3427">
        <v>5</v>
      </c>
      <c r="C3427">
        <v>18</v>
      </c>
      <c r="D3427" s="1">
        <f t="shared" si="424"/>
        <v>39951</v>
      </c>
      <c r="E3427">
        <v>0</v>
      </c>
      <c r="F3427">
        <f t="shared" si="430"/>
        <v>0</v>
      </c>
      <c r="G3427">
        <f t="shared" si="425"/>
        <v>0</v>
      </c>
      <c r="H3427">
        <f t="shared" si="431"/>
        <v>0</v>
      </c>
      <c r="I3427">
        <v>3426</v>
      </c>
      <c r="J3427">
        <f t="shared" si="426"/>
        <v>0.68511120199491238</v>
      </c>
      <c r="K3427">
        <f t="shared" si="427"/>
        <v>-0.72843849493357116</v>
      </c>
      <c r="L3427">
        <f>VLOOKUP(D3427,[1]SOI!$A$1:$C$142,3)</f>
        <v>8.6</v>
      </c>
      <c r="M3427" s="2">
        <f t="shared" si="428"/>
        <v>2347.19097803457</v>
      </c>
      <c r="N3427">
        <f t="shared" si="429"/>
        <v>-2495.6302836424147</v>
      </c>
      <c r="O3427" t="s">
        <v>8</v>
      </c>
    </row>
    <row r="3428" spans="1:15" x14ac:dyDescent="0.35">
      <c r="A3428">
        <v>2009</v>
      </c>
      <c r="B3428">
        <v>5</v>
      </c>
      <c r="C3428">
        <v>19</v>
      </c>
      <c r="D3428" s="1">
        <f t="shared" si="424"/>
        <v>39952</v>
      </c>
      <c r="E3428">
        <v>0</v>
      </c>
      <c r="F3428">
        <f t="shared" si="430"/>
        <v>0</v>
      </c>
      <c r="G3428">
        <f t="shared" si="425"/>
        <v>0</v>
      </c>
      <c r="H3428">
        <f t="shared" si="431"/>
        <v>0</v>
      </c>
      <c r="I3428">
        <v>3427</v>
      </c>
      <c r="J3428">
        <f t="shared" si="426"/>
        <v>0.67247954457322268</v>
      </c>
      <c r="K3428">
        <f t="shared" si="427"/>
        <v>-0.74011570860953291</v>
      </c>
      <c r="L3428">
        <f>VLOOKUP(D3428,[1]SOI!$A$1:$C$142,3)</f>
        <v>8.6</v>
      </c>
      <c r="M3428" s="2">
        <f t="shared" si="428"/>
        <v>2304.5873992524339</v>
      </c>
      <c r="N3428">
        <f t="shared" si="429"/>
        <v>-2536.3765334048694</v>
      </c>
      <c r="O3428" t="s">
        <v>8</v>
      </c>
    </row>
    <row r="3429" spans="1:15" x14ac:dyDescent="0.35">
      <c r="A3429">
        <v>2009</v>
      </c>
      <c r="B3429">
        <v>5</v>
      </c>
      <c r="C3429">
        <v>20</v>
      </c>
      <c r="D3429" s="1">
        <f t="shared" si="424"/>
        <v>39953</v>
      </c>
      <c r="E3429">
        <v>0</v>
      </c>
      <c r="F3429">
        <f t="shared" si="430"/>
        <v>0</v>
      </c>
      <c r="G3429">
        <f t="shared" si="425"/>
        <v>0</v>
      </c>
      <c r="H3429">
        <f t="shared" si="431"/>
        <v>0</v>
      </c>
      <c r="I3429">
        <v>3428</v>
      </c>
      <c r="J3429">
        <f t="shared" si="426"/>
        <v>0.65964888963514356</v>
      </c>
      <c r="K3429">
        <f t="shared" si="427"/>
        <v>-0.75157391013999564</v>
      </c>
      <c r="L3429">
        <f>VLOOKUP(D3429,[1]SOI!$A$1:$C$142,3)</f>
        <v>8.6</v>
      </c>
      <c r="M3429" s="2">
        <f t="shared" si="428"/>
        <v>2261.2763936692722</v>
      </c>
      <c r="N3429">
        <f t="shared" si="429"/>
        <v>-2576.3953639599049</v>
      </c>
      <c r="O3429" t="s">
        <v>8</v>
      </c>
    </row>
    <row r="3430" spans="1:15" x14ac:dyDescent="0.35">
      <c r="A3430">
        <v>2009</v>
      </c>
      <c r="B3430">
        <v>5</v>
      </c>
      <c r="C3430">
        <v>21</v>
      </c>
      <c r="D3430" s="1">
        <f t="shared" si="424"/>
        <v>39954</v>
      </c>
      <c r="E3430">
        <v>0</v>
      </c>
      <c r="F3430">
        <f t="shared" si="430"/>
        <v>0</v>
      </c>
      <c r="G3430">
        <f t="shared" si="425"/>
        <v>0</v>
      </c>
      <c r="H3430">
        <f t="shared" si="431"/>
        <v>0</v>
      </c>
      <c r="I3430">
        <v>3429</v>
      </c>
      <c r="J3430">
        <f t="shared" si="426"/>
        <v>0.64662303397788601</v>
      </c>
      <c r="K3430">
        <f t="shared" si="427"/>
        <v>-0.76280970885879107</v>
      </c>
      <c r="L3430">
        <f>VLOOKUP(D3430,[1]SOI!$A$1:$C$142,3)</f>
        <v>8.6</v>
      </c>
      <c r="M3430" s="2">
        <f t="shared" si="428"/>
        <v>2217.2703835101711</v>
      </c>
      <c r="N3430">
        <f t="shared" si="429"/>
        <v>-2615.6744916767948</v>
      </c>
      <c r="O3430" t="s">
        <v>8</v>
      </c>
    </row>
    <row r="3431" spans="1:15" x14ac:dyDescent="0.35">
      <c r="A3431">
        <v>2009</v>
      </c>
      <c r="B3431">
        <v>5</v>
      </c>
      <c r="C3431">
        <v>22</v>
      </c>
      <c r="D3431" s="1">
        <f t="shared" si="424"/>
        <v>39955</v>
      </c>
      <c r="E3431">
        <v>0</v>
      </c>
      <c r="F3431">
        <f t="shared" si="430"/>
        <v>0</v>
      </c>
      <c r="G3431">
        <f t="shared" si="425"/>
        <v>0</v>
      </c>
      <c r="H3431">
        <f t="shared" si="431"/>
        <v>0</v>
      </c>
      <c r="I3431">
        <v>3430</v>
      </c>
      <c r="J3431">
        <f t="shared" si="426"/>
        <v>0.63340583216171009</v>
      </c>
      <c r="K3431">
        <f t="shared" si="427"/>
        <v>-0.7738197799123071</v>
      </c>
      <c r="L3431">
        <f>VLOOKUP(D3431,[1]SOI!$A$1:$C$142,3)</f>
        <v>8.6</v>
      </c>
      <c r="M3431" s="2">
        <f t="shared" si="428"/>
        <v>2172.5820043146655</v>
      </c>
      <c r="N3431">
        <f t="shared" si="429"/>
        <v>-2654.2018450992132</v>
      </c>
      <c r="O3431" t="s">
        <v>8</v>
      </c>
    </row>
    <row r="3432" spans="1:15" x14ac:dyDescent="0.35">
      <c r="A3432">
        <v>2009</v>
      </c>
      <c r="B3432">
        <v>5</v>
      </c>
      <c r="C3432">
        <v>23</v>
      </c>
      <c r="D3432" s="1">
        <f t="shared" si="424"/>
        <v>39956</v>
      </c>
      <c r="E3432">
        <v>0</v>
      </c>
      <c r="F3432">
        <f t="shared" si="430"/>
        <v>0</v>
      </c>
      <c r="G3432">
        <f t="shared" si="425"/>
        <v>0</v>
      </c>
      <c r="H3432">
        <f t="shared" si="431"/>
        <v>0</v>
      </c>
      <c r="I3432">
        <v>3431</v>
      </c>
      <c r="J3432">
        <f t="shared" si="426"/>
        <v>0.62000119536927767</v>
      </c>
      <c r="K3432">
        <f t="shared" si="427"/>
        <v>-0.78460086524338402</v>
      </c>
      <c r="L3432">
        <f>VLOOKUP(D3432,[1]SOI!$A$1:$C$142,3)</f>
        <v>8.6</v>
      </c>
      <c r="M3432" s="2">
        <f t="shared" si="428"/>
        <v>2127.2241013119915</v>
      </c>
      <c r="N3432">
        <f t="shared" si="429"/>
        <v>-2691.9655686500505</v>
      </c>
      <c r="O3432" t="s">
        <v>8</v>
      </c>
    </row>
    <row r="3433" spans="1:15" x14ac:dyDescent="0.35">
      <c r="A3433">
        <v>2009</v>
      </c>
      <c r="B3433">
        <v>5</v>
      </c>
      <c r="C3433">
        <v>24</v>
      </c>
      <c r="D3433" s="1">
        <f t="shared" si="424"/>
        <v>39957</v>
      </c>
      <c r="E3433">
        <v>0</v>
      </c>
      <c r="F3433">
        <f t="shared" si="430"/>
        <v>0</v>
      </c>
      <c r="G3433">
        <f t="shared" si="425"/>
        <v>0</v>
      </c>
      <c r="H3433">
        <f t="shared" si="431"/>
        <v>0</v>
      </c>
      <c r="I3433">
        <v>3432</v>
      </c>
      <c r="J3433">
        <f t="shared" si="426"/>
        <v>0.60641309024827528</v>
      </c>
      <c r="K3433">
        <f t="shared" si="427"/>
        <v>-0.79514977455542124</v>
      </c>
      <c r="L3433">
        <f>VLOOKUP(D3433,[1]SOI!$A$1:$C$142,3)</f>
        <v>8.6</v>
      </c>
      <c r="M3433" s="2">
        <f t="shared" si="428"/>
        <v>2081.2097257320806</v>
      </c>
      <c r="N3433">
        <f t="shared" si="429"/>
        <v>-2728.9540262742057</v>
      </c>
      <c r="O3433" t="s">
        <v>8</v>
      </c>
    </row>
    <row r="3434" spans="1:15" x14ac:dyDescent="0.35">
      <c r="A3434">
        <v>2009</v>
      </c>
      <c r="B3434">
        <v>5</v>
      </c>
      <c r="C3434">
        <v>25</v>
      </c>
      <c r="D3434" s="1">
        <f t="shared" si="424"/>
        <v>39958</v>
      </c>
      <c r="E3434">
        <v>0</v>
      </c>
      <c r="F3434">
        <f t="shared" si="430"/>
        <v>0</v>
      </c>
      <c r="G3434">
        <f t="shared" si="425"/>
        <v>0</v>
      </c>
      <c r="H3434">
        <f t="shared" si="431"/>
        <v>0</v>
      </c>
      <c r="I3434">
        <v>3433</v>
      </c>
      <c r="J3434">
        <f t="shared" si="426"/>
        <v>0.59264553773762563</v>
      </c>
      <c r="K3434">
        <f t="shared" si="427"/>
        <v>-0.80546338625643343</v>
      </c>
      <c r="L3434">
        <f>VLOOKUP(D3434,[1]SOI!$A$1:$C$142,3)</f>
        <v>8.6</v>
      </c>
      <c r="M3434" s="2">
        <f t="shared" si="428"/>
        <v>2034.5521310532688</v>
      </c>
      <c r="N3434">
        <f t="shared" si="429"/>
        <v>-2765.1558050183362</v>
      </c>
      <c r="O3434" t="s">
        <v>8</v>
      </c>
    </row>
    <row r="3435" spans="1:15" x14ac:dyDescent="0.35">
      <c r="A3435">
        <v>2009</v>
      </c>
      <c r="B3435">
        <v>5</v>
      </c>
      <c r="C3435">
        <v>26</v>
      </c>
      <c r="D3435" s="1">
        <f t="shared" si="424"/>
        <v>39959</v>
      </c>
      <c r="E3435">
        <v>4</v>
      </c>
      <c r="F3435">
        <f t="shared" si="430"/>
        <v>0</v>
      </c>
      <c r="G3435">
        <f t="shared" si="425"/>
        <v>1</v>
      </c>
      <c r="H3435">
        <f t="shared" si="431"/>
        <v>0</v>
      </c>
      <c r="I3435">
        <v>3434</v>
      </c>
      <c r="J3435">
        <f t="shared" si="426"/>
        <v>0.57870261187760397</v>
      </c>
      <c r="K3435">
        <f t="shared" si="427"/>
        <v>-0.81553864838279688</v>
      </c>
      <c r="L3435">
        <f>VLOOKUP(D3435,[1]SOI!$A$1:$C$142,3)</f>
        <v>8.6</v>
      </c>
      <c r="M3435" s="2">
        <f t="shared" si="428"/>
        <v>1987.2647691876921</v>
      </c>
      <c r="N3435">
        <f t="shared" si="429"/>
        <v>-2800.5597185465244</v>
      </c>
      <c r="O3435" t="s">
        <v>8</v>
      </c>
    </row>
    <row r="3436" spans="1:15" x14ac:dyDescent="0.35">
      <c r="A3436">
        <v>2009</v>
      </c>
      <c r="B3436">
        <v>5</v>
      </c>
      <c r="C3436">
        <v>27</v>
      </c>
      <c r="D3436" s="1">
        <f t="shared" si="424"/>
        <v>39960</v>
      </c>
      <c r="E3436">
        <v>0</v>
      </c>
      <c r="F3436">
        <f t="shared" si="430"/>
        <v>4</v>
      </c>
      <c r="G3436">
        <f t="shared" si="425"/>
        <v>0</v>
      </c>
      <c r="H3436">
        <f t="shared" si="431"/>
        <v>1</v>
      </c>
      <c r="I3436">
        <v>3435</v>
      </c>
      <c r="J3436">
        <f t="shared" si="426"/>
        <v>0.56458843860429797</v>
      </c>
      <c r="K3436">
        <f t="shared" si="427"/>
        <v>-0.82537257950234866</v>
      </c>
      <c r="L3436">
        <f>VLOOKUP(D3436,[1]SOI!$A$1:$C$142,3)</f>
        <v>8.6</v>
      </c>
      <c r="M3436" s="2">
        <f t="shared" si="428"/>
        <v>1939.3612866057636</v>
      </c>
      <c r="N3436">
        <f t="shared" si="429"/>
        <v>-2835.1548105905676</v>
      </c>
      <c r="O3436" t="s">
        <v>8</v>
      </c>
    </row>
    <row r="3437" spans="1:15" x14ac:dyDescent="0.35">
      <c r="A3437">
        <v>2009</v>
      </c>
      <c r="B3437">
        <v>5</v>
      </c>
      <c r="C3437">
        <v>28</v>
      </c>
      <c r="D3437" s="1">
        <f t="shared" si="424"/>
        <v>39961</v>
      </c>
      <c r="E3437">
        <v>0.6</v>
      </c>
      <c r="F3437">
        <f t="shared" si="430"/>
        <v>0</v>
      </c>
      <c r="G3437">
        <f t="shared" si="425"/>
        <v>1</v>
      </c>
      <c r="H3437">
        <f t="shared" si="431"/>
        <v>0</v>
      </c>
      <c r="I3437">
        <v>3436</v>
      </c>
      <c r="J3437">
        <f t="shared" si="426"/>
        <v>0.5503071945286544</v>
      </c>
      <c r="K3437">
        <f t="shared" si="427"/>
        <v>-0.83496226959665776</v>
      </c>
      <c r="L3437">
        <f>VLOOKUP(D3437,[1]SOI!$A$1:$C$142,3)</f>
        <v>8.6</v>
      </c>
      <c r="M3437" s="2">
        <f t="shared" si="428"/>
        <v>1890.8555204004565</v>
      </c>
      <c r="N3437">
        <f t="shared" si="429"/>
        <v>-2868.9303583341161</v>
      </c>
      <c r="O3437" t="s">
        <v>8</v>
      </c>
    </row>
    <row r="3438" spans="1:15" x14ac:dyDescent="0.35">
      <c r="A3438">
        <v>2009</v>
      </c>
      <c r="B3438">
        <v>5</v>
      </c>
      <c r="C3438">
        <v>29</v>
      </c>
      <c r="D3438" s="1">
        <f t="shared" si="424"/>
        <v>39962</v>
      </c>
      <c r="E3438">
        <v>1.8</v>
      </c>
      <c r="F3438">
        <f t="shared" si="430"/>
        <v>0.6</v>
      </c>
      <c r="G3438">
        <f t="shared" si="425"/>
        <v>1</v>
      </c>
      <c r="H3438">
        <f t="shared" si="431"/>
        <v>1</v>
      </c>
      <c r="I3438">
        <v>3437</v>
      </c>
      <c r="J3438">
        <f t="shared" si="426"/>
        <v>0.53586310570055828</v>
      </c>
      <c r="K3438">
        <f t="shared" si="427"/>
        <v>-0.84430488092214195</v>
      </c>
      <c r="L3438">
        <f>VLOOKUP(D3438,[1]SOI!$A$1:$C$142,3)</f>
        <v>8.6</v>
      </c>
      <c r="M3438" s="2">
        <f t="shared" si="428"/>
        <v>1841.7614942928187</v>
      </c>
      <c r="N3438">
        <f t="shared" si="429"/>
        <v>-2901.8758757294017</v>
      </c>
      <c r="O3438" t="s">
        <v>8</v>
      </c>
    </row>
    <row r="3439" spans="1:15" x14ac:dyDescent="0.35">
      <c r="A3439">
        <v>2009</v>
      </c>
      <c r="B3439">
        <v>5</v>
      </c>
      <c r="C3439">
        <v>30</v>
      </c>
      <c r="D3439" s="1">
        <f t="shared" si="424"/>
        <v>39963</v>
      </c>
      <c r="E3439">
        <v>0</v>
      </c>
      <c r="F3439">
        <f t="shared" si="430"/>
        <v>1.8</v>
      </c>
      <c r="G3439">
        <f t="shared" si="425"/>
        <v>0</v>
      </c>
      <c r="H3439">
        <f t="shared" si="431"/>
        <v>1</v>
      </c>
      <c r="I3439">
        <v>3438</v>
      </c>
      <c r="J3439">
        <f t="shared" si="426"/>
        <v>0.52126044635827706</v>
      </c>
      <c r="K3439">
        <f t="shared" si="427"/>
        <v>-0.85339764884980196</v>
      </c>
      <c r="L3439">
        <f>VLOOKUP(D3439,[1]SOI!$A$1:$C$142,3)</f>
        <v>8.6</v>
      </c>
      <c r="M3439" s="2">
        <f t="shared" si="428"/>
        <v>1792.0934145797567</v>
      </c>
      <c r="N3439">
        <f t="shared" si="429"/>
        <v>-2933.9811167456191</v>
      </c>
      <c r="O3439" t="s">
        <v>8</v>
      </c>
    </row>
    <row r="3440" spans="1:15" x14ac:dyDescent="0.35">
      <c r="A3440">
        <v>2009</v>
      </c>
      <c r="B3440">
        <v>5</v>
      </c>
      <c r="C3440">
        <v>31</v>
      </c>
      <c r="D3440" s="1">
        <f t="shared" si="424"/>
        <v>39964</v>
      </c>
      <c r="E3440">
        <v>0</v>
      </c>
      <c r="F3440">
        <f t="shared" si="430"/>
        <v>0</v>
      </c>
      <c r="G3440">
        <f t="shared" si="425"/>
        <v>0</v>
      </c>
      <c r="H3440">
        <f t="shared" si="431"/>
        <v>0</v>
      </c>
      <c r="I3440">
        <v>3439</v>
      </c>
      <c r="J3440">
        <f t="shared" si="426"/>
        <v>0.50650353766365031</v>
      </c>
      <c r="K3440">
        <f t="shared" si="427"/>
        <v>-0.86223788268331569</v>
      </c>
      <c r="L3440">
        <f>VLOOKUP(D3440,[1]SOI!$A$1:$C$142,3)</f>
        <v>8.6</v>
      </c>
      <c r="M3440" s="2">
        <f t="shared" si="428"/>
        <v>1741.8656660252934</v>
      </c>
      <c r="N3440">
        <f t="shared" si="429"/>
        <v>-2965.2360785479227</v>
      </c>
      <c r="O3440" t="s">
        <v>8</v>
      </c>
    </row>
    <row r="3441" spans="1:15" x14ac:dyDescent="0.35">
      <c r="A3441">
        <v>2009</v>
      </c>
      <c r="B3441">
        <v>6</v>
      </c>
      <c r="C3441">
        <v>1</v>
      </c>
      <c r="D3441" s="1">
        <f t="shared" si="424"/>
        <v>39965</v>
      </c>
      <c r="E3441">
        <v>0</v>
      </c>
      <c r="F3441">
        <f t="shared" si="430"/>
        <v>0</v>
      </c>
      <c r="G3441">
        <f t="shared" si="425"/>
        <v>0</v>
      </c>
      <c r="H3441">
        <f t="shared" si="431"/>
        <v>0</v>
      </c>
      <c r="I3441">
        <v>3440</v>
      </c>
      <c r="J3441">
        <f t="shared" si="426"/>
        <v>0.49159674642336448</v>
      </c>
      <c r="K3441">
        <f t="shared" si="427"/>
        <v>-0.87082296645527346</v>
      </c>
      <c r="L3441">
        <f>VLOOKUP(D3441,[1]SOI!$A$1:$C$142,3)</f>
        <v>-5.0999999999999996</v>
      </c>
      <c r="M3441" s="2">
        <f t="shared" si="428"/>
        <v>1691.0928076963737</v>
      </c>
      <c r="N3441">
        <f t="shared" si="429"/>
        <v>-2995.6310046061408</v>
      </c>
      <c r="O3441" t="s">
        <v>8</v>
      </c>
    </row>
    <row r="3442" spans="1:15" x14ac:dyDescent="0.35">
      <c r="A3442">
        <v>2009</v>
      </c>
      <c r="B3442">
        <v>6</v>
      </c>
      <c r="C3442">
        <v>2</v>
      </c>
      <c r="D3442" s="1">
        <f t="shared" si="424"/>
        <v>39966</v>
      </c>
      <c r="E3442">
        <v>0.2</v>
      </c>
      <c r="F3442">
        <f t="shared" si="430"/>
        <v>0</v>
      </c>
      <c r="G3442">
        <f t="shared" si="425"/>
        <v>1</v>
      </c>
      <c r="H3442">
        <f t="shared" si="431"/>
        <v>0</v>
      </c>
      <c r="I3442">
        <v>3441</v>
      </c>
      <c r="J3442">
        <f t="shared" si="426"/>
        <v>0.47654448379678083</v>
      </c>
      <c r="K3442">
        <f t="shared" si="427"/>
        <v>-0.87915035970126276</v>
      </c>
      <c r="L3442">
        <f>VLOOKUP(D3442,[1]SOI!$A$1:$C$142,3)</f>
        <v>-5.0999999999999996</v>
      </c>
      <c r="M3442" s="2">
        <f t="shared" si="428"/>
        <v>1639.7895687447228</v>
      </c>
      <c r="N3442">
        <f t="shared" si="429"/>
        <v>-3025.156387732045</v>
      </c>
      <c r="O3442" t="s">
        <v>8</v>
      </c>
    </row>
    <row r="3443" spans="1:15" x14ac:dyDescent="0.35">
      <c r="A3443">
        <v>2009</v>
      </c>
      <c r="B3443">
        <v>6</v>
      </c>
      <c r="C3443">
        <v>3</v>
      </c>
      <c r="D3443" s="1">
        <f t="shared" si="424"/>
        <v>39967</v>
      </c>
      <c r="E3443">
        <v>1.8</v>
      </c>
      <c r="F3443">
        <f t="shared" si="430"/>
        <v>0.2</v>
      </c>
      <c r="G3443">
        <f t="shared" si="425"/>
        <v>1</v>
      </c>
      <c r="H3443">
        <f t="shared" si="431"/>
        <v>1</v>
      </c>
      <c r="I3443">
        <v>3442</v>
      </c>
      <c r="J3443">
        <f t="shared" si="426"/>
        <v>0.46135120399057816</v>
      </c>
      <c r="K3443">
        <f t="shared" si="427"/>
        <v>-0.88721759821164725</v>
      </c>
      <c r="L3443">
        <f>VLOOKUP(D3443,[1]SOI!$A$1:$C$142,3)</f>
        <v>-5.0999999999999996</v>
      </c>
      <c r="M3443" s="2">
        <f t="shared" si="428"/>
        <v>1587.9708441355701</v>
      </c>
      <c r="N3443">
        <f t="shared" si="429"/>
        <v>-3053.80297304449</v>
      </c>
      <c r="O3443" t="s">
        <v>8</v>
      </c>
    </row>
    <row r="3444" spans="1:15" x14ac:dyDescent="0.35">
      <c r="A3444">
        <v>2009</v>
      </c>
      <c r="B3444">
        <v>6</v>
      </c>
      <c r="C3444">
        <v>4</v>
      </c>
      <c r="D3444" s="1">
        <f t="shared" si="424"/>
        <v>39968</v>
      </c>
      <c r="E3444">
        <v>1.8</v>
      </c>
      <c r="F3444">
        <f t="shared" si="430"/>
        <v>1.8</v>
      </c>
      <c r="G3444">
        <f t="shared" si="425"/>
        <v>1</v>
      </c>
      <c r="H3444">
        <f t="shared" si="431"/>
        <v>1</v>
      </c>
      <c r="I3444">
        <v>3443</v>
      </c>
      <c r="J3444">
        <f t="shared" si="426"/>
        <v>0.44602140294068759</v>
      </c>
      <c r="K3444">
        <f t="shared" si="427"/>
        <v>-0.89502229476076223</v>
      </c>
      <c r="L3444">
        <f>VLOOKUP(D3444,[1]SOI!$A$1:$C$142,3)</f>
        <v>-5.0999999999999996</v>
      </c>
      <c r="M3444" s="2">
        <f t="shared" si="428"/>
        <v>1535.6516903247873</v>
      </c>
      <c r="N3444">
        <f t="shared" si="429"/>
        <v>-3081.5617608613043</v>
      </c>
      <c r="O3444" t="s">
        <v>8</v>
      </c>
    </row>
    <row r="3445" spans="1:15" x14ac:dyDescent="0.35">
      <c r="A3445">
        <v>2009</v>
      </c>
      <c r="B3445">
        <v>6</v>
      </c>
      <c r="C3445">
        <v>5</v>
      </c>
      <c r="D3445" s="1">
        <f t="shared" si="424"/>
        <v>39969</v>
      </c>
      <c r="E3445">
        <v>0</v>
      </c>
      <c r="F3445">
        <f t="shared" si="430"/>
        <v>1.8</v>
      </c>
      <c r="G3445">
        <f t="shared" si="425"/>
        <v>0</v>
      </c>
      <c r="H3445">
        <f t="shared" si="431"/>
        <v>1</v>
      </c>
      <c r="I3445">
        <v>3444</v>
      </c>
      <c r="J3445">
        <f t="shared" si="426"/>
        <v>0.43055961698187883</v>
      </c>
      <c r="K3445">
        <f t="shared" si="427"/>
        <v>-0.90256213981333044</v>
      </c>
      <c r="L3445">
        <f>VLOOKUP(D3445,[1]SOI!$A$1:$C$142,3)</f>
        <v>-5.0999999999999996</v>
      </c>
      <c r="M3445" s="2">
        <f t="shared" si="428"/>
        <v>1482.8473208855908</v>
      </c>
      <c r="N3445">
        <f t="shared" si="429"/>
        <v>-3108.4240095171099</v>
      </c>
      <c r="O3445" t="s">
        <v>8</v>
      </c>
    </row>
    <row r="3446" spans="1:15" x14ac:dyDescent="0.35">
      <c r="A3446">
        <v>2009</v>
      </c>
      <c r="B3446">
        <v>6</v>
      </c>
      <c r="C3446">
        <v>6</v>
      </c>
      <c r="D3446" s="1">
        <f t="shared" si="424"/>
        <v>39970</v>
      </c>
      <c r="E3446">
        <v>0</v>
      </c>
      <c r="F3446">
        <f t="shared" si="430"/>
        <v>0</v>
      </c>
      <c r="G3446">
        <f t="shared" si="425"/>
        <v>0</v>
      </c>
      <c r="H3446">
        <f t="shared" si="431"/>
        <v>0</v>
      </c>
      <c r="I3446">
        <v>3445</v>
      </c>
      <c r="J3446">
        <f t="shared" si="426"/>
        <v>0.41497042150536068</v>
      </c>
      <c r="K3446">
        <f t="shared" si="427"/>
        <v>-0.90983490220790242</v>
      </c>
      <c r="L3446">
        <f>VLOOKUP(D3446,[1]SOI!$A$1:$C$142,3)</f>
        <v>-5.0999999999999996</v>
      </c>
      <c r="M3446" s="2">
        <f t="shared" si="428"/>
        <v>1429.5731020859675</v>
      </c>
      <c r="N3446">
        <f t="shared" si="429"/>
        <v>-3134.3812381062239</v>
      </c>
      <c r="O3446" t="s">
        <v>8</v>
      </c>
    </row>
    <row r="3447" spans="1:15" x14ac:dyDescent="0.35">
      <c r="A3447">
        <v>2009</v>
      </c>
      <c r="B3447">
        <v>6</v>
      </c>
      <c r="C3447">
        <v>7</v>
      </c>
      <c r="D3447" s="1">
        <f t="shared" si="424"/>
        <v>39971</v>
      </c>
      <c r="E3447">
        <v>0.6</v>
      </c>
      <c r="F3447">
        <f t="shared" si="430"/>
        <v>0</v>
      </c>
      <c r="G3447">
        <f t="shared" si="425"/>
        <v>1</v>
      </c>
      <c r="H3447">
        <f t="shared" si="431"/>
        <v>0</v>
      </c>
      <c r="I3447">
        <v>3446</v>
      </c>
      <c r="J3447">
        <f t="shared" si="426"/>
        <v>0.39925842960488694</v>
      </c>
      <c r="K3447">
        <f t="shared" si="427"/>
        <v>-0.91683842981707497</v>
      </c>
      <c r="L3447">
        <f>VLOOKUP(D3447,[1]SOI!$A$1:$C$142,3)</f>
        <v>-5.0999999999999996</v>
      </c>
      <c r="M3447" s="2">
        <f t="shared" si="428"/>
        <v>1375.8445484184404</v>
      </c>
      <c r="N3447">
        <f t="shared" si="429"/>
        <v>-3159.4252291496405</v>
      </c>
      <c r="O3447" t="s">
        <v>8</v>
      </c>
    </row>
    <row r="3448" spans="1:15" x14ac:dyDescent="0.35">
      <c r="A3448">
        <v>2009</v>
      </c>
      <c r="B3448">
        <v>6</v>
      </c>
      <c r="C3448">
        <v>8</v>
      </c>
      <c r="D3448" s="1">
        <f t="shared" si="424"/>
        <v>39972</v>
      </c>
      <c r="E3448">
        <v>1.6</v>
      </c>
      <c r="F3448">
        <f t="shared" si="430"/>
        <v>0.6</v>
      </c>
      <c r="G3448">
        <f t="shared" si="425"/>
        <v>1</v>
      </c>
      <c r="H3448">
        <f t="shared" si="431"/>
        <v>1</v>
      </c>
      <c r="I3448">
        <v>3447</v>
      </c>
      <c r="J3448">
        <f t="shared" si="426"/>
        <v>0.38342829071164264</v>
      </c>
      <c r="K3448">
        <f t="shared" si="427"/>
        <v>-0.9235706501843528</v>
      </c>
      <c r="L3448">
        <f>VLOOKUP(D3448,[1]SOI!$A$1:$C$142,3)</f>
        <v>-5.0999999999999996</v>
      </c>
      <c r="M3448" s="2">
        <f t="shared" si="428"/>
        <v>1321.6773180830321</v>
      </c>
      <c r="N3448">
        <f t="shared" si="429"/>
        <v>-3183.548031185464</v>
      </c>
      <c r="O3448" t="s">
        <v>8</v>
      </c>
    </row>
    <row r="3449" spans="1:15" x14ac:dyDescent="0.35">
      <c r="A3449">
        <v>2009</v>
      </c>
      <c r="B3449">
        <v>6</v>
      </c>
      <c r="C3449">
        <v>9</v>
      </c>
      <c r="D3449" s="1">
        <f t="shared" si="424"/>
        <v>39973</v>
      </c>
      <c r="E3449">
        <v>3.2</v>
      </c>
      <c r="F3449">
        <f t="shared" si="430"/>
        <v>1.6</v>
      </c>
      <c r="G3449">
        <f t="shared" si="425"/>
        <v>1</v>
      </c>
      <c r="H3449">
        <f t="shared" si="431"/>
        <v>1</v>
      </c>
      <c r="I3449">
        <v>3448</v>
      </c>
      <c r="J3449">
        <f t="shared" si="426"/>
        <v>0.36748468921840871</v>
      </c>
      <c r="K3449">
        <f t="shared" si="427"/>
        <v>-0.93002957113741791</v>
      </c>
      <c r="L3449">
        <f>VLOOKUP(D3449,[1]SOI!$A$1:$C$142,3)</f>
        <v>-5.0999999999999996</v>
      </c>
      <c r="M3449" s="2">
        <f t="shared" si="428"/>
        <v>1267.0872084250732</v>
      </c>
      <c r="N3449">
        <f t="shared" si="429"/>
        <v>-3206.7419612818171</v>
      </c>
      <c r="O3449" t="s">
        <v>8</v>
      </c>
    </row>
    <row r="3450" spans="1:15" x14ac:dyDescent="0.35">
      <c r="A3450">
        <v>2009</v>
      </c>
      <c r="B3450">
        <v>6</v>
      </c>
      <c r="C3450">
        <v>10</v>
      </c>
      <c r="D3450" s="1">
        <f t="shared" si="424"/>
        <v>39974</v>
      </c>
      <c r="E3450">
        <v>7</v>
      </c>
      <c r="F3450">
        <f t="shared" si="430"/>
        <v>3.2</v>
      </c>
      <c r="G3450">
        <f t="shared" si="425"/>
        <v>1</v>
      </c>
      <c r="H3450">
        <f t="shared" si="431"/>
        <v>1</v>
      </c>
      <c r="I3450">
        <v>3449</v>
      </c>
      <c r="J3450">
        <f t="shared" si="426"/>
        <v>0.3514323430933749</v>
      </c>
      <c r="K3450">
        <f t="shared" si="427"/>
        <v>-0.93621328137764659</v>
      </c>
      <c r="L3450">
        <f>VLOOKUP(D3450,[1]SOI!$A$1:$C$142,3)</f>
        <v>-5.0999999999999996</v>
      </c>
      <c r="M3450" s="2">
        <f t="shared" si="428"/>
        <v>1212.0901513290501</v>
      </c>
      <c r="N3450">
        <f t="shared" si="429"/>
        <v>-3228.9996074715032</v>
      </c>
      <c r="O3450" t="s">
        <v>8</v>
      </c>
    </row>
    <row r="3451" spans="1:15" x14ac:dyDescent="0.35">
      <c r="A3451">
        <v>2009</v>
      </c>
      <c r="B3451">
        <v>6</v>
      </c>
      <c r="C3451">
        <v>11</v>
      </c>
      <c r="D3451" s="1">
        <f t="shared" si="424"/>
        <v>39975</v>
      </c>
      <c r="E3451">
        <v>6.6</v>
      </c>
      <c r="F3451">
        <f t="shared" si="430"/>
        <v>7</v>
      </c>
      <c r="G3451">
        <f t="shared" si="425"/>
        <v>1</v>
      </c>
      <c r="H3451">
        <f t="shared" si="431"/>
        <v>1</v>
      </c>
      <c r="I3451">
        <v>3450</v>
      </c>
      <c r="J3451">
        <f t="shared" si="426"/>
        <v>0.33527600248402378</v>
      </c>
      <c r="K3451">
        <f t="shared" si="427"/>
        <v>-0.9421199510456898</v>
      </c>
      <c r="L3451">
        <f>VLOOKUP(D3451,[1]SOI!$A$1:$C$142,3)</f>
        <v>-5.0999999999999996</v>
      </c>
      <c r="M3451" s="2">
        <f t="shared" si="428"/>
        <v>1156.702208569882</v>
      </c>
      <c r="N3451">
        <f t="shared" si="429"/>
        <v>-3250.31383110763</v>
      </c>
      <c r="O3451" t="s">
        <v>8</v>
      </c>
    </row>
    <row r="3452" spans="1:15" x14ac:dyDescent="0.35">
      <c r="A3452">
        <v>2009</v>
      </c>
      <c r="B3452">
        <v>6</v>
      </c>
      <c r="C3452">
        <v>12</v>
      </c>
      <c r="D3452" s="1">
        <f t="shared" si="424"/>
        <v>39976</v>
      </c>
      <c r="E3452">
        <v>0</v>
      </c>
      <c r="F3452">
        <f t="shared" si="430"/>
        <v>6.6</v>
      </c>
      <c r="G3452">
        <f t="shared" si="425"/>
        <v>0</v>
      </c>
      <c r="H3452">
        <f t="shared" si="431"/>
        <v>1</v>
      </c>
      <c r="I3452">
        <v>3451</v>
      </c>
      <c r="J3452">
        <f t="shared" si="426"/>
        <v>0.3190204483114587</v>
      </c>
      <c r="K3452">
        <f t="shared" si="427"/>
        <v>-0.94774783226296855</v>
      </c>
      <c r="L3452">
        <f>VLOOKUP(D3452,[1]SOI!$A$1:$C$142,3)</f>
        <v>-5.0999999999999996</v>
      </c>
      <c r="M3452" s="2">
        <f t="shared" si="428"/>
        <v>1100.939567122844</v>
      </c>
      <c r="N3452">
        <f t="shared" si="429"/>
        <v>-3270.6777691395046</v>
      </c>
      <c r="O3452" t="s">
        <v>8</v>
      </c>
    </row>
    <row r="3453" spans="1:15" x14ac:dyDescent="0.35">
      <c r="A3453">
        <v>2009</v>
      </c>
      <c r="B3453">
        <v>6</v>
      </c>
      <c r="C3453">
        <v>13</v>
      </c>
      <c r="D3453" s="1">
        <f t="shared" si="424"/>
        <v>39977</v>
      </c>
      <c r="E3453">
        <v>0</v>
      </c>
      <c r="F3453">
        <f t="shared" si="430"/>
        <v>0</v>
      </c>
      <c r="G3453">
        <f t="shared" si="425"/>
        <v>0</v>
      </c>
      <c r="H3453">
        <f t="shared" si="431"/>
        <v>0</v>
      </c>
      <c r="I3453">
        <v>3452</v>
      </c>
      <c r="J3453">
        <f t="shared" si="426"/>
        <v>0.30267049085569286</v>
      </c>
      <c r="K3453">
        <f t="shared" si="427"/>
        <v>-0.9530952596488842</v>
      </c>
      <c r="L3453">
        <f>VLOOKUP(D3453,[1]SOI!$A$1:$C$142,3)</f>
        <v>-5.0999999999999996</v>
      </c>
      <c r="M3453" s="2">
        <f t="shared" si="428"/>
        <v>1044.8185344338517</v>
      </c>
      <c r="N3453">
        <f t="shared" si="429"/>
        <v>-3290.0848363079481</v>
      </c>
      <c r="O3453" t="s">
        <v>8</v>
      </c>
    </row>
    <row r="3454" spans="1:15" x14ac:dyDescent="0.35">
      <c r="A3454">
        <v>2009</v>
      </c>
      <c r="B3454">
        <v>6</v>
      </c>
      <c r="C3454">
        <v>14</v>
      </c>
      <c r="D3454" s="1">
        <f t="shared" si="424"/>
        <v>39978</v>
      </c>
      <c r="E3454">
        <v>0.2</v>
      </c>
      <c r="F3454">
        <f t="shared" si="430"/>
        <v>0</v>
      </c>
      <c r="G3454">
        <f t="shared" si="425"/>
        <v>1</v>
      </c>
      <c r="H3454">
        <f t="shared" si="431"/>
        <v>0</v>
      </c>
      <c r="I3454">
        <v>3453</v>
      </c>
      <c r="J3454">
        <f t="shared" si="426"/>
        <v>0.28623096833218281</v>
      </c>
      <c r="K3454">
        <f t="shared" si="427"/>
        <v>-0.95816065081364143</v>
      </c>
      <c r="L3454">
        <f>VLOOKUP(D3454,[1]SOI!$A$1:$C$142,3)</f>
        <v>-5.0999999999999996</v>
      </c>
      <c r="M3454" s="2">
        <f t="shared" si="428"/>
        <v>988.35553365102726</v>
      </c>
      <c r="N3454">
        <f t="shared" si="429"/>
        <v>-3308.5287272595037</v>
      </c>
      <c r="O3454" t="s">
        <v>8</v>
      </c>
    </row>
    <row r="3455" spans="1:15" x14ac:dyDescent="0.35">
      <c r="A3455">
        <v>2009</v>
      </c>
      <c r="B3455">
        <v>6</v>
      </c>
      <c r="C3455">
        <v>15</v>
      </c>
      <c r="D3455" s="1">
        <f t="shared" si="424"/>
        <v>39979</v>
      </c>
      <c r="E3455">
        <v>0</v>
      </c>
      <c r="F3455">
        <f t="shared" si="430"/>
        <v>0.2</v>
      </c>
      <c r="G3455">
        <f t="shared" si="425"/>
        <v>0</v>
      </c>
      <c r="H3455">
        <f t="shared" si="431"/>
        <v>1</v>
      </c>
      <c r="I3455">
        <v>3454</v>
      </c>
      <c r="J3455">
        <f t="shared" si="426"/>
        <v>0.26970674546012291</v>
      </c>
      <c r="K3455">
        <f t="shared" si="427"/>
        <v>-0.96294250682650229</v>
      </c>
      <c r="L3455">
        <f>VLOOKUP(D3455,[1]SOI!$A$1:$C$142,3)</f>
        <v>-5.0999999999999996</v>
      </c>
      <c r="M3455" s="2">
        <f t="shared" si="428"/>
        <v>931.56709881926452</v>
      </c>
      <c r="N3455">
        <f t="shared" si="429"/>
        <v>-3326.003418578739</v>
      </c>
      <c r="O3455" t="s">
        <v>8</v>
      </c>
    </row>
    <row r="3456" spans="1:15" x14ac:dyDescent="0.35">
      <c r="A3456">
        <v>2009</v>
      </c>
      <c r="B3456">
        <v>6</v>
      </c>
      <c r="C3456">
        <v>16</v>
      </c>
      <c r="D3456" s="1">
        <f t="shared" si="424"/>
        <v>39980</v>
      </c>
      <c r="E3456">
        <v>0</v>
      </c>
      <c r="F3456">
        <f t="shared" si="430"/>
        <v>0</v>
      </c>
      <c r="G3456">
        <f t="shared" si="425"/>
        <v>0</v>
      </c>
      <c r="H3456">
        <f t="shared" si="431"/>
        <v>0</v>
      </c>
      <c r="I3456">
        <v>3455</v>
      </c>
      <c r="J3456">
        <f t="shared" si="426"/>
        <v>0.25310271202293766</v>
      </c>
      <c r="K3456">
        <f t="shared" si="427"/>
        <v>-0.96743941265933231</v>
      </c>
      <c r="L3456">
        <f>VLOOKUP(D3456,[1]SOI!$A$1:$C$142,3)</f>
        <v>-5.0999999999999996</v>
      </c>
      <c r="M3456" s="2">
        <f t="shared" si="428"/>
        <v>874.4698700392496</v>
      </c>
      <c r="N3456">
        <f t="shared" si="429"/>
        <v>-3342.5031707379931</v>
      </c>
      <c r="O3456" t="s">
        <v>8</v>
      </c>
    </row>
    <row r="3457" spans="1:15" x14ac:dyDescent="0.35">
      <c r="A3457">
        <v>2009</v>
      </c>
      <c r="B3457">
        <v>6</v>
      </c>
      <c r="C3457">
        <v>17</v>
      </c>
      <c r="D3457" s="1">
        <f t="shared" si="424"/>
        <v>39981</v>
      </c>
      <c r="E3457">
        <v>0</v>
      </c>
      <c r="F3457">
        <f t="shared" si="430"/>
        <v>0</v>
      </c>
      <c r="G3457">
        <f t="shared" si="425"/>
        <v>0</v>
      </c>
      <c r="H3457">
        <f t="shared" si="431"/>
        <v>0</v>
      </c>
      <c r="I3457">
        <v>3456</v>
      </c>
      <c r="J3457">
        <f t="shared" si="426"/>
        <v>0.23642378142122006</v>
      </c>
      <c r="K3457">
        <f t="shared" si="427"/>
        <v>-0.97165003760535673</v>
      </c>
      <c r="L3457">
        <f>VLOOKUP(D3457,[1]SOI!$A$1:$C$142,3)</f>
        <v>-5.0999999999999996</v>
      </c>
      <c r="M3457" s="2">
        <f t="shared" si="428"/>
        <v>817.0805885917365</v>
      </c>
      <c r="N3457">
        <f t="shared" si="429"/>
        <v>-3358.0225299641129</v>
      </c>
      <c r="O3457" t="s">
        <v>8</v>
      </c>
    </row>
    <row r="3458" spans="1:15" x14ac:dyDescent="0.35">
      <c r="A3458">
        <v>2009</v>
      </c>
      <c r="B3458">
        <v>6</v>
      </c>
      <c r="C3458">
        <v>18</v>
      </c>
      <c r="D3458" s="1">
        <f t="shared" si="424"/>
        <v>39982</v>
      </c>
      <c r="E3458">
        <v>0</v>
      </c>
      <c r="F3458">
        <f t="shared" si="430"/>
        <v>0</v>
      </c>
      <c r="G3458">
        <f t="shared" si="425"/>
        <v>0</v>
      </c>
      <c r="H3458">
        <f t="shared" si="431"/>
        <v>0</v>
      </c>
      <c r="I3458">
        <v>3457</v>
      </c>
      <c r="J3458">
        <f t="shared" si="426"/>
        <v>0.219674889218887</v>
      </c>
      <c r="K3458">
        <f t="shared" si="427"/>
        <v>-0.97557313567290782</v>
      </c>
      <c r="L3458">
        <f>VLOOKUP(D3458,[1]SOI!$A$1:$C$142,3)</f>
        <v>-5.0999999999999996</v>
      </c>
      <c r="M3458" s="2">
        <f t="shared" si="428"/>
        <v>759.41609202969232</v>
      </c>
      <c r="N3458">
        <f t="shared" si="429"/>
        <v>-3372.5563300212425</v>
      </c>
      <c r="O3458" t="s">
        <v>8</v>
      </c>
    </row>
    <row r="3459" spans="1:15" x14ac:dyDescent="0.35">
      <c r="A3459">
        <v>2009</v>
      </c>
      <c r="B3459">
        <v>6</v>
      </c>
      <c r="C3459">
        <v>19</v>
      </c>
      <c r="D3459" s="1">
        <f t="shared" ref="D3459:D3522" si="432">DATE(A3459,B3459,C3459)</f>
        <v>39983</v>
      </c>
      <c r="E3459">
        <v>0</v>
      </c>
      <c r="F3459">
        <f t="shared" si="430"/>
        <v>0</v>
      </c>
      <c r="G3459">
        <f t="shared" ref="G3459:G3522" si="433">IF(E3459=0,0,1)</f>
        <v>0</v>
      </c>
      <c r="H3459">
        <f t="shared" si="431"/>
        <v>0</v>
      </c>
      <c r="I3459">
        <v>3458</v>
      </c>
      <c r="J3459">
        <f t="shared" ref="J3459:J3522" si="434">SIN(2*PI()*I3459/365.25)</f>
        <v>0.20286099168260496</v>
      </c>
      <c r="K3459">
        <f t="shared" ref="K3459:K3522" si="435">COS(2*PI()*I3459/365.25)</f>
        <v>-0.9792075459541506</v>
      </c>
      <c r="L3459">
        <f>VLOOKUP(D3459,[1]SOI!$A$1:$C$142,3)</f>
        <v>-5.0999999999999996</v>
      </c>
      <c r="M3459" s="2">
        <f t="shared" ref="M3459:M3522" si="436">I3459*J3459</f>
        <v>701.49330923844798</v>
      </c>
      <c r="N3459">
        <f t="shared" ref="N3459:N3522" si="437">I3459*K3459</f>
        <v>-3386.099693909453</v>
      </c>
      <c r="O3459" t="s">
        <v>8</v>
      </c>
    </row>
    <row r="3460" spans="1:15" x14ac:dyDescent="0.35">
      <c r="A3460">
        <v>2009</v>
      </c>
      <c r="B3460">
        <v>6</v>
      </c>
      <c r="C3460">
        <v>20</v>
      </c>
      <c r="D3460" s="1">
        <f t="shared" si="432"/>
        <v>39984</v>
      </c>
      <c r="E3460">
        <v>0</v>
      </c>
      <c r="F3460">
        <f t="shared" ref="F3460:F3523" si="438">E3459</f>
        <v>0</v>
      </c>
      <c r="G3460">
        <f t="shared" si="433"/>
        <v>0</v>
      </c>
      <c r="H3460">
        <f t="shared" ref="H3460:H3523" si="439">G3459</f>
        <v>0</v>
      </c>
      <c r="I3460">
        <v>3459</v>
      </c>
      <c r="J3460">
        <f t="shared" si="434"/>
        <v>0.18598706431515755</v>
      </c>
      <c r="K3460">
        <f t="shared" si="435"/>
        <v>-0.98255219296861251</v>
      </c>
      <c r="L3460">
        <f>VLOOKUP(D3460,[1]SOI!$A$1:$C$142,3)</f>
        <v>-5.0999999999999996</v>
      </c>
      <c r="M3460" s="2">
        <f t="shared" si="436"/>
        <v>643.32925546613001</v>
      </c>
      <c r="N3460">
        <f t="shared" si="437"/>
        <v>-3398.6480354784308</v>
      </c>
      <c r="O3460" t="s">
        <v>8</v>
      </c>
    </row>
    <row r="3461" spans="1:15" x14ac:dyDescent="0.35">
      <c r="A3461">
        <v>2009</v>
      </c>
      <c r="B3461">
        <v>6</v>
      </c>
      <c r="C3461">
        <v>21</v>
      </c>
      <c r="D3461" s="1">
        <f t="shared" si="432"/>
        <v>39985</v>
      </c>
      <c r="E3461">
        <v>0</v>
      </c>
      <c r="F3461">
        <f t="shared" si="438"/>
        <v>0</v>
      </c>
      <c r="G3461">
        <f t="shared" si="433"/>
        <v>0</v>
      </c>
      <c r="H3461">
        <f t="shared" si="439"/>
        <v>0</v>
      </c>
      <c r="I3461">
        <v>3460</v>
      </c>
      <c r="J3461">
        <f t="shared" si="434"/>
        <v>0.16905810038314206</v>
      </c>
      <c r="K3461">
        <f t="shared" si="435"/>
        <v>-0.9856060869814286</v>
      </c>
      <c r="L3461">
        <f>VLOOKUP(D3461,[1]SOI!$A$1:$C$142,3)</f>
        <v>-5.0999999999999996</v>
      </c>
      <c r="M3461" s="2">
        <f t="shared" si="436"/>
        <v>584.94102732567148</v>
      </c>
      <c r="N3461">
        <f t="shared" si="437"/>
        <v>-3410.1970609557429</v>
      </c>
      <c r="O3461" t="s">
        <v>8</v>
      </c>
    </row>
    <row r="3462" spans="1:15" x14ac:dyDescent="0.35">
      <c r="A3462">
        <v>2009</v>
      </c>
      <c r="B3462">
        <v>6</v>
      </c>
      <c r="C3462">
        <v>22</v>
      </c>
      <c r="D3462" s="1">
        <f t="shared" si="432"/>
        <v>39986</v>
      </c>
      <c r="E3462">
        <v>1.2</v>
      </c>
      <c r="F3462">
        <f t="shared" si="438"/>
        <v>0</v>
      </c>
      <c r="G3462">
        <f t="shared" si="433"/>
        <v>1</v>
      </c>
      <c r="H3462">
        <f t="shared" si="439"/>
        <v>0</v>
      </c>
      <c r="I3462">
        <v>3461</v>
      </c>
      <c r="J3462">
        <f t="shared" si="434"/>
        <v>0.15207910943935396</v>
      </c>
      <c r="K3462">
        <f t="shared" si="435"/>
        <v>-0.98836832429622767</v>
      </c>
      <c r="L3462">
        <f>VLOOKUP(D3462,[1]SOI!$A$1:$C$142,3)</f>
        <v>-5.0999999999999996</v>
      </c>
      <c r="M3462" s="2">
        <f t="shared" si="436"/>
        <v>526.34579776960402</v>
      </c>
      <c r="N3462">
        <f t="shared" si="437"/>
        <v>-3420.742770389244</v>
      </c>
      <c r="O3462" t="s">
        <v>8</v>
      </c>
    </row>
    <row r="3463" spans="1:15" x14ac:dyDescent="0.35">
      <c r="A3463">
        <v>2009</v>
      </c>
      <c r="B3463">
        <v>6</v>
      </c>
      <c r="C3463">
        <v>23</v>
      </c>
      <c r="D3463" s="1">
        <f t="shared" si="432"/>
        <v>39987</v>
      </c>
      <c r="E3463">
        <v>0</v>
      </c>
      <c r="F3463">
        <f t="shared" si="438"/>
        <v>1.2</v>
      </c>
      <c r="G3463">
        <f t="shared" si="433"/>
        <v>0</v>
      </c>
      <c r="H3463">
        <f t="shared" si="439"/>
        <v>1</v>
      </c>
      <c r="I3463">
        <v>3462</v>
      </c>
      <c r="J3463">
        <f t="shared" si="434"/>
        <v>0.13505511584035113</v>
      </c>
      <c r="K3463">
        <f t="shared" si="435"/>
        <v>-0.99083808752255242</v>
      </c>
      <c r="L3463">
        <f>VLOOKUP(D3463,[1]SOI!$A$1:$C$142,3)</f>
        <v>-5.0999999999999996</v>
      </c>
      <c r="M3463" s="2">
        <f t="shared" si="436"/>
        <v>467.56081103929557</v>
      </c>
      <c r="N3463">
        <f t="shared" si="437"/>
        <v>-3430.2814590030766</v>
      </c>
      <c r="O3463" t="s">
        <v>8</v>
      </c>
    </row>
    <row r="3464" spans="1:15" x14ac:dyDescent="0.35">
      <c r="A3464">
        <v>2009</v>
      </c>
      <c r="B3464">
        <v>6</v>
      </c>
      <c r="C3464">
        <v>24</v>
      </c>
      <c r="D3464" s="1">
        <f t="shared" si="432"/>
        <v>39988</v>
      </c>
      <c r="E3464">
        <v>1.6</v>
      </c>
      <c r="F3464">
        <f t="shared" si="438"/>
        <v>0</v>
      </c>
      <c r="G3464">
        <f t="shared" si="433"/>
        <v>1</v>
      </c>
      <c r="H3464">
        <f t="shared" si="439"/>
        <v>0</v>
      </c>
      <c r="I3464">
        <v>3463</v>
      </c>
      <c r="J3464">
        <f t="shared" si="434"/>
        <v>0.11799115725973622</v>
      </c>
      <c r="K3464">
        <f t="shared" si="435"/>
        <v>-0.99301464581772825</v>
      </c>
      <c r="L3464">
        <f>VLOOKUP(D3464,[1]SOI!$A$1:$C$142,3)</f>
        <v>-5.0999999999999996</v>
      </c>
      <c r="M3464" s="2">
        <f t="shared" si="436"/>
        <v>408.60337759046655</v>
      </c>
      <c r="N3464">
        <f t="shared" si="437"/>
        <v>-3438.8097184667931</v>
      </c>
      <c r="O3464" t="s">
        <v>8</v>
      </c>
    </row>
    <row r="3465" spans="1:15" x14ac:dyDescent="0.35">
      <c r="A3465">
        <v>2009</v>
      </c>
      <c r="B3465">
        <v>6</v>
      </c>
      <c r="C3465">
        <v>25</v>
      </c>
      <c r="D3465" s="1">
        <f t="shared" si="432"/>
        <v>39989</v>
      </c>
      <c r="E3465">
        <v>0</v>
      </c>
      <c r="F3465">
        <f t="shared" si="438"/>
        <v>1.6</v>
      </c>
      <c r="G3465">
        <f t="shared" si="433"/>
        <v>0</v>
      </c>
      <c r="H3465">
        <f t="shared" si="439"/>
        <v>1</v>
      </c>
      <c r="I3465">
        <v>3464</v>
      </c>
      <c r="J3465">
        <f t="shared" si="434"/>
        <v>0.1008922831974</v>
      </c>
      <c r="K3465">
        <f t="shared" si="435"/>
        <v>-0.99489735510313604</v>
      </c>
      <c r="L3465">
        <f>VLOOKUP(D3465,[1]SOI!$A$1:$C$142,3)</f>
        <v>-5.0999999999999996</v>
      </c>
      <c r="M3465" s="2">
        <f t="shared" si="436"/>
        <v>349.49086899579362</v>
      </c>
      <c r="N3465">
        <f t="shared" si="437"/>
        <v>-3446.324438077263</v>
      </c>
      <c r="O3465" t="s">
        <v>8</v>
      </c>
    </row>
    <row r="3466" spans="1:15" x14ac:dyDescent="0.35">
      <c r="A3466">
        <v>2009</v>
      </c>
      <c r="B3466">
        <v>6</v>
      </c>
      <c r="C3466">
        <v>26</v>
      </c>
      <c r="D3466" s="1">
        <f t="shared" si="432"/>
        <v>39990</v>
      </c>
      <c r="E3466">
        <v>0</v>
      </c>
      <c r="F3466">
        <f t="shared" si="438"/>
        <v>0</v>
      </c>
      <c r="G3466">
        <f t="shared" si="433"/>
        <v>0</v>
      </c>
      <c r="H3466">
        <f t="shared" si="439"/>
        <v>0</v>
      </c>
      <c r="I3466">
        <v>3465</v>
      </c>
      <c r="J3466">
        <f t="shared" si="434"/>
        <v>8.3763553485264916E-2</v>
      </c>
      <c r="K3466">
        <f t="shared" si="435"/>
        <v>-0.99648565825480961</v>
      </c>
      <c r="L3466">
        <f>VLOOKUP(D3466,[1]SOI!$A$1:$C$142,3)</f>
        <v>-5.0999999999999996</v>
      </c>
      <c r="M3466" s="2">
        <f t="shared" si="436"/>
        <v>290.24071282644292</v>
      </c>
      <c r="N3466">
        <f t="shared" si="437"/>
        <v>-3452.8228058529153</v>
      </c>
      <c r="O3466" t="s">
        <v>8</v>
      </c>
    </row>
    <row r="3467" spans="1:15" x14ac:dyDescent="0.35">
      <c r="A3467">
        <v>2009</v>
      </c>
      <c r="B3467">
        <v>6</v>
      </c>
      <c r="C3467">
        <v>27</v>
      </c>
      <c r="D3467" s="1">
        <f t="shared" si="432"/>
        <v>39991</v>
      </c>
      <c r="E3467">
        <v>0</v>
      </c>
      <c r="F3467">
        <f t="shared" si="438"/>
        <v>0</v>
      </c>
      <c r="G3467">
        <f t="shared" si="433"/>
        <v>0</v>
      </c>
      <c r="H3467">
        <f t="shared" si="439"/>
        <v>0</v>
      </c>
      <c r="I3467">
        <v>3466</v>
      </c>
      <c r="J3467">
        <f t="shared" si="434"/>
        <v>6.6610036790041724E-2</v>
      </c>
      <c r="K3467">
        <f t="shared" si="435"/>
        <v>-0.99777908526829184</v>
      </c>
      <c r="L3467">
        <f>VLOOKUP(D3467,[1]SOI!$A$1:$C$142,3)</f>
        <v>-5.0999999999999996</v>
      </c>
      <c r="M3467" s="2">
        <f t="shared" si="436"/>
        <v>230.8703875142846</v>
      </c>
      <c r="N3467">
        <f t="shared" si="437"/>
        <v>-3458.3023095398994</v>
      </c>
      <c r="O3467" t="s">
        <v>8</v>
      </c>
    </row>
    <row r="3468" spans="1:15" x14ac:dyDescent="0.35">
      <c r="A3468">
        <v>2009</v>
      </c>
      <c r="B3468">
        <v>6</v>
      </c>
      <c r="C3468">
        <v>28</v>
      </c>
      <c r="D3468" s="1">
        <f t="shared" si="432"/>
        <v>39992</v>
      </c>
      <c r="E3468">
        <v>0</v>
      </c>
      <c r="F3468">
        <f t="shared" si="438"/>
        <v>0</v>
      </c>
      <c r="G3468">
        <f t="shared" si="433"/>
        <v>0</v>
      </c>
      <c r="H3468">
        <f t="shared" si="439"/>
        <v>0</v>
      </c>
      <c r="I3468">
        <v>3467</v>
      </c>
      <c r="J3468">
        <f t="shared" si="434"/>
        <v>4.9436809113265749E-2</v>
      </c>
      <c r="K3468">
        <f t="shared" si="435"/>
        <v>-0.99877725339772261</v>
      </c>
      <c r="L3468">
        <f>VLOOKUP(D3468,[1]SOI!$A$1:$C$142,3)</f>
        <v>-5.0999999999999996</v>
      </c>
      <c r="M3468" s="2">
        <f t="shared" si="436"/>
        <v>171.39741719569236</v>
      </c>
      <c r="N3468">
        <f t="shared" si="437"/>
        <v>-3462.7607375299044</v>
      </c>
      <c r="O3468" t="s">
        <v>8</v>
      </c>
    </row>
    <row r="3469" spans="1:15" x14ac:dyDescent="0.35">
      <c r="A3469">
        <v>2009</v>
      </c>
      <c r="B3469">
        <v>6</v>
      </c>
      <c r="C3469">
        <v>29</v>
      </c>
      <c r="D3469" s="1">
        <f t="shared" si="432"/>
        <v>39993</v>
      </c>
      <c r="E3469">
        <v>0</v>
      </c>
      <c r="F3469">
        <f t="shared" si="438"/>
        <v>0</v>
      </c>
      <c r="G3469">
        <f t="shared" si="433"/>
        <v>0</v>
      </c>
      <c r="H3469">
        <f t="shared" si="439"/>
        <v>0</v>
      </c>
      <c r="I3469">
        <v>3468</v>
      </c>
      <c r="J3469">
        <f t="shared" si="434"/>
        <v>3.2248952289304279E-2</v>
      </c>
      <c r="K3469">
        <f t="shared" si="435"/>
        <v>-0.99947986726909221</v>
      </c>
      <c r="L3469">
        <f>VLOOKUP(D3469,[1]SOI!$A$1:$C$142,3)</f>
        <v>-5.0999999999999996</v>
      </c>
      <c r="M3469" s="2">
        <f t="shared" si="436"/>
        <v>111.83936653930724</v>
      </c>
      <c r="N3469">
        <f t="shared" si="437"/>
        <v>-3466.1961796892119</v>
      </c>
      <c r="O3469" t="s">
        <v>8</v>
      </c>
    </row>
    <row r="3470" spans="1:15" x14ac:dyDescent="0.35">
      <c r="A3470">
        <v>2009</v>
      </c>
      <c r="B3470">
        <v>6</v>
      </c>
      <c r="C3470">
        <v>30</v>
      </c>
      <c r="D3470" s="1">
        <f t="shared" si="432"/>
        <v>39994</v>
      </c>
      <c r="E3470">
        <v>0</v>
      </c>
      <c r="F3470">
        <f t="shared" si="438"/>
        <v>0</v>
      </c>
      <c r="G3470">
        <f t="shared" si="433"/>
        <v>0</v>
      </c>
      <c r="H3470">
        <f t="shared" si="439"/>
        <v>0</v>
      </c>
      <c r="I3470">
        <v>3469</v>
      </c>
      <c r="J3470">
        <f t="shared" si="434"/>
        <v>1.5051552481531751E-2</v>
      </c>
      <c r="K3470">
        <f t="shared" si="435"/>
        <v>-0.99988671896765169</v>
      </c>
      <c r="L3470">
        <f>VLOOKUP(D3470,[1]SOI!$A$1:$C$142,3)</f>
        <v>-5.0999999999999996</v>
      </c>
      <c r="M3470" s="2">
        <f t="shared" si="436"/>
        <v>52.213835558433644</v>
      </c>
      <c r="N3470">
        <f t="shared" si="437"/>
        <v>-3468.6070280987838</v>
      </c>
      <c r="O3470" t="s">
        <v>8</v>
      </c>
    </row>
    <row r="3471" spans="1:15" x14ac:dyDescent="0.35">
      <c r="A3471">
        <v>2009</v>
      </c>
      <c r="B3471">
        <v>7</v>
      </c>
      <c r="C3471">
        <v>1</v>
      </c>
      <c r="D3471" s="1">
        <f t="shared" si="432"/>
        <v>39995</v>
      </c>
      <c r="E3471">
        <v>2.6</v>
      </c>
      <c r="F3471">
        <f t="shared" si="438"/>
        <v>0</v>
      </c>
      <c r="G3471">
        <f t="shared" si="433"/>
        <v>1</v>
      </c>
      <c r="H3471">
        <f t="shared" si="439"/>
        <v>0</v>
      </c>
      <c r="I3471">
        <v>3470</v>
      </c>
      <c r="J3471">
        <f t="shared" si="434"/>
        <v>-2.1503013227762578E-3</v>
      </c>
      <c r="K3471">
        <f t="shared" si="435"/>
        <v>-0.99999768809943823</v>
      </c>
      <c r="L3471">
        <f>VLOOKUP(D3471,[1]SOI!$A$1:$C$142,3)</f>
        <v>-2.2999999999999998</v>
      </c>
      <c r="M3471" s="2">
        <f t="shared" si="436"/>
        <v>-7.4615455900336149</v>
      </c>
      <c r="N3471">
        <f t="shared" si="437"/>
        <v>-3469.9919777050509</v>
      </c>
      <c r="O3471" t="s">
        <v>8</v>
      </c>
    </row>
    <row r="3472" spans="1:15" x14ac:dyDescent="0.35">
      <c r="A3472">
        <v>2009</v>
      </c>
      <c r="B3472">
        <v>7</v>
      </c>
      <c r="C3472">
        <v>2</v>
      </c>
      <c r="D3472" s="1">
        <f t="shared" si="432"/>
        <v>39996</v>
      </c>
      <c r="E3472">
        <v>0.2</v>
      </c>
      <c r="F3472">
        <f t="shared" si="438"/>
        <v>2.6</v>
      </c>
      <c r="G3472">
        <f t="shared" si="433"/>
        <v>1</v>
      </c>
      <c r="H3472">
        <f t="shared" si="439"/>
        <v>1</v>
      </c>
      <c r="I3472">
        <v>3471</v>
      </c>
      <c r="J3472">
        <f t="shared" si="434"/>
        <v>-1.9351518818327834E-2</v>
      </c>
      <c r="K3472">
        <f t="shared" si="435"/>
        <v>-0.99981274182690028</v>
      </c>
      <c r="L3472">
        <f>VLOOKUP(D3472,[1]SOI!$A$1:$C$142,3)</f>
        <v>-2.2999999999999998</v>
      </c>
      <c r="M3472" s="2">
        <f t="shared" si="436"/>
        <v>-67.169121818415917</v>
      </c>
      <c r="N3472">
        <f t="shared" si="437"/>
        <v>-3470.3500268811708</v>
      </c>
      <c r="O3472" t="s">
        <v>8</v>
      </c>
    </row>
    <row r="3473" spans="1:15" x14ac:dyDescent="0.35">
      <c r="A3473">
        <v>2009</v>
      </c>
      <c r="B3473">
        <v>7</v>
      </c>
      <c r="C3473">
        <v>3</v>
      </c>
      <c r="D3473" s="1">
        <f t="shared" si="432"/>
        <v>39997</v>
      </c>
      <c r="E3473">
        <v>7.2</v>
      </c>
      <c r="F3473">
        <f t="shared" si="438"/>
        <v>0.2</v>
      </c>
      <c r="G3473">
        <f t="shared" si="433"/>
        <v>1</v>
      </c>
      <c r="H3473">
        <f t="shared" si="439"/>
        <v>1</v>
      </c>
      <c r="I3473">
        <v>3472</v>
      </c>
      <c r="J3473">
        <f t="shared" si="434"/>
        <v>-3.6547009888117966E-2</v>
      </c>
      <c r="K3473">
        <f t="shared" si="435"/>
        <v>-0.99933193487861571</v>
      </c>
      <c r="L3473">
        <f>VLOOKUP(D3473,[1]SOI!$A$1:$C$142,3)</f>
        <v>-2.2999999999999998</v>
      </c>
      <c r="M3473" s="2">
        <f t="shared" si="436"/>
        <v>-126.89121833154557</v>
      </c>
      <c r="N3473">
        <f t="shared" si="437"/>
        <v>-3469.6804778985538</v>
      </c>
      <c r="O3473" t="s">
        <v>8</v>
      </c>
    </row>
    <row r="3474" spans="1:15" x14ac:dyDescent="0.35">
      <c r="A3474">
        <v>2009</v>
      </c>
      <c r="B3474">
        <v>7</v>
      </c>
      <c r="C3474">
        <v>4</v>
      </c>
      <c r="D3474" s="1">
        <f t="shared" si="432"/>
        <v>39998</v>
      </c>
      <c r="E3474">
        <v>1.2</v>
      </c>
      <c r="F3474">
        <f t="shared" si="438"/>
        <v>7.2</v>
      </c>
      <c r="G3474">
        <f t="shared" si="433"/>
        <v>1</v>
      </c>
      <c r="H3474">
        <f t="shared" si="439"/>
        <v>1</v>
      </c>
      <c r="I3474">
        <v>3473</v>
      </c>
      <c r="J3474">
        <f t="shared" si="434"/>
        <v>-5.3731686109704462E-2</v>
      </c>
      <c r="K3474">
        <f t="shared" si="435"/>
        <v>-0.99855540953309552</v>
      </c>
      <c r="L3474">
        <f>VLOOKUP(D3474,[1]SOI!$A$1:$C$142,3)</f>
        <v>-2.2999999999999998</v>
      </c>
      <c r="M3474" s="2">
        <f t="shared" si="436"/>
        <v>-186.61014585900361</v>
      </c>
      <c r="N3474">
        <f t="shared" si="437"/>
        <v>-3467.9829373084408</v>
      </c>
      <c r="O3474" t="s">
        <v>8</v>
      </c>
    </row>
    <row r="3475" spans="1:15" x14ac:dyDescent="0.35">
      <c r="A3475">
        <v>2009</v>
      </c>
      <c r="B3475">
        <v>7</v>
      </c>
      <c r="C3475">
        <v>5</v>
      </c>
      <c r="D3475" s="1">
        <f t="shared" si="432"/>
        <v>39999</v>
      </c>
      <c r="E3475">
        <v>1</v>
      </c>
      <c r="F3475">
        <f t="shared" si="438"/>
        <v>1.2</v>
      </c>
      <c r="G3475">
        <f t="shared" si="433"/>
        <v>1</v>
      </c>
      <c r="H3475">
        <f t="shared" si="439"/>
        <v>1</v>
      </c>
      <c r="I3475">
        <v>3474</v>
      </c>
      <c r="J3475">
        <f t="shared" si="434"/>
        <v>-7.0900462260911387E-2</v>
      </c>
      <c r="K3475">
        <f t="shared" si="435"/>
        <v>-0.99748339557668286</v>
      </c>
      <c r="L3475">
        <f>VLOOKUP(D3475,[1]SOI!$A$1:$C$142,3)</f>
        <v>-2.2999999999999998</v>
      </c>
      <c r="M3475" s="2">
        <f t="shared" si="436"/>
        <v>-246.30820589440617</v>
      </c>
      <c r="N3475">
        <f t="shared" si="437"/>
        <v>-3465.2573162333961</v>
      </c>
      <c r="O3475" t="s">
        <v>8</v>
      </c>
    </row>
    <row r="3476" spans="1:15" x14ac:dyDescent="0.35">
      <c r="A3476">
        <v>2009</v>
      </c>
      <c r="B3476">
        <v>7</v>
      </c>
      <c r="C3476">
        <v>6</v>
      </c>
      <c r="D3476" s="1">
        <f t="shared" si="432"/>
        <v>40000</v>
      </c>
      <c r="E3476">
        <v>0</v>
      </c>
      <c r="F3476">
        <f t="shared" si="438"/>
        <v>1</v>
      </c>
      <c r="G3476">
        <f t="shared" si="433"/>
        <v>0</v>
      </c>
      <c r="H3476">
        <f t="shared" si="439"/>
        <v>1</v>
      </c>
      <c r="I3476">
        <v>3475</v>
      </c>
      <c r="J3476">
        <f t="shared" si="434"/>
        <v>-8.8048257824656556E-2</v>
      </c>
      <c r="K3476">
        <f t="shared" si="435"/>
        <v>-0.99611621023555419</v>
      </c>
      <c r="L3476">
        <f>VLOOKUP(D3476,[1]SOI!$A$1:$C$142,3)</f>
        <v>-2.2999999999999998</v>
      </c>
      <c r="M3476" s="2">
        <f t="shared" si="436"/>
        <v>-305.96769594068155</v>
      </c>
      <c r="N3476">
        <f t="shared" si="437"/>
        <v>-3461.5038305685507</v>
      </c>
      <c r="O3476" t="s">
        <v>8</v>
      </c>
    </row>
    <row r="3477" spans="1:15" x14ac:dyDescent="0.35">
      <c r="A3477">
        <v>2009</v>
      </c>
      <c r="B3477">
        <v>7</v>
      </c>
      <c r="C3477">
        <v>7</v>
      </c>
      <c r="D3477" s="1">
        <f t="shared" si="432"/>
        <v>40001</v>
      </c>
      <c r="E3477">
        <v>0.4</v>
      </c>
      <c r="F3477">
        <f t="shared" si="438"/>
        <v>0</v>
      </c>
      <c r="G3477">
        <f t="shared" si="433"/>
        <v>1</v>
      </c>
      <c r="H3477">
        <f t="shared" si="439"/>
        <v>0</v>
      </c>
      <c r="I3477">
        <v>3476</v>
      </c>
      <c r="J3477">
        <f t="shared" si="434"/>
        <v>-0.10516999849235115</v>
      </c>
      <c r="K3477">
        <f t="shared" si="435"/>
        <v>-0.99445425808184806</v>
      </c>
      <c r="L3477">
        <f>VLOOKUP(D3477,[1]SOI!$A$1:$C$142,3)</f>
        <v>-2.2999999999999998</v>
      </c>
      <c r="M3477" s="2">
        <f t="shared" si="436"/>
        <v>-365.57091475941257</v>
      </c>
      <c r="N3477">
        <f t="shared" si="437"/>
        <v>-3456.7230010925041</v>
      </c>
      <c r="O3477" t="s">
        <v>8</v>
      </c>
    </row>
    <row r="3478" spans="1:15" x14ac:dyDescent="0.35">
      <c r="A3478">
        <v>2009</v>
      </c>
      <c r="B3478">
        <v>7</v>
      </c>
      <c r="C3478">
        <v>8</v>
      </c>
      <c r="D3478" s="1">
        <f t="shared" si="432"/>
        <v>40002</v>
      </c>
      <c r="E3478">
        <v>0</v>
      </c>
      <c r="F3478">
        <f t="shared" si="438"/>
        <v>0.4</v>
      </c>
      <c r="G3478">
        <f t="shared" si="433"/>
        <v>0</v>
      </c>
      <c r="H3478">
        <f t="shared" si="439"/>
        <v>1</v>
      </c>
      <c r="I3478">
        <v>3477</v>
      </c>
      <c r="J3478">
        <f t="shared" si="434"/>
        <v>-0.12226061766546222</v>
      </c>
      <c r="K3478">
        <f t="shared" si="435"/>
        <v>-0.99249803091394573</v>
      </c>
      <c r="L3478">
        <f>VLOOKUP(D3478,[1]SOI!$A$1:$C$142,3)</f>
        <v>-2.2999999999999998</v>
      </c>
      <c r="M3478" s="2">
        <f t="shared" si="436"/>
        <v>-425.10016762281214</v>
      </c>
      <c r="N3478">
        <f t="shared" si="437"/>
        <v>-3450.9156534877893</v>
      </c>
      <c r="O3478" t="s">
        <v>8</v>
      </c>
    </row>
    <row r="3479" spans="1:15" x14ac:dyDescent="0.35">
      <c r="A3479">
        <v>2009</v>
      </c>
      <c r="B3479">
        <v>7</v>
      </c>
      <c r="C3479">
        <v>9</v>
      </c>
      <c r="D3479" s="1">
        <f t="shared" si="432"/>
        <v>40003</v>
      </c>
      <c r="E3479">
        <v>0</v>
      </c>
      <c r="F3479">
        <f t="shared" si="438"/>
        <v>0</v>
      </c>
      <c r="G3479">
        <f t="shared" si="433"/>
        <v>0</v>
      </c>
      <c r="H3479">
        <f t="shared" si="439"/>
        <v>0</v>
      </c>
      <c r="I3479">
        <v>3478</v>
      </c>
      <c r="J3479">
        <f t="shared" si="434"/>
        <v>-0.13931505795482896</v>
      </c>
      <c r="K3479">
        <f t="shared" si="435"/>
        <v>-0.9902481076109374</v>
      </c>
      <c r="L3479">
        <f>VLOOKUP(D3479,[1]SOI!$A$1:$C$142,3)</f>
        <v>-2.2999999999999998</v>
      </c>
      <c r="M3479" s="2">
        <f t="shared" si="436"/>
        <v>-484.53777156689512</v>
      </c>
      <c r="N3479">
        <f t="shared" si="437"/>
        <v>-3444.0829182708403</v>
      </c>
      <c r="O3479" t="s">
        <v>8</v>
      </c>
    </row>
    <row r="3480" spans="1:15" x14ac:dyDescent="0.35">
      <c r="A3480">
        <v>2009</v>
      </c>
      <c r="B3480">
        <v>7</v>
      </c>
      <c r="C3480">
        <v>10</v>
      </c>
      <c r="D3480" s="1">
        <f t="shared" si="432"/>
        <v>40004</v>
      </c>
      <c r="E3480">
        <v>0</v>
      </c>
      <c r="F3480">
        <f t="shared" si="438"/>
        <v>0</v>
      </c>
      <c r="G3480">
        <f t="shared" si="433"/>
        <v>0</v>
      </c>
      <c r="H3480">
        <f t="shared" si="439"/>
        <v>0</v>
      </c>
      <c r="I3480">
        <v>3479</v>
      </c>
      <c r="J3480">
        <f t="shared" si="434"/>
        <v>-0.15632827267718308</v>
      </c>
      <c r="K3480">
        <f t="shared" si="435"/>
        <v>-0.98770515396132685</v>
      </c>
      <c r="L3480">
        <f>VLOOKUP(D3480,[1]SOI!$A$1:$C$142,3)</f>
        <v>-2.2999999999999998</v>
      </c>
      <c r="M3480" s="2">
        <f t="shared" si="436"/>
        <v>-543.86606064391992</v>
      </c>
      <c r="N3480">
        <f t="shared" si="437"/>
        <v>-3436.226230631456</v>
      </c>
      <c r="O3480" t="s">
        <v>8</v>
      </c>
    </row>
    <row r="3481" spans="1:15" x14ac:dyDescent="0.35">
      <c r="A3481">
        <v>2009</v>
      </c>
      <c r="B3481">
        <v>7</v>
      </c>
      <c r="C3481">
        <v>11</v>
      </c>
      <c r="D3481" s="1">
        <f t="shared" si="432"/>
        <v>40005</v>
      </c>
      <c r="E3481">
        <v>2.2000000000000002</v>
      </c>
      <c r="F3481">
        <f t="shared" si="438"/>
        <v>0</v>
      </c>
      <c r="G3481">
        <f t="shared" si="433"/>
        <v>1</v>
      </c>
      <c r="H3481">
        <f t="shared" si="439"/>
        <v>0</v>
      </c>
      <c r="I3481">
        <v>3480</v>
      </c>
      <c r="J3481">
        <f t="shared" si="434"/>
        <v>-0.17329522734857197</v>
      </c>
      <c r="K3481">
        <f t="shared" si="435"/>
        <v>-0.98486992246601113</v>
      </c>
      <c r="L3481">
        <f>VLOOKUP(D3481,[1]SOI!$A$1:$C$142,3)</f>
        <v>-2.2999999999999998</v>
      </c>
      <c r="M3481" s="2">
        <f t="shared" si="436"/>
        <v>-603.0673911730305</v>
      </c>
      <c r="N3481">
        <f t="shared" si="437"/>
        <v>-3427.3473301817189</v>
      </c>
      <c r="O3481" t="s">
        <v>8</v>
      </c>
    </row>
    <row r="3482" spans="1:15" x14ac:dyDescent="0.35">
      <c r="A3482">
        <v>2009</v>
      </c>
      <c r="B3482">
        <v>7</v>
      </c>
      <c r="C3482">
        <v>12</v>
      </c>
      <c r="D3482" s="1">
        <f t="shared" si="432"/>
        <v>40006</v>
      </c>
      <c r="E3482">
        <v>0.6</v>
      </c>
      <c r="F3482">
        <f t="shared" si="438"/>
        <v>2.2000000000000002</v>
      </c>
      <c r="G3482">
        <f t="shared" si="433"/>
        <v>1</v>
      </c>
      <c r="H3482">
        <f t="shared" si="439"/>
        <v>1</v>
      </c>
      <c r="I3482">
        <v>3481</v>
      </c>
      <c r="J3482">
        <f t="shared" si="434"/>
        <v>-0.1902109011741363</v>
      </c>
      <c r="K3482">
        <f t="shared" si="435"/>
        <v>-0.98174325211560431</v>
      </c>
      <c r="L3482">
        <f>VLOOKUP(D3482,[1]SOI!$A$1:$C$142,3)</f>
        <v>-2.2999999999999998</v>
      </c>
      <c r="M3482" s="2">
        <f t="shared" si="436"/>
        <v>-662.1241469871685</v>
      </c>
      <c r="N3482">
        <f t="shared" si="437"/>
        <v>-3417.4482606144188</v>
      </c>
      <c r="O3482" t="s">
        <v>8</v>
      </c>
    </row>
    <row r="3483" spans="1:15" x14ac:dyDescent="0.35">
      <c r="A3483">
        <v>2009</v>
      </c>
      <c r="B3483">
        <v>7</v>
      </c>
      <c r="C3483">
        <v>13</v>
      </c>
      <c r="D3483" s="1">
        <f t="shared" si="432"/>
        <v>40007</v>
      </c>
      <c r="E3483">
        <v>0</v>
      </c>
      <c r="F3483">
        <f t="shared" si="438"/>
        <v>0.6</v>
      </c>
      <c r="G3483">
        <f t="shared" si="433"/>
        <v>0</v>
      </c>
      <c r="H3483">
        <f t="shared" si="439"/>
        <v>1</v>
      </c>
      <c r="I3483">
        <v>3482</v>
      </c>
      <c r="J3483">
        <f t="shared" si="434"/>
        <v>-0.20707028853384407</v>
      </c>
      <c r="K3483">
        <f t="shared" si="435"/>
        <v>-0.97832606814216627</v>
      </c>
      <c r="L3483">
        <f>VLOOKUP(D3483,[1]SOI!$A$1:$C$142,3)</f>
        <v>-2.2999999999999998</v>
      </c>
      <c r="M3483" s="2">
        <f t="shared" si="436"/>
        <v>-721.01874467484504</v>
      </c>
      <c r="N3483">
        <f t="shared" si="437"/>
        <v>-3406.5313692710229</v>
      </c>
      <c r="O3483" t="s">
        <v>8</v>
      </c>
    </row>
    <row r="3484" spans="1:15" x14ac:dyDescent="0.35">
      <c r="A3484">
        <v>2009</v>
      </c>
      <c r="B3484">
        <v>7</v>
      </c>
      <c r="C3484">
        <v>14</v>
      </c>
      <c r="D3484" s="1">
        <f t="shared" si="432"/>
        <v>40008</v>
      </c>
      <c r="E3484">
        <v>1</v>
      </c>
      <c r="F3484">
        <f t="shared" si="438"/>
        <v>0</v>
      </c>
      <c r="G3484">
        <f t="shared" si="433"/>
        <v>1</v>
      </c>
      <c r="H3484">
        <f t="shared" si="439"/>
        <v>0</v>
      </c>
      <c r="I3484">
        <v>3483</v>
      </c>
      <c r="J3484">
        <f t="shared" si="434"/>
        <v>-0.22386840046372714</v>
      </c>
      <c r="K3484">
        <f t="shared" si="435"/>
        <v>-0.97461938174541363</v>
      </c>
      <c r="L3484">
        <f>VLOOKUP(D3484,[1]SOI!$A$1:$C$142,3)</f>
        <v>-2.2999999999999998</v>
      </c>
      <c r="M3484" s="2">
        <f t="shared" si="436"/>
        <v>-779.73363881516161</v>
      </c>
      <c r="N3484">
        <f t="shared" si="437"/>
        <v>-3394.5993066192755</v>
      </c>
      <c r="O3484" t="s">
        <v>8</v>
      </c>
    </row>
    <row r="3485" spans="1:15" x14ac:dyDescent="0.35">
      <c r="A3485">
        <v>2009</v>
      </c>
      <c r="B3485">
        <v>7</v>
      </c>
      <c r="C3485">
        <v>15</v>
      </c>
      <c r="D3485" s="1">
        <f t="shared" si="432"/>
        <v>40009</v>
      </c>
      <c r="E3485">
        <v>0</v>
      </c>
      <c r="F3485">
        <f t="shared" si="438"/>
        <v>1</v>
      </c>
      <c r="G3485">
        <f t="shared" si="433"/>
        <v>0</v>
      </c>
      <c r="H3485">
        <f t="shared" si="439"/>
        <v>1</v>
      </c>
      <c r="I3485">
        <v>3484</v>
      </c>
      <c r="J3485">
        <f t="shared" si="434"/>
        <v>-0.24060026613222371</v>
      </c>
      <c r="K3485">
        <f t="shared" si="435"/>
        <v>-0.97062428979348292</v>
      </c>
      <c r="L3485">
        <f>VLOOKUP(D3485,[1]SOI!$A$1:$C$142,3)</f>
        <v>-2.2999999999999998</v>
      </c>
      <c r="M3485" s="2">
        <f t="shared" si="436"/>
        <v>-838.2513272046674</v>
      </c>
      <c r="N3485">
        <f t="shared" si="437"/>
        <v>-3381.6550256404944</v>
      </c>
      <c r="O3485" t="s">
        <v>8</v>
      </c>
    </row>
    <row r="3486" spans="1:15" x14ac:dyDescent="0.35">
      <c r="A3486">
        <v>2009</v>
      </c>
      <c r="B3486">
        <v>7</v>
      </c>
      <c r="C3486">
        <v>16</v>
      </c>
      <c r="D3486" s="1">
        <f t="shared" si="432"/>
        <v>40010</v>
      </c>
      <c r="E3486">
        <v>0</v>
      </c>
      <c r="F3486">
        <f t="shared" si="438"/>
        <v>0</v>
      </c>
      <c r="G3486">
        <f t="shared" si="433"/>
        <v>0</v>
      </c>
      <c r="H3486">
        <f t="shared" si="439"/>
        <v>0</v>
      </c>
      <c r="I3486">
        <v>3485</v>
      </c>
      <c r="J3486">
        <f t="shared" si="434"/>
        <v>-0.25726093431108565</v>
      </c>
      <c r="K3486">
        <f t="shared" si="435"/>
        <v>-0.96634197449835912</v>
      </c>
      <c r="L3486">
        <f>VLOOKUP(D3486,[1]SOI!$A$1:$C$142,3)</f>
        <v>-2.2999999999999998</v>
      </c>
      <c r="M3486" s="2">
        <f t="shared" si="436"/>
        <v>-896.55435607413347</v>
      </c>
      <c r="N3486">
        <f t="shared" si="437"/>
        <v>-3367.7017811267815</v>
      </c>
      <c r="O3486" t="s">
        <v>8</v>
      </c>
    </row>
    <row r="3487" spans="1:15" x14ac:dyDescent="0.35">
      <c r="A3487">
        <v>2009</v>
      </c>
      <c r="B3487">
        <v>7</v>
      </c>
      <c r="C3487">
        <v>17</v>
      </c>
      <c r="D3487" s="1">
        <f t="shared" si="432"/>
        <v>40011</v>
      </c>
      <c r="E3487">
        <v>0</v>
      </c>
      <c r="F3487">
        <f t="shared" si="438"/>
        <v>0</v>
      </c>
      <c r="G3487">
        <f t="shared" si="433"/>
        <v>0</v>
      </c>
      <c r="H3487">
        <f t="shared" si="439"/>
        <v>0</v>
      </c>
      <c r="I3487">
        <v>3486</v>
      </c>
      <c r="J3487">
        <f t="shared" si="434"/>
        <v>-0.27384547484055455</v>
      </c>
      <c r="K3487">
        <f t="shared" si="435"/>
        <v>-0.96177370306603371</v>
      </c>
      <c r="L3487">
        <f>VLOOKUP(D3487,[1]SOI!$A$1:$C$142,3)</f>
        <v>-2.2999999999999998</v>
      </c>
      <c r="M3487" s="2">
        <f t="shared" si="436"/>
        <v>-954.62532529417319</v>
      </c>
      <c r="N3487">
        <f t="shared" si="437"/>
        <v>-3352.7431288881935</v>
      </c>
      <c r="O3487" t="s">
        <v>8</v>
      </c>
    </row>
    <row r="3488" spans="1:15" x14ac:dyDescent="0.35">
      <c r="A3488">
        <v>2009</v>
      </c>
      <c r="B3488">
        <v>7</v>
      </c>
      <c r="C3488">
        <v>18</v>
      </c>
      <c r="D3488" s="1">
        <f t="shared" si="432"/>
        <v>40012</v>
      </c>
      <c r="E3488">
        <v>0</v>
      </c>
      <c r="F3488">
        <f t="shared" si="438"/>
        <v>0</v>
      </c>
      <c r="G3488">
        <f t="shared" si="433"/>
        <v>0</v>
      </c>
      <c r="H3488">
        <f t="shared" si="439"/>
        <v>0</v>
      </c>
      <c r="I3488">
        <v>3487</v>
      </c>
      <c r="J3488">
        <f t="shared" si="434"/>
        <v>-0.29034898008826804</v>
      </c>
      <c r="K3488">
        <f t="shared" si="435"/>
        <v>-0.95692082732152017</v>
      </c>
      <c r="L3488">
        <f>VLOOKUP(D3488,[1]SOI!$A$1:$C$142,3)</f>
        <v>-2.2999999999999998</v>
      </c>
      <c r="M3488" s="2">
        <f t="shared" si="436"/>
        <v>-1012.4468935677907</v>
      </c>
      <c r="N3488">
        <f t="shared" si="437"/>
        <v>-3336.782924870141</v>
      </c>
      <c r="O3488" t="s">
        <v>8</v>
      </c>
    </row>
    <row r="3489" spans="1:15" x14ac:dyDescent="0.35">
      <c r="A3489">
        <v>2009</v>
      </c>
      <c r="B3489">
        <v>7</v>
      </c>
      <c r="C3489">
        <v>19</v>
      </c>
      <c r="D3489" s="1">
        <f t="shared" si="432"/>
        <v>40013</v>
      </c>
      <c r="E3489">
        <v>0</v>
      </c>
      <c r="F3489">
        <f t="shared" si="438"/>
        <v>0</v>
      </c>
      <c r="G3489">
        <f t="shared" si="433"/>
        <v>0</v>
      </c>
      <c r="H3489">
        <f t="shared" si="439"/>
        <v>0</v>
      </c>
      <c r="I3489">
        <v>3488</v>
      </c>
      <c r="J3489">
        <f t="shared" si="434"/>
        <v>-0.30676656640150074</v>
      </c>
      <c r="K3489">
        <f t="shared" si="435"/>
        <v>-0.95178478330882854</v>
      </c>
      <c r="L3489">
        <f>VLOOKUP(D3489,[1]SOI!$A$1:$C$142,3)</f>
        <v>-2.2999999999999998</v>
      </c>
      <c r="M3489" s="2">
        <f t="shared" si="436"/>
        <v>-1070.0017836084346</v>
      </c>
      <c r="N3489">
        <f t="shared" si="437"/>
        <v>-3319.825324181194</v>
      </c>
      <c r="O3489" t="s">
        <v>8</v>
      </c>
    </row>
    <row r="3490" spans="1:15" x14ac:dyDescent="0.35">
      <c r="A3490">
        <v>2009</v>
      </c>
      <c r="B3490">
        <v>7</v>
      </c>
      <c r="C3490">
        <v>20</v>
      </c>
      <c r="D3490" s="1">
        <f t="shared" si="432"/>
        <v>40014</v>
      </c>
      <c r="E3490">
        <v>0</v>
      </c>
      <c r="F3490">
        <f t="shared" si="438"/>
        <v>0</v>
      </c>
      <c r="G3490">
        <f t="shared" si="433"/>
        <v>0</v>
      </c>
      <c r="H3490">
        <f t="shared" si="439"/>
        <v>0</v>
      </c>
      <c r="I3490">
        <v>3489</v>
      </c>
      <c r="J3490">
        <f t="shared" si="434"/>
        <v>-0.32309337555234252</v>
      </c>
      <c r="K3490">
        <f t="shared" si="435"/>
        <v>-0.94636709086600901</v>
      </c>
      <c r="L3490">
        <f>VLOOKUP(D3490,[1]SOI!$A$1:$C$142,3)</f>
        <v>-2.2999999999999998</v>
      </c>
      <c r="M3490" s="2">
        <f t="shared" si="436"/>
        <v>-1127.2727873021231</v>
      </c>
      <c r="N3490">
        <f t="shared" si="437"/>
        <v>-3301.8747800315055</v>
      </c>
      <c r="O3490" t="s">
        <v>8</v>
      </c>
    </row>
    <row r="3491" spans="1:15" x14ac:dyDescent="0.35">
      <c r="A3491">
        <v>2009</v>
      </c>
      <c r="B3491">
        <v>7</v>
      </c>
      <c r="C3491">
        <v>21</v>
      </c>
      <c r="D3491" s="1">
        <f t="shared" si="432"/>
        <v>40015</v>
      </c>
      <c r="E3491">
        <v>0</v>
      </c>
      <c r="F3491">
        <f t="shared" si="438"/>
        <v>0</v>
      </c>
      <c r="G3491">
        <f t="shared" si="433"/>
        <v>0</v>
      </c>
      <c r="H3491">
        <f t="shared" si="439"/>
        <v>0</v>
      </c>
      <c r="I3491">
        <v>3490</v>
      </c>
      <c r="J3491">
        <f t="shared" si="434"/>
        <v>-0.33932457617528583</v>
      </c>
      <c r="K3491">
        <f t="shared" si="435"/>
        <v>-0.94066935317541978</v>
      </c>
      <c r="L3491">
        <f>VLOOKUP(D3491,[1]SOI!$A$1:$C$142,3)</f>
        <v>-2.2999999999999998</v>
      </c>
      <c r="M3491" s="2">
        <f t="shared" si="436"/>
        <v>-1184.2427708517475</v>
      </c>
      <c r="N3491">
        <f t="shared" si="437"/>
        <v>-3282.9360425822151</v>
      </c>
      <c r="O3491" t="s">
        <v>8</v>
      </c>
    </row>
    <row r="3492" spans="1:15" x14ac:dyDescent="0.35">
      <c r="A3492">
        <v>2009</v>
      </c>
      <c r="B3492">
        <v>7</v>
      </c>
      <c r="C3492">
        <v>22</v>
      </c>
      <c r="D3492" s="1">
        <f t="shared" si="432"/>
        <v>40016</v>
      </c>
      <c r="E3492">
        <v>0</v>
      </c>
      <c r="F3492">
        <f t="shared" si="438"/>
        <v>0</v>
      </c>
      <c r="G3492">
        <f t="shared" si="433"/>
        <v>0</v>
      </c>
      <c r="H3492">
        <f t="shared" si="439"/>
        <v>0</v>
      </c>
      <c r="I3492">
        <v>3491</v>
      </c>
      <c r="J3492">
        <f t="shared" si="434"/>
        <v>-0.35545536519693133</v>
      </c>
      <c r="K3492">
        <f t="shared" si="435"/>
        <v>-0.93469325628931132</v>
      </c>
      <c r="L3492">
        <f>VLOOKUP(D3492,[1]SOI!$A$1:$C$142,3)</f>
        <v>-2.2999999999999998</v>
      </c>
      <c r="M3492" s="2">
        <f t="shared" si="436"/>
        <v>-1240.8946799024873</v>
      </c>
      <c r="N3492">
        <f t="shared" si="437"/>
        <v>-3263.0141577059858</v>
      </c>
      <c r="O3492" t="s">
        <v>8</v>
      </c>
    </row>
    <row r="3493" spans="1:15" x14ac:dyDescent="0.35">
      <c r="A3493">
        <v>2009</v>
      </c>
      <c r="B3493">
        <v>7</v>
      </c>
      <c r="C3493">
        <v>23</v>
      </c>
      <c r="D3493" s="1">
        <f t="shared" si="432"/>
        <v>40017</v>
      </c>
      <c r="E3493">
        <v>15.6</v>
      </c>
      <c r="F3493">
        <f t="shared" si="438"/>
        <v>0</v>
      </c>
      <c r="G3493">
        <f t="shared" si="433"/>
        <v>1</v>
      </c>
      <c r="H3493">
        <f t="shared" si="439"/>
        <v>0</v>
      </c>
      <c r="I3493">
        <v>3492</v>
      </c>
      <c r="J3493">
        <f t="shared" si="434"/>
        <v>-0.37148096925728813</v>
      </c>
      <c r="K3493">
        <f t="shared" si="435"/>
        <v>-0.9284405686308983</v>
      </c>
      <c r="L3493">
        <f>VLOOKUP(D3493,[1]SOI!$A$1:$C$142,3)</f>
        <v>-2.2999999999999998</v>
      </c>
      <c r="M3493" s="2">
        <f t="shared" si="436"/>
        <v>-1297.2115446464502</v>
      </c>
      <c r="N3493">
        <f t="shared" si="437"/>
        <v>-3242.1144656590968</v>
      </c>
      <c r="O3493" t="s">
        <v>8</v>
      </c>
    </row>
    <row r="3494" spans="1:15" x14ac:dyDescent="0.35">
      <c r="A3494">
        <v>2009</v>
      </c>
      <c r="B3494">
        <v>7</v>
      </c>
      <c r="C3494">
        <v>24</v>
      </c>
      <c r="D3494" s="1">
        <f t="shared" si="432"/>
        <v>40018</v>
      </c>
      <c r="E3494">
        <v>0</v>
      </c>
      <c r="F3494">
        <f t="shared" si="438"/>
        <v>15.6</v>
      </c>
      <c r="G3494">
        <f t="shared" si="433"/>
        <v>0</v>
      </c>
      <c r="H3494">
        <f t="shared" si="439"/>
        <v>1</v>
      </c>
      <c r="I3494">
        <v>3493</v>
      </c>
      <c r="J3494">
        <f t="shared" si="434"/>
        <v>-0.38739664612228764</v>
      </c>
      <c r="K3494">
        <f t="shared" si="435"/>
        <v>-0.92191314047105488</v>
      </c>
      <c r="L3494">
        <f>VLOOKUP(D3494,[1]SOI!$A$1:$C$142,3)</f>
        <v>-2.2999999999999998</v>
      </c>
      <c r="M3494" s="2">
        <f t="shared" si="436"/>
        <v>-1353.1764849051508</v>
      </c>
      <c r="N3494">
        <f t="shared" si="437"/>
        <v>-3220.2425996653947</v>
      </c>
      <c r="O3494" t="s">
        <v>8</v>
      </c>
    </row>
    <row r="3495" spans="1:15" x14ac:dyDescent="0.35">
      <c r="A3495">
        <v>2009</v>
      </c>
      <c r="B3495">
        <v>7</v>
      </c>
      <c r="C3495">
        <v>25</v>
      </c>
      <c r="D3495" s="1">
        <f t="shared" si="432"/>
        <v>40019</v>
      </c>
      <c r="E3495">
        <v>0</v>
      </c>
      <c r="F3495">
        <f t="shared" si="438"/>
        <v>0</v>
      </c>
      <c r="G3495">
        <f t="shared" si="433"/>
        <v>0</v>
      </c>
      <c r="H3495">
        <f t="shared" si="439"/>
        <v>0</v>
      </c>
      <c r="I3495">
        <v>3494</v>
      </c>
      <c r="J3495">
        <f t="shared" si="434"/>
        <v>-0.40319768608708029</v>
      </c>
      <c r="K3495">
        <f t="shared" si="435"/>
        <v>-0.91511290338079287</v>
      </c>
      <c r="L3495">
        <f>VLOOKUP(D3495,[1]SOI!$A$1:$C$142,3)</f>
        <v>-2.2999999999999998</v>
      </c>
      <c r="M3495" s="2">
        <f t="shared" si="436"/>
        <v>-1408.7727151882584</v>
      </c>
      <c r="N3495">
        <f t="shared" si="437"/>
        <v>-3197.4044844124901</v>
      </c>
      <c r="O3495" t="s">
        <v>8</v>
      </c>
    </row>
    <row r="3496" spans="1:15" x14ac:dyDescent="0.35">
      <c r="A3496">
        <v>2009</v>
      </c>
      <c r="B3496">
        <v>7</v>
      </c>
      <c r="C3496">
        <v>26</v>
      </c>
      <c r="D3496" s="1">
        <f t="shared" si="432"/>
        <v>40020</v>
      </c>
      <c r="E3496">
        <v>0</v>
      </c>
      <c r="F3496">
        <f t="shared" si="438"/>
        <v>0</v>
      </c>
      <c r="G3496">
        <f t="shared" si="433"/>
        <v>0</v>
      </c>
      <c r="H3496">
        <f t="shared" si="439"/>
        <v>0</v>
      </c>
      <c r="I3496">
        <v>3495</v>
      </c>
      <c r="J3496">
        <f t="shared" si="434"/>
        <v>-0.41887941336973927</v>
      </c>
      <c r="K3496">
        <f t="shared" si="435"/>
        <v>-0.90804186965966671</v>
      </c>
      <c r="L3496">
        <f>VLOOKUP(D3496,[1]SOI!$A$1:$C$142,3)</f>
        <v>-2.2999999999999998</v>
      </c>
      <c r="M3496" s="2">
        <f t="shared" si="436"/>
        <v>-1463.9835497272388</v>
      </c>
      <c r="N3496">
        <f t="shared" si="437"/>
        <v>-3173.606334460535</v>
      </c>
      <c r="O3496" t="s">
        <v>8</v>
      </c>
    </row>
    <row r="3497" spans="1:15" x14ac:dyDescent="0.35">
      <c r="A3497">
        <v>2009</v>
      </c>
      <c r="B3497">
        <v>7</v>
      </c>
      <c r="C3497">
        <v>27</v>
      </c>
      <c r="D3497" s="1">
        <f t="shared" si="432"/>
        <v>40021</v>
      </c>
      <c r="E3497">
        <v>0</v>
      </c>
      <c r="F3497">
        <f t="shared" si="438"/>
        <v>0</v>
      </c>
      <c r="G3497">
        <f t="shared" si="433"/>
        <v>0</v>
      </c>
      <c r="H3497">
        <f t="shared" si="439"/>
        <v>0</v>
      </c>
      <c r="I3497">
        <v>3496</v>
      </c>
      <c r="J3497">
        <f t="shared" si="434"/>
        <v>-0.43443718749486043</v>
      </c>
      <c r="K3497">
        <f t="shared" si="435"/>
        <v>-0.90070213174031932</v>
      </c>
      <c r="L3497">
        <f>VLOOKUP(D3497,[1]SOI!$A$1:$C$142,3)</f>
        <v>-2.2999999999999998</v>
      </c>
      <c r="M3497" s="2">
        <f t="shared" si="436"/>
        <v>-1518.7924074820321</v>
      </c>
      <c r="N3497">
        <f t="shared" si="437"/>
        <v>-3148.8546525641564</v>
      </c>
      <c r="O3497" t="s">
        <v>8</v>
      </c>
    </row>
    <row r="3498" spans="1:15" x14ac:dyDescent="0.35">
      <c r="A3498">
        <v>2009</v>
      </c>
      <c r="B3498">
        <v>7</v>
      </c>
      <c r="C3498">
        <v>28</v>
      </c>
      <c r="D3498" s="1">
        <f t="shared" si="432"/>
        <v>40022</v>
      </c>
      <c r="E3498">
        <v>0</v>
      </c>
      <c r="F3498">
        <f t="shared" si="438"/>
        <v>0</v>
      </c>
      <c r="G3498">
        <f t="shared" si="433"/>
        <v>0</v>
      </c>
      <c r="H3498">
        <f t="shared" si="439"/>
        <v>0</v>
      </c>
      <c r="I3498">
        <v>3497</v>
      </c>
      <c r="J3498">
        <f t="shared" si="434"/>
        <v>-0.44986640466677963</v>
      </c>
      <c r="K3498">
        <f t="shared" si="435"/>
        <v>-0.893095861569286</v>
      </c>
      <c r="L3498">
        <f>VLOOKUP(D3498,[1]SOI!$A$1:$C$142,3)</f>
        <v>-2.2999999999999998</v>
      </c>
      <c r="M3498" s="2">
        <f t="shared" si="436"/>
        <v>-1573.1828171197283</v>
      </c>
      <c r="N3498">
        <f t="shared" si="437"/>
        <v>-3123.156227907793</v>
      </c>
      <c r="O3498" t="s">
        <v>8</v>
      </c>
    </row>
    <row r="3499" spans="1:15" x14ac:dyDescent="0.35">
      <c r="A3499">
        <v>2009</v>
      </c>
      <c r="B3499">
        <v>7</v>
      </c>
      <c r="C3499">
        <v>29</v>
      </c>
      <c r="D3499" s="1">
        <f t="shared" si="432"/>
        <v>40023</v>
      </c>
      <c r="E3499">
        <v>0</v>
      </c>
      <c r="F3499">
        <f t="shared" si="438"/>
        <v>0</v>
      </c>
      <c r="G3499">
        <f t="shared" si="433"/>
        <v>0</v>
      </c>
      <c r="H3499">
        <f t="shared" si="439"/>
        <v>0</v>
      </c>
      <c r="I3499">
        <v>3498</v>
      </c>
      <c r="J3499">
        <f t="shared" si="434"/>
        <v>-0.46516249913190338</v>
      </c>
      <c r="K3499">
        <f t="shared" si="435"/>
        <v>-0.88522530996428361</v>
      </c>
      <c r="L3499">
        <f>VLOOKUP(D3499,[1]SOI!$A$1:$C$142,3)</f>
        <v>-2.2999999999999998</v>
      </c>
      <c r="M3499" s="2">
        <f t="shared" si="436"/>
        <v>-1627.1384219633981</v>
      </c>
      <c r="N3499">
        <f t="shared" si="437"/>
        <v>-3096.5181342550641</v>
      </c>
      <c r="O3499" t="s">
        <v>8</v>
      </c>
    </row>
    <row r="3500" spans="1:15" x14ac:dyDescent="0.35">
      <c r="A3500">
        <v>2009</v>
      </c>
      <c r="B3500">
        <v>7</v>
      </c>
      <c r="C3500">
        <v>30</v>
      </c>
      <c r="D3500" s="1">
        <f t="shared" si="432"/>
        <v>40024</v>
      </c>
      <c r="E3500">
        <v>0.4</v>
      </c>
      <c r="F3500">
        <f t="shared" si="438"/>
        <v>0</v>
      </c>
      <c r="G3500">
        <f t="shared" si="433"/>
        <v>1</v>
      </c>
      <c r="H3500">
        <f t="shared" si="439"/>
        <v>0</v>
      </c>
      <c r="I3500">
        <v>3499</v>
      </c>
      <c r="J3500">
        <f t="shared" si="434"/>
        <v>-0.48032094452978275</v>
      </c>
      <c r="K3500">
        <f t="shared" si="435"/>
        <v>-0.87709280594816041</v>
      </c>
      <c r="L3500">
        <f>VLOOKUP(D3500,[1]SOI!$A$1:$C$142,3)</f>
        <v>-2.2999999999999998</v>
      </c>
      <c r="M3500" s="2">
        <f t="shared" si="436"/>
        <v>-1680.6429849097099</v>
      </c>
      <c r="N3500">
        <f t="shared" si="437"/>
        <v>-3068.9477280126134</v>
      </c>
      <c r="O3500" t="s">
        <v>8</v>
      </c>
    </row>
    <row r="3501" spans="1:15" x14ac:dyDescent="0.35">
      <c r="A3501">
        <v>2009</v>
      </c>
      <c r="B3501">
        <v>7</v>
      </c>
      <c r="C3501">
        <v>31</v>
      </c>
      <c r="D3501" s="1">
        <f t="shared" si="432"/>
        <v>40025</v>
      </c>
      <c r="E3501">
        <v>7.2</v>
      </c>
      <c r="F3501">
        <f t="shared" si="438"/>
        <v>0.4</v>
      </c>
      <c r="G3501">
        <f t="shared" si="433"/>
        <v>1</v>
      </c>
      <c r="H3501">
        <f t="shared" si="439"/>
        <v>1</v>
      </c>
      <c r="I3501">
        <v>3500</v>
      </c>
      <c r="J3501">
        <f t="shared" si="434"/>
        <v>-0.49533725523256111</v>
      </c>
      <c r="K3501">
        <f t="shared" si="435"/>
        <v>-0.86870075605968744</v>
      </c>
      <c r="L3501">
        <f>VLOOKUP(D3501,[1]SOI!$A$1:$C$142,3)</f>
        <v>-2.2999999999999998</v>
      </c>
      <c r="M3501" s="2">
        <f t="shared" si="436"/>
        <v>-1733.6803933139638</v>
      </c>
      <c r="N3501">
        <f t="shared" si="437"/>
        <v>-3040.4526462089061</v>
      </c>
      <c r="O3501" t="s">
        <v>8</v>
      </c>
    </row>
    <row r="3502" spans="1:15" x14ac:dyDescent="0.35">
      <c r="A3502">
        <v>2009</v>
      </c>
      <c r="B3502">
        <v>8</v>
      </c>
      <c r="C3502">
        <v>1</v>
      </c>
      <c r="D3502" s="1">
        <f t="shared" si="432"/>
        <v>40026</v>
      </c>
      <c r="E3502">
        <v>0.2</v>
      </c>
      <c r="F3502">
        <f t="shared" si="438"/>
        <v>7.2</v>
      </c>
      <c r="G3502">
        <f t="shared" si="433"/>
        <v>1</v>
      </c>
      <c r="H3502">
        <f t="shared" si="439"/>
        <v>1</v>
      </c>
      <c r="I3502">
        <v>3501</v>
      </c>
      <c r="J3502">
        <f t="shared" si="434"/>
        <v>-0.51020698767230599</v>
      </c>
      <c r="K3502">
        <f t="shared" si="435"/>
        <v>-0.86005164364144515</v>
      </c>
      <c r="L3502">
        <f>VLOOKUP(D3502,[1]SOI!$A$1:$C$142,3)</f>
        <v>1.6</v>
      </c>
      <c r="M3502" s="2">
        <f t="shared" si="436"/>
        <v>-1786.2346638407432</v>
      </c>
      <c r="N3502">
        <f t="shared" si="437"/>
        <v>-3011.0408043886996</v>
      </c>
      <c r="O3502" t="s">
        <v>8</v>
      </c>
    </row>
    <row r="3503" spans="1:15" x14ac:dyDescent="0.35">
      <c r="A3503">
        <v>2009</v>
      </c>
      <c r="B3503">
        <v>8</v>
      </c>
      <c r="C3503">
        <v>2</v>
      </c>
      <c r="D3503" s="1">
        <f t="shared" si="432"/>
        <v>40027</v>
      </c>
      <c r="E3503">
        <v>0.4</v>
      </c>
      <c r="F3503">
        <f t="shared" si="438"/>
        <v>0.2</v>
      </c>
      <c r="G3503">
        <f t="shared" si="433"/>
        <v>1</v>
      </c>
      <c r="H3503">
        <f t="shared" si="439"/>
        <v>1</v>
      </c>
      <c r="I3503">
        <v>3502</v>
      </c>
      <c r="J3503">
        <f t="shared" si="434"/>
        <v>-0.52492574165595762</v>
      </c>
      <c r="K3503">
        <f t="shared" si="435"/>
        <v>-0.85114802810494894</v>
      </c>
      <c r="L3503">
        <f>VLOOKUP(D3503,[1]SOI!$A$1:$C$142,3)</f>
        <v>1.6</v>
      </c>
      <c r="M3503" s="2">
        <f t="shared" si="436"/>
        <v>-1838.2899472791637</v>
      </c>
      <c r="N3503">
        <f t="shared" si="437"/>
        <v>-2980.7203944235312</v>
      </c>
      <c r="O3503" t="s">
        <v>8</v>
      </c>
    </row>
    <row r="3504" spans="1:15" x14ac:dyDescent="0.35">
      <c r="A3504">
        <v>2009</v>
      </c>
      <c r="B3504">
        <v>8</v>
      </c>
      <c r="C3504">
        <v>3</v>
      </c>
      <c r="D3504" s="1">
        <f t="shared" si="432"/>
        <v>40028</v>
      </c>
      <c r="E3504">
        <v>3.2</v>
      </c>
      <c r="F3504">
        <f t="shared" si="438"/>
        <v>0.4</v>
      </c>
      <c r="G3504">
        <f t="shared" si="433"/>
        <v>1</v>
      </c>
      <c r="H3504">
        <f t="shared" si="439"/>
        <v>1</v>
      </c>
      <c r="I3504">
        <v>3503</v>
      </c>
      <c r="J3504">
        <f t="shared" si="434"/>
        <v>-0.53948916166741001</v>
      </c>
      <c r="K3504">
        <f t="shared" si="435"/>
        <v>-0.8419925441732814</v>
      </c>
      <c r="L3504">
        <f>VLOOKUP(D3504,[1]SOI!$A$1:$C$142,3)</f>
        <v>1.6</v>
      </c>
      <c r="M3504" s="2">
        <f t="shared" si="436"/>
        <v>-1889.8305333209373</v>
      </c>
      <c r="N3504">
        <f t="shared" si="437"/>
        <v>-2949.4998822390048</v>
      </c>
      <c r="O3504" t="s">
        <v>8</v>
      </c>
    </row>
    <row r="3505" spans="1:15" x14ac:dyDescent="0.35">
      <c r="A3505">
        <v>2009</v>
      </c>
      <c r="B3505">
        <v>8</v>
      </c>
      <c r="C3505">
        <v>4</v>
      </c>
      <c r="D3505" s="1">
        <f t="shared" si="432"/>
        <v>40029</v>
      </c>
      <c r="E3505">
        <v>0</v>
      </c>
      <c r="F3505">
        <f t="shared" si="438"/>
        <v>3.2</v>
      </c>
      <c r="G3505">
        <f t="shared" si="433"/>
        <v>0</v>
      </c>
      <c r="H3505">
        <f t="shared" si="439"/>
        <v>1</v>
      </c>
      <c r="I3505">
        <v>3504</v>
      </c>
      <c r="J3505">
        <f t="shared" si="434"/>
        <v>-0.55389293815637897</v>
      </c>
      <c r="K3505">
        <f t="shared" si="435"/>
        <v>-0.83258790110143543</v>
      </c>
      <c r="L3505">
        <f>VLOOKUP(D3505,[1]SOI!$A$1:$C$142,3)</f>
        <v>1.6</v>
      </c>
      <c r="M3505" s="2">
        <f t="shared" si="436"/>
        <v>-1940.840855299952</v>
      </c>
      <c r="N3505">
        <f t="shared" si="437"/>
        <v>-2917.3880054594297</v>
      </c>
      <c r="O3505" t="s">
        <v>8</v>
      </c>
    </row>
    <row r="3506" spans="1:15" x14ac:dyDescent="0.35">
      <c r="A3506">
        <v>2009</v>
      </c>
      <c r="B3506">
        <v>8</v>
      </c>
      <c r="C3506">
        <v>5</v>
      </c>
      <c r="D3506" s="1">
        <f t="shared" si="432"/>
        <v>40030</v>
      </c>
      <c r="E3506">
        <v>5.2</v>
      </c>
      <c r="F3506">
        <f t="shared" si="438"/>
        <v>0</v>
      </c>
      <c r="G3506">
        <f t="shared" si="433"/>
        <v>1</v>
      </c>
      <c r="H3506">
        <f t="shared" si="439"/>
        <v>0</v>
      </c>
      <c r="I3506">
        <v>3505</v>
      </c>
      <c r="J3506">
        <f t="shared" si="434"/>
        <v>-0.56813280881366124</v>
      </c>
      <c r="K3506">
        <f t="shared" si="435"/>
        <v>-0.82293688187460634</v>
      </c>
      <c r="L3506">
        <f>VLOOKUP(D3506,[1]SOI!$A$1:$C$142,3)</f>
        <v>1.6</v>
      </c>
      <c r="M3506" s="2">
        <f t="shared" si="436"/>
        <v>-1991.3054948918827</v>
      </c>
      <c r="N3506">
        <f t="shared" si="437"/>
        <v>-2884.3937709704951</v>
      </c>
      <c r="O3506" t="s">
        <v>8</v>
      </c>
    </row>
    <row r="3507" spans="1:15" x14ac:dyDescent="0.35">
      <c r="A3507">
        <v>2009</v>
      </c>
      <c r="B3507">
        <v>8</v>
      </c>
      <c r="C3507">
        <v>6</v>
      </c>
      <c r="D3507" s="1">
        <f t="shared" si="432"/>
        <v>40031</v>
      </c>
      <c r="E3507">
        <v>0</v>
      </c>
      <c r="F3507">
        <f t="shared" si="438"/>
        <v>5.2</v>
      </c>
      <c r="G3507">
        <f t="shared" si="433"/>
        <v>0</v>
      </c>
      <c r="H3507">
        <f t="shared" si="439"/>
        <v>1</v>
      </c>
      <c r="I3507">
        <v>3506</v>
      </c>
      <c r="J3507">
        <f t="shared" si="434"/>
        <v>-0.58220455983244335</v>
      </c>
      <c r="K3507">
        <f t="shared" si="435"/>
        <v>-0.81304234238464534</v>
      </c>
      <c r="L3507">
        <f>VLOOKUP(D3507,[1]SOI!$A$1:$C$142,3)</f>
        <v>1.6</v>
      </c>
      <c r="M3507" s="2">
        <f t="shared" si="436"/>
        <v>-2041.2091867725464</v>
      </c>
      <c r="N3507">
        <f t="shared" si="437"/>
        <v>-2850.5264524005665</v>
      </c>
      <c r="O3507" t="s">
        <v>8</v>
      </c>
    </row>
    <row r="3508" spans="1:15" x14ac:dyDescent="0.35">
      <c r="A3508">
        <v>2009</v>
      </c>
      <c r="B3508">
        <v>8</v>
      </c>
      <c r="C3508">
        <v>7</v>
      </c>
      <c r="D3508" s="1">
        <f t="shared" si="432"/>
        <v>40032</v>
      </c>
      <c r="E3508">
        <v>1</v>
      </c>
      <c r="F3508">
        <f t="shared" si="438"/>
        <v>0</v>
      </c>
      <c r="G3508">
        <f t="shared" si="433"/>
        <v>1</v>
      </c>
      <c r="H3508">
        <f t="shared" si="439"/>
        <v>0</v>
      </c>
      <c r="I3508">
        <v>3507</v>
      </c>
      <c r="J3508">
        <f t="shared" si="434"/>
        <v>-0.59610402715520039</v>
      </c>
      <c r="K3508">
        <f t="shared" si="435"/>
        <v>-0.80290721058497916</v>
      </c>
      <c r="L3508">
        <f>VLOOKUP(D3508,[1]SOI!$A$1:$C$142,3)</f>
        <v>1.6</v>
      </c>
      <c r="M3508" s="2">
        <f t="shared" si="436"/>
        <v>-2090.5368232332876</v>
      </c>
      <c r="N3508">
        <f t="shared" si="437"/>
        <v>-2815.7955875215221</v>
      </c>
      <c r="O3508" t="s">
        <v>8</v>
      </c>
    </row>
    <row r="3509" spans="1:15" x14ac:dyDescent="0.35">
      <c r="A3509">
        <v>2009</v>
      </c>
      <c r="B3509">
        <v>8</v>
      </c>
      <c r="C3509">
        <v>8</v>
      </c>
      <c r="D3509" s="1">
        <f t="shared" si="432"/>
        <v>40033</v>
      </c>
      <c r="E3509">
        <v>0</v>
      </c>
      <c r="F3509">
        <f t="shared" si="438"/>
        <v>1</v>
      </c>
      <c r="G3509">
        <f t="shared" si="433"/>
        <v>0</v>
      </c>
      <c r="H3509">
        <f t="shared" si="439"/>
        <v>1</v>
      </c>
      <c r="I3509">
        <v>3508</v>
      </c>
      <c r="J3509">
        <f t="shared" si="434"/>
        <v>-0.60982709770593058</v>
      </c>
      <c r="K3509">
        <f t="shared" si="435"/>
        <v>-0.79253448562416595</v>
      </c>
      <c r="L3509">
        <f>VLOOKUP(D3509,[1]SOI!$A$1:$C$142,3)</f>
        <v>1.6</v>
      </c>
      <c r="M3509" s="2">
        <f t="shared" si="436"/>
        <v>-2139.2734587524046</v>
      </c>
      <c r="N3509">
        <f t="shared" si="437"/>
        <v>-2780.2109755695742</v>
      </c>
      <c r="O3509" t="s">
        <v>8</v>
      </c>
    </row>
    <row r="3510" spans="1:15" x14ac:dyDescent="0.35">
      <c r="A3510">
        <v>2009</v>
      </c>
      <c r="B3510">
        <v>8</v>
      </c>
      <c r="C3510">
        <v>9</v>
      </c>
      <c r="D3510" s="1">
        <f t="shared" si="432"/>
        <v>40034</v>
      </c>
      <c r="E3510">
        <v>0</v>
      </c>
      <c r="F3510">
        <f t="shared" si="438"/>
        <v>0</v>
      </c>
      <c r="G3510">
        <f t="shared" si="433"/>
        <v>0</v>
      </c>
      <c r="H3510">
        <f t="shared" si="439"/>
        <v>0</v>
      </c>
      <c r="I3510">
        <v>3509</v>
      </c>
      <c r="J3510">
        <f t="shared" si="434"/>
        <v>-0.62336971060728064</v>
      </c>
      <c r="K3510">
        <f t="shared" si="435"/>
        <v>-0.78192723695839839</v>
      </c>
      <c r="L3510">
        <f>VLOOKUP(D3510,[1]SOI!$A$1:$C$142,3)</f>
        <v>1.6</v>
      </c>
      <c r="M3510" s="2">
        <f t="shared" si="436"/>
        <v>-2187.4043145209475</v>
      </c>
      <c r="N3510">
        <f t="shared" si="437"/>
        <v>-2743.7826744870199</v>
      </c>
      <c r="O3510" t="s">
        <v>8</v>
      </c>
    </row>
    <row r="3511" spans="1:15" x14ac:dyDescent="0.35">
      <c r="A3511">
        <v>2009</v>
      </c>
      <c r="B3511">
        <v>8</v>
      </c>
      <c r="C3511">
        <v>10</v>
      </c>
      <c r="D3511" s="1">
        <f t="shared" si="432"/>
        <v>40035</v>
      </c>
      <c r="E3511">
        <v>0</v>
      </c>
      <c r="F3511">
        <f t="shared" si="438"/>
        <v>0</v>
      </c>
      <c r="G3511">
        <f t="shared" si="433"/>
        <v>0</v>
      </c>
      <c r="H3511">
        <f t="shared" si="439"/>
        <v>0</v>
      </c>
      <c r="I3511">
        <v>3510</v>
      </c>
      <c r="J3511">
        <f t="shared" si="434"/>
        <v>-0.63672785838219104</v>
      </c>
      <c r="K3511">
        <f t="shared" si="435"/>
        <v>-0.77108860344322849</v>
      </c>
      <c r="L3511">
        <f>VLOOKUP(D3511,[1]SOI!$A$1:$C$142,3)</f>
        <v>1.6</v>
      </c>
      <c r="M3511" s="2">
        <f t="shared" si="436"/>
        <v>-2234.9147829214903</v>
      </c>
      <c r="N3511">
        <f t="shared" si="437"/>
        <v>-2706.5209980857321</v>
      </c>
      <c r="O3511" t="s">
        <v>8</v>
      </c>
    </row>
    <row r="3512" spans="1:15" x14ac:dyDescent="0.35">
      <c r="A3512">
        <v>2009</v>
      </c>
      <c r="B3512">
        <v>8</v>
      </c>
      <c r="C3512">
        <v>11</v>
      </c>
      <c r="D3512" s="1">
        <f t="shared" si="432"/>
        <v>40036</v>
      </c>
      <c r="E3512">
        <v>0.6</v>
      </c>
      <c r="F3512">
        <f t="shared" si="438"/>
        <v>0</v>
      </c>
      <c r="G3512">
        <f t="shared" si="433"/>
        <v>1</v>
      </c>
      <c r="H3512">
        <f t="shared" si="439"/>
        <v>0</v>
      </c>
      <c r="I3512">
        <v>3511</v>
      </c>
      <c r="J3512">
        <f t="shared" si="434"/>
        <v>-0.64989758813985099</v>
      </c>
      <c r="K3512">
        <f t="shared" si="435"/>
        <v>-0.76002179240466827</v>
      </c>
      <c r="L3512">
        <f>VLOOKUP(D3512,[1]SOI!$A$1:$C$142,3)</f>
        <v>1.6</v>
      </c>
      <c r="M3512" s="2">
        <f t="shared" si="436"/>
        <v>-2281.790431959017</v>
      </c>
      <c r="N3512">
        <f t="shared" si="437"/>
        <v>-2668.4365131327904</v>
      </c>
      <c r="O3512" t="s">
        <v>8</v>
      </c>
    </row>
    <row r="3513" spans="1:15" x14ac:dyDescent="0.35">
      <c r="A3513">
        <v>2009</v>
      </c>
      <c r="B3513">
        <v>8</v>
      </c>
      <c r="C3513">
        <v>12</v>
      </c>
      <c r="D3513" s="1">
        <f t="shared" si="432"/>
        <v>40037</v>
      </c>
      <c r="E3513">
        <v>5.8</v>
      </c>
      <c r="F3513">
        <f t="shared" si="438"/>
        <v>0.6</v>
      </c>
      <c r="G3513">
        <f t="shared" si="433"/>
        <v>1</v>
      </c>
      <c r="H3513">
        <f t="shared" si="439"/>
        <v>1</v>
      </c>
      <c r="I3513">
        <v>3512</v>
      </c>
      <c r="J3513">
        <f t="shared" si="434"/>
        <v>-0.66287500274533362</v>
      </c>
      <c r="K3513">
        <f t="shared" si="435"/>
        <v>-0.74873007869016051</v>
      </c>
      <c r="L3513">
        <f>VLOOKUP(D3513,[1]SOI!$A$1:$C$142,3)</f>
        <v>1.6</v>
      </c>
      <c r="M3513" s="2">
        <f t="shared" si="436"/>
        <v>-2328.0170096416118</v>
      </c>
      <c r="N3513">
        <f t="shared" si="437"/>
        <v>-2629.5400363598437</v>
      </c>
      <c r="O3513" t="s">
        <v>8</v>
      </c>
    </row>
    <row r="3514" spans="1:15" x14ac:dyDescent="0.35">
      <c r="A3514">
        <v>2009</v>
      </c>
      <c r="B3514">
        <v>8</v>
      </c>
      <c r="C3514">
        <v>13</v>
      </c>
      <c r="D3514" s="1">
        <f t="shared" si="432"/>
        <v>40038</v>
      </c>
      <c r="E3514">
        <v>0.4</v>
      </c>
      <c r="F3514">
        <f t="shared" si="438"/>
        <v>5.8</v>
      </c>
      <c r="G3514">
        <f t="shared" si="433"/>
        <v>1</v>
      </c>
      <c r="H3514">
        <f t="shared" si="439"/>
        <v>1</v>
      </c>
      <c r="I3514">
        <v>3513</v>
      </c>
      <c r="J3514">
        <f t="shared" si="434"/>
        <v>-0.67565626197287054</v>
      </c>
      <c r="K3514">
        <f t="shared" si="435"/>
        <v>-0.73721680369945974</v>
      </c>
      <c r="L3514">
        <f>VLOOKUP(D3514,[1]SOI!$A$1:$C$142,3)</f>
        <v>1.6</v>
      </c>
      <c r="M3514" s="2">
        <f t="shared" si="436"/>
        <v>-2373.580448310694</v>
      </c>
      <c r="N3514">
        <f t="shared" si="437"/>
        <v>-2589.8426313962023</v>
      </c>
      <c r="O3514" t="s">
        <v>8</v>
      </c>
    </row>
    <row r="3515" spans="1:15" x14ac:dyDescent="0.35">
      <c r="A3515">
        <v>2009</v>
      </c>
      <c r="B3515">
        <v>8</v>
      </c>
      <c r="C3515">
        <v>14</v>
      </c>
      <c r="D3515" s="1">
        <f t="shared" si="432"/>
        <v>40039</v>
      </c>
      <c r="E3515">
        <v>1</v>
      </c>
      <c r="F3515">
        <f t="shared" si="438"/>
        <v>0.4</v>
      </c>
      <c r="G3515">
        <f t="shared" si="433"/>
        <v>1</v>
      </c>
      <c r="H3515">
        <f t="shared" si="439"/>
        <v>1</v>
      </c>
      <c r="I3515">
        <v>3514</v>
      </c>
      <c r="J3515">
        <f t="shared" si="434"/>
        <v>-0.68823758364223087</v>
      </c>
      <c r="K3515">
        <f t="shared" si="435"/>
        <v>-0.72548537439586147</v>
      </c>
      <c r="L3515">
        <f>VLOOKUP(D3515,[1]SOI!$A$1:$C$142,3)</f>
        <v>1.6</v>
      </c>
      <c r="M3515" s="2">
        <f t="shared" si="436"/>
        <v>-2418.4668689187993</v>
      </c>
      <c r="N3515">
        <f t="shared" si="437"/>
        <v>-2549.3556056270572</v>
      </c>
      <c r="O3515" t="s">
        <v>8</v>
      </c>
    </row>
    <row r="3516" spans="1:15" x14ac:dyDescent="0.35">
      <c r="A3516">
        <v>2009</v>
      </c>
      <c r="B3516">
        <v>8</v>
      </c>
      <c r="C3516">
        <v>15</v>
      </c>
      <c r="D3516" s="1">
        <f t="shared" si="432"/>
        <v>40040</v>
      </c>
      <c r="E3516">
        <v>0</v>
      </c>
      <c r="F3516">
        <f t="shared" si="438"/>
        <v>1</v>
      </c>
      <c r="G3516">
        <f t="shared" si="433"/>
        <v>0</v>
      </c>
      <c r="H3516">
        <f t="shared" si="439"/>
        <v>1</v>
      </c>
      <c r="I3516">
        <v>3515</v>
      </c>
      <c r="J3516">
        <f t="shared" si="434"/>
        <v>-0.70061524473790826</v>
      </c>
      <c r="K3516">
        <f t="shared" si="435"/>
        <v>-0.71353926229804687</v>
      </c>
      <c r="L3516">
        <f>VLOOKUP(D3516,[1]SOI!$A$1:$C$142,3)</f>
        <v>1.6</v>
      </c>
      <c r="M3516" s="2">
        <f t="shared" si="436"/>
        <v>-2462.6625852537477</v>
      </c>
      <c r="N3516">
        <f t="shared" si="437"/>
        <v>-2508.090506977635</v>
      </c>
      <c r="O3516" t="s">
        <v>8</v>
      </c>
    </row>
    <row r="3517" spans="1:15" x14ac:dyDescent="0.35">
      <c r="A3517">
        <v>2009</v>
      </c>
      <c r="B3517">
        <v>8</v>
      </c>
      <c r="C3517">
        <v>16</v>
      </c>
      <c r="D3517" s="1">
        <f t="shared" si="432"/>
        <v>40041</v>
      </c>
      <c r="E3517">
        <v>0</v>
      </c>
      <c r="F3517">
        <f t="shared" si="438"/>
        <v>0</v>
      </c>
      <c r="G3517">
        <f t="shared" si="433"/>
        <v>0</v>
      </c>
      <c r="H3517">
        <f t="shared" si="439"/>
        <v>0</v>
      </c>
      <c r="I3517">
        <v>3516</v>
      </c>
      <c r="J3517">
        <f t="shared" si="434"/>
        <v>-0.71278558251084223</v>
      </c>
      <c r="K3517">
        <f t="shared" si="435"/>
        <v>-0.70138200245278559</v>
      </c>
      <c r="L3517">
        <f>VLOOKUP(D3517,[1]SOI!$A$1:$C$142,3)</f>
        <v>1.6</v>
      </c>
      <c r="M3517" s="2">
        <f t="shared" si="436"/>
        <v>-2506.1541081081214</v>
      </c>
      <c r="N3517">
        <f t="shared" si="437"/>
        <v>-2466.0591206239942</v>
      </c>
      <c r="O3517" t="s">
        <v>8</v>
      </c>
    </row>
    <row r="3518" spans="1:15" x14ac:dyDescent="0.35">
      <c r="A3518">
        <v>2009</v>
      </c>
      <c r="B3518">
        <v>8</v>
      </c>
      <c r="C3518">
        <v>17</v>
      </c>
      <c r="D3518" s="1">
        <f t="shared" si="432"/>
        <v>40042</v>
      </c>
      <c r="E3518">
        <v>5.4</v>
      </c>
      <c r="F3518">
        <f t="shared" si="438"/>
        <v>0</v>
      </c>
      <c r="G3518">
        <f t="shared" si="433"/>
        <v>1</v>
      </c>
      <c r="H3518">
        <f t="shared" si="439"/>
        <v>0</v>
      </c>
      <c r="I3518">
        <v>3517</v>
      </c>
      <c r="J3518">
        <f t="shared" si="434"/>
        <v>-0.7247449955623041</v>
      </c>
      <c r="K3518">
        <f t="shared" si="435"/>
        <v>-0.68901719238883719</v>
      </c>
      <c r="L3518">
        <f>VLOOKUP(D3518,[1]SOI!$A$1:$C$142,3)</f>
        <v>1.6</v>
      </c>
      <c r="M3518" s="2">
        <f t="shared" si="436"/>
        <v>-2548.9281493926237</v>
      </c>
      <c r="N3518">
        <f t="shared" si="437"/>
        <v>-2423.2734656315406</v>
      </c>
      <c r="O3518" t="s">
        <v>8</v>
      </c>
    </row>
    <row r="3519" spans="1:15" x14ac:dyDescent="0.35">
      <c r="A3519">
        <v>2009</v>
      </c>
      <c r="B3519">
        <v>8</v>
      </c>
      <c r="C3519">
        <v>18</v>
      </c>
      <c r="D3519" s="1">
        <f t="shared" si="432"/>
        <v>40043</v>
      </c>
      <c r="E3519">
        <v>0</v>
      </c>
      <c r="F3519">
        <f t="shared" si="438"/>
        <v>5.4</v>
      </c>
      <c r="G3519">
        <f t="shared" si="433"/>
        <v>0</v>
      </c>
      <c r="H3519">
        <f t="shared" si="439"/>
        <v>1</v>
      </c>
      <c r="I3519">
        <v>3518</v>
      </c>
      <c r="J3519">
        <f t="shared" si="434"/>
        <v>-0.73648994490955799</v>
      </c>
      <c r="K3519">
        <f t="shared" si="435"/>
        <v>-0.67644849105243499</v>
      </c>
      <c r="L3519">
        <f>VLOOKUP(D3519,[1]SOI!$A$1:$C$142,3)</f>
        <v>1.6</v>
      </c>
      <c r="M3519" s="2">
        <f t="shared" si="436"/>
        <v>-2590.9716261918252</v>
      </c>
      <c r="N3519">
        <f t="shared" si="437"/>
        <v>-2379.7457915224663</v>
      </c>
      <c r="O3519" t="s">
        <v>8</v>
      </c>
    </row>
    <row r="3520" spans="1:15" x14ac:dyDescent="0.35">
      <c r="A3520">
        <v>2009</v>
      </c>
      <c r="B3520">
        <v>8</v>
      </c>
      <c r="C3520">
        <v>19</v>
      </c>
      <c r="D3520" s="1">
        <f t="shared" si="432"/>
        <v>40044</v>
      </c>
      <c r="E3520">
        <v>0</v>
      </c>
      <c r="F3520">
        <f t="shared" si="438"/>
        <v>0</v>
      </c>
      <c r="G3520">
        <f t="shared" si="433"/>
        <v>0</v>
      </c>
      <c r="H3520">
        <f t="shared" si="439"/>
        <v>0</v>
      </c>
      <c r="I3520">
        <v>3519</v>
      </c>
      <c r="J3520">
        <f t="shared" si="434"/>
        <v>-0.74801695503312449</v>
      </c>
      <c r="K3520">
        <f t="shared" si="435"/>
        <v>-0.66367961772452577</v>
      </c>
      <c r="L3520">
        <f>VLOOKUP(D3520,[1]SOI!$A$1:$C$142,3)</f>
        <v>1.6</v>
      </c>
      <c r="M3520" s="2">
        <f t="shared" si="436"/>
        <v>-2632.2716647615653</v>
      </c>
      <c r="N3520">
        <f t="shared" si="437"/>
        <v>-2335.4885747726062</v>
      </c>
      <c r="O3520" t="s">
        <v>8</v>
      </c>
    </row>
    <row r="3521" spans="1:15" x14ac:dyDescent="0.35">
      <c r="A3521">
        <v>2009</v>
      </c>
      <c r="B3521">
        <v>8</v>
      </c>
      <c r="C3521">
        <v>20</v>
      </c>
      <c r="D3521" s="1">
        <f t="shared" si="432"/>
        <v>40045</v>
      </c>
      <c r="E3521">
        <v>2.8</v>
      </c>
      <c r="F3521">
        <f t="shared" si="438"/>
        <v>0</v>
      </c>
      <c r="G3521">
        <f t="shared" si="433"/>
        <v>1</v>
      </c>
      <c r="H3521">
        <f t="shared" si="439"/>
        <v>0</v>
      </c>
      <c r="I3521">
        <v>3520</v>
      </c>
      <c r="J3521">
        <f t="shared" si="434"/>
        <v>-0.75932261490526098</v>
      </c>
      <c r="K3521">
        <f t="shared" si="435"/>
        <v>-0.65071435092015351</v>
      </c>
      <c r="L3521">
        <f>VLOOKUP(D3521,[1]SOI!$A$1:$C$142,3)</f>
        <v>1.6</v>
      </c>
      <c r="M3521" s="2">
        <f t="shared" si="436"/>
        <v>-2672.8156044665188</v>
      </c>
      <c r="N3521">
        <f t="shared" si="437"/>
        <v>-2290.5145152389405</v>
      </c>
      <c r="O3521" t="s">
        <v>8</v>
      </c>
    </row>
    <row r="3522" spans="1:15" x14ac:dyDescent="0.35">
      <c r="A3522">
        <v>2009</v>
      </c>
      <c r="B3522">
        <v>8</v>
      </c>
      <c r="C3522">
        <v>21</v>
      </c>
      <c r="D3522" s="1">
        <f t="shared" si="432"/>
        <v>40046</v>
      </c>
      <c r="E3522">
        <v>1</v>
      </c>
      <c r="F3522">
        <f t="shared" si="438"/>
        <v>2.8</v>
      </c>
      <c r="G3522">
        <f t="shared" si="433"/>
        <v>1</v>
      </c>
      <c r="H3522">
        <f t="shared" si="439"/>
        <v>1</v>
      </c>
      <c r="I3522">
        <v>3521</v>
      </c>
      <c r="J3522">
        <f t="shared" si="434"/>
        <v>-0.77040357899931178</v>
      </c>
      <c r="K3522">
        <f t="shared" si="435"/>
        <v>-0.63755652727036771</v>
      </c>
      <c r="L3522">
        <f>VLOOKUP(D3522,[1]SOI!$A$1:$C$142,3)</f>
        <v>1.6</v>
      </c>
      <c r="M3522" s="2">
        <f t="shared" si="436"/>
        <v>-2712.5910016565767</v>
      </c>
      <c r="N3522">
        <f t="shared" si="437"/>
        <v>-2244.8365325189648</v>
      </c>
      <c r="O3522" t="s">
        <v>8</v>
      </c>
    </row>
    <row r="3523" spans="1:15" x14ac:dyDescent="0.35">
      <c r="A3523">
        <v>2009</v>
      </c>
      <c r="B3523">
        <v>8</v>
      </c>
      <c r="C3523">
        <v>22</v>
      </c>
      <c r="D3523" s="1">
        <f t="shared" ref="D3523:D3586" si="440">DATE(A3523,B3523,C3523)</f>
        <v>40047</v>
      </c>
      <c r="E3523">
        <v>0.2</v>
      </c>
      <c r="F3523">
        <f t="shared" si="438"/>
        <v>1</v>
      </c>
      <c r="G3523">
        <f t="shared" ref="G3523:G3586" si="441">IF(E3523=0,0,1)</f>
        <v>1</v>
      </c>
      <c r="H3523">
        <f t="shared" si="439"/>
        <v>1</v>
      </c>
      <c r="I3523">
        <v>3522</v>
      </c>
      <c r="J3523">
        <f t="shared" ref="J3523:J3586" si="442">SIN(2*PI()*I3523/365.25)</f>
        <v>-0.78125656827974421</v>
      </c>
      <c r="K3523">
        <f t="shared" ref="K3523:K3586" si="443">COS(2*PI()*I3523/365.25)</f>
        <v>-0.62421004038685357</v>
      </c>
      <c r="L3523">
        <f>VLOOKUP(D3523,[1]SOI!$A$1:$C$142,3)</f>
        <v>1.6</v>
      </c>
      <c r="M3523" s="2">
        <f t="shared" ref="M3523:M3586" si="444">I3523*J3523</f>
        <v>-2751.5856334812593</v>
      </c>
      <c r="N3523">
        <f t="shared" ref="N3523:N3586" si="445">I3523*K3523</f>
        <v>-2198.4677622424983</v>
      </c>
      <c r="O3523" t="s">
        <v>8</v>
      </c>
    </row>
    <row r="3524" spans="1:15" x14ac:dyDescent="0.35">
      <c r="A3524">
        <v>2009</v>
      </c>
      <c r="B3524">
        <v>8</v>
      </c>
      <c r="C3524">
        <v>23</v>
      </c>
      <c r="D3524" s="1">
        <f t="shared" si="440"/>
        <v>40048</v>
      </c>
      <c r="E3524">
        <v>0</v>
      </c>
      <c r="F3524">
        <f t="shared" ref="F3524:F3587" si="446">E3523</f>
        <v>0.2</v>
      </c>
      <c r="G3524">
        <f t="shared" si="441"/>
        <v>0</v>
      </c>
      <c r="H3524">
        <f t="shared" ref="H3524:H3587" si="447">G3523</f>
        <v>1</v>
      </c>
      <c r="I3524">
        <v>3523</v>
      </c>
      <c r="J3524">
        <f t="shared" si="442"/>
        <v>-0.79187837117241744</v>
      </c>
      <c r="K3524">
        <f t="shared" si="443"/>
        <v>-0.61067883970980941</v>
      </c>
      <c r="L3524">
        <f>VLOOKUP(D3524,[1]SOI!$A$1:$C$142,3)</f>
        <v>1.6</v>
      </c>
      <c r="M3524" s="2">
        <f t="shared" si="444"/>
        <v>-2789.7875016404269</v>
      </c>
      <c r="N3524">
        <f t="shared" si="445"/>
        <v>-2151.4215522976588</v>
      </c>
      <c r="O3524" t="s">
        <v>8</v>
      </c>
    </row>
    <row r="3525" spans="1:15" x14ac:dyDescent="0.35">
      <c r="A3525">
        <v>2009</v>
      </c>
      <c r="B3525">
        <v>8</v>
      </c>
      <c r="C3525">
        <v>24</v>
      </c>
      <c r="D3525" s="1">
        <f t="shared" si="440"/>
        <v>40049</v>
      </c>
      <c r="E3525">
        <v>0.2</v>
      </c>
      <c r="F3525">
        <f t="shared" si="446"/>
        <v>0</v>
      </c>
      <c r="G3525">
        <f t="shared" si="441"/>
        <v>1</v>
      </c>
      <c r="H3525">
        <f t="shared" si="447"/>
        <v>0</v>
      </c>
      <c r="I3525">
        <v>3524</v>
      </c>
      <c r="J3525">
        <f t="shared" si="442"/>
        <v>-0.8022658445149583</v>
      </c>
      <c r="K3525">
        <f t="shared" si="443"/>
        <v>-0.59696692933922291</v>
      </c>
      <c r="L3525">
        <f>VLOOKUP(D3525,[1]SOI!$A$1:$C$142,3)</f>
        <v>1.6</v>
      </c>
      <c r="M3525" s="2">
        <f t="shared" si="444"/>
        <v>-2827.1848360707131</v>
      </c>
      <c r="N3525">
        <f t="shared" si="445"/>
        <v>-2103.7114589914218</v>
      </c>
      <c r="O3525" t="s">
        <v>8</v>
      </c>
    </row>
    <row r="3526" spans="1:15" x14ac:dyDescent="0.35">
      <c r="A3526">
        <v>2009</v>
      </c>
      <c r="B3526">
        <v>8</v>
      </c>
      <c r="C3526">
        <v>25</v>
      </c>
      <c r="D3526" s="1">
        <f t="shared" si="440"/>
        <v>40050</v>
      </c>
      <c r="E3526">
        <v>5.6</v>
      </c>
      <c r="F3526">
        <f t="shared" si="446"/>
        <v>0.2</v>
      </c>
      <c r="G3526">
        <f t="shared" si="441"/>
        <v>1</v>
      </c>
      <c r="H3526">
        <f t="shared" si="447"/>
        <v>1</v>
      </c>
      <c r="I3526">
        <v>3525</v>
      </c>
      <c r="J3526">
        <f t="shared" si="442"/>
        <v>-0.81241591448689088</v>
      </c>
      <c r="K3526">
        <f t="shared" si="443"/>
        <v>-0.5830783668499705</v>
      </c>
      <c r="L3526">
        <f>VLOOKUP(D3526,[1]SOI!$A$1:$C$142,3)</f>
        <v>1.6</v>
      </c>
      <c r="M3526" s="2">
        <f t="shared" si="444"/>
        <v>-2863.7660985662906</v>
      </c>
      <c r="N3526">
        <f t="shared" si="445"/>
        <v>-2055.3512431461459</v>
      </c>
      <c r="O3526" t="s">
        <v>8</v>
      </c>
    </row>
    <row r="3527" spans="1:15" x14ac:dyDescent="0.35">
      <c r="A3527">
        <v>2009</v>
      </c>
      <c r="B3527">
        <v>8</v>
      </c>
      <c r="C3527">
        <v>26</v>
      </c>
      <c r="D3527" s="1">
        <f t="shared" si="440"/>
        <v>40051</v>
      </c>
      <c r="E3527">
        <v>4</v>
      </c>
      <c r="F3527">
        <f t="shared" si="446"/>
        <v>5.6</v>
      </c>
      <c r="G3527">
        <f t="shared" si="441"/>
        <v>1</v>
      </c>
      <c r="H3527">
        <f t="shared" si="447"/>
        <v>1</v>
      </c>
      <c r="I3527">
        <v>3526</v>
      </c>
      <c r="J3527">
        <f t="shared" si="442"/>
        <v>-0.82232557751921154</v>
      </c>
      <c r="K3527">
        <f t="shared" si="443"/>
        <v>-0.56901726209113834</v>
      </c>
      <c r="L3527">
        <f>VLOOKUP(D3527,[1]SOI!$A$1:$C$142,3)</f>
        <v>1.6</v>
      </c>
      <c r="M3527" s="2">
        <f t="shared" si="444"/>
        <v>-2899.5199863327398</v>
      </c>
      <c r="N3527">
        <f t="shared" si="445"/>
        <v>-2006.3548661333539</v>
      </c>
      <c r="O3527" t="s">
        <v>8</v>
      </c>
    </row>
    <row r="3528" spans="1:15" x14ac:dyDescent="0.35">
      <c r="A3528">
        <v>2009</v>
      </c>
      <c r="B3528">
        <v>8</v>
      </c>
      <c r="C3528">
        <v>27</v>
      </c>
      <c r="D3528" s="1">
        <f t="shared" si="440"/>
        <v>40052</v>
      </c>
      <c r="E3528">
        <v>0</v>
      </c>
      <c r="F3528">
        <f t="shared" si="446"/>
        <v>4</v>
      </c>
      <c r="G3528">
        <f t="shared" si="441"/>
        <v>0</v>
      </c>
      <c r="H3528">
        <f t="shared" si="447"/>
        <v>1</v>
      </c>
      <c r="I3528">
        <v>3527</v>
      </c>
      <c r="J3528">
        <f t="shared" si="442"/>
        <v>-0.83199190118319388</v>
      </c>
      <c r="K3528">
        <f t="shared" si="443"/>
        <v>-0.55478777596985185</v>
      </c>
      <c r="L3528">
        <f>VLOOKUP(D3528,[1]SOI!$A$1:$C$142,3)</f>
        <v>1.6</v>
      </c>
      <c r="M3528" s="2">
        <f t="shared" si="444"/>
        <v>-2934.4354354731249</v>
      </c>
      <c r="N3528">
        <f t="shared" si="445"/>
        <v>-1956.7364858456674</v>
      </c>
      <c r="O3528" t="s">
        <v>8</v>
      </c>
    </row>
    <row r="3529" spans="1:15" x14ac:dyDescent="0.35">
      <c r="A3529">
        <v>2009</v>
      </c>
      <c r="B3529">
        <v>8</v>
      </c>
      <c r="C3529">
        <v>28</v>
      </c>
      <c r="D3529" s="1">
        <f t="shared" si="440"/>
        <v>40053</v>
      </c>
      <c r="E3529">
        <v>0</v>
      </c>
      <c r="F3529">
        <f t="shared" si="446"/>
        <v>0</v>
      </c>
      <c r="G3529">
        <f t="shared" si="441"/>
        <v>0</v>
      </c>
      <c r="H3529">
        <f t="shared" si="447"/>
        <v>0</v>
      </c>
      <c r="I3529">
        <v>3528</v>
      </c>
      <c r="J3529">
        <f t="shared" si="442"/>
        <v>-0.8414120250581576</v>
      </c>
      <c r="K3529">
        <f t="shared" si="443"/>
        <v>-0.54039411921997293</v>
      </c>
      <c r="L3529">
        <f>VLOOKUP(D3529,[1]SOI!$A$1:$C$142,3)</f>
        <v>1.6</v>
      </c>
      <c r="M3529" s="2">
        <f t="shared" si="444"/>
        <v>-2968.5016244051799</v>
      </c>
      <c r="N3529">
        <f t="shared" si="445"/>
        <v>-1906.5104526080645</v>
      </c>
      <c r="O3529" t="s">
        <v>8</v>
      </c>
    </row>
    <row r="3530" spans="1:15" x14ac:dyDescent="0.35">
      <c r="A3530">
        <v>2009</v>
      </c>
      <c r="B3530">
        <v>8</v>
      </c>
      <c r="C3530">
        <v>29</v>
      </c>
      <c r="D3530" s="1">
        <f t="shared" si="440"/>
        <v>40054</v>
      </c>
      <c r="E3530">
        <v>0</v>
      </c>
      <c r="F3530">
        <f t="shared" si="446"/>
        <v>0</v>
      </c>
      <c r="G3530">
        <f t="shared" si="441"/>
        <v>0</v>
      </c>
      <c r="H3530">
        <f t="shared" si="447"/>
        <v>0</v>
      </c>
      <c r="I3530">
        <v>3529</v>
      </c>
      <c r="J3530">
        <f t="shared" si="442"/>
        <v>-0.85058316157788882</v>
      </c>
      <c r="K3530">
        <f t="shared" si="443"/>
        <v>-0.5258405511561115</v>
      </c>
      <c r="L3530">
        <f>VLOOKUP(D3530,[1]SOI!$A$1:$C$142,3)</f>
        <v>1.6</v>
      </c>
      <c r="M3530" s="2">
        <f t="shared" si="444"/>
        <v>-3001.7079772083698</v>
      </c>
      <c r="N3530">
        <f t="shared" si="445"/>
        <v>-1855.6913050299174</v>
      </c>
      <c r="O3530" t="s">
        <v>8</v>
      </c>
    </row>
    <row r="3531" spans="1:15" x14ac:dyDescent="0.35">
      <c r="A3531">
        <v>2009</v>
      </c>
      <c r="B3531">
        <v>8</v>
      </c>
      <c r="C3531">
        <v>30</v>
      </c>
      <c r="D3531" s="1">
        <f t="shared" si="440"/>
        <v>40055</v>
      </c>
      <c r="E3531">
        <v>4.2</v>
      </c>
      <c r="F3531">
        <f t="shared" si="446"/>
        <v>0</v>
      </c>
      <c r="G3531">
        <f t="shared" si="441"/>
        <v>1</v>
      </c>
      <c r="H3531">
        <f t="shared" si="447"/>
        <v>0</v>
      </c>
      <c r="I3531">
        <v>3530</v>
      </c>
      <c r="J3531">
        <f t="shared" si="442"/>
        <v>-0.85950259685554187</v>
      </c>
      <c r="K3531">
        <f t="shared" si="443"/>
        <v>-0.511131378413202</v>
      </c>
      <c r="L3531">
        <f>VLOOKUP(D3531,[1]SOI!$A$1:$C$142,3)</f>
        <v>1.6</v>
      </c>
      <c r="M3531" s="2">
        <f t="shared" si="444"/>
        <v>-3034.0441669000629</v>
      </c>
      <c r="N3531">
        <f t="shared" si="445"/>
        <v>-1804.2937657986031</v>
      </c>
      <c r="O3531" t="s">
        <v>8</v>
      </c>
    </row>
    <row r="3532" spans="1:15" x14ac:dyDescent="0.35">
      <c r="A3532">
        <v>2009</v>
      </c>
      <c r="B3532">
        <v>8</v>
      </c>
      <c r="C3532">
        <v>31</v>
      </c>
      <c r="D3532" s="1">
        <f t="shared" si="440"/>
        <v>40056</v>
      </c>
      <c r="E3532">
        <v>0</v>
      </c>
      <c r="F3532">
        <f t="shared" si="446"/>
        <v>4.2</v>
      </c>
      <c r="G3532">
        <f t="shared" si="441"/>
        <v>0</v>
      </c>
      <c r="H3532">
        <f t="shared" si="447"/>
        <v>1</v>
      </c>
      <c r="I3532">
        <v>3531</v>
      </c>
      <c r="J3532">
        <f t="shared" si="442"/>
        <v>-0.86816769148671824</v>
      </c>
      <c r="K3532">
        <f t="shared" si="443"/>
        <v>-0.49627095367210683</v>
      </c>
      <c r="L3532">
        <f>VLOOKUP(D3532,[1]SOI!$A$1:$C$142,3)</f>
        <v>1.6</v>
      </c>
      <c r="M3532" s="2">
        <f t="shared" si="444"/>
        <v>-3065.5001186396021</v>
      </c>
      <c r="N3532">
        <f t="shared" si="445"/>
        <v>-1752.3327374162093</v>
      </c>
      <c r="O3532" t="s">
        <v>8</v>
      </c>
    </row>
    <row r="3533" spans="1:15" x14ac:dyDescent="0.35">
      <c r="A3533">
        <v>2009</v>
      </c>
      <c r="B3533">
        <v>9</v>
      </c>
      <c r="C3533">
        <v>1</v>
      </c>
      <c r="D3533" s="1">
        <f t="shared" si="440"/>
        <v>40057</v>
      </c>
      <c r="E3533">
        <v>1.6</v>
      </c>
      <c r="F3533">
        <f t="shared" si="446"/>
        <v>0</v>
      </c>
      <c r="G3533">
        <f t="shared" si="441"/>
        <v>1</v>
      </c>
      <c r="H3533">
        <f t="shared" si="447"/>
        <v>0</v>
      </c>
      <c r="I3533">
        <v>3532</v>
      </c>
      <c r="J3533">
        <f t="shared" si="442"/>
        <v>-0.87657588133050524</v>
      </c>
      <c r="K3533">
        <f t="shared" si="443"/>
        <v>-0.4812636743715944</v>
      </c>
      <c r="L3533">
        <f>VLOOKUP(D3533,[1]SOI!$A$1:$C$142,3)</f>
        <v>-5</v>
      </c>
      <c r="M3533" s="2">
        <f t="shared" si="444"/>
        <v>-3096.0660128593445</v>
      </c>
      <c r="N3533">
        <f t="shared" si="445"/>
        <v>-1699.8232978804715</v>
      </c>
      <c r="O3533" t="s">
        <v>8</v>
      </c>
    </row>
    <row r="3534" spans="1:15" x14ac:dyDescent="0.35">
      <c r="A3534">
        <v>2009</v>
      </c>
      <c r="B3534">
        <v>9</v>
      </c>
      <c r="C3534">
        <v>2</v>
      </c>
      <c r="D3534" s="1">
        <f t="shared" si="440"/>
        <v>40058</v>
      </c>
      <c r="E3534">
        <v>0</v>
      </c>
      <c r="F3534">
        <f t="shared" si="446"/>
        <v>1.6</v>
      </c>
      <c r="G3534">
        <f t="shared" si="441"/>
        <v>0</v>
      </c>
      <c r="H3534">
        <f t="shared" si="447"/>
        <v>1</v>
      </c>
      <c r="I3534">
        <v>3533</v>
      </c>
      <c r="J3534">
        <f t="shared" si="442"/>
        <v>-0.88472467826826018</v>
      </c>
      <c r="K3534">
        <f t="shared" si="443"/>
        <v>-0.46611398140704124</v>
      </c>
      <c r="L3534">
        <f>VLOOKUP(D3534,[1]SOI!$A$1:$C$142,3)</f>
        <v>-5</v>
      </c>
      <c r="M3534" s="2">
        <f t="shared" si="444"/>
        <v>-3125.732288321763</v>
      </c>
      <c r="N3534">
        <f t="shared" si="445"/>
        <v>-1646.7806963110768</v>
      </c>
      <c r="O3534" t="s">
        <v>8</v>
      </c>
    </row>
    <row r="3535" spans="1:15" x14ac:dyDescent="0.35">
      <c r="A3535">
        <v>2009</v>
      </c>
      <c r="B3535">
        <v>9</v>
      </c>
      <c r="C3535">
        <v>3</v>
      </c>
      <c r="D3535" s="1">
        <f t="shared" si="440"/>
        <v>40059</v>
      </c>
      <c r="E3535">
        <v>0</v>
      </c>
      <c r="F3535">
        <f t="shared" si="446"/>
        <v>0</v>
      </c>
      <c r="G3535">
        <f t="shared" si="441"/>
        <v>0</v>
      </c>
      <c r="H3535">
        <f t="shared" si="447"/>
        <v>0</v>
      </c>
      <c r="I3535">
        <v>3534</v>
      </c>
      <c r="J3535">
        <f t="shared" si="442"/>
        <v>-0.89261167093986404</v>
      </c>
      <c r="K3535">
        <f t="shared" si="443"/>
        <v>-0.45082635781633684</v>
      </c>
      <c r="L3535">
        <f>VLOOKUP(D3535,[1]SOI!$A$1:$C$142,3)</f>
        <v>-5</v>
      </c>
      <c r="M3535" s="2">
        <f t="shared" si="444"/>
        <v>-3154.4896451014797</v>
      </c>
      <c r="N3535">
        <f t="shared" si="445"/>
        <v>-1593.2203485229345</v>
      </c>
      <c r="O3535" t="s">
        <v>8</v>
      </c>
    </row>
    <row r="3536" spans="1:15" x14ac:dyDescent="0.35">
      <c r="A3536">
        <v>2009</v>
      </c>
      <c r="B3536">
        <v>9</v>
      </c>
      <c r="C3536">
        <v>4</v>
      </c>
      <c r="D3536" s="1">
        <f t="shared" si="440"/>
        <v>40060</v>
      </c>
      <c r="E3536">
        <v>1.4</v>
      </c>
      <c r="F3536">
        <f t="shared" si="446"/>
        <v>0</v>
      </c>
      <c r="G3536">
        <f t="shared" si="441"/>
        <v>1</v>
      </c>
      <c r="H3536">
        <f t="shared" si="447"/>
        <v>0</v>
      </c>
      <c r="I3536">
        <v>3535</v>
      </c>
      <c r="J3536">
        <f t="shared" si="442"/>
        <v>-0.90023452545729599</v>
      </c>
      <c r="K3536">
        <f t="shared" si="443"/>
        <v>-0.43540532745325594</v>
      </c>
      <c r="L3536">
        <f>VLOOKUP(D3536,[1]SOI!$A$1:$C$142,3)</f>
        <v>-5</v>
      </c>
      <c r="M3536" s="2">
        <f t="shared" si="444"/>
        <v>-3182.3290474915411</v>
      </c>
      <c r="N3536">
        <f t="shared" si="445"/>
        <v>-1539.1578325472597</v>
      </c>
      <c r="O3536" t="s">
        <v>8</v>
      </c>
    </row>
    <row r="3537" spans="1:15" x14ac:dyDescent="0.35">
      <c r="A3537">
        <v>2009</v>
      </c>
      <c r="B3537">
        <v>9</v>
      </c>
      <c r="C3537">
        <v>5</v>
      </c>
      <c r="D3537" s="1">
        <f t="shared" si="440"/>
        <v>40061</v>
      </c>
      <c r="E3537">
        <v>2.6</v>
      </c>
      <c r="F3537">
        <f t="shared" si="446"/>
        <v>1.4</v>
      </c>
      <c r="G3537">
        <f t="shared" si="441"/>
        <v>1</v>
      </c>
      <c r="H3537">
        <f t="shared" si="447"/>
        <v>1</v>
      </c>
      <c r="I3537">
        <v>3536</v>
      </c>
      <c r="J3537">
        <f t="shared" si="442"/>
        <v>-0.90759098609526434</v>
      </c>
      <c r="K3537">
        <f t="shared" si="443"/>
        <v>-0.41985545364878346</v>
      </c>
      <c r="L3537">
        <f>VLOOKUP(D3537,[1]SOI!$A$1:$C$142,3)</f>
        <v>-5</v>
      </c>
      <c r="M3537" s="2">
        <f t="shared" si="444"/>
        <v>-3209.2417268328545</v>
      </c>
      <c r="N3537">
        <f t="shared" si="445"/>
        <v>-1484.6088841020983</v>
      </c>
      <c r="O3537" t="s">
        <v>8</v>
      </c>
    </row>
    <row r="3538" spans="1:15" x14ac:dyDescent="0.35">
      <c r="A3538">
        <v>2009</v>
      </c>
      <c r="B3538">
        <v>9</v>
      </c>
      <c r="C3538">
        <v>6</v>
      </c>
      <c r="D3538" s="1">
        <f t="shared" si="440"/>
        <v>40062</v>
      </c>
      <c r="E3538">
        <v>0</v>
      </c>
      <c r="F3538">
        <f t="shared" si="446"/>
        <v>2.6</v>
      </c>
      <c r="G3538">
        <f t="shared" si="441"/>
        <v>0</v>
      </c>
      <c r="H3538">
        <f t="shared" si="447"/>
        <v>1</v>
      </c>
      <c r="I3538">
        <v>3537</v>
      </c>
      <c r="J3538">
        <f t="shared" si="442"/>
        <v>-0.914678875958712</v>
      </c>
      <c r="K3538">
        <f t="shared" si="443"/>
        <v>-0.40418133786075161</v>
      </c>
      <c r="L3538">
        <f>VLOOKUP(D3538,[1]SOI!$A$1:$C$142,3)</f>
        <v>-5</v>
      </c>
      <c r="M3538" s="2">
        <f t="shared" si="444"/>
        <v>-3235.2191842659645</v>
      </c>
      <c r="N3538">
        <f t="shared" si="445"/>
        <v>-1429.5893920134783</v>
      </c>
      <c r="O3538" t="s">
        <v>8</v>
      </c>
    </row>
    <row r="3539" spans="1:15" x14ac:dyDescent="0.35">
      <c r="A3539">
        <v>2009</v>
      </c>
      <c r="B3539">
        <v>9</v>
      </c>
      <c r="C3539">
        <v>7</v>
      </c>
      <c r="D3539" s="1">
        <f t="shared" si="440"/>
        <v>40063</v>
      </c>
      <c r="E3539">
        <v>0.8</v>
      </c>
      <c r="F3539">
        <f t="shared" si="446"/>
        <v>0</v>
      </c>
      <c r="G3539">
        <f t="shared" si="441"/>
        <v>1</v>
      </c>
      <c r="H3539">
        <f t="shared" si="447"/>
        <v>0</v>
      </c>
      <c r="I3539">
        <v>3538</v>
      </c>
      <c r="J3539">
        <f t="shared" si="442"/>
        <v>-0.92149609762699281</v>
      </c>
      <c r="K3539">
        <f t="shared" si="443"/>
        <v>-0.38838761831220087</v>
      </c>
      <c r="L3539">
        <f>VLOOKUP(D3539,[1]SOI!$A$1:$C$142,3)</f>
        <v>-5</v>
      </c>
      <c r="M3539" s="2">
        <f t="shared" si="444"/>
        <v>-3260.2531934043004</v>
      </c>
      <c r="N3539">
        <f t="shared" si="445"/>
        <v>-1374.1153935885666</v>
      </c>
      <c r="O3539" t="s">
        <v>8</v>
      </c>
    </row>
    <row r="3540" spans="1:15" x14ac:dyDescent="0.35">
      <c r="A3540">
        <v>2009</v>
      </c>
      <c r="B3540">
        <v>9</v>
      </c>
      <c r="C3540">
        <v>8</v>
      </c>
      <c r="D3540" s="1">
        <f t="shared" si="440"/>
        <v>40064</v>
      </c>
      <c r="E3540">
        <v>4.8</v>
      </c>
      <c r="F3540">
        <f t="shared" si="446"/>
        <v>0.8</v>
      </c>
      <c r="G3540">
        <f t="shared" si="441"/>
        <v>1</v>
      </c>
      <c r="H3540">
        <f t="shared" si="447"/>
        <v>1</v>
      </c>
      <c r="I3540">
        <v>3539</v>
      </c>
      <c r="J3540">
        <f t="shared" si="442"/>
        <v>-0.92804063377454193</v>
      </c>
      <c r="K3540">
        <f t="shared" si="443"/>
        <v>-0.37247896861882906</v>
      </c>
      <c r="L3540">
        <f>VLOOKUP(D3540,[1]SOI!$A$1:$C$142,3)</f>
        <v>-5</v>
      </c>
      <c r="M3540" s="2">
        <f t="shared" si="444"/>
        <v>-3284.3358029281039</v>
      </c>
      <c r="N3540">
        <f t="shared" si="445"/>
        <v>-1318.2030699420361</v>
      </c>
      <c r="O3540" t="s">
        <v>8</v>
      </c>
    </row>
    <row r="3541" spans="1:15" x14ac:dyDescent="0.35">
      <c r="A3541">
        <v>2009</v>
      </c>
      <c r="B3541">
        <v>9</v>
      </c>
      <c r="C3541">
        <v>9</v>
      </c>
      <c r="D3541" s="1">
        <f t="shared" si="440"/>
        <v>40065</v>
      </c>
      <c r="E3541">
        <v>0.8</v>
      </c>
      <c r="F3541">
        <f t="shared" si="446"/>
        <v>4.8</v>
      </c>
      <c r="G3541">
        <f t="shared" si="441"/>
        <v>1</v>
      </c>
      <c r="H3541">
        <f t="shared" si="447"/>
        <v>1</v>
      </c>
      <c r="I3541">
        <v>3540</v>
      </c>
      <c r="J3541">
        <f t="shared" si="442"/>
        <v>-0.93431054776781897</v>
      </c>
      <c r="K3541">
        <f t="shared" si="443"/>
        <v>-0.35646009640603254</v>
      </c>
      <c r="L3541">
        <f>VLOOKUP(D3541,[1]SOI!$A$1:$C$142,3)</f>
        <v>-5</v>
      </c>
      <c r="M3541" s="2">
        <f t="shared" si="444"/>
        <v>-3307.459339098079</v>
      </c>
      <c r="N3541">
        <f t="shared" si="445"/>
        <v>-1261.8687412773552</v>
      </c>
      <c r="O3541" t="s">
        <v>8</v>
      </c>
    </row>
    <row r="3542" spans="1:15" x14ac:dyDescent="0.35">
      <c r="A3542">
        <v>2009</v>
      </c>
      <c r="B3542">
        <v>9</v>
      </c>
      <c r="C3542">
        <v>10</v>
      </c>
      <c r="D3542" s="1">
        <f t="shared" si="440"/>
        <v>40066</v>
      </c>
      <c r="E3542">
        <v>0</v>
      </c>
      <c r="F3542">
        <f t="shared" si="446"/>
        <v>0.8</v>
      </c>
      <c r="G3542">
        <f t="shared" si="441"/>
        <v>0</v>
      </c>
      <c r="H3542">
        <f t="shared" si="447"/>
        <v>1</v>
      </c>
      <c r="I3542">
        <v>3541</v>
      </c>
      <c r="J3542">
        <f t="shared" si="442"/>
        <v>-0.94030398423840023</v>
      </c>
      <c r="K3542">
        <f t="shared" si="443"/>
        <v>-0.34033574191581806</v>
      </c>
      <c r="L3542">
        <f>VLOOKUP(D3542,[1]SOI!$A$1:$C$142,3)</f>
        <v>-5</v>
      </c>
      <c r="M3542" s="2">
        <f t="shared" si="444"/>
        <v>-3329.6164081881752</v>
      </c>
      <c r="N3542">
        <f t="shared" si="445"/>
        <v>-1205.1288621239116</v>
      </c>
      <c r="O3542" t="s">
        <v>8</v>
      </c>
    </row>
    <row r="3543" spans="1:15" x14ac:dyDescent="0.35">
      <c r="A3543">
        <v>2009</v>
      </c>
      <c r="B3543">
        <v>9</v>
      </c>
      <c r="C3543">
        <v>11</v>
      </c>
      <c r="D3543" s="1">
        <f t="shared" si="440"/>
        <v>40067</v>
      </c>
      <c r="E3543">
        <v>0</v>
      </c>
      <c r="F3543">
        <f t="shared" si="446"/>
        <v>0</v>
      </c>
      <c r="G3543">
        <f t="shared" si="441"/>
        <v>0</v>
      </c>
      <c r="H3543">
        <f t="shared" si="447"/>
        <v>0</v>
      </c>
      <c r="I3543">
        <v>3542</v>
      </c>
      <c r="J3543">
        <f t="shared" si="442"/>
        <v>-0.94601916963200894</v>
      </c>
      <c r="K3543">
        <f t="shared" si="443"/>
        <v>-0.32411067660409504</v>
      </c>
      <c r="L3543">
        <f>VLOOKUP(D3543,[1]SOI!$A$1:$C$142,3)</f>
        <v>-5</v>
      </c>
      <c r="M3543" s="2">
        <f t="shared" si="444"/>
        <v>-3350.7998988365757</v>
      </c>
      <c r="N3543">
        <f t="shared" si="445"/>
        <v>-1148.0000165317047</v>
      </c>
      <c r="O3543" t="s">
        <v>8</v>
      </c>
    </row>
    <row r="3544" spans="1:15" x14ac:dyDescent="0.35">
      <c r="A3544">
        <v>2009</v>
      </c>
      <c r="B3544">
        <v>9</v>
      </c>
      <c r="C3544">
        <v>12</v>
      </c>
      <c r="D3544" s="1">
        <f t="shared" si="440"/>
        <v>40068</v>
      </c>
      <c r="E3544">
        <v>0</v>
      </c>
      <c r="F3544">
        <f t="shared" si="446"/>
        <v>0</v>
      </c>
      <c r="G3544">
        <f t="shared" si="441"/>
        <v>0</v>
      </c>
      <c r="H3544">
        <f t="shared" si="447"/>
        <v>0</v>
      </c>
      <c r="I3544">
        <v>3543</v>
      </c>
      <c r="J3544">
        <f t="shared" si="442"/>
        <v>-0.95145441273333642</v>
      </c>
      <c r="K3544">
        <f t="shared" si="443"/>
        <v>-0.30778970172873221</v>
      </c>
      <c r="L3544">
        <f>VLOOKUP(D3544,[1]SOI!$A$1:$C$142,3)</f>
        <v>-5</v>
      </c>
      <c r="M3544" s="2">
        <f t="shared" si="444"/>
        <v>-3371.0029843142111</v>
      </c>
      <c r="N3544">
        <f t="shared" si="445"/>
        <v>-1090.4989132248982</v>
      </c>
      <c r="O3544" t="s">
        <v>8</v>
      </c>
    </row>
    <row r="3545" spans="1:15" x14ac:dyDescent="0.35">
      <c r="A3545">
        <v>2009</v>
      </c>
      <c r="B3545">
        <v>9</v>
      </c>
      <c r="C3545">
        <v>13</v>
      </c>
      <c r="D3545" s="1">
        <f t="shared" si="440"/>
        <v>40069</v>
      </c>
      <c r="E3545">
        <v>0</v>
      </c>
      <c r="F3545">
        <f t="shared" si="446"/>
        <v>0</v>
      </c>
      <c r="G3545">
        <f t="shared" si="441"/>
        <v>0</v>
      </c>
      <c r="H3545">
        <f t="shared" si="447"/>
        <v>0</v>
      </c>
      <c r="I3545">
        <v>3544</v>
      </c>
      <c r="J3545">
        <f t="shared" si="442"/>
        <v>-0.95660810516650874</v>
      </c>
      <c r="K3545">
        <f t="shared" si="443"/>
        <v>-0.29137764692876106</v>
      </c>
      <c r="L3545">
        <f>VLOOKUP(D3545,[1]SOI!$A$1:$C$142,3)</f>
        <v>-5</v>
      </c>
      <c r="M3545" s="2">
        <f t="shared" si="444"/>
        <v>-3390.2191247101068</v>
      </c>
      <c r="N3545">
        <f t="shared" si="445"/>
        <v>-1032.6423807155293</v>
      </c>
      <c r="O3545" t="s">
        <v>8</v>
      </c>
    </row>
    <row r="3546" spans="1:15" x14ac:dyDescent="0.35">
      <c r="A3546">
        <v>2009</v>
      </c>
      <c r="B3546">
        <v>9</v>
      </c>
      <c r="C3546">
        <v>14</v>
      </c>
      <c r="D3546" s="1">
        <f t="shared" si="440"/>
        <v>40070</v>
      </c>
      <c r="E3546">
        <v>0</v>
      </c>
      <c r="F3546">
        <f t="shared" si="446"/>
        <v>0</v>
      </c>
      <c r="G3546">
        <f t="shared" si="441"/>
        <v>0</v>
      </c>
      <c r="H3546">
        <f t="shared" si="447"/>
        <v>0</v>
      </c>
      <c r="I3546">
        <v>3545</v>
      </c>
      <c r="J3546">
        <f t="shared" si="442"/>
        <v>-0.96147872187101779</v>
      </c>
      <c r="K3546">
        <f t="shared" si="443"/>
        <v>-0.27487936879524805</v>
      </c>
      <c r="L3546">
        <f>VLOOKUP(D3546,[1]SOI!$A$1:$C$142,3)</f>
        <v>-5</v>
      </c>
      <c r="M3546" s="2">
        <f t="shared" si="444"/>
        <v>-3408.4420690327579</v>
      </c>
      <c r="N3546">
        <f t="shared" si="445"/>
        <v>-974.44736237915436</v>
      </c>
      <c r="O3546" t="s">
        <v>8</v>
      </c>
    </row>
    <row r="3547" spans="1:15" x14ac:dyDescent="0.35">
      <c r="A3547">
        <v>2009</v>
      </c>
      <c r="B3547">
        <v>9</v>
      </c>
      <c r="C3547">
        <v>15</v>
      </c>
      <c r="D3547" s="1">
        <f t="shared" si="440"/>
        <v>40071</v>
      </c>
      <c r="E3547">
        <v>0</v>
      </c>
      <c r="F3547">
        <f t="shared" si="446"/>
        <v>0</v>
      </c>
      <c r="G3547">
        <f t="shared" si="441"/>
        <v>0</v>
      </c>
      <c r="H3547">
        <f t="shared" si="447"/>
        <v>0</v>
      </c>
      <c r="I3547">
        <v>3546</v>
      </c>
      <c r="J3547">
        <f t="shared" si="442"/>
        <v>-0.96606482155301998</v>
      </c>
      <c r="K3547">
        <f t="shared" si="443"/>
        <v>-0.25829974943412476</v>
      </c>
      <c r="L3547">
        <f>VLOOKUP(D3547,[1]SOI!$A$1:$C$142,3)</f>
        <v>-5</v>
      </c>
      <c r="M3547" s="2">
        <f t="shared" si="444"/>
        <v>-3425.6658572270089</v>
      </c>
      <c r="N3547">
        <f t="shared" si="445"/>
        <v>-915.93091149340637</v>
      </c>
      <c r="O3547" t="s">
        <v>8</v>
      </c>
    </row>
    <row r="3548" spans="1:15" x14ac:dyDescent="0.35">
      <c r="A3548">
        <v>2009</v>
      </c>
      <c r="B3548">
        <v>9</v>
      </c>
      <c r="C3548">
        <v>16</v>
      </c>
      <c r="D3548" s="1">
        <f t="shared" si="440"/>
        <v>40072</v>
      </c>
      <c r="E3548">
        <v>0</v>
      </c>
      <c r="F3548">
        <f t="shared" si="446"/>
        <v>0</v>
      </c>
      <c r="G3548">
        <f t="shared" si="441"/>
        <v>0</v>
      </c>
      <c r="H3548">
        <f t="shared" si="447"/>
        <v>0</v>
      </c>
      <c r="I3548">
        <v>3547</v>
      </c>
      <c r="J3548">
        <f t="shared" si="442"/>
        <v>-0.97036504711183613</v>
      </c>
      <c r="K3548">
        <f t="shared" si="443"/>
        <v>-0.24164369502150052</v>
      </c>
      <c r="L3548">
        <f>VLOOKUP(D3548,[1]SOI!$A$1:$C$142,3)</f>
        <v>-5</v>
      </c>
      <c r="M3548" s="2">
        <f t="shared" si="444"/>
        <v>-3441.8848221056828</v>
      </c>
      <c r="N3548">
        <f t="shared" si="445"/>
        <v>-857.11018624126234</v>
      </c>
      <c r="O3548" t="s">
        <v>8</v>
      </c>
    </row>
    <row r="3549" spans="1:15" x14ac:dyDescent="0.35">
      <c r="A3549">
        <v>2009</v>
      </c>
      <c r="B3549">
        <v>9</v>
      </c>
      <c r="C3549">
        <v>17</v>
      </c>
      <c r="D3549" s="1">
        <f t="shared" si="440"/>
        <v>40073</v>
      </c>
      <c r="E3549">
        <v>0</v>
      </c>
      <c r="F3549">
        <f t="shared" si="446"/>
        <v>0</v>
      </c>
      <c r="G3549">
        <f t="shared" si="441"/>
        <v>0</v>
      </c>
      <c r="H3549">
        <f t="shared" si="447"/>
        <v>0</v>
      </c>
      <c r="I3549">
        <v>3548</v>
      </c>
      <c r="J3549">
        <f t="shared" si="442"/>
        <v>-0.97437812604153951</v>
      </c>
      <c r="K3549">
        <f t="shared" si="443"/>
        <v>-0.22491613435184618</v>
      </c>
      <c r="L3549">
        <f>VLOOKUP(D3549,[1]SOI!$A$1:$C$142,3)</f>
        <v>-5</v>
      </c>
      <c r="M3549" s="2">
        <f t="shared" si="444"/>
        <v>-3457.093591195382</v>
      </c>
      <c r="N3549">
        <f t="shared" si="445"/>
        <v>-798.00244468035021</v>
      </c>
      <c r="O3549" t="s">
        <v>8</v>
      </c>
    </row>
    <row r="3550" spans="1:15" x14ac:dyDescent="0.35">
      <c r="A3550">
        <v>2009</v>
      </c>
      <c r="B3550">
        <v>9</v>
      </c>
      <c r="C3550">
        <v>18</v>
      </c>
      <c r="D3550" s="1">
        <f t="shared" si="440"/>
        <v>40074</v>
      </c>
      <c r="E3550">
        <v>12.6</v>
      </c>
      <c r="F3550">
        <f t="shared" si="446"/>
        <v>0</v>
      </c>
      <c r="G3550">
        <f t="shared" si="441"/>
        <v>1</v>
      </c>
      <c r="H3550">
        <f t="shared" si="447"/>
        <v>0</v>
      </c>
      <c r="I3550">
        <v>3549</v>
      </c>
      <c r="J3550">
        <f t="shared" si="442"/>
        <v>-0.97810287080750902</v>
      </c>
      <c r="K3550">
        <f t="shared" si="443"/>
        <v>-0.20812201737949143</v>
      </c>
      <c r="L3550">
        <f>VLOOKUP(D3550,[1]SOI!$A$1:$C$142,3)</f>
        <v>-5</v>
      </c>
      <c r="M3550" s="2">
        <f t="shared" si="444"/>
        <v>-3471.2870884958493</v>
      </c>
      <c r="N3550">
        <f t="shared" si="445"/>
        <v>-738.62503967981513</v>
      </c>
      <c r="O3550" t="s">
        <v>8</v>
      </c>
    </row>
    <row r="3551" spans="1:15" x14ac:dyDescent="0.35">
      <c r="A3551">
        <v>2009</v>
      </c>
      <c r="B3551">
        <v>9</v>
      </c>
      <c r="C3551">
        <v>19</v>
      </c>
      <c r="D3551" s="1">
        <f t="shared" si="440"/>
        <v>40075</v>
      </c>
      <c r="E3551">
        <v>0</v>
      </c>
      <c r="F3551">
        <f t="shared" si="446"/>
        <v>12.6</v>
      </c>
      <c r="G3551">
        <f t="shared" si="441"/>
        <v>0</v>
      </c>
      <c r="H3551">
        <f t="shared" si="447"/>
        <v>1</v>
      </c>
      <c r="I3551">
        <v>3550</v>
      </c>
      <c r="J3551">
        <f t="shared" si="442"/>
        <v>-0.98153817919784614</v>
      </c>
      <c r="K3551">
        <f t="shared" si="443"/>
        <v>-0.19126631375382588</v>
      </c>
      <c r="L3551">
        <f>VLOOKUP(D3551,[1]SOI!$A$1:$C$142,3)</f>
        <v>-5</v>
      </c>
      <c r="M3551" s="2">
        <f t="shared" si="444"/>
        <v>-3484.4605361523536</v>
      </c>
      <c r="N3551">
        <f t="shared" si="445"/>
        <v>-678.99541382608186</v>
      </c>
      <c r="O3551" t="s">
        <v>8</v>
      </c>
    </row>
    <row r="3552" spans="1:15" x14ac:dyDescent="0.35">
      <c r="A3552">
        <v>2009</v>
      </c>
      <c r="B3552">
        <v>9</v>
      </c>
      <c r="C3552">
        <v>20</v>
      </c>
      <c r="D3552" s="1">
        <f t="shared" si="440"/>
        <v>40076</v>
      </c>
      <c r="E3552">
        <v>2.6</v>
      </c>
      <c r="F3552">
        <f t="shared" si="446"/>
        <v>0</v>
      </c>
      <c r="G3552">
        <f t="shared" si="441"/>
        <v>1</v>
      </c>
      <c r="H3552">
        <f t="shared" si="447"/>
        <v>0</v>
      </c>
      <c r="I3552">
        <v>3551</v>
      </c>
      <c r="J3552">
        <f t="shared" si="442"/>
        <v>-0.98468303464952767</v>
      </c>
      <c r="K3552">
        <f t="shared" si="443"/>
        <v>-0.17435401134874146</v>
      </c>
      <c r="L3552">
        <f>VLOOKUP(D3552,[1]SOI!$A$1:$C$142,3)</f>
        <v>-5</v>
      </c>
      <c r="M3552" s="2">
        <f t="shared" si="444"/>
        <v>-3496.6094560404727</v>
      </c>
      <c r="N3552">
        <f t="shared" si="445"/>
        <v>-619.13109429938095</v>
      </c>
      <c r="O3552" t="s">
        <v>8</v>
      </c>
    </row>
    <row r="3553" spans="1:15" x14ac:dyDescent="0.35">
      <c r="A3553">
        <v>2009</v>
      </c>
      <c r="B3553">
        <v>9</v>
      </c>
      <c r="C3553">
        <v>21</v>
      </c>
      <c r="D3553" s="1">
        <f t="shared" si="440"/>
        <v>40077</v>
      </c>
      <c r="E3553">
        <v>0</v>
      </c>
      <c r="F3553">
        <f t="shared" si="446"/>
        <v>2.6</v>
      </c>
      <c r="G3553">
        <f t="shared" si="441"/>
        <v>0</v>
      </c>
      <c r="H3553">
        <f t="shared" si="447"/>
        <v>1</v>
      </c>
      <c r="I3553">
        <v>3552</v>
      </c>
      <c r="J3553">
        <f t="shared" si="442"/>
        <v>-0.98753650654922975</v>
      </c>
      <c r="K3553">
        <f t="shared" si="443"/>
        <v>-0.15739011478661263</v>
      </c>
      <c r="L3553">
        <f>VLOOKUP(D3553,[1]SOI!$A$1:$C$142,3)</f>
        <v>-5</v>
      </c>
      <c r="M3553" s="2">
        <f t="shared" si="444"/>
        <v>-3507.729671262864</v>
      </c>
      <c r="N3553">
        <f t="shared" si="445"/>
        <v>-559.04968772204802</v>
      </c>
      <c r="O3553" t="s">
        <v>8</v>
      </c>
    </row>
    <row r="3554" spans="1:15" x14ac:dyDescent="0.35">
      <c r="A3554">
        <v>2009</v>
      </c>
      <c r="B3554">
        <v>9</v>
      </c>
      <c r="C3554">
        <v>22</v>
      </c>
      <c r="D3554" s="1">
        <f t="shared" si="440"/>
        <v>40078</v>
      </c>
      <c r="E3554">
        <v>16.600000000000001</v>
      </c>
      <c r="F3554">
        <f t="shared" si="446"/>
        <v>0</v>
      </c>
      <c r="G3554">
        <f t="shared" si="441"/>
        <v>1</v>
      </c>
      <c r="H3554">
        <f t="shared" si="447"/>
        <v>0</v>
      </c>
      <c r="I3554">
        <v>3553</v>
      </c>
      <c r="J3554">
        <f t="shared" si="442"/>
        <v>-0.99009775050870918</v>
      </c>
      <c r="K3554">
        <f t="shared" si="443"/>
        <v>-0.140379643957355</v>
      </c>
      <c r="L3554">
        <f>VLOOKUP(D3554,[1]SOI!$A$1:$C$142,3)</f>
        <v>-5</v>
      </c>
      <c r="M3554" s="2">
        <f t="shared" si="444"/>
        <v>-3517.8173075574437</v>
      </c>
      <c r="N3554">
        <f t="shared" si="445"/>
        <v>-498.76887498048234</v>
      </c>
      <c r="O3554" t="s">
        <v>8</v>
      </c>
    </row>
    <row r="3555" spans="1:15" x14ac:dyDescent="0.35">
      <c r="A3555">
        <v>2009</v>
      </c>
      <c r="B3555">
        <v>9</v>
      </c>
      <c r="C3555">
        <v>23</v>
      </c>
      <c r="D3555" s="1">
        <f t="shared" si="440"/>
        <v>40079</v>
      </c>
      <c r="E3555">
        <v>0</v>
      </c>
      <c r="F3555">
        <f t="shared" si="446"/>
        <v>16.600000000000001</v>
      </c>
      <c r="G3555">
        <f t="shared" si="441"/>
        <v>0</v>
      </c>
      <c r="H3555">
        <f t="shared" si="447"/>
        <v>1</v>
      </c>
      <c r="I3555">
        <v>3554</v>
      </c>
      <c r="J3555">
        <f t="shared" si="442"/>
        <v>-0.99236600861467117</v>
      </c>
      <c r="K3555">
        <f t="shared" si="443"/>
        <v>-0.12332763253296612</v>
      </c>
      <c r="L3555">
        <f>VLOOKUP(D3555,[1]SOI!$A$1:$C$142,3)</f>
        <v>-5</v>
      </c>
      <c r="M3555" s="2">
        <f t="shared" si="444"/>
        <v>-3526.8687946165414</v>
      </c>
      <c r="N3555">
        <f t="shared" si="445"/>
        <v>-438.30640602216158</v>
      </c>
      <c r="O3555" t="s">
        <v>8</v>
      </c>
    </row>
    <row r="3556" spans="1:15" x14ac:dyDescent="0.35">
      <c r="A3556">
        <v>2009</v>
      </c>
      <c r="B3556">
        <v>9</v>
      </c>
      <c r="C3556">
        <v>24</v>
      </c>
      <c r="D3556" s="1">
        <f t="shared" si="440"/>
        <v>40080</v>
      </c>
      <c r="E3556">
        <v>0.4</v>
      </c>
      <c r="F3556">
        <f t="shared" si="446"/>
        <v>0</v>
      </c>
      <c r="G3556">
        <f t="shared" si="441"/>
        <v>1</v>
      </c>
      <c r="H3556">
        <f t="shared" si="447"/>
        <v>0</v>
      </c>
      <c r="I3556">
        <v>3555</v>
      </c>
      <c r="J3556">
        <f t="shared" si="442"/>
        <v>-0.99434060965305116</v>
      </c>
      <c r="K3556">
        <f t="shared" si="443"/>
        <v>-0.10623912647795289</v>
      </c>
      <c r="L3556">
        <f>VLOOKUP(D3556,[1]SOI!$A$1:$C$142,3)</f>
        <v>-5</v>
      </c>
      <c r="M3556" s="2">
        <f t="shared" si="444"/>
        <v>-3534.8808673165968</v>
      </c>
      <c r="N3556">
        <f t="shared" si="445"/>
        <v>-377.68009462912249</v>
      </c>
      <c r="O3556" t="s">
        <v>8</v>
      </c>
    </row>
    <row r="3557" spans="1:15" x14ac:dyDescent="0.35">
      <c r="A3557">
        <v>2009</v>
      </c>
      <c r="B3557">
        <v>9</v>
      </c>
      <c r="C3557">
        <v>25</v>
      </c>
      <c r="D3557" s="1">
        <f t="shared" si="440"/>
        <v>40081</v>
      </c>
      <c r="E3557">
        <v>8</v>
      </c>
      <c r="F3557">
        <f t="shared" si="446"/>
        <v>0.4</v>
      </c>
      <c r="G3557">
        <f t="shared" si="441"/>
        <v>1</v>
      </c>
      <c r="H3557">
        <f t="shared" si="447"/>
        <v>1</v>
      </c>
      <c r="I3557">
        <v>3556</v>
      </c>
      <c r="J3557">
        <f t="shared" si="442"/>
        <v>-0.99602096930763273</v>
      </c>
      <c r="K3557">
        <f t="shared" si="443"/>
        <v>-8.911918255619164E-2</v>
      </c>
      <c r="L3557">
        <f>VLOOKUP(D3557,[1]SOI!$A$1:$C$142,3)</f>
        <v>-5</v>
      </c>
      <c r="M3557" s="2">
        <f t="shared" si="444"/>
        <v>-3541.8505668579419</v>
      </c>
      <c r="N3557">
        <f t="shared" si="445"/>
        <v>-316.90781316981747</v>
      </c>
      <c r="O3557" t="s">
        <v>8</v>
      </c>
    </row>
    <row r="3558" spans="1:15" x14ac:dyDescent="0.35">
      <c r="A3558">
        <v>2009</v>
      </c>
      <c r="B3558">
        <v>9</v>
      </c>
      <c r="C3558">
        <v>26</v>
      </c>
      <c r="D3558" s="1">
        <f t="shared" si="440"/>
        <v>40082</v>
      </c>
      <c r="E3558">
        <v>11.8</v>
      </c>
      <c r="F3558">
        <f t="shared" si="446"/>
        <v>8</v>
      </c>
      <c r="G3558">
        <f t="shared" si="441"/>
        <v>1</v>
      </c>
      <c r="H3558">
        <f t="shared" si="447"/>
        <v>1</v>
      </c>
      <c r="I3558">
        <v>3557</v>
      </c>
      <c r="J3558">
        <f t="shared" si="442"/>
        <v>-0.99740659033295953</v>
      </c>
      <c r="K3558">
        <f t="shared" si="443"/>
        <v>-7.1972866834522226E-2</v>
      </c>
      <c r="L3558">
        <f>VLOOKUP(D3558,[1]SOI!$A$1:$C$142,3)</f>
        <v>-5</v>
      </c>
      <c r="M3558" s="2">
        <f t="shared" si="444"/>
        <v>-3547.7752418143373</v>
      </c>
      <c r="N3558">
        <f t="shared" si="445"/>
        <v>-256.00748733039558</v>
      </c>
      <c r="O3558" t="s">
        <v>8</v>
      </c>
    </row>
    <row r="3559" spans="1:15" x14ac:dyDescent="0.35">
      <c r="A3559">
        <v>2009</v>
      </c>
      <c r="B3559">
        <v>9</v>
      </c>
      <c r="C3559">
        <v>27</v>
      </c>
      <c r="D3559" s="1">
        <f t="shared" si="440"/>
        <v>40083</v>
      </c>
      <c r="E3559">
        <v>2</v>
      </c>
      <c r="F3559">
        <f t="shared" si="446"/>
        <v>11.8</v>
      </c>
      <c r="G3559">
        <f t="shared" si="441"/>
        <v>1</v>
      </c>
      <c r="H3559">
        <f t="shared" si="447"/>
        <v>1</v>
      </c>
      <c r="I3559">
        <v>3558</v>
      </c>
      <c r="J3559">
        <f t="shared" si="442"/>
        <v>-0.99849706270147776</v>
      </c>
      <c r="K3559">
        <f t="shared" si="443"/>
        <v>-5.4805253183624399E-2</v>
      </c>
      <c r="L3559">
        <f>VLOOKUP(D3559,[1]SOI!$A$1:$C$142,3)</f>
        <v>-5</v>
      </c>
      <c r="M3559" s="2">
        <f t="shared" si="444"/>
        <v>-3552.652549091858</v>
      </c>
      <c r="N3559">
        <f t="shared" si="445"/>
        <v>-194.9970908273356</v>
      </c>
      <c r="O3559" t="s">
        <v>8</v>
      </c>
    </row>
    <row r="3560" spans="1:15" x14ac:dyDescent="0.35">
      <c r="A3560">
        <v>2009</v>
      </c>
      <c r="B3560">
        <v>9</v>
      </c>
      <c r="C3560">
        <v>28</v>
      </c>
      <c r="D3560" s="1">
        <f t="shared" si="440"/>
        <v>40084</v>
      </c>
      <c r="E3560">
        <v>3.6</v>
      </c>
      <c r="F3560">
        <f t="shared" si="446"/>
        <v>2</v>
      </c>
      <c r="G3560">
        <f t="shared" si="441"/>
        <v>1</v>
      </c>
      <c r="H3560">
        <f t="shared" si="447"/>
        <v>1</v>
      </c>
      <c r="I3560">
        <v>3559</v>
      </c>
      <c r="J3560">
        <f t="shared" si="442"/>
        <v>-0.99929206372486956</v>
      </c>
      <c r="K3560">
        <f t="shared" si="443"/>
        <v>-3.762142177657779E-2</v>
      </c>
      <c r="L3560">
        <f>VLOOKUP(D3560,[1]SOI!$A$1:$C$142,3)</f>
        <v>-5</v>
      </c>
      <c r="M3560" s="2">
        <f t="shared" si="444"/>
        <v>-3556.4804547968106</v>
      </c>
      <c r="N3560">
        <f t="shared" si="445"/>
        <v>-133.89464010284036</v>
      </c>
      <c r="O3560" t="s">
        <v>8</v>
      </c>
    </row>
    <row r="3561" spans="1:15" x14ac:dyDescent="0.35">
      <c r="A3561">
        <v>2009</v>
      </c>
      <c r="B3561">
        <v>9</v>
      </c>
      <c r="C3561">
        <v>29</v>
      </c>
      <c r="D3561" s="1">
        <f t="shared" si="440"/>
        <v>40085</v>
      </c>
      <c r="E3561">
        <v>1.6</v>
      </c>
      <c r="F3561">
        <f t="shared" si="446"/>
        <v>3.6</v>
      </c>
      <c r="G3561">
        <f t="shared" si="441"/>
        <v>1</v>
      </c>
      <c r="H3561">
        <f t="shared" si="447"/>
        <v>1</v>
      </c>
      <c r="I3561">
        <v>3560</v>
      </c>
      <c r="J3561">
        <f t="shared" si="442"/>
        <v>-0.99979135814954168</v>
      </c>
      <c r="K3561">
        <f t="shared" si="443"/>
        <v>-2.0426457585564124E-2</v>
      </c>
      <c r="L3561">
        <f>VLOOKUP(D3561,[1]SOI!$A$1:$C$142,3)</f>
        <v>-5</v>
      </c>
      <c r="M3561" s="2">
        <f t="shared" si="444"/>
        <v>-3559.2572350123683</v>
      </c>
      <c r="N3561">
        <f t="shared" si="445"/>
        <v>-72.718189004608277</v>
      </c>
      <c r="O3561" t="s">
        <v>8</v>
      </c>
    </row>
    <row r="3562" spans="1:15" x14ac:dyDescent="0.35">
      <c r="A3562">
        <v>2009</v>
      </c>
      <c r="B3562">
        <v>9</v>
      </c>
      <c r="C3562">
        <v>30</v>
      </c>
      <c r="D3562" s="1">
        <f t="shared" si="440"/>
        <v>40086</v>
      </c>
      <c r="E3562">
        <v>0</v>
      </c>
      <c r="F3562">
        <f t="shared" si="446"/>
        <v>1.6</v>
      </c>
      <c r="G3562">
        <f t="shared" si="441"/>
        <v>0</v>
      </c>
      <c r="H3562">
        <f t="shared" si="447"/>
        <v>1</v>
      </c>
      <c r="I3562">
        <v>3561</v>
      </c>
      <c r="J3562">
        <f t="shared" si="442"/>
        <v>-0.99999479822624138</v>
      </c>
      <c r="K3562">
        <f t="shared" si="443"/>
        <v>-3.2254488771136848E-3</v>
      </c>
      <c r="L3562">
        <f>VLOOKUP(D3562,[1]SOI!$A$1:$C$142,3)</f>
        <v>-5</v>
      </c>
      <c r="M3562" s="2">
        <f t="shared" si="444"/>
        <v>-3560.9814764836456</v>
      </c>
      <c r="N3562">
        <f t="shared" si="445"/>
        <v>-11.485823451401831</v>
      </c>
      <c r="O3562" t="s">
        <v>8</v>
      </c>
    </row>
    <row r="3563" spans="1:15" x14ac:dyDescent="0.35">
      <c r="A3563">
        <v>2009</v>
      </c>
      <c r="B3563">
        <v>10</v>
      </c>
      <c r="C3563">
        <v>1</v>
      </c>
      <c r="D3563" s="1">
        <f t="shared" si="440"/>
        <v>40087</v>
      </c>
      <c r="E3563">
        <v>0</v>
      </c>
      <c r="F3563">
        <f t="shared" si="446"/>
        <v>0</v>
      </c>
      <c r="G3563">
        <f t="shared" si="441"/>
        <v>0</v>
      </c>
      <c r="H3563">
        <f t="shared" si="447"/>
        <v>0</v>
      </c>
      <c r="I3563">
        <v>3562</v>
      </c>
      <c r="J3563">
        <f t="shared" si="442"/>
        <v>-0.99990232375377652</v>
      </c>
      <c r="K3563">
        <f t="shared" si="443"/>
        <v>1.3976514293551973E-2</v>
      </c>
      <c r="L3563">
        <f>VLOOKUP(D3563,[1]SOI!$A$1:$C$142,3)</f>
        <v>3.9</v>
      </c>
      <c r="M3563" s="2">
        <f t="shared" si="444"/>
        <v>-3561.652077210952</v>
      </c>
      <c r="N3563">
        <f t="shared" si="445"/>
        <v>49.784343913632128</v>
      </c>
      <c r="O3563" t="s">
        <v>8</v>
      </c>
    </row>
    <row r="3564" spans="1:15" x14ac:dyDescent="0.35">
      <c r="A3564">
        <v>2009</v>
      </c>
      <c r="B3564">
        <v>10</v>
      </c>
      <c r="C3564">
        <v>2</v>
      </c>
      <c r="D3564" s="1">
        <f t="shared" si="440"/>
        <v>40088</v>
      </c>
      <c r="E3564">
        <v>0</v>
      </c>
      <c r="F3564">
        <f t="shared" si="446"/>
        <v>0</v>
      </c>
      <c r="G3564">
        <f t="shared" si="441"/>
        <v>0</v>
      </c>
      <c r="H3564">
        <f t="shared" si="447"/>
        <v>0</v>
      </c>
      <c r="I3564">
        <v>3563</v>
      </c>
      <c r="J3564">
        <f t="shared" si="442"/>
        <v>-0.99951396209683141</v>
      </c>
      <c r="K3564">
        <f t="shared" si="443"/>
        <v>3.1174341588777677E-2</v>
      </c>
      <c r="L3564">
        <f>VLOOKUP(D3564,[1]SOI!$A$1:$C$142,3)</f>
        <v>3.9</v>
      </c>
      <c r="M3564" s="2">
        <f t="shared" si="444"/>
        <v>-3561.2682469510105</v>
      </c>
      <c r="N3564">
        <f t="shared" si="445"/>
        <v>111.07417908081486</v>
      </c>
      <c r="O3564" t="s">
        <v>8</v>
      </c>
    </row>
    <row r="3565" spans="1:15" x14ac:dyDescent="0.35">
      <c r="A3565">
        <v>2009</v>
      </c>
      <c r="B3565">
        <v>10</v>
      </c>
      <c r="C3565">
        <v>3</v>
      </c>
      <c r="D3565" s="1">
        <f t="shared" si="440"/>
        <v>40089</v>
      </c>
      <c r="E3565">
        <v>0</v>
      </c>
      <c r="F3565">
        <f t="shared" si="446"/>
        <v>0</v>
      </c>
      <c r="G3565">
        <f t="shared" si="441"/>
        <v>0</v>
      </c>
      <c r="H3565">
        <f t="shared" si="447"/>
        <v>0</v>
      </c>
      <c r="I3565">
        <v>3564</v>
      </c>
      <c r="J3565">
        <f t="shared" si="442"/>
        <v>-0.99882982817786847</v>
      </c>
      <c r="K3565">
        <f t="shared" si="443"/>
        <v>4.8362943894780332E-2</v>
      </c>
      <c r="L3565">
        <f>VLOOKUP(D3565,[1]SOI!$A$1:$C$142,3)</f>
        <v>3.9</v>
      </c>
      <c r="M3565" s="2">
        <f t="shared" si="444"/>
        <v>-3559.8295076259233</v>
      </c>
      <c r="N3565">
        <f t="shared" si="445"/>
        <v>172.3655320409971</v>
      </c>
      <c r="O3565" t="s">
        <v>8</v>
      </c>
    </row>
    <row r="3566" spans="1:15" x14ac:dyDescent="0.35">
      <c r="A3566">
        <v>2009</v>
      </c>
      <c r="B3566">
        <v>10</v>
      </c>
      <c r="C3566">
        <v>4</v>
      </c>
      <c r="D3566" s="1">
        <f t="shared" si="440"/>
        <v>40090</v>
      </c>
      <c r="E3566">
        <v>0</v>
      </c>
      <c r="F3566">
        <f t="shared" si="446"/>
        <v>0</v>
      </c>
      <c r="G3566">
        <f t="shared" si="441"/>
        <v>0</v>
      </c>
      <c r="H3566">
        <f t="shared" si="447"/>
        <v>0</v>
      </c>
      <c r="I3566">
        <v>3565</v>
      </c>
      <c r="J3566">
        <f t="shared" si="442"/>
        <v>-0.99785012444312149</v>
      </c>
      <c r="K3566">
        <f t="shared" si="443"/>
        <v>6.553723482759248E-2</v>
      </c>
      <c r="L3566">
        <f>VLOOKUP(D3566,[1]SOI!$A$1:$C$142,3)</f>
        <v>3.9</v>
      </c>
      <c r="M3566" s="2">
        <f t="shared" si="444"/>
        <v>-3557.3356936397281</v>
      </c>
      <c r="N3566">
        <f t="shared" si="445"/>
        <v>233.64024216036719</v>
      </c>
      <c r="O3566" t="s">
        <v>8</v>
      </c>
    </row>
    <row r="3567" spans="1:15" x14ac:dyDescent="0.35">
      <c r="A3567">
        <v>2009</v>
      </c>
      <c r="B3567">
        <v>10</v>
      </c>
      <c r="C3567">
        <v>5</v>
      </c>
      <c r="D3567" s="1">
        <f t="shared" si="440"/>
        <v>40091</v>
      </c>
      <c r="E3567">
        <v>0</v>
      </c>
      <c r="F3567">
        <f t="shared" si="446"/>
        <v>0</v>
      </c>
      <c r="G3567">
        <f t="shared" si="441"/>
        <v>0</v>
      </c>
      <c r="H3567">
        <f t="shared" si="447"/>
        <v>0</v>
      </c>
      <c r="I3567">
        <v>3566</v>
      </c>
      <c r="J3567">
        <f t="shared" si="442"/>
        <v>-0.9965751408026865</v>
      </c>
      <c r="K3567">
        <f t="shared" si="443"/>
        <v>8.2692132238233518E-2</v>
      </c>
      <c r="L3567">
        <f>VLOOKUP(D3567,[1]SOI!$A$1:$C$142,3)</f>
        <v>3.9</v>
      </c>
      <c r="M3567" s="2">
        <f t="shared" si="444"/>
        <v>-3553.7869521023799</v>
      </c>
      <c r="N3567">
        <f t="shared" si="445"/>
        <v>294.88014356154071</v>
      </c>
      <c r="O3567" t="s">
        <v>8</v>
      </c>
    </row>
    <row r="3568" spans="1:15" x14ac:dyDescent="0.35">
      <c r="A3568">
        <v>2009</v>
      </c>
      <c r="B3568">
        <v>10</v>
      </c>
      <c r="C3568">
        <v>6</v>
      </c>
      <c r="D3568" s="1">
        <f t="shared" si="440"/>
        <v>40092</v>
      </c>
      <c r="E3568">
        <v>3</v>
      </c>
      <c r="F3568">
        <f t="shared" si="446"/>
        <v>0</v>
      </c>
      <c r="G3568">
        <f t="shared" si="441"/>
        <v>1</v>
      </c>
      <c r="H3568">
        <f t="shared" si="447"/>
        <v>0</v>
      </c>
      <c r="I3568">
        <v>3567</v>
      </c>
      <c r="J3568">
        <f t="shared" si="442"/>
        <v>-0.99500525454473576</v>
      </c>
      <c r="K3568">
        <f t="shared" si="443"/>
        <v>9.9822559716556791E-2</v>
      </c>
      <c r="L3568">
        <f>VLOOKUP(D3568,[1]SOI!$A$1:$C$142,3)</f>
        <v>3.9</v>
      </c>
      <c r="M3568" s="2">
        <f t="shared" si="444"/>
        <v>-3549.1837429610723</v>
      </c>
      <c r="N3568">
        <f t="shared" si="445"/>
        <v>356.06707050895807</v>
      </c>
      <c r="O3568" t="s">
        <v>8</v>
      </c>
    </row>
    <row r="3569" spans="1:15" x14ac:dyDescent="0.35">
      <c r="A3569">
        <v>2009</v>
      </c>
      <c r="B3569">
        <v>10</v>
      </c>
      <c r="C3569">
        <v>7</v>
      </c>
      <c r="D3569" s="1">
        <f t="shared" si="440"/>
        <v>40093</v>
      </c>
      <c r="E3569">
        <v>0.8</v>
      </c>
      <c r="F3569">
        <f t="shared" si="446"/>
        <v>3</v>
      </c>
      <c r="G3569">
        <f t="shared" si="441"/>
        <v>1</v>
      </c>
      <c r="H3569">
        <f t="shared" si="447"/>
        <v>1</v>
      </c>
      <c r="I3569">
        <v>3568</v>
      </c>
      <c r="J3569">
        <f t="shared" si="442"/>
        <v>-0.99314093022386996</v>
      </c>
      <c r="K3569">
        <f t="shared" si="443"/>
        <v>0.11692344809346936</v>
      </c>
      <c r="L3569">
        <f>VLOOKUP(D3569,[1]SOI!$A$1:$C$142,3)</f>
        <v>3.9</v>
      </c>
      <c r="M3569" s="2">
        <f t="shared" si="444"/>
        <v>-3543.5268390387678</v>
      </c>
      <c r="N3569">
        <f t="shared" si="445"/>
        <v>417.18286279749867</v>
      </c>
      <c r="O3569" t="s">
        <v>8</v>
      </c>
    </row>
    <row r="3570" spans="1:15" x14ac:dyDescent="0.35">
      <c r="A3570">
        <v>2009</v>
      </c>
      <c r="B3570">
        <v>10</v>
      </c>
      <c r="C3570">
        <v>8</v>
      </c>
      <c r="D3570" s="1">
        <f t="shared" si="440"/>
        <v>40094</v>
      </c>
      <c r="E3570">
        <v>0.4</v>
      </c>
      <c r="F3570">
        <f t="shared" si="446"/>
        <v>0.8</v>
      </c>
      <c r="G3570">
        <f t="shared" si="441"/>
        <v>1</v>
      </c>
      <c r="H3570">
        <f t="shared" si="447"/>
        <v>1</v>
      </c>
      <c r="I3570">
        <v>3569</v>
      </c>
      <c r="J3570">
        <f t="shared" si="442"/>
        <v>-0.9909827195236488</v>
      </c>
      <c r="K3570">
        <f t="shared" si="443"/>
        <v>0.13398973694098074</v>
      </c>
      <c r="L3570">
        <f>VLOOKUP(D3570,[1]SOI!$A$1:$C$142,3)</f>
        <v>3.9</v>
      </c>
      <c r="M3570" s="2">
        <f t="shared" si="444"/>
        <v>-3536.8173259799028</v>
      </c>
      <c r="N3570">
        <f t="shared" si="445"/>
        <v>478.20937114236023</v>
      </c>
      <c r="O3570" t="s">
        <v>8</v>
      </c>
    </row>
    <row r="3571" spans="1:15" x14ac:dyDescent="0.35">
      <c r="A3571">
        <v>2009</v>
      </c>
      <c r="B3571">
        <v>10</v>
      </c>
      <c r="C3571">
        <v>9</v>
      </c>
      <c r="D3571" s="1">
        <f t="shared" si="440"/>
        <v>40095</v>
      </c>
      <c r="E3571">
        <v>0</v>
      </c>
      <c r="F3571">
        <f t="shared" si="446"/>
        <v>0.4</v>
      </c>
      <c r="G3571">
        <f t="shared" si="441"/>
        <v>0</v>
      </c>
      <c r="H3571">
        <f t="shared" si="447"/>
        <v>1</v>
      </c>
      <c r="I3571">
        <v>3570</v>
      </c>
      <c r="J3571">
        <f t="shared" si="442"/>
        <v>-0.98853126109334255</v>
      </c>
      <c r="K3571">
        <f t="shared" si="443"/>
        <v>0.15101637606963661</v>
      </c>
      <c r="L3571">
        <f>VLOOKUP(D3571,[1]SOI!$A$1:$C$142,3)</f>
        <v>3.9</v>
      </c>
      <c r="M3571" s="2">
        <f t="shared" si="444"/>
        <v>-3529.0566021032328</v>
      </c>
      <c r="N3571">
        <f t="shared" si="445"/>
        <v>539.12846256860269</v>
      </c>
      <c r="O3571" t="s">
        <v>8</v>
      </c>
    </row>
    <row r="3572" spans="1:15" x14ac:dyDescent="0.35">
      <c r="A3572">
        <v>2009</v>
      </c>
      <c r="B3572">
        <v>10</v>
      </c>
      <c r="C3572">
        <v>10</v>
      </c>
      <c r="D3572" s="1">
        <f t="shared" si="440"/>
        <v>40096</v>
      </c>
      <c r="E3572">
        <v>0</v>
      </c>
      <c r="F3572">
        <f t="shared" si="446"/>
        <v>0</v>
      </c>
      <c r="G3572">
        <f t="shared" si="441"/>
        <v>0</v>
      </c>
      <c r="H3572">
        <f t="shared" si="447"/>
        <v>0</v>
      </c>
      <c r="I3572">
        <v>3571</v>
      </c>
      <c r="J3572">
        <f t="shared" si="442"/>
        <v>-0.98578728035894236</v>
      </c>
      <c r="K3572">
        <f t="shared" si="443"/>
        <v>0.16799832702297959</v>
      </c>
      <c r="L3572">
        <f>VLOOKUP(D3572,[1]SOI!$A$1:$C$142,3)</f>
        <v>3.9</v>
      </c>
      <c r="M3572" s="2">
        <f t="shared" si="444"/>
        <v>-3520.246378161783</v>
      </c>
      <c r="N3572">
        <f t="shared" si="445"/>
        <v>599.92202579906018</v>
      </c>
      <c r="O3572" t="s">
        <v>8</v>
      </c>
    </row>
    <row r="3573" spans="1:15" x14ac:dyDescent="0.35">
      <c r="A3573">
        <v>2009</v>
      </c>
      <c r="B3573">
        <v>10</v>
      </c>
      <c r="C3573">
        <v>11</v>
      </c>
      <c r="D3573" s="1">
        <f t="shared" si="440"/>
        <v>40097</v>
      </c>
      <c r="E3573">
        <v>0</v>
      </c>
      <c r="F3573">
        <f t="shared" si="446"/>
        <v>0</v>
      </c>
      <c r="G3573">
        <f t="shared" si="441"/>
        <v>0</v>
      </c>
      <c r="H3573">
        <f t="shared" si="447"/>
        <v>0</v>
      </c>
      <c r="I3573">
        <v>3572</v>
      </c>
      <c r="J3573">
        <f t="shared" si="442"/>
        <v>-0.98275158930848949</v>
      </c>
      <c r="K3573">
        <f t="shared" si="443"/>
        <v>0.18493056456853738</v>
      </c>
      <c r="L3573">
        <f>VLOOKUP(D3573,[1]SOI!$A$1:$C$142,3)</f>
        <v>3.9</v>
      </c>
      <c r="M3573" s="2">
        <f t="shared" si="444"/>
        <v>-3510.3886770099243</v>
      </c>
      <c r="N3573">
        <f t="shared" si="445"/>
        <v>660.5719766388155</v>
      </c>
      <c r="O3573" t="s">
        <v>8</v>
      </c>
    </row>
    <row r="3574" spans="1:15" x14ac:dyDescent="0.35">
      <c r="A3574">
        <v>2009</v>
      </c>
      <c r="B3574">
        <v>10</v>
      </c>
      <c r="C3574">
        <v>12</v>
      </c>
      <c r="D3574" s="1">
        <f t="shared" si="440"/>
        <v>40098</v>
      </c>
      <c r="E3574">
        <v>0.8</v>
      </c>
      <c r="F3574">
        <f t="shared" si="446"/>
        <v>0</v>
      </c>
      <c r="G3574">
        <f t="shared" si="441"/>
        <v>1</v>
      </c>
      <c r="H3574">
        <f t="shared" si="447"/>
        <v>0</v>
      </c>
      <c r="I3574">
        <v>3573</v>
      </c>
      <c r="J3574">
        <f t="shared" si="442"/>
        <v>-0.97942508625180613</v>
      </c>
      <c r="K3574">
        <f t="shared" si="443"/>
        <v>0.20180807818479957</v>
      </c>
      <c r="L3574">
        <f>VLOOKUP(D3574,[1]SOI!$A$1:$C$142,3)</f>
        <v>3.9</v>
      </c>
      <c r="M3574" s="2">
        <f t="shared" si="444"/>
        <v>-3499.4858331777032</v>
      </c>
      <c r="N3574">
        <f t="shared" si="445"/>
        <v>721.06026335428885</v>
      </c>
      <c r="O3574" t="s">
        <v>8</v>
      </c>
    </row>
    <row r="3575" spans="1:15" x14ac:dyDescent="0.35">
      <c r="A3575">
        <v>2009</v>
      </c>
      <c r="B3575">
        <v>10</v>
      </c>
      <c r="C3575">
        <v>13</v>
      </c>
      <c r="D3575" s="1">
        <f t="shared" si="440"/>
        <v>40099</v>
      </c>
      <c r="E3575">
        <v>0.8</v>
      </c>
      <c r="F3575">
        <f t="shared" si="446"/>
        <v>0.8</v>
      </c>
      <c r="G3575">
        <f t="shared" si="441"/>
        <v>1</v>
      </c>
      <c r="H3575">
        <f t="shared" si="447"/>
        <v>1</v>
      </c>
      <c r="I3575">
        <v>3574</v>
      </c>
      <c r="J3575">
        <f t="shared" si="442"/>
        <v>-0.97580875555466762</v>
      </c>
      <c r="K3575">
        <f t="shared" si="443"/>
        <v>0.21862587354394011</v>
      </c>
      <c r="L3575">
        <f>VLOOKUP(D3575,[1]SOI!$A$1:$C$142,3)</f>
        <v>3.9</v>
      </c>
      <c r="M3575" s="2">
        <f t="shared" si="444"/>
        <v>-3487.540492352382</v>
      </c>
      <c r="N3575">
        <f t="shared" si="445"/>
        <v>781.36887204604193</v>
      </c>
      <c r="O3575" t="s">
        <v>8</v>
      </c>
    </row>
    <row r="3576" spans="1:15" x14ac:dyDescent="0.35">
      <c r="A3576">
        <v>2009</v>
      </c>
      <c r="B3576">
        <v>10</v>
      </c>
      <c r="C3576">
        <v>14</v>
      </c>
      <c r="D3576" s="1">
        <f t="shared" si="440"/>
        <v>40100</v>
      </c>
      <c r="E3576">
        <v>3.2</v>
      </c>
      <c r="F3576">
        <f t="shared" si="446"/>
        <v>0.8</v>
      </c>
      <c r="G3576">
        <f t="shared" si="441"/>
        <v>1</v>
      </c>
      <c r="H3576">
        <f t="shared" si="447"/>
        <v>1</v>
      </c>
      <c r="I3576">
        <v>3575</v>
      </c>
      <c r="J3576">
        <f t="shared" si="442"/>
        <v>-0.97190366734750722</v>
      </c>
      <c r="K3576">
        <f t="shared" si="443"/>
        <v>0.23537897398974691</v>
      </c>
      <c r="L3576">
        <f>VLOOKUP(D3576,[1]SOI!$A$1:$C$142,3)</f>
        <v>3.9</v>
      </c>
      <c r="M3576" s="2">
        <f t="shared" si="444"/>
        <v>-3474.5556107673383</v>
      </c>
      <c r="N3576">
        <f t="shared" si="445"/>
        <v>841.47983201334523</v>
      </c>
      <c r="O3576" t="s">
        <v>8</v>
      </c>
    </row>
    <row r="3577" spans="1:15" x14ac:dyDescent="0.35">
      <c r="A3577">
        <v>2009</v>
      </c>
      <c r="B3577">
        <v>10</v>
      </c>
      <c r="C3577">
        <v>15</v>
      </c>
      <c r="D3577" s="1">
        <f t="shared" si="440"/>
        <v>40101</v>
      </c>
      <c r="E3577">
        <v>1.8</v>
      </c>
      <c r="F3577">
        <f t="shared" si="446"/>
        <v>3.2</v>
      </c>
      <c r="G3577">
        <f t="shared" si="441"/>
        <v>1</v>
      </c>
      <c r="H3577">
        <f t="shared" si="447"/>
        <v>1</v>
      </c>
      <c r="I3577">
        <v>3576</v>
      </c>
      <c r="J3577">
        <f t="shared" si="442"/>
        <v>-0.96771097720875587</v>
      </c>
      <c r="K3577">
        <f t="shared" si="443"/>
        <v>0.25206242201025286</v>
      </c>
      <c r="L3577">
        <f>VLOOKUP(D3577,[1]SOI!$A$1:$C$142,3)</f>
        <v>3.9</v>
      </c>
      <c r="M3577" s="2">
        <f t="shared" si="444"/>
        <v>-3460.534454498511</v>
      </c>
      <c r="N3577">
        <f t="shared" si="445"/>
        <v>901.37522110866428</v>
      </c>
      <c r="O3577" t="s">
        <v>8</v>
      </c>
    </row>
    <row r="3578" spans="1:15" x14ac:dyDescent="0.35">
      <c r="A3578">
        <v>2009</v>
      </c>
      <c r="B3578">
        <v>10</v>
      </c>
      <c r="C3578">
        <v>16</v>
      </c>
      <c r="D3578" s="1">
        <f t="shared" si="440"/>
        <v>40102</v>
      </c>
      <c r="E3578">
        <v>5.4</v>
      </c>
      <c r="F3578">
        <f t="shared" si="446"/>
        <v>1.8</v>
      </c>
      <c r="G3578">
        <f t="shared" si="441"/>
        <v>1</v>
      </c>
      <c r="H3578">
        <f t="shared" si="447"/>
        <v>1</v>
      </c>
      <c r="I3578">
        <v>3577</v>
      </c>
      <c r="J3578">
        <f t="shared" si="442"/>
        <v>-0.96323192582287243</v>
      </c>
      <c r="K3578">
        <f t="shared" si="443"/>
        <v>0.26867128070480534</v>
      </c>
      <c r="L3578">
        <f>VLOOKUP(D3578,[1]SOI!$A$1:$C$142,3)</f>
        <v>3.9</v>
      </c>
      <c r="M3578" s="2">
        <f t="shared" si="444"/>
        <v>-3445.4805986684146</v>
      </c>
      <c r="N3578">
        <f t="shared" si="445"/>
        <v>961.03717108108867</v>
      </c>
      <c r="O3578" t="s">
        <v>8</v>
      </c>
    </row>
    <row r="3579" spans="1:15" x14ac:dyDescent="0.35">
      <c r="A3579">
        <v>2009</v>
      </c>
      <c r="B3579">
        <v>10</v>
      </c>
      <c r="C3579">
        <v>17</v>
      </c>
      <c r="D3579" s="1">
        <f t="shared" si="440"/>
        <v>40103</v>
      </c>
      <c r="E3579">
        <v>1.2</v>
      </c>
      <c r="F3579">
        <f t="shared" si="446"/>
        <v>5.4</v>
      </c>
      <c r="G3579">
        <f t="shared" si="441"/>
        <v>1</v>
      </c>
      <c r="H3579">
        <f t="shared" si="447"/>
        <v>1</v>
      </c>
      <c r="I3579">
        <v>3578</v>
      </c>
      <c r="J3579">
        <f t="shared" si="442"/>
        <v>-0.95846783861322449</v>
      </c>
      <c r="K3579">
        <f t="shared" si="443"/>
        <v>0.2852006352448988</v>
      </c>
      <c r="L3579">
        <f>VLOOKUP(D3579,[1]SOI!$A$1:$C$142,3)</f>
        <v>3.9</v>
      </c>
      <c r="M3579" s="2">
        <f t="shared" si="444"/>
        <v>-3429.3979265581174</v>
      </c>
      <c r="N3579">
        <f t="shared" si="445"/>
        <v>1020.4478729062479</v>
      </c>
      <c r="O3579" t="s">
        <v>8</v>
      </c>
    </row>
    <row r="3580" spans="1:15" x14ac:dyDescent="0.35">
      <c r="A3580">
        <v>2009</v>
      </c>
      <c r="B3580">
        <v>10</v>
      </c>
      <c r="C3580">
        <v>18</v>
      </c>
      <c r="D3580" s="1">
        <f t="shared" si="440"/>
        <v>40104</v>
      </c>
      <c r="E3580">
        <v>0</v>
      </c>
      <c r="F3580">
        <f t="shared" si="446"/>
        <v>1.2</v>
      </c>
      <c r="G3580">
        <f t="shared" si="441"/>
        <v>0</v>
      </c>
      <c r="H3580">
        <f t="shared" si="447"/>
        <v>1</v>
      </c>
      <c r="I3580">
        <v>3579</v>
      </c>
      <c r="J3580">
        <f t="shared" si="442"/>
        <v>-0.95342012534986809</v>
      </c>
      <c r="K3580">
        <f t="shared" si="443"/>
        <v>0.30164559432857946</v>
      </c>
      <c r="L3580">
        <f>VLOOKUP(D3580,[1]SOI!$A$1:$C$142,3)</f>
        <v>3.9</v>
      </c>
      <c r="M3580" s="2">
        <f t="shared" si="444"/>
        <v>-3412.2906286271777</v>
      </c>
      <c r="N3580">
        <f t="shared" si="445"/>
        <v>1079.5895821019858</v>
      </c>
      <c r="O3580" t="s">
        <v>8</v>
      </c>
    </row>
    <row r="3581" spans="1:15" x14ac:dyDescent="0.35">
      <c r="A3581">
        <v>2009</v>
      </c>
      <c r="B3581">
        <v>10</v>
      </c>
      <c r="C3581">
        <v>19</v>
      </c>
      <c r="D3581" s="1">
        <f t="shared" si="440"/>
        <v>40105</v>
      </c>
      <c r="E3581">
        <v>0</v>
      </c>
      <c r="F3581">
        <f t="shared" si="446"/>
        <v>0</v>
      </c>
      <c r="G3581">
        <f t="shared" si="441"/>
        <v>0</v>
      </c>
      <c r="H3581">
        <f t="shared" si="447"/>
        <v>0</v>
      </c>
      <c r="I3581">
        <v>3580</v>
      </c>
      <c r="J3581">
        <f t="shared" si="442"/>
        <v>-0.9480902797323657</v>
      </c>
      <c r="K3581">
        <f t="shared" si="443"/>
        <v>0.31800129162788732</v>
      </c>
      <c r="L3581">
        <f>VLOOKUP(D3581,[1]SOI!$A$1:$C$142,3)</f>
        <v>3.9</v>
      </c>
      <c r="M3581" s="2">
        <f t="shared" si="444"/>
        <v>-3394.1632014418692</v>
      </c>
      <c r="N3581">
        <f t="shared" si="445"/>
        <v>1138.4446240278367</v>
      </c>
      <c r="O3581" t="s">
        <v>8</v>
      </c>
    </row>
    <row r="3582" spans="1:15" x14ac:dyDescent="0.35">
      <c r="A3582">
        <v>2009</v>
      </c>
      <c r="B3582">
        <v>10</v>
      </c>
      <c r="C3582">
        <v>20</v>
      </c>
      <c r="D3582" s="1">
        <f t="shared" si="440"/>
        <v>40106</v>
      </c>
      <c r="E3582">
        <v>0</v>
      </c>
      <c r="F3582">
        <f t="shared" si="446"/>
        <v>0</v>
      </c>
      <c r="G3582">
        <f t="shared" si="441"/>
        <v>0</v>
      </c>
      <c r="H3582">
        <f t="shared" si="447"/>
        <v>0</v>
      </c>
      <c r="I3582">
        <v>3581</v>
      </c>
      <c r="J3582">
        <f t="shared" si="442"/>
        <v>-0.94247987894778462</v>
      </c>
      <c r="K3582">
        <f t="shared" si="443"/>
        <v>0.33426288722885361</v>
      </c>
      <c r="L3582">
        <f>VLOOKUP(D3582,[1]SOI!$A$1:$C$142,3)</f>
        <v>3.9</v>
      </c>
      <c r="M3582" s="2">
        <f t="shared" si="444"/>
        <v>-3375.0204465120169</v>
      </c>
      <c r="N3582">
        <f t="shared" si="445"/>
        <v>1196.9953991665247</v>
      </c>
      <c r="O3582" t="s">
        <v>8</v>
      </c>
    </row>
    <row r="3583" spans="1:15" x14ac:dyDescent="0.35">
      <c r="A3583">
        <v>2009</v>
      </c>
      <c r="B3583">
        <v>10</v>
      </c>
      <c r="C3583">
        <v>21</v>
      </c>
      <c r="D3583" s="1">
        <f t="shared" si="440"/>
        <v>40107</v>
      </c>
      <c r="E3583">
        <v>0</v>
      </c>
      <c r="F3583">
        <f t="shared" si="446"/>
        <v>0</v>
      </c>
      <c r="G3583">
        <f t="shared" si="441"/>
        <v>0</v>
      </c>
      <c r="H3583">
        <f t="shared" si="447"/>
        <v>0</v>
      </c>
      <c r="I3583">
        <v>3582</v>
      </c>
      <c r="J3583">
        <f t="shared" si="442"/>
        <v>-0.93659058320398214</v>
      </c>
      <c r="K3583">
        <f t="shared" si="443"/>
        <v>0.35042556906370953</v>
      </c>
      <c r="L3583">
        <f>VLOOKUP(D3583,[1]SOI!$A$1:$C$142,3)</f>
        <v>3.9</v>
      </c>
      <c r="M3583" s="2">
        <f t="shared" si="444"/>
        <v>-3354.8674690366638</v>
      </c>
      <c r="N3583">
        <f t="shared" si="445"/>
        <v>1255.2243883862075</v>
      </c>
      <c r="O3583" t="s">
        <v>8</v>
      </c>
    </row>
    <row r="3584" spans="1:15" x14ac:dyDescent="0.35">
      <c r="A3584">
        <v>2009</v>
      </c>
      <c r="B3584">
        <v>10</v>
      </c>
      <c r="C3584">
        <v>22</v>
      </c>
      <c r="D3584" s="1">
        <f t="shared" si="440"/>
        <v>40108</v>
      </c>
      <c r="E3584">
        <v>0</v>
      </c>
      <c r="F3584">
        <f t="shared" si="446"/>
        <v>0</v>
      </c>
      <c r="G3584">
        <f t="shared" si="441"/>
        <v>0</v>
      </c>
      <c r="H3584">
        <f t="shared" si="447"/>
        <v>0</v>
      </c>
      <c r="I3584">
        <v>3583</v>
      </c>
      <c r="J3584">
        <f t="shared" si="442"/>
        <v>-0.93042413523831369</v>
      </c>
      <c r="K3584">
        <f t="shared" si="443"/>
        <v>0.36648455433488086</v>
      </c>
      <c r="L3584">
        <f>VLOOKUP(D3584,[1]SOI!$A$1:$C$142,3)</f>
        <v>3.9</v>
      </c>
      <c r="M3584" s="2">
        <f t="shared" si="444"/>
        <v>-3333.7096765588781</v>
      </c>
      <c r="N3584">
        <f t="shared" si="445"/>
        <v>1313.1141581818781</v>
      </c>
      <c r="O3584" t="s">
        <v>8</v>
      </c>
    </row>
    <row r="3585" spans="1:15" x14ac:dyDescent="0.35">
      <c r="A3585">
        <v>2009</v>
      </c>
      <c r="B3585">
        <v>10</v>
      </c>
      <c r="C3585">
        <v>23</v>
      </c>
      <c r="D3585" s="1">
        <f t="shared" si="440"/>
        <v>40109</v>
      </c>
      <c r="E3585">
        <v>0</v>
      </c>
      <c r="F3585">
        <f t="shared" si="446"/>
        <v>0</v>
      </c>
      <c r="G3585">
        <f t="shared" si="441"/>
        <v>0</v>
      </c>
      <c r="H3585">
        <f t="shared" si="447"/>
        <v>0</v>
      </c>
      <c r="I3585">
        <v>3584</v>
      </c>
      <c r="J3585">
        <f t="shared" si="442"/>
        <v>-0.92398235980194321</v>
      </c>
      <c r="K3585">
        <f t="shared" si="443"/>
        <v>0.38243509093025502</v>
      </c>
      <c r="L3585">
        <f>VLOOKUP(D3585,[1]SOI!$A$1:$C$142,3)</f>
        <v>3.9</v>
      </c>
      <c r="M3585" s="2">
        <f t="shared" si="444"/>
        <v>-3311.5527775301643</v>
      </c>
      <c r="N3585">
        <f t="shared" si="445"/>
        <v>1370.647365894034</v>
      </c>
      <c r="O3585" t="s">
        <v>8</v>
      </c>
    </row>
    <row r="3586" spans="1:15" x14ac:dyDescent="0.35">
      <c r="A3586">
        <v>2009</v>
      </c>
      <c r="B3586">
        <v>10</v>
      </c>
      <c r="C3586">
        <v>24</v>
      </c>
      <c r="D3586" s="1">
        <f t="shared" si="440"/>
        <v>40110</v>
      </c>
      <c r="E3586">
        <v>0</v>
      </c>
      <c r="F3586">
        <f t="shared" si="446"/>
        <v>0</v>
      </c>
      <c r="G3586">
        <f t="shared" si="441"/>
        <v>0</v>
      </c>
      <c r="H3586">
        <f t="shared" si="447"/>
        <v>0</v>
      </c>
      <c r="I3586">
        <v>3585</v>
      </c>
      <c r="J3586">
        <f t="shared" si="442"/>
        <v>-0.91726716311986056</v>
      </c>
      <c r="K3586">
        <f t="shared" si="443"/>
        <v>0.39827245882943391</v>
      </c>
      <c r="L3586">
        <f>VLOOKUP(D3586,[1]SOI!$A$1:$C$142,3)</f>
        <v>3.9</v>
      </c>
      <c r="M3586" s="2">
        <f t="shared" si="444"/>
        <v>-3288.4027797847002</v>
      </c>
      <c r="N3586">
        <f t="shared" si="445"/>
        <v>1427.8067649035206</v>
      </c>
      <c r="O3586" t="s">
        <v>8</v>
      </c>
    </row>
    <row r="3587" spans="1:15" x14ac:dyDescent="0.35">
      <c r="A3587">
        <v>2009</v>
      </c>
      <c r="B3587">
        <v>10</v>
      </c>
      <c r="C3587">
        <v>25</v>
      </c>
      <c r="D3587" s="1">
        <f t="shared" ref="D3587:D3650" si="448">DATE(A3587,B3587,C3587)</f>
        <v>40111</v>
      </c>
      <c r="E3587">
        <v>0</v>
      </c>
      <c r="F3587">
        <f t="shared" si="446"/>
        <v>0</v>
      </c>
      <c r="G3587">
        <f t="shared" ref="G3587:G3650" si="449">IF(E3587=0,0,1)</f>
        <v>0</v>
      </c>
      <c r="H3587">
        <f t="shared" si="447"/>
        <v>0</v>
      </c>
      <c r="I3587">
        <v>3586</v>
      </c>
      <c r="J3587">
        <f t="shared" ref="J3587:J3650" si="450">SIN(2*PI()*I3587/365.25)</f>
        <v>-0.91028053232680117</v>
      </c>
      <c r="K3587">
        <f t="shared" ref="K3587:K3650" si="451">COS(2*PI()*I3587/365.25)</f>
        <v>0.41399197150045741</v>
      </c>
      <c r="L3587">
        <f>VLOOKUP(D3587,[1]SOI!$A$1:$C$142,3)</f>
        <v>3.9</v>
      </c>
      <c r="M3587" s="2">
        <f t="shared" ref="M3587:M3650" si="452">I3587*J3587</f>
        <v>-3264.2659889239089</v>
      </c>
      <c r="N3587">
        <f t="shared" ref="N3587:N3650" si="453">I3587*K3587</f>
        <v>1484.5752098006403</v>
      </c>
      <c r="O3587" t="s">
        <v>8</v>
      </c>
    </row>
    <row r="3588" spans="1:15" x14ac:dyDescent="0.35">
      <c r="A3588">
        <v>2009</v>
      </c>
      <c r="B3588">
        <v>10</v>
      </c>
      <c r="C3588">
        <v>26</v>
      </c>
      <c r="D3588" s="1">
        <f t="shared" si="448"/>
        <v>40112</v>
      </c>
      <c r="E3588">
        <v>0</v>
      </c>
      <c r="F3588">
        <f t="shared" ref="F3588:F3651" si="454">E3587</f>
        <v>0</v>
      </c>
      <c r="G3588">
        <f t="shared" si="449"/>
        <v>0</v>
      </c>
      <c r="H3588">
        <f t="shared" ref="H3588:H3651" si="455">G3587</f>
        <v>0</v>
      </c>
      <c r="I3588">
        <v>3587</v>
      </c>
      <c r="J3588">
        <f t="shared" si="450"/>
        <v>-0.90302453487922374</v>
      </c>
      <c r="K3588">
        <f t="shared" si="451"/>
        <v>0.42958897728661716</v>
      </c>
      <c r="L3588">
        <f>VLOOKUP(D3588,[1]SOI!$A$1:$C$142,3)</f>
        <v>3.9</v>
      </c>
      <c r="M3588" s="2">
        <f t="shared" si="452"/>
        <v>-3239.1490066117753</v>
      </c>
      <c r="N3588">
        <f t="shared" si="453"/>
        <v>1540.9356615270958</v>
      </c>
      <c r="O3588" t="s">
        <v>8</v>
      </c>
    </row>
    <row r="3589" spans="1:15" x14ac:dyDescent="0.35">
      <c r="A3589">
        <v>2009</v>
      </c>
      <c r="B3589">
        <v>10</v>
      </c>
      <c r="C3589">
        <v>27</v>
      </c>
      <c r="D3589" s="1">
        <f t="shared" si="448"/>
        <v>40113</v>
      </c>
      <c r="E3589">
        <v>0</v>
      </c>
      <c r="F3589">
        <f t="shared" si="454"/>
        <v>0</v>
      </c>
      <c r="G3589">
        <f t="shared" si="449"/>
        <v>0</v>
      </c>
      <c r="H3589">
        <f t="shared" si="455"/>
        <v>0</v>
      </c>
      <c r="I3589">
        <v>3588</v>
      </c>
      <c r="J3589">
        <f t="shared" si="450"/>
        <v>-0.89550131794350474</v>
      </c>
      <c r="K3589">
        <f t="shared" si="451"/>
        <v>0.44505886078298224</v>
      </c>
      <c r="L3589">
        <f>VLOOKUP(D3589,[1]SOI!$A$1:$C$142,3)</f>
        <v>3.9</v>
      </c>
      <c r="M3589" s="2">
        <f t="shared" si="452"/>
        <v>-3213.058728781295</v>
      </c>
      <c r="N3589">
        <f t="shared" si="453"/>
        <v>1596.8711924893403</v>
      </c>
      <c r="O3589" t="s">
        <v>8</v>
      </c>
    </row>
    <row r="3590" spans="1:15" x14ac:dyDescent="0.35">
      <c r="A3590">
        <v>2009</v>
      </c>
      <c r="B3590">
        <v>10</v>
      </c>
      <c r="C3590">
        <v>28</v>
      </c>
      <c r="D3590" s="1">
        <f t="shared" si="448"/>
        <v>40114</v>
      </c>
      <c r="E3590">
        <v>0</v>
      </c>
      <c r="F3590">
        <f t="shared" si="454"/>
        <v>0</v>
      </c>
      <c r="G3590">
        <f t="shared" si="449"/>
        <v>0</v>
      </c>
      <c r="H3590">
        <f t="shared" si="455"/>
        <v>0</v>
      </c>
      <c r="I3590">
        <v>3589</v>
      </c>
      <c r="J3590">
        <f t="shared" si="450"/>
        <v>-0.88771310776057555</v>
      </c>
      <c r="K3590">
        <f t="shared" si="451"/>
        <v>0.46039704420213301</v>
      </c>
      <c r="L3590">
        <f>VLOOKUP(D3590,[1]SOI!$A$1:$C$142,3)</f>
        <v>3.9</v>
      </c>
      <c r="M3590" s="2">
        <f t="shared" si="452"/>
        <v>-3186.0023437527057</v>
      </c>
      <c r="N3590">
        <f t="shared" si="453"/>
        <v>1652.3649916414554</v>
      </c>
      <c r="O3590" t="s">
        <v>8</v>
      </c>
    </row>
    <row r="3591" spans="1:15" x14ac:dyDescent="0.35">
      <c r="A3591">
        <v>2009</v>
      </c>
      <c r="B3591">
        <v>10</v>
      </c>
      <c r="C3591">
        <v>29</v>
      </c>
      <c r="D3591" s="1">
        <f t="shared" si="448"/>
        <v>40115</v>
      </c>
      <c r="E3591">
        <v>0</v>
      </c>
      <c r="F3591">
        <f t="shared" si="454"/>
        <v>0</v>
      </c>
      <c r="G3591">
        <f t="shared" si="449"/>
        <v>0</v>
      </c>
      <c r="H3591">
        <f t="shared" si="455"/>
        <v>0</v>
      </c>
      <c r="I3591">
        <v>3590</v>
      </c>
      <c r="J3591">
        <f t="shared" si="450"/>
        <v>-0.87966220898712932</v>
      </c>
      <c r="K3591">
        <f t="shared" si="451"/>
        <v>0.47559898872882816</v>
      </c>
      <c r="L3591">
        <f>VLOOKUP(D3591,[1]SOI!$A$1:$C$142,3)</f>
        <v>3.9</v>
      </c>
      <c r="M3591" s="2">
        <f t="shared" si="452"/>
        <v>-3157.9873302637943</v>
      </c>
      <c r="N3591">
        <f t="shared" si="453"/>
        <v>1707.4003695364931</v>
      </c>
      <c r="O3591" t="s">
        <v>8</v>
      </c>
    </row>
    <row r="3592" spans="1:15" x14ac:dyDescent="0.35">
      <c r="A3592">
        <v>2009</v>
      </c>
      <c r="B3592">
        <v>10</v>
      </c>
      <c r="C3592">
        <v>30</v>
      </c>
      <c r="D3592" s="1">
        <f t="shared" si="448"/>
        <v>40116</v>
      </c>
      <c r="E3592">
        <v>0.6</v>
      </c>
      <c r="F3592">
        <f t="shared" si="454"/>
        <v>0</v>
      </c>
      <c r="G3592">
        <f t="shared" si="449"/>
        <v>1</v>
      </c>
      <c r="H3592">
        <f t="shared" si="455"/>
        <v>0</v>
      </c>
      <c r="I3592">
        <v>3591</v>
      </c>
      <c r="J3592">
        <f t="shared" si="450"/>
        <v>-0.87135100401363974</v>
      </c>
      <c r="K3592">
        <f t="shared" si="451"/>
        <v>0.49066019586310655</v>
      </c>
      <c r="L3592">
        <f>VLOOKUP(D3592,[1]SOI!$A$1:$C$142,3)</f>
        <v>3.9</v>
      </c>
      <c r="M3592" s="2">
        <f t="shared" si="452"/>
        <v>-3129.0214554129802</v>
      </c>
      <c r="N3592">
        <f t="shared" si="453"/>
        <v>1761.9607633444157</v>
      </c>
      <c r="O3592" t="s">
        <v>8</v>
      </c>
    </row>
    <row r="3593" spans="1:15" x14ac:dyDescent="0.35">
      <c r="A3593">
        <v>2009</v>
      </c>
      <c r="B3593">
        <v>10</v>
      </c>
      <c r="C3593">
        <v>31</v>
      </c>
      <c r="D3593" s="1">
        <f t="shared" si="448"/>
        <v>40117</v>
      </c>
      <c r="E3593">
        <v>4</v>
      </c>
      <c r="F3593">
        <f t="shared" si="454"/>
        <v>0.6</v>
      </c>
      <c r="G3593">
        <f t="shared" si="449"/>
        <v>1</v>
      </c>
      <c r="H3593">
        <f t="shared" si="455"/>
        <v>1</v>
      </c>
      <c r="I3593">
        <v>3592</v>
      </c>
      <c r="J3593">
        <f t="shared" si="450"/>
        <v>-0.86278195225937282</v>
      </c>
      <c r="K3593">
        <f t="shared" si="451"/>
        <v>0.50557620875146547</v>
      </c>
      <c r="L3593">
        <f>VLOOKUP(D3593,[1]SOI!$A$1:$C$142,3)</f>
        <v>3.9</v>
      </c>
      <c r="M3593" s="2">
        <f t="shared" si="452"/>
        <v>-3099.1127725156671</v>
      </c>
      <c r="N3593">
        <f t="shared" si="453"/>
        <v>1816.0297418352641</v>
      </c>
      <c r="O3593" t="s">
        <v>8</v>
      </c>
    </row>
    <row r="3594" spans="1:15" x14ac:dyDescent="0.35">
      <c r="A3594">
        <v>2009</v>
      </c>
      <c r="B3594">
        <v>11</v>
      </c>
      <c r="C3594">
        <v>1</v>
      </c>
      <c r="D3594" s="1">
        <f t="shared" si="448"/>
        <v>40118</v>
      </c>
      <c r="E3594">
        <v>4.5999999999999996</v>
      </c>
      <c r="F3594">
        <f t="shared" si="454"/>
        <v>4</v>
      </c>
      <c r="G3594">
        <f t="shared" si="449"/>
        <v>1</v>
      </c>
      <c r="H3594">
        <f t="shared" si="455"/>
        <v>1</v>
      </c>
      <c r="I3594">
        <v>3593</v>
      </c>
      <c r="J3594">
        <f t="shared" si="450"/>
        <v>-0.85395758944460909</v>
      </c>
      <c r="K3594">
        <f t="shared" si="451"/>
        <v>0.52034261350570976</v>
      </c>
      <c r="L3594">
        <f>VLOOKUP(D3594,[1]SOI!$A$1:$C$142,3)</f>
        <v>-14.7</v>
      </c>
      <c r="M3594" s="2">
        <f t="shared" si="452"/>
        <v>-3068.2696188744803</v>
      </c>
      <c r="N3594">
        <f t="shared" si="453"/>
        <v>1869.5910103260151</v>
      </c>
      <c r="O3594" t="s">
        <v>8</v>
      </c>
    </row>
    <row r="3595" spans="1:15" x14ac:dyDescent="0.35">
      <c r="A3595">
        <v>2009</v>
      </c>
      <c r="B3595">
        <v>11</v>
      </c>
      <c r="C3595">
        <v>2</v>
      </c>
      <c r="D3595" s="1">
        <f t="shared" si="448"/>
        <v>40119</v>
      </c>
      <c r="E3595">
        <v>0</v>
      </c>
      <c r="F3595">
        <f t="shared" si="454"/>
        <v>4.5999999999999996</v>
      </c>
      <c r="G3595">
        <f t="shared" si="449"/>
        <v>0</v>
      </c>
      <c r="H3595">
        <f t="shared" si="455"/>
        <v>1</v>
      </c>
      <c r="I3595">
        <v>3594</v>
      </c>
      <c r="J3595">
        <f t="shared" si="450"/>
        <v>-0.84488052684026871</v>
      </c>
      <c r="K3595">
        <f t="shared" si="451"/>
        <v>0.53495504050911613</v>
      </c>
      <c r="L3595">
        <f>VLOOKUP(D3595,[1]SOI!$A$1:$C$142,3)</f>
        <v>-14.7</v>
      </c>
      <c r="M3595" s="2">
        <f t="shared" si="452"/>
        <v>-3036.5006134639257</v>
      </c>
      <c r="N3595">
        <f t="shared" si="453"/>
        <v>1922.6284155897633</v>
      </c>
      <c r="O3595" t="s">
        <v>8</v>
      </c>
    </row>
    <row r="3596" spans="1:15" x14ac:dyDescent="0.35">
      <c r="A3596">
        <v>2009</v>
      </c>
      <c r="B3596">
        <v>11</v>
      </c>
      <c r="C3596">
        <v>3</v>
      </c>
      <c r="D3596" s="1">
        <f t="shared" si="448"/>
        <v>40120</v>
      </c>
      <c r="E3596">
        <v>0.8</v>
      </c>
      <c r="F3596">
        <f t="shared" si="454"/>
        <v>0</v>
      </c>
      <c r="G3596">
        <f t="shared" si="449"/>
        <v>1</v>
      </c>
      <c r="H3596">
        <f t="shared" si="455"/>
        <v>0</v>
      </c>
      <c r="I3596">
        <v>3595</v>
      </c>
      <c r="J3596">
        <f t="shared" si="450"/>
        <v>-0.83555345049521557</v>
      </c>
      <c r="K3596">
        <f t="shared" si="451"/>
        <v>0.54940916570943676</v>
      </c>
      <c r="L3596">
        <f>VLOOKUP(D3596,[1]SOI!$A$1:$C$142,3)</f>
        <v>-14.7</v>
      </c>
      <c r="M3596" s="2">
        <f t="shared" si="452"/>
        <v>-3003.8146545302998</v>
      </c>
      <c r="N3596">
        <f t="shared" si="453"/>
        <v>1975.1259507254251</v>
      </c>
      <c r="O3596" t="s">
        <v>8</v>
      </c>
    </row>
    <row r="3597" spans="1:15" x14ac:dyDescent="0.35">
      <c r="A3597">
        <v>2009</v>
      </c>
      <c r="B3597">
        <v>11</v>
      </c>
      <c r="C3597">
        <v>4</v>
      </c>
      <c r="D3597" s="1">
        <f t="shared" si="448"/>
        <v>40121</v>
      </c>
      <c r="E3597">
        <v>0</v>
      </c>
      <c r="F3597">
        <f t="shared" si="454"/>
        <v>0.8</v>
      </c>
      <c r="G3597">
        <f t="shared" si="449"/>
        <v>0</v>
      </c>
      <c r="H3597">
        <f t="shared" si="455"/>
        <v>1</v>
      </c>
      <c r="I3597">
        <v>3596</v>
      </c>
      <c r="J3597">
        <f t="shared" si="450"/>
        <v>-0.82597912044139843</v>
      </c>
      <c r="K3597">
        <f t="shared" si="451"/>
        <v>0.56370071189848059</v>
      </c>
      <c r="L3597">
        <f>VLOOKUP(D3597,[1]SOI!$A$1:$C$142,3)</f>
        <v>-14.7</v>
      </c>
      <c r="M3597" s="2">
        <f t="shared" si="452"/>
        <v>-2970.2209171072686</v>
      </c>
      <c r="N3597">
        <f t="shared" si="453"/>
        <v>2027.0677599869362</v>
      </c>
      <c r="O3597" t="s">
        <v>8</v>
      </c>
    </row>
    <row r="3598" spans="1:15" x14ac:dyDescent="0.35">
      <c r="A3598">
        <v>2009</v>
      </c>
      <c r="B3598">
        <v>11</v>
      </c>
      <c r="C3598">
        <v>5</v>
      </c>
      <c r="D3598" s="1">
        <f t="shared" si="448"/>
        <v>40122</v>
      </c>
      <c r="E3598">
        <v>0</v>
      </c>
      <c r="F3598">
        <f t="shared" si="454"/>
        <v>0</v>
      </c>
      <c r="G3598">
        <f t="shared" si="449"/>
        <v>0</v>
      </c>
      <c r="H3598">
        <f t="shared" si="455"/>
        <v>0</v>
      </c>
      <c r="I3598">
        <v>3597</v>
      </c>
      <c r="J3598">
        <f t="shared" si="450"/>
        <v>-0.81616036987711649</v>
      </c>
      <c r="K3598">
        <f t="shared" si="451"/>
        <v>0.57782544997780116</v>
      </c>
      <c r="L3598">
        <f>VLOOKUP(D3598,[1]SOI!$A$1:$C$142,3)</f>
        <v>-14.7</v>
      </c>
      <c r="M3598" s="2">
        <f t="shared" si="452"/>
        <v>-2935.728850447988</v>
      </c>
      <c r="N3598">
        <f t="shared" si="453"/>
        <v>2078.4381435701507</v>
      </c>
      <c r="O3598" t="s">
        <v>8</v>
      </c>
    </row>
    <row r="3599" spans="1:15" x14ac:dyDescent="0.35">
      <c r="A3599">
        <v>2009</v>
      </c>
      <c r="B3599">
        <v>11</v>
      </c>
      <c r="C3599">
        <v>6</v>
      </c>
      <c r="D3599" s="1">
        <f t="shared" si="448"/>
        <v>40123</v>
      </c>
      <c r="E3599">
        <v>0</v>
      </c>
      <c r="F3599">
        <f t="shared" si="454"/>
        <v>0</v>
      </c>
      <c r="G3599">
        <f t="shared" si="449"/>
        <v>0</v>
      </c>
      <c r="H3599">
        <f t="shared" si="455"/>
        <v>0</v>
      </c>
      <c r="I3599">
        <v>3598</v>
      </c>
      <c r="J3599">
        <f t="shared" si="450"/>
        <v>-0.80610010432863444</v>
      </c>
      <c r="K3599">
        <f t="shared" si="451"/>
        <v>0.59177920021014996</v>
      </c>
      <c r="L3599">
        <f>VLOOKUP(D3599,[1]SOI!$A$1:$C$142,3)</f>
        <v>-14.7</v>
      </c>
      <c r="M3599" s="2">
        <f t="shared" si="452"/>
        <v>-2900.3481753744268</v>
      </c>
      <c r="N3599">
        <f t="shared" si="453"/>
        <v>2129.2215623561196</v>
      </c>
      <c r="O3599" t="s">
        <v>8</v>
      </c>
    </row>
    <row r="3600" spans="1:15" x14ac:dyDescent="0.35">
      <c r="A3600">
        <v>2009</v>
      </c>
      <c r="B3600">
        <v>11</v>
      </c>
      <c r="C3600">
        <v>7</v>
      </c>
      <c r="D3600" s="1">
        <f t="shared" si="448"/>
        <v>40124</v>
      </c>
      <c r="E3600">
        <v>0</v>
      </c>
      <c r="F3600">
        <f t="shared" si="454"/>
        <v>0</v>
      </c>
      <c r="G3600">
        <f t="shared" si="449"/>
        <v>0</v>
      </c>
      <c r="H3600">
        <f t="shared" si="455"/>
        <v>0</v>
      </c>
      <c r="I3600">
        <v>3599</v>
      </c>
      <c r="J3600">
        <f t="shared" si="450"/>
        <v>-0.7958013007903737</v>
      </c>
      <c r="K3600">
        <f t="shared" si="451"/>
        <v>0.6055578334563505</v>
      </c>
      <c r="L3600">
        <f>VLOOKUP(D3600,[1]SOI!$A$1:$C$142,3)</f>
        <v>-14.7</v>
      </c>
      <c r="M3600" s="2">
        <f t="shared" si="452"/>
        <v>-2864.0888815445551</v>
      </c>
      <c r="N3600">
        <f t="shared" si="453"/>
        <v>2179.4026426094056</v>
      </c>
      <c r="O3600" t="s">
        <v>8</v>
      </c>
    </row>
    <row r="3601" spans="1:15" x14ac:dyDescent="0.35">
      <c r="A3601">
        <v>2009</v>
      </c>
      <c r="B3601">
        <v>11</v>
      </c>
      <c r="C3601">
        <v>8</v>
      </c>
      <c r="D3601" s="1">
        <f t="shared" si="448"/>
        <v>40125</v>
      </c>
      <c r="E3601">
        <v>0</v>
      </c>
      <c r="F3601">
        <f t="shared" si="454"/>
        <v>0</v>
      </c>
      <c r="G3601">
        <f t="shared" si="449"/>
        <v>0</v>
      </c>
      <c r="H3601">
        <f t="shared" si="455"/>
        <v>0</v>
      </c>
      <c r="I3601">
        <v>3600</v>
      </c>
      <c r="J3601">
        <f t="shared" si="450"/>
        <v>-0.78526700684399731</v>
      </c>
      <c r="K3601">
        <f t="shared" si="451"/>
        <v>0.61915727239714258</v>
      </c>
      <c r="L3601">
        <f>VLOOKUP(D3601,[1]SOI!$A$1:$C$142,3)</f>
        <v>-14.7</v>
      </c>
      <c r="M3601" s="2">
        <f t="shared" si="452"/>
        <v>-2826.9612246383904</v>
      </c>
      <c r="N3601">
        <f t="shared" si="453"/>
        <v>2228.9661806297131</v>
      </c>
      <c r="O3601" t="s">
        <v>8</v>
      </c>
    </row>
    <row r="3602" spans="1:15" x14ac:dyDescent="0.35">
      <c r="A3602">
        <v>2009</v>
      </c>
      <c r="B3602">
        <v>11</v>
      </c>
      <c r="C3602">
        <v>9</v>
      </c>
      <c r="D3602" s="1">
        <f t="shared" si="448"/>
        <v>40126</v>
      </c>
      <c r="E3602">
        <v>0</v>
      </c>
      <c r="F3602">
        <f t="shared" si="454"/>
        <v>0</v>
      </c>
      <c r="G3602">
        <f t="shared" si="449"/>
        <v>0</v>
      </c>
      <c r="H3602">
        <f t="shared" si="455"/>
        <v>0</v>
      </c>
      <c r="I3602">
        <v>3601</v>
      </c>
      <c r="J3602">
        <f t="shared" si="450"/>
        <v>-0.7745003397565644</v>
      </c>
      <c r="K3602">
        <f t="shared" si="451"/>
        <v>0.63257349273974972</v>
      </c>
      <c r="L3602">
        <f>VLOOKUP(D3602,[1]SOI!$A$1:$C$142,3)</f>
        <v>-14.7</v>
      </c>
      <c r="M3602" s="2">
        <f t="shared" si="452"/>
        <v>-2788.9757234633885</v>
      </c>
      <c r="N3602">
        <f t="shared" si="453"/>
        <v>2277.8971473558386</v>
      </c>
      <c r="O3602" t="s">
        <v>8</v>
      </c>
    </row>
    <row r="3603" spans="1:15" x14ac:dyDescent="0.35">
      <c r="A3603">
        <v>2009</v>
      </c>
      <c r="B3603">
        <v>11</v>
      </c>
      <c r="C3603">
        <v>10</v>
      </c>
      <c r="D3603" s="1">
        <f t="shared" si="448"/>
        <v>40127</v>
      </c>
      <c r="E3603">
        <v>0</v>
      </c>
      <c r="F3603">
        <f t="shared" si="454"/>
        <v>0</v>
      </c>
      <c r="G3603">
        <f t="shared" si="449"/>
        <v>0</v>
      </c>
      <c r="H3603">
        <f t="shared" si="455"/>
        <v>0</v>
      </c>
      <c r="I3603">
        <v>3602</v>
      </c>
      <c r="J3603">
        <f t="shared" si="450"/>
        <v>-0.76350448555808526</v>
      </c>
      <c r="K3603">
        <f t="shared" si="451"/>
        <v>0.64580252440872632</v>
      </c>
      <c r="L3603">
        <f>VLOOKUP(D3603,[1]SOI!$A$1:$C$142,3)</f>
        <v>-14.7</v>
      </c>
      <c r="M3603" s="2">
        <f t="shared" si="452"/>
        <v>-2750.143156980223</v>
      </c>
      <c r="N3603">
        <f t="shared" si="453"/>
        <v>2326.1806929202321</v>
      </c>
      <c r="O3603" t="s">
        <v>8</v>
      </c>
    </row>
    <row r="3604" spans="1:15" x14ac:dyDescent="0.35">
      <c r="A3604">
        <v>2009</v>
      </c>
      <c r="B3604">
        <v>11</v>
      </c>
      <c r="C3604">
        <v>11</v>
      </c>
      <c r="D3604" s="1">
        <f t="shared" si="448"/>
        <v>40128</v>
      </c>
      <c r="E3604">
        <v>0</v>
      </c>
      <c r="F3604">
        <f t="shared" si="454"/>
        <v>0</v>
      </c>
      <c r="G3604">
        <f t="shared" si="449"/>
        <v>0</v>
      </c>
      <c r="H3604">
        <f t="shared" si="455"/>
        <v>0</v>
      </c>
      <c r="I3604">
        <v>3603</v>
      </c>
      <c r="J3604">
        <f t="shared" si="450"/>
        <v>-0.7522826980987235</v>
      </c>
      <c r="K3604">
        <f t="shared" si="451"/>
        <v>0.65884045272076674</v>
      </c>
      <c r="L3604">
        <f>VLOOKUP(D3604,[1]SOI!$A$1:$C$142,3)</f>
        <v>-14.7</v>
      </c>
      <c r="M3604" s="2">
        <f t="shared" si="452"/>
        <v>-2710.4745612497009</v>
      </c>
      <c r="N3604">
        <f t="shared" si="453"/>
        <v>2373.8021511529228</v>
      </c>
      <c r="O3604" t="s">
        <v>8</v>
      </c>
    </row>
    <row r="3605" spans="1:15" x14ac:dyDescent="0.35">
      <c r="A3605">
        <v>2009</v>
      </c>
      <c r="B3605">
        <v>11</v>
      </c>
      <c r="C3605">
        <v>12</v>
      </c>
      <c r="D3605" s="1">
        <f t="shared" si="448"/>
        <v>40129</v>
      </c>
      <c r="E3605">
        <v>0</v>
      </c>
      <c r="F3605">
        <f t="shared" si="454"/>
        <v>0</v>
      </c>
      <c r="G3605">
        <f t="shared" si="449"/>
        <v>0</v>
      </c>
      <c r="H3605">
        <f t="shared" si="455"/>
        <v>0</v>
      </c>
      <c r="I3605">
        <v>3604</v>
      </c>
      <c r="J3605">
        <f t="shared" si="450"/>
        <v>-0.74083829808593427</v>
      </c>
      <c r="K3605">
        <f t="shared" si="451"/>
        <v>0.67168341954311817</v>
      </c>
      <c r="L3605">
        <f>VLOOKUP(D3605,[1]SOI!$A$1:$C$142,3)</f>
        <v>-14.7</v>
      </c>
      <c r="M3605" s="2">
        <f t="shared" si="452"/>
        <v>-2669.981226301707</v>
      </c>
      <c r="N3605">
        <f t="shared" si="453"/>
        <v>2420.7470440333977</v>
      </c>
      <c r="O3605" t="s">
        <v>8</v>
      </c>
    </row>
    <row r="3606" spans="1:15" x14ac:dyDescent="0.35">
      <c r="A3606">
        <v>2009</v>
      </c>
      <c r="B3606">
        <v>11</v>
      </c>
      <c r="C3606">
        <v>13</v>
      </c>
      <c r="D3606" s="1">
        <f t="shared" si="448"/>
        <v>40130</v>
      </c>
      <c r="E3606">
        <v>0</v>
      </c>
      <c r="F3606">
        <f t="shared" si="454"/>
        <v>0</v>
      </c>
      <c r="G3606">
        <f t="shared" si="449"/>
        <v>0</v>
      </c>
      <c r="H3606">
        <f t="shared" si="455"/>
        <v>0</v>
      </c>
      <c r="I3606">
        <v>3605</v>
      </c>
      <c r="J3606">
        <f t="shared" si="450"/>
        <v>-0.72917467210179454</v>
      </c>
      <c r="K3606">
        <f t="shared" si="451"/>
        <v>0.68432762443528505</v>
      </c>
      <c r="L3606">
        <f>VLOOKUP(D3606,[1]SOI!$A$1:$C$142,3)</f>
        <v>-14.7</v>
      </c>
      <c r="M3606" s="2">
        <f t="shared" si="452"/>
        <v>-2628.6746929269693</v>
      </c>
      <c r="N3606">
        <f t="shared" si="453"/>
        <v>2467.0010860892025</v>
      </c>
      <c r="O3606" t="s">
        <v>8</v>
      </c>
    </row>
    <row r="3607" spans="1:15" x14ac:dyDescent="0.35">
      <c r="A3607">
        <v>2009</v>
      </c>
      <c r="B3607">
        <v>11</v>
      </c>
      <c r="C3607">
        <v>14</v>
      </c>
      <c r="D3607" s="1">
        <f t="shared" si="448"/>
        <v>40131</v>
      </c>
      <c r="E3607">
        <v>0</v>
      </c>
      <c r="F3607">
        <f t="shared" si="454"/>
        <v>0</v>
      </c>
      <c r="G3607">
        <f t="shared" si="449"/>
        <v>0</v>
      </c>
      <c r="H3607">
        <f t="shared" si="455"/>
        <v>0</v>
      </c>
      <c r="I3607">
        <v>3606</v>
      </c>
      <c r="J3607">
        <f t="shared" si="450"/>
        <v>-0.71729527160088746</v>
      </c>
      <c r="K3607">
        <f t="shared" si="451"/>
        <v>0.69676932577360862</v>
      </c>
      <c r="L3607">
        <f>VLOOKUP(D3607,[1]SOI!$A$1:$C$142,3)</f>
        <v>-14.7</v>
      </c>
      <c r="M3607" s="2">
        <f t="shared" si="452"/>
        <v>-2586.5667493928004</v>
      </c>
      <c r="N3607">
        <f t="shared" si="453"/>
        <v>2512.5501887396326</v>
      </c>
      <c r="O3607" t="s">
        <v>8</v>
      </c>
    </row>
    <row r="3608" spans="1:15" x14ac:dyDescent="0.35">
      <c r="A3608">
        <v>2009</v>
      </c>
      <c r="B3608">
        <v>11</v>
      </c>
      <c r="C3608">
        <v>15</v>
      </c>
      <c r="D3608" s="1">
        <f t="shared" si="448"/>
        <v>40132</v>
      </c>
      <c r="E3608">
        <v>0</v>
      </c>
      <c r="F3608">
        <f t="shared" si="454"/>
        <v>0</v>
      </c>
      <c r="G3608">
        <f t="shared" si="449"/>
        <v>0</v>
      </c>
      <c r="H3608">
        <f t="shared" si="455"/>
        <v>0</v>
      </c>
      <c r="I3608">
        <v>3607</v>
      </c>
      <c r="J3608">
        <f t="shared" si="450"/>
        <v>-0.70520361188894243</v>
      </c>
      <c r="K3608">
        <f t="shared" si="451"/>
        <v>0.70900484185849533</v>
      </c>
      <c r="L3608">
        <f>VLOOKUP(D3608,[1]SOI!$A$1:$C$142,3)</f>
        <v>-14.7</v>
      </c>
      <c r="M3608" s="2">
        <f t="shared" si="452"/>
        <v>-2543.6694280834154</v>
      </c>
      <c r="N3608">
        <f t="shared" si="453"/>
        <v>2557.3804645835926</v>
      </c>
      <c r="O3608" t="s">
        <v>8</v>
      </c>
    </row>
    <row r="3609" spans="1:15" x14ac:dyDescent="0.35">
      <c r="A3609">
        <v>2009</v>
      </c>
      <c r="B3609">
        <v>11</v>
      </c>
      <c r="C3609">
        <v>16</v>
      </c>
      <c r="D3609" s="1">
        <f t="shared" si="448"/>
        <v>40133</v>
      </c>
      <c r="E3609">
        <v>0</v>
      </c>
      <c r="F3609">
        <f t="shared" si="454"/>
        <v>0</v>
      </c>
      <c r="G3609">
        <f t="shared" si="449"/>
        <v>0</v>
      </c>
      <c r="H3609">
        <f t="shared" si="455"/>
        <v>0</v>
      </c>
      <c r="I3609">
        <v>3608</v>
      </c>
      <c r="J3609">
        <f t="shared" si="450"/>
        <v>-0.69290327108260419</v>
      </c>
      <c r="K3609">
        <f t="shared" si="451"/>
        <v>0.72103055200388499</v>
      </c>
      <c r="L3609">
        <f>VLOOKUP(D3609,[1]SOI!$A$1:$C$142,3)</f>
        <v>-14.7</v>
      </c>
      <c r="M3609" s="2">
        <f t="shared" si="452"/>
        <v>-2499.9950020660358</v>
      </c>
      <c r="N3609">
        <f t="shared" si="453"/>
        <v>2601.478231630017</v>
      </c>
      <c r="O3609" t="s">
        <v>8</v>
      </c>
    </row>
    <row r="3610" spans="1:15" x14ac:dyDescent="0.35">
      <c r="A3610">
        <v>2009</v>
      </c>
      <c r="B3610">
        <v>11</v>
      </c>
      <c r="C3610">
        <v>17</v>
      </c>
      <c r="D3610" s="1">
        <f t="shared" si="448"/>
        <v>40134</v>
      </c>
      <c r="E3610">
        <v>0</v>
      </c>
      <c r="F3610">
        <f t="shared" si="454"/>
        <v>0</v>
      </c>
      <c r="G3610">
        <f t="shared" si="449"/>
        <v>0</v>
      </c>
      <c r="H3610">
        <f t="shared" si="455"/>
        <v>0</v>
      </c>
      <c r="I3610">
        <v>3609</v>
      </c>
      <c r="J3610">
        <f t="shared" si="450"/>
        <v>-0.68039788905061627</v>
      </c>
      <c r="K3610">
        <f t="shared" si="451"/>
        <v>0.73284289760866572</v>
      </c>
      <c r="L3610">
        <f>VLOOKUP(D3610,[1]SOI!$A$1:$C$142,3)</f>
        <v>-14.7</v>
      </c>
      <c r="M3610" s="2">
        <f t="shared" si="452"/>
        <v>-2455.5559815836741</v>
      </c>
      <c r="N3610">
        <f t="shared" si="453"/>
        <v>2644.8300174696747</v>
      </c>
      <c r="O3610" t="s">
        <v>8</v>
      </c>
    </row>
    <row r="3611" spans="1:15" x14ac:dyDescent="0.35">
      <c r="A3611">
        <v>2009</v>
      </c>
      <c r="B3611">
        <v>11</v>
      </c>
      <c r="C3611">
        <v>18</v>
      </c>
      <c r="D3611" s="1">
        <f t="shared" si="448"/>
        <v>40135</v>
      </c>
      <c r="E3611">
        <v>0</v>
      </c>
      <c r="F3611">
        <f t="shared" si="454"/>
        <v>0</v>
      </c>
      <c r="G3611">
        <f t="shared" si="449"/>
        <v>0</v>
      </c>
      <c r="H3611">
        <f t="shared" si="455"/>
        <v>0</v>
      </c>
      <c r="I3611">
        <v>3610</v>
      </c>
      <c r="J3611">
        <f t="shared" si="450"/>
        <v>-0.66769116633670356</v>
      </c>
      <c r="K3611">
        <f t="shared" si="451"/>
        <v>0.74443838320974043</v>
      </c>
      <c r="L3611">
        <f>VLOOKUP(D3611,[1]SOI!$A$1:$C$142,3)</f>
        <v>-14.7</v>
      </c>
      <c r="M3611" s="2">
        <f t="shared" si="452"/>
        <v>-2410.3651104754999</v>
      </c>
      <c r="N3611">
        <f t="shared" si="453"/>
        <v>2687.4225633871629</v>
      </c>
      <c r="O3611" t="s">
        <v>8</v>
      </c>
    </row>
    <row r="3612" spans="1:15" x14ac:dyDescent="0.35">
      <c r="A3612">
        <v>2009</v>
      </c>
      <c r="B3612">
        <v>11</v>
      </c>
      <c r="C3612">
        <v>19</v>
      </c>
      <c r="D3612" s="1">
        <f t="shared" si="448"/>
        <v>40136</v>
      </c>
      <c r="E3612">
        <v>0</v>
      </c>
      <c r="F3612">
        <f t="shared" si="454"/>
        <v>0</v>
      </c>
      <c r="G3612">
        <f t="shared" si="449"/>
        <v>0</v>
      </c>
      <c r="H3612">
        <f t="shared" si="455"/>
        <v>0</v>
      </c>
      <c r="I3612">
        <v>3611</v>
      </c>
      <c r="J3612">
        <f t="shared" si="450"/>
        <v>-0.65478686306455403</v>
      </c>
      <c r="K3612">
        <f t="shared" si="451"/>
        <v>0.75581357751636158</v>
      </c>
      <c r="L3612">
        <f>VLOOKUP(D3612,[1]SOI!$A$1:$C$142,3)</f>
        <v>-14.7</v>
      </c>
      <c r="M3612" s="2">
        <f t="shared" si="452"/>
        <v>-2364.4353625261047</v>
      </c>
      <c r="N3612">
        <f t="shared" si="453"/>
        <v>2729.2428284115817</v>
      </c>
      <c r="O3612" t="s">
        <v>8</v>
      </c>
    </row>
    <row r="3613" spans="1:15" x14ac:dyDescent="0.35">
      <c r="A3613">
        <v>2009</v>
      </c>
      <c r="B3613">
        <v>11</v>
      </c>
      <c r="C3613">
        <v>20</v>
      </c>
      <c r="D3613" s="1">
        <f t="shared" si="448"/>
        <v>40137</v>
      </c>
      <c r="E3613">
        <v>0</v>
      </c>
      <c r="F3613">
        <f t="shared" si="454"/>
        <v>0</v>
      </c>
      <c r="G3613">
        <f t="shared" si="449"/>
        <v>0</v>
      </c>
      <c r="H3613">
        <f t="shared" si="455"/>
        <v>0</v>
      </c>
      <c r="I3613">
        <v>3612</v>
      </c>
      <c r="J3613">
        <f t="shared" si="450"/>
        <v>-0.6416887978251159</v>
      </c>
      <c r="K3613">
        <f t="shared" si="451"/>
        <v>0.76696511442552429</v>
      </c>
      <c r="L3613">
        <f>VLOOKUP(D3613,[1]SOI!$A$1:$C$142,3)</f>
        <v>-14.7</v>
      </c>
      <c r="M3613" s="2">
        <f t="shared" si="452"/>
        <v>-2317.7799377443184</v>
      </c>
      <c r="N3613">
        <f t="shared" si="453"/>
        <v>2770.2779933049937</v>
      </c>
      <c r="O3613" t="s">
        <v>8</v>
      </c>
    </row>
    <row r="3614" spans="1:15" x14ac:dyDescent="0.35">
      <c r="A3614">
        <v>2009</v>
      </c>
      <c r="B3614">
        <v>11</v>
      </c>
      <c r="C3614">
        <v>21</v>
      </c>
      <c r="D3614" s="1">
        <f t="shared" si="448"/>
        <v>40138</v>
      </c>
      <c r="E3614">
        <v>1.2</v>
      </c>
      <c r="F3614">
        <f t="shared" si="454"/>
        <v>0</v>
      </c>
      <c r="G3614">
        <f t="shared" si="449"/>
        <v>1</v>
      </c>
      <c r="H3614">
        <f t="shared" si="455"/>
        <v>0</v>
      </c>
      <c r="I3614">
        <v>3613</v>
      </c>
      <c r="J3614">
        <f t="shared" si="450"/>
        <v>-0.62840084654662132</v>
      </c>
      <c r="K3614">
        <f t="shared" si="451"/>
        <v>0.77788969401804631</v>
      </c>
      <c r="L3614">
        <f>VLOOKUP(D3614,[1]SOI!$A$1:$C$142,3)</f>
        <v>-14.7</v>
      </c>
      <c r="M3614" s="2">
        <f t="shared" si="452"/>
        <v>-2270.4122585729428</v>
      </c>
      <c r="N3614">
        <f t="shared" si="453"/>
        <v>2810.5154644872014</v>
      </c>
      <c r="O3614" t="s">
        <v>8</v>
      </c>
    </row>
    <row r="3615" spans="1:15" x14ac:dyDescent="0.35">
      <c r="A3615">
        <v>2009</v>
      </c>
      <c r="B3615">
        <v>11</v>
      </c>
      <c r="C3615">
        <v>22</v>
      </c>
      <c r="D3615" s="1">
        <f t="shared" si="448"/>
        <v>40139</v>
      </c>
      <c r="E3615">
        <v>45.8</v>
      </c>
      <c r="F3615">
        <f t="shared" si="454"/>
        <v>1.2</v>
      </c>
      <c r="G3615">
        <f t="shared" si="449"/>
        <v>1</v>
      </c>
      <c r="H3615">
        <f t="shared" si="455"/>
        <v>1</v>
      </c>
      <c r="I3615">
        <v>3614</v>
      </c>
      <c r="J3615">
        <f t="shared" si="450"/>
        <v>-0.61492694134763604</v>
      </c>
      <c r="K3615">
        <f t="shared" si="451"/>
        <v>0.78858408353506659</v>
      </c>
      <c r="L3615">
        <f>VLOOKUP(D3615,[1]SOI!$A$1:$C$142,3)</f>
        <v>-14.7</v>
      </c>
      <c r="M3615" s="2">
        <f t="shared" si="452"/>
        <v>-2222.3459660303565</v>
      </c>
      <c r="N3615">
        <f t="shared" si="453"/>
        <v>2849.9428778957308</v>
      </c>
      <c r="O3615" t="s">
        <v>8</v>
      </c>
    </row>
    <row r="3616" spans="1:15" x14ac:dyDescent="0.35">
      <c r="A3616">
        <v>2009</v>
      </c>
      <c r="B3616">
        <v>11</v>
      </c>
      <c r="C3616">
        <v>23</v>
      </c>
      <c r="D3616" s="1">
        <f t="shared" si="448"/>
        <v>40140</v>
      </c>
      <c r="E3616">
        <v>16</v>
      </c>
      <c r="F3616">
        <f t="shared" si="454"/>
        <v>45.8</v>
      </c>
      <c r="G3616">
        <f t="shared" si="449"/>
        <v>1</v>
      </c>
      <c r="H3616">
        <f t="shared" si="455"/>
        <v>1</v>
      </c>
      <c r="I3616">
        <v>3615</v>
      </c>
      <c r="J3616">
        <f t="shared" si="450"/>
        <v>-0.60127106937348851</v>
      </c>
      <c r="K3616">
        <f t="shared" si="451"/>
        <v>0.79904511833466674</v>
      </c>
      <c r="L3616">
        <f>VLOOKUP(D3616,[1]SOI!$A$1:$C$142,3)</f>
        <v>-14.7</v>
      </c>
      <c r="M3616" s="2">
        <f t="shared" si="452"/>
        <v>-2173.594915785161</v>
      </c>
      <c r="N3616">
        <f t="shared" si="453"/>
        <v>2888.5481027798201</v>
      </c>
      <c r="O3616" t="s">
        <v>8</v>
      </c>
    </row>
    <row r="3617" spans="1:15" x14ac:dyDescent="0.35">
      <c r="A3617">
        <v>2009</v>
      </c>
      <c r="B3617">
        <v>11</v>
      </c>
      <c r="C3617">
        <v>24</v>
      </c>
      <c r="D3617" s="1">
        <f t="shared" si="448"/>
        <v>40141</v>
      </c>
      <c r="E3617">
        <v>0</v>
      </c>
      <c r="F3617">
        <f t="shared" si="454"/>
        <v>16</v>
      </c>
      <c r="G3617">
        <f t="shared" si="449"/>
        <v>0</v>
      </c>
      <c r="H3617">
        <f t="shared" si="455"/>
        <v>1</v>
      </c>
      <c r="I3617">
        <v>3616</v>
      </c>
      <c r="J3617">
        <f t="shared" si="450"/>
        <v>-0.58743727161638648</v>
      </c>
      <c r="K3617">
        <f t="shared" si="451"/>
        <v>0.80926970282835609</v>
      </c>
      <c r="L3617">
        <f>VLOOKUP(D3617,[1]SOI!$A$1:$C$142,3)</f>
        <v>-14.7</v>
      </c>
      <c r="M3617" s="2">
        <f t="shared" si="452"/>
        <v>-2124.1731741648537</v>
      </c>
      <c r="N3617">
        <f t="shared" si="453"/>
        <v>2926.3192454273358</v>
      </c>
      <c r="O3617" t="s">
        <v>8</v>
      </c>
    </row>
    <row r="3618" spans="1:15" x14ac:dyDescent="0.35">
      <c r="A3618">
        <v>2009</v>
      </c>
      <c r="B3618">
        <v>11</v>
      </c>
      <c r="C3618">
        <v>25</v>
      </c>
      <c r="D3618" s="1">
        <f t="shared" si="448"/>
        <v>40142</v>
      </c>
      <c r="E3618">
        <v>0</v>
      </c>
      <c r="F3618">
        <f t="shared" si="454"/>
        <v>0</v>
      </c>
      <c r="G3618">
        <f t="shared" si="449"/>
        <v>0</v>
      </c>
      <c r="H3618">
        <f t="shared" si="455"/>
        <v>0</v>
      </c>
      <c r="I3618">
        <v>3617</v>
      </c>
      <c r="J3618">
        <f t="shared" si="450"/>
        <v>-0.57342964171965616</v>
      </c>
      <c r="K3618">
        <f t="shared" si="451"/>
        <v>0.81925481139708101</v>
      </c>
      <c r="L3618">
        <f>VLOOKUP(D3618,[1]SOI!$A$1:$C$142,3)</f>
        <v>-14.7</v>
      </c>
      <c r="M3618" s="2">
        <f t="shared" si="452"/>
        <v>-2074.0950140999962</v>
      </c>
      <c r="N3618">
        <f t="shared" si="453"/>
        <v>2963.2446528232422</v>
      </c>
      <c r="O3618" t="s">
        <v>8</v>
      </c>
    </row>
    <row r="3619" spans="1:15" x14ac:dyDescent="0.35">
      <c r="A3619">
        <v>2009</v>
      </c>
      <c r="B3619">
        <v>11</v>
      </c>
      <c r="C3619">
        <v>26</v>
      </c>
      <c r="D3619" s="1">
        <f t="shared" si="448"/>
        <v>40143</v>
      </c>
      <c r="E3619">
        <v>3.6</v>
      </c>
      <c r="F3619">
        <f t="shared" si="454"/>
        <v>0</v>
      </c>
      <c r="G3619">
        <f t="shared" si="449"/>
        <v>1</v>
      </c>
      <c r="H3619">
        <f t="shared" si="455"/>
        <v>0</v>
      </c>
      <c r="I3619">
        <v>3618</v>
      </c>
      <c r="J3619">
        <f t="shared" si="450"/>
        <v>-0.55925232476634523</v>
      </c>
      <c r="K3619">
        <f t="shared" si="451"/>
        <v>0.82899748928657091</v>
      </c>
      <c r="L3619">
        <f>VLOOKUP(D3619,[1]SOI!$A$1:$C$142,3)</f>
        <v>-14.7</v>
      </c>
      <c r="M3619" s="2">
        <f t="shared" si="452"/>
        <v>-2023.3749110046369</v>
      </c>
      <c r="N3619">
        <f t="shared" si="453"/>
        <v>2999.3129162388136</v>
      </c>
      <c r="O3619" t="s">
        <v>8</v>
      </c>
    </row>
    <row r="3620" spans="1:15" x14ac:dyDescent="0.35">
      <c r="A3620">
        <v>2009</v>
      </c>
      <c r="B3620">
        <v>11</v>
      </c>
      <c r="C3620">
        <v>27</v>
      </c>
      <c r="D3620" s="1">
        <f t="shared" si="448"/>
        <v>40144</v>
      </c>
      <c r="E3620">
        <v>5.6</v>
      </c>
      <c r="F3620">
        <f t="shared" si="454"/>
        <v>3.6</v>
      </c>
      <c r="G3620">
        <f t="shared" si="449"/>
        <v>1</v>
      </c>
      <c r="H3620">
        <f t="shared" si="455"/>
        <v>1</v>
      </c>
      <c r="I3620">
        <v>3619</v>
      </c>
      <c r="J3620">
        <f t="shared" si="450"/>
        <v>-0.54490951605263116</v>
      </c>
      <c r="K3620">
        <f t="shared" si="451"/>
        <v>0.83849485348169384</v>
      </c>
      <c r="L3620">
        <f>VLOOKUP(D3620,[1]SOI!$A$1:$C$142,3)</f>
        <v>-14.7</v>
      </c>
      <c r="M3620" s="2">
        <f t="shared" si="452"/>
        <v>-1972.0275385944722</v>
      </c>
      <c r="N3620">
        <f t="shared" si="453"/>
        <v>3034.5128747502499</v>
      </c>
      <c r="O3620" t="s">
        <v>8</v>
      </c>
    </row>
    <row r="3621" spans="1:15" x14ac:dyDescent="0.35">
      <c r="A3621">
        <v>2009</v>
      </c>
      <c r="B3621">
        <v>11</v>
      </c>
      <c r="C3621">
        <v>28</v>
      </c>
      <c r="D3621" s="1">
        <f t="shared" si="448"/>
        <v>40145</v>
      </c>
      <c r="E3621">
        <v>4.8</v>
      </c>
      <c r="F3621">
        <f t="shared" si="454"/>
        <v>5.6</v>
      </c>
      <c r="G3621">
        <f t="shared" si="449"/>
        <v>1</v>
      </c>
      <c r="H3621">
        <f t="shared" si="455"/>
        <v>1</v>
      </c>
      <c r="I3621">
        <v>3620</v>
      </c>
      <c r="J3621">
        <f t="shared" si="450"/>
        <v>-0.530405459846372</v>
      </c>
      <c r="K3621">
        <f t="shared" si="451"/>
        <v>0.8477440935595828</v>
      </c>
      <c r="L3621">
        <f>VLOOKUP(D3621,[1]SOI!$A$1:$C$142,3)</f>
        <v>-14.7</v>
      </c>
      <c r="M3621" s="2">
        <f t="shared" si="452"/>
        <v>-1920.0677646438667</v>
      </c>
      <c r="N3621">
        <f t="shared" si="453"/>
        <v>3068.8336186856895</v>
      </c>
      <c r="O3621" t="s">
        <v>8</v>
      </c>
    </row>
    <row r="3622" spans="1:15" x14ac:dyDescent="0.35">
      <c r="A3622">
        <v>2009</v>
      </c>
      <c r="B3622">
        <v>11</v>
      </c>
      <c r="C3622">
        <v>29</v>
      </c>
      <c r="D3622" s="1">
        <f t="shared" si="448"/>
        <v>40146</v>
      </c>
      <c r="E3622">
        <v>10.6</v>
      </c>
      <c r="F3622">
        <f t="shared" si="454"/>
        <v>4.8</v>
      </c>
      <c r="G3622">
        <f t="shared" si="449"/>
        <v>1</v>
      </c>
      <c r="H3622">
        <f t="shared" si="455"/>
        <v>1</v>
      </c>
      <c r="I3622">
        <v>3621</v>
      </c>
      <c r="J3622">
        <f t="shared" si="450"/>
        <v>-0.51574444813113507</v>
      </c>
      <c r="K3622">
        <f t="shared" si="451"/>
        <v>0.85674247252130031</v>
      </c>
      <c r="L3622">
        <f>VLOOKUP(D3622,[1]SOI!$A$1:$C$142,3)</f>
        <v>-14.7</v>
      </c>
      <c r="M3622" s="2">
        <f t="shared" si="452"/>
        <v>-1867.5106466828402</v>
      </c>
      <c r="N3622">
        <f t="shared" si="453"/>
        <v>3102.2644929996286</v>
      </c>
      <c r="O3622" t="s">
        <v>8</v>
      </c>
    </row>
    <row r="3623" spans="1:15" x14ac:dyDescent="0.35">
      <c r="A3623">
        <v>2009</v>
      </c>
      <c r="B3623">
        <v>11</v>
      </c>
      <c r="C3623">
        <v>30</v>
      </c>
      <c r="D3623" s="1">
        <f t="shared" si="448"/>
        <v>40147</v>
      </c>
      <c r="E3623">
        <v>10.6</v>
      </c>
      <c r="F3623">
        <f t="shared" si="454"/>
        <v>10.6</v>
      </c>
      <c r="G3623">
        <f t="shared" si="449"/>
        <v>1</v>
      </c>
      <c r="H3623">
        <f t="shared" si="455"/>
        <v>1</v>
      </c>
      <c r="I3623">
        <v>3622</v>
      </c>
      <c r="J3623">
        <f t="shared" si="450"/>
        <v>-0.50093081933616579</v>
      </c>
      <c r="K3623">
        <f t="shared" si="451"/>
        <v>0.86548732760173774</v>
      </c>
      <c r="L3623">
        <f>VLOOKUP(D3623,[1]SOI!$A$1:$C$142,3)</f>
        <v>-14.7</v>
      </c>
      <c r="M3623" s="2">
        <f t="shared" si="452"/>
        <v>-1814.3714276355925</v>
      </c>
      <c r="N3623">
        <f t="shared" si="453"/>
        <v>3134.795100573494</v>
      </c>
      <c r="O3623" t="s">
        <v>8</v>
      </c>
    </row>
    <row r="3624" spans="1:15" x14ac:dyDescent="0.35">
      <c r="A3624">
        <v>2009</v>
      </c>
      <c r="B3624">
        <v>12</v>
      </c>
      <c r="C3624">
        <v>1</v>
      </c>
      <c r="D3624" s="1">
        <f t="shared" si="448"/>
        <v>40148</v>
      </c>
      <c r="E3624">
        <v>0</v>
      </c>
      <c r="F3624">
        <f t="shared" si="454"/>
        <v>10.6</v>
      </c>
      <c r="G3624">
        <f t="shared" si="449"/>
        <v>0</v>
      </c>
      <c r="H3624">
        <f t="shared" si="455"/>
        <v>1</v>
      </c>
      <c r="I3624">
        <v>3623</v>
      </c>
      <c r="J3624">
        <f t="shared" si="450"/>
        <v>-0.485968957052553</v>
      </c>
      <c r="K3624">
        <f t="shared" si="451"/>
        <v>0.87397607105758557</v>
      </c>
      <c r="L3624">
        <f>VLOOKUP(D3624,[1]SOI!$A$1:$C$142,3)</f>
        <v>-6.7</v>
      </c>
      <c r="M3624" s="2">
        <f t="shared" si="452"/>
        <v>-1760.6655314013994</v>
      </c>
      <c r="N3624">
        <f t="shared" si="453"/>
        <v>3166.4153054416324</v>
      </c>
      <c r="O3624" t="s">
        <v>8</v>
      </c>
    </row>
    <row r="3625" spans="1:15" x14ac:dyDescent="0.35">
      <c r="A3625">
        <v>2009</v>
      </c>
      <c r="B3625">
        <v>12</v>
      </c>
      <c r="C3625">
        <v>2</v>
      </c>
      <c r="D3625" s="1">
        <f t="shared" si="448"/>
        <v>40149</v>
      </c>
      <c r="E3625">
        <v>0</v>
      </c>
      <c r="F3625">
        <f t="shared" si="454"/>
        <v>0</v>
      </c>
      <c r="G3625">
        <f t="shared" si="449"/>
        <v>0</v>
      </c>
      <c r="H3625">
        <f t="shared" si="455"/>
        <v>0</v>
      </c>
      <c r="I3625">
        <v>3624</v>
      </c>
      <c r="J3625">
        <f t="shared" si="450"/>
        <v>-0.47086328873605338</v>
      </c>
      <c r="K3625">
        <f t="shared" si="451"/>
        <v>0.88220619093308794</v>
      </c>
      <c r="L3625">
        <f>VLOOKUP(D3625,[1]SOI!$A$1:$C$142,3)</f>
        <v>-6.7</v>
      </c>
      <c r="M3625" s="2">
        <f t="shared" si="452"/>
        <v>-1706.4085583794574</v>
      </c>
      <c r="N3625">
        <f t="shared" si="453"/>
        <v>3197.1152359415105</v>
      </c>
      <c r="O3625" t="s">
        <v>8</v>
      </c>
    </row>
    <row r="3626" spans="1:15" x14ac:dyDescent="0.35">
      <c r="A3626">
        <v>2009</v>
      </c>
      <c r="B3626">
        <v>12</v>
      </c>
      <c r="C3626">
        <v>3</v>
      </c>
      <c r="D3626" s="1">
        <f t="shared" si="448"/>
        <v>40150</v>
      </c>
      <c r="E3626">
        <v>0</v>
      </c>
      <c r="F3626">
        <f t="shared" si="454"/>
        <v>0</v>
      </c>
      <c r="G3626">
        <f t="shared" si="449"/>
        <v>0</v>
      </c>
      <c r="H3626">
        <f t="shared" si="455"/>
        <v>0</v>
      </c>
      <c r="I3626">
        <v>3625</v>
      </c>
      <c r="J3626">
        <f t="shared" si="450"/>
        <v>-0.45561828439696106</v>
      </c>
      <c r="K3626">
        <f t="shared" si="451"/>
        <v>0.89017525180335688</v>
      </c>
      <c r="L3626">
        <f>VLOOKUP(D3626,[1]SOI!$A$1:$C$142,3)</f>
        <v>-6.7</v>
      </c>
      <c r="M3626" s="2">
        <f t="shared" si="452"/>
        <v>-1651.6162809389839</v>
      </c>
      <c r="N3626">
        <f t="shared" si="453"/>
        <v>3226.8852877871686</v>
      </c>
      <c r="O3626" t="s">
        <v>8</v>
      </c>
    </row>
    <row r="3627" spans="1:15" x14ac:dyDescent="0.35">
      <c r="A3627">
        <v>2009</v>
      </c>
      <c r="B3627">
        <v>12</v>
      </c>
      <c r="C3627">
        <v>4</v>
      </c>
      <c r="D3627" s="1">
        <f t="shared" si="448"/>
        <v>40151</v>
      </c>
      <c r="E3627">
        <v>0</v>
      </c>
      <c r="F3627">
        <f t="shared" si="454"/>
        <v>0</v>
      </c>
      <c r="G3627">
        <f t="shared" si="449"/>
        <v>0</v>
      </c>
      <c r="H3627">
        <f t="shared" si="455"/>
        <v>0</v>
      </c>
      <c r="I3627">
        <v>3626</v>
      </c>
      <c r="J3627">
        <f t="shared" si="450"/>
        <v>-0.44023845527733507</v>
      </c>
      <c r="K3627">
        <f t="shared" si="451"/>
        <v>0.89788089549506833</v>
      </c>
      <c r="L3627">
        <f>VLOOKUP(D3627,[1]SOI!$A$1:$C$142,3)</f>
        <v>-6.7</v>
      </c>
      <c r="M3627" s="2">
        <f t="shared" si="452"/>
        <v>-1596.304638835617</v>
      </c>
      <c r="N3627">
        <f t="shared" si="453"/>
        <v>3255.7161270651177</v>
      </c>
      <c r="O3627" t="s">
        <v>8</v>
      </c>
    </row>
    <row r="3628" spans="1:15" x14ac:dyDescent="0.35">
      <c r="A3628">
        <v>2009</v>
      </c>
      <c r="B3628">
        <v>12</v>
      </c>
      <c r="C3628">
        <v>5</v>
      </c>
      <c r="D3628" s="1">
        <f t="shared" si="448"/>
        <v>40152</v>
      </c>
      <c r="E3628">
        <v>0</v>
      </c>
      <c r="F3628">
        <f t="shared" si="454"/>
        <v>0</v>
      </c>
      <c r="G3628">
        <f t="shared" si="449"/>
        <v>0</v>
      </c>
      <c r="H3628">
        <f t="shared" si="455"/>
        <v>0</v>
      </c>
      <c r="I3628">
        <v>3627</v>
      </c>
      <c r="J3628">
        <f t="shared" si="450"/>
        <v>-0.4247283525160242</v>
      </c>
      <c r="K3628">
        <f t="shared" si="451"/>
        <v>0.90532084178429462</v>
      </c>
      <c r="L3628">
        <f>VLOOKUP(D3628,[1]SOI!$A$1:$C$142,3)</f>
        <v>-6.7</v>
      </c>
      <c r="M3628" s="2">
        <f t="shared" si="452"/>
        <v>-1540.4897345756199</v>
      </c>
      <c r="N3628">
        <f t="shared" si="453"/>
        <v>3283.5986931516368</v>
      </c>
      <c r="O3628" t="s">
        <v>8</v>
      </c>
    </row>
    <row r="3629" spans="1:15" x14ac:dyDescent="0.35">
      <c r="A3629">
        <v>2009</v>
      </c>
      <c r="B3629">
        <v>12</v>
      </c>
      <c r="C3629">
        <v>6</v>
      </c>
      <c r="D3629" s="1">
        <f t="shared" si="448"/>
        <v>40153</v>
      </c>
      <c r="E3629">
        <v>0</v>
      </c>
      <c r="F3629">
        <f t="shared" si="454"/>
        <v>0</v>
      </c>
      <c r="G3629">
        <f t="shared" si="449"/>
        <v>0</v>
      </c>
      <c r="H3629">
        <f t="shared" si="455"/>
        <v>0</v>
      </c>
      <c r="I3629">
        <v>3628</v>
      </c>
      <c r="J3629">
        <f t="shared" si="450"/>
        <v>-0.40909256580198172</v>
      </c>
      <c r="K3629">
        <f t="shared" si="451"/>
        <v>0.91249288907122517</v>
      </c>
      <c r="L3629">
        <f>VLOOKUP(D3629,[1]SOI!$A$1:$C$142,3)</f>
        <v>-6.7</v>
      </c>
      <c r="M3629" s="2">
        <f t="shared" si="452"/>
        <v>-1484.1878287295897</v>
      </c>
      <c r="N3629">
        <f t="shared" si="453"/>
        <v>3310.524201550405</v>
      </c>
      <c r="O3629" t="s">
        <v>8</v>
      </c>
    </row>
    <row r="3630" spans="1:15" x14ac:dyDescent="0.35">
      <c r="A3630">
        <v>2009</v>
      </c>
      <c r="B3630">
        <v>12</v>
      </c>
      <c r="C3630">
        <v>7</v>
      </c>
      <c r="D3630" s="1">
        <f t="shared" si="448"/>
        <v>40154</v>
      </c>
      <c r="E3630">
        <v>0</v>
      </c>
      <c r="F3630">
        <f t="shared" si="454"/>
        <v>0</v>
      </c>
      <c r="G3630">
        <f t="shared" si="449"/>
        <v>0</v>
      </c>
      <c r="H3630">
        <f t="shared" si="455"/>
        <v>0</v>
      </c>
      <c r="I3630">
        <v>3629</v>
      </c>
      <c r="J3630">
        <f t="shared" si="450"/>
        <v>-0.39333572201604539</v>
      </c>
      <c r="K3630">
        <f t="shared" si="451"/>
        <v>0.91939491503168336</v>
      </c>
      <c r="L3630">
        <f>VLOOKUP(D3630,[1]SOI!$A$1:$C$142,3)</f>
        <v>-6.7</v>
      </c>
      <c r="M3630" s="2">
        <f t="shared" si="452"/>
        <v>-1427.4153351962286</v>
      </c>
      <c r="N3630">
        <f t="shared" si="453"/>
        <v>3336.4841466499788</v>
      </c>
      <c r="O3630" t="s">
        <v>8</v>
      </c>
    </row>
    <row r="3631" spans="1:15" x14ac:dyDescent="0.35">
      <c r="A3631">
        <v>2009</v>
      </c>
      <c r="B3631">
        <v>12</v>
      </c>
      <c r="C3631">
        <v>8</v>
      </c>
      <c r="D3631" s="1">
        <f t="shared" si="448"/>
        <v>40155</v>
      </c>
      <c r="E3631">
        <v>8.1999999999999993</v>
      </c>
      <c r="F3631">
        <f t="shared" si="454"/>
        <v>0</v>
      </c>
      <c r="G3631">
        <f t="shared" si="449"/>
        <v>1</v>
      </c>
      <c r="H3631">
        <f t="shared" si="455"/>
        <v>0</v>
      </c>
      <c r="I3631">
        <v>3630</v>
      </c>
      <c r="J3631">
        <f t="shared" si="450"/>
        <v>-0.3774624838618077</v>
      </c>
      <c r="K3631">
        <f t="shared" si="451"/>
        <v>0.92602487724513893</v>
      </c>
      <c r="L3631">
        <f>VLOOKUP(D3631,[1]SOI!$A$1:$C$142,3)</f>
        <v>-6.7</v>
      </c>
      <c r="M3631" s="2">
        <f t="shared" si="452"/>
        <v>-1370.188816418362</v>
      </c>
      <c r="N3631">
        <f t="shared" si="453"/>
        <v>3361.4703043998543</v>
      </c>
      <c r="O3631" t="s">
        <v>8</v>
      </c>
    </row>
    <row r="3632" spans="1:15" x14ac:dyDescent="0.35">
      <c r="A3632">
        <v>2009</v>
      </c>
      <c r="B3632">
        <v>12</v>
      </c>
      <c r="C3632">
        <v>9</v>
      </c>
      <c r="D3632" s="1">
        <f t="shared" si="448"/>
        <v>40156</v>
      </c>
      <c r="E3632">
        <v>13.2</v>
      </c>
      <c r="F3632">
        <f t="shared" si="454"/>
        <v>8.1999999999999993</v>
      </c>
      <c r="G3632">
        <f t="shared" si="449"/>
        <v>1</v>
      </c>
      <c r="H3632">
        <f t="shared" si="455"/>
        <v>1</v>
      </c>
      <c r="I3632">
        <v>3631</v>
      </c>
      <c r="J3632">
        <f t="shared" si="450"/>
        <v>-0.36147754848582109</v>
      </c>
      <c r="K3632">
        <f t="shared" si="451"/>
        <v>0.93238081379910476</v>
      </c>
      <c r="L3632">
        <f>VLOOKUP(D3632,[1]SOI!$A$1:$C$142,3)</f>
        <v>-6.7</v>
      </c>
      <c r="M3632" s="2">
        <f t="shared" si="452"/>
        <v>-1312.5249785520164</v>
      </c>
      <c r="N3632">
        <f t="shared" si="453"/>
        <v>3385.4747349045492</v>
      </c>
      <c r="O3632" t="s">
        <v>8</v>
      </c>
    </row>
    <row r="3633" spans="1:15" x14ac:dyDescent="0.35">
      <c r="A3633">
        <v>2009</v>
      </c>
      <c r="B3633">
        <v>12</v>
      </c>
      <c r="C3633">
        <v>10</v>
      </c>
      <c r="D3633" s="1">
        <f t="shared" si="448"/>
        <v>40157</v>
      </c>
      <c r="E3633">
        <v>0</v>
      </c>
      <c r="F3633">
        <f t="shared" si="454"/>
        <v>13.2</v>
      </c>
      <c r="G3633">
        <f t="shared" si="449"/>
        <v>0</v>
      </c>
      <c r="H3633">
        <f t="shared" si="455"/>
        <v>1</v>
      </c>
      <c r="I3633">
        <v>3632</v>
      </c>
      <c r="J3633">
        <f t="shared" si="450"/>
        <v>-0.34538564608760985</v>
      </c>
      <c r="K3633">
        <f t="shared" si="451"/>
        <v>0.93846084386970796</v>
      </c>
      <c r="L3633">
        <f>VLOOKUP(D3633,[1]SOI!$A$1:$C$142,3)</f>
        <v>-6.7</v>
      </c>
      <c r="M3633" s="2">
        <f t="shared" si="452"/>
        <v>-1254.440666590199</v>
      </c>
      <c r="N3633">
        <f t="shared" si="453"/>
        <v>3408.4897849347794</v>
      </c>
      <c r="O3633" t="s">
        <v>8</v>
      </c>
    </row>
    <row r="3634" spans="1:15" x14ac:dyDescent="0.35">
      <c r="A3634">
        <v>2009</v>
      </c>
      <c r="B3634">
        <v>12</v>
      </c>
      <c r="C3634">
        <v>11</v>
      </c>
      <c r="D3634" s="1">
        <f t="shared" si="448"/>
        <v>40158</v>
      </c>
      <c r="E3634">
        <v>11.6</v>
      </c>
      <c r="F3634">
        <f t="shared" si="454"/>
        <v>0</v>
      </c>
      <c r="G3634">
        <f t="shared" si="449"/>
        <v>1</v>
      </c>
      <c r="H3634">
        <f t="shared" si="455"/>
        <v>0</v>
      </c>
      <c r="I3634">
        <v>3633</v>
      </c>
      <c r="J3634">
        <f t="shared" si="450"/>
        <v>-0.32919153851999383</v>
      </c>
      <c r="K3634">
        <f t="shared" si="451"/>
        <v>0.9442631682782292</v>
      </c>
      <c r="L3634">
        <f>VLOOKUP(D3634,[1]SOI!$A$1:$C$142,3)</f>
        <v>-6.7</v>
      </c>
      <c r="M3634" s="2">
        <f t="shared" si="452"/>
        <v>-1195.9528594431376</v>
      </c>
      <c r="N3634">
        <f t="shared" si="453"/>
        <v>3430.5080903548069</v>
      </c>
      <c r="O3634" t="s">
        <v>8</v>
      </c>
    </row>
    <row r="3635" spans="1:15" x14ac:dyDescent="0.35">
      <c r="A3635">
        <v>2009</v>
      </c>
      <c r="B3635">
        <v>12</v>
      </c>
      <c r="C3635">
        <v>12</v>
      </c>
      <c r="D3635" s="1">
        <f t="shared" si="448"/>
        <v>40159</v>
      </c>
      <c r="E3635">
        <v>0</v>
      </c>
      <c r="F3635">
        <f t="shared" si="454"/>
        <v>11.6</v>
      </c>
      <c r="G3635">
        <f t="shared" si="449"/>
        <v>0</v>
      </c>
      <c r="H3635">
        <f t="shared" si="455"/>
        <v>1</v>
      </c>
      <c r="I3635">
        <v>3634</v>
      </c>
      <c r="J3635">
        <f t="shared" si="450"/>
        <v>-0.31290001787995386</v>
      </c>
      <c r="K3635">
        <f t="shared" si="451"/>
        <v>0.94978607002352089</v>
      </c>
      <c r="L3635">
        <f>VLOOKUP(D3635,[1]SOI!$A$1:$C$142,3)</f>
        <v>-6.7</v>
      </c>
      <c r="M3635" s="2">
        <f t="shared" si="452"/>
        <v>-1137.0786649757524</v>
      </c>
      <c r="N3635">
        <f t="shared" si="453"/>
        <v>3451.5225784654749</v>
      </c>
      <c r="O3635" t="s">
        <v>8</v>
      </c>
    </row>
    <row r="3636" spans="1:15" x14ac:dyDescent="0.35">
      <c r="A3636">
        <v>2009</v>
      </c>
      <c r="B3636">
        <v>12</v>
      </c>
      <c r="C3636">
        <v>13</v>
      </c>
      <c r="D3636" s="1">
        <f t="shared" si="448"/>
        <v>40160</v>
      </c>
      <c r="E3636">
        <v>0</v>
      </c>
      <c r="F3636">
        <f t="shared" si="454"/>
        <v>0</v>
      </c>
      <c r="G3636">
        <f t="shared" si="449"/>
        <v>0</v>
      </c>
      <c r="H3636">
        <f t="shared" si="455"/>
        <v>0</v>
      </c>
      <c r="I3636">
        <v>3635</v>
      </c>
      <c r="J3636">
        <f t="shared" si="450"/>
        <v>-0.29651590509054593</v>
      </c>
      <c r="K3636">
        <f t="shared" si="451"/>
        <v>0.95502791479010407</v>
      </c>
      <c r="L3636">
        <f>VLOOKUP(D3636,[1]SOI!$A$1:$C$142,3)</f>
        <v>-6.7</v>
      </c>
      <c r="M3636" s="2">
        <f t="shared" si="452"/>
        <v>-1077.8353150041344</v>
      </c>
      <c r="N3636">
        <f t="shared" si="453"/>
        <v>3471.5264702620284</v>
      </c>
      <c r="O3636" t="s">
        <v>8</v>
      </c>
    </row>
    <row r="3637" spans="1:15" x14ac:dyDescent="0.35">
      <c r="A3637">
        <v>2009</v>
      </c>
      <c r="B3637">
        <v>12</v>
      </c>
      <c r="C3637">
        <v>14</v>
      </c>
      <c r="D3637" s="1">
        <f t="shared" si="448"/>
        <v>40161</v>
      </c>
      <c r="E3637">
        <v>0</v>
      </c>
      <c r="F3637">
        <f t="shared" si="454"/>
        <v>0</v>
      </c>
      <c r="G3637">
        <f t="shared" si="449"/>
        <v>0</v>
      </c>
      <c r="H3637">
        <f t="shared" si="455"/>
        <v>0</v>
      </c>
      <c r="I3637">
        <v>3636</v>
      </c>
      <c r="J3637">
        <f t="shared" si="450"/>
        <v>-0.28004404847433956</v>
      </c>
      <c r="K3637">
        <f t="shared" si="451"/>
        <v>0.95998715143177915</v>
      </c>
      <c r="L3637">
        <f>VLOOKUP(D3637,[1]SOI!$A$1:$C$142,3)</f>
        <v>-6.7</v>
      </c>
      <c r="M3637" s="2">
        <f t="shared" si="452"/>
        <v>-1018.2401602526986</v>
      </c>
      <c r="N3637">
        <f t="shared" si="453"/>
        <v>3490.5132826059489</v>
      </c>
      <c r="O3637" t="s">
        <v>8</v>
      </c>
    </row>
    <row r="3638" spans="1:15" x14ac:dyDescent="0.35">
      <c r="A3638">
        <v>2009</v>
      </c>
      <c r="B3638">
        <v>12</v>
      </c>
      <c r="C3638">
        <v>15</v>
      </c>
      <c r="D3638" s="1">
        <f t="shared" si="448"/>
        <v>40162</v>
      </c>
      <c r="E3638">
        <v>0</v>
      </c>
      <c r="F3638">
        <f t="shared" si="454"/>
        <v>0</v>
      </c>
      <c r="G3638">
        <f t="shared" si="449"/>
        <v>0</v>
      </c>
      <c r="H3638">
        <f t="shared" si="455"/>
        <v>0</v>
      </c>
      <c r="I3638">
        <v>3637</v>
      </c>
      <c r="J3638">
        <f t="shared" si="450"/>
        <v>-0.26348932231872096</v>
      </c>
      <c r="K3638">
        <f t="shared" si="451"/>
        <v>0.9646623124306356</v>
      </c>
      <c r="L3638">
        <f>VLOOKUP(D3638,[1]SOI!$A$1:$C$142,3)</f>
        <v>-6.7</v>
      </c>
      <c r="M3638" s="2">
        <f t="shared" si="452"/>
        <v>-958.31066527318819</v>
      </c>
      <c r="N3638">
        <f t="shared" si="453"/>
        <v>3508.4768303102219</v>
      </c>
      <c r="O3638" t="s">
        <v>8</v>
      </c>
    </row>
    <row r="3639" spans="1:15" x14ac:dyDescent="0.35">
      <c r="A3639">
        <v>2009</v>
      </c>
      <c r="B3639">
        <v>12</v>
      </c>
      <c r="C3639">
        <v>16</v>
      </c>
      <c r="D3639" s="1">
        <f t="shared" si="448"/>
        <v>40163</v>
      </c>
      <c r="E3639">
        <v>0</v>
      </c>
      <c r="F3639">
        <f t="shared" si="454"/>
        <v>0</v>
      </c>
      <c r="G3639">
        <f t="shared" si="449"/>
        <v>0</v>
      </c>
      <c r="H3639">
        <f t="shared" si="455"/>
        <v>0</v>
      </c>
      <c r="I3639">
        <v>3638</v>
      </c>
      <c r="J3639">
        <f t="shared" si="450"/>
        <v>-0.24685662543348583</v>
      </c>
      <c r="K3639">
        <f t="shared" si="451"/>
        <v>0.96905201433132149</v>
      </c>
      <c r="L3639">
        <f>VLOOKUP(D3639,[1]SOI!$A$1:$C$142,3)</f>
        <v>-6.7</v>
      </c>
      <c r="M3639" s="2">
        <f t="shared" si="452"/>
        <v>-898.06440332702141</v>
      </c>
      <c r="N3639">
        <f t="shared" si="453"/>
        <v>3525.4112281373477</v>
      </c>
      <c r="O3639" t="s">
        <v>8</v>
      </c>
    </row>
    <row r="3640" spans="1:15" x14ac:dyDescent="0.35">
      <c r="A3640">
        <v>2009</v>
      </c>
      <c r="B3640">
        <v>12</v>
      </c>
      <c r="C3640">
        <v>17</v>
      </c>
      <c r="D3640" s="1">
        <f t="shared" si="448"/>
        <v>40164</v>
      </c>
      <c r="E3640">
        <v>0</v>
      </c>
      <c r="F3640">
        <f t="shared" si="454"/>
        <v>0</v>
      </c>
      <c r="G3640">
        <f t="shared" si="449"/>
        <v>0</v>
      </c>
      <c r="H3640">
        <f t="shared" si="455"/>
        <v>0</v>
      </c>
      <c r="I3640">
        <v>3639</v>
      </c>
      <c r="J3640">
        <f t="shared" si="450"/>
        <v>-0.2301508797012437</v>
      </c>
      <c r="K3640">
        <f t="shared" si="451"/>
        <v>0.97315495815041897</v>
      </c>
      <c r="L3640">
        <f>VLOOKUP(D3640,[1]SOI!$A$1:$C$142,3)</f>
        <v>-6.7</v>
      </c>
      <c r="M3640" s="2">
        <f t="shared" si="452"/>
        <v>-837.51905123282586</v>
      </c>
      <c r="N3640">
        <f t="shared" si="453"/>
        <v>3541.3108927093745</v>
      </c>
      <c r="O3640" t="s">
        <v>8</v>
      </c>
    </row>
    <row r="3641" spans="1:15" x14ac:dyDescent="0.35">
      <c r="A3641">
        <v>2009</v>
      </c>
      <c r="B3641">
        <v>12</v>
      </c>
      <c r="C3641">
        <v>18</v>
      </c>
      <c r="D3641" s="1">
        <f t="shared" si="448"/>
        <v>40165</v>
      </c>
      <c r="E3641">
        <v>11.2</v>
      </c>
      <c r="F3641">
        <f t="shared" si="454"/>
        <v>0</v>
      </c>
      <c r="G3641">
        <f t="shared" si="449"/>
        <v>1</v>
      </c>
      <c r="H3641">
        <f t="shared" si="455"/>
        <v>0</v>
      </c>
      <c r="I3641">
        <v>3640</v>
      </c>
      <c r="J3641">
        <f t="shared" si="450"/>
        <v>-0.21337702862092642</v>
      </c>
      <c r="K3641">
        <f t="shared" si="451"/>
        <v>0.97696992976084185</v>
      </c>
      <c r="L3641">
        <f>VLOOKUP(D3641,[1]SOI!$A$1:$C$142,3)</f>
        <v>-6.7</v>
      </c>
      <c r="M3641" s="2">
        <f t="shared" si="452"/>
        <v>-776.69238418017221</v>
      </c>
      <c r="N3641">
        <f t="shared" si="453"/>
        <v>3556.1705443294645</v>
      </c>
      <c r="O3641" t="s">
        <v>8</v>
      </c>
    </row>
    <row r="3642" spans="1:15" x14ac:dyDescent="0.35">
      <c r="A3642">
        <v>2009</v>
      </c>
      <c r="B3642">
        <v>12</v>
      </c>
      <c r="C3642">
        <v>19</v>
      </c>
      <c r="D3642" s="1">
        <f t="shared" si="448"/>
        <v>40166</v>
      </c>
      <c r="E3642">
        <v>0.2</v>
      </c>
      <c r="F3642">
        <f t="shared" si="454"/>
        <v>11.2</v>
      </c>
      <c r="G3642">
        <f t="shared" si="449"/>
        <v>1</v>
      </c>
      <c r="H3642">
        <f t="shared" si="455"/>
        <v>1</v>
      </c>
      <c r="I3642">
        <v>3641</v>
      </c>
      <c r="J3642">
        <f t="shared" si="450"/>
        <v>-0.19654003584493387</v>
      </c>
      <c r="K3642">
        <f t="shared" si="451"/>
        <v>0.98049580025111382</v>
      </c>
      <c r="L3642">
        <f>VLOOKUP(D3642,[1]SOI!$A$1:$C$142,3)</f>
        <v>-6.7</v>
      </c>
      <c r="M3642" s="2">
        <f t="shared" si="452"/>
        <v>-715.60227051140419</v>
      </c>
      <c r="N3642">
        <f t="shared" si="453"/>
        <v>3569.9852087143054</v>
      </c>
      <c r="O3642" t="s">
        <v>8</v>
      </c>
    </row>
    <row r="3643" spans="1:15" x14ac:dyDescent="0.35">
      <c r="A3643">
        <v>2009</v>
      </c>
      <c r="B3643">
        <v>12</v>
      </c>
      <c r="C3643">
        <v>20</v>
      </c>
      <c r="D3643" s="1">
        <f t="shared" si="448"/>
        <v>40167</v>
      </c>
      <c r="E3643">
        <v>0</v>
      </c>
      <c r="F3643">
        <f t="shared" si="454"/>
        <v>0.2</v>
      </c>
      <c r="G3643">
        <f t="shared" si="449"/>
        <v>0</v>
      </c>
      <c r="H3643">
        <f t="shared" si="455"/>
        <v>1</v>
      </c>
      <c r="I3643">
        <v>3642</v>
      </c>
      <c r="J3643">
        <f t="shared" si="450"/>
        <v>-0.17964488371031667</v>
      </c>
      <c r="K3643">
        <f t="shared" si="451"/>
        <v>0.98373152625942961</v>
      </c>
      <c r="L3643">
        <f>VLOOKUP(D3643,[1]SOI!$A$1:$C$142,3)</f>
        <v>-6.7</v>
      </c>
      <c r="M3643" s="2">
        <f t="shared" si="452"/>
        <v>-654.26666647297327</v>
      </c>
      <c r="N3643">
        <f t="shared" si="453"/>
        <v>3582.7502186368424</v>
      </c>
      <c r="O3643" t="s">
        <v>8</v>
      </c>
    </row>
    <row r="3644" spans="1:15" x14ac:dyDescent="0.35">
      <c r="A3644">
        <v>2009</v>
      </c>
      <c r="B3644">
        <v>12</v>
      </c>
      <c r="C3644">
        <v>21</v>
      </c>
      <c r="D3644" s="1">
        <f t="shared" si="448"/>
        <v>40168</v>
      </c>
      <c r="E3644">
        <v>0</v>
      </c>
      <c r="F3644">
        <f t="shared" si="454"/>
        <v>0</v>
      </c>
      <c r="G3644">
        <f t="shared" si="449"/>
        <v>0</v>
      </c>
      <c r="H3644">
        <f t="shared" si="455"/>
        <v>0</v>
      </c>
      <c r="I3644">
        <v>3643</v>
      </c>
      <c r="J3644">
        <f t="shared" si="450"/>
        <v>-0.16269657176439437</v>
      </c>
      <c r="K3644">
        <f t="shared" si="451"/>
        <v>0.98667615028240818</v>
      </c>
      <c r="L3644">
        <f>VLOOKUP(D3644,[1]SOI!$A$1:$C$142,3)</f>
        <v>-6.7</v>
      </c>
      <c r="M3644" s="2">
        <f t="shared" si="452"/>
        <v>-592.70361093768872</v>
      </c>
      <c r="N3644">
        <f t="shared" si="453"/>
        <v>3594.4612154788128</v>
      </c>
      <c r="O3644" t="s">
        <v>8</v>
      </c>
    </row>
    <row r="3645" spans="1:15" x14ac:dyDescent="0.35">
      <c r="A3645">
        <v>2009</v>
      </c>
      <c r="B3645">
        <v>12</v>
      </c>
      <c r="C3645">
        <v>22</v>
      </c>
      <c r="D3645" s="1">
        <f t="shared" si="448"/>
        <v>40169</v>
      </c>
      <c r="E3645">
        <v>0</v>
      </c>
      <c r="F3645">
        <f t="shared" si="454"/>
        <v>0</v>
      </c>
      <c r="G3645">
        <f t="shared" si="449"/>
        <v>0</v>
      </c>
      <c r="H3645">
        <f t="shared" si="455"/>
        <v>0</v>
      </c>
      <c r="I3645">
        <v>3644</v>
      </c>
      <c r="J3645">
        <f t="shared" si="450"/>
        <v>-0.14570011528535082</v>
      </c>
      <c r="K3645">
        <f t="shared" si="451"/>
        <v>0.98932880095842524</v>
      </c>
      <c r="L3645">
        <f>VLOOKUP(D3645,[1]SOI!$A$1:$C$142,3)</f>
        <v>-6.7</v>
      </c>
      <c r="M3645" s="2">
        <f t="shared" si="452"/>
        <v>-530.93122009981835</v>
      </c>
      <c r="N3645">
        <f t="shared" si="453"/>
        <v>3605.1141506925014</v>
      </c>
      <c r="O3645" t="s">
        <v>8</v>
      </c>
    </row>
    <row r="3646" spans="1:15" x14ac:dyDescent="0.35">
      <c r="A3646">
        <v>2009</v>
      </c>
      <c r="B3646">
        <v>12</v>
      </c>
      <c r="C3646">
        <v>23</v>
      </c>
      <c r="D3646" s="1">
        <f t="shared" si="448"/>
        <v>40170</v>
      </c>
      <c r="E3646">
        <v>0</v>
      </c>
      <c r="F3646">
        <f t="shared" si="454"/>
        <v>0</v>
      </c>
      <c r="G3646">
        <f t="shared" si="449"/>
        <v>0</v>
      </c>
      <c r="H3646">
        <f t="shared" si="455"/>
        <v>0</v>
      </c>
      <c r="I3646">
        <v>3645</v>
      </c>
      <c r="J3646">
        <f t="shared" si="450"/>
        <v>-0.12866054379810488</v>
      </c>
      <c r="K3646">
        <f t="shared" si="451"/>
        <v>0.99168869332546894</v>
      </c>
      <c r="L3646">
        <f>VLOOKUP(D3646,[1]SOI!$A$1:$C$142,3)</f>
        <v>-6.7</v>
      </c>
      <c r="M3646" s="2">
        <f t="shared" si="452"/>
        <v>-468.96768214409229</v>
      </c>
      <c r="N3646">
        <f t="shared" si="453"/>
        <v>3614.7052871713345</v>
      </c>
      <c r="O3646" t="s">
        <v>8</v>
      </c>
    </row>
    <row r="3647" spans="1:15" x14ac:dyDescent="0.35">
      <c r="A3647">
        <v>2009</v>
      </c>
      <c r="B3647">
        <v>12</v>
      </c>
      <c r="C3647">
        <v>24</v>
      </c>
      <c r="D3647" s="1">
        <f t="shared" si="448"/>
        <v>40171</v>
      </c>
      <c r="E3647">
        <v>0</v>
      </c>
      <c r="F3647">
        <f t="shared" si="454"/>
        <v>0</v>
      </c>
      <c r="G3647">
        <f t="shared" si="449"/>
        <v>0</v>
      </c>
      <c r="H3647">
        <f t="shared" si="455"/>
        <v>0</v>
      </c>
      <c r="I3647">
        <v>3646</v>
      </c>
      <c r="J3647">
        <f t="shared" si="450"/>
        <v>-0.11158289958599998</v>
      </c>
      <c r="K3647">
        <f t="shared" si="451"/>
        <v>0.99375512905342056</v>
      </c>
      <c r="L3647">
        <f>VLOOKUP(D3647,[1]SOI!$A$1:$C$142,3)</f>
        <v>-6.7</v>
      </c>
      <c r="M3647" s="2">
        <f t="shared" si="452"/>
        <v>-406.83125189055596</v>
      </c>
      <c r="N3647">
        <f t="shared" si="453"/>
        <v>3623.2312005287713</v>
      </c>
      <c r="O3647" t="s">
        <v>8</v>
      </c>
    </row>
    <row r="3648" spans="1:15" x14ac:dyDescent="0.35">
      <c r="A3648">
        <v>2009</v>
      </c>
      <c r="B3648">
        <v>12</v>
      </c>
      <c r="C3648">
        <v>25</v>
      </c>
      <c r="D3648" s="1">
        <f t="shared" si="448"/>
        <v>40172</v>
      </c>
      <c r="E3648">
        <v>15.8</v>
      </c>
      <c r="F3648">
        <f t="shared" si="454"/>
        <v>0</v>
      </c>
      <c r="G3648">
        <f t="shared" si="449"/>
        <v>1</v>
      </c>
      <c r="H3648">
        <f t="shared" si="455"/>
        <v>0</v>
      </c>
      <c r="I3648">
        <v>3647</v>
      </c>
      <c r="J3648">
        <f t="shared" si="450"/>
        <v>-9.447223619871134E-2</v>
      </c>
      <c r="K3648">
        <f t="shared" si="451"/>
        <v>0.99552749665070273</v>
      </c>
      <c r="L3648">
        <f>VLOOKUP(D3648,[1]SOI!$A$1:$C$142,3)</f>
        <v>-6.7</v>
      </c>
      <c r="M3648" s="2">
        <f t="shared" si="452"/>
        <v>-344.54024541670026</v>
      </c>
      <c r="N3648">
        <f t="shared" si="453"/>
        <v>3630.6887802851129</v>
      </c>
      <c r="O3648" t="s">
        <v>8</v>
      </c>
    </row>
    <row r="3649" spans="1:15" x14ac:dyDescent="0.35">
      <c r="A3649">
        <v>2009</v>
      </c>
      <c r="B3649">
        <v>12</v>
      </c>
      <c r="C3649">
        <v>26</v>
      </c>
      <c r="D3649" s="1">
        <f t="shared" si="448"/>
        <v>40173</v>
      </c>
      <c r="E3649">
        <v>0</v>
      </c>
      <c r="F3649">
        <f t="shared" si="454"/>
        <v>15.8</v>
      </c>
      <c r="G3649">
        <f t="shared" si="449"/>
        <v>0</v>
      </c>
      <c r="H3649">
        <f t="shared" si="455"/>
        <v>1</v>
      </c>
      <c r="I3649">
        <v>3648</v>
      </c>
      <c r="J3649">
        <f t="shared" si="450"/>
        <v>-7.7333616956826459E-2</v>
      </c>
      <c r="K3649">
        <f t="shared" si="451"/>
        <v>0.99700527164522801</v>
      </c>
      <c r="L3649">
        <f>VLOOKUP(D3649,[1]SOI!$A$1:$C$142,3)</f>
        <v>-6.7</v>
      </c>
      <c r="M3649" s="2">
        <f t="shared" si="452"/>
        <v>-282.1130346585029</v>
      </c>
      <c r="N3649">
        <f t="shared" si="453"/>
        <v>3637.0752309617919</v>
      </c>
      <c r="O3649" t="s">
        <v>8</v>
      </c>
    </row>
    <row r="3650" spans="1:15" x14ac:dyDescent="0.35">
      <c r="A3650">
        <v>2009</v>
      </c>
      <c r="B3650">
        <v>12</v>
      </c>
      <c r="C3650">
        <v>27</v>
      </c>
      <c r="D3650" s="1">
        <f t="shared" si="448"/>
        <v>40174</v>
      </c>
      <c r="E3650">
        <v>0</v>
      </c>
      <c r="F3650">
        <f t="shared" si="454"/>
        <v>0</v>
      </c>
      <c r="G3650">
        <f t="shared" si="449"/>
        <v>0</v>
      </c>
      <c r="H3650">
        <f t="shared" si="455"/>
        <v>0</v>
      </c>
      <c r="I3650">
        <v>3649</v>
      </c>
      <c r="J3650">
        <f t="shared" si="450"/>
        <v>-6.0172113453498724E-2</v>
      </c>
      <c r="K3650">
        <f t="shared" si="451"/>
        <v>0.99818801673960167</v>
      </c>
      <c r="L3650">
        <f>VLOOKUP(D3650,[1]SOI!$A$1:$C$142,3)</f>
        <v>-6.7</v>
      </c>
      <c r="M3650" s="2">
        <f t="shared" si="452"/>
        <v>-219.56804199181684</v>
      </c>
      <c r="N3650">
        <f t="shared" si="453"/>
        <v>3642.3880730828064</v>
      </c>
      <c r="O3650" t="s">
        <v>8</v>
      </c>
    </row>
    <row r="3651" spans="1:15" x14ac:dyDescent="0.35">
      <c r="A3651">
        <v>2009</v>
      </c>
      <c r="B3651">
        <v>12</v>
      </c>
      <c r="C3651">
        <v>28</v>
      </c>
      <c r="D3651" s="1">
        <f t="shared" ref="D3651:D3714" si="456">DATE(A3651,B3651,C3651)</f>
        <v>40175</v>
      </c>
      <c r="E3651">
        <v>0</v>
      </c>
      <c r="F3651">
        <f t="shared" si="454"/>
        <v>0</v>
      </c>
      <c r="G3651">
        <f t="shared" ref="G3651:G3714" si="457">IF(E3651=0,0,1)</f>
        <v>0</v>
      </c>
      <c r="H3651">
        <f t="shared" si="455"/>
        <v>0</v>
      </c>
      <c r="I3651">
        <v>3650</v>
      </c>
      <c r="J3651">
        <f t="shared" ref="J3651:J3714" si="458">SIN(2*PI()*I3651/365.25)</f>
        <v>-4.2992804053723868E-2</v>
      </c>
      <c r="K3651">
        <f t="shared" ref="K3651:K3714" si="459">COS(2*PI()*I3651/365.25)</f>
        <v>0.99907538194052115</v>
      </c>
      <c r="L3651">
        <f>VLOOKUP(D3651,[1]SOI!$A$1:$C$142,3)</f>
        <v>-6.7</v>
      </c>
      <c r="M3651" s="2">
        <f t="shared" ref="M3651:M3714" si="460">I3651*J3651</f>
        <v>-156.92373479609211</v>
      </c>
      <c r="N3651">
        <f t="shared" ref="N3651:N3714" si="461">I3651*K3651</f>
        <v>3646.6251440829024</v>
      </c>
      <c r="O3651" t="s">
        <v>8</v>
      </c>
    </row>
    <row r="3652" spans="1:15" x14ac:dyDescent="0.35">
      <c r="A3652">
        <v>2009</v>
      </c>
      <c r="B3652">
        <v>12</v>
      </c>
      <c r="C3652">
        <v>29</v>
      </c>
      <c r="D3652" s="1">
        <f t="shared" si="456"/>
        <v>40176</v>
      </c>
      <c r="E3652">
        <v>0</v>
      </c>
      <c r="F3652">
        <f t="shared" ref="F3652:F3715" si="462">E3651</f>
        <v>0</v>
      </c>
      <c r="G3652">
        <f t="shared" si="457"/>
        <v>0</v>
      </c>
      <c r="H3652">
        <f t="shared" ref="H3652:H3715" si="463">G3651</f>
        <v>0</v>
      </c>
      <c r="I3652">
        <v>3651</v>
      </c>
      <c r="J3652">
        <f t="shared" si="458"/>
        <v>-2.5800772391541812E-2</v>
      </c>
      <c r="K3652">
        <f t="shared" si="459"/>
        <v>0.99966710466234698</v>
      </c>
      <c r="L3652">
        <f>VLOOKUP(D3652,[1]SOI!$A$1:$C$142,3)</f>
        <v>-6.7</v>
      </c>
      <c r="M3652" s="2">
        <f t="shared" si="460"/>
        <v>-94.19862000151916</v>
      </c>
      <c r="N3652">
        <f t="shared" si="461"/>
        <v>3649.7845991222289</v>
      </c>
      <c r="O3652" t="s">
        <v>8</v>
      </c>
    </row>
    <row r="3653" spans="1:15" x14ac:dyDescent="0.35">
      <c r="A3653">
        <v>2009</v>
      </c>
      <c r="B3653">
        <v>12</v>
      </c>
      <c r="C3653">
        <v>30</v>
      </c>
      <c r="D3653" s="1">
        <f t="shared" si="456"/>
        <v>40177</v>
      </c>
      <c r="E3653">
        <v>0</v>
      </c>
      <c r="F3653">
        <f t="shared" si="462"/>
        <v>0</v>
      </c>
      <c r="G3653">
        <f t="shared" si="457"/>
        <v>0</v>
      </c>
      <c r="H3653">
        <f t="shared" si="463"/>
        <v>0</v>
      </c>
      <c r="I3653">
        <v>3652</v>
      </c>
      <c r="J3653">
        <f t="shared" si="458"/>
        <v>-8.6011058657145881E-3</v>
      </c>
      <c r="K3653">
        <f t="shared" si="459"/>
        <v>0.99996300980480612</v>
      </c>
      <c r="L3653">
        <f>VLOOKUP(D3653,[1]SOI!$A$1:$C$142,3)</f>
        <v>-6.7</v>
      </c>
      <c r="M3653" s="2">
        <f t="shared" si="460"/>
        <v>-31.411238621589675</v>
      </c>
      <c r="N3653">
        <f t="shared" si="461"/>
        <v>3651.8649118071521</v>
      </c>
      <c r="O3653" t="s">
        <v>8</v>
      </c>
    </row>
    <row r="3654" spans="1:15" x14ac:dyDescent="0.35">
      <c r="A3654">
        <v>2009</v>
      </c>
      <c r="B3654">
        <v>12</v>
      </c>
      <c r="C3654">
        <v>31</v>
      </c>
      <c r="D3654" s="1">
        <f t="shared" si="456"/>
        <v>40178</v>
      </c>
      <c r="E3654">
        <v>0</v>
      </c>
      <c r="F3654">
        <f t="shared" si="462"/>
        <v>0</v>
      </c>
      <c r="G3654">
        <f t="shared" si="457"/>
        <v>0</v>
      </c>
      <c r="H3654">
        <f t="shared" si="463"/>
        <v>0</v>
      </c>
      <c r="I3654">
        <v>3653</v>
      </c>
      <c r="J3654">
        <f t="shared" si="458"/>
        <v>8.6011058657096875E-3</v>
      </c>
      <c r="K3654">
        <f t="shared" si="459"/>
        <v>0.99996300980480612</v>
      </c>
      <c r="L3654">
        <f>VLOOKUP(D3654,[1]SOI!$A$1:$C$142,3)</f>
        <v>-6.7</v>
      </c>
      <c r="M3654" s="2">
        <f t="shared" si="460"/>
        <v>31.419839727437488</v>
      </c>
      <c r="N3654">
        <f t="shared" si="461"/>
        <v>3652.8648748169567</v>
      </c>
      <c r="O3654" t="s">
        <v>8</v>
      </c>
    </row>
    <row r="3655" spans="1:15" x14ac:dyDescent="0.35">
      <c r="A3655">
        <v>2010</v>
      </c>
      <c r="B3655">
        <v>1</v>
      </c>
      <c r="C3655">
        <v>1</v>
      </c>
      <c r="D3655" s="1">
        <f t="shared" si="456"/>
        <v>40179</v>
      </c>
      <c r="E3655">
        <v>10.6</v>
      </c>
      <c r="F3655">
        <f t="shared" si="462"/>
        <v>0</v>
      </c>
      <c r="G3655">
        <f t="shared" si="457"/>
        <v>1</v>
      </c>
      <c r="H3655">
        <f t="shared" si="463"/>
        <v>0</v>
      </c>
      <c r="I3655">
        <v>3654</v>
      </c>
      <c r="J3655">
        <f t="shared" si="458"/>
        <v>2.5800772391536914E-2</v>
      </c>
      <c r="K3655">
        <f t="shared" si="459"/>
        <v>0.99966710466234709</v>
      </c>
      <c r="L3655">
        <f>VLOOKUP(D3655,[1]SOI!$A$1:$C$142,3)</f>
        <v>-7</v>
      </c>
      <c r="M3655" s="2">
        <f t="shared" si="460"/>
        <v>94.276022318675885</v>
      </c>
      <c r="N3655">
        <f t="shared" si="461"/>
        <v>3652.7836004362161</v>
      </c>
      <c r="O3655" t="s">
        <v>15</v>
      </c>
    </row>
    <row r="3656" spans="1:15" x14ac:dyDescent="0.35">
      <c r="A3656">
        <v>2010</v>
      </c>
      <c r="B3656">
        <v>1</v>
      </c>
      <c r="C3656">
        <v>2</v>
      </c>
      <c r="D3656" s="1">
        <f t="shared" si="456"/>
        <v>40180</v>
      </c>
      <c r="E3656">
        <v>5</v>
      </c>
      <c r="F3656">
        <f t="shared" si="462"/>
        <v>10.6</v>
      </c>
      <c r="G3656">
        <f t="shared" si="457"/>
        <v>1</v>
      </c>
      <c r="H3656">
        <f t="shared" si="463"/>
        <v>1</v>
      </c>
      <c r="I3656">
        <v>3655</v>
      </c>
      <c r="J3656">
        <f t="shared" si="458"/>
        <v>4.2992804053718976E-2</v>
      </c>
      <c r="K3656">
        <f t="shared" si="459"/>
        <v>0.99907538194052126</v>
      </c>
      <c r="L3656">
        <f>VLOOKUP(D3656,[1]SOI!$A$1:$C$142,3)</f>
        <v>-7</v>
      </c>
      <c r="M3656" s="2">
        <f t="shared" si="460"/>
        <v>157.13869881634287</v>
      </c>
      <c r="N3656">
        <f t="shared" si="461"/>
        <v>3651.6205209926052</v>
      </c>
      <c r="O3656" t="s">
        <v>15</v>
      </c>
    </row>
    <row r="3657" spans="1:15" x14ac:dyDescent="0.35">
      <c r="A3657">
        <v>2010</v>
      </c>
      <c r="B3657">
        <v>1</v>
      </c>
      <c r="C3657">
        <v>3</v>
      </c>
      <c r="D3657" s="1">
        <f t="shared" si="456"/>
        <v>40181</v>
      </c>
      <c r="E3657">
        <v>0</v>
      </c>
      <c r="F3657">
        <f t="shared" si="462"/>
        <v>5</v>
      </c>
      <c r="G3657">
        <f t="shared" si="457"/>
        <v>0</v>
      </c>
      <c r="H3657">
        <f t="shared" si="463"/>
        <v>1</v>
      </c>
      <c r="I3657">
        <v>3656</v>
      </c>
      <c r="J3657">
        <f t="shared" si="458"/>
        <v>6.0172113453493832E-2</v>
      </c>
      <c r="K3657">
        <f t="shared" si="459"/>
        <v>0.998188016739602</v>
      </c>
      <c r="L3657">
        <f>VLOOKUP(D3657,[1]SOI!$A$1:$C$142,3)</f>
        <v>-7</v>
      </c>
      <c r="M3657" s="2">
        <f t="shared" si="460"/>
        <v>219.98924678597345</v>
      </c>
      <c r="N3657">
        <f t="shared" si="461"/>
        <v>3649.375389199985</v>
      </c>
      <c r="O3657" t="s">
        <v>15</v>
      </c>
    </row>
    <row r="3658" spans="1:15" x14ac:dyDescent="0.35">
      <c r="A3658">
        <v>2010</v>
      </c>
      <c r="B3658">
        <v>1</v>
      </c>
      <c r="C3658">
        <v>4</v>
      </c>
      <c r="D3658" s="1">
        <f t="shared" si="456"/>
        <v>40182</v>
      </c>
      <c r="E3658">
        <v>0</v>
      </c>
      <c r="F3658">
        <f t="shared" si="462"/>
        <v>0</v>
      </c>
      <c r="G3658">
        <f t="shared" si="457"/>
        <v>0</v>
      </c>
      <c r="H3658">
        <f t="shared" si="463"/>
        <v>0</v>
      </c>
      <c r="I3658">
        <v>3657</v>
      </c>
      <c r="J3658">
        <f t="shared" si="458"/>
        <v>7.7333616956821574E-2</v>
      </c>
      <c r="K3658">
        <f t="shared" si="459"/>
        <v>0.99700527164522834</v>
      </c>
      <c r="L3658">
        <f>VLOOKUP(D3658,[1]SOI!$A$1:$C$142,3)</f>
        <v>-7</v>
      </c>
      <c r="M3658" s="2">
        <f t="shared" si="460"/>
        <v>282.80903721109649</v>
      </c>
      <c r="N3658">
        <f t="shared" si="461"/>
        <v>3646.0482784065998</v>
      </c>
      <c r="O3658" t="s">
        <v>15</v>
      </c>
    </row>
    <row r="3659" spans="1:15" x14ac:dyDescent="0.35">
      <c r="A3659">
        <v>2010</v>
      </c>
      <c r="B3659">
        <v>1</v>
      </c>
      <c r="C3659">
        <v>5</v>
      </c>
      <c r="D3659" s="1">
        <f t="shared" si="456"/>
        <v>40183</v>
      </c>
      <c r="E3659">
        <v>0</v>
      </c>
      <c r="F3659">
        <f t="shared" si="462"/>
        <v>0</v>
      </c>
      <c r="G3659">
        <f t="shared" si="457"/>
        <v>0</v>
      </c>
      <c r="H3659">
        <f t="shared" si="463"/>
        <v>0</v>
      </c>
      <c r="I3659">
        <v>3658</v>
      </c>
      <c r="J3659">
        <f t="shared" si="458"/>
        <v>9.4472236198713547E-2</v>
      </c>
      <c r="K3659">
        <f t="shared" si="459"/>
        <v>0.9955274966507025</v>
      </c>
      <c r="L3659">
        <f>VLOOKUP(D3659,[1]SOI!$A$1:$C$142,3)</f>
        <v>-7</v>
      </c>
      <c r="M3659" s="2">
        <f t="shared" si="460"/>
        <v>345.57944001489415</v>
      </c>
      <c r="N3659">
        <f t="shared" si="461"/>
        <v>3641.6395827482697</v>
      </c>
      <c r="O3659" t="s">
        <v>15</v>
      </c>
    </row>
    <row r="3660" spans="1:15" x14ac:dyDescent="0.35">
      <c r="A3660">
        <v>2010</v>
      </c>
      <c r="B3660">
        <v>1</v>
      </c>
      <c r="C3660">
        <v>6</v>
      </c>
      <c r="D3660" s="1">
        <f t="shared" si="456"/>
        <v>40184</v>
      </c>
      <c r="E3660">
        <v>0</v>
      </c>
      <c r="F3660">
        <f t="shared" si="462"/>
        <v>0</v>
      </c>
      <c r="G3660">
        <f t="shared" si="457"/>
        <v>0</v>
      </c>
      <c r="H3660">
        <f t="shared" si="463"/>
        <v>0</v>
      </c>
      <c r="I3660">
        <v>3659</v>
      </c>
      <c r="J3660">
        <f t="shared" si="458"/>
        <v>0.11158289958599511</v>
      </c>
      <c r="K3660">
        <f t="shared" si="459"/>
        <v>0.99375512905342112</v>
      </c>
      <c r="L3660">
        <f>VLOOKUP(D3660,[1]SOI!$A$1:$C$142,3)</f>
        <v>-7</v>
      </c>
      <c r="M3660" s="2">
        <f t="shared" si="460"/>
        <v>408.28182958515612</v>
      </c>
      <c r="N3660">
        <f t="shared" si="461"/>
        <v>3636.150017206468</v>
      </c>
      <c r="O3660" t="s">
        <v>15</v>
      </c>
    </row>
    <row r="3661" spans="1:15" x14ac:dyDescent="0.35">
      <c r="A3661">
        <v>2010</v>
      </c>
      <c r="B3661">
        <v>1</v>
      </c>
      <c r="C3661">
        <v>7</v>
      </c>
      <c r="D3661" s="1">
        <f t="shared" si="456"/>
        <v>40185</v>
      </c>
      <c r="E3661">
        <v>0</v>
      </c>
      <c r="F3661">
        <f t="shared" si="462"/>
        <v>0</v>
      </c>
      <c r="G3661">
        <f t="shared" si="457"/>
        <v>0</v>
      </c>
      <c r="H3661">
        <f t="shared" si="463"/>
        <v>0</v>
      </c>
      <c r="I3661">
        <v>3660</v>
      </c>
      <c r="J3661">
        <f t="shared" si="458"/>
        <v>0.12866054379810002</v>
      </c>
      <c r="K3661">
        <f t="shared" si="459"/>
        <v>0.99168869332546949</v>
      </c>
      <c r="L3661">
        <f>VLOOKUP(D3661,[1]SOI!$A$1:$C$142,3)</f>
        <v>-7</v>
      </c>
      <c r="M3661" s="2">
        <f t="shared" si="460"/>
        <v>470.89759030104608</v>
      </c>
      <c r="N3661">
        <f t="shared" si="461"/>
        <v>3629.5806175712182</v>
      </c>
      <c r="O3661" t="s">
        <v>15</v>
      </c>
    </row>
    <row r="3662" spans="1:15" x14ac:dyDescent="0.35">
      <c r="A3662">
        <v>2010</v>
      </c>
      <c r="B3662">
        <v>1</v>
      </c>
      <c r="C3662">
        <v>8</v>
      </c>
      <c r="D3662" s="1">
        <f t="shared" si="456"/>
        <v>40186</v>
      </c>
      <c r="E3662">
        <v>0</v>
      </c>
      <c r="F3662">
        <f t="shared" si="462"/>
        <v>0</v>
      </c>
      <c r="G3662">
        <f t="shared" si="457"/>
        <v>0</v>
      </c>
      <c r="H3662">
        <f t="shared" si="463"/>
        <v>0</v>
      </c>
      <c r="I3662">
        <v>3661</v>
      </c>
      <c r="J3662">
        <f t="shared" si="458"/>
        <v>0.14570011528534596</v>
      </c>
      <c r="K3662">
        <f t="shared" si="459"/>
        <v>0.98932880095842601</v>
      </c>
      <c r="L3662">
        <f>VLOOKUP(D3662,[1]SOI!$A$1:$C$142,3)</f>
        <v>-7</v>
      </c>
      <c r="M3662" s="2">
        <f t="shared" si="460"/>
        <v>533.40812205965153</v>
      </c>
      <c r="N3662">
        <f t="shared" si="461"/>
        <v>3621.9327403087977</v>
      </c>
      <c r="O3662" t="s">
        <v>15</v>
      </c>
    </row>
    <row r="3663" spans="1:15" x14ac:dyDescent="0.35">
      <c r="A3663">
        <v>2010</v>
      </c>
      <c r="B3663">
        <v>1</v>
      </c>
      <c r="C3663">
        <v>9</v>
      </c>
      <c r="D3663" s="1">
        <f t="shared" si="456"/>
        <v>40187</v>
      </c>
      <c r="E3663">
        <v>0</v>
      </c>
      <c r="F3663">
        <f t="shared" si="462"/>
        <v>0</v>
      </c>
      <c r="G3663">
        <f t="shared" si="457"/>
        <v>0</v>
      </c>
      <c r="H3663">
        <f t="shared" si="463"/>
        <v>0</v>
      </c>
      <c r="I3663">
        <v>3662</v>
      </c>
      <c r="J3663">
        <f t="shared" si="458"/>
        <v>0.16269657176438954</v>
      </c>
      <c r="K3663">
        <f t="shared" si="459"/>
        <v>0.98667615028240896</v>
      </c>
      <c r="L3663">
        <f>VLOOKUP(D3663,[1]SOI!$A$1:$C$142,3)</f>
        <v>-7</v>
      </c>
      <c r="M3663" s="2">
        <f t="shared" si="460"/>
        <v>595.79484580119447</v>
      </c>
      <c r="N3663">
        <f t="shared" si="461"/>
        <v>3613.2080623341817</v>
      </c>
      <c r="O3663" t="s">
        <v>15</v>
      </c>
    </row>
    <row r="3664" spans="1:15" x14ac:dyDescent="0.35">
      <c r="A3664">
        <v>2010</v>
      </c>
      <c r="B3664">
        <v>1</v>
      </c>
      <c r="C3664">
        <v>10</v>
      </c>
      <c r="D3664" s="1">
        <f t="shared" si="456"/>
        <v>40188</v>
      </c>
      <c r="E3664">
        <v>0</v>
      </c>
      <c r="F3664">
        <f t="shared" si="462"/>
        <v>0</v>
      </c>
      <c r="G3664">
        <f t="shared" si="457"/>
        <v>0</v>
      </c>
      <c r="H3664">
        <f t="shared" si="463"/>
        <v>0</v>
      </c>
      <c r="I3664">
        <v>3663</v>
      </c>
      <c r="J3664">
        <f t="shared" si="458"/>
        <v>0.17964488371031184</v>
      </c>
      <c r="K3664">
        <f t="shared" si="459"/>
        <v>0.9837315262594305</v>
      </c>
      <c r="L3664">
        <f>VLOOKUP(D3664,[1]SOI!$A$1:$C$142,3)</f>
        <v>-7</v>
      </c>
      <c r="M3664" s="2">
        <f t="shared" si="460"/>
        <v>658.03920903087226</v>
      </c>
      <c r="N3664">
        <f t="shared" si="461"/>
        <v>3603.408580688294</v>
      </c>
      <c r="O3664" t="s">
        <v>15</v>
      </c>
    </row>
    <row r="3665" spans="1:15" x14ac:dyDescent="0.35">
      <c r="A3665">
        <v>2010</v>
      </c>
      <c r="B3665">
        <v>1</v>
      </c>
      <c r="C3665">
        <v>11</v>
      </c>
      <c r="D3665" s="1">
        <f t="shared" si="456"/>
        <v>40189</v>
      </c>
      <c r="E3665">
        <v>0</v>
      </c>
      <c r="F3665">
        <f t="shared" si="462"/>
        <v>0</v>
      </c>
      <c r="G3665">
        <f t="shared" si="457"/>
        <v>0</v>
      </c>
      <c r="H3665">
        <f t="shared" si="463"/>
        <v>0</v>
      </c>
      <c r="I3665">
        <v>3664</v>
      </c>
      <c r="J3665">
        <f t="shared" si="458"/>
        <v>0.19654003584492907</v>
      </c>
      <c r="K3665">
        <f t="shared" si="459"/>
        <v>0.98049580025111482</v>
      </c>
      <c r="L3665">
        <f>VLOOKUP(D3665,[1]SOI!$A$1:$C$142,3)</f>
        <v>-7</v>
      </c>
      <c r="M3665" s="2">
        <f t="shared" si="460"/>
        <v>720.12269133582015</v>
      </c>
      <c r="N3665">
        <f t="shared" si="461"/>
        <v>3592.5366121200846</v>
      </c>
      <c r="O3665" t="s">
        <v>15</v>
      </c>
    </row>
    <row r="3666" spans="1:15" x14ac:dyDescent="0.35">
      <c r="A3666">
        <v>2010</v>
      </c>
      <c r="B3666">
        <v>1</v>
      </c>
      <c r="C3666">
        <v>12</v>
      </c>
      <c r="D3666" s="1">
        <f t="shared" si="456"/>
        <v>40190</v>
      </c>
      <c r="E3666">
        <v>0</v>
      </c>
      <c r="F3666">
        <f t="shared" si="462"/>
        <v>0</v>
      </c>
      <c r="G3666">
        <f t="shared" si="457"/>
        <v>0</v>
      </c>
      <c r="H3666">
        <f t="shared" si="463"/>
        <v>0</v>
      </c>
      <c r="I3666">
        <v>3665</v>
      </c>
      <c r="J3666">
        <f t="shared" si="458"/>
        <v>0.21337702862092162</v>
      </c>
      <c r="K3666">
        <f t="shared" si="459"/>
        <v>0.97696992976084296</v>
      </c>
      <c r="L3666">
        <f>VLOOKUP(D3666,[1]SOI!$A$1:$C$142,3)</f>
        <v>-7</v>
      </c>
      <c r="M3666" s="2">
        <f t="shared" si="460"/>
        <v>782.02680989567773</v>
      </c>
      <c r="N3666">
        <f t="shared" si="461"/>
        <v>3580.5947925734895</v>
      </c>
      <c r="O3666" t="s">
        <v>15</v>
      </c>
    </row>
    <row r="3667" spans="1:15" x14ac:dyDescent="0.35">
      <c r="A3667">
        <v>2010</v>
      </c>
      <c r="B3667">
        <v>1</v>
      </c>
      <c r="C3667">
        <v>13</v>
      </c>
      <c r="D3667" s="1">
        <f t="shared" si="456"/>
        <v>40191</v>
      </c>
      <c r="E3667">
        <v>0.2</v>
      </c>
      <c r="F3667">
        <f t="shared" si="462"/>
        <v>0</v>
      </c>
      <c r="G3667">
        <f t="shared" si="457"/>
        <v>1</v>
      </c>
      <c r="H3667">
        <f t="shared" si="463"/>
        <v>0</v>
      </c>
      <c r="I3667">
        <v>3666</v>
      </c>
      <c r="J3667">
        <f t="shared" si="458"/>
        <v>0.23015087970123896</v>
      </c>
      <c r="K3667">
        <f t="shared" si="459"/>
        <v>0.97315495815042008</v>
      </c>
      <c r="L3667">
        <f>VLOOKUP(D3667,[1]SOI!$A$1:$C$142,3)</f>
        <v>-7</v>
      </c>
      <c r="M3667" s="2">
        <f t="shared" si="460"/>
        <v>843.73312498474206</v>
      </c>
      <c r="N3667">
        <f t="shared" si="461"/>
        <v>3567.58607657944</v>
      </c>
      <c r="O3667" t="s">
        <v>15</v>
      </c>
    </row>
    <row r="3668" spans="1:15" x14ac:dyDescent="0.35">
      <c r="A3668">
        <v>2010</v>
      </c>
      <c r="B3668">
        <v>1</v>
      </c>
      <c r="C3668">
        <v>14</v>
      </c>
      <c r="D3668" s="1">
        <f t="shared" si="456"/>
        <v>40192</v>
      </c>
      <c r="E3668">
        <v>0</v>
      </c>
      <c r="F3668">
        <f t="shared" si="462"/>
        <v>0.2</v>
      </c>
      <c r="G3668">
        <f t="shared" si="457"/>
        <v>0</v>
      </c>
      <c r="H3668">
        <f t="shared" si="463"/>
        <v>1</v>
      </c>
      <c r="I3668">
        <v>3667</v>
      </c>
      <c r="J3668">
        <f t="shared" si="458"/>
        <v>0.24685662543348108</v>
      </c>
      <c r="K3668">
        <f t="shared" si="459"/>
        <v>0.96905201433132271</v>
      </c>
      <c r="L3668">
        <f>VLOOKUP(D3668,[1]SOI!$A$1:$C$142,3)</f>
        <v>-7</v>
      </c>
      <c r="M3668" s="2">
        <f t="shared" si="460"/>
        <v>905.22324546457514</v>
      </c>
      <c r="N3668">
        <f t="shared" si="461"/>
        <v>3553.5137365529604</v>
      </c>
      <c r="O3668" t="s">
        <v>15</v>
      </c>
    </row>
    <row r="3669" spans="1:15" x14ac:dyDescent="0.35">
      <c r="A3669">
        <v>2010</v>
      </c>
      <c r="B3669">
        <v>1</v>
      </c>
      <c r="C3669">
        <v>15</v>
      </c>
      <c r="D3669" s="1">
        <f t="shared" si="456"/>
        <v>40193</v>
      </c>
      <c r="E3669">
        <v>0</v>
      </c>
      <c r="F3669">
        <f t="shared" si="462"/>
        <v>0</v>
      </c>
      <c r="G3669">
        <f t="shared" si="457"/>
        <v>0</v>
      </c>
      <c r="H3669">
        <f t="shared" si="463"/>
        <v>0</v>
      </c>
      <c r="I3669">
        <v>3668</v>
      </c>
      <c r="J3669">
        <f t="shared" si="458"/>
        <v>0.26348932231871619</v>
      </c>
      <c r="K3669">
        <f t="shared" si="459"/>
        <v>0.96466231243063683</v>
      </c>
      <c r="L3669">
        <f>VLOOKUP(D3669,[1]SOI!$A$1:$C$142,3)</f>
        <v>-7</v>
      </c>
      <c r="M3669" s="2">
        <f t="shared" si="460"/>
        <v>966.47883426505098</v>
      </c>
      <c r="N3669">
        <f t="shared" si="461"/>
        <v>3538.3813619955758</v>
      </c>
      <c r="O3669" t="s">
        <v>15</v>
      </c>
    </row>
    <row r="3670" spans="1:15" x14ac:dyDescent="0.35">
      <c r="A3670">
        <v>2010</v>
      </c>
      <c r="B3670">
        <v>1</v>
      </c>
      <c r="C3670">
        <v>16</v>
      </c>
      <c r="D3670" s="1">
        <f t="shared" si="456"/>
        <v>40194</v>
      </c>
      <c r="E3670">
        <v>0</v>
      </c>
      <c r="F3670">
        <f t="shared" si="462"/>
        <v>0</v>
      </c>
      <c r="G3670">
        <f t="shared" si="457"/>
        <v>0</v>
      </c>
      <c r="H3670">
        <f t="shared" si="463"/>
        <v>0</v>
      </c>
      <c r="I3670">
        <v>3669</v>
      </c>
      <c r="J3670">
        <f t="shared" si="458"/>
        <v>0.28004404847434167</v>
      </c>
      <c r="K3670">
        <f t="shared" si="459"/>
        <v>0.9599871514317786</v>
      </c>
      <c r="L3670">
        <f>VLOOKUP(D3670,[1]SOI!$A$1:$C$142,3)</f>
        <v>-7</v>
      </c>
      <c r="M3670" s="2">
        <f t="shared" si="460"/>
        <v>1027.4816138523595</v>
      </c>
      <c r="N3670">
        <f t="shared" si="461"/>
        <v>3522.1928586031959</v>
      </c>
      <c r="O3670" t="s">
        <v>15</v>
      </c>
    </row>
    <row r="3671" spans="1:15" x14ac:dyDescent="0.35">
      <c r="A3671">
        <v>2010</v>
      </c>
      <c r="B3671">
        <v>1</v>
      </c>
      <c r="C3671">
        <v>17</v>
      </c>
      <c r="D3671" s="1">
        <f t="shared" si="456"/>
        <v>40195</v>
      </c>
      <c r="E3671">
        <v>0</v>
      </c>
      <c r="F3671">
        <f t="shared" si="462"/>
        <v>0</v>
      </c>
      <c r="G3671">
        <f t="shared" si="457"/>
        <v>0</v>
      </c>
      <c r="H3671">
        <f t="shared" si="463"/>
        <v>0</v>
      </c>
      <c r="I3671">
        <v>3670</v>
      </c>
      <c r="J3671">
        <f t="shared" si="458"/>
        <v>0.29651590509054127</v>
      </c>
      <c r="K3671">
        <f t="shared" si="459"/>
        <v>0.95502791479010551</v>
      </c>
      <c r="L3671">
        <f>VLOOKUP(D3671,[1]SOI!$A$1:$C$142,3)</f>
        <v>-7</v>
      </c>
      <c r="M3671" s="2">
        <f t="shared" si="460"/>
        <v>1088.2133716822864</v>
      </c>
      <c r="N3671">
        <f t="shared" si="461"/>
        <v>3504.952447279687</v>
      </c>
      <c r="O3671" t="s">
        <v>15</v>
      </c>
    </row>
    <row r="3672" spans="1:15" x14ac:dyDescent="0.35">
      <c r="A3672">
        <v>2010</v>
      </c>
      <c r="B3672">
        <v>1</v>
      </c>
      <c r="C3672">
        <v>18</v>
      </c>
      <c r="D3672" s="1">
        <f t="shared" si="456"/>
        <v>40196</v>
      </c>
      <c r="E3672">
        <v>2.6</v>
      </c>
      <c r="F3672">
        <f t="shared" si="462"/>
        <v>0</v>
      </c>
      <c r="G3672">
        <f t="shared" si="457"/>
        <v>1</v>
      </c>
      <c r="H3672">
        <f t="shared" si="463"/>
        <v>0</v>
      </c>
      <c r="I3672">
        <v>3671</v>
      </c>
      <c r="J3672">
        <f t="shared" si="458"/>
        <v>0.3129000178799492</v>
      </c>
      <c r="K3672">
        <f t="shared" si="459"/>
        <v>0.94978607002352244</v>
      </c>
      <c r="L3672">
        <f>VLOOKUP(D3672,[1]SOI!$A$1:$C$142,3)</f>
        <v>-7</v>
      </c>
      <c r="M3672" s="2">
        <f t="shared" si="460"/>
        <v>1148.6559656372935</v>
      </c>
      <c r="N3672">
        <f t="shared" si="461"/>
        <v>3486.6646630563509</v>
      </c>
      <c r="O3672" t="s">
        <v>15</v>
      </c>
    </row>
    <row r="3673" spans="1:15" x14ac:dyDescent="0.35">
      <c r="A3673">
        <v>2010</v>
      </c>
      <c r="B3673">
        <v>1</v>
      </c>
      <c r="C3673">
        <v>19</v>
      </c>
      <c r="D3673" s="1">
        <f t="shared" si="456"/>
        <v>40197</v>
      </c>
      <c r="E3673">
        <v>7.2</v>
      </c>
      <c r="F3673">
        <f t="shared" si="462"/>
        <v>2.6</v>
      </c>
      <c r="G3673">
        <f t="shared" si="457"/>
        <v>1</v>
      </c>
      <c r="H3673">
        <f t="shared" si="463"/>
        <v>1</v>
      </c>
      <c r="I3673">
        <v>3672</v>
      </c>
      <c r="J3673">
        <f t="shared" si="458"/>
        <v>0.32919153851998922</v>
      </c>
      <c r="K3673">
        <f t="shared" si="459"/>
        <v>0.94426316827823087</v>
      </c>
      <c r="L3673">
        <f>VLOOKUP(D3673,[1]SOI!$A$1:$C$142,3)</f>
        <v>-7</v>
      </c>
      <c r="M3673" s="2">
        <f t="shared" si="460"/>
        <v>1208.7913294454004</v>
      </c>
      <c r="N3673">
        <f t="shared" si="461"/>
        <v>3467.334353917664</v>
      </c>
      <c r="O3673" t="s">
        <v>15</v>
      </c>
    </row>
    <row r="3674" spans="1:15" x14ac:dyDescent="0.35">
      <c r="A3674">
        <v>2010</v>
      </c>
      <c r="B3674">
        <v>1</v>
      </c>
      <c r="C3674">
        <v>20</v>
      </c>
      <c r="D3674" s="1">
        <f t="shared" si="456"/>
        <v>40198</v>
      </c>
      <c r="E3674">
        <v>0</v>
      </c>
      <c r="F3674">
        <f t="shared" si="462"/>
        <v>7.2</v>
      </c>
      <c r="G3674">
        <f t="shared" si="457"/>
        <v>0</v>
      </c>
      <c r="H3674">
        <f t="shared" si="463"/>
        <v>1</v>
      </c>
      <c r="I3674">
        <v>3673</v>
      </c>
      <c r="J3674">
        <f t="shared" si="458"/>
        <v>0.34538564608759859</v>
      </c>
      <c r="K3674">
        <f t="shared" si="459"/>
        <v>0.93846084386971207</v>
      </c>
      <c r="L3674">
        <f>VLOOKUP(D3674,[1]SOI!$A$1:$C$142,3)</f>
        <v>-7</v>
      </c>
      <c r="M3674" s="2">
        <f t="shared" si="460"/>
        <v>1268.6014780797495</v>
      </c>
      <c r="N3674">
        <f t="shared" si="461"/>
        <v>3446.9666795334524</v>
      </c>
      <c r="O3674" t="s">
        <v>15</v>
      </c>
    </row>
    <row r="3675" spans="1:15" x14ac:dyDescent="0.35">
      <c r="A3675">
        <v>2010</v>
      </c>
      <c r="B3675">
        <v>1</v>
      </c>
      <c r="C3675">
        <v>21</v>
      </c>
      <c r="D3675" s="1">
        <f t="shared" si="456"/>
        <v>40199</v>
      </c>
      <c r="E3675">
        <v>0</v>
      </c>
      <c r="F3675">
        <f t="shared" si="462"/>
        <v>0</v>
      </c>
      <c r="G3675">
        <f t="shared" si="457"/>
        <v>0</v>
      </c>
      <c r="H3675">
        <f t="shared" si="463"/>
        <v>0</v>
      </c>
      <c r="I3675">
        <v>3674</v>
      </c>
      <c r="J3675">
        <f t="shared" si="458"/>
        <v>0.36147754848580993</v>
      </c>
      <c r="K3675">
        <f t="shared" si="459"/>
        <v>0.93238081379910909</v>
      </c>
      <c r="L3675">
        <f>VLOOKUP(D3675,[1]SOI!$A$1:$C$142,3)</f>
        <v>-7</v>
      </c>
      <c r="M3675" s="2">
        <f t="shared" si="460"/>
        <v>1328.0685131368657</v>
      </c>
      <c r="N3675">
        <f t="shared" si="461"/>
        <v>3425.5671098979269</v>
      </c>
      <c r="O3675" t="s">
        <v>15</v>
      </c>
    </row>
    <row r="3676" spans="1:15" x14ac:dyDescent="0.35">
      <c r="A3676">
        <v>2010</v>
      </c>
      <c r="B3676">
        <v>1</v>
      </c>
      <c r="C3676">
        <v>22</v>
      </c>
      <c r="D3676" s="1">
        <f t="shared" si="456"/>
        <v>40200</v>
      </c>
      <c r="E3676">
        <v>0</v>
      </c>
      <c r="F3676">
        <f t="shared" si="462"/>
        <v>0</v>
      </c>
      <c r="G3676">
        <f t="shared" si="457"/>
        <v>0</v>
      </c>
      <c r="H3676">
        <f t="shared" si="463"/>
        <v>0</v>
      </c>
      <c r="I3676">
        <v>3675</v>
      </c>
      <c r="J3676">
        <f t="shared" si="458"/>
        <v>0.37746248386180314</v>
      </c>
      <c r="K3676">
        <f t="shared" si="459"/>
        <v>0.92602487724514071</v>
      </c>
      <c r="L3676">
        <f>VLOOKUP(D3676,[1]SOI!$A$1:$C$142,3)</f>
        <v>-7</v>
      </c>
      <c r="M3676" s="2">
        <f t="shared" si="460"/>
        <v>1387.1746281921266</v>
      </c>
      <c r="N3676">
        <f t="shared" si="461"/>
        <v>3403.1414238758921</v>
      </c>
      <c r="O3676" t="s">
        <v>15</v>
      </c>
    </row>
    <row r="3677" spans="1:15" x14ac:dyDescent="0.35">
      <c r="A3677">
        <v>2010</v>
      </c>
      <c r="B3677">
        <v>1</v>
      </c>
      <c r="C3677">
        <v>23</v>
      </c>
      <c r="D3677" s="1">
        <f t="shared" si="456"/>
        <v>40201</v>
      </c>
      <c r="E3677">
        <v>0</v>
      </c>
      <c r="F3677">
        <f t="shared" si="462"/>
        <v>0</v>
      </c>
      <c r="G3677">
        <f t="shared" si="457"/>
        <v>0</v>
      </c>
      <c r="H3677">
        <f t="shared" si="463"/>
        <v>0</v>
      </c>
      <c r="I3677">
        <v>3676</v>
      </c>
      <c r="J3677">
        <f t="shared" si="458"/>
        <v>0.39333572201604089</v>
      </c>
      <c r="K3677">
        <f t="shared" si="459"/>
        <v>0.91939491503168524</v>
      </c>
      <c r="L3677">
        <f>VLOOKUP(D3677,[1]SOI!$A$1:$C$142,3)</f>
        <v>-7</v>
      </c>
      <c r="M3677" s="2">
        <f t="shared" si="460"/>
        <v>1445.9021141309663</v>
      </c>
      <c r="N3677">
        <f t="shared" si="461"/>
        <v>3379.695707656475</v>
      </c>
      <c r="O3677" t="s">
        <v>15</v>
      </c>
    </row>
    <row r="3678" spans="1:15" x14ac:dyDescent="0.35">
      <c r="A3678">
        <v>2010</v>
      </c>
      <c r="B3678">
        <v>1</v>
      </c>
      <c r="C3678">
        <v>24</v>
      </c>
      <c r="D3678" s="1">
        <f t="shared" si="456"/>
        <v>40202</v>
      </c>
      <c r="E3678">
        <v>0</v>
      </c>
      <c r="F3678">
        <f t="shared" si="462"/>
        <v>0</v>
      </c>
      <c r="G3678">
        <f t="shared" si="457"/>
        <v>0</v>
      </c>
      <c r="H3678">
        <f t="shared" si="463"/>
        <v>0</v>
      </c>
      <c r="I3678">
        <v>3677</v>
      </c>
      <c r="J3678">
        <f t="shared" si="458"/>
        <v>0.40909256580197079</v>
      </c>
      <c r="K3678">
        <f t="shared" si="459"/>
        <v>0.91249288907123005</v>
      </c>
      <c r="L3678">
        <f>VLOOKUP(D3678,[1]SOI!$A$1:$C$142,3)</f>
        <v>-7</v>
      </c>
      <c r="M3678" s="2">
        <f t="shared" si="460"/>
        <v>1504.2333644538467</v>
      </c>
      <c r="N3678">
        <f t="shared" si="461"/>
        <v>3355.2363531149131</v>
      </c>
      <c r="O3678" t="s">
        <v>15</v>
      </c>
    </row>
    <row r="3679" spans="1:15" x14ac:dyDescent="0.35">
      <c r="A3679">
        <v>2010</v>
      </c>
      <c r="B3679">
        <v>1</v>
      </c>
      <c r="C3679">
        <v>25</v>
      </c>
      <c r="D3679" s="1">
        <f t="shared" si="456"/>
        <v>40203</v>
      </c>
      <c r="E3679">
        <v>0</v>
      </c>
      <c r="F3679">
        <f t="shared" si="462"/>
        <v>0</v>
      </c>
      <c r="G3679">
        <f t="shared" si="457"/>
        <v>0</v>
      </c>
      <c r="H3679">
        <f t="shared" si="463"/>
        <v>0</v>
      </c>
      <c r="I3679">
        <v>3678</v>
      </c>
      <c r="J3679">
        <f t="shared" si="458"/>
        <v>0.42472835251601337</v>
      </c>
      <c r="K3679">
        <f t="shared" si="459"/>
        <v>0.90532084178429972</v>
      </c>
      <c r="L3679">
        <f>VLOOKUP(D3679,[1]SOI!$A$1:$C$142,3)</f>
        <v>-7</v>
      </c>
      <c r="M3679" s="2">
        <f t="shared" si="460"/>
        <v>1562.1508805538972</v>
      </c>
      <c r="N3679">
        <f t="shared" si="461"/>
        <v>3329.7700560826543</v>
      </c>
      <c r="O3679" t="s">
        <v>15</v>
      </c>
    </row>
    <row r="3680" spans="1:15" x14ac:dyDescent="0.35">
      <c r="A3680">
        <v>2010</v>
      </c>
      <c r="B3680">
        <v>1</v>
      </c>
      <c r="C3680">
        <v>26</v>
      </c>
      <c r="D3680" s="1">
        <f t="shared" si="456"/>
        <v>40204</v>
      </c>
      <c r="E3680">
        <v>0</v>
      </c>
      <c r="F3680">
        <f t="shared" si="462"/>
        <v>0</v>
      </c>
      <c r="G3680">
        <f t="shared" si="457"/>
        <v>0</v>
      </c>
      <c r="H3680">
        <f t="shared" si="463"/>
        <v>0</v>
      </c>
      <c r="I3680">
        <v>3679</v>
      </c>
      <c r="J3680">
        <f t="shared" si="458"/>
        <v>0.44023845527733069</v>
      </c>
      <c r="K3680">
        <f t="shared" si="459"/>
        <v>0.89788089549507055</v>
      </c>
      <c r="L3680">
        <f>VLOOKUP(D3680,[1]SOI!$A$1:$C$142,3)</f>
        <v>-7</v>
      </c>
      <c r="M3680" s="2">
        <f t="shared" si="460"/>
        <v>1619.6372769652996</v>
      </c>
      <c r="N3680">
        <f t="shared" si="461"/>
        <v>3303.3038145263645</v>
      </c>
      <c r="O3680" t="s">
        <v>15</v>
      </c>
    </row>
    <row r="3681" spans="1:15" x14ac:dyDescent="0.35">
      <c r="A3681">
        <v>2010</v>
      </c>
      <c r="B3681">
        <v>1</v>
      </c>
      <c r="C3681">
        <v>27</v>
      </c>
      <c r="D3681" s="1">
        <f t="shared" si="456"/>
        <v>40205</v>
      </c>
      <c r="E3681">
        <v>0</v>
      </c>
      <c r="F3681">
        <f t="shared" si="462"/>
        <v>0</v>
      </c>
      <c r="G3681">
        <f t="shared" si="457"/>
        <v>0</v>
      </c>
      <c r="H3681">
        <f t="shared" si="463"/>
        <v>0</v>
      </c>
      <c r="I3681">
        <v>3680</v>
      </c>
      <c r="J3681">
        <f t="shared" si="458"/>
        <v>0.45561828439696933</v>
      </c>
      <c r="K3681">
        <f t="shared" si="459"/>
        <v>0.89017525180335266</v>
      </c>
      <c r="L3681">
        <f>VLOOKUP(D3681,[1]SOI!$A$1:$C$142,3)</f>
        <v>-7</v>
      </c>
      <c r="M3681" s="2">
        <f t="shared" si="460"/>
        <v>1676.6752865808471</v>
      </c>
      <c r="N3681">
        <f t="shared" si="461"/>
        <v>3275.8449266363377</v>
      </c>
      <c r="O3681" t="s">
        <v>15</v>
      </c>
    </row>
    <row r="3682" spans="1:15" x14ac:dyDescent="0.35">
      <c r="A3682">
        <v>2010</v>
      </c>
      <c r="B3682">
        <v>1</v>
      </c>
      <c r="C3682">
        <v>28</v>
      </c>
      <c r="D3682" s="1">
        <f t="shared" si="456"/>
        <v>40206</v>
      </c>
      <c r="E3682">
        <v>0</v>
      </c>
      <c r="F3682">
        <f t="shared" si="462"/>
        <v>0</v>
      </c>
      <c r="G3682">
        <f t="shared" si="457"/>
        <v>0</v>
      </c>
      <c r="H3682">
        <f t="shared" si="463"/>
        <v>0</v>
      </c>
      <c r="I3682">
        <v>3681</v>
      </c>
      <c r="J3682">
        <f t="shared" si="458"/>
        <v>0.47086328873604905</v>
      </c>
      <c r="K3682">
        <f t="shared" si="459"/>
        <v>0.88220619093309027</v>
      </c>
      <c r="L3682">
        <f>VLOOKUP(D3682,[1]SOI!$A$1:$C$142,3)</f>
        <v>-7</v>
      </c>
      <c r="M3682" s="2">
        <f t="shared" si="460"/>
        <v>1733.2477658373966</v>
      </c>
      <c r="N3682">
        <f t="shared" si="461"/>
        <v>3247.4009888247051</v>
      </c>
      <c r="O3682" t="s">
        <v>15</v>
      </c>
    </row>
    <row r="3683" spans="1:15" x14ac:dyDescent="0.35">
      <c r="A3683">
        <v>2010</v>
      </c>
      <c r="B3683">
        <v>1</v>
      </c>
      <c r="C3683">
        <v>29</v>
      </c>
      <c r="D3683" s="1">
        <f t="shared" si="456"/>
        <v>40207</v>
      </c>
      <c r="E3683">
        <v>0</v>
      </c>
      <c r="F3683">
        <f t="shared" si="462"/>
        <v>0</v>
      </c>
      <c r="G3683">
        <f t="shared" si="457"/>
        <v>0</v>
      </c>
      <c r="H3683">
        <f t="shared" si="463"/>
        <v>0</v>
      </c>
      <c r="I3683">
        <v>3682</v>
      </c>
      <c r="J3683">
        <f t="shared" si="458"/>
        <v>0.48596895705254251</v>
      </c>
      <c r="K3683">
        <f t="shared" si="459"/>
        <v>0.87397607105759145</v>
      </c>
      <c r="L3683">
        <f>VLOOKUP(D3683,[1]SOI!$A$1:$C$142,3)</f>
        <v>-7</v>
      </c>
      <c r="M3683" s="2">
        <f t="shared" si="460"/>
        <v>1789.3376998674614</v>
      </c>
      <c r="N3683">
        <f t="shared" si="461"/>
        <v>3217.9798936340517</v>
      </c>
      <c r="O3683" t="s">
        <v>15</v>
      </c>
    </row>
    <row r="3684" spans="1:15" x14ac:dyDescent="0.35">
      <c r="A3684">
        <v>2010</v>
      </c>
      <c r="B3684">
        <v>1</v>
      </c>
      <c r="C3684">
        <v>30</v>
      </c>
      <c r="D3684" s="1">
        <f t="shared" si="456"/>
        <v>40208</v>
      </c>
      <c r="E3684">
        <v>0</v>
      </c>
      <c r="F3684">
        <f t="shared" si="462"/>
        <v>0</v>
      </c>
      <c r="G3684">
        <f t="shared" si="457"/>
        <v>0</v>
      </c>
      <c r="H3684">
        <f t="shared" si="463"/>
        <v>0</v>
      </c>
      <c r="I3684">
        <v>3683</v>
      </c>
      <c r="J3684">
        <f t="shared" si="458"/>
        <v>0.50093081933615535</v>
      </c>
      <c r="K3684">
        <f t="shared" si="459"/>
        <v>0.86548732760174374</v>
      </c>
      <c r="L3684">
        <f>VLOOKUP(D3684,[1]SOI!$A$1:$C$142,3)</f>
        <v>-7</v>
      </c>
      <c r="M3684" s="2">
        <f t="shared" si="460"/>
        <v>1844.9282076150603</v>
      </c>
      <c r="N3684">
        <f t="shared" si="461"/>
        <v>3187.5898275572222</v>
      </c>
      <c r="O3684" t="s">
        <v>15</v>
      </c>
    </row>
    <row r="3685" spans="1:15" x14ac:dyDescent="0.35">
      <c r="A3685">
        <v>2010</v>
      </c>
      <c r="B3685">
        <v>1</v>
      </c>
      <c r="C3685">
        <v>31</v>
      </c>
      <c r="D3685" s="1">
        <f t="shared" si="456"/>
        <v>40209</v>
      </c>
      <c r="E3685">
        <v>0</v>
      </c>
      <c r="F3685">
        <f t="shared" si="462"/>
        <v>0</v>
      </c>
      <c r="G3685">
        <f t="shared" si="457"/>
        <v>0</v>
      </c>
      <c r="H3685">
        <f t="shared" si="463"/>
        <v>0</v>
      </c>
      <c r="I3685">
        <v>3684</v>
      </c>
      <c r="J3685">
        <f t="shared" si="458"/>
        <v>0.51574444813113085</v>
      </c>
      <c r="K3685">
        <f t="shared" si="459"/>
        <v>0.85674247252130276</v>
      </c>
      <c r="L3685">
        <f>VLOOKUP(D3685,[1]SOI!$A$1:$C$142,3)</f>
        <v>-7</v>
      </c>
      <c r="M3685" s="2">
        <f t="shared" si="460"/>
        <v>1900.002546915086</v>
      </c>
      <c r="N3685">
        <f t="shared" si="461"/>
        <v>3156.2392687684792</v>
      </c>
      <c r="O3685" t="s">
        <v>15</v>
      </c>
    </row>
    <row r="3686" spans="1:15" x14ac:dyDescent="0.35">
      <c r="A3686">
        <v>2010</v>
      </c>
      <c r="B3686">
        <v>2</v>
      </c>
      <c r="C3686">
        <v>1</v>
      </c>
      <c r="D3686" s="1">
        <f t="shared" si="456"/>
        <v>40210</v>
      </c>
      <c r="E3686">
        <v>1.4</v>
      </c>
      <c r="F3686">
        <f t="shared" si="462"/>
        <v>0</v>
      </c>
      <c r="G3686">
        <f t="shared" si="457"/>
        <v>1</v>
      </c>
      <c r="H3686">
        <f t="shared" si="463"/>
        <v>0</v>
      </c>
      <c r="I3686">
        <v>3685</v>
      </c>
      <c r="J3686">
        <f t="shared" si="458"/>
        <v>0.53040545984636789</v>
      </c>
      <c r="K3686">
        <f t="shared" si="459"/>
        <v>0.84774409355958535</v>
      </c>
      <c r="L3686">
        <f>VLOOKUP(D3686,[1]SOI!$A$1:$C$142,3)</f>
        <v>-10.1</v>
      </c>
      <c r="M3686" s="2">
        <f t="shared" si="460"/>
        <v>1954.5441195338656</v>
      </c>
      <c r="N3686">
        <f t="shared" si="461"/>
        <v>3123.9369847670719</v>
      </c>
      <c r="O3686" t="s">
        <v>15</v>
      </c>
    </row>
    <row r="3687" spans="1:15" x14ac:dyDescent="0.35">
      <c r="A3687">
        <v>2010</v>
      </c>
      <c r="B3687">
        <v>2</v>
      </c>
      <c r="C3687">
        <v>2</v>
      </c>
      <c r="D3687" s="1">
        <f t="shared" si="456"/>
        <v>40211</v>
      </c>
      <c r="E3687">
        <v>0</v>
      </c>
      <c r="F3687">
        <f t="shared" si="462"/>
        <v>1.4</v>
      </c>
      <c r="G3687">
        <f t="shared" si="457"/>
        <v>0</v>
      </c>
      <c r="H3687">
        <f t="shared" si="463"/>
        <v>1</v>
      </c>
      <c r="I3687">
        <v>3686</v>
      </c>
      <c r="J3687">
        <f t="shared" si="458"/>
        <v>0.54490951605262106</v>
      </c>
      <c r="K3687">
        <f t="shared" si="459"/>
        <v>0.83849485348170039</v>
      </c>
      <c r="L3687">
        <f>VLOOKUP(D3687,[1]SOI!$A$1:$C$142,3)</f>
        <v>-10.1</v>
      </c>
      <c r="M3687" s="2">
        <f t="shared" si="460"/>
        <v>2008.5364761699611</v>
      </c>
      <c r="N3687">
        <f t="shared" si="461"/>
        <v>3090.6920299335475</v>
      </c>
      <c r="O3687" t="s">
        <v>15</v>
      </c>
    </row>
    <row r="3688" spans="1:15" x14ac:dyDescent="0.35">
      <c r="A3688">
        <v>2010</v>
      </c>
      <c r="B3688">
        <v>2</v>
      </c>
      <c r="C3688">
        <v>3</v>
      </c>
      <c r="D3688" s="1">
        <f t="shared" si="456"/>
        <v>40212</v>
      </c>
      <c r="E3688">
        <v>0</v>
      </c>
      <c r="F3688">
        <f t="shared" si="462"/>
        <v>0</v>
      </c>
      <c r="G3688">
        <f t="shared" si="457"/>
        <v>0</v>
      </c>
      <c r="H3688">
        <f t="shared" si="463"/>
        <v>0</v>
      </c>
      <c r="I3688">
        <v>3687</v>
      </c>
      <c r="J3688">
        <f t="shared" si="458"/>
        <v>0.55925232476633524</v>
      </c>
      <c r="K3688">
        <f t="shared" si="459"/>
        <v>0.82899748928657768</v>
      </c>
      <c r="L3688">
        <f>VLOOKUP(D3688,[1]SOI!$A$1:$C$142,3)</f>
        <v>-10.1</v>
      </c>
      <c r="M3688" s="2">
        <f t="shared" si="460"/>
        <v>2061.9633214134778</v>
      </c>
      <c r="N3688">
        <f t="shared" si="461"/>
        <v>3056.5137429996121</v>
      </c>
      <c r="O3688" t="s">
        <v>15</v>
      </c>
    </row>
    <row r="3689" spans="1:15" x14ac:dyDescent="0.35">
      <c r="A3689">
        <v>2010</v>
      </c>
      <c r="B3689">
        <v>2</v>
      </c>
      <c r="C3689">
        <v>4</v>
      </c>
      <c r="D3689" s="1">
        <f t="shared" si="456"/>
        <v>40213</v>
      </c>
      <c r="E3689">
        <v>0</v>
      </c>
      <c r="F3689">
        <f t="shared" si="462"/>
        <v>0</v>
      </c>
      <c r="G3689">
        <f t="shared" si="457"/>
        <v>0</v>
      </c>
      <c r="H3689">
        <f t="shared" si="463"/>
        <v>0</v>
      </c>
      <c r="I3689">
        <v>3688</v>
      </c>
      <c r="J3689">
        <f t="shared" si="458"/>
        <v>0.57342964171965216</v>
      </c>
      <c r="K3689">
        <f t="shared" si="459"/>
        <v>0.81925481139708378</v>
      </c>
      <c r="L3689">
        <f>VLOOKUP(D3689,[1]SOI!$A$1:$C$142,3)</f>
        <v>-10.1</v>
      </c>
      <c r="M3689" s="2">
        <f t="shared" si="460"/>
        <v>2114.8085186620769</v>
      </c>
      <c r="N3689">
        <f t="shared" si="461"/>
        <v>3021.4117444324452</v>
      </c>
      <c r="O3689" t="s">
        <v>15</v>
      </c>
    </row>
    <row r="3690" spans="1:15" x14ac:dyDescent="0.35">
      <c r="A3690">
        <v>2010</v>
      </c>
      <c r="B3690">
        <v>2</v>
      </c>
      <c r="C3690">
        <v>5</v>
      </c>
      <c r="D3690" s="1">
        <f t="shared" si="456"/>
        <v>40214</v>
      </c>
      <c r="E3690">
        <v>15</v>
      </c>
      <c r="F3690">
        <f t="shared" si="462"/>
        <v>0</v>
      </c>
      <c r="G3690">
        <f t="shared" si="457"/>
        <v>1</v>
      </c>
      <c r="H3690">
        <f t="shared" si="463"/>
        <v>0</v>
      </c>
      <c r="I3690">
        <v>3689</v>
      </c>
      <c r="J3690">
        <f t="shared" si="458"/>
        <v>0.58743727161638248</v>
      </c>
      <c r="K3690">
        <f t="shared" si="459"/>
        <v>0.80926970282835897</v>
      </c>
      <c r="L3690">
        <f>VLOOKUP(D3690,[1]SOI!$A$1:$C$142,3)</f>
        <v>-10.1</v>
      </c>
      <c r="M3690" s="2">
        <f t="shared" si="460"/>
        <v>2167.0560949928349</v>
      </c>
      <c r="N3690">
        <f t="shared" si="461"/>
        <v>2985.395933733816</v>
      </c>
      <c r="O3690" t="s">
        <v>15</v>
      </c>
    </row>
    <row r="3691" spans="1:15" x14ac:dyDescent="0.35">
      <c r="A3691">
        <v>2010</v>
      </c>
      <c r="B3691">
        <v>2</v>
      </c>
      <c r="C3691">
        <v>6</v>
      </c>
      <c r="D3691" s="1">
        <f t="shared" si="456"/>
        <v>40215</v>
      </c>
      <c r="E3691">
        <v>2</v>
      </c>
      <c r="F3691">
        <f t="shared" si="462"/>
        <v>15</v>
      </c>
      <c r="G3691">
        <f t="shared" si="457"/>
        <v>1</v>
      </c>
      <c r="H3691">
        <f t="shared" si="463"/>
        <v>1</v>
      </c>
      <c r="I3691">
        <v>3690</v>
      </c>
      <c r="J3691">
        <f t="shared" si="458"/>
        <v>0.60127106937348462</v>
      </c>
      <c r="K3691">
        <f t="shared" si="459"/>
        <v>0.79904511833466962</v>
      </c>
      <c r="L3691">
        <f>VLOOKUP(D3691,[1]SOI!$A$1:$C$142,3)</f>
        <v>-10.1</v>
      </c>
      <c r="M3691" s="2">
        <f t="shared" si="460"/>
        <v>2218.690245988158</v>
      </c>
      <c r="N3691">
        <f t="shared" si="461"/>
        <v>2948.4764866549308</v>
      </c>
      <c r="O3691" t="s">
        <v>15</v>
      </c>
    </row>
    <row r="3692" spans="1:15" x14ac:dyDescent="0.35">
      <c r="A3692">
        <v>2010</v>
      </c>
      <c r="B3692">
        <v>2</v>
      </c>
      <c r="C3692">
        <v>7</v>
      </c>
      <c r="D3692" s="1">
        <f t="shared" si="456"/>
        <v>40216</v>
      </c>
      <c r="E3692">
        <v>0</v>
      </c>
      <c r="F3692">
        <f t="shared" si="462"/>
        <v>2</v>
      </c>
      <c r="G3692">
        <f t="shared" si="457"/>
        <v>0</v>
      </c>
      <c r="H3692">
        <f t="shared" si="463"/>
        <v>1</v>
      </c>
      <c r="I3692">
        <v>3691</v>
      </c>
      <c r="J3692">
        <f t="shared" si="458"/>
        <v>0.61492694134763781</v>
      </c>
      <c r="K3692">
        <f t="shared" si="459"/>
        <v>0.78858408353506526</v>
      </c>
      <c r="L3692">
        <f>VLOOKUP(D3692,[1]SOI!$A$1:$C$142,3)</f>
        <v>-10.1</v>
      </c>
      <c r="M3692" s="2">
        <f t="shared" si="460"/>
        <v>2269.6953405141312</v>
      </c>
      <c r="N3692">
        <f t="shared" si="461"/>
        <v>2910.6638523279257</v>
      </c>
      <c r="O3692" t="s">
        <v>15</v>
      </c>
    </row>
    <row r="3693" spans="1:15" x14ac:dyDescent="0.35">
      <c r="A3693">
        <v>2010</v>
      </c>
      <c r="B3693">
        <v>2</v>
      </c>
      <c r="C3693">
        <v>8</v>
      </c>
      <c r="D3693" s="1">
        <f t="shared" si="456"/>
        <v>40217</v>
      </c>
      <c r="E3693">
        <v>0</v>
      </c>
      <c r="F3693">
        <f t="shared" si="462"/>
        <v>0</v>
      </c>
      <c r="G3693">
        <f t="shared" si="457"/>
        <v>0</v>
      </c>
      <c r="H3693">
        <f t="shared" si="463"/>
        <v>0</v>
      </c>
      <c r="I3693">
        <v>3692</v>
      </c>
      <c r="J3693">
        <f t="shared" si="458"/>
        <v>0.62840084654661743</v>
      </c>
      <c r="K3693">
        <f t="shared" si="459"/>
        <v>0.77788969401804942</v>
      </c>
      <c r="L3693">
        <f>VLOOKUP(D3693,[1]SOI!$A$1:$C$142,3)</f>
        <v>-10.1</v>
      </c>
      <c r="M3693" s="2">
        <f t="shared" si="460"/>
        <v>2320.0559254501118</v>
      </c>
      <c r="N3693">
        <f t="shared" si="461"/>
        <v>2871.9687503146383</v>
      </c>
      <c r="O3693" t="s">
        <v>15</v>
      </c>
    </row>
    <row r="3694" spans="1:15" x14ac:dyDescent="0.35">
      <c r="A3694">
        <v>2010</v>
      </c>
      <c r="B3694">
        <v>2</v>
      </c>
      <c r="C3694">
        <v>9</v>
      </c>
      <c r="D3694" s="1">
        <f t="shared" si="456"/>
        <v>40218</v>
      </c>
      <c r="E3694">
        <v>0</v>
      </c>
      <c r="F3694">
        <f t="shared" si="462"/>
        <v>0</v>
      </c>
      <c r="G3694">
        <f t="shared" si="457"/>
        <v>0</v>
      </c>
      <c r="H3694">
        <f t="shared" si="463"/>
        <v>0</v>
      </c>
      <c r="I3694">
        <v>3693</v>
      </c>
      <c r="J3694">
        <f t="shared" si="458"/>
        <v>0.64168879782511212</v>
      </c>
      <c r="K3694">
        <f t="shared" si="459"/>
        <v>0.76696511442552739</v>
      </c>
      <c r="L3694">
        <f>VLOOKUP(D3694,[1]SOI!$A$1:$C$142,3)</f>
        <v>-10.1</v>
      </c>
      <c r="M3694" s="2">
        <f t="shared" si="460"/>
        <v>2369.756730368139</v>
      </c>
      <c r="N3694">
        <f t="shared" si="461"/>
        <v>2832.4021675734725</v>
      </c>
      <c r="O3694" t="s">
        <v>15</v>
      </c>
    </row>
    <row r="3695" spans="1:15" x14ac:dyDescent="0.35">
      <c r="A3695">
        <v>2010</v>
      </c>
      <c r="B3695">
        <v>2</v>
      </c>
      <c r="C3695">
        <v>10</v>
      </c>
      <c r="D3695" s="1">
        <f t="shared" si="456"/>
        <v>40219</v>
      </c>
      <c r="E3695">
        <v>0</v>
      </c>
      <c r="F3695">
        <f t="shared" si="462"/>
        <v>0</v>
      </c>
      <c r="G3695">
        <f t="shared" si="457"/>
        <v>0</v>
      </c>
      <c r="H3695">
        <f t="shared" si="463"/>
        <v>0</v>
      </c>
      <c r="I3695">
        <v>3694</v>
      </c>
      <c r="J3695">
        <f t="shared" si="458"/>
        <v>0.65478686306455025</v>
      </c>
      <c r="K3695">
        <f t="shared" si="459"/>
        <v>0.75581357751636469</v>
      </c>
      <c r="L3695">
        <f>VLOOKUP(D3695,[1]SOI!$A$1:$C$142,3)</f>
        <v>-10.1</v>
      </c>
      <c r="M3695" s="2">
        <f t="shared" si="460"/>
        <v>2418.7826721604488</v>
      </c>
      <c r="N3695">
        <f t="shared" si="461"/>
        <v>2791.9753553454511</v>
      </c>
      <c r="O3695" t="s">
        <v>15</v>
      </c>
    </row>
    <row r="3696" spans="1:15" x14ac:dyDescent="0.35">
      <c r="A3696">
        <v>2010</v>
      </c>
      <c r="B3696">
        <v>2</v>
      </c>
      <c r="C3696">
        <v>11</v>
      </c>
      <c r="D3696" s="1">
        <f t="shared" si="456"/>
        <v>40220</v>
      </c>
      <c r="E3696">
        <v>0</v>
      </c>
      <c r="F3696">
        <f t="shared" si="462"/>
        <v>0</v>
      </c>
      <c r="G3696">
        <f t="shared" si="457"/>
        <v>0</v>
      </c>
      <c r="H3696">
        <f t="shared" si="463"/>
        <v>0</v>
      </c>
      <c r="I3696">
        <v>3695</v>
      </c>
      <c r="J3696">
        <f t="shared" si="458"/>
        <v>0.6676911663367</v>
      </c>
      <c r="K3696">
        <f t="shared" si="459"/>
        <v>0.74443838320974376</v>
      </c>
      <c r="L3696">
        <f>VLOOKUP(D3696,[1]SOI!$A$1:$C$142,3)</f>
        <v>-10.1</v>
      </c>
      <c r="M3696" s="2">
        <f t="shared" si="460"/>
        <v>2467.1188596141064</v>
      </c>
      <c r="N3696">
        <f t="shared" si="461"/>
        <v>2750.6998259600032</v>
      </c>
      <c r="O3696" t="s">
        <v>15</v>
      </c>
    </row>
    <row r="3697" spans="1:15" x14ac:dyDescent="0.35">
      <c r="A3697">
        <v>2010</v>
      </c>
      <c r="B3697">
        <v>2</v>
      </c>
      <c r="C3697">
        <v>12</v>
      </c>
      <c r="D3697" s="1">
        <f t="shared" si="456"/>
        <v>40221</v>
      </c>
      <c r="E3697">
        <v>35.200000000000003</v>
      </c>
      <c r="F3697">
        <f t="shared" si="462"/>
        <v>0</v>
      </c>
      <c r="G3697">
        <f t="shared" si="457"/>
        <v>1</v>
      </c>
      <c r="H3697">
        <f t="shared" si="463"/>
        <v>0</v>
      </c>
      <c r="I3697">
        <v>3696</v>
      </c>
      <c r="J3697">
        <f t="shared" si="458"/>
        <v>0.6803978890506126</v>
      </c>
      <c r="K3697">
        <f t="shared" si="459"/>
        <v>0.73284289760866905</v>
      </c>
      <c r="L3697">
        <f>VLOOKUP(D3697,[1]SOI!$A$1:$C$142,3)</f>
        <v>-10.1</v>
      </c>
      <c r="M3697" s="2">
        <f t="shared" si="460"/>
        <v>2514.750597931064</v>
      </c>
      <c r="N3697">
        <f t="shared" si="461"/>
        <v>2708.5873495616406</v>
      </c>
      <c r="O3697" t="s">
        <v>15</v>
      </c>
    </row>
    <row r="3698" spans="1:15" x14ac:dyDescent="0.35">
      <c r="A3698">
        <v>2010</v>
      </c>
      <c r="B3698">
        <v>2</v>
      </c>
      <c r="C3698">
        <v>13</v>
      </c>
      <c r="D3698" s="1">
        <f t="shared" si="456"/>
        <v>40222</v>
      </c>
      <c r="E3698">
        <v>0</v>
      </c>
      <c r="F3698">
        <f t="shared" si="462"/>
        <v>35.200000000000003</v>
      </c>
      <c r="G3698">
        <f t="shared" si="457"/>
        <v>0</v>
      </c>
      <c r="H3698">
        <f t="shared" si="463"/>
        <v>1</v>
      </c>
      <c r="I3698">
        <v>3697</v>
      </c>
      <c r="J3698">
        <f t="shared" si="458"/>
        <v>0.69290327108260075</v>
      </c>
      <c r="K3698">
        <f t="shared" si="459"/>
        <v>0.72103055200388833</v>
      </c>
      <c r="L3698">
        <f>VLOOKUP(D3698,[1]SOI!$A$1:$C$142,3)</f>
        <v>-10.1</v>
      </c>
      <c r="M3698" s="2">
        <f t="shared" si="460"/>
        <v>2561.6633931923748</v>
      </c>
      <c r="N3698">
        <f t="shared" si="461"/>
        <v>2665.6499507583753</v>
      </c>
      <c r="O3698" t="s">
        <v>15</v>
      </c>
    </row>
    <row r="3699" spans="1:15" x14ac:dyDescent="0.35">
      <c r="A3699">
        <v>2010</v>
      </c>
      <c r="B3699">
        <v>2</v>
      </c>
      <c r="C3699">
        <v>14</v>
      </c>
      <c r="D3699" s="1">
        <f t="shared" si="456"/>
        <v>40223</v>
      </c>
      <c r="E3699">
        <v>9.1999999999999993</v>
      </c>
      <c r="F3699">
        <f t="shared" si="462"/>
        <v>0</v>
      </c>
      <c r="G3699">
        <f t="shared" si="457"/>
        <v>1</v>
      </c>
      <c r="H3699">
        <f t="shared" si="463"/>
        <v>0</v>
      </c>
      <c r="I3699">
        <v>3698</v>
      </c>
      <c r="J3699">
        <f t="shared" si="458"/>
        <v>0.70520361188893887</v>
      </c>
      <c r="K3699">
        <f t="shared" si="459"/>
        <v>0.70900484185849877</v>
      </c>
      <c r="L3699">
        <f>VLOOKUP(D3699,[1]SOI!$A$1:$C$142,3)</f>
        <v>-10.1</v>
      </c>
      <c r="M3699" s="2">
        <f t="shared" si="460"/>
        <v>2607.8429567652961</v>
      </c>
      <c r="N3699">
        <f t="shared" si="461"/>
        <v>2621.8999051927285</v>
      </c>
      <c r="O3699" t="s">
        <v>15</v>
      </c>
    </row>
    <row r="3700" spans="1:15" x14ac:dyDescent="0.35">
      <c r="A3700">
        <v>2010</v>
      </c>
      <c r="B3700">
        <v>2</v>
      </c>
      <c r="C3700">
        <v>15</v>
      </c>
      <c r="D3700" s="1">
        <f t="shared" si="456"/>
        <v>40224</v>
      </c>
      <c r="E3700">
        <v>0</v>
      </c>
      <c r="F3700">
        <f t="shared" si="462"/>
        <v>9.1999999999999993</v>
      </c>
      <c r="G3700">
        <f t="shared" si="457"/>
        <v>0</v>
      </c>
      <c r="H3700">
        <f t="shared" si="463"/>
        <v>1</v>
      </c>
      <c r="I3700">
        <v>3699</v>
      </c>
      <c r="J3700">
        <f t="shared" si="458"/>
        <v>0.71729527160088402</v>
      </c>
      <c r="K3700">
        <f t="shared" si="459"/>
        <v>0.69676932577361217</v>
      </c>
      <c r="L3700">
        <f>VLOOKUP(D3700,[1]SOI!$A$1:$C$142,3)</f>
        <v>-10.1</v>
      </c>
      <c r="M3700" s="2">
        <f t="shared" si="460"/>
        <v>2653.2752096516701</v>
      </c>
      <c r="N3700">
        <f t="shared" si="461"/>
        <v>2577.3497360365914</v>
      </c>
      <c r="O3700" t="s">
        <v>15</v>
      </c>
    </row>
    <row r="3701" spans="1:15" x14ac:dyDescent="0.35">
      <c r="A3701">
        <v>2010</v>
      </c>
      <c r="B3701">
        <v>2</v>
      </c>
      <c r="C3701">
        <v>16</v>
      </c>
      <c r="D3701" s="1">
        <f t="shared" si="456"/>
        <v>40225</v>
      </c>
      <c r="E3701">
        <v>0</v>
      </c>
      <c r="F3701">
        <f t="shared" si="462"/>
        <v>0</v>
      </c>
      <c r="G3701">
        <f t="shared" si="457"/>
        <v>0</v>
      </c>
      <c r="H3701">
        <f t="shared" si="463"/>
        <v>0</v>
      </c>
      <c r="I3701">
        <v>3700</v>
      </c>
      <c r="J3701">
        <f t="shared" si="458"/>
        <v>0.7291746721017911</v>
      </c>
      <c r="K3701">
        <f t="shared" si="459"/>
        <v>0.68432762443528861</v>
      </c>
      <c r="L3701">
        <f>VLOOKUP(D3701,[1]SOI!$A$1:$C$142,3)</f>
        <v>-10.1</v>
      </c>
      <c r="M3701" s="2">
        <f t="shared" si="460"/>
        <v>2697.9462867766269</v>
      </c>
      <c r="N3701">
        <f t="shared" si="461"/>
        <v>2532.0122104105681</v>
      </c>
      <c r="O3701" t="s">
        <v>15</v>
      </c>
    </row>
    <row r="3702" spans="1:15" x14ac:dyDescent="0.35">
      <c r="A3702">
        <v>2010</v>
      </c>
      <c r="B3702">
        <v>2</v>
      </c>
      <c r="C3702">
        <v>17</v>
      </c>
      <c r="D3702" s="1">
        <f t="shared" si="456"/>
        <v>40226</v>
      </c>
      <c r="E3702">
        <v>0</v>
      </c>
      <c r="F3702">
        <f t="shared" si="462"/>
        <v>0</v>
      </c>
      <c r="G3702">
        <f t="shared" si="457"/>
        <v>0</v>
      </c>
      <c r="H3702">
        <f t="shared" si="463"/>
        <v>0</v>
      </c>
      <c r="I3702">
        <v>3701</v>
      </c>
      <c r="J3702">
        <f t="shared" si="458"/>
        <v>0.74083829808593094</v>
      </c>
      <c r="K3702">
        <f t="shared" si="459"/>
        <v>0.67168341954312183</v>
      </c>
      <c r="L3702">
        <f>VLOOKUP(D3702,[1]SOI!$A$1:$C$142,3)</f>
        <v>-10.1</v>
      </c>
      <c r="M3702" s="2">
        <f t="shared" si="460"/>
        <v>2741.8425412160304</v>
      </c>
      <c r="N3702">
        <f t="shared" si="461"/>
        <v>2485.900335729094</v>
      </c>
      <c r="O3702" t="s">
        <v>15</v>
      </c>
    </row>
    <row r="3703" spans="1:15" x14ac:dyDescent="0.35">
      <c r="A3703">
        <v>2010</v>
      </c>
      <c r="B3703">
        <v>2</v>
      </c>
      <c r="C3703">
        <v>18</v>
      </c>
      <c r="D3703" s="1">
        <f t="shared" si="456"/>
        <v>40227</v>
      </c>
      <c r="E3703">
        <v>0</v>
      </c>
      <c r="F3703">
        <f t="shared" si="462"/>
        <v>0</v>
      </c>
      <c r="G3703">
        <f t="shared" si="457"/>
        <v>0</v>
      </c>
      <c r="H3703">
        <f t="shared" si="463"/>
        <v>0</v>
      </c>
      <c r="I3703">
        <v>3702</v>
      </c>
      <c r="J3703">
        <f t="shared" si="458"/>
        <v>0.75228269809872494</v>
      </c>
      <c r="K3703">
        <f t="shared" si="459"/>
        <v>0.65884045272076508</v>
      </c>
      <c r="L3703">
        <f>VLOOKUP(D3703,[1]SOI!$A$1:$C$142,3)</f>
        <v>-10.1</v>
      </c>
      <c r="M3703" s="2">
        <f t="shared" si="460"/>
        <v>2784.9505483614798</v>
      </c>
      <c r="N3703">
        <f t="shared" si="461"/>
        <v>2439.0273559722723</v>
      </c>
      <c r="O3703" t="s">
        <v>15</v>
      </c>
    </row>
    <row r="3704" spans="1:15" x14ac:dyDescent="0.35">
      <c r="A3704">
        <v>2010</v>
      </c>
      <c r="B3704">
        <v>2</v>
      </c>
      <c r="C3704">
        <v>19</v>
      </c>
      <c r="D3704" s="1">
        <f t="shared" si="456"/>
        <v>40228</v>
      </c>
      <c r="E3704">
        <v>0</v>
      </c>
      <c r="F3704">
        <f t="shared" si="462"/>
        <v>0</v>
      </c>
      <c r="G3704">
        <f t="shared" si="457"/>
        <v>0</v>
      </c>
      <c r="H3704">
        <f t="shared" si="463"/>
        <v>0</v>
      </c>
      <c r="I3704">
        <v>3703</v>
      </c>
      <c r="J3704">
        <f t="shared" si="458"/>
        <v>0.76350448555808215</v>
      </c>
      <c r="K3704">
        <f t="shared" si="459"/>
        <v>0.64580252440872998</v>
      </c>
      <c r="L3704">
        <f>VLOOKUP(D3704,[1]SOI!$A$1:$C$142,3)</f>
        <v>-10.1</v>
      </c>
      <c r="M3704" s="2">
        <f t="shared" si="460"/>
        <v>2827.2571100215782</v>
      </c>
      <c r="N3704">
        <f t="shared" si="461"/>
        <v>2391.4067478855272</v>
      </c>
      <c r="O3704" t="s">
        <v>15</v>
      </c>
    </row>
    <row r="3705" spans="1:15" x14ac:dyDescent="0.35">
      <c r="A3705">
        <v>2010</v>
      </c>
      <c r="B3705">
        <v>2</v>
      </c>
      <c r="C3705">
        <v>20</v>
      </c>
      <c r="D3705" s="1">
        <f t="shared" si="456"/>
        <v>40229</v>
      </c>
      <c r="E3705">
        <v>0</v>
      </c>
      <c r="F3705">
        <f t="shared" si="462"/>
        <v>0</v>
      </c>
      <c r="G3705">
        <f t="shared" si="457"/>
        <v>0</v>
      </c>
      <c r="H3705">
        <f t="shared" si="463"/>
        <v>0</v>
      </c>
      <c r="I3705">
        <v>3704</v>
      </c>
      <c r="J3705">
        <f t="shared" si="458"/>
        <v>0.7745003397565613</v>
      </c>
      <c r="K3705">
        <f t="shared" si="459"/>
        <v>0.63257349273975361</v>
      </c>
      <c r="L3705">
        <f>VLOOKUP(D3705,[1]SOI!$A$1:$C$142,3)</f>
        <v>-10.1</v>
      </c>
      <c r="M3705" s="2">
        <f t="shared" si="460"/>
        <v>2868.7492584583028</v>
      </c>
      <c r="N3705">
        <f t="shared" si="461"/>
        <v>2343.0522171080474</v>
      </c>
      <c r="O3705" t="s">
        <v>15</v>
      </c>
    </row>
    <row r="3706" spans="1:15" x14ac:dyDescent="0.35">
      <c r="A3706">
        <v>2010</v>
      </c>
      <c r="B3706">
        <v>2</v>
      </c>
      <c r="C3706">
        <v>21</v>
      </c>
      <c r="D3706" s="1">
        <f t="shared" si="456"/>
        <v>40230</v>
      </c>
      <c r="E3706">
        <v>0</v>
      </c>
      <c r="F3706">
        <f t="shared" si="462"/>
        <v>0</v>
      </c>
      <c r="G3706">
        <f t="shared" si="457"/>
        <v>0</v>
      </c>
      <c r="H3706">
        <f t="shared" si="463"/>
        <v>0</v>
      </c>
      <c r="I3706">
        <v>3705</v>
      </c>
      <c r="J3706">
        <f t="shared" si="458"/>
        <v>0.78526700684399431</v>
      </c>
      <c r="K3706">
        <f t="shared" si="459"/>
        <v>0.61915727239714646</v>
      </c>
      <c r="L3706">
        <f>VLOOKUP(D3706,[1]SOI!$A$1:$C$142,3)</f>
        <v>-10.1</v>
      </c>
      <c r="M3706" s="2">
        <f t="shared" si="460"/>
        <v>2909.414260356999</v>
      </c>
      <c r="N3706">
        <f t="shared" si="461"/>
        <v>2293.9776942314274</v>
      </c>
      <c r="O3706" t="s">
        <v>15</v>
      </c>
    </row>
    <row r="3707" spans="1:15" x14ac:dyDescent="0.35">
      <c r="A3707">
        <v>2010</v>
      </c>
      <c r="B3707">
        <v>2</v>
      </c>
      <c r="C3707">
        <v>22</v>
      </c>
      <c r="D3707" s="1">
        <f t="shared" si="456"/>
        <v>40231</v>
      </c>
      <c r="E3707">
        <v>0</v>
      </c>
      <c r="F3707">
        <f t="shared" si="462"/>
        <v>0</v>
      </c>
      <c r="G3707">
        <f t="shared" si="457"/>
        <v>0</v>
      </c>
      <c r="H3707">
        <f t="shared" si="463"/>
        <v>0</v>
      </c>
      <c r="I3707">
        <v>3706</v>
      </c>
      <c r="J3707">
        <f t="shared" si="458"/>
        <v>0.7958013007903707</v>
      </c>
      <c r="K3707">
        <f t="shared" si="459"/>
        <v>0.60555783345635439</v>
      </c>
      <c r="L3707">
        <f>VLOOKUP(D3707,[1]SOI!$A$1:$C$142,3)</f>
        <v>-10.1</v>
      </c>
      <c r="M3707" s="2">
        <f t="shared" si="460"/>
        <v>2949.239620729114</v>
      </c>
      <c r="N3707">
        <f t="shared" si="461"/>
        <v>2244.1973307892495</v>
      </c>
      <c r="O3707" t="s">
        <v>15</v>
      </c>
    </row>
    <row r="3708" spans="1:15" x14ac:dyDescent="0.35">
      <c r="A3708">
        <v>2010</v>
      </c>
      <c r="B3708">
        <v>2</v>
      </c>
      <c r="C3708">
        <v>23</v>
      </c>
      <c r="D3708" s="1">
        <f t="shared" si="456"/>
        <v>40232</v>
      </c>
      <c r="E3708">
        <v>0</v>
      </c>
      <c r="F3708">
        <f t="shared" si="462"/>
        <v>0</v>
      </c>
      <c r="G3708">
        <f t="shared" si="457"/>
        <v>0</v>
      </c>
      <c r="H3708">
        <f t="shared" si="463"/>
        <v>0</v>
      </c>
      <c r="I3708">
        <v>3707</v>
      </c>
      <c r="J3708">
        <f t="shared" si="458"/>
        <v>0.80610010432863155</v>
      </c>
      <c r="K3708">
        <f t="shared" si="459"/>
        <v>0.59177920021015384</v>
      </c>
      <c r="L3708">
        <f>VLOOKUP(D3708,[1]SOI!$A$1:$C$142,3)</f>
        <v>-10.1</v>
      </c>
      <c r="M3708" s="2">
        <f t="shared" si="460"/>
        <v>2988.213086746237</v>
      </c>
      <c r="N3708">
        <f t="shared" si="461"/>
        <v>2193.7254951790401</v>
      </c>
      <c r="O3708" t="s">
        <v>15</v>
      </c>
    </row>
    <row r="3709" spans="1:15" x14ac:dyDescent="0.35">
      <c r="A3709">
        <v>2010</v>
      </c>
      <c r="B3709">
        <v>2</v>
      </c>
      <c r="C3709">
        <v>24</v>
      </c>
      <c r="D3709" s="1">
        <f t="shared" si="456"/>
        <v>40233</v>
      </c>
      <c r="E3709">
        <v>0</v>
      </c>
      <c r="F3709">
        <f t="shared" si="462"/>
        <v>0</v>
      </c>
      <c r="G3709">
        <f t="shared" si="457"/>
        <v>0</v>
      </c>
      <c r="H3709">
        <f t="shared" si="463"/>
        <v>0</v>
      </c>
      <c r="I3709">
        <v>3708</v>
      </c>
      <c r="J3709">
        <f t="shared" si="458"/>
        <v>0.81616036987711371</v>
      </c>
      <c r="K3709">
        <f t="shared" si="459"/>
        <v>0.57782544997780516</v>
      </c>
      <c r="L3709">
        <f>VLOOKUP(D3709,[1]SOI!$A$1:$C$142,3)</f>
        <v>-10.1</v>
      </c>
      <c r="M3709" s="2">
        <f t="shared" si="460"/>
        <v>3026.3226515043375</v>
      </c>
      <c r="N3709">
        <f t="shared" si="461"/>
        <v>2142.5767685177016</v>
      </c>
      <c r="O3709" t="s">
        <v>15</v>
      </c>
    </row>
    <row r="3710" spans="1:15" x14ac:dyDescent="0.35">
      <c r="A3710">
        <v>2010</v>
      </c>
      <c r="B3710">
        <v>2</v>
      </c>
      <c r="C3710">
        <v>25</v>
      </c>
      <c r="D3710" s="1">
        <f t="shared" si="456"/>
        <v>40234</v>
      </c>
      <c r="E3710">
        <v>0</v>
      </c>
      <c r="F3710">
        <f t="shared" si="462"/>
        <v>0</v>
      </c>
      <c r="G3710">
        <f t="shared" si="457"/>
        <v>0</v>
      </c>
      <c r="H3710">
        <f t="shared" si="463"/>
        <v>0</v>
      </c>
      <c r="I3710">
        <v>3709</v>
      </c>
      <c r="J3710">
        <f t="shared" si="458"/>
        <v>0.82597912044139565</v>
      </c>
      <c r="K3710">
        <f t="shared" si="459"/>
        <v>0.56370071189848459</v>
      </c>
      <c r="L3710">
        <f>VLOOKUP(D3710,[1]SOI!$A$1:$C$142,3)</f>
        <v>-10.1</v>
      </c>
      <c r="M3710" s="2">
        <f t="shared" si="460"/>
        <v>3063.5565577171365</v>
      </c>
      <c r="N3710">
        <f t="shared" si="461"/>
        <v>2090.7659404314795</v>
      </c>
      <c r="O3710" t="s">
        <v>15</v>
      </c>
    </row>
    <row r="3711" spans="1:15" x14ac:dyDescent="0.35">
      <c r="A3711">
        <v>2010</v>
      </c>
      <c r="B3711">
        <v>2</v>
      </c>
      <c r="C3711">
        <v>26</v>
      </c>
      <c r="D3711" s="1">
        <f t="shared" si="456"/>
        <v>40235</v>
      </c>
      <c r="E3711">
        <v>0</v>
      </c>
      <c r="F3711">
        <f t="shared" si="462"/>
        <v>0</v>
      </c>
      <c r="G3711">
        <f t="shared" si="457"/>
        <v>0</v>
      </c>
      <c r="H3711">
        <f t="shared" si="463"/>
        <v>0</v>
      </c>
      <c r="I3711">
        <v>3710</v>
      </c>
      <c r="J3711">
        <f t="shared" si="458"/>
        <v>0.8355534504952129</v>
      </c>
      <c r="K3711">
        <f t="shared" si="459"/>
        <v>0.54940916570944087</v>
      </c>
      <c r="L3711">
        <f>VLOOKUP(D3711,[1]SOI!$A$1:$C$142,3)</f>
        <v>-10.1</v>
      </c>
      <c r="M3711" s="2">
        <f t="shared" si="460"/>
        <v>3099.90330133724</v>
      </c>
      <c r="N3711">
        <f t="shared" si="461"/>
        <v>2038.3080047820256</v>
      </c>
      <c r="O3711" t="s">
        <v>15</v>
      </c>
    </row>
    <row r="3712" spans="1:15" x14ac:dyDescent="0.35">
      <c r="A3712">
        <v>2010</v>
      </c>
      <c r="B3712">
        <v>2</v>
      </c>
      <c r="C3712">
        <v>27</v>
      </c>
      <c r="D3712" s="1">
        <f t="shared" si="456"/>
        <v>40236</v>
      </c>
      <c r="E3712">
        <v>0</v>
      </c>
      <c r="F3712">
        <f t="shared" si="462"/>
        <v>0</v>
      </c>
      <c r="G3712">
        <f t="shared" si="457"/>
        <v>0</v>
      </c>
      <c r="H3712">
        <f t="shared" si="463"/>
        <v>0</v>
      </c>
      <c r="I3712">
        <v>3711</v>
      </c>
      <c r="J3712">
        <f t="shared" si="458"/>
        <v>0.84488052684026604</v>
      </c>
      <c r="K3712">
        <f t="shared" si="459"/>
        <v>0.53495504050912024</v>
      </c>
      <c r="L3712">
        <f>VLOOKUP(D3712,[1]SOI!$A$1:$C$142,3)</f>
        <v>-10.1</v>
      </c>
      <c r="M3712" s="2">
        <f t="shared" si="460"/>
        <v>3135.3516351042272</v>
      </c>
      <c r="N3712">
        <f t="shared" si="461"/>
        <v>1985.2181553293451</v>
      </c>
      <c r="O3712" t="s">
        <v>15</v>
      </c>
    </row>
    <row r="3713" spans="1:15" x14ac:dyDescent="0.35">
      <c r="A3713">
        <v>2010</v>
      </c>
      <c r="B3713">
        <v>2</v>
      </c>
      <c r="C3713">
        <v>28</v>
      </c>
      <c r="D3713" s="1">
        <f t="shared" si="456"/>
        <v>40237</v>
      </c>
      <c r="E3713">
        <v>0</v>
      </c>
      <c r="F3713">
        <f t="shared" si="462"/>
        <v>0</v>
      </c>
      <c r="G3713">
        <f t="shared" si="457"/>
        <v>0</v>
      </c>
      <c r="H3713">
        <f t="shared" si="463"/>
        <v>0</v>
      </c>
      <c r="I3713">
        <v>3712</v>
      </c>
      <c r="J3713">
        <f t="shared" si="458"/>
        <v>0.85395758944460654</v>
      </c>
      <c r="K3713">
        <f t="shared" si="459"/>
        <v>0.52034261350571398</v>
      </c>
      <c r="L3713">
        <f>VLOOKUP(D3713,[1]SOI!$A$1:$C$142,3)</f>
        <v>-10.1</v>
      </c>
      <c r="M3713" s="2">
        <f t="shared" si="460"/>
        <v>3169.8905720183793</v>
      </c>
      <c r="N3713">
        <f t="shared" si="461"/>
        <v>1931.5117813332104</v>
      </c>
      <c r="O3713" t="s">
        <v>15</v>
      </c>
    </row>
    <row r="3714" spans="1:15" x14ac:dyDescent="0.35">
      <c r="A3714">
        <v>2010</v>
      </c>
      <c r="B3714">
        <v>3</v>
      </c>
      <c r="C3714">
        <v>1</v>
      </c>
      <c r="D3714" s="1">
        <f t="shared" si="456"/>
        <v>40238</v>
      </c>
      <c r="E3714">
        <v>0.4</v>
      </c>
      <c r="F3714">
        <f t="shared" si="462"/>
        <v>0</v>
      </c>
      <c r="G3714">
        <f t="shared" si="457"/>
        <v>1</v>
      </c>
      <c r="H3714">
        <f t="shared" si="463"/>
        <v>0</v>
      </c>
      <c r="I3714">
        <v>3713</v>
      </c>
      <c r="J3714">
        <f t="shared" si="458"/>
        <v>0.86278195225937393</v>
      </c>
      <c r="K3714">
        <f t="shared" si="459"/>
        <v>0.50557620875146358</v>
      </c>
      <c r="L3714">
        <f>VLOOKUP(D3714,[1]SOI!$A$1:$C$142,3)</f>
        <v>-14.5</v>
      </c>
      <c r="M3714" s="2">
        <f t="shared" si="460"/>
        <v>3203.5093887390553</v>
      </c>
      <c r="N3714">
        <f t="shared" si="461"/>
        <v>1877.2044630941843</v>
      </c>
      <c r="O3714" t="s">
        <v>15</v>
      </c>
    </row>
    <row r="3715" spans="1:15" x14ac:dyDescent="0.35">
      <c r="A3715">
        <v>2010</v>
      </c>
      <c r="B3715">
        <v>3</v>
      </c>
      <c r="C3715">
        <v>2</v>
      </c>
      <c r="D3715" s="1">
        <f t="shared" ref="D3715:D3778" si="464">DATE(A3715,B3715,C3715)</f>
        <v>40239</v>
      </c>
      <c r="E3715">
        <v>0</v>
      </c>
      <c r="F3715">
        <f t="shared" si="462"/>
        <v>0.4</v>
      </c>
      <c r="G3715">
        <f t="shared" ref="G3715:G3778" si="465">IF(E3715=0,0,1)</f>
        <v>0</v>
      </c>
      <c r="H3715">
        <f t="shared" si="463"/>
        <v>1</v>
      </c>
      <c r="I3715">
        <v>3714</v>
      </c>
      <c r="J3715">
        <f t="shared" ref="J3715:J3778" si="466">SIN(2*PI()*I3715/365.25)</f>
        <v>0.8713510040136373</v>
      </c>
      <c r="K3715">
        <f t="shared" ref="K3715:K3778" si="467">COS(2*PI()*I3715/365.25)</f>
        <v>0.49066019586311083</v>
      </c>
      <c r="L3715">
        <f>VLOOKUP(D3715,[1]SOI!$A$1:$C$142,3)</f>
        <v>-14.5</v>
      </c>
      <c r="M3715" s="2">
        <f t="shared" ref="M3715:M3778" si="468">I3715*J3715</f>
        <v>3236.1976289066488</v>
      </c>
      <c r="N3715">
        <f t="shared" ref="N3715:N3778" si="469">I3715*K3715</f>
        <v>1822.3119674355937</v>
      </c>
      <c r="O3715" t="s">
        <v>15</v>
      </c>
    </row>
    <row r="3716" spans="1:15" x14ac:dyDescent="0.35">
      <c r="A3716">
        <v>2010</v>
      </c>
      <c r="B3716">
        <v>3</v>
      </c>
      <c r="C3716">
        <v>3</v>
      </c>
      <c r="D3716" s="1">
        <f t="shared" si="464"/>
        <v>40240</v>
      </c>
      <c r="E3716">
        <v>0</v>
      </c>
      <c r="F3716">
        <f t="shared" ref="F3716:F3779" si="470">E3715</f>
        <v>0</v>
      </c>
      <c r="G3716">
        <f t="shared" si="465"/>
        <v>0</v>
      </c>
      <c r="H3716">
        <f t="shared" ref="H3716:H3779" si="471">G3715</f>
        <v>0</v>
      </c>
      <c r="I3716">
        <v>3715</v>
      </c>
      <c r="J3716">
        <f t="shared" si="466"/>
        <v>0.87966220898712699</v>
      </c>
      <c r="K3716">
        <f t="shared" si="467"/>
        <v>0.47559898872883249</v>
      </c>
      <c r="L3716">
        <f>VLOOKUP(D3716,[1]SOI!$A$1:$C$142,3)</f>
        <v>-14.5</v>
      </c>
      <c r="M3716" s="2">
        <f t="shared" si="468"/>
        <v>3267.9451063871766</v>
      </c>
      <c r="N3716">
        <f t="shared" si="469"/>
        <v>1766.8502431276127</v>
      </c>
      <c r="O3716" t="s">
        <v>15</v>
      </c>
    </row>
    <row r="3717" spans="1:15" x14ac:dyDescent="0.35">
      <c r="A3717">
        <v>2010</v>
      </c>
      <c r="B3717">
        <v>3</v>
      </c>
      <c r="C3717">
        <v>4</v>
      </c>
      <c r="D3717" s="1">
        <f t="shared" si="464"/>
        <v>40241</v>
      </c>
      <c r="E3717">
        <v>0</v>
      </c>
      <c r="F3717">
        <f t="shared" si="470"/>
        <v>0</v>
      </c>
      <c r="G3717">
        <f t="shared" si="465"/>
        <v>0</v>
      </c>
      <c r="H3717">
        <f t="shared" si="471"/>
        <v>0</v>
      </c>
      <c r="I3717">
        <v>3716</v>
      </c>
      <c r="J3717">
        <f t="shared" si="466"/>
        <v>0.88771310776057333</v>
      </c>
      <c r="K3717">
        <f t="shared" si="467"/>
        <v>0.46039704420213734</v>
      </c>
      <c r="L3717">
        <f>VLOOKUP(D3717,[1]SOI!$A$1:$C$142,3)</f>
        <v>-14.5</v>
      </c>
      <c r="M3717" s="2">
        <f t="shared" si="468"/>
        <v>3298.7419084382905</v>
      </c>
      <c r="N3717">
        <f t="shared" si="469"/>
        <v>1710.8354162551423</v>
      </c>
      <c r="O3717" t="s">
        <v>15</v>
      </c>
    </row>
    <row r="3718" spans="1:15" x14ac:dyDescent="0.35">
      <c r="A3718">
        <v>2010</v>
      </c>
      <c r="B3718">
        <v>3</v>
      </c>
      <c r="C3718">
        <v>5</v>
      </c>
      <c r="D3718" s="1">
        <f t="shared" si="464"/>
        <v>40242</v>
      </c>
      <c r="E3718">
        <v>1</v>
      </c>
      <c r="F3718">
        <f t="shared" si="470"/>
        <v>0</v>
      </c>
      <c r="G3718">
        <f t="shared" si="465"/>
        <v>1</v>
      </c>
      <c r="H3718">
        <f t="shared" si="471"/>
        <v>0</v>
      </c>
      <c r="I3718">
        <v>3717</v>
      </c>
      <c r="J3718">
        <f t="shared" si="466"/>
        <v>0.89550131794350263</v>
      </c>
      <c r="K3718">
        <f t="shared" si="467"/>
        <v>0.44505886078298662</v>
      </c>
      <c r="L3718">
        <f>VLOOKUP(D3718,[1]SOI!$A$1:$C$142,3)</f>
        <v>-14.5</v>
      </c>
      <c r="M3718" s="2">
        <f t="shared" si="468"/>
        <v>3328.5783987959994</v>
      </c>
      <c r="N3718">
        <f t="shared" si="469"/>
        <v>1654.2837855303612</v>
      </c>
      <c r="O3718" t="s">
        <v>15</v>
      </c>
    </row>
    <row r="3719" spans="1:15" x14ac:dyDescent="0.35">
      <c r="A3719">
        <v>2010</v>
      </c>
      <c r="B3719">
        <v>3</v>
      </c>
      <c r="C3719">
        <v>6</v>
      </c>
      <c r="D3719" s="1">
        <f t="shared" si="464"/>
        <v>40243</v>
      </c>
      <c r="E3719">
        <v>1.2</v>
      </c>
      <c r="F3719">
        <f t="shared" si="470"/>
        <v>1</v>
      </c>
      <c r="G3719">
        <f t="shared" si="465"/>
        <v>1</v>
      </c>
      <c r="H3719">
        <f t="shared" si="471"/>
        <v>1</v>
      </c>
      <c r="I3719">
        <v>3718</v>
      </c>
      <c r="J3719">
        <f t="shared" si="466"/>
        <v>0.90302453487922163</v>
      </c>
      <c r="K3719">
        <f t="shared" si="467"/>
        <v>0.4295889772866216</v>
      </c>
      <c r="L3719">
        <f>VLOOKUP(D3719,[1]SOI!$A$1:$C$142,3)</f>
        <v>-14.5</v>
      </c>
      <c r="M3719" s="2">
        <f t="shared" si="468"/>
        <v>3357.445220680946</v>
      </c>
      <c r="N3719">
        <f t="shared" si="469"/>
        <v>1597.2118175516591</v>
      </c>
      <c r="O3719" t="s">
        <v>15</v>
      </c>
    </row>
    <row r="3720" spans="1:15" x14ac:dyDescent="0.35">
      <c r="A3720">
        <v>2010</v>
      </c>
      <c r="B3720">
        <v>3</v>
      </c>
      <c r="C3720">
        <v>7</v>
      </c>
      <c r="D3720" s="1">
        <f t="shared" si="464"/>
        <v>40244</v>
      </c>
      <c r="E3720">
        <v>39.200000000000003</v>
      </c>
      <c r="F3720">
        <f t="shared" si="470"/>
        <v>1.2</v>
      </c>
      <c r="G3720">
        <f t="shared" si="465"/>
        <v>1</v>
      </c>
      <c r="H3720">
        <f t="shared" si="471"/>
        <v>1</v>
      </c>
      <c r="I3720">
        <v>3719</v>
      </c>
      <c r="J3720">
        <f t="shared" si="466"/>
        <v>0.91028053232679906</v>
      </c>
      <c r="K3720">
        <f t="shared" si="467"/>
        <v>0.41399197150046191</v>
      </c>
      <c r="L3720">
        <f>VLOOKUP(D3720,[1]SOI!$A$1:$C$142,3)</f>
        <v>-14.5</v>
      </c>
      <c r="M3720" s="2">
        <f t="shared" si="468"/>
        <v>3385.3332997233656</v>
      </c>
      <c r="N3720">
        <f t="shared" si="469"/>
        <v>1539.6361420102178</v>
      </c>
      <c r="O3720" t="s">
        <v>15</v>
      </c>
    </row>
    <row r="3721" spans="1:15" x14ac:dyDescent="0.35">
      <c r="A3721">
        <v>2010</v>
      </c>
      <c r="B3721">
        <v>3</v>
      </c>
      <c r="C3721">
        <v>8</v>
      </c>
      <c r="D3721" s="1">
        <f t="shared" si="464"/>
        <v>40245</v>
      </c>
      <c r="E3721">
        <v>27.2</v>
      </c>
      <c r="F3721">
        <f t="shared" si="470"/>
        <v>39.200000000000003</v>
      </c>
      <c r="G3721">
        <f t="shared" si="465"/>
        <v>1</v>
      </c>
      <c r="H3721">
        <f t="shared" si="471"/>
        <v>1</v>
      </c>
      <c r="I3721">
        <v>3720</v>
      </c>
      <c r="J3721">
        <f t="shared" si="466"/>
        <v>0.91726716311985856</v>
      </c>
      <c r="K3721">
        <f t="shared" si="467"/>
        <v>0.3982724588294384</v>
      </c>
      <c r="L3721">
        <f>VLOOKUP(D3721,[1]SOI!$A$1:$C$142,3)</f>
        <v>-14.5</v>
      </c>
      <c r="M3721" s="2">
        <f t="shared" si="468"/>
        <v>3412.2338468058738</v>
      </c>
      <c r="N3721">
        <f t="shared" si="469"/>
        <v>1481.5735468455109</v>
      </c>
      <c r="O3721" t="s">
        <v>15</v>
      </c>
    </row>
    <row r="3722" spans="1:15" x14ac:dyDescent="0.35">
      <c r="A3722">
        <v>2010</v>
      </c>
      <c r="B3722">
        <v>3</v>
      </c>
      <c r="C3722">
        <v>9</v>
      </c>
      <c r="D3722" s="1">
        <f t="shared" si="464"/>
        <v>40246</v>
      </c>
      <c r="E3722">
        <v>7</v>
      </c>
      <c r="F3722">
        <f t="shared" si="470"/>
        <v>27.2</v>
      </c>
      <c r="G3722">
        <f t="shared" si="465"/>
        <v>1</v>
      </c>
      <c r="H3722">
        <f t="shared" si="471"/>
        <v>1</v>
      </c>
      <c r="I3722">
        <v>3721</v>
      </c>
      <c r="J3722">
        <f t="shared" si="466"/>
        <v>0.92398235980194132</v>
      </c>
      <c r="K3722">
        <f t="shared" si="467"/>
        <v>0.38243509093025951</v>
      </c>
      <c r="L3722">
        <f>VLOOKUP(D3722,[1]SOI!$A$1:$C$142,3)</f>
        <v>-14.5</v>
      </c>
      <c r="M3722" s="2">
        <f t="shared" si="468"/>
        <v>3438.1383608230235</v>
      </c>
      <c r="N3722">
        <f t="shared" si="469"/>
        <v>1423.0409733514957</v>
      </c>
      <c r="O3722" t="s">
        <v>15</v>
      </c>
    </row>
    <row r="3723" spans="1:15" x14ac:dyDescent="0.35">
      <c r="A3723">
        <v>2010</v>
      </c>
      <c r="B3723">
        <v>3</v>
      </c>
      <c r="C3723">
        <v>10</v>
      </c>
      <c r="D3723" s="1">
        <f t="shared" si="464"/>
        <v>40247</v>
      </c>
      <c r="E3723">
        <v>0</v>
      </c>
      <c r="F3723">
        <f t="shared" si="470"/>
        <v>7</v>
      </c>
      <c r="G3723">
        <f t="shared" si="465"/>
        <v>0</v>
      </c>
      <c r="H3723">
        <f t="shared" si="471"/>
        <v>1</v>
      </c>
      <c r="I3723">
        <v>3722</v>
      </c>
      <c r="J3723">
        <f t="shared" si="466"/>
        <v>0.93042413523831446</v>
      </c>
      <c r="K3723">
        <f t="shared" si="467"/>
        <v>0.36648455433487881</v>
      </c>
      <c r="L3723">
        <f>VLOOKUP(D3723,[1]SOI!$A$1:$C$142,3)</f>
        <v>-14.5</v>
      </c>
      <c r="M3723" s="2">
        <f t="shared" si="468"/>
        <v>3463.0386313570066</v>
      </c>
      <c r="N3723">
        <f t="shared" si="469"/>
        <v>1364.0555112344189</v>
      </c>
      <c r="O3723" t="s">
        <v>15</v>
      </c>
    </row>
    <row r="3724" spans="1:15" x14ac:dyDescent="0.35">
      <c r="A3724">
        <v>2010</v>
      </c>
      <c r="B3724">
        <v>3</v>
      </c>
      <c r="C3724">
        <v>11</v>
      </c>
      <c r="D3724" s="1">
        <f t="shared" si="464"/>
        <v>40248</v>
      </c>
      <c r="E3724">
        <v>0.2</v>
      </c>
      <c r="F3724">
        <f t="shared" si="470"/>
        <v>0</v>
      </c>
      <c r="G3724">
        <f t="shared" si="465"/>
        <v>1</v>
      </c>
      <c r="H3724">
        <f t="shared" si="471"/>
        <v>0</v>
      </c>
      <c r="I3724">
        <v>3723</v>
      </c>
      <c r="J3724">
        <f t="shared" si="466"/>
        <v>0.93659058320398036</v>
      </c>
      <c r="K3724">
        <f t="shared" si="467"/>
        <v>0.35042556906371414</v>
      </c>
      <c r="L3724">
        <f>VLOOKUP(D3724,[1]SOI!$A$1:$C$142,3)</f>
        <v>-14.5</v>
      </c>
      <c r="M3724" s="2">
        <f t="shared" si="468"/>
        <v>3486.9267412684189</v>
      </c>
      <c r="N3724">
        <f t="shared" si="469"/>
        <v>1304.6343936242076</v>
      </c>
      <c r="O3724" t="s">
        <v>15</v>
      </c>
    </row>
    <row r="3725" spans="1:15" x14ac:dyDescent="0.35">
      <c r="A3725">
        <v>2010</v>
      </c>
      <c r="B3725">
        <v>3</v>
      </c>
      <c r="C3725">
        <v>12</v>
      </c>
      <c r="D3725" s="1">
        <f t="shared" si="464"/>
        <v>40249</v>
      </c>
      <c r="E3725">
        <v>0</v>
      </c>
      <c r="F3725">
        <f t="shared" si="470"/>
        <v>0.2</v>
      </c>
      <c r="G3725">
        <f t="shared" si="465"/>
        <v>0</v>
      </c>
      <c r="H3725">
        <f t="shared" si="471"/>
        <v>1</v>
      </c>
      <c r="I3725">
        <v>3724</v>
      </c>
      <c r="J3725">
        <f t="shared" si="466"/>
        <v>0.94247987894778773</v>
      </c>
      <c r="K3725">
        <f t="shared" si="467"/>
        <v>0.33426288722884484</v>
      </c>
      <c r="L3725">
        <f>VLOOKUP(D3725,[1]SOI!$A$1:$C$142,3)</f>
        <v>-14.5</v>
      </c>
      <c r="M3725" s="2">
        <f t="shared" si="468"/>
        <v>3509.7950692015615</v>
      </c>
      <c r="N3725">
        <f t="shared" si="469"/>
        <v>1244.7949920402182</v>
      </c>
      <c r="O3725" t="s">
        <v>15</v>
      </c>
    </row>
    <row r="3726" spans="1:15" x14ac:dyDescent="0.35">
      <c r="A3726">
        <v>2010</v>
      </c>
      <c r="B3726">
        <v>3</v>
      </c>
      <c r="C3726">
        <v>13</v>
      </c>
      <c r="D3726" s="1">
        <f t="shared" si="464"/>
        <v>40250</v>
      </c>
      <c r="E3726">
        <v>0</v>
      </c>
      <c r="F3726">
        <f t="shared" si="470"/>
        <v>0</v>
      </c>
      <c r="G3726">
        <f t="shared" si="465"/>
        <v>0</v>
      </c>
      <c r="H3726">
        <f t="shared" si="471"/>
        <v>0</v>
      </c>
      <c r="I3726">
        <v>3725</v>
      </c>
      <c r="J3726">
        <f t="shared" si="466"/>
        <v>0.94809027973236637</v>
      </c>
      <c r="K3726">
        <f t="shared" si="467"/>
        <v>0.31800129162788521</v>
      </c>
      <c r="L3726">
        <f>VLOOKUP(D3726,[1]SOI!$A$1:$C$142,3)</f>
        <v>-14.5</v>
      </c>
      <c r="M3726" s="2">
        <f t="shared" si="468"/>
        <v>3531.6362920030647</v>
      </c>
      <c r="N3726">
        <f t="shared" si="469"/>
        <v>1184.5548113138725</v>
      </c>
      <c r="O3726" t="s">
        <v>15</v>
      </c>
    </row>
    <row r="3727" spans="1:15" x14ac:dyDescent="0.35">
      <c r="A3727">
        <v>2010</v>
      </c>
      <c r="B3727">
        <v>3</v>
      </c>
      <c r="C3727">
        <v>14</v>
      </c>
      <c r="D3727" s="1">
        <f t="shared" si="464"/>
        <v>40251</v>
      </c>
      <c r="E3727">
        <v>0</v>
      </c>
      <c r="F3727">
        <f t="shared" si="470"/>
        <v>0</v>
      </c>
      <c r="G3727">
        <f t="shared" si="465"/>
        <v>0</v>
      </c>
      <c r="H3727">
        <f t="shared" si="471"/>
        <v>0</v>
      </c>
      <c r="I3727">
        <v>3726</v>
      </c>
      <c r="J3727">
        <f t="shared" si="466"/>
        <v>0.95342012534986653</v>
      </c>
      <c r="K3727">
        <f t="shared" si="467"/>
        <v>0.30164559432858412</v>
      </c>
      <c r="L3727">
        <f>VLOOKUP(D3727,[1]SOI!$A$1:$C$142,3)</f>
        <v>-14.5</v>
      </c>
      <c r="M3727" s="2">
        <f t="shared" si="468"/>
        <v>3552.4433870536027</v>
      </c>
      <c r="N3727">
        <f t="shared" si="469"/>
        <v>1123.9314844683045</v>
      </c>
      <c r="O3727" t="s">
        <v>15</v>
      </c>
    </row>
    <row r="3728" spans="1:15" x14ac:dyDescent="0.35">
      <c r="A3728">
        <v>2010</v>
      </c>
      <c r="B3728">
        <v>3</v>
      </c>
      <c r="C3728">
        <v>15</v>
      </c>
      <c r="D3728" s="1">
        <f t="shared" si="464"/>
        <v>40252</v>
      </c>
      <c r="E3728">
        <v>0</v>
      </c>
      <c r="F3728">
        <f t="shared" si="470"/>
        <v>0</v>
      </c>
      <c r="G3728">
        <f t="shared" si="465"/>
        <v>0</v>
      </c>
      <c r="H3728">
        <f t="shared" si="471"/>
        <v>0</v>
      </c>
      <c r="I3728">
        <v>3727</v>
      </c>
      <c r="J3728">
        <f t="shared" si="466"/>
        <v>0.95846783861322515</v>
      </c>
      <c r="K3728">
        <f t="shared" si="467"/>
        <v>0.28520063524489669</v>
      </c>
      <c r="L3728">
        <f>VLOOKUP(D3728,[1]SOI!$A$1:$C$142,3)</f>
        <v>-14.5</v>
      </c>
      <c r="M3728" s="2">
        <f t="shared" si="468"/>
        <v>3572.2096345114901</v>
      </c>
      <c r="N3728">
        <f t="shared" si="469"/>
        <v>1062.9427675577299</v>
      </c>
      <c r="O3728" t="s">
        <v>15</v>
      </c>
    </row>
    <row r="3729" spans="1:15" x14ac:dyDescent="0.35">
      <c r="A3729">
        <v>2010</v>
      </c>
      <c r="B3729">
        <v>3</v>
      </c>
      <c r="C3729">
        <v>16</v>
      </c>
      <c r="D3729" s="1">
        <f t="shared" si="464"/>
        <v>40253</v>
      </c>
      <c r="E3729">
        <v>0</v>
      </c>
      <c r="F3729">
        <f t="shared" si="470"/>
        <v>0</v>
      </c>
      <c r="G3729">
        <f t="shared" si="465"/>
        <v>0</v>
      </c>
      <c r="H3729">
        <f t="shared" si="471"/>
        <v>0</v>
      </c>
      <c r="I3729">
        <v>3728</v>
      </c>
      <c r="J3729">
        <f t="shared" si="466"/>
        <v>0.96323192582286921</v>
      </c>
      <c r="K3729">
        <f t="shared" si="467"/>
        <v>0.26867128070481688</v>
      </c>
      <c r="L3729">
        <f>VLOOKUP(D3729,[1]SOI!$A$1:$C$142,3)</f>
        <v>-14.5</v>
      </c>
      <c r="M3729" s="2">
        <f t="shared" si="468"/>
        <v>3590.9286194676565</v>
      </c>
      <c r="N3729">
        <f t="shared" si="469"/>
        <v>1001.6065344675574</v>
      </c>
      <c r="O3729" t="s">
        <v>15</v>
      </c>
    </row>
    <row r="3730" spans="1:15" x14ac:dyDescent="0.35">
      <c r="A3730">
        <v>2010</v>
      </c>
      <c r="B3730">
        <v>3</v>
      </c>
      <c r="C3730">
        <v>17</v>
      </c>
      <c r="D3730" s="1">
        <f t="shared" si="464"/>
        <v>40254</v>
      </c>
      <c r="E3730">
        <v>0</v>
      </c>
      <c r="F3730">
        <f t="shared" si="470"/>
        <v>0</v>
      </c>
      <c r="G3730">
        <f t="shared" si="465"/>
        <v>0</v>
      </c>
      <c r="H3730">
        <f t="shared" si="471"/>
        <v>0</v>
      </c>
      <c r="I3730">
        <v>3729</v>
      </c>
      <c r="J3730">
        <f t="shared" si="466"/>
        <v>0.96771097720875465</v>
      </c>
      <c r="K3730">
        <f t="shared" si="467"/>
        <v>0.25206242201025758</v>
      </c>
      <c r="L3730">
        <f>VLOOKUP(D3730,[1]SOI!$A$1:$C$142,3)</f>
        <v>-14.5</v>
      </c>
      <c r="M3730" s="2">
        <f t="shared" si="468"/>
        <v>3608.5942340114461</v>
      </c>
      <c r="N3730">
        <f t="shared" si="469"/>
        <v>939.94077167625051</v>
      </c>
      <c r="O3730" t="s">
        <v>15</v>
      </c>
    </row>
    <row r="3731" spans="1:15" x14ac:dyDescent="0.35">
      <c r="A3731">
        <v>2010</v>
      </c>
      <c r="B3731">
        <v>3</v>
      </c>
      <c r="C3731">
        <v>18</v>
      </c>
      <c r="D3731" s="1">
        <f t="shared" si="464"/>
        <v>40255</v>
      </c>
      <c r="E3731">
        <v>0</v>
      </c>
      <c r="F3731">
        <f t="shared" si="470"/>
        <v>0</v>
      </c>
      <c r="G3731">
        <f t="shared" si="465"/>
        <v>0</v>
      </c>
      <c r="H3731">
        <f t="shared" si="471"/>
        <v>0</v>
      </c>
      <c r="I3731">
        <v>3730</v>
      </c>
      <c r="J3731">
        <f t="shared" si="466"/>
        <v>0.97190366734750777</v>
      </c>
      <c r="K3731">
        <f t="shared" si="467"/>
        <v>0.23537897398974478</v>
      </c>
      <c r="L3731">
        <f>VLOOKUP(D3731,[1]SOI!$A$1:$C$142,3)</f>
        <v>-14.5</v>
      </c>
      <c r="M3731" s="2">
        <f t="shared" si="468"/>
        <v>3625.2006792062039</v>
      </c>
      <c r="N3731">
        <f t="shared" si="469"/>
        <v>877.96357298174803</v>
      </c>
      <c r="O3731" t="s">
        <v>15</v>
      </c>
    </row>
    <row r="3732" spans="1:15" x14ac:dyDescent="0.35">
      <c r="A3732">
        <v>2010</v>
      </c>
      <c r="B3732">
        <v>3</v>
      </c>
      <c r="C3732">
        <v>19</v>
      </c>
      <c r="D3732" s="1">
        <f t="shared" si="464"/>
        <v>40256</v>
      </c>
      <c r="E3732">
        <v>0</v>
      </c>
      <c r="F3732">
        <f t="shared" si="470"/>
        <v>0</v>
      </c>
      <c r="G3732">
        <f t="shared" si="465"/>
        <v>0</v>
      </c>
      <c r="H3732">
        <f t="shared" si="471"/>
        <v>0</v>
      </c>
      <c r="I3732">
        <v>3731</v>
      </c>
      <c r="J3732">
        <f t="shared" si="466"/>
        <v>0.97580875555466662</v>
      </c>
      <c r="K3732">
        <f t="shared" si="467"/>
        <v>0.21862587354394489</v>
      </c>
      <c r="L3732">
        <f>VLOOKUP(D3732,[1]SOI!$A$1:$C$142,3)</f>
        <v>-14.5</v>
      </c>
      <c r="M3732" s="2">
        <f t="shared" si="468"/>
        <v>3640.742466974461</v>
      </c>
      <c r="N3732">
        <f t="shared" si="469"/>
        <v>815.69313419245839</v>
      </c>
      <c r="O3732" t="s">
        <v>15</v>
      </c>
    </row>
    <row r="3733" spans="1:15" x14ac:dyDescent="0.35">
      <c r="A3733">
        <v>2010</v>
      </c>
      <c r="B3733">
        <v>3</v>
      </c>
      <c r="C3733">
        <v>20</v>
      </c>
      <c r="D3733" s="1">
        <f t="shared" si="464"/>
        <v>40257</v>
      </c>
      <c r="E3733">
        <v>0.2</v>
      </c>
      <c r="F3733">
        <f t="shared" si="470"/>
        <v>0</v>
      </c>
      <c r="G3733">
        <f t="shared" si="465"/>
        <v>1</v>
      </c>
      <c r="H3733">
        <f t="shared" si="471"/>
        <v>0</v>
      </c>
      <c r="I3733">
        <v>3732</v>
      </c>
      <c r="J3733">
        <f t="shared" si="466"/>
        <v>0.97942508625180658</v>
      </c>
      <c r="K3733">
        <f t="shared" si="467"/>
        <v>0.2018080781847974</v>
      </c>
      <c r="L3733">
        <f>VLOOKUP(D3733,[1]SOI!$A$1:$C$142,3)</f>
        <v>-14.5</v>
      </c>
      <c r="M3733" s="2">
        <f t="shared" si="468"/>
        <v>3655.2144218917419</v>
      </c>
      <c r="N3733">
        <f t="shared" si="469"/>
        <v>753.14774778566391</v>
      </c>
      <c r="O3733" t="s">
        <v>15</v>
      </c>
    </row>
    <row r="3734" spans="1:15" x14ac:dyDescent="0.35">
      <c r="A3734">
        <v>2010</v>
      </c>
      <c r="B3734">
        <v>3</v>
      </c>
      <c r="C3734">
        <v>21</v>
      </c>
      <c r="D3734" s="1">
        <f t="shared" si="464"/>
        <v>40258</v>
      </c>
      <c r="E3734">
        <v>0</v>
      </c>
      <c r="F3734">
        <f t="shared" si="470"/>
        <v>0.2</v>
      </c>
      <c r="G3734">
        <f t="shared" si="465"/>
        <v>0</v>
      </c>
      <c r="H3734">
        <f t="shared" si="471"/>
        <v>1</v>
      </c>
      <c r="I3734">
        <v>3733</v>
      </c>
      <c r="J3734">
        <f t="shared" si="466"/>
        <v>0.98275158930848727</v>
      </c>
      <c r="K3734">
        <f t="shared" si="467"/>
        <v>0.18493056456854917</v>
      </c>
      <c r="L3734">
        <f>VLOOKUP(D3734,[1]SOI!$A$1:$C$142,3)</f>
        <v>-14.5</v>
      </c>
      <c r="M3734" s="2">
        <f t="shared" si="468"/>
        <v>3668.6116828885829</v>
      </c>
      <c r="N3734">
        <f t="shared" si="469"/>
        <v>690.34579753439402</v>
      </c>
      <c r="O3734" t="s">
        <v>15</v>
      </c>
    </row>
    <row r="3735" spans="1:15" x14ac:dyDescent="0.35">
      <c r="A3735">
        <v>2010</v>
      </c>
      <c r="B3735">
        <v>3</v>
      </c>
      <c r="C3735">
        <v>22</v>
      </c>
      <c r="D3735" s="1">
        <f t="shared" si="464"/>
        <v>40259</v>
      </c>
      <c r="E3735">
        <v>0</v>
      </c>
      <c r="F3735">
        <f t="shared" si="470"/>
        <v>0</v>
      </c>
      <c r="G3735">
        <f t="shared" si="465"/>
        <v>0</v>
      </c>
      <c r="H3735">
        <f t="shared" si="471"/>
        <v>0</v>
      </c>
      <c r="I3735">
        <v>3734</v>
      </c>
      <c r="J3735">
        <f t="shared" si="466"/>
        <v>0.98578728035894148</v>
      </c>
      <c r="K3735">
        <f t="shared" si="467"/>
        <v>0.16799832702298442</v>
      </c>
      <c r="L3735">
        <f>VLOOKUP(D3735,[1]SOI!$A$1:$C$142,3)</f>
        <v>-14.5</v>
      </c>
      <c r="M3735" s="2">
        <f t="shared" si="468"/>
        <v>3680.9297048602875</v>
      </c>
      <c r="N3735">
        <f t="shared" si="469"/>
        <v>627.3057531038238</v>
      </c>
      <c r="O3735" t="s">
        <v>15</v>
      </c>
    </row>
    <row r="3736" spans="1:15" x14ac:dyDescent="0.35">
      <c r="A3736">
        <v>2010</v>
      </c>
      <c r="B3736">
        <v>3</v>
      </c>
      <c r="C3736">
        <v>23</v>
      </c>
      <c r="D3736" s="1">
        <f t="shared" si="464"/>
        <v>40260</v>
      </c>
      <c r="E3736">
        <v>0</v>
      </c>
      <c r="F3736">
        <f t="shared" si="470"/>
        <v>0</v>
      </c>
      <c r="G3736">
        <f t="shared" si="465"/>
        <v>0</v>
      </c>
      <c r="H3736">
        <f t="shared" si="471"/>
        <v>0</v>
      </c>
      <c r="I3736">
        <v>3735</v>
      </c>
      <c r="J3736">
        <f t="shared" si="466"/>
        <v>0.98853126109334288</v>
      </c>
      <c r="K3736">
        <f t="shared" si="467"/>
        <v>0.15101637606963442</v>
      </c>
      <c r="L3736">
        <f>VLOOKUP(D3736,[1]SOI!$A$1:$C$142,3)</f>
        <v>-14.5</v>
      </c>
      <c r="M3736" s="2">
        <f t="shared" si="468"/>
        <v>3692.1642601836356</v>
      </c>
      <c r="N3736">
        <f t="shared" si="469"/>
        <v>564.0461646200846</v>
      </c>
      <c r="O3736" t="s">
        <v>15</v>
      </c>
    </row>
    <row r="3737" spans="1:15" x14ac:dyDescent="0.35">
      <c r="A3737">
        <v>2010</v>
      </c>
      <c r="B3737">
        <v>3</v>
      </c>
      <c r="C3737">
        <v>24</v>
      </c>
      <c r="D3737" s="1">
        <f t="shared" si="464"/>
        <v>40261</v>
      </c>
      <c r="E3737">
        <v>0</v>
      </c>
      <c r="F3737">
        <f t="shared" si="470"/>
        <v>0</v>
      </c>
      <c r="G3737">
        <f t="shared" si="465"/>
        <v>0</v>
      </c>
      <c r="H3737">
        <f t="shared" si="471"/>
        <v>0</v>
      </c>
      <c r="I3737">
        <v>3736</v>
      </c>
      <c r="J3737">
        <f t="shared" si="466"/>
        <v>0.99098271952364814</v>
      </c>
      <c r="K3737">
        <f t="shared" si="467"/>
        <v>0.13398973694098557</v>
      </c>
      <c r="L3737">
        <f>VLOOKUP(D3737,[1]SOI!$A$1:$C$142,3)</f>
        <v>-14.5</v>
      </c>
      <c r="M3737" s="2">
        <f t="shared" si="468"/>
        <v>3702.3114401403495</v>
      </c>
      <c r="N3737">
        <f t="shared" si="469"/>
        <v>500.58565721152206</v>
      </c>
      <c r="O3737" t="s">
        <v>15</v>
      </c>
    </row>
    <row r="3738" spans="1:15" x14ac:dyDescent="0.35">
      <c r="A3738">
        <v>2010</v>
      </c>
      <c r="B3738">
        <v>3</v>
      </c>
      <c r="C3738">
        <v>25</v>
      </c>
      <c r="D3738" s="1">
        <f t="shared" si="464"/>
        <v>40262</v>
      </c>
      <c r="E3738">
        <v>0</v>
      </c>
      <c r="F3738">
        <f t="shared" si="470"/>
        <v>0</v>
      </c>
      <c r="G3738">
        <f t="shared" si="465"/>
        <v>0</v>
      </c>
      <c r="H3738">
        <f t="shared" si="471"/>
        <v>0</v>
      </c>
      <c r="I3738">
        <v>3737</v>
      </c>
      <c r="J3738">
        <f t="shared" si="466"/>
        <v>0.9931409302238694</v>
      </c>
      <c r="K3738">
        <f t="shared" si="467"/>
        <v>0.11692344809347423</v>
      </c>
      <c r="L3738">
        <f>VLOOKUP(D3738,[1]SOI!$A$1:$C$142,3)</f>
        <v>-14.5</v>
      </c>
      <c r="M3738" s="2">
        <f t="shared" si="468"/>
        <v>3711.3676562465998</v>
      </c>
      <c r="N3738">
        <f t="shared" si="469"/>
        <v>436.94292552531317</v>
      </c>
      <c r="O3738" t="s">
        <v>15</v>
      </c>
    </row>
    <row r="3739" spans="1:15" x14ac:dyDescent="0.35">
      <c r="A3739">
        <v>2010</v>
      </c>
      <c r="B3739">
        <v>3</v>
      </c>
      <c r="C3739">
        <v>26</v>
      </c>
      <c r="D3739" s="1">
        <f t="shared" si="464"/>
        <v>40263</v>
      </c>
      <c r="E3739">
        <v>0</v>
      </c>
      <c r="F3739">
        <f t="shared" si="470"/>
        <v>0</v>
      </c>
      <c r="G3739">
        <f t="shared" si="465"/>
        <v>0</v>
      </c>
      <c r="H3739">
        <f t="shared" si="471"/>
        <v>0</v>
      </c>
      <c r="I3739">
        <v>3738</v>
      </c>
      <c r="J3739">
        <f t="shared" si="466"/>
        <v>0.99500525454473454</v>
      </c>
      <c r="K3739">
        <f t="shared" si="467"/>
        <v>9.9822559716568726E-2</v>
      </c>
      <c r="L3739">
        <f>VLOOKUP(D3739,[1]SOI!$A$1:$C$142,3)</f>
        <v>-14.5</v>
      </c>
      <c r="M3739" s="2">
        <f t="shared" si="468"/>
        <v>3719.3296414882179</v>
      </c>
      <c r="N3739">
        <f t="shared" si="469"/>
        <v>373.13672822053388</v>
      </c>
      <c r="O3739" t="s">
        <v>15</v>
      </c>
    </row>
    <row r="3740" spans="1:15" x14ac:dyDescent="0.35">
      <c r="A3740">
        <v>2010</v>
      </c>
      <c r="B3740">
        <v>3</v>
      </c>
      <c r="C3740">
        <v>27</v>
      </c>
      <c r="D3740" s="1">
        <f t="shared" si="464"/>
        <v>40264</v>
      </c>
      <c r="E3740">
        <v>0</v>
      </c>
      <c r="F3740">
        <f t="shared" si="470"/>
        <v>0</v>
      </c>
      <c r="G3740">
        <f t="shared" si="465"/>
        <v>0</v>
      </c>
      <c r="H3740">
        <f t="shared" si="471"/>
        <v>0</v>
      </c>
      <c r="I3740">
        <v>3739</v>
      </c>
      <c r="J3740">
        <f t="shared" si="466"/>
        <v>0.99657514080268617</v>
      </c>
      <c r="K3740">
        <f t="shared" si="467"/>
        <v>8.2692132238238403E-2</v>
      </c>
      <c r="L3740">
        <f>VLOOKUP(D3740,[1]SOI!$A$1:$C$142,3)</f>
        <v>-14.5</v>
      </c>
      <c r="M3740" s="2">
        <f t="shared" si="468"/>
        <v>3726.1944514612437</v>
      </c>
      <c r="N3740">
        <f t="shared" si="469"/>
        <v>309.18588243877338</v>
      </c>
      <c r="O3740" t="s">
        <v>15</v>
      </c>
    </row>
    <row r="3741" spans="1:15" x14ac:dyDescent="0.35">
      <c r="A3741">
        <v>2010</v>
      </c>
      <c r="B3741">
        <v>3</v>
      </c>
      <c r="C3741">
        <v>28</v>
      </c>
      <c r="D3741" s="1">
        <f t="shared" si="464"/>
        <v>40265</v>
      </c>
      <c r="E3741">
        <v>0</v>
      </c>
      <c r="F3741">
        <f t="shared" si="470"/>
        <v>0</v>
      </c>
      <c r="G3741">
        <f t="shared" si="465"/>
        <v>0</v>
      </c>
      <c r="H3741">
        <f t="shared" si="471"/>
        <v>0</v>
      </c>
      <c r="I3741">
        <v>3740</v>
      </c>
      <c r="J3741">
        <f t="shared" si="466"/>
        <v>0.99785012444312071</v>
      </c>
      <c r="K3741">
        <f t="shared" si="467"/>
        <v>6.5537234827604457E-2</v>
      </c>
      <c r="L3741">
        <f>VLOOKUP(D3741,[1]SOI!$A$1:$C$142,3)</f>
        <v>-14.5</v>
      </c>
      <c r="M3741" s="2">
        <f t="shared" si="468"/>
        <v>3731.9594654172715</v>
      </c>
      <c r="N3741">
        <f t="shared" si="469"/>
        <v>245.10925825524066</v>
      </c>
      <c r="O3741" t="s">
        <v>15</v>
      </c>
    </row>
    <row r="3742" spans="1:15" x14ac:dyDescent="0.35">
      <c r="A3742">
        <v>2010</v>
      </c>
      <c r="B3742">
        <v>3</v>
      </c>
      <c r="C3742">
        <v>29</v>
      </c>
      <c r="D3742" s="1">
        <f t="shared" si="464"/>
        <v>40266</v>
      </c>
      <c r="E3742">
        <v>8</v>
      </c>
      <c r="F3742">
        <f t="shared" si="470"/>
        <v>0</v>
      </c>
      <c r="G3742">
        <f t="shared" si="465"/>
        <v>1</v>
      </c>
      <c r="H3742">
        <f t="shared" si="471"/>
        <v>0</v>
      </c>
      <c r="I3742">
        <v>3741</v>
      </c>
      <c r="J3742">
        <f t="shared" si="466"/>
        <v>0.99882982817786792</v>
      </c>
      <c r="K3742">
        <f t="shared" si="467"/>
        <v>4.8362943894792322E-2</v>
      </c>
      <c r="L3742">
        <f>VLOOKUP(D3742,[1]SOI!$A$1:$C$142,3)</f>
        <v>-14.5</v>
      </c>
      <c r="M3742" s="2">
        <f t="shared" si="468"/>
        <v>3736.6223872134037</v>
      </c>
      <c r="N3742">
        <f t="shared" si="469"/>
        <v>180.92577311041808</v>
      </c>
      <c r="O3742" t="s">
        <v>15</v>
      </c>
    </row>
    <row r="3743" spans="1:15" x14ac:dyDescent="0.35">
      <c r="A3743">
        <v>2010</v>
      </c>
      <c r="B3743">
        <v>3</v>
      </c>
      <c r="C3743">
        <v>30</v>
      </c>
      <c r="D3743" s="1">
        <f t="shared" si="464"/>
        <v>40267</v>
      </c>
      <c r="E3743">
        <v>0.4</v>
      </c>
      <c r="F3743">
        <f t="shared" si="470"/>
        <v>8</v>
      </c>
      <c r="G3743">
        <f t="shared" si="465"/>
        <v>1</v>
      </c>
      <c r="H3743">
        <f t="shared" si="471"/>
        <v>1</v>
      </c>
      <c r="I3743">
        <v>3742</v>
      </c>
      <c r="J3743">
        <f t="shared" si="466"/>
        <v>0.9995139620968313</v>
      </c>
      <c r="K3743">
        <f t="shared" si="467"/>
        <v>3.1174341588782576E-2</v>
      </c>
      <c r="L3743">
        <f>VLOOKUP(D3743,[1]SOI!$A$1:$C$142,3)</f>
        <v>-14.5</v>
      </c>
      <c r="M3743" s="2">
        <f t="shared" si="468"/>
        <v>3740.1812461663426</v>
      </c>
      <c r="N3743">
        <f t="shared" si="469"/>
        <v>116.6543862252244</v>
      </c>
      <c r="O3743" t="s">
        <v>15</v>
      </c>
    </row>
    <row r="3744" spans="1:15" x14ac:dyDescent="0.35">
      <c r="A3744">
        <v>2010</v>
      </c>
      <c r="B3744">
        <v>3</v>
      </c>
      <c r="C3744">
        <v>31</v>
      </c>
      <c r="D3744" s="1">
        <f t="shared" si="464"/>
        <v>40268</v>
      </c>
      <c r="E3744">
        <v>0</v>
      </c>
      <c r="F3744">
        <f t="shared" si="470"/>
        <v>0.4</v>
      </c>
      <c r="G3744">
        <f t="shared" si="465"/>
        <v>0</v>
      </c>
      <c r="H3744">
        <f t="shared" si="471"/>
        <v>1</v>
      </c>
      <c r="I3744">
        <v>3743</v>
      </c>
      <c r="J3744">
        <f t="shared" si="466"/>
        <v>0.99990232375377641</v>
      </c>
      <c r="K3744">
        <f t="shared" si="467"/>
        <v>1.3976514293563979E-2</v>
      </c>
      <c r="L3744">
        <f>VLOOKUP(D3744,[1]SOI!$A$1:$C$142,3)</f>
        <v>-14.5</v>
      </c>
      <c r="M3744" s="2">
        <f t="shared" si="468"/>
        <v>3742.6343978103851</v>
      </c>
      <c r="N3744">
        <f t="shared" si="469"/>
        <v>52.314093000809976</v>
      </c>
      <c r="O3744" t="s">
        <v>15</v>
      </c>
    </row>
    <row r="3745" spans="1:15" x14ac:dyDescent="0.35">
      <c r="A3745">
        <v>2010</v>
      </c>
      <c r="B3745">
        <v>4</v>
      </c>
      <c r="C3745">
        <v>1</v>
      </c>
      <c r="D3745" s="1">
        <f t="shared" si="464"/>
        <v>40269</v>
      </c>
      <c r="E3745">
        <v>0</v>
      </c>
      <c r="F3745">
        <f t="shared" si="470"/>
        <v>0</v>
      </c>
      <c r="G3745">
        <f t="shared" si="465"/>
        <v>0</v>
      </c>
      <c r="H3745">
        <f t="shared" si="471"/>
        <v>0</v>
      </c>
      <c r="I3745">
        <v>3744</v>
      </c>
      <c r="J3745">
        <f t="shared" si="466"/>
        <v>0.99999479822624138</v>
      </c>
      <c r="K3745">
        <f t="shared" si="467"/>
        <v>-3.2254488771087842E-3</v>
      </c>
      <c r="L3745">
        <f>VLOOKUP(D3745,[1]SOI!$A$1:$C$142,3)</f>
        <v>-10.6</v>
      </c>
      <c r="M3745" s="2">
        <f t="shared" si="468"/>
        <v>3743.9805245590478</v>
      </c>
      <c r="N3745">
        <f t="shared" si="469"/>
        <v>-12.076080595895288</v>
      </c>
      <c r="O3745" t="s">
        <v>15</v>
      </c>
    </row>
    <row r="3746" spans="1:15" x14ac:dyDescent="0.35">
      <c r="A3746">
        <v>2010</v>
      </c>
      <c r="B3746">
        <v>4</v>
      </c>
      <c r="C3746">
        <v>2</v>
      </c>
      <c r="D3746" s="1">
        <f t="shared" si="464"/>
        <v>40270</v>
      </c>
      <c r="E3746">
        <v>0</v>
      </c>
      <c r="F3746">
        <f t="shared" si="470"/>
        <v>0</v>
      </c>
      <c r="G3746">
        <f t="shared" si="465"/>
        <v>0</v>
      </c>
      <c r="H3746">
        <f t="shared" si="471"/>
        <v>0</v>
      </c>
      <c r="I3746">
        <v>3745</v>
      </c>
      <c r="J3746">
        <f t="shared" si="466"/>
        <v>0.9997913581495419</v>
      </c>
      <c r="K3746">
        <f t="shared" si="467"/>
        <v>-2.0426457585552119E-2</v>
      </c>
      <c r="L3746">
        <f>VLOOKUP(D3746,[1]SOI!$A$1:$C$142,3)</f>
        <v>-10.6</v>
      </c>
      <c r="M3746" s="2">
        <f t="shared" si="468"/>
        <v>3744.2186362700345</v>
      </c>
      <c r="N3746">
        <f t="shared" si="469"/>
        <v>-76.497083657892688</v>
      </c>
      <c r="O3746" t="s">
        <v>15</v>
      </c>
    </row>
    <row r="3747" spans="1:15" x14ac:dyDescent="0.35">
      <c r="A3747">
        <v>2010</v>
      </c>
      <c r="B3747">
        <v>4</v>
      </c>
      <c r="C3747">
        <v>3</v>
      </c>
      <c r="D3747" s="1">
        <f t="shared" si="464"/>
        <v>40271</v>
      </c>
      <c r="E3747">
        <v>0</v>
      </c>
      <c r="F3747">
        <f t="shared" si="470"/>
        <v>0</v>
      </c>
      <c r="G3747">
        <f t="shared" si="465"/>
        <v>0</v>
      </c>
      <c r="H3747">
        <f t="shared" si="471"/>
        <v>0</v>
      </c>
      <c r="I3747">
        <v>3746</v>
      </c>
      <c r="J3747">
        <f t="shared" si="466"/>
        <v>0.99929206372486956</v>
      </c>
      <c r="K3747">
        <f t="shared" si="467"/>
        <v>-3.762142177657999E-2</v>
      </c>
      <c r="L3747">
        <f>VLOOKUP(D3747,[1]SOI!$A$1:$C$142,3)</f>
        <v>-10.6</v>
      </c>
      <c r="M3747" s="2">
        <f t="shared" si="468"/>
        <v>3743.3480707133613</v>
      </c>
      <c r="N3747">
        <f t="shared" si="469"/>
        <v>-140.92984597506864</v>
      </c>
      <c r="O3747" t="s">
        <v>15</v>
      </c>
    </row>
    <row r="3748" spans="1:15" x14ac:dyDescent="0.35">
      <c r="A3748">
        <v>2010</v>
      </c>
      <c r="B3748">
        <v>4</v>
      </c>
      <c r="C3748">
        <v>4</v>
      </c>
      <c r="D3748" s="1">
        <f t="shared" si="464"/>
        <v>40272</v>
      </c>
      <c r="E3748">
        <v>0</v>
      </c>
      <c r="F3748">
        <f t="shared" si="470"/>
        <v>0</v>
      </c>
      <c r="G3748">
        <f t="shared" si="465"/>
        <v>0</v>
      </c>
      <c r="H3748">
        <f t="shared" si="471"/>
        <v>0</v>
      </c>
      <c r="I3748">
        <v>3747</v>
      </c>
      <c r="J3748">
        <f t="shared" si="466"/>
        <v>0.99849706270147809</v>
      </c>
      <c r="K3748">
        <f t="shared" si="467"/>
        <v>-5.48052531836195E-2</v>
      </c>
      <c r="L3748">
        <f>VLOOKUP(D3748,[1]SOI!$A$1:$C$142,3)</f>
        <v>-10.6</v>
      </c>
      <c r="M3748" s="2">
        <f t="shared" si="468"/>
        <v>3741.3684939424384</v>
      </c>
      <c r="N3748">
        <f t="shared" si="469"/>
        <v>-205.35528367902228</v>
      </c>
      <c r="O3748" t="s">
        <v>15</v>
      </c>
    </row>
    <row r="3749" spans="1:15" x14ac:dyDescent="0.35">
      <c r="A3749">
        <v>2010</v>
      </c>
      <c r="B3749">
        <v>4</v>
      </c>
      <c r="C3749">
        <v>5</v>
      </c>
      <c r="D3749" s="1">
        <f t="shared" si="464"/>
        <v>40273</v>
      </c>
      <c r="E3749">
        <v>0</v>
      </c>
      <c r="F3749">
        <f t="shared" si="470"/>
        <v>0</v>
      </c>
      <c r="G3749">
        <f t="shared" si="465"/>
        <v>0</v>
      </c>
      <c r="H3749">
        <f t="shared" si="471"/>
        <v>0</v>
      </c>
      <c r="I3749">
        <v>3748</v>
      </c>
      <c r="J3749">
        <f t="shared" si="466"/>
        <v>0.99740659033296042</v>
      </c>
      <c r="K3749">
        <f t="shared" si="467"/>
        <v>-7.1972866834510249E-2</v>
      </c>
      <c r="L3749">
        <f>VLOOKUP(D3749,[1]SOI!$A$1:$C$142,3)</f>
        <v>-10.6</v>
      </c>
      <c r="M3749" s="2">
        <f t="shared" si="468"/>
        <v>3738.2799005679358</v>
      </c>
      <c r="N3749">
        <f t="shared" si="469"/>
        <v>-269.75430489574444</v>
      </c>
      <c r="O3749" t="s">
        <v>15</v>
      </c>
    </row>
    <row r="3750" spans="1:15" x14ac:dyDescent="0.35">
      <c r="A3750">
        <v>2010</v>
      </c>
      <c r="B3750">
        <v>4</v>
      </c>
      <c r="C3750">
        <v>6</v>
      </c>
      <c r="D3750" s="1">
        <f t="shared" si="464"/>
        <v>40274</v>
      </c>
      <c r="E3750">
        <v>0</v>
      </c>
      <c r="F3750">
        <f t="shared" si="470"/>
        <v>0</v>
      </c>
      <c r="G3750">
        <f t="shared" si="465"/>
        <v>0</v>
      </c>
      <c r="H3750">
        <f t="shared" si="471"/>
        <v>0</v>
      </c>
      <c r="I3750">
        <v>3749</v>
      </c>
      <c r="J3750">
        <f t="shared" si="466"/>
        <v>0.99602096930763317</v>
      </c>
      <c r="K3750">
        <f t="shared" si="467"/>
        <v>-8.9119182556186755E-2</v>
      </c>
      <c r="L3750">
        <f>VLOOKUP(D3750,[1]SOI!$A$1:$C$142,3)</f>
        <v>-10.6</v>
      </c>
      <c r="M3750" s="2">
        <f t="shared" si="468"/>
        <v>3734.0826139343167</v>
      </c>
      <c r="N3750">
        <f t="shared" si="469"/>
        <v>-334.10781540314412</v>
      </c>
      <c r="O3750" t="s">
        <v>15</v>
      </c>
    </row>
    <row r="3751" spans="1:15" x14ac:dyDescent="0.35">
      <c r="A3751">
        <v>2010</v>
      </c>
      <c r="B3751">
        <v>4</v>
      </c>
      <c r="C3751">
        <v>7</v>
      </c>
      <c r="D3751" s="1">
        <f t="shared" si="464"/>
        <v>40275</v>
      </c>
      <c r="E3751">
        <v>6.8</v>
      </c>
      <c r="F3751">
        <f t="shared" si="470"/>
        <v>0</v>
      </c>
      <c r="G3751">
        <f t="shared" si="465"/>
        <v>1</v>
      </c>
      <c r="H3751">
        <f t="shared" si="471"/>
        <v>0</v>
      </c>
      <c r="I3751">
        <v>3750</v>
      </c>
      <c r="J3751">
        <f t="shared" si="466"/>
        <v>0.99434060965305249</v>
      </c>
      <c r="K3751">
        <f t="shared" si="467"/>
        <v>-0.10623912647794095</v>
      </c>
      <c r="L3751">
        <f>VLOOKUP(D3751,[1]SOI!$A$1:$C$142,3)</f>
        <v>-10.6</v>
      </c>
      <c r="M3751" s="2">
        <f t="shared" si="468"/>
        <v>3728.777286198947</v>
      </c>
      <c r="N3751">
        <f t="shared" si="469"/>
        <v>-398.39672429227858</v>
      </c>
      <c r="O3751" t="s">
        <v>15</v>
      </c>
    </row>
    <row r="3752" spans="1:15" x14ac:dyDescent="0.35">
      <c r="A3752">
        <v>2010</v>
      </c>
      <c r="B3752">
        <v>4</v>
      </c>
      <c r="C3752">
        <v>8</v>
      </c>
      <c r="D3752" s="1">
        <f t="shared" si="464"/>
        <v>40276</v>
      </c>
      <c r="E3752">
        <v>0.2</v>
      </c>
      <c r="F3752">
        <f t="shared" si="470"/>
        <v>6.8</v>
      </c>
      <c r="G3752">
        <f t="shared" si="465"/>
        <v>1</v>
      </c>
      <c r="H3752">
        <f t="shared" si="471"/>
        <v>1</v>
      </c>
      <c r="I3752">
        <v>3751</v>
      </c>
      <c r="J3752">
        <f t="shared" si="466"/>
        <v>0.99236600861467184</v>
      </c>
      <c r="K3752">
        <f t="shared" si="467"/>
        <v>-0.12332763253296126</v>
      </c>
      <c r="L3752">
        <f>VLOOKUP(D3752,[1]SOI!$A$1:$C$142,3)</f>
        <v>-10.6</v>
      </c>
      <c r="M3752" s="2">
        <f t="shared" si="468"/>
        <v>3722.3648983136341</v>
      </c>
      <c r="N3752">
        <f t="shared" si="469"/>
        <v>-462.6019496311377</v>
      </c>
      <c r="O3752" t="s">
        <v>15</v>
      </c>
    </row>
    <row r="3753" spans="1:15" x14ac:dyDescent="0.35">
      <c r="A3753">
        <v>2010</v>
      </c>
      <c r="B3753">
        <v>4</v>
      </c>
      <c r="C3753">
        <v>9</v>
      </c>
      <c r="D3753" s="1">
        <f t="shared" si="464"/>
        <v>40277</v>
      </c>
      <c r="E3753">
        <v>0</v>
      </c>
      <c r="F3753">
        <f t="shared" si="470"/>
        <v>0.2</v>
      </c>
      <c r="G3753">
        <f t="shared" si="465"/>
        <v>0</v>
      </c>
      <c r="H3753">
        <f t="shared" si="471"/>
        <v>1</v>
      </c>
      <c r="I3753">
        <v>3752</v>
      </c>
      <c r="J3753">
        <f t="shared" si="466"/>
        <v>0.99009775050870996</v>
      </c>
      <c r="K3753">
        <f t="shared" si="467"/>
        <v>-0.14037964395735014</v>
      </c>
      <c r="L3753">
        <f>VLOOKUP(D3753,[1]SOI!$A$1:$C$142,3)</f>
        <v>-10.6</v>
      </c>
      <c r="M3753" s="2">
        <f t="shared" si="468"/>
        <v>3714.8467599086798</v>
      </c>
      <c r="N3753">
        <f t="shared" si="469"/>
        <v>-526.70442412797775</v>
      </c>
      <c r="O3753" t="s">
        <v>15</v>
      </c>
    </row>
    <row r="3754" spans="1:15" x14ac:dyDescent="0.35">
      <c r="A3754">
        <v>2010</v>
      </c>
      <c r="B3754">
        <v>4</v>
      </c>
      <c r="C3754">
        <v>10</v>
      </c>
      <c r="D3754" s="1">
        <f t="shared" si="464"/>
        <v>40278</v>
      </c>
      <c r="E3754">
        <v>0.2</v>
      </c>
      <c r="F3754">
        <f t="shared" si="470"/>
        <v>0</v>
      </c>
      <c r="G3754">
        <f t="shared" si="465"/>
        <v>1</v>
      </c>
      <c r="H3754">
        <f t="shared" si="471"/>
        <v>0</v>
      </c>
      <c r="I3754">
        <v>3753</v>
      </c>
      <c r="J3754">
        <f t="shared" si="466"/>
        <v>0.98753650654923164</v>
      </c>
      <c r="K3754">
        <f t="shared" si="467"/>
        <v>-0.15739011478660078</v>
      </c>
      <c r="L3754">
        <f>VLOOKUP(D3754,[1]SOI!$A$1:$C$142,3)</f>
        <v>-10.6</v>
      </c>
      <c r="M3754" s="2">
        <f t="shared" si="468"/>
        <v>3706.2245090792662</v>
      </c>
      <c r="N3754">
        <f t="shared" si="469"/>
        <v>-590.68510079411271</v>
      </c>
      <c r="O3754" t="s">
        <v>15</v>
      </c>
    </row>
    <row r="3755" spans="1:15" x14ac:dyDescent="0.35">
      <c r="A3755">
        <v>2010</v>
      </c>
      <c r="B3755">
        <v>4</v>
      </c>
      <c r="C3755">
        <v>11</v>
      </c>
      <c r="D3755" s="1">
        <f t="shared" si="464"/>
        <v>40279</v>
      </c>
      <c r="E3755">
        <v>3.6</v>
      </c>
      <c r="F3755">
        <f t="shared" si="470"/>
        <v>0.2</v>
      </c>
      <c r="G3755">
        <f t="shared" si="465"/>
        <v>1</v>
      </c>
      <c r="H3755">
        <f t="shared" si="471"/>
        <v>1</v>
      </c>
      <c r="I3755">
        <v>3754</v>
      </c>
      <c r="J3755">
        <f t="shared" si="466"/>
        <v>0.98468303464952855</v>
      </c>
      <c r="K3755">
        <f t="shared" si="467"/>
        <v>-0.17435401134873665</v>
      </c>
      <c r="L3755">
        <f>VLOOKUP(D3755,[1]SOI!$A$1:$C$142,3)</f>
        <v>-10.6</v>
      </c>
      <c r="M3755" s="2">
        <f t="shared" si="468"/>
        <v>3696.50011207433</v>
      </c>
      <c r="N3755">
        <f t="shared" si="469"/>
        <v>-654.52495860315742</v>
      </c>
      <c r="O3755" t="s">
        <v>15</v>
      </c>
    </row>
    <row r="3756" spans="1:15" x14ac:dyDescent="0.35">
      <c r="A3756">
        <v>2010</v>
      </c>
      <c r="B3756">
        <v>4</v>
      </c>
      <c r="C3756">
        <v>12</v>
      </c>
      <c r="D3756" s="1">
        <f t="shared" si="464"/>
        <v>40280</v>
      </c>
      <c r="E3756">
        <v>0.4</v>
      </c>
      <c r="F3756">
        <f t="shared" si="470"/>
        <v>3.6</v>
      </c>
      <c r="G3756">
        <f t="shared" si="465"/>
        <v>1</v>
      </c>
      <c r="H3756">
        <f t="shared" si="471"/>
        <v>1</v>
      </c>
      <c r="I3756">
        <v>3755</v>
      </c>
      <c r="J3756">
        <f t="shared" si="466"/>
        <v>0.98153817919784836</v>
      </c>
      <c r="K3756">
        <f t="shared" si="467"/>
        <v>-0.19126631375381409</v>
      </c>
      <c r="L3756">
        <f>VLOOKUP(D3756,[1]SOI!$A$1:$C$142,3)</f>
        <v>-10.6</v>
      </c>
      <c r="M3756" s="2">
        <f t="shared" si="468"/>
        <v>3685.6758628879206</v>
      </c>
      <c r="N3756">
        <f t="shared" si="469"/>
        <v>-718.20500814557192</v>
      </c>
      <c r="O3756" t="s">
        <v>15</v>
      </c>
    </row>
    <row r="3757" spans="1:15" x14ac:dyDescent="0.35">
      <c r="A3757">
        <v>2010</v>
      </c>
      <c r="B3757">
        <v>4</v>
      </c>
      <c r="C3757">
        <v>13</v>
      </c>
      <c r="D3757" s="1">
        <f t="shared" si="464"/>
        <v>40281</v>
      </c>
      <c r="E3757">
        <v>0.6</v>
      </c>
      <c r="F3757">
        <f t="shared" si="470"/>
        <v>0.4</v>
      </c>
      <c r="G3757">
        <f t="shared" si="465"/>
        <v>1</v>
      </c>
      <c r="H3757">
        <f t="shared" si="471"/>
        <v>1</v>
      </c>
      <c r="I3757">
        <v>3756</v>
      </c>
      <c r="J3757">
        <f t="shared" si="466"/>
        <v>0.97810287080751002</v>
      </c>
      <c r="K3757">
        <f t="shared" si="467"/>
        <v>-0.20812201737948666</v>
      </c>
      <c r="L3757">
        <f>VLOOKUP(D3757,[1]SOI!$A$1:$C$142,3)</f>
        <v>-10.6</v>
      </c>
      <c r="M3757" s="2">
        <f t="shared" si="468"/>
        <v>3673.7543827530076</v>
      </c>
      <c r="N3757">
        <f t="shared" si="469"/>
        <v>-781.70629727735184</v>
      </c>
      <c r="O3757" t="s">
        <v>15</v>
      </c>
    </row>
    <row r="3758" spans="1:15" x14ac:dyDescent="0.35">
      <c r="A3758">
        <v>2010</v>
      </c>
      <c r="B3758">
        <v>4</v>
      </c>
      <c r="C3758">
        <v>14</v>
      </c>
      <c r="D3758" s="1">
        <f t="shared" si="464"/>
        <v>40282</v>
      </c>
      <c r="E3758">
        <v>0</v>
      </c>
      <c r="F3758">
        <f t="shared" si="470"/>
        <v>0.6</v>
      </c>
      <c r="G3758">
        <f t="shared" si="465"/>
        <v>0</v>
      </c>
      <c r="H3758">
        <f t="shared" si="471"/>
        <v>1</v>
      </c>
      <c r="I3758">
        <v>3757</v>
      </c>
      <c r="J3758">
        <f t="shared" si="466"/>
        <v>0.97437812604154062</v>
      </c>
      <c r="K3758">
        <f t="shared" si="467"/>
        <v>-0.22491613435184141</v>
      </c>
      <c r="L3758">
        <f>VLOOKUP(D3758,[1]SOI!$A$1:$C$142,3)</f>
        <v>-10.6</v>
      </c>
      <c r="M3758" s="2">
        <f t="shared" si="468"/>
        <v>3660.7386195380682</v>
      </c>
      <c r="N3758">
        <f t="shared" si="469"/>
        <v>-845.00991675986813</v>
      </c>
      <c r="O3758" t="s">
        <v>15</v>
      </c>
    </row>
    <row r="3759" spans="1:15" x14ac:dyDescent="0.35">
      <c r="A3759">
        <v>2010</v>
      </c>
      <c r="B3759">
        <v>4</v>
      </c>
      <c r="C3759">
        <v>15</v>
      </c>
      <c r="D3759" s="1">
        <f t="shared" si="464"/>
        <v>40283</v>
      </c>
      <c r="E3759">
        <v>0</v>
      </c>
      <c r="F3759">
        <f t="shared" si="470"/>
        <v>0</v>
      </c>
      <c r="G3759">
        <f t="shared" si="465"/>
        <v>0</v>
      </c>
      <c r="H3759">
        <f t="shared" si="471"/>
        <v>0</v>
      </c>
      <c r="I3759">
        <v>3758</v>
      </c>
      <c r="J3759">
        <f t="shared" si="466"/>
        <v>0.97036504711183913</v>
      </c>
      <c r="K3759">
        <f t="shared" si="467"/>
        <v>-0.24164369502148886</v>
      </c>
      <c r="L3759">
        <f>VLOOKUP(D3759,[1]SOI!$A$1:$C$142,3)</f>
        <v>-10.6</v>
      </c>
      <c r="M3759" s="2">
        <f t="shared" si="468"/>
        <v>3646.6318470462916</v>
      </c>
      <c r="N3759">
        <f t="shared" si="469"/>
        <v>-908.0970058907551</v>
      </c>
      <c r="O3759" t="s">
        <v>15</v>
      </c>
    </row>
    <row r="3760" spans="1:15" x14ac:dyDescent="0.35">
      <c r="A3760">
        <v>2010</v>
      </c>
      <c r="B3760">
        <v>4</v>
      </c>
      <c r="C3760">
        <v>16</v>
      </c>
      <c r="D3760" s="1">
        <f t="shared" si="464"/>
        <v>40284</v>
      </c>
      <c r="E3760">
        <v>0</v>
      </c>
      <c r="F3760">
        <f t="shared" si="470"/>
        <v>0</v>
      </c>
      <c r="G3760">
        <f t="shared" si="465"/>
        <v>0</v>
      </c>
      <c r="H3760">
        <f t="shared" si="471"/>
        <v>0</v>
      </c>
      <c r="I3760">
        <v>3759</v>
      </c>
      <c r="J3760">
        <f t="shared" si="466"/>
        <v>0.96606482155302131</v>
      </c>
      <c r="K3760">
        <f t="shared" si="467"/>
        <v>-0.25829974943412004</v>
      </c>
      <c r="L3760">
        <f>VLOOKUP(D3760,[1]SOI!$A$1:$C$142,3)</f>
        <v>-10.6</v>
      </c>
      <c r="M3760" s="2">
        <f t="shared" si="468"/>
        <v>3631.4376642178072</v>
      </c>
      <c r="N3760">
        <f t="shared" si="469"/>
        <v>-970.94875812285727</v>
      </c>
      <c r="O3760" t="s">
        <v>15</v>
      </c>
    </row>
    <row r="3761" spans="1:15" x14ac:dyDescent="0.35">
      <c r="A3761">
        <v>2010</v>
      </c>
      <c r="B3761">
        <v>4</v>
      </c>
      <c r="C3761">
        <v>17</v>
      </c>
      <c r="D3761" s="1">
        <f t="shared" si="464"/>
        <v>40285</v>
      </c>
      <c r="E3761">
        <v>0</v>
      </c>
      <c r="F3761">
        <f t="shared" si="470"/>
        <v>0</v>
      </c>
      <c r="G3761">
        <f t="shared" si="465"/>
        <v>0</v>
      </c>
      <c r="H3761">
        <f t="shared" si="471"/>
        <v>0</v>
      </c>
      <c r="I3761">
        <v>3760</v>
      </c>
      <c r="J3761">
        <f t="shared" si="466"/>
        <v>0.96147872187102112</v>
      </c>
      <c r="K3761">
        <f t="shared" si="467"/>
        <v>-0.2748793687952365</v>
      </c>
      <c r="L3761">
        <f>VLOOKUP(D3761,[1]SOI!$A$1:$C$142,3)</f>
        <v>-10.6</v>
      </c>
      <c r="M3761" s="2">
        <f t="shared" si="468"/>
        <v>3615.1599942350394</v>
      </c>
      <c r="N3761">
        <f t="shared" si="469"/>
        <v>-1033.5464266700892</v>
      </c>
      <c r="O3761" t="s">
        <v>15</v>
      </c>
    </row>
    <row r="3762" spans="1:15" x14ac:dyDescent="0.35">
      <c r="A3762">
        <v>2010</v>
      </c>
      <c r="B3762">
        <v>4</v>
      </c>
      <c r="C3762">
        <v>18</v>
      </c>
      <c r="D3762" s="1">
        <f t="shared" si="464"/>
        <v>40286</v>
      </c>
      <c r="E3762">
        <v>0</v>
      </c>
      <c r="F3762">
        <f t="shared" si="470"/>
        <v>0</v>
      </c>
      <c r="G3762">
        <f t="shared" si="465"/>
        <v>0</v>
      </c>
      <c r="H3762">
        <f t="shared" si="471"/>
        <v>0</v>
      </c>
      <c r="I3762">
        <v>3761</v>
      </c>
      <c r="J3762">
        <f t="shared" si="466"/>
        <v>0.95660810516651018</v>
      </c>
      <c r="K3762">
        <f t="shared" si="467"/>
        <v>-0.29137764692875634</v>
      </c>
      <c r="L3762">
        <f>VLOOKUP(D3762,[1]SOI!$A$1:$C$142,3)</f>
        <v>-10.6</v>
      </c>
      <c r="M3762" s="2">
        <f t="shared" si="468"/>
        <v>3597.8030835312447</v>
      </c>
      <c r="N3762">
        <f t="shared" si="469"/>
        <v>-1095.8713300990526</v>
      </c>
      <c r="O3762" t="s">
        <v>15</v>
      </c>
    </row>
    <row r="3763" spans="1:15" x14ac:dyDescent="0.35">
      <c r="A3763">
        <v>2010</v>
      </c>
      <c r="B3763">
        <v>4</v>
      </c>
      <c r="C3763">
        <v>19</v>
      </c>
      <c r="D3763" s="1">
        <f t="shared" si="464"/>
        <v>40287</v>
      </c>
      <c r="E3763">
        <v>0</v>
      </c>
      <c r="F3763">
        <f t="shared" si="470"/>
        <v>0</v>
      </c>
      <c r="G3763">
        <f t="shared" si="465"/>
        <v>0</v>
      </c>
      <c r="H3763">
        <f t="shared" si="471"/>
        <v>0</v>
      </c>
      <c r="I3763">
        <v>3762</v>
      </c>
      <c r="J3763">
        <f t="shared" si="466"/>
        <v>0.95145441273333575</v>
      </c>
      <c r="K3763">
        <f t="shared" si="467"/>
        <v>-0.30778970172873432</v>
      </c>
      <c r="L3763">
        <f>VLOOKUP(D3763,[1]SOI!$A$1:$C$142,3)</f>
        <v>-10.6</v>
      </c>
      <c r="M3763" s="2">
        <f t="shared" si="468"/>
        <v>3579.371500702809</v>
      </c>
      <c r="N3763">
        <f t="shared" si="469"/>
        <v>-1157.9048579034986</v>
      </c>
      <c r="O3763" t="s">
        <v>15</v>
      </c>
    </row>
    <row r="3764" spans="1:15" x14ac:dyDescent="0.35">
      <c r="A3764">
        <v>2010</v>
      </c>
      <c r="B3764">
        <v>4</v>
      </c>
      <c r="C3764">
        <v>20</v>
      </c>
      <c r="D3764" s="1">
        <f t="shared" si="464"/>
        <v>40288</v>
      </c>
      <c r="E3764">
        <v>0</v>
      </c>
      <c r="F3764">
        <f t="shared" si="470"/>
        <v>0</v>
      </c>
      <c r="G3764">
        <f t="shared" si="465"/>
        <v>0</v>
      </c>
      <c r="H3764">
        <f t="shared" si="471"/>
        <v>0</v>
      </c>
      <c r="I3764">
        <v>3763</v>
      </c>
      <c r="J3764">
        <f t="shared" si="466"/>
        <v>0.94601916963201282</v>
      </c>
      <c r="K3764">
        <f t="shared" si="467"/>
        <v>-0.32411067660408366</v>
      </c>
      <c r="L3764">
        <f>VLOOKUP(D3764,[1]SOI!$A$1:$C$142,3)</f>
        <v>-10.6</v>
      </c>
      <c r="M3764" s="2">
        <f t="shared" si="468"/>
        <v>3559.8701353252641</v>
      </c>
      <c r="N3764">
        <f t="shared" si="469"/>
        <v>-1219.6284760611668</v>
      </c>
      <c r="O3764" t="s">
        <v>15</v>
      </c>
    </row>
    <row r="3765" spans="1:15" x14ac:dyDescent="0.35">
      <c r="A3765">
        <v>2010</v>
      </c>
      <c r="B3765">
        <v>4</v>
      </c>
      <c r="C3765">
        <v>21</v>
      </c>
      <c r="D3765" s="1">
        <f t="shared" si="464"/>
        <v>40289</v>
      </c>
      <c r="E3765">
        <v>1</v>
      </c>
      <c r="F3765">
        <f t="shared" si="470"/>
        <v>0</v>
      </c>
      <c r="G3765">
        <f t="shared" si="465"/>
        <v>1</v>
      </c>
      <c r="H3765">
        <f t="shared" si="471"/>
        <v>0</v>
      </c>
      <c r="I3765">
        <v>3764</v>
      </c>
      <c r="J3765">
        <f t="shared" si="466"/>
        <v>0.94030398423840189</v>
      </c>
      <c r="K3765">
        <f t="shared" si="467"/>
        <v>-0.34033574191581345</v>
      </c>
      <c r="L3765">
        <f>VLOOKUP(D3765,[1]SOI!$A$1:$C$142,3)</f>
        <v>-10.6</v>
      </c>
      <c r="M3765" s="2">
        <f t="shared" si="468"/>
        <v>3539.3041966733449</v>
      </c>
      <c r="N3765">
        <f t="shared" si="469"/>
        <v>-1281.0237325711219</v>
      </c>
      <c r="O3765" t="s">
        <v>15</v>
      </c>
    </row>
    <row r="3766" spans="1:15" x14ac:dyDescent="0.35">
      <c r="A3766">
        <v>2010</v>
      </c>
      <c r="B3766">
        <v>4</v>
      </c>
      <c r="C3766">
        <v>22</v>
      </c>
      <c r="D3766" s="1">
        <f t="shared" si="464"/>
        <v>40290</v>
      </c>
      <c r="E3766">
        <v>0</v>
      </c>
      <c r="F3766">
        <f t="shared" si="470"/>
        <v>1</v>
      </c>
      <c r="G3766">
        <f t="shared" si="465"/>
        <v>0</v>
      </c>
      <c r="H3766">
        <f t="shared" si="471"/>
        <v>1</v>
      </c>
      <c r="I3766">
        <v>3765</v>
      </c>
      <c r="J3766">
        <f t="shared" si="466"/>
        <v>0.9343105477678233</v>
      </c>
      <c r="K3766">
        <f t="shared" si="467"/>
        <v>-0.35646009640602133</v>
      </c>
      <c r="L3766">
        <f>VLOOKUP(D3766,[1]SOI!$A$1:$C$142,3)</f>
        <v>-10.6</v>
      </c>
      <c r="M3766" s="2">
        <f t="shared" si="468"/>
        <v>3517.6792123458549</v>
      </c>
      <c r="N3766">
        <f t="shared" si="469"/>
        <v>-1342.0722629686702</v>
      </c>
      <c r="O3766" t="s">
        <v>15</v>
      </c>
    </row>
    <row r="3767" spans="1:15" x14ac:dyDescent="0.35">
      <c r="A3767">
        <v>2010</v>
      </c>
      <c r="B3767">
        <v>4</v>
      </c>
      <c r="C3767">
        <v>23</v>
      </c>
      <c r="D3767" s="1">
        <f t="shared" si="464"/>
        <v>40291</v>
      </c>
      <c r="E3767">
        <v>0</v>
      </c>
      <c r="F3767">
        <f t="shared" si="470"/>
        <v>0</v>
      </c>
      <c r="G3767">
        <f t="shared" si="465"/>
        <v>0</v>
      </c>
      <c r="H3767">
        <f t="shared" si="471"/>
        <v>0</v>
      </c>
      <c r="I3767">
        <v>3766</v>
      </c>
      <c r="J3767">
        <f t="shared" si="466"/>
        <v>0.92804063377454371</v>
      </c>
      <c r="K3767">
        <f t="shared" si="467"/>
        <v>-0.37247896861882451</v>
      </c>
      <c r="L3767">
        <f>VLOOKUP(D3767,[1]SOI!$A$1:$C$142,3)</f>
        <v>-10.6</v>
      </c>
      <c r="M3767" s="2">
        <f t="shared" si="468"/>
        <v>3495.0010267949315</v>
      </c>
      <c r="N3767">
        <f t="shared" si="469"/>
        <v>-1402.7557958184932</v>
      </c>
      <c r="O3767" t="s">
        <v>15</v>
      </c>
    </row>
    <row r="3768" spans="1:15" x14ac:dyDescent="0.35">
      <c r="A3768">
        <v>2010</v>
      </c>
      <c r="B3768">
        <v>4</v>
      </c>
      <c r="C3768">
        <v>24</v>
      </c>
      <c r="D3768" s="1">
        <f t="shared" si="464"/>
        <v>40292</v>
      </c>
      <c r="E3768">
        <v>5</v>
      </c>
      <c r="F3768">
        <f t="shared" si="470"/>
        <v>0</v>
      </c>
      <c r="G3768">
        <f t="shared" si="465"/>
        <v>1</v>
      </c>
      <c r="H3768">
        <f t="shared" si="471"/>
        <v>0</v>
      </c>
      <c r="I3768">
        <v>3767</v>
      </c>
      <c r="J3768">
        <f t="shared" si="466"/>
        <v>0.92149609762699192</v>
      </c>
      <c r="K3768">
        <f t="shared" si="467"/>
        <v>-0.38838761831220286</v>
      </c>
      <c r="L3768">
        <f>VLOOKUP(D3768,[1]SOI!$A$1:$C$142,3)</f>
        <v>-10.6</v>
      </c>
      <c r="M3768" s="2">
        <f t="shared" si="468"/>
        <v>3471.2757997608787</v>
      </c>
      <c r="N3768">
        <f t="shared" si="469"/>
        <v>-1463.0561581820682</v>
      </c>
      <c r="O3768" t="s">
        <v>15</v>
      </c>
    </row>
    <row r="3769" spans="1:15" x14ac:dyDescent="0.35">
      <c r="A3769">
        <v>2010</v>
      </c>
      <c r="B3769">
        <v>4</v>
      </c>
      <c r="C3769">
        <v>25</v>
      </c>
      <c r="D3769" s="1">
        <f t="shared" si="464"/>
        <v>40293</v>
      </c>
      <c r="E3769">
        <v>0.4</v>
      </c>
      <c r="F3769">
        <f t="shared" si="470"/>
        <v>5</v>
      </c>
      <c r="G3769">
        <f t="shared" si="465"/>
        <v>1</v>
      </c>
      <c r="H3769">
        <f t="shared" si="471"/>
        <v>1</v>
      </c>
      <c r="I3769">
        <v>3768</v>
      </c>
      <c r="J3769">
        <f t="shared" si="466"/>
        <v>0.91467887595871111</v>
      </c>
      <c r="K3769">
        <f t="shared" si="467"/>
        <v>-0.40418133786075361</v>
      </c>
      <c r="L3769">
        <f>VLOOKUP(D3769,[1]SOI!$A$1:$C$142,3)</f>
        <v>-10.6</v>
      </c>
      <c r="M3769" s="2">
        <f t="shared" si="468"/>
        <v>3446.5100046124235</v>
      </c>
      <c r="N3769">
        <f t="shared" si="469"/>
        <v>-1522.9552810593195</v>
      </c>
      <c r="O3769" t="s">
        <v>15</v>
      </c>
    </row>
    <row r="3770" spans="1:15" x14ac:dyDescent="0.35">
      <c r="A3770">
        <v>2010</v>
      </c>
      <c r="B3770">
        <v>4</v>
      </c>
      <c r="C3770">
        <v>26</v>
      </c>
      <c r="D3770" s="1">
        <f t="shared" si="464"/>
        <v>40294</v>
      </c>
      <c r="E3770">
        <v>0</v>
      </c>
      <c r="F3770">
        <f t="shared" si="470"/>
        <v>0.4</v>
      </c>
      <c r="G3770">
        <f t="shared" si="465"/>
        <v>0</v>
      </c>
      <c r="H3770">
        <f t="shared" si="471"/>
        <v>1</v>
      </c>
      <c r="I3770">
        <v>3769</v>
      </c>
      <c r="J3770">
        <f t="shared" si="466"/>
        <v>0.90759098609526634</v>
      </c>
      <c r="K3770">
        <f t="shared" si="467"/>
        <v>-0.41985545364877902</v>
      </c>
      <c r="L3770">
        <f>VLOOKUP(D3770,[1]SOI!$A$1:$C$142,3)</f>
        <v>-10.6</v>
      </c>
      <c r="M3770" s="2">
        <f t="shared" si="468"/>
        <v>3420.7104265930589</v>
      </c>
      <c r="N3770">
        <f t="shared" si="469"/>
        <v>-1582.4352048022481</v>
      </c>
      <c r="O3770" t="s">
        <v>15</v>
      </c>
    </row>
    <row r="3771" spans="1:15" x14ac:dyDescent="0.35">
      <c r="A3771">
        <v>2010</v>
      </c>
      <c r="B3771">
        <v>4</v>
      </c>
      <c r="C3771">
        <v>27</v>
      </c>
      <c r="D3771" s="1">
        <f t="shared" si="464"/>
        <v>40295</v>
      </c>
      <c r="E3771">
        <v>0</v>
      </c>
      <c r="F3771">
        <f t="shared" si="470"/>
        <v>0</v>
      </c>
      <c r="G3771">
        <f t="shared" si="465"/>
        <v>0</v>
      </c>
      <c r="H3771">
        <f t="shared" si="471"/>
        <v>0</v>
      </c>
      <c r="I3771">
        <v>3770</v>
      </c>
      <c r="J3771">
        <f t="shared" si="466"/>
        <v>0.9002345254573012</v>
      </c>
      <c r="K3771">
        <f t="shared" si="467"/>
        <v>-0.43540532745324512</v>
      </c>
      <c r="L3771">
        <f>VLOOKUP(D3771,[1]SOI!$A$1:$C$142,3)</f>
        <v>-10.6</v>
      </c>
      <c r="M3771" s="2">
        <f t="shared" si="468"/>
        <v>3393.8841609740257</v>
      </c>
      <c r="N3771">
        <f t="shared" si="469"/>
        <v>-1641.478084498734</v>
      </c>
      <c r="O3771" t="s">
        <v>15</v>
      </c>
    </row>
    <row r="3772" spans="1:15" x14ac:dyDescent="0.35">
      <c r="A3772">
        <v>2010</v>
      </c>
      <c r="B3772">
        <v>4</v>
      </c>
      <c r="C3772">
        <v>28</v>
      </c>
      <c r="D3772" s="1">
        <f t="shared" si="464"/>
        <v>40296</v>
      </c>
      <c r="E3772">
        <v>0.8</v>
      </c>
      <c r="F3772">
        <f t="shared" si="470"/>
        <v>0</v>
      </c>
      <c r="G3772">
        <f t="shared" si="465"/>
        <v>1</v>
      </c>
      <c r="H3772">
        <f t="shared" si="471"/>
        <v>0</v>
      </c>
      <c r="I3772">
        <v>3771</v>
      </c>
      <c r="J3772">
        <f t="shared" si="466"/>
        <v>0.89261167093986626</v>
      </c>
      <c r="K3772">
        <f t="shared" si="467"/>
        <v>-0.45082635781633246</v>
      </c>
      <c r="L3772">
        <f>VLOOKUP(D3772,[1]SOI!$A$1:$C$142,3)</f>
        <v>-10.6</v>
      </c>
      <c r="M3772" s="2">
        <f t="shared" si="468"/>
        <v>3366.0386111142357</v>
      </c>
      <c r="N3772">
        <f t="shared" si="469"/>
        <v>-1700.0661953253898</v>
      </c>
      <c r="O3772" t="s">
        <v>15</v>
      </c>
    </row>
    <row r="3773" spans="1:15" x14ac:dyDescent="0.35">
      <c r="A3773">
        <v>2010</v>
      </c>
      <c r="B3773">
        <v>4</v>
      </c>
      <c r="C3773">
        <v>29</v>
      </c>
      <c r="D3773" s="1">
        <f t="shared" si="464"/>
        <v>40297</v>
      </c>
      <c r="E3773">
        <v>2.2000000000000002</v>
      </c>
      <c r="F3773">
        <f t="shared" si="470"/>
        <v>0.8</v>
      </c>
      <c r="G3773">
        <f t="shared" si="465"/>
        <v>1</v>
      </c>
      <c r="H3773">
        <f t="shared" si="471"/>
        <v>1</v>
      </c>
      <c r="I3773">
        <v>3772</v>
      </c>
      <c r="J3773">
        <f t="shared" si="466"/>
        <v>0.88472467826825907</v>
      </c>
      <c r="K3773">
        <f t="shared" si="467"/>
        <v>-0.46611398140704319</v>
      </c>
      <c r="L3773">
        <f>VLOOKUP(D3773,[1]SOI!$A$1:$C$142,3)</f>
        <v>-10.6</v>
      </c>
      <c r="M3773" s="2">
        <f t="shared" si="468"/>
        <v>3337.1814864278731</v>
      </c>
      <c r="N3773">
        <f t="shared" si="469"/>
        <v>-1758.181937867367</v>
      </c>
      <c r="O3773" t="s">
        <v>15</v>
      </c>
    </row>
    <row r="3774" spans="1:15" x14ac:dyDescent="0.35">
      <c r="A3774">
        <v>2010</v>
      </c>
      <c r="B3774">
        <v>4</v>
      </c>
      <c r="C3774">
        <v>30</v>
      </c>
      <c r="D3774" s="1">
        <f t="shared" si="464"/>
        <v>40298</v>
      </c>
      <c r="E3774">
        <v>0.2</v>
      </c>
      <c r="F3774">
        <f t="shared" si="470"/>
        <v>2.2000000000000002</v>
      </c>
      <c r="G3774">
        <f t="shared" si="465"/>
        <v>1</v>
      </c>
      <c r="H3774">
        <f t="shared" si="471"/>
        <v>1</v>
      </c>
      <c r="I3774">
        <v>3773</v>
      </c>
      <c r="J3774">
        <f t="shared" si="466"/>
        <v>0.87657588133050757</v>
      </c>
      <c r="K3774">
        <f t="shared" si="467"/>
        <v>-0.48126367437159007</v>
      </c>
      <c r="L3774">
        <f>VLOOKUP(D3774,[1]SOI!$A$1:$C$142,3)</f>
        <v>-10.6</v>
      </c>
      <c r="M3774" s="2">
        <f t="shared" si="468"/>
        <v>3307.3208002600049</v>
      </c>
      <c r="N3774">
        <f t="shared" si="469"/>
        <v>-1815.8078434040094</v>
      </c>
      <c r="O3774" t="s">
        <v>15</v>
      </c>
    </row>
    <row r="3775" spans="1:15" x14ac:dyDescent="0.35">
      <c r="A3775">
        <v>2010</v>
      </c>
      <c r="B3775">
        <v>5</v>
      </c>
      <c r="C3775">
        <v>1</v>
      </c>
      <c r="D3775" s="1">
        <f t="shared" si="464"/>
        <v>40299</v>
      </c>
      <c r="E3775">
        <v>0</v>
      </c>
      <c r="F3775">
        <f t="shared" si="470"/>
        <v>0.2</v>
      </c>
      <c r="G3775">
        <f t="shared" si="465"/>
        <v>0</v>
      </c>
      <c r="H3775">
        <f t="shared" si="471"/>
        <v>1</v>
      </c>
      <c r="I3775">
        <v>3774</v>
      </c>
      <c r="J3775">
        <f t="shared" si="466"/>
        <v>0.86816769148672068</v>
      </c>
      <c r="K3775">
        <f t="shared" si="467"/>
        <v>-0.49627095367210255</v>
      </c>
      <c r="L3775">
        <f>VLOOKUP(D3775,[1]SOI!$A$1:$C$142,3)</f>
        <v>15.2</v>
      </c>
      <c r="M3775" s="2">
        <f t="shared" si="468"/>
        <v>3276.4648676708839</v>
      </c>
      <c r="N3775">
        <f t="shared" si="469"/>
        <v>-1872.9265791585151</v>
      </c>
      <c r="O3775" t="s">
        <v>15</v>
      </c>
    </row>
    <row r="3776" spans="1:15" x14ac:dyDescent="0.35">
      <c r="A3776">
        <v>2010</v>
      </c>
      <c r="B3776">
        <v>5</v>
      </c>
      <c r="C3776">
        <v>2</v>
      </c>
      <c r="D3776" s="1">
        <f t="shared" si="464"/>
        <v>40300</v>
      </c>
      <c r="E3776">
        <v>0</v>
      </c>
      <c r="F3776">
        <f t="shared" si="470"/>
        <v>0</v>
      </c>
      <c r="G3776">
        <f t="shared" si="465"/>
        <v>0</v>
      </c>
      <c r="H3776">
        <f t="shared" si="471"/>
        <v>0</v>
      </c>
      <c r="I3776">
        <v>3775</v>
      </c>
      <c r="J3776">
        <f t="shared" si="466"/>
        <v>0.85950259685554076</v>
      </c>
      <c r="K3776">
        <f t="shared" si="467"/>
        <v>-0.51113137841320389</v>
      </c>
      <c r="L3776">
        <f>VLOOKUP(D3776,[1]SOI!$A$1:$C$142,3)</f>
        <v>15.2</v>
      </c>
      <c r="M3776" s="2">
        <f t="shared" si="468"/>
        <v>3244.6223031296663</v>
      </c>
      <c r="N3776">
        <f t="shared" si="469"/>
        <v>-1929.5209535098447</v>
      </c>
      <c r="O3776" t="s">
        <v>15</v>
      </c>
    </row>
    <row r="3777" spans="1:15" x14ac:dyDescent="0.35">
      <c r="A3777">
        <v>2010</v>
      </c>
      <c r="B3777">
        <v>5</v>
      </c>
      <c r="C3777">
        <v>3</v>
      </c>
      <c r="D3777" s="1">
        <f t="shared" si="464"/>
        <v>40301</v>
      </c>
      <c r="E3777">
        <v>0</v>
      </c>
      <c r="F3777">
        <f t="shared" si="470"/>
        <v>0</v>
      </c>
      <c r="G3777">
        <f t="shared" si="465"/>
        <v>0</v>
      </c>
      <c r="H3777">
        <f t="shared" si="471"/>
        <v>0</v>
      </c>
      <c r="I3777">
        <v>3776</v>
      </c>
      <c r="J3777">
        <f t="shared" si="466"/>
        <v>0.85058316157789138</v>
      </c>
      <c r="K3777">
        <f t="shared" si="467"/>
        <v>-0.52584055115610739</v>
      </c>
      <c r="L3777">
        <f>VLOOKUP(D3777,[1]SOI!$A$1:$C$142,3)</f>
        <v>15.2</v>
      </c>
      <c r="M3777" s="2">
        <f t="shared" si="468"/>
        <v>3211.8020181181178</v>
      </c>
      <c r="N3777">
        <f t="shared" si="469"/>
        <v>-1985.5739211654616</v>
      </c>
      <c r="O3777" t="s">
        <v>15</v>
      </c>
    </row>
    <row r="3778" spans="1:15" x14ac:dyDescent="0.35">
      <c r="A3778">
        <v>2010</v>
      </c>
      <c r="B3778">
        <v>5</v>
      </c>
      <c r="C3778">
        <v>4</v>
      </c>
      <c r="D3778" s="1">
        <f t="shared" si="464"/>
        <v>40302</v>
      </c>
      <c r="E3778">
        <v>0</v>
      </c>
      <c r="F3778">
        <f t="shared" si="470"/>
        <v>0</v>
      </c>
      <c r="G3778">
        <f t="shared" si="465"/>
        <v>0</v>
      </c>
      <c r="H3778">
        <f t="shared" si="471"/>
        <v>0</v>
      </c>
      <c r="I3778">
        <v>3777</v>
      </c>
      <c r="J3778">
        <f t="shared" si="466"/>
        <v>0.84141202505815638</v>
      </c>
      <c r="K3778">
        <f t="shared" si="467"/>
        <v>-0.54039411921997482</v>
      </c>
      <c r="L3778">
        <f>VLOOKUP(D3778,[1]SOI!$A$1:$C$142,3)</f>
        <v>15.2</v>
      </c>
      <c r="M3778" s="2">
        <f t="shared" si="468"/>
        <v>3178.0132186446567</v>
      </c>
      <c r="N3778">
        <f t="shared" si="469"/>
        <v>-2041.0685882938449</v>
      </c>
      <c r="O3778" t="s">
        <v>15</v>
      </c>
    </row>
    <row r="3779" spans="1:15" x14ac:dyDescent="0.35">
      <c r="A3779">
        <v>2010</v>
      </c>
      <c r="B3779">
        <v>5</v>
      </c>
      <c r="C3779">
        <v>5</v>
      </c>
      <c r="D3779" s="1">
        <f t="shared" ref="D3779:D3842" si="472">DATE(A3779,B3779,C3779)</f>
        <v>40303</v>
      </c>
      <c r="E3779">
        <v>4.2</v>
      </c>
      <c r="F3779">
        <f t="shared" si="470"/>
        <v>0</v>
      </c>
      <c r="G3779">
        <f t="shared" ref="G3779:G3842" si="473">IF(E3779=0,0,1)</f>
        <v>1</v>
      </c>
      <c r="H3779">
        <f t="shared" si="471"/>
        <v>0</v>
      </c>
      <c r="I3779">
        <v>3778</v>
      </c>
      <c r="J3779">
        <f t="shared" ref="J3779:J3842" si="474">SIN(2*PI()*I3779/365.25)</f>
        <v>0.83199190118319666</v>
      </c>
      <c r="K3779">
        <f t="shared" ref="K3779:K3842" si="475">COS(2*PI()*I3779/365.25)</f>
        <v>-0.55478777596984774</v>
      </c>
      <c r="L3779">
        <f>VLOOKUP(D3779,[1]SOI!$A$1:$C$142,3)</f>
        <v>15.2</v>
      </c>
      <c r="M3779" s="2">
        <f t="shared" ref="M3779:M3842" si="476">I3779*J3779</f>
        <v>3143.2654026701171</v>
      </c>
      <c r="N3779">
        <f t="shared" ref="N3779:N3842" si="477">I3779*K3779</f>
        <v>-2095.988217614085</v>
      </c>
      <c r="O3779" t="s">
        <v>15</v>
      </c>
    </row>
    <row r="3780" spans="1:15" x14ac:dyDescent="0.35">
      <c r="A3780">
        <v>2010</v>
      </c>
      <c r="B3780">
        <v>5</v>
      </c>
      <c r="C3780">
        <v>6</v>
      </c>
      <c r="D3780" s="1">
        <f t="shared" si="472"/>
        <v>40304</v>
      </c>
      <c r="E3780">
        <v>2.2000000000000002</v>
      </c>
      <c r="F3780">
        <f t="shared" ref="F3780:F3843" si="478">E3779</f>
        <v>4.2</v>
      </c>
      <c r="G3780">
        <f t="shared" si="473"/>
        <v>1</v>
      </c>
      <c r="H3780">
        <f t="shared" ref="H3780:H3843" si="479">G3779</f>
        <v>1</v>
      </c>
      <c r="I3780">
        <v>3779</v>
      </c>
      <c r="J3780">
        <f t="shared" si="474"/>
        <v>0.82232557751920621</v>
      </c>
      <c r="K3780">
        <f t="shared" si="475"/>
        <v>-0.569017262091146</v>
      </c>
      <c r="L3780">
        <f>VLOOKUP(D3780,[1]SOI!$A$1:$C$142,3)</f>
        <v>15.2</v>
      </c>
      <c r="M3780" s="2">
        <f t="shared" si="476"/>
        <v>3107.5683574450804</v>
      </c>
      <c r="N3780">
        <f t="shared" si="477"/>
        <v>-2150.3162334424405</v>
      </c>
      <c r="O3780" t="s">
        <v>15</v>
      </c>
    </row>
    <row r="3781" spans="1:15" x14ac:dyDescent="0.35">
      <c r="A3781">
        <v>2010</v>
      </c>
      <c r="B3781">
        <v>5</v>
      </c>
      <c r="C3781">
        <v>7</v>
      </c>
      <c r="D3781" s="1">
        <f t="shared" si="472"/>
        <v>40305</v>
      </c>
      <c r="E3781">
        <v>0</v>
      </c>
      <c r="F3781">
        <f t="shared" si="478"/>
        <v>2.2000000000000002</v>
      </c>
      <c r="G3781">
        <f t="shared" si="473"/>
        <v>0</v>
      </c>
      <c r="H3781">
        <f t="shared" si="479"/>
        <v>1</v>
      </c>
      <c r="I3781">
        <v>3780</v>
      </c>
      <c r="J3781">
        <f t="shared" si="474"/>
        <v>0.81241591448688955</v>
      </c>
      <c r="K3781">
        <f t="shared" si="475"/>
        <v>-0.58307836684997238</v>
      </c>
      <c r="L3781">
        <f>VLOOKUP(D3781,[1]SOI!$A$1:$C$142,3)</f>
        <v>15.2</v>
      </c>
      <c r="M3781" s="2">
        <f t="shared" si="476"/>
        <v>3070.9321567604425</v>
      </c>
      <c r="N3781">
        <f t="shared" si="477"/>
        <v>-2204.0362266928955</v>
      </c>
      <c r="O3781" t="s">
        <v>15</v>
      </c>
    </row>
    <row r="3782" spans="1:15" x14ac:dyDescent="0.35">
      <c r="A3782">
        <v>2010</v>
      </c>
      <c r="B3782">
        <v>5</v>
      </c>
      <c r="C3782">
        <v>8</v>
      </c>
      <c r="D3782" s="1">
        <f t="shared" si="472"/>
        <v>40306</v>
      </c>
      <c r="E3782">
        <v>4.8</v>
      </c>
      <c r="F3782">
        <f t="shared" si="478"/>
        <v>0</v>
      </c>
      <c r="G3782">
        <f t="shared" si="473"/>
        <v>1</v>
      </c>
      <c r="H3782">
        <f t="shared" si="479"/>
        <v>0</v>
      </c>
      <c r="I3782">
        <v>3781</v>
      </c>
      <c r="J3782">
        <f t="shared" si="474"/>
        <v>0.80226584451496119</v>
      </c>
      <c r="K3782">
        <f t="shared" si="475"/>
        <v>-0.59696692933921902</v>
      </c>
      <c r="L3782">
        <f>VLOOKUP(D3782,[1]SOI!$A$1:$C$142,3)</f>
        <v>15.2</v>
      </c>
      <c r="M3782" s="2">
        <f t="shared" si="476"/>
        <v>3033.3671581110684</v>
      </c>
      <c r="N3782">
        <f t="shared" si="477"/>
        <v>-2257.1319598315872</v>
      </c>
      <c r="O3782" t="s">
        <v>15</v>
      </c>
    </row>
    <row r="3783" spans="1:15" x14ac:dyDescent="0.35">
      <c r="A3783">
        <v>2010</v>
      </c>
      <c r="B3783">
        <v>5</v>
      </c>
      <c r="C3783">
        <v>9</v>
      </c>
      <c r="D3783" s="1">
        <f t="shared" si="472"/>
        <v>40307</v>
      </c>
      <c r="E3783">
        <v>0</v>
      </c>
      <c r="F3783">
        <f t="shared" si="478"/>
        <v>4.8</v>
      </c>
      <c r="G3783">
        <f t="shared" si="473"/>
        <v>0</v>
      </c>
      <c r="H3783">
        <f t="shared" si="479"/>
        <v>1</v>
      </c>
      <c r="I3783">
        <v>3782</v>
      </c>
      <c r="J3783">
        <f t="shared" si="474"/>
        <v>0.79187837117241611</v>
      </c>
      <c r="K3783">
        <f t="shared" si="475"/>
        <v>-0.61067883970981118</v>
      </c>
      <c r="L3783">
        <f>VLOOKUP(D3783,[1]SOI!$A$1:$C$142,3)</f>
        <v>15.2</v>
      </c>
      <c r="M3783" s="2">
        <f t="shared" si="476"/>
        <v>2994.8839997740779</v>
      </c>
      <c r="N3783">
        <f t="shared" si="477"/>
        <v>-2309.5873717825057</v>
      </c>
      <c r="O3783" t="s">
        <v>15</v>
      </c>
    </row>
    <row r="3784" spans="1:15" x14ac:dyDescent="0.35">
      <c r="A3784">
        <v>2010</v>
      </c>
      <c r="B3784">
        <v>5</v>
      </c>
      <c r="C3784">
        <v>10</v>
      </c>
      <c r="D3784" s="1">
        <f t="shared" si="472"/>
        <v>40308</v>
      </c>
      <c r="E3784">
        <v>0</v>
      </c>
      <c r="F3784">
        <f t="shared" si="478"/>
        <v>0</v>
      </c>
      <c r="G3784">
        <f t="shared" si="473"/>
        <v>0</v>
      </c>
      <c r="H3784">
        <f t="shared" si="479"/>
        <v>0</v>
      </c>
      <c r="I3784">
        <v>3783</v>
      </c>
      <c r="J3784">
        <f t="shared" si="474"/>
        <v>0.78125656827975176</v>
      </c>
      <c r="K3784">
        <f t="shared" si="475"/>
        <v>-0.62421004038684413</v>
      </c>
      <c r="L3784">
        <f>VLOOKUP(D3784,[1]SOI!$A$1:$C$142,3)</f>
        <v>15.2</v>
      </c>
      <c r="M3784" s="2">
        <f t="shared" si="476"/>
        <v>2955.4935978023009</v>
      </c>
      <c r="N3784">
        <f t="shared" si="477"/>
        <v>-2361.3865827834315</v>
      </c>
      <c r="O3784" t="s">
        <v>15</v>
      </c>
    </row>
    <row r="3785" spans="1:15" x14ac:dyDescent="0.35">
      <c r="A3785">
        <v>2010</v>
      </c>
      <c r="B3785">
        <v>5</v>
      </c>
      <c r="C3785">
        <v>11</v>
      </c>
      <c r="D3785" s="1">
        <f t="shared" si="472"/>
        <v>40309</v>
      </c>
      <c r="E3785">
        <v>3.8</v>
      </c>
      <c r="F3785">
        <f t="shared" si="478"/>
        <v>0</v>
      </c>
      <c r="G3785">
        <f t="shared" si="473"/>
        <v>1</v>
      </c>
      <c r="H3785">
        <f t="shared" si="479"/>
        <v>0</v>
      </c>
      <c r="I3785">
        <v>3784</v>
      </c>
      <c r="J3785">
        <f t="shared" si="474"/>
        <v>0.770403578999315</v>
      </c>
      <c r="K3785">
        <f t="shared" si="475"/>
        <v>-0.63755652727036394</v>
      </c>
      <c r="L3785">
        <f>VLOOKUP(D3785,[1]SOI!$A$1:$C$142,3)</f>
        <v>15.2</v>
      </c>
      <c r="M3785" s="2">
        <f t="shared" si="476"/>
        <v>2915.2071429334078</v>
      </c>
      <c r="N3785">
        <f t="shared" si="477"/>
        <v>-2412.5138991910571</v>
      </c>
      <c r="O3785" t="s">
        <v>15</v>
      </c>
    </row>
    <row r="3786" spans="1:15" x14ac:dyDescent="0.35">
      <c r="A3786">
        <v>2010</v>
      </c>
      <c r="B3786">
        <v>5</v>
      </c>
      <c r="C3786">
        <v>12</v>
      </c>
      <c r="D3786" s="1">
        <f t="shared" si="472"/>
        <v>40310</v>
      </c>
      <c r="E3786">
        <v>0</v>
      </c>
      <c r="F3786">
        <f t="shared" si="478"/>
        <v>3.8</v>
      </c>
      <c r="G3786">
        <f t="shared" si="473"/>
        <v>0</v>
      </c>
      <c r="H3786">
        <f t="shared" si="479"/>
        <v>1</v>
      </c>
      <c r="I3786">
        <v>3785</v>
      </c>
      <c r="J3786">
        <f t="shared" si="474"/>
        <v>0.75932261490525954</v>
      </c>
      <c r="K3786">
        <f t="shared" si="475"/>
        <v>-0.65071435092015517</v>
      </c>
      <c r="L3786">
        <f>VLOOKUP(D3786,[1]SOI!$A$1:$C$142,3)</f>
        <v>15.2</v>
      </c>
      <c r="M3786" s="2">
        <f t="shared" si="476"/>
        <v>2874.0360974164073</v>
      </c>
      <c r="N3786">
        <f t="shared" si="477"/>
        <v>-2462.9538182327874</v>
      </c>
      <c r="O3786" t="s">
        <v>15</v>
      </c>
    </row>
    <row r="3787" spans="1:15" x14ac:dyDescent="0.35">
      <c r="A3787">
        <v>2010</v>
      </c>
      <c r="B3787">
        <v>5</v>
      </c>
      <c r="C3787">
        <v>13</v>
      </c>
      <c r="D3787" s="1">
        <f t="shared" si="472"/>
        <v>40311</v>
      </c>
      <c r="E3787">
        <v>0.2</v>
      </c>
      <c r="F3787">
        <f t="shared" si="478"/>
        <v>0</v>
      </c>
      <c r="G3787">
        <f t="shared" si="473"/>
        <v>1</v>
      </c>
      <c r="H3787">
        <f t="shared" si="479"/>
        <v>0</v>
      </c>
      <c r="I3787">
        <v>3786</v>
      </c>
      <c r="J3787">
        <f t="shared" si="474"/>
        <v>0.74801695503312771</v>
      </c>
      <c r="K3787">
        <f t="shared" si="475"/>
        <v>-0.66367961772452211</v>
      </c>
      <c r="L3787">
        <f>VLOOKUP(D3787,[1]SOI!$A$1:$C$142,3)</f>
        <v>15.2</v>
      </c>
      <c r="M3787" s="2">
        <f t="shared" si="476"/>
        <v>2831.9921917554216</v>
      </c>
      <c r="N3787">
        <f t="shared" si="477"/>
        <v>-2512.6910327050409</v>
      </c>
      <c r="O3787" t="s">
        <v>15</v>
      </c>
    </row>
    <row r="3788" spans="1:15" x14ac:dyDescent="0.35">
      <c r="A3788">
        <v>2010</v>
      </c>
      <c r="B3788">
        <v>5</v>
      </c>
      <c r="C3788">
        <v>14</v>
      </c>
      <c r="D3788" s="1">
        <f t="shared" si="472"/>
        <v>40312</v>
      </c>
      <c r="E3788">
        <v>1</v>
      </c>
      <c r="F3788">
        <f t="shared" si="478"/>
        <v>0.2</v>
      </c>
      <c r="G3788">
        <f t="shared" si="473"/>
        <v>1</v>
      </c>
      <c r="H3788">
        <f t="shared" si="479"/>
        <v>1</v>
      </c>
      <c r="I3788">
        <v>3787</v>
      </c>
      <c r="J3788">
        <f t="shared" si="474"/>
        <v>0.73648994490955655</v>
      </c>
      <c r="K3788">
        <f t="shared" si="475"/>
        <v>-0.67644849105243665</v>
      </c>
      <c r="L3788">
        <f>VLOOKUP(D3788,[1]SOI!$A$1:$C$142,3)</f>
        <v>15.2</v>
      </c>
      <c r="M3788" s="2">
        <f t="shared" si="476"/>
        <v>2789.0874213724906</v>
      </c>
      <c r="N3788">
        <f t="shared" si="477"/>
        <v>-2561.7104356155778</v>
      </c>
      <c r="O3788" t="s">
        <v>15</v>
      </c>
    </row>
    <row r="3789" spans="1:15" x14ac:dyDescent="0.35">
      <c r="A3789">
        <v>2010</v>
      </c>
      <c r="B3789">
        <v>5</v>
      </c>
      <c r="C3789">
        <v>15</v>
      </c>
      <c r="D3789" s="1">
        <f t="shared" si="472"/>
        <v>40313</v>
      </c>
      <c r="E3789">
        <v>0</v>
      </c>
      <c r="F3789">
        <f t="shared" si="478"/>
        <v>1</v>
      </c>
      <c r="G3789">
        <f t="shared" si="473"/>
        <v>0</v>
      </c>
      <c r="H3789">
        <f t="shared" si="479"/>
        <v>1</v>
      </c>
      <c r="I3789">
        <v>3788</v>
      </c>
      <c r="J3789">
        <f t="shared" si="474"/>
        <v>0.72474499556231231</v>
      </c>
      <c r="K3789">
        <f t="shared" si="475"/>
        <v>-0.68901719238882853</v>
      </c>
      <c r="L3789">
        <f>VLOOKUP(D3789,[1]SOI!$A$1:$C$142,3)</f>
        <v>15.2</v>
      </c>
      <c r="M3789" s="2">
        <f t="shared" si="476"/>
        <v>2745.3340431900392</v>
      </c>
      <c r="N3789">
        <f t="shared" si="477"/>
        <v>-2609.9971247688823</v>
      </c>
      <c r="O3789" t="s">
        <v>15</v>
      </c>
    </row>
    <row r="3790" spans="1:15" x14ac:dyDescent="0.35">
      <c r="A3790">
        <v>2010</v>
      </c>
      <c r="B3790">
        <v>5</v>
      </c>
      <c r="C3790">
        <v>16</v>
      </c>
      <c r="D3790" s="1">
        <f t="shared" si="472"/>
        <v>40314</v>
      </c>
      <c r="E3790">
        <v>0</v>
      </c>
      <c r="F3790">
        <f t="shared" si="478"/>
        <v>0</v>
      </c>
      <c r="G3790">
        <f t="shared" si="473"/>
        <v>0</v>
      </c>
      <c r="H3790">
        <f t="shared" si="479"/>
        <v>0</v>
      </c>
      <c r="I3790">
        <v>3789</v>
      </c>
      <c r="J3790">
        <f t="shared" si="474"/>
        <v>0.71278558251084567</v>
      </c>
      <c r="K3790">
        <f t="shared" si="475"/>
        <v>-0.70138200245278215</v>
      </c>
      <c r="L3790">
        <f>VLOOKUP(D3790,[1]SOI!$A$1:$C$142,3)</f>
        <v>15.2</v>
      </c>
      <c r="M3790" s="2">
        <f t="shared" si="476"/>
        <v>2700.7445721335944</v>
      </c>
      <c r="N3790">
        <f t="shared" si="477"/>
        <v>-2657.5364072935918</v>
      </c>
      <c r="O3790" t="s">
        <v>15</v>
      </c>
    </row>
    <row r="3791" spans="1:15" x14ac:dyDescent="0.35">
      <c r="A3791">
        <v>2010</v>
      </c>
      <c r="B3791">
        <v>5</v>
      </c>
      <c r="C3791">
        <v>17</v>
      </c>
      <c r="D3791" s="1">
        <f t="shared" si="472"/>
        <v>40315</v>
      </c>
      <c r="E3791">
        <v>0</v>
      </c>
      <c r="F3791">
        <f t="shared" si="478"/>
        <v>0</v>
      </c>
      <c r="G3791">
        <f t="shared" si="473"/>
        <v>0</v>
      </c>
      <c r="H3791">
        <f t="shared" si="479"/>
        <v>0</v>
      </c>
      <c r="I3791">
        <v>3790</v>
      </c>
      <c r="J3791">
        <f t="shared" si="474"/>
        <v>0.70061524473790671</v>
      </c>
      <c r="K3791">
        <f t="shared" si="475"/>
        <v>-0.71353926229804843</v>
      </c>
      <c r="L3791">
        <f>VLOOKUP(D3791,[1]SOI!$A$1:$C$142,3)</f>
        <v>15.2</v>
      </c>
      <c r="M3791" s="2">
        <f t="shared" si="476"/>
        <v>2655.3317775566666</v>
      </c>
      <c r="N3791">
        <f t="shared" si="477"/>
        <v>-2704.3138041096036</v>
      </c>
      <c r="O3791" t="s">
        <v>15</v>
      </c>
    </row>
    <row r="3792" spans="1:15" x14ac:dyDescent="0.35">
      <c r="A3792">
        <v>2010</v>
      </c>
      <c r="B3792">
        <v>5</v>
      </c>
      <c r="C3792">
        <v>18</v>
      </c>
      <c r="D3792" s="1">
        <f t="shared" si="472"/>
        <v>40316</v>
      </c>
      <c r="E3792">
        <v>0</v>
      </c>
      <c r="F3792">
        <f t="shared" si="478"/>
        <v>0</v>
      </c>
      <c r="G3792">
        <f t="shared" si="473"/>
        <v>0</v>
      </c>
      <c r="H3792">
        <f t="shared" si="479"/>
        <v>0</v>
      </c>
      <c r="I3792">
        <v>3791</v>
      </c>
      <c r="J3792">
        <f t="shared" si="474"/>
        <v>0.68823758364223442</v>
      </c>
      <c r="K3792">
        <f t="shared" si="475"/>
        <v>-0.72548537439585803</v>
      </c>
      <c r="L3792">
        <f>VLOOKUP(D3792,[1]SOI!$A$1:$C$142,3)</f>
        <v>15.2</v>
      </c>
      <c r="M3792" s="2">
        <f t="shared" si="476"/>
        <v>2609.1086795877109</v>
      </c>
      <c r="N3792">
        <f t="shared" si="477"/>
        <v>-2750.3150543346978</v>
      </c>
      <c r="O3792" t="s">
        <v>15</v>
      </c>
    </row>
    <row r="3793" spans="1:15" x14ac:dyDescent="0.35">
      <c r="A3793">
        <v>2010</v>
      </c>
      <c r="B3793">
        <v>5</v>
      </c>
      <c r="C3793">
        <v>19</v>
      </c>
      <c r="D3793" s="1">
        <f t="shared" si="472"/>
        <v>40317</v>
      </c>
      <c r="E3793">
        <v>0</v>
      </c>
      <c r="F3793">
        <f t="shared" si="478"/>
        <v>0</v>
      </c>
      <c r="G3793">
        <f t="shared" si="473"/>
        <v>0</v>
      </c>
      <c r="H3793">
        <f t="shared" si="479"/>
        <v>0</v>
      </c>
      <c r="I3793">
        <v>3792</v>
      </c>
      <c r="J3793">
        <f t="shared" si="474"/>
        <v>0.67565626197287421</v>
      </c>
      <c r="K3793">
        <f t="shared" si="475"/>
        <v>-0.73721680369945641</v>
      </c>
      <c r="L3793">
        <f>VLOOKUP(D3793,[1]SOI!$A$1:$C$142,3)</f>
        <v>15.2</v>
      </c>
      <c r="M3793" s="2">
        <f t="shared" si="476"/>
        <v>2562.0885454011391</v>
      </c>
      <c r="N3793">
        <f t="shared" si="477"/>
        <v>-2795.5261196283386</v>
      </c>
      <c r="O3793" t="s">
        <v>15</v>
      </c>
    </row>
    <row r="3794" spans="1:15" x14ac:dyDescent="0.35">
      <c r="A3794">
        <v>2010</v>
      </c>
      <c r="B3794">
        <v>5</v>
      </c>
      <c r="C3794">
        <v>20</v>
      </c>
      <c r="D3794" s="1">
        <f t="shared" si="472"/>
        <v>40318</v>
      </c>
      <c r="E3794">
        <v>0</v>
      </c>
      <c r="F3794">
        <f t="shared" si="478"/>
        <v>0</v>
      </c>
      <c r="G3794">
        <f t="shared" si="473"/>
        <v>0</v>
      </c>
      <c r="H3794">
        <f t="shared" si="479"/>
        <v>0</v>
      </c>
      <c r="I3794">
        <v>3793</v>
      </c>
      <c r="J3794">
        <f t="shared" si="474"/>
        <v>0.66287500274534261</v>
      </c>
      <c r="K3794">
        <f t="shared" si="475"/>
        <v>-0.74873007869015251</v>
      </c>
      <c r="L3794">
        <f>VLOOKUP(D3794,[1]SOI!$A$1:$C$142,3)</f>
        <v>15.2</v>
      </c>
      <c r="M3794" s="2">
        <f t="shared" si="476"/>
        <v>2514.2848854130843</v>
      </c>
      <c r="N3794">
        <f t="shared" si="477"/>
        <v>-2839.9331884717485</v>
      </c>
      <c r="O3794" t="s">
        <v>15</v>
      </c>
    </row>
    <row r="3795" spans="1:15" x14ac:dyDescent="0.35">
      <c r="A3795">
        <v>2010</v>
      </c>
      <c r="B3795">
        <v>5</v>
      </c>
      <c r="C3795">
        <v>21</v>
      </c>
      <c r="D3795" s="1">
        <f t="shared" si="472"/>
        <v>40319</v>
      </c>
      <c r="E3795">
        <v>0</v>
      </c>
      <c r="F3795">
        <f t="shared" si="478"/>
        <v>0</v>
      </c>
      <c r="G3795">
        <f t="shared" si="473"/>
        <v>0</v>
      </c>
      <c r="H3795">
        <f t="shared" si="479"/>
        <v>0</v>
      </c>
      <c r="I3795">
        <v>3794</v>
      </c>
      <c r="J3795">
        <f t="shared" si="474"/>
        <v>0.64989758813985476</v>
      </c>
      <c r="K3795">
        <f t="shared" si="475"/>
        <v>-0.76002179240466505</v>
      </c>
      <c r="L3795">
        <f>VLOOKUP(D3795,[1]SOI!$A$1:$C$142,3)</f>
        <v>15.2</v>
      </c>
      <c r="M3795" s="2">
        <f t="shared" si="476"/>
        <v>2465.7114494026091</v>
      </c>
      <c r="N3795">
        <f t="shared" si="477"/>
        <v>-2883.5226803832993</v>
      </c>
      <c r="O3795" t="s">
        <v>15</v>
      </c>
    </row>
    <row r="3796" spans="1:15" x14ac:dyDescent="0.35">
      <c r="A3796">
        <v>2010</v>
      </c>
      <c r="B3796">
        <v>5</v>
      </c>
      <c r="C3796">
        <v>22</v>
      </c>
      <c r="D3796" s="1">
        <f t="shared" si="472"/>
        <v>40320</v>
      </c>
      <c r="E3796">
        <v>0</v>
      </c>
      <c r="F3796">
        <f t="shared" si="478"/>
        <v>0</v>
      </c>
      <c r="G3796">
        <f t="shared" si="473"/>
        <v>0</v>
      </c>
      <c r="H3796">
        <f t="shared" si="479"/>
        <v>0</v>
      </c>
      <c r="I3796">
        <v>3795</v>
      </c>
      <c r="J3796">
        <f t="shared" si="474"/>
        <v>0.63672785838220025</v>
      </c>
      <c r="K3796">
        <f t="shared" si="475"/>
        <v>-0.77108860344322083</v>
      </c>
      <c r="L3796">
        <f>VLOOKUP(D3796,[1]SOI!$A$1:$C$142,3)</f>
        <v>15.2</v>
      </c>
      <c r="M3796" s="2">
        <f t="shared" si="476"/>
        <v>2416.3822225604499</v>
      </c>
      <c r="N3796">
        <f t="shared" si="477"/>
        <v>-2926.2812500670229</v>
      </c>
      <c r="O3796" t="s">
        <v>15</v>
      </c>
    </row>
    <row r="3797" spans="1:15" x14ac:dyDescent="0.35">
      <c r="A3797">
        <v>2010</v>
      </c>
      <c r="B3797">
        <v>5</v>
      </c>
      <c r="C3797">
        <v>23</v>
      </c>
      <c r="D3797" s="1">
        <f t="shared" si="472"/>
        <v>40321</v>
      </c>
      <c r="E3797">
        <v>0</v>
      </c>
      <c r="F3797">
        <f t="shared" si="478"/>
        <v>0</v>
      </c>
      <c r="G3797">
        <f t="shared" si="473"/>
        <v>0</v>
      </c>
      <c r="H3797">
        <f t="shared" si="479"/>
        <v>0</v>
      </c>
      <c r="I3797">
        <v>3796</v>
      </c>
      <c r="J3797">
        <f t="shared" si="474"/>
        <v>0.62336971060728441</v>
      </c>
      <c r="K3797">
        <f t="shared" si="475"/>
        <v>-0.78192723695839528</v>
      </c>
      <c r="L3797">
        <f>VLOOKUP(D3797,[1]SOI!$A$1:$C$142,3)</f>
        <v>15.2</v>
      </c>
      <c r="M3797" s="2">
        <f t="shared" si="476"/>
        <v>2366.3114214652514</v>
      </c>
      <c r="N3797">
        <f t="shared" si="477"/>
        <v>-2968.1957914940685</v>
      </c>
      <c r="O3797" t="s">
        <v>15</v>
      </c>
    </row>
    <row r="3798" spans="1:15" x14ac:dyDescent="0.35">
      <c r="A3798">
        <v>2010</v>
      </c>
      <c r="B3798">
        <v>5</v>
      </c>
      <c r="C3798">
        <v>24</v>
      </c>
      <c r="D3798" s="1">
        <f t="shared" si="472"/>
        <v>40322</v>
      </c>
      <c r="E3798">
        <v>0</v>
      </c>
      <c r="F3798">
        <f t="shared" si="478"/>
        <v>0</v>
      </c>
      <c r="G3798">
        <f t="shared" si="473"/>
        <v>0</v>
      </c>
      <c r="H3798">
        <f t="shared" si="479"/>
        <v>0</v>
      </c>
      <c r="I3798">
        <v>3797</v>
      </c>
      <c r="J3798">
        <f t="shared" si="474"/>
        <v>0.60982709770593446</v>
      </c>
      <c r="K3798">
        <f t="shared" si="475"/>
        <v>-0.79253448562416295</v>
      </c>
      <c r="L3798">
        <f>VLOOKUP(D3798,[1]SOI!$A$1:$C$142,3)</f>
        <v>15.2</v>
      </c>
      <c r="M3798" s="2">
        <f t="shared" si="476"/>
        <v>2315.5134899894333</v>
      </c>
      <c r="N3798">
        <f t="shared" si="477"/>
        <v>-3009.253441914947</v>
      </c>
      <c r="O3798" t="s">
        <v>15</v>
      </c>
    </row>
    <row r="3799" spans="1:15" x14ac:dyDescent="0.35">
      <c r="A3799">
        <v>2010</v>
      </c>
      <c r="B3799">
        <v>5</v>
      </c>
      <c r="C3799">
        <v>25</v>
      </c>
      <c r="D3799" s="1">
        <f t="shared" si="472"/>
        <v>40323</v>
      </c>
      <c r="E3799">
        <v>4.2</v>
      </c>
      <c r="F3799">
        <f t="shared" si="478"/>
        <v>0</v>
      </c>
      <c r="G3799">
        <f t="shared" si="473"/>
        <v>1</v>
      </c>
      <c r="H3799">
        <f t="shared" si="479"/>
        <v>0</v>
      </c>
      <c r="I3799">
        <v>3798</v>
      </c>
      <c r="J3799">
        <f t="shared" si="474"/>
        <v>0.59610402715521005</v>
      </c>
      <c r="K3799">
        <f t="shared" si="475"/>
        <v>-0.80290721058497205</v>
      </c>
      <c r="L3799">
        <f>VLOOKUP(D3799,[1]SOI!$A$1:$C$142,3)</f>
        <v>15.2</v>
      </c>
      <c r="M3799" s="2">
        <f t="shared" si="476"/>
        <v>2264.0030951354879</v>
      </c>
      <c r="N3799">
        <f t="shared" si="477"/>
        <v>-3049.4415858017237</v>
      </c>
      <c r="O3799" t="s">
        <v>15</v>
      </c>
    </row>
    <row r="3800" spans="1:15" x14ac:dyDescent="0.35">
      <c r="A3800">
        <v>2010</v>
      </c>
      <c r="B3800">
        <v>5</v>
      </c>
      <c r="C3800">
        <v>26</v>
      </c>
      <c r="D3800" s="1">
        <f t="shared" si="472"/>
        <v>40324</v>
      </c>
      <c r="E3800">
        <v>1.8</v>
      </c>
      <c r="F3800">
        <f t="shared" si="478"/>
        <v>4.2</v>
      </c>
      <c r="G3800">
        <f t="shared" si="473"/>
        <v>1</v>
      </c>
      <c r="H3800">
        <f t="shared" si="479"/>
        <v>1</v>
      </c>
      <c r="I3800">
        <v>3799</v>
      </c>
      <c r="J3800">
        <f t="shared" si="474"/>
        <v>0.58220455983244734</v>
      </c>
      <c r="K3800">
        <f t="shared" si="475"/>
        <v>-0.81304234238464246</v>
      </c>
      <c r="L3800">
        <f>VLOOKUP(D3800,[1]SOI!$A$1:$C$142,3)</f>
        <v>15.2</v>
      </c>
      <c r="M3800" s="2">
        <f t="shared" si="476"/>
        <v>2211.7951228034676</v>
      </c>
      <c r="N3800">
        <f t="shared" si="477"/>
        <v>-3088.7478587192568</v>
      </c>
      <c r="O3800" t="s">
        <v>15</v>
      </c>
    </row>
    <row r="3801" spans="1:15" x14ac:dyDescent="0.35">
      <c r="A3801">
        <v>2010</v>
      </c>
      <c r="B3801">
        <v>5</v>
      </c>
      <c r="C3801">
        <v>27</v>
      </c>
      <c r="D3801" s="1">
        <f t="shared" si="472"/>
        <v>40325</v>
      </c>
      <c r="E3801">
        <v>0</v>
      </c>
      <c r="F3801">
        <f t="shared" si="478"/>
        <v>1.8</v>
      </c>
      <c r="G3801">
        <f t="shared" si="473"/>
        <v>0</v>
      </c>
      <c r="H3801">
        <f t="shared" si="479"/>
        <v>1</v>
      </c>
      <c r="I3801">
        <v>3800</v>
      </c>
      <c r="J3801">
        <f t="shared" si="474"/>
        <v>0.56813280881367112</v>
      </c>
      <c r="K3801">
        <f t="shared" si="475"/>
        <v>-0.82293688187459957</v>
      </c>
      <c r="L3801">
        <f>VLOOKUP(D3801,[1]SOI!$A$1:$C$142,3)</f>
        <v>15.2</v>
      </c>
      <c r="M3801" s="2">
        <f t="shared" si="476"/>
        <v>2158.9046734919502</v>
      </c>
      <c r="N3801">
        <f t="shared" si="477"/>
        <v>-3127.1601511234785</v>
      </c>
      <c r="O3801" t="s">
        <v>15</v>
      </c>
    </row>
    <row r="3802" spans="1:15" x14ac:dyDescent="0.35">
      <c r="A3802">
        <v>2010</v>
      </c>
      <c r="B3802">
        <v>5</v>
      </c>
      <c r="C3802">
        <v>28</v>
      </c>
      <c r="D3802" s="1">
        <f t="shared" si="472"/>
        <v>40326</v>
      </c>
      <c r="E3802">
        <v>0.4</v>
      </c>
      <c r="F3802">
        <f t="shared" si="478"/>
        <v>0</v>
      </c>
      <c r="G3802">
        <f t="shared" si="473"/>
        <v>1</v>
      </c>
      <c r="H3802">
        <f t="shared" si="479"/>
        <v>0</v>
      </c>
      <c r="I3802">
        <v>3801</v>
      </c>
      <c r="J3802">
        <f t="shared" si="474"/>
        <v>0.55389293815637719</v>
      </c>
      <c r="K3802">
        <f t="shared" si="475"/>
        <v>-0.83258790110143666</v>
      </c>
      <c r="L3802">
        <f>VLOOKUP(D3802,[1]SOI!$A$1:$C$142,3)</f>
        <v>15.2</v>
      </c>
      <c r="M3802" s="2">
        <f t="shared" si="476"/>
        <v>2105.3470579323898</v>
      </c>
      <c r="N3802">
        <f t="shared" si="477"/>
        <v>-3164.6666120865607</v>
      </c>
      <c r="O3802" t="s">
        <v>15</v>
      </c>
    </row>
    <row r="3803" spans="1:15" x14ac:dyDescent="0.35">
      <c r="A3803">
        <v>2010</v>
      </c>
      <c r="B3803">
        <v>5</v>
      </c>
      <c r="C3803">
        <v>29</v>
      </c>
      <c r="D3803" s="1">
        <f t="shared" si="472"/>
        <v>40327</v>
      </c>
      <c r="E3803">
        <v>1.8</v>
      </c>
      <c r="F3803">
        <f t="shared" si="478"/>
        <v>0.4</v>
      </c>
      <c r="G3803">
        <f t="shared" si="473"/>
        <v>1</v>
      </c>
      <c r="H3803">
        <f t="shared" si="479"/>
        <v>1</v>
      </c>
      <c r="I3803">
        <v>3802</v>
      </c>
      <c r="J3803">
        <f t="shared" si="474"/>
        <v>0.53948916166741412</v>
      </c>
      <c r="K3803">
        <f t="shared" si="475"/>
        <v>-0.84199254417327873</v>
      </c>
      <c r="L3803">
        <f>VLOOKUP(D3803,[1]SOI!$A$1:$C$142,3)</f>
        <v>15.2</v>
      </c>
      <c r="M3803" s="2">
        <f t="shared" si="476"/>
        <v>2051.1377926595087</v>
      </c>
      <c r="N3803">
        <f t="shared" si="477"/>
        <v>-3201.2556529468056</v>
      </c>
      <c r="O3803" t="s">
        <v>15</v>
      </c>
    </row>
    <row r="3804" spans="1:15" x14ac:dyDescent="0.35">
      <c r="A3804">
        <v>2010</v>
      </c>
      <c r="B3804">
        <v>5</v>
      </c>
      <c r="C3804">
        <v>30</v>
      </c>
      <c r="D3804" s="1">
        <f t="shared" si="472"/>
        <v>40328</v>
      </c>
      <c r="E3804">
        <v>0.6</v>
      </c>
      <c r="F3804">
        <f t="shared" si="478"/>
        <v>1.8</v>
      </c>
      <c r="G3804">
        <f t="shared" si="473"/>
        <v>1</v>
      </c>
      <c r="H3804">
        <f t="shared" si="479"/>
        <v>1</v>
      </c>
      <c r="I3804">
        <v>3803</v>
      </c>
      <c r="J3804">
        <f t="shared" si="474"/>
        <v>0.52492574165596784</v>
      </c>
      <c r="K3804">
        <f t="shared" si="475"/>
        <v>-0.85114802810494261</v>
      </c>
      <c r="L3804">
        <f>VLOOKUP(D3804,[1]SOI!$A$1:$C$142,3)</f>
        <v>15.2</v>
      </c>
      <c r="M3804" s="2">
        <f t="shared" si="476"/>
        <v>1996.2925955176456</v>
      </c>
      <c r="N3804">
        <f t="shared" si="477"/>
        <v>-3236.9159508830967</v>
      </c>
      <c r="O3804" t="s">
        <v>15</v>
      </c>
    </row>
    <row r="3805" spans="1:15" x14ac:dyDescent="0.35">
      <c r="A3805">
        <v>2010</v>
      </c>
      <c r="B3805">
        <v>5</v>
      </c>
      <c r="C3805">
        <v>31</v>
      </c>
      <c r="D3805" s="1">
        <f t="shared" si="472"/>
        <v>40329</v>
      </c>
      <c r="E3805">
        <v>0</v>
      </c>
      <c r="F3805">
        <f t="shared" si="478"/>
        <v>0.6</v>
      </c>
      <c r="G3805">
        <f t="shared" si="473"/>
        <v>0</v>
      </c>
      <c r="H3805">
        <f t="shared" si="479"/>
        <v>1</v>
      </c>
      <c r="I3805">
        <v>3804</v>
      </c>
      <c r="J3805">
        <f t="shared" si="474"/>
        <v>0.51020698767231021</v>
      </c>
      <c r="K3805">
        <f t="shared" si="475"/>
        <v>-0.8600516436414426</v>
      </c>
      <c r="L3805">
        <f>VLOOKUP(D3805,[1]SOI!$A$1:$C$142,3)</f>
        <v>15.2</v>
      </c>
      <c r="M3805" s="2">
        <f t="shared" si="476"/>
        <v>1940.827381105468</v>
      </c>
      <c r="N3805">
        <f t="shared" si="477"/>
        <v>-3271.6364524120477</v>
      </c>
      <c r="O3805" t="s">
        <v>15</v>
      </c>
    </row>
    <row r="3806" spans="1:15" x14ac:dyDescent="0.35">
      <c r="A3806">
        <v>2010</v>
      </c>
      <c r="B3806">
        <v>6</v>
      </c>
      <c r="C3806">
        <v>1</v>
      </c>
      <c r="D3806" s="1">
        <f t="shared" si="472"/>
        <v>40330</v>
      </c>
      <c r="E3806">
        <v>0</v>
      </c>
      <c r="F3806">
        <f t="shared" si="478"/>
        <v>0</v>
      </c>
      <c r="G3806">
        <f t="shared" si="473"/>
        <v>0</v>
      </c>
      <c r="H3806">
        <f t="shared" si="479"/>
        <v>0</v>
      </c>
      <c r="I3806">
        <v>3805</v>
      </c>
      <c r="J3806">
        <f t="shared" si="474"/>
        <v>0.49533725523257155</v>
      </c>
      <c r="K3806">
        <f t="shared" si="475"/>
        <v>-0.86870075605968144</v>
      </c>
      <c r="L3806">
        <f>VLOOKUP(D3806,[1]SOI!$A$1:$C$142,3)</f>
        <v>10</v>
      </c>
      <c r="M3806" s="2">
        <f t="shared" si="476"/>
        <v>1884.7582561599347</v>
      </c>
      <c r="N3806">
        <f t="shared" si="477"/>
        <v>-3305.4063768070878</v>
      </c>
      <c r="O3806" t="s">
        <v>15</v>
      </c>
    </row>
    <row r="3807" spans="1:15" x14ac:dyDescent="0.35">
      <c r="A3807">
        <v>2010</v>
      </c>
      <c r="B3807">
        <v>6</v>
      </c>
      <c r="C3807">
        <v>2</v>
      </c>
      <c r="D3807" s="1">
        <f t="shared" si="472"/>
        <v>40331</v>
      </c>
      <c r="E3807">
        <v>0</v>
      </c>
      <c r="F3807">
        <f t="shared" si="478"/>
        <v>0</v>
      </c>
      <c r="G3807">
        <f t="shared" si="473"/>
        <v>0</v>
      </c>
      <c r="H3807">
        <f t="shared" si="479"/>
        <v>0</v>
      </c>
      <c r="I3807">
        <v>3806</v>
      </c>
      <c r="J3807">
        <f t="shared" si="474"/>
        <v>0.48032094452978707</v>
      </c>
      <c r="K3807">
        <f t="shared" si="475"/>
        <v>-0.87709280594815808</v>
      </c>
      <c r="L3807">
        <f>VLOOKUP(D3807,[1]SOI!$A$1:$C$142,3)</f>
        <v>10</v>
      </c>
      <c r="M3807" s="2">
        <f t="shared" si="476"/>
        <v>1828.1015148803697</v>
      </c>
      <c r="N3807">
        <f t="shared" si="477"/>
        <v>-3338.2152194386895</v>
      </c>
      <c r="O3807" t="s">
        <v>15</v>
      </c>
    </row>
    <row r="3808" spans="1:15" x14ac:dyDescent="0.35">
      <c r="A3808">
        <v>2010</v>
      </c>
      <c r="B3808">
        <v>6</v>
      </c>
      <c r="C3808">
        <v>3</v>
      </c>
      <c r="D3808" s="1">
        <f t="shared" si="472"/>
        <v>40332</v>
      </c>
      <c r="E3808">
        <v>0</v>
      </c>
      <c r="F3808">
        <f t="shared" si="478"/>
        <v>0</v>
      </c>
      <c r="G3808">
        <f t="shared" si="473"/>
        <v>0</v>
      </c>
      <c r="H3808">
        <f t="shared" si="479"/>
        <v>0</v>
      </c>
      <c r="I3808">
        <v>3807</v>
      </c>
      <c r="J3808">
        <f t="shared" si="474"/>
        <v>0.46516249913190771</v>
      </c>
      <c r="K3808">
        <f t="shared" si="475"/>
        <v>-0.88522530996428128</v>
      </c>
      <c r="L3808">
        <f>VLOOKUP(D3808,[1]SOI!$A$1:$C$142,3)</f>
        <v>10</v>
      </c>
      <c r="M3808" s="2">
        <f t="shared" si="476"/>
        <v>1770.8736341951726</v>
      </c>
      <c r="N3808">
        <f t="shared" si="477"/>
        <v>-3370.0527550340189</v>
      </c>
      <c r="O3808" t="s">
        <v>15</v>
      </c>
    </row>
    <row r="3809" spans="1:15" x14ac:dyDescent="0.35">
      <c r="A3809">
        <v>2010</v>
      </c>
      <c r="B3809">
        <v>6</v>
      </c>
      <c r="C3809">
        <v>4</v>
      </c>
      <c r="D3809" s="1">
        <f t="shared" si="472"/>
        <v>40333</v>
      </c>
      <c r="E3809">
        <v>0</v>
      </c>
      <c r="F3809">
        <f t="shared" si="478"/>
        <v>0</v>
      </c>
      <c r="G3809">
        <f t="shared" si="473"/>
        <v>0</v>
      </c>
      <c r="H3809">
        <f t="shared" si="479"/>
        <v>0</v>
      </c>
      <c r="I3809">
        <v>3808</v>
      </c>
      <c r="J3809">
        <f t="shared" si="474"/>
        <v>0.44986640466679034</v>
      </c>
      <c r="K3809">
        <f t="shared" si="475"/>
        <v>-0.89309586156928067</v>
      </c>
      <c r="L3809">
        <f>VLOOKUP(D3809,[1]SOI!$A$1:$C$142,3)</f>
        <v>10</v>
      </c>
      <c r="M3809" s="2">
        <f t="shared" si="476"/>
        <v>1713.0912689711377</v>
      </c>
      <c r="N3809">
        <f t="shared" si="477"/>
        <v>-3400.9090408558209</v>
      </c>
      <c r="O3809" t="s">
        <v>15</v>
      </c>
    </row>
    <row r="3810" spans="1:15" x14ac:dyDescent="0.35">
      <c r="A3810">
        <v>2010</v>
      </c>
      <c r="B3810">
        <v>6</v>
      </c>
      <c r="C3810">
        <v>5</v>
      </c>
      <c r="D3810" s="1">
        <f t="shared" si="472"/>
        <v>40334</v>
      </c>
      <c r="E3810">
        <v>0</v>
      </c>
      <c r="F3810">
        <f t="shared" si="478"/>
        <v>0</v>
      </c>
      <c r="G3810">
        <f t="shared" si="473"/>
        <v>0</v>
      </c>
      <c r="H3810">
        <f t="shared" si="479"/>
        <v>0</v>
      </c>
      <c r="I3810">
        <v>3809</v>
      </c>
      <c r="J3810">
        <f t="shared" si="474"/>
        <v>0.43443718749486487</v>
      </c>
      <c r="K3810">
        <f t="shared" si="475"/>
        <v>-0.9007021317403171</v>
      </c>
      <c r="L3810">
        <f>VLOOKUP(D3810,[1]SOI!$A$1:$C$142,3)</f>
        <v>10</v>
      </c>
      <c r="M3810" s="2">
        <f t="shared" si="476"/>
        <v>1654.7712471679404</v>
      </c>
      <c r="N3810">
        <f t="shared" si="477"/>
        <v>-3430.7744197988677</v>
      </c>
      <c r="O3810" t="s">
        <v>15</v>
      </c>
    </row>
    <row r="3811" spans="1:15" x14ac:dyDescent="0.35">
      <c r="A3811">
        <v>2010</v>
      </c>
      <c r="B3811">
        <v>6</v>
      </c>
      <c r="C3811">
        <v>6</v>
      </c>
      <c r="D3811" s="1">
        <f t="shared" si="472"/>
        <v>40335</v>
      </c>
      <c r="E3811">
        <v>16.8</v>
      </c>
      <c r="F3811">
        <f t="shared" si="478"/>
        <v>0</v>
      </c>
      <c r="G3811">
        <f t="shared" si="473"/>
        <v>1</v>
      </c>
      <c r="H3811">
        <f t="shared" si="479"/>
        <v>0</v>
      </c>
      <c r="I3811">
        <v>3810</v>
      </c>
      <c r="J3811">
        <f t="shared" si="474"/>
        <v>0.41887941336975021</v>
      </c>
      <c r="K3811">
        <f t="shared" si="475"/>
        <v>-0.9080418696596616</v>
      </c>
      <c r="L3811">
        <f>VLOOKUP(D3811,[1]SOI!$A$1:$C$142,3)</f>
        <v>10</v>
      </c>
      <c r="M3811" s="2">
        <f t="shared" si="476"/>
        <v>1595.9305649387484</v>
      </c>
      <c r="N3811">
        <f t="shared" si="477"/>
        <v>-3459.6395234033107</v>
      </c>
      <c r="O3811" t="s">
        <v>15</v>
      </c>
    </row>
    <row r="3812" spans="1:15" x14ac:dyDescent="0.35">
      <c r="A3812">
        <v>2010</v>
      </c>
      <c r="B3812">
        <v>6</v>
      </c>
      <c r="C3812">
        <v>7</v>
      </c>
      <c r="D3812" s="1">
        <f t="shared" si="472"/>
        <v>40336</v>
      </c>
      <c r="E3812">
        <v>4.8</v>
      </c>
      <c r="F3812">
        <f t="shared" si="478"/>
        <v>16.8</v>
      </c>
      <c r="G3812">
        <f t="shared" si="473"/>
        <v>1</v>
      </c>
      <c r="H3812">
        <f t="shared" si="479"/>
        <v>1</v>
      </c>
      <c r="I3812">
        <v>3811</v>
      </c>
      <c r="J3812">
        <f t="shared" si="474"/>
        <v>0.40319768608708478</v>
      </c>
      <c r="K3812">
        <f t="shared" si="475"/>
        <v>-0.91511290338079088</v>
      </c>
      <c r="L3812">
        <f>VLOOKUP(D3812,[1]SOI!$A$1:$C$142,3)</f>
        <v>10</v>
      </c>
      <c r="M3812" s="2">
        <f t="shared" si="476"/>
        <v>1536.5863816778801</v>
      </c>
      <c r="N3812">
        <f t="shared" si="477"/>
        <v>-3487.495274784194</v>
      </c>
      <c r="O3812" t="s">
        <v>15</v>
      </c>
    </row>
    <row r="3813" spans="1:15" x14ac:dyDescent="0.35">
      <c r="A3813">
        <v>2010</v>
      </c>
      <c r="B3813">
        <v>6</v>
      </c>
      <c r="C3813">
        <v>8</v>
      </c>
      <c r="D3813" s="1">
        <f t="shared" si="472"/>
        <v>40337</v>
      </c>
      <c r="E3813">
        <v>0</v>
      </c>
      <c r="F3813">
        <f t="shared" si="478"/>
        <v>4.8</v>
      </c>
      <c r="G3813">
        <f t="shared" si="473"/>
        <v>0</v>
      </c>
      <c r="H3813">
        <f t="shared" si="479"/>
        <v>1</v>
      </c>
      <c r="I3813">
        <v>3812</v>
      </c>
      <c r="J3813">
        <f t="shared" si="474"/>
        <v>0.38739664612229213</v>
      </c>
      <c r="K3813">
        <f t="shared" si="475"/>
        <v>-0.92191314047105299</v>
      </c>
      <c r="L3813">
        <f>VLOOKUP(D3813,[1]SOI!$A$1:$C$142,3)</f>
        <v>10</v>
      </c>
      <c r="M3813" s="2">
        <f t="shared" si="476"/>
        <v>1476.7560150181775</v>
      </c>
      <c r="N3813">
        <f t="shared" si="477"/>
        <v>-3514.3328914756539</v>
      </c>
      <c r="O3813" t="s">
        <v>15</v>
      </c>
    </row>
    <row r="3814" spans="1:15" x14ac:dyDescent="0.35">
      <c r="A3814">
        <v>2010</v>
      </c>
      <c r="B3814">
        <v>6</v>
      </c>
      <c r="C3814">
        <v>9</v>
      </c>
      <c r="D3814" s="1">
        <f t="shared" si="472"/>
        <v>40338</v>
      </c>
      <c r="E3814">
        <v>2.6</v>
      </c>
      <c r="F3814">
        <f t="shared" si="478"/>
        <v>0</v>
      </c>
      <c r="G3814">
        <f t="shared" si="473"/>
        <v>1</v>
      </c>
      <c r="H3814">
        <f t="shared" si="479"/>
        <v>0</v>
      </c>
      <c r="I3814">
        <v>3813</v>
      </c>
      <c r="J3814">
        <f t="shared" si="474"/>
        <v>0.37148096925729929</v>
      </c>
      <c r="K3814">
        <f t="shared" si="475"/>
        <v>-0.92844056863089386</v>
      </c>
      <c r="L3814">
        <f>VLOOKUP(D3814,[1]SOI!$A$1:$C$142,3)</f>
        <v>10</v>
      </c>
      <c r="M3814" s="2">
        <f t="shared" si="476"/>
        <v>1416.4569357780822</v>
      </c>
      <c r="N3814">
        <f t="shared" si="477"/>
        <v>-3540.1438881895983</v>
      </c>
      <c r="O3814" t="s">
        <v>15</v>
      </c>
    </row>
    <row r="3815" spans="1:15" x14ac:dyDescent="0.35">
      <c r="A3815">
        <v>2010</v>
      </c>
      <c r="B3815">
        <v>6</v>
      </c>
      <c r="C3815">
        <v>10</v>
      </c>
      <c r="D3815" s="1">
        <f t="shared" si="472"/>
        <v>40339</v>
      </c>
      <c r="E3815">
        <v>2.8</v>
      </c>
      <c r="F3815">
        <f t="shared" si="478"/>
        <v>2.6</v>
      </c>
      <c r="G3815">
        <f t="shared" si="473"/>
        <v>1</v>
      </c>
      <c r="H3815">
        <f t="shared" si="479"/>
        <v>1</v>
      </c>
      <c r="I3815">
        <v>3814</v>
      </c>
      <c r="J3815">
        <f t="shared" si="474"/>
        <v>0.35545536519693594</v>
      </c>
      <c r="K3815">
        <f t="shared" si="475"/>
        <v>-0.93469325628930955</v>
      </c>
      <c r="L3815">
        <f>VLOOKUP(D3815,[1]SOI!$A$1:$C$142,3)</f>
        <v>10</v>
      </c>
      <c r="M3815" s="2">
        <f t="shared" si="476"/>
        <v>1355.7067628611137</v>
      </c>
      <c r="N3815">
        <f t="shared" si="477"/>
        <v>-3564.9200794874264</v>
      </c>
      <c r="O3815" t="s">
        <v>15</v>
      </c>
    </row>
    <row r="3816" spans="1:15" x14ac:dyDescent="0.35">
      <c r="A3816">
        <v>2010</v>
      </c>
      <c r="B3816">
        <v>6</v>
      </c>
      <c r="C3816">
        <v>11</v>
      </c>
      <c r="D3816" s="1">
        <f t="shared" si="472"/>
        <v>40340</v>
      </c>
      <c r="E3816">
        <v>0.6</v>
      </c>
      <c r="F3816">
        <f t="shared" si="478"/>
        <v>2.8</v>
      </c>
      <c r="G3816">
        <f t="shared" si="473"/>
        <v>1</v>
      </c>
      <c r="H3816">
        <f t="shared" si="479"/>
        <v>1</v>
      </c>
      <c r="I3816">
        <v>3815</v>
      </c>
      <c r="J3816">
        <f t="shared" si="474"/>
        <v>0.3393245761752971</v>
      </c>
      <c r="K3816">
        <f t="shared" si="475"/>
        <v>-0.94066935317541567</v>
      </c>
      <c r="L3816">
        <f>VLOOKUP(D3816,[1]SOI!$A$1:$C$142,3)</f>
        <v>10</v>
      </c>
      <c r="M3816" s="2">
        <f t="shared" si="476"/>
        <v>1294.5232581087585</v>
      </c>
      <c r="N3816">
        <f t="shared" si="477"/>
        <v>-3588.6535823642107</v>
      </c>
      <c r="O3816" t="s">
        <v>15</v>
      </c>
    </row>
    <row r="3817" spans="1:15" x14ac:dyDescent="0.35">
      <c r="A3817">
        <v>2010</v>
      </c>
      <c r="B3817">
        <v>6</v>
      </c>
      <c r="C3817">
        <v>12</v>
      </c>
      <c r="D3817" s="1">
        <f t="shared" si="472"/>
        <v>40341</v>
      </c>
      <c r="E3817">
        <v>2.8</v>
      </c>
      <c r="F3817">
        <f t="shared" si="478"/>
        <v>0.6</v>
      </c>
      <c r="G3817">
        <f t="shared" si="473"/>
        <v>1</v>
      </c>
      <c r="H3817">
        <f t="shared" si="479"/>
        <v>1</v>
      </c>
      <c r="I3817">
        <v>3816</v>
      </c>
      <c r="J3817">
        <f t="shared" si="474"/>
        <v>0.32309337555234718</v>
      </c>
      <c r="K3817">
        <f t="shared" si="475"/>
        <v>-0.94636709086600745</v>
      </c>
      <c r="L3817">
        <f>VLOOKUP(D3817,[1]SOI!$A$1:$C$142,3)</f>
        <v>10</v>
      </c>
      <c r="M3817" s="2">
        <f t="shared" si="476"/>
        <v>1232.9243211077569</v>
      </c>
      <c r="N3817">
        <f t="shared" si="477"/>
        <v>-3611.3368187446845</v>
      </c>
      <c r="O3817" t="s">
        <v>15</v>
      </c>
    </row>
    <row r="3818" spans="1:15" x14ac:dyDescent="0.35">
      <c r="A3818">
        <v>2010</v>
      </c>
      <c r="B3818">
        <v>6</v>
      </c>
      <c r="C3818">
        <v>13</v>
      </c>
      <c r="D3818" s="1">
        <f t="shared" si="472"/>
        <v>40342</v>
      </c>
      <c r="E3818">
        <v>0.2</v>
      </c>
      <c r="F3818">
        <f t="shared" si="478"/>
        <v>2.8</v>
      </c>
      <c r="G3818">
        <f t="shared" si="473"/>
        <v>1</v>
      </c>
      <c r="H3818">
        <f t="shared" si="479"/>
        <v>1</v>
      </c>
      <c r="I3818">
        <v>3817</v>
      </c>
      <c r="J3818">
        <f t="shared" si="474"/>
        <v>0.30676656640149863</v>
      </c>
      <c r="K3818">
        <f t="shared" si="475"/>
        <v>-0.95178478330882921</v>
      </c>
      <c r="L3818">
        <f>VLOOKUP(D3818,[1]SOI!$A$1:$C$142,3)</f>
        <v>10</v>
      </c>
      <c r="M3818" s="2">
        <f t="shared" si="476"/>
        <v>1170.9279839545202</v>
      </c>
      <c r="N3818">
        <f t="shared" si="477"/>
        <v>-3632.9625178898009</v>
      </c>
      <c r="O3818" t="s">
        <v>15</v>
      </c>
    </row>
    <row r="3819" spans="1:15" x14ac:dyDescent="0.35">
      <c r="A3819">
        <v>2010</v>
      </c>
      <c r="B3819">
        <v>6</v>
      </c>
      <c r="C3819">
        <v>14</v>
      </c>
      <c r="D3819" s="1">
        <f t="shared" si="472"/>
        <v>40343</v>
      </c>
      <c r="E3819">
        <v>0</v>
      </c>
      <c r="F3819">
        <f t="shared" si="478"/>
        <v>0.2</v>
      </c>
      <c r="G3819">
        <f t="shared" si="473"/>
        <v>0</v>
      </c>
      <c r="H3819">
        <f t="shared" si="479"/>
        <v>1</v>
      </c>
      <c r="I3819">
        <v>3818</v>
      </c>
      <c r="J3819">
        <f t="shared" si="474"/>
        <v>0.29034898008827953</v>
      </c>
      <c r="K3819">
        <f t="shared" si="475"/>
        <v>-0.95692082732151662</v>
      </c>
      <c r="L3819">
        <f>VLOOKUP(D3819,[1]SOI!$A$1:$C$142,3)</f>
        <v>10</v>
      </c>
      <c r="M3819" s="2">
        <f t="shared" si="476"/>
        <v>1108.5524059770512</v>
      </c>
      <c r="N3819">
        <f t="shared" si="477"/>
        <v>-3653.5237187135504</v>
      </c>
      <c r="O3819" t="s">
        <v>15</v>
      </c>
    </row>
    <row r="3820" spans="1:15" x14ac:dyDescent="0.35">
      <c r="A3820">
        <v>2010</v>
      </c>
      <c r="B3820">
        <v>6</v>
      </c>
      <c r="C3820">
        <v>15</v>
      </c>
      <c r="D3820" s="1">
        <f t="shared" si="472"/>
        <v>40344</v>
      </c>
      <c r="E3820">
        <v>0</v>
      </c>
      <c r="F3820">
        <f t="shared" si="478"/>
        <v>0</v>
      </c>
      <c r="G3820">
        <f t="shared" si="473"/>
        <v>0</v>
      </c>
      <c r="H3820">
        <f t="shared" si="479"/>
        <v>0</v>
      </c>
      <c r="I3820">
        <v>3819</v>
      </c>
      <c r="J3820">
        <f t="shared" si="474"/>
        <v>0.27384547484055927</v>
      </c>
      <c r="K3820">
        <f t="shared" si="475"/>
        <v>-0.96177370306603238</v>
      </c>
      <c r="L3820">
        <f>VLOOKUP(D3820,[1]SOI!$A$1:$C$142,3)</f>
        <v>10</v>
      </c>
      <c r="M3820" s="2">
        <f t="shared" si="476"/>
        <v>1045.8158684160958</v>
      </c>
      <c r="N3820">
        <f t="shared" si="477"/>
        <v>-3673.0137720091775</v>
      </c>
      <c r="O3820" t="s">
        <v>15</v>
      </c>
    </row>
    <row r="3821" spans="1:15" x14ac:dyDescent="0.35">
      <c r="A3821">
        <v>2010</v>
      </c>
      <c r="B3821">
        <v>6</v>
      </c>
      <c r="C3821">
        <v>16</v>
      </c>
      <c r="D3821" s="1">
        <f t="shared" si="472"/>
        <v>40345</v>
      </c>
      <c r="E3821">
        <v>0</v>
      </c>
      <c r="F3821">
        <f t="shared" si="478"/>
        <v>0</v>
      </c>
      <c r="G3821">
        <f t="shared" si="473"/>
        <v>0</v>
      </c>
      <c r="H3821">
        <f t="shared" si="479"/>
        <v>0</v>
      </c>
      <c r="I3821">
        <v>3820</v>
      </c>
      <c r="J3821">
        <f t="shared" si="474"/>
        <v>0.25726093431109726</v>
      </c>
      <c r="K3821">
        <f t="shared" si="475"/>
        <v>-0.96634197449835602</v>
      </c>
      <c r="L3821">
        <f>VLOOKUP(D3821,[1]SOI!$A$1:$C$142,3)</f>
        <v>10</v>
      </c>
      <c r="M3821" s="2">
        <f t="shared" si="476"/>
        <v>982.73676906839148</v>
      </c>
      <c r="N3821">
        <f t="shared" si="477"/>
        <v>-3691.4263425837198</v>
      </c>
      <c r="O3821" t="s">
        <v>15</v>
      </c>
    </row>
    <row r="3822" spans="1:15" x14ac:dyDescent="0.35">
      <c r="A3822">
        <v>2010</v>
      </c>
      <c r="B3822">
        <v>6</v>
      </c>
      <c r="C3822">
        <v>17</v>
      </c>
      <c r="D3822" s="1">
        <f t="shared" si="472"/>
        <v>40346</v>
      </c>
      <c r="E3822">
        <v>0</v>
      </c>
      <c r="F3822">
        <f t="shared" si="478"/>
        <v>0</v>
      </c>
      <c r="G3822">
        <f t="shared" si="473"/>
        <v>0</v>
      </c>
      <c r="H3822">
        <f t="shared" si="479"/>
        <v>0</v>
      </c>
      <c r="I3822">
        <v>3821</v>
      </c>
      <c r="J3822">
        <f t="shared" si="474"/>
        <v>0.24060026613222846</v>
      </c>
      <c r="K3822">
        <f t="shared" si="475"/>
        <v>-0.9706242897934817</v>
      </c>
      <c r="L3822">
        <f>VLOOKUP(D3822,[1]SOI!$A$1:$C$142,3)</f>
        <v>10</v>
      </c>
      <c r="M3822" s="2">
        <f t="shared" si="476"/>
        <v>919.3336168912449</v>
      </c>
      <c r="N3822">
        <f t="shared" si="477"/>
        <v>-3708.7554113008937</v>
      </c>
      <c r="O3822" t="s">
        <v>15</v>
      </c>
    </row>
    <row r="3823" spans="1:15" x14ac:dyDescent="0.35">
      <c r="A3823">
        <v>2010</v>
      </c>
      <c r="B3823">
        <v>6</v>
      </c>
      <c r="C3823">
        <v>18</v>
      </c>
      <c r="D3823" s="1">
        <f t="shared" si="472"/>
        <v>40347</v>
      </c>
      <c r="E3823">
        <v>4.5999999999999996</v>
      </c>
      <c r="F3823">
        <f t="shared" si="478"/>
        <v>0</v>
      </c>
      <c r="G3823">
        <f t="shared" si="473"/>
        <v>1</v>
      </c>
      <c r="H3823">
        <f t="shared" si="479"/>
        <v>0</v>
      </c>
      <c r="I3823">
        <v>3822</v>
      </c>
      <c r="J3823">
        <f t="shared" si="474"/>
        <v>0.223868400463725</v>
      </c>
      <c r="K3823">
        <f t="shared" si="475"/>
        <v>-0.97461938174541407</v>
      </c>
      <c r="L3823">
        <f>VLOOKUP(D3823,[1]SOI!$A$1:$C$142,3)</f>
        <v>10</v>
      </c>
      <c r="M3823" s="2">
        <f t="shared" si="476"/>
        <v>855.62502657235689</v>
      </c>
      <c r="N3823">
        <f t="shared" si="477"/>
        <v>-3724.9952770309724</v>
      </c>
      <c r="O3823" t="s">
        <v>15</v>
      </c>
    </row>
    <row r="3824" spans="1:15" x14ac:dyDescent="0.35">
      <c r="A3824">
        <v>2010</v>
      </c>
      <c r="B3824">
        <v>6</v>
      </c>
      <c r="C3824">
        <v>19</v>
      </c>
      <c r="D3824" s="1">
        <f t="shared" si="472"/>
        <v>40348</v>
      </c>
      <c r="E3824">
        <v>3.8</v>
      </c>
      <c r="F3824">
        <f t="shared" si="478"/>
        <v>4.5999999999999996</v>
      </c>
      <c r="G3824">
        <f t="shared" si="473"/>
        <v>1</v>
      </c>
      <c r="H3824">
        <f t="shared" si="479"/>
        <v>1</v>
      </c>
      <c r="I3824">
        <v>3823</v>
      </c>
      <c r="J3824">
        <f t="shared" si="474"/>
        <v>0.20707028853384191</v>
      </c>
      <c r="K3824">
        <f t="shared" si="475"/>
        <v>-0.97832606814216672</v>
      </c>
      <c r="L3824">
        <f>VLOOKUP(D3824,[1]SOI!$A$1:$C$142,3)</f>
        <v>10</v>
      </c>
      <c r="M3824" s="2">
        <f t="shared" si="476"/>
        <v>791.62971306487759</v>
      </c>
      <c r="N3824">
        <f t="shared" si="477"/>
        <v>-3740.1405585075036</v>
      </c>
      <c r="O3824" t="s">
        <v>15</v>
      </c>
    </row>
    <row r="3825" spans="1:15" x14ac:dyDescent="0.35">
      <c r="A3825">
        <v>2010</v>
      </c>
      <c r="B3825">
        <v>6</v>
      </c>
      <c r="C3825">
        <v>20</v>
      </c>
      <c r="D3825" s="1">
        <f t="shared" si="472"/>
        <v>40349</v>
      </c>
      <c r="E3825">
        <v>0.6</v>
      </c>
      <c r="F3825">
        <f t="shared" si="478"/>
        <v>3.8</v>
      </c>
      <c r="G3825">
        <f t="shared" si="473"/>
        <v>1</v>
      </c>
      <c r="H3825">
        <f t="shared" si="479"/>
        <v>1</v>
      </c>
      <c r="I3825">
        <v>3824</v>
      </c>
      <c r="J3825">
        <f t="shared" si="474"/>
        <v>0.19021090117414113</v>
      </c>
      <c r="K3825">
        <f t="shared" si="475"/>
        <v>-0.98174325211560332</v>
      </c>
      <c r="L3825">
        <f>VLOOKUP(D3825,[1]SOI!$A$1:$C$142,3)</f>
        <v>10</v>
      </c>
      <c r="M3825" s="2">
        <f t="shared" si="476"/>
        <v>727.36648608991572</v>
      </c>
      <c r="N3825">
        <f t="shared" si="477"/>
        <v>-3754.1861960900669</v>
      </c>
      <c r="O3825" t="s">
        <v>15</v>
      </c>
    </row>
    <row r="3826" spans="1:15" x14ac:dyDescent="0.35">
      <c r="A3826">
        <v>2010</v>
      </c>
      <c r="B3826">
        <v>6</v>
      </c>
      <c r="C3826">
        <v>21</v>
      </c>
      <c r="D3826" s="1">
        <f t="shared" si="472"/>
        <v>40350</v>
      </c>
      <c r="E3826">
        <v>1.8</v>
      </c>
      <c r="F3826">
        <f t="shared" si="478"/>
        <v>0.6</v>
      </c>
      <c r="G3826">
        <f t="shared" si="473"/>
        <v>1</v>
      </c>
      <c r="H3826">
        <f t="shared" si="479"/>
        <v>1</v>
      </c>
      <c r="I3826">
        <v>3825</v>
      </c>
      <c r="J3826">
        <f t="shared" si="474"/>
        <v>0.1732952273485838</v>
      </c>
      <c r="K3826">
        <f t="shared" si="475"/>
        <v>-0.98486992246600902</v>
      </c>
      <c r="L3826">
        <f>VLOOKUP(D3826,[1]SOI!$A$1:$C$142,3)</f>
        <v>10</v>
      </c>
      <c r="M3826" s="2">
        <f t="shared" si="476"/>
        <v>662.85424460833303</v>
      </c>
      <c r="N3826">
        <f t="shared" si="477"/>
        <v>-3767.1274534324843</v>
      </c>
      <c r="O3826" t="s">
        <v>15</v>
      </c>
    </row>
    <row r="3827" spans="1:15" x14ac:dyDescent="0.35">
      <c r="A3827">
        <v>2010</v>
      </c>
      <c r="B3827">
        <v>6</v>
      </c>
      <c r="C3827">
        <v>22</v>
      </c>
      <c r="D3827" s="1">
        <f t="shared" si="472"/>
        <v>40351</v>
      </c>
      <c r="E3827">
        <v>0</v>
      </c>
      <c r="F3827">
        <f t="shared" si="478"/>
        <v>1.8</v>
      </c>
      <c r="G3827">
        <f t="shared" si="473"/>
        <v>0</v>
      </c>
      <c r="H3827">
        <f t="shared" si="479"/>
        <v>1</v>
      </c>
      <c r="I3827">
        <v>3826</v>
      </c>
      <c r="J3827">
        <f t="shared" si="474"/>
        <v>0.15632827267718793</v>
      </c>
      <c r="K3827">
        <f t="shared" si="475"/>
        <v>-0.98770515396132608</v>
      </c>
      <c r="L3827">
        <f>VLOOKUP(D3827,[1]SOI!$A$1:$C$142,3)</f>
        <v>10</v>
      </c>
      <c r="M3827" s="2">
        <f t="shared" si="476"/>
        <v>598.11197126292109</v>
      </c>
      <c r="N3827">
        <f t="shared" si="477"/>
        <v>-3778.9599190560334</v>
      </c>
      <c r="O3827" t="s">
        <v>15</v>
      </c>
    </row>
    <row r="3828" spans="1:15" x14ac:dyDescent="0.35">
      <c r="A3828">
        <v>2010</v>
      </c>
      <c r="B3828">
        <v>6</v>
      </c>
      <c r="C3828">
        <v>23</v>
      </c>
      <c r="D3828" s="1">
        <f t="shared" si="472"/>
        <v>40352</v>
      </c>
      <c r="E3828">
        <v>0</v>
      </c>
      <c r="F3828">
        <f t="shared" si="478"/>
        <v>0</v>
      </c>
      <c r="G3828">
        <f t="shared" si="473"/>
        <v>0</v>
      </c>
      <c r="H3828">
        <f t="shared" si="479"/>
        <v>0</v>
      </c>
      <c r="I3828">
        <v>3827</v>
      </c>
      <c r="J3828">
        <f t="shared" si="474"/>
        <v>0.13931505795482677</v>
      </c>
      <c r="K3828">
        <f t="shared" si="475"/>
        <v>-0.99024810761093773</v>
      </c>
      <c r="L3828">
        <f>VLOOKUP(D3828,[1]SOI!$A$1:$C$142,3)</f>
        <v>10</v>
      </c>
      <c r="M3828" s="2">
        <f t="shared" si="476"/>
        <v>533.15872679312201</v>
      </c>
      <c r="N3828">
        <f t="shared" si="477"/>
        <v>-3789.6795078270588</v>
      </c>
      <c r="O3828" t="s">
        <v>15</v>
      </c>
    </row>
    <row r="3829" spans="1:15" x14ac:dyDescent="0.35">
      <c r="A3829">
        <v>2010</v>
      </c>
      <c r="B3829">
        <v>6</v>
      </c>
      <c r="C3829">
        <v>24</v>
      </c>
      <c r="D3829" s="1">
        <f t="shared" si="472"/>
        <v>40353</v>
      </c>
      <c r="E3829">
        <v>0</v>
      </c>
      <c r="F3829">
        <f t="shared" si="478"/>
        <v>0</v>
      </c>
      <c r="G3829">
        <f t="shared" si="473"/>
        <v>0</v>
      </c>
      <c r="H3829">
        <f t="shared" si="479"/>
        <v>0</v>
      </c>
      <c r="I3829">
        <v>3828</v>
      </c>
      <c r="J3829">
        <f t="shared" si="474"/>
        <v>0.12226061766546709</v>
      </c>
      <c r="K3829">
        <f t="shared" si="475"/>
        <v>-0.99249803091394517</v>
      </c>
      <c r="L3829">
        <f>VLOOKUP(D3829,[1]SOI!$A$1:$C$142,3)</f>
        <v>10</v>
      </c>
      <c r="M3829" s="2">
        <f t="shared" si="476"/>
        <v>468.01364442340798</v>
      </c>
      <c r="N3829">
        <f t="shared" si="477"/>
        <v>-3799.2824623385823</v>
      </c>
      <c r="O3829" t="s">
        <v>15</v>
      </c>
    </row>
    <row r="3830" spans="1:15" x14ac:dyDescent="0.35">
      <c r="A3830">
        <v>2010</v>
      </c>
      <c r="B3830">
        <v>6</v>
      </c>
      <c r="C3830">
        <v>25</v>
      </c>
      <c r="D3830" s="1">
        <f t="shared" si="472"/>
        <v>40354</v>
      </c>
      <c r="E3830">
        <v>0.4</v>
      </c>
      <c r="F3830">
        <f t="shared" si="478"/>
        <v>0</v>
      </c>
      <c r="G3830">
        <f t="shared" si="473"/>
        <v>1</v>
      </c>
      <c r="H3830">
        <f t="shared" si="479"/>
        <v>0</v>
      </c>
      <c r="I3830">
        <v>3829</v>
      </c>
      <c r="J3830">
        <f t="shared" si="474"/>
        <v>0.10516999849235602</v>
      </c>
      <c r="K3830">
        <f t="shared" si="475"/>
        <v>-0.99445425808184751</v>
      </c>
      <c r="L3830">
        <f>VLOOKUP(D3830,[1]SOI!$A$1:$C$142,3)</f>
        <v>10</v>
      </c>
      <c r="M3830" s="2">
        <f t="shared" si="476"/>
        <v>402.69592422723122</v>
      </c>
      <c r="N3830">
        <f t="shared" si="477"/>
        <v>-3807.7653541953941</v>
      </c>
      <c r="O3830" t="s">
        <v>15</v>
      </c>
    </row>
    <row r="3831" spans="1:15" x14ac:dyDescent="0.35">
      <c r="A3831">
        <v>2010</v>
      </c>
      <c r="B3831">
        <v>6</v>
      </c>
      <c r="C3831">
        <v>26</v>
      </c>
      <c r="D3831" s="1">
        <f t="shared" si="472"/>
        <v>40355</v>
      </c>
      <c r="E3831">
        <v>11.8</v>
      </c>
      <c r="F3831">
        <f t="shared" si="478"/>
        <v>0.4</v>
      </c>
      <c r="G3831">
        <f t="shared" si="473"/>
        <v>1</v>
      </c>
      <c r="H3831">
        <f t="shared" si="479"/>
        <v>1</v>
      </c>
      <c r="I3831">
        <v>3830</v>
      </c>
      <c r="J3831">
        <f t="shared" si="474"/>
        <v>8.804825782465435E-2</v>
      </c>
      <c r="K3831">
        <f t="shared" si="475"/>
        <v>-0.99611621023555441</v>
      </c>
      <c r="L3831">
        <f>VLOOKUP(D3831,[1]SOI!$A$1:$C$142,3)</f>
        <v>10</v>
      </c>
      <c r="M3831" s="2">
        <f t="shared" si="476"/>
        <v>337.22482746842616</v>
      </c>
      <c r="N3831">
        <f t="shared" si="477"/>
        <v>-3815.1250852021735</v>
      </c>
      <c r="O3831" t="s">
        <v>15</v>
      </c>
    </row>
    <row r="3832" spans="1:15" x14ac:dyDescent="0.35">
      <c r="A3832">
        <v>2010</v>
      </c>
      <c r="B3832">
        <v>6</v>
      </c>
      <c r="C3832">
        <v>27</v>
      </c>
      <c r="D3832" s="1">
        <f t="shared" si="472"/>
        <v>40356</v>
      </c>
      <c r="E3832">
        <v>8</v>
      </c>
      <c r="F3832">
        <f t="shared" si="478"/>
        <v>11.8</v>
      </c>
      <c r="G3832">
        <f t="shared" si="473"/>
        <v>1</v>
      </c>
      <c r="H3832">
        <f t="shared" si="479"/>
        <v>1</v>
      </c>
      <c r="I3832">
        <v>3831</v>
      </c>
      <c r="J3832">
        <f t="shared" si="474"/>
        <v>7.0900462260916272E-2</v>
      </c>
      <c r="K3832">
        <f t="shared" si="475"/>
        <v>-0.99748339557668242</v>
      </c>
      <c r="L3832">
        <f>VLOOKUP(D3832,[1]SOI!$A$1:$C$142,3)</f>
        <v>10</v>
      </c>
      <c r="M3832" s="2">
        <f t="shared" si="476"/>
        <v>271.61967092157022</v>
      </c>
      <c r="N3832">
        <f t="shared" si="477"/>
        <v>-3821.3588884542705</v>
      </c>
      <c r="O3832" t="s">
        <v>15</v>
      </c>
    </row>
    <row r="3833" spans="1:15" x14ac:dyDescent="0.35">
      <c r="A3833">
        <v>2010</v>
      </c>
      <c r="B3833">
        <v>6</v>
      </c>
      <c r="C3833">
        <v>28</v>
      </c>
      <c r="D3833" s="1">
        <f t="shared" si="472"/>
        <v>40357</v>
      </c>
      <c r="E3833">
        <v>0</v>
      </c>
      <c r="F3833">
        <f t="shared" si="478"/>
        <v>8</v>
      </c>
      <c r="G3833">
        <f t="shared" si="473"/>
        <v>0</v>
      </c>
      <c r="H3833">
        <f t="shared" si="479"/>
        <v>1</v>
      </c>
      <c r="I3833">
        <v>3832</v>
      </c>
      <c r="J3833">
        <f t="shared" si="474"/>
        <v>5.3731686109702262E-2</v>
      </c>
      <c r="K3833">
        <f t="shared" si="475"/>
        <v>-0.99855540953309563</v>
      </c>
      <c r="L3833">
        <f>VLOOKUP(D3833,[1]SOI!$A$1:$C$142,3)</f>
        <v>10</v>
      </c>
      <c r="M3833" s="2">
        <f t="shared" si="476"/>
        <v>205.89982117237906</v>
      </c>
      <c r="N3833">
        <f t="shared" si="477"/>
        <v>-3826.4643293308222</v>
      </c>
      <c r="O3833" t="s">
        <v>15</v>
      </c>
    </row>
    <row r="3834" spans="1:15" x14ac:dyDescent="0.35">
      <c r="A3834">
        <v>2010</v>
      </c>
      <c r="B3834">
        <v>6</v>
      </c>
      <c r="C3834">
        <v>29</v>
      </c>
      <c r="D3834" s="1">
        <f t="shared" si="472"/>
        <v>40358</v>
      </c>
      <c r="E3834">
        <v>0</v>
      </c>
      <c r="F3834">
        <f t="shared" si="478"/>
        <v>0</v>
      </c>
      <c r="G3834">
        <f t="shared" si="473"/>
        <v>0</v>
      </c>
      <c r="H3834">
        <f t="shared" si="479"/>
        <v>0</v>
      </c>
      <c r="I3834">
        <v>3833</v>
      </c>
      <c r="J3834">
        <f t="shared" si="474"/>
        <v>3.6547009888122865E-2</v>
      </c>
      <c r="K3834">
        <f t="shared" si="475"/>
        <v>-0.99933193487861549</v>
      </c>
      <c r="L3834">
        <f>VLOOKUP(D3834,[1]SOI!$A$1:$C$142,3)</f>
        <v>10</v>
      </c>
      <c r="M3834" s="2">
        <f t="shared" si="476"/>
        <v>140.08468890117496</v>
      </c>
      <c r="N3834">
        <f t="shared" si="477"/>
        <v>-3830.4393063897332</v>
      </c>
      <c r="O3834" t="s">
        <v>15</v>
      </c>
    </row>
    <row r="3835" spans="1:15" x14ac:dyDescent="0.35">
      <c r="A3835">
        <v>2010</v>
      </c>
      <c r="B3835">
        <v>6</v>
      </c>
      <c r="C3835">
        <v>30</v>
      </c>
      <c r="D3835" s="1">
        <f t="shared" si="472"/>
        <v>40359</v>
      </c>
      <c r="E3835">
        <v>1.8</v>
      </c>
      <c r="F3835">
        <f t="shared" si="478"/>
        <v>0</v>
      </c>
      <c r="G3835">
        <f t="shared" si="473"/>
        <v>1</v>
      </c>
      <c r="H3835">
        <f t="shared" si="479"/>
        <v>0</v>
      </c>
      <c r="I3835">
        <v>3834</v>
      </c>
      <c r="J3835">
        <f t="shared" si="474"/>
        <v>1.9351518818318526E-2</v>
      </c>
      <c r="K3835">
        <f t="shared" si="475"/>
        <v>-0.99981274182690039</v>
      </c>
      <c r="L3835">
        <f>VLOOKUP(D3835,[1]SOI!$A$1:$C$142,3)</f>
        <v>10</v>
      </c>
      <c r="M3835" s="2">
        <f t="shared" si="476"/>
        <v>74.193723149433225</v>
      </c>
      <c r="N3835">
        <f t="shared" si="477"/>
        <v>-3833.2820521643362</v>
      </c>
      <c r="O3835" t="s">
        <v>15</v>
      </c>
    </row>
    <row r="3836" spans="1:15" x14ac:dyDescent="0.35">
      <c r="A3836">
        <v>2010</v>
      </c>
      <c r="B3836">
        <v>7</v>
      </c>
      <c r="C3836">
        <v>1</v>
      </c>
      <c r="D3836" s="1">
        <f t="shared" si="472"/>
        <v>40360</v>
      </c>
      <c r="E3836">
        <v>0</v>
      </c>
      <c r="F3836">
        <f t="shared" si="478"/>
        <v>1.8</v>
      </c>
      <c r="G3836">
        <f t="shared" si="473"/>
        <v>0</v>
      </c>
      <c r="H3836">
        <f t="shared" si="479"/>
        <v>1</v>
      </c>
      <c r="I3836">
        <v>3835</v>
      </c>
      <c r="J3836">
        <f t="shared" si="474"/>
        <v>2.150301322774053E-3</v>
      </c>
      <c r="K3836">
        <f t="shared" si="475"/>
        <v>-0.99999768809943823</v>
      </c>
      <c r="L3836">
        <f>VLOOKUP(D3836,[1]SOI!$A$1:$C$142,3)</f>
        <v>1.8</v>
      </c>
      <c r="M3836" s="2">
        <f t="shared" si="476"/>
        <v>8.2464055728384924</v>
      </c>
      <c r="N3836">
        <f t="shared" si="477"/>
        <v>-3834.9911338613456</v>
      </c>
      <c r="O3836" t="s">
        <v>15</v>
      </c>
    </row>
    <row r="3837" spans="1:15" x14ac:dyDescent="0.35">
      <c r="A3837">
        <v>2010</v>
      </c>
      <c r="B3837">
        <v>7</v>
      </c>
      <c r="C3837">
        <v>2</v>
      </c>
      <c r="D3837" s="1">
        <f t="shared" si="472"/>
        <v>40361</v>
      </c>
      <c r="E3837">
        <v>0</v>
      </c>
      <c r="F3837">
        <f t="shared" si="478"/>
        <v>0</v>
      </c>
      <c r="G3837">
        <f t="shared" si="473"/>
        <v>0</v>
      </c>
      <c r="H3837">
        <f t="shared" si="479"/>
        <v>0</v>
      </c>
      <c r="I3837">
        <v>3836</v>
      </c>
      <c r="J3837">
        <f t="shared" si="474"/>
        <v>-1.5051552481526851E-2</v>
      </c>
      <c r="K3837">
        <f t="shared" si="475"/>
        <v>-0.9998867189676518</v>
      </c>
      <c r="L3837">
        <f>VLOOKUP(D3837,[1]SOI!$A$1:$C$142,3)</f>
        <v>1.8</v>
      </c>
      <c r="M3837" s="2">
        <f t="shared" si="476"/>
        <v>-57.737755319137001</v>
      </c>
      <c r="N3837">
        <f t="shared" si="477"/>
        <v>-3835.5654539599122</v>
      </c>
      <c r="O3837" t="s">
        <v>15</v>
      </c>
    </row>
    <row r="3838" spans="1:15" x14ac:dyDescent="0.35">
      <c r="A3838">
        <v>2010</v>
      </c>
      <c r="B3838">
        <v>7</v>
      </c>
      <c r="C3838">
        <v>3</v>
      </c>
      <c r="D3838" s="1">
        <f t="shared" si="472"/>
        <v>40362</v>
      </c>
      <c r="E3838">
        <v>3.8</v>
      </c>
      <c r="F3838">
        <f t="shared" si="478"/>
        <v>0</v>
      </c>
      <c r="G3838">
        <f t="shared" si="473"/>
        <v>1</v>
      </c>
      <c r="H3838">
        <f t="shared" si="479"/>
        <v>0</v>
      </c>
      <c r="I3838">
        <v>3837</v>
      </c>
      <c r="J3838">
        <f t="shared" si="474"/>
        <v>-3.2248952289306486E-2</v>
      </c>
      <c r="K3838">
        <f t="shared" si="475"/>
        <v>-0.9994798672690921</v>
      </c>
      <c r="L3838">
        <f>VLOOKUP(D3838,[1]SOI!$A$1:$C$142,3)</f>
        <v>1.8</v>
      </c>
      <c r="M3838" s="2">
        <f t="shared" si="476"/>
        <v>-123.73922993406899</v>
      </c>
      <c r="N3838">
        <f t="shared" si="477"/>
        <v>-3835.0042507115063</v>
      </c>
      <c r="O3838" t="s">
        <v>15</v>
      </c>
    </row>
    <row r="3839" spans="1:15" x14ac:dyDescent="0.35">
      <c r="A3839">
        <v>2010</v>
      </c>
      <c r="B3839">
        <v>7</v>
      </c>
      <c r="C3839">
        <v>4</v>
      </c>
      <c r="D3839" s="1">
        <f t="shared" si="472"/>
        <v>40363</v>
      </c>
      <c r="E3839">
        <v>0</v>
      </c>
      <c r="F3839">
        <f t="shared" si="478"/>
        <v>3.8</v>
      </c>
      <c r="G3839">
        <f t="shared" si="473"/>
        <v>0</v>
      </c>
      <c r="H3839">
        <f t="shared" si="479"/>
        <v>1</v>
      </c>
      <c r="I3839">
        <v>3838</v>
      </c>
      <c r="J3839">
        <f t="shared" si="474"/>
        <v>-4.9436809113253759E-2</v>
      </c>
      <c r="K3839">
        <f t="shared" si="475"/>
        <v>-0.99877725339772316</v>
      </c>
      <c r="L3839">
        <f>VLOOKUP(D3839,[1]SOI!$A$1:$C$142,3)</f>
        <v>1.8</v>
      </c>
      <c r="M3839" s="2">
        <f t="shared" si="476"/>
        <v>-189.73847337666794</v>
      </c>
      <c r="N3839">
        <f t="shared" si="477"/>
        <v>-3833.3070985404615</v>
      </c>
      <c r="O3839" t="s">
        <v>15</v>
      </c>
    </row>
    <row r="3840" spans="1:15" x14ac:dyDescent="0.35">
      <c r="A3840">
        <v>2010</v>
      </c>
      <c r="B3840">
        <v>7</v>
      </c>
      <c r="C3840">
        <v>5</v>
      </c>
      <c r="D3840" s="1">
        <f t="shared" si="472"/>
        <v>40364</v>
      </c>
      <c r="E3840">
        <v>0</v>
      </c>
      <c r="F3840">
        <f t="shared" si="478"/>
        <v>0</v>
      </c>
      <c r="G3840">
        <f t="shared" si="473"/>
        <v>0</v>
      </c>
      <c r="H3840">
        <f t="shared" si="479"/>
        <v>0</v>
      </c>
      <c r="I3840">
        <v>3839</v>
      </c>
      <c r="J3840">
        <f t="shared" si="474"/>
        <v>-6.6610036790036825E-2</v>
      </c>
      <c r="K3840">
        <f t="shared" si="475"/>
        <v>-0.99777908526829218</v>
      </c>
      <c r="L3840">
        <f>VLOOKUP(D3840,[1]SOI!$A$1:$C$142,3)</f>
        <v>1.8</v>
      </c>
      <c r="M3840" s="2">
        <f t="shared" si="476"/>
        <v>-255.71593123695138</v>
      </c>
      <c r="N3840">
        <f t="shared" si="477"/>
        <v>-3830.4739083449736</v>
      </c>
      <c r="O3840" t="s">
        <v>15</v>
      </c>
    </row>
    <row r="3841" spans="1:15" x14ac:dyDescent="0.35">
      <c r="A3841">
        <v>2010</v>
      </c>
      <c r="B3841">
        <v>7</v>
      </c>
      <c r="C3841">
        <v>6</v>
      </c>
      <c r="D3841" s="1">
        <f t="shared" si="472"/>
        <v>40365</v>
      </c>
      <c r="E3841">
        <v>0</v>
      </c>
      <c r="F3841">
        <f t="shared" si="478"/>
        <v>0</v>
      </c>
      <c r="G3841">
        <f t="shared" si="473"/>
        <v>0</v>
      </c>
      <c r="H3841">
        <f t="shared" si="479"/>
        <v>0</v>
      </c>
      <c r="I3841">
        <v>3840</v>
      </c>
      <c r="J3841">
        <f t="shared" si="474"/>
        <v>-8.3763553485267109E-2</v>
      </c>
      <c r="K3841">
        <f t="shared" si="475"/>
        <v>-0.99648565825480939</v>
      </c>
      <c r="L3841">
        <f>VLOOKUP(D3841,[1]SOI!$A$1:$C$142,3)</f>
        <v>1.8</v>
      </c>
      <c r="M3841" s="2">
        <f t="shared" si="476"/>
        <v>-321.65204538342567</v>
      </c>
      <c r="N3841">
        <f t="shared" si="477"/>
        <v>-3826.5049276984682</v>
      </c>
      <c r="O3841" t="s">
        <v>15</v>
      </c>
    </row>
    <row r="3842" spans="1:15" x14ac:dyDescent="0.35">
      <c r="A3842">
        <v>2010</v>
      </c>
      <c r="B3842">
        <v>7</v>
      </c>
      <c r="C3842">
        <v>7</v>
      </c>
      <c r="D3842" s="1">
        <f t="shared" si="472"/>
        <v>40366</v>
      </c>
      <c r="E3842">
        <v>0</v>
      </c>
      <c r="F3842">
        <f t="shared" si="478"/>
        <v>0</v>
      </c>
      <c r="G3842">
        <f t="shared" si="473"/>
        <v>0</v>
      </c>
      <c r="H3842">
        <f t="shared" si="479"/>
        <v>0</v>
      </c>
      <c r="I3842">
        <v>3841</v>
      </c>
      <c r="J3842">
        <f t="shared" si="474"/>
        <v>-0.10089228319739513</v>
      </c>
      <c r="K3842">
        <f t="shared" si="475"/>
        <v>-0.99489735510313659</v>
      </c>
      <c r="L3842">
        <f>VLOOKUP(D3842,[1]SOI!$A$1:$C$142,3)</f>
        <v>1.8</v>
      </c>
      <c r="M3842" s="2">
        <f t="shared" si="476"/>
        <v>-387.52725976119467</v>
      </c>
      <c r="N3842">
        <f t="shared" si="477"/>
        <v>-3821.4007409511478</v>
      </c>
      <c r="O3842" t="s">
        <v>15</v>
      </c>
    </row>
    <row r="3843" spans="1:15" x14ac:dyDescent="0.35">
      <c r="A3843">
        <v>2010</v>
      </c>
      <c r="B3843">
        <v>7</v>
      </c>
      <c r="C3843">
        <v>8</v>
      </c>
      <c r="D3843" s="1">
        <f t="shared" ref="D3843:D3906" si="480">DATE(A3843,B3843,C3843)</f>
        <v>40367</v>
      </c>
      <c r="E3843">
        <v>0</v>
      </c>
      <c r="F3843">
        <f t="shared" si="478"/>
        <v>0</v>
      </c>
      <c r="G3843">
        <f t="shared" ref="G3843:G3906" si="481">IF(E3843=0,0,1)</f>
        <v>0</v>
      </c>
      <c r="H3843">
        <f t="shared" si="479"/>
        <v>0</v>
      </c>
      <c r="I3843">
        <v>3842</v>
      </c>
      <c r="J3843">
        <f t="shared" ref="J3843:J3906" si="482">SIN(2*PI()*I3843/365.25)</f>
        <v>-0.11799115725973841</v>
      </c>
      <c r="K3843">
        <f t="shared" ref="K3843:K3906" si="483">COS(2*PI()*I3843/365.25)</f>
        <v>-0.99301464581772791</v>
      </c>
      <c r="L3843">
        <f>VLOOKUP(D3843,[1]SOI!$A$1:$C$142,3)</f>
        <v>1.8</v>
      </c>
      <c r="M3843" s="2">
        <f t="shared" ref="M3843:M3906" si="484">I3843*J3843</f>
        <v>-453.32202619191497</v>
      </c>
      <c r="N3843">
        <f t="shared" ref="N3843:N3906" si="485">I3843*K3843</f>
        <v>-3815.1622692317105</v>
      </c>
      <c r="O3843" t="s">
        <v>15</v>
      </c>
    </row>
    <row r="3844" spans="1:15" x14ac:dyDescent="0.35">
      <c r="A3844">
        <v>2010</v>
      </c>
      <c r="B3844">
        <v>7</v>
      </c>
      <c r="C3844">
        <v>9</v>
      </c>
      <c r="D3844" s="1">
        <f t="shared" si="480"/>
        <v>40368</v>
      </c>
      <c r="E3844">
        <v>0</v>
      </c>
      <c r="F3844">
        <f t="shared" ref="F3844:F3907" si="486">E3843</f>
        <v>0</v>
      </c>
      <c r="G3844">
        <f t="shared" si="481"/>
        <v>0</v>
      </c>
      <c r="H3844">
        <f t="shared" ref="H3844:H3907" si="487">G3843</f>
        <v>0</v>
      </c>
      <c r="I3844">
        <v>3843</v>
      </c>
      <c r="J3844">
        <f t="shared" si="482"/>
        <v>-0.13505511584033925</v>
      </c>
      <c r="K3844">
        <f t="shared" si="483"/>
        <v>-0.99083808752255409</v>
      </c>
      <c r="L3844">
        <f>VLOOKUP(D3844,[1]SOI!$A$1:$C$142,3)</f>
        <v>1.8</v>
      </c>
      <c r="M3844" s="2">
        <f t="shared" si="484"/>
        <v>-519.01681017442377</v>
      </c>
      <c r="N3844">
        <f t="shared" si="485"/>
        <v>-3807.7907703491755</v>
      </c>
      <c r="O3844" t="s">
        <v>15</v>
      </c>
    </row>
    <row r="3845" spans="1:15" x14ac:dyDescent="0.35">
      <c r="A3845">
        <v>2010</v>
      </c>
      <c r="B3845">
        <v>7</v>
      </c>
      <c r="C3845">
        <v>10</v>
      </c>
      <c r="D3845" s="1">
        <f t="shared" si="480"/>
        <v>40369</v>
      </c>
      <c r="E3845">
        <v>0</v>
      </c>
      <c r="F3845">
        <f t="shared" si="486"/>
        <v>0</v>
      </c>
      <c r="G3845">
        <f t="shared" si="481"/>
        <v>0</v>
      </c>
      <c r="H3845">
        <f t="shared" si="487"/>
        <v>0</v>
      </c>
      <c r="I3845">
        <v>3844</v>
      </c>
      <c r="J3845">
        <f t="shared" si="482"/>
        <v>-0.1520791094393491</v>
      </c>
      <c r="K3845">
        <f t="shared" si="483"/>
        <v>-0.98836832429622834</v>
      </c>
      <c r="L3845">
        <f>VLOOKUP(D3845,[1]SOI!$A$1:$C$142,3)</f>
        <v>1.8</v>
      </c>
      <c r="M3845" s="2">
        <f t="shared" si="484"/>
        <v>-584.59209668485801</v>
      </c>
      <c r="N3845">
        <f t="shared" si="485"/>
        <v>-3799.287838594702</v>
      </c>
      <c r="O3845" t="s">
        <v>15</v>
      </c>
    </row>
    <row r="3846" spans="1:15" x14ac:dyDescent="0.35">
      <c r="A3846">
        <v>2010</v>
      </c>
      <c r="B3846">
        <v>7</v>
      </c>
      <c r="C3846">
        <v>11</v>
      </c>
      <c r="D3846" s="1">
        <f t="shared" si="480"/>
        <v>40370</v>
      </c>
      <c r="E3846">
        <v>0</v>
      </c>
      <c r="F3846">
        <f t="shared" si="486"/>
        <v>0</v>
      </c>
      <c r="G3846">
        <f t="shared" si="481"/>
        <v>0</v>
      </c>
      <c r="H3846">
        <f t="shared" si="487"/>
        <v>0</v>
      </c>
      <c r="I3846">
        <v>3845</v>
      </c>
      <c r="J3846">
        <f t="shared" si="482"/>
        <v>-0.16905810038314423</v>
      </c>
      <c r="K3846">
        <f t="shared" si="483"/>
        <v>-0.98560608698142826</v>
      </c>
      <c r="L3846">
        <f>VLOOKUP(D3846,[1]SOI!$A$1:$C$142,3)</f>
        <v>1.8</v>
      </c>
      <c r="M3846" s="2">
        <f t="shared" si="484"/>
        <v>-650.0283959731895</v>
      </c>
      <c r="N3846">
        <f t="shared" si="485"/>
        <v>-3789.6554044435916</v>
      </c>
      <c r="O3846" t="s">
        <v>15</v>
      </c>
    </row>
    <row r="3847" spans="1:15" x14ac:dyDescent="0.35">
      <c r="A3847">
        <v>2010</v>
      </c>
      <c r="B3847">
        <v>7</v>
      </c>
      <c r="C3847">
        <v>12</v>
      </c>
      <c r="D3847" s="1">
        <f t="shared" si="480"/>
        <v>40371</v>
      </c>
      <c r="E3847">
        <v>0</v>
      </c>
      <c r="F3847">
        <f t="shared" si="486"/>
        <v>0</v>
      </c>
      <c r="G3847">
        <f t="shared" si="481"/>
        <v>0</v>
      </c>
      <c r="H3847">
        <f t="shared" si="487"/>
        <v>0</v>
      </c>
      <c r="I3847">
        <v>3846</v>
      </c>
      <c r="J3847">
        <f t="shared" si="482"/>
        <v>-0.18598706431515272</v>
      </c>
      <c r="K3847">
        <f t="shared" si="483"/>
        <v>-0.9825521929686134</v>
      </c>
      <c r="L3847">
        <f>VLOOKUP(D3847,[1]SOI!$A$1:$C$142,3)</f>
        <v>1.8</v>
      </c>
      <c r="M3847" s="2">
        <f t="shared" si="484"/>
        <v>-715.30624935607739</v>
      </c>
      <c r="N3847">
        <f t="shared" si="485"/>
        <v>-3778.8957341572873</v>
      </c>
      <c r="O3847" t="s">
        <v>15</v>
      </c>
    </row>
    <row r="3848" spans="1:15" x14ac:dyDescent="0.35">
      <c r="A3848">
        <v>2010</v>
      </c>
      <c r="B3848">
        <v>7</v>
      </c>
      <c r="C3848">
        <v>13</v>
      </c>
      <c r="D3848" s="1">
        <f t="shared" si="480"/>
        <v>40372</v>
      </c>
      <c r="E3848">
        <v>0</v>
      </c>
      <c r="F3848">
        <f t="shared" si="486"/>
        <v>0</v>
      </c>
      <c r="G3848">
        <f t="shared" si="481"/>
        <v>0</v>
      </c>
      <c r="H3848">
        <f t="shared" si="487"/>
        <v>0</v>
      </c>
      <c r="I3848">
        <v>3847</v>
      </c>
      <c r="J3848">
        <f t="shared" si="482"/>
        <v>-0.20286099168260016</v>
      </c>
      <c r="K3848">
        <f t="shared" si="483"/>
        <v>-0.9792075459541516</v>
      </c>
      <c r="L3848">
        <f>VLOOKUP(D3848,[1]SOI!$A$1:$C$142,3)</f>
        <v>1.8</v>
      </c>
      <c r="M3848" s="2">
        <f t="shared" si="484"/>
        <v>-780.40623500296283</v>
      </c>
      <c r="N3848">
        <f t="shared" si="485"/>
        <v>-3767.011429285621</v>
      </c>
      <c r="O3848" t="s">
        <v>15</v>
      </c>
    </row>
    <row r="3849" spans="1:15" x14ac:dyDescent="0.35">
      <c r="A3849">
        <v>2010</v>
      </c>
      <c r="B3849">
        <v>7</v>
      </c>
      <c r="C3849">
        <v>14</v>
      </c>
      <c r="D3849" s="1">
        <f t="shared" si="480"/>
        <v>40373</v>
      </c>
      <c r="E3849">
        <v>1.2</v>
      </c>
      <c r="F3849">
        <f t="shared" si="486"/>
        <v>0</v>
      </c>
      <c r="G3849">
        <f t="shared" si="481"/>
        <v>1</v>
      </c>
      <c r="H3849">
        <f t="shared" si="487"/>
        <v>0</v>
      </c>
      <c r="I3849">
        <v>3848</v>
      </c>
      <c r="J3849">
        <f t="shared" si="482"/>
        <v>-0.21967488921887529</v>
      </c>
      <c r="K3849">
        <f t="shared" si="483"/>
        <v>-0.97557313567291037</v>
      </c>
      <c r="L3849">
        <f>VLOOKUP(D3849,[1]SOI!$A$1:$C$142,3)</f>
        <v>1.8</v>
      </c>
      <c r="M3849" s="2">
        <f t="shared" si="484"/>
        <v>-845.30897371423214</v>
      </c>
      <c r="N3849">
        <f t="shared" si="485"/>
        <v>-3754.0054260693591</v>
      </c>
      <c r="O3849" t="s">
        <v>15</v>
      </c>
    </row>
    <row r="3850" spans="1:15" x14ac:dyDescent="0.35">
      <c r="A3850">
        <v>2010</v>
      </c>
      <c r="B3850">
        <v>7</v>
      </c>
      <c r="C3850">
        <v>15</v>
      </c>
      <c r="D3850" s="1">
        <f t="shared" si="480"/>
        <v>40374</v>
      </c>
      <c r="E3850">
        <v>5.2</v>
      </c>
      <c r="F3850">
        <f t="shared" si="486"/>
        <v>1.2</v>
      </c>
      <c r="G3850">
        <f t="shared" si="481"/>
        <v>1</v>
      </c>
      <c r="H3850">
        <f t="shared" si="487"/>
        <v>1</v>
      </c>
      <c r="I3850">
        <v>3849</v>
      </c>
      <c r="J3850">
        <f t="shared" si="482"/>
        <v>-0.23642378142121531</v>
      </c>
      <c r="K3850">
        <f t="shared" si="483"/>
        <v>-0.97165003760535784</v>
      </c>
      <c r="L3850">
        <f>VLOOKUP(D3850,[1]SOI!$A$1:$C$142,3)</f>
        <v>1.8</v>
      </c>
      <c r="M3850" s="2">
        <f t="shared" si="484"/>
        <v>-909.99513469025771</v>
      </c>
      <c r="N3850">
        <f t="shared" si="485"/>
        <v>-3739.8809947430223</v>
      </c>
      <c r="O3850" t="s">
        <v>15</v>
      </c>
    </row>
    <row r="3851" spans="1:15" x14ac:dyDescent="0.35">
      <c r="A3851">
        <v>2010</v>
      </c>
      <c r="B3851">
        <v>7</v>
      </c>
      <c r="C3851">
        <v>16</v>
      </c>
      <c r="D3851" s="1">
        <f t="shared" si="480"/>
        <v>40375</v>
      </c>
      <c r="E3851">
        <v>0</v>
      </c>
      <c r="F3851">
        <f t="shared" si="486"/>
        <v>5.2</v>
      </c>
      <c r="G3851">
        <f t="shared" si="481"/>
        <v>0</v>
      </c>
      <c r="H3851">
        <f t="shared" si="487"/>
        <v>1</v>
      </c>
      <c r="I3851">
        <v>3850</v>
      </c>
      <c r="J3851">
        <f t="shared" si="482"/>
        <v>-0.25310271202292606</v>
      </c>
      <c r="K3851">
        <f t="shared" si="483"/>
        <v>-0.96743941265933531</v>
      </c>
      <c r="L3851">
        <f>VLOOKUP(D3851,[1]SOI!$A$1:$C$142,3)</f>
        <v>1.8</v>
      </c>
      <c r="M3851" s="2">
        <f t="shared" si="484"/>
        <v>-974.44544128826533</v>
      </c>
      <c r="N3851">
        <f t="shared" si="485"/>
        <v>-3724.6417387384408</v>
      </c>
      <c r="O3851" t="s">
        <v>15</v>
      </c>
    </row>
    <row r="3852" spans="1:15" x14ac:dyDescent="0.35">
      <c r="A3852">
        <v>2010</v>
      </c>
      <c r="B3852">
        <v>7</v>
      </c>
      <c r="C3852">
        <v>17</v>
      </c>
      <c r="D3852" s="1">
        <f t="shared" si="480"/>
        <v>40376</v>
      </c>
      <c r="E3852">
        <v>0</v>
      </c>
      <c r="F3852">
        <f t="shared" si="486"/>
        <v>0</v>
      </c>
      <c r="G3852">
        <f t="shared" si="481"/>
        <v>0</v>
      </c>
      <c r="H3852">
        <f t="shared" si="487"/>
        <v>0</v>
      </c>
      <c r="I3852">
        <v>3851</v>
      </c>
      <c r="J3852">
        <f t="shared" si="482"/>
        <v>-0.2697067454601319</v>
      </c>
      <c r="K3852">
        <f t="shared" si="483"/>
        <v>-0.96294250682649984</v>
      </c>
      <c r="L3852">
        <f>VLOOKUP(D3852,[1]SOI!$A$1:$C$142,3)</f>
        <v>1.8</v>
      </c>
      <c r="M3852" s="2">
        <f t="shared" si="484"/>
        <v>-1038.640676766968</v>
      </c>
      <c r="N3852">
        <f t="shared" si="485"/>
        <v>-3708.2915937888511</v>
      </c>
      <c r="O3852" t="s">
        <v>15</v>
      </c>
    </row>
    <row r="3853" spans="1:15" x14ac:dyDescent="0.35">
      <c r="A3853">
        <v>2010</v>
      </c>
      <c r="B3853">
        <v>7</v>
      </c>
      <c r="C3853">
        <v>18</v>
      </c>
      <c r="D3853" s="1">
        <f t="shared" si="480"/>
        <v>40377</v>
      </c>
      <c r="E3853">
        <v>0</v>
      </c>
      <c r="F3853">
        <f t="shared" si="486"/>
        <v>0</v>
      </c>
      <c r="G3853">
        <f t="shared" si="481"/>
        <v>0</v>
      </c>
      <c r="H3853">
        <f t="shared" si="487"/>
        <v>0</v>
      </c>
      <c r="I3853">
        <v>3852</v>
      </c>
      <c r="J3853">
        <f t="shared" si="482"/>
        <v>-0.28623096833217809</v>
      </c>
      <c r="K3853">
        <f t="shared" si="483"/>
        <v>-0.95816065081364288</v>
      </c>
      <c r="L3853">
        <f>VLOOKUP(D3853,[1]SOI!$A$1:$C$142,3)</f>
        <v>1.8</v>
      </c>
      <c r="M3853" s="2">
        <f t="shared" si="484"/>
        <v>-1102.5616900155501</v>
      </c>
      <c r="N3853">
        <f t="shared" si="485"/>
        <v>-3690.8348269341523</v>
      </c>
      <c r="O3853" t="s">
        <v>15</v>
      </c>
    </row>
    <row r="3854" spans="1:15" x14ac:dyDescent="0.35">
      <c r="A3854">
        <v>2010</v>
      </c>
      <c r="B3854">
        <v>7</v>
      </c>
      <c r="C3854">
        <v>19</v>
      </c>
      <c r="D3854" s="1">
        <f t="shared" si="480"/>
        <v>40378</v>
      </c>
      <c r="E3854">
        <v>8.6</v>
      </c>
      <c r="F3854">
        <f t="shared" si="486"/>
        <v>0</v>
      </c>
      <c r="G3854">
        <f t="shared" si="481"/>
        <v>1</v>
      </c>
      <c r="H3854">
        <f t="shared" si="487"/>
        <v>0</v>
      </c>
      <c r="I3854">
        <v>3853</v>
      </c>
      <c r="J3854">
        <f t="shared" si="482"/>
        <v>-0.30267049085568137</v>
      </c>
      <c r="K3854">
        <f t="shared" si="483"/>
        <v>-0.95309525964888786</v>
      </c>
      <c r="L3854">
        <f>VLOOKUP(D3854,[1]SOI!$A$1:$C$142,3)</f>
        <v>1.8</v>
      </c>
      <c r="M3854" s="2">
        <f t="shared" si="484"/>
        <v>-1166.1894012669404</v>
      </c>
      <c r="N3854">
        <f t="shared" si="485"/>
        <v>-3672.276035427165</v>
      </c>
      <c r="O3854" t="s">
        <v>15</v>
      </c>
    </row>
    <row r="3855" spans="1:15" x14ac:dyDescent="0.35">
      <c r="A3855">
        <v>2010</v>
      </c>
      <c r="B3855">
        <v>7</v>
      </c>
      <c r="C3855">
        <v>20</v>
      </c>
      <c r="D3855" s="1">
        <f t="shared" si="480"/>
        <v>40379</v>
      </c>
      <c r="E3855">
        <v>0</v>
      </c>
      <c r="F3855">
        <f t="shared" si="486"/>
        <v>8.6</v>
      </c>
      <c r="G3855">
        <f t="shared" si="481"/>
        <v>0</v>
      </c>
      <c r="H3855">
        <f t="shared" si="487"/>
        <v>1</v>
      </c>
      <c r="I3855">
        <v>3854</v>
      </c>
      <c r="J3855">
        <f t="shared" si="482"/>
        <v>-0.3190204483114541</v>
      </c>
      <c r="K3855">
        <f t="shared" si="483"/>
        <v>-0.9477478322629701</v>
      </c>
      <c r="L3855">
        <f>VLOOKUP(D3855,[1]SOI!$A$1:$C$142,3)</f>
        <v>1.8</v>
      </c>
      <c r="M3855" s="2">
        <f t="shared" si="484"/>
        <v>-1229.5048077923441</v>
      </c>
      <c r="N3855">
        <f t="shared" si="485"/>
        <v>-3652.6201455414866</v>
      </c>
      <c r="O3855" t="s">
        <v>15</v>
      </c>
    </row>
    <row r="3856" spans="1:15" x14ac:dyDescent="0.35">
      <c r="A3856">
        <v>2010</v>
      </c>
      <c r="B3856">
        <v>7</v>
      </c>
      <c r="C3856">
        <v>21</v>
      </c>
      <c r="D3856" s="1">
        <f t="shared" si="480"/>
        <v>40380</v>
      </c>
      <c r="E3856">
        <v>5.6</v>
      </c>
      <c r="F3856">
        <f t="shared" si="486"/>
        <v>0</v>
      </c>
      <c r="G3856">
        <f t="shared" si="481"/>
        <v>1</v>
      </c>
      <c r="H3856">
        <f t="shared" si="487"/>
        <v>0</v>
      </c>
      <c r="I3856">
        <v>3855</v>
      </c>
      <c r="J3856">
        <f t="shared" si="482"/>
        <v>-0.33527600248401246</v>
      </c>
      <c r="K3856">
        <f t="shared" si="483"/>
        <v>-0.94211995104569379</v>
      </c>
      <c r="L3856">
        <f>VLOOKUP(D3856,[1]SOI!$A$1:$C$142,3)</f>
        <v>1.8</v>
      </c>
      <c r="M3856" s="2">
        <f t="shared" si="484"/>
        <v>-1292.4889895758681</v>
      </c>
      <c r="N3856">
        <f t="shared" si="485"/>
        <v>-3631.8724112811497</v>
      </c>
      <c r="O3856" t="s">
        <v>15</v>
      </c>
    </row>
    <row r="3857" spans="1:15" x14ac:dyDescent="0.35">
      <c r="A3857">
        <v>2010</v>
      </c>
      <c r="B3857">
        <v>7</v>
      </c>
      <c r="C3857">
        <v>22</v>
      </c>
      <c r="D3857" s="1">
        <f t="shared" si="480"/>
        <v>40381</v>
      </c>
      <c r="E3857">
        <v>0</v>
      </c>
      <c r="F3857">
        <f t="shared" si="486"/>
        <v>5.6</v>
      </c>
      <c r="G3857">
        <f t="shared" si="481"/>
        <v>0</v>
      </c>
      <c r="H3857">
        <f t="shared" si="487"/>
        <v>1</v>
      </c>
      <c r="I3857">
        <v>3856</v>
      </c>
      <c r="J3857">
        <f t="shared" si="482"/>
        <v>-0.35143234309337701</v>
      </c>
      <c r="K3857">
        <f t="shared" si="483"/>
        <v>-0.93621328137764581</v>
      </c>
      <c r="L3857">
        <f>VLOOKUP(D3857,[1]SOI!$A$1:$C$142,3)</f>
        <v>1.8</v>
      </c>
      <c r="M3857" s="2">
        <f t="shared" si="484"/>
        <v>-1355.1231149680618</v>
      </c>
      <c r="N3857">
        <f t="shared" si="485"/>
        <v>-3610.0384129922022</v>
      </c>
      <c r="O3857" t="s">
        <v>15</v>
      </c>
    </row>
    <row r="3858" spans="1:15" x14ac:dyDescent="0.35">
      <c r="A3858">
        <v>2010</v>
      </c>
      <c r="B3858">
        <v>7</v>
      </c>
      <c r="C3858">
        <v>23</v>
      </c>
      <c r="D3858" s="1">
        <f t="shared" si="480"/>
        <v>40382</v>
      </c>
      <c r="E3858">
        <v>2</v>
      </c>
      <c r="F3858">
        <f t="shared" si="486"/>
        <v>0</v>
      </c>
      <c r="G3858">
        <f t="shared" si="481"/>
        <v>1</v>
      </c>
      <c r="H3858">
        <f t="shared" si="487"/>
        <v>0</v>
      </c>
      <c r="I3858">
        <v>3857</v>
      </c>
      <c r="J3858">
        <f t="shared" si="482"/>
        <v>-0.36748468921840416</v>
      </c>
      <c r="K3858">
        <f t="shared" si="483"/>
        <v>-0.9300295711374198</v>
      </c>
      <c r="L3858">
        <f>VLOOKUP(D3858,[1]SOI!$A$1:$C$142,3)</f>
        <v>1.8</v>
      </c>
      <c r="M3858" s="2">
        <f t="shared" si="484"/>
        <v>-1417.388446315385</v>
      </c>
      <c r="N3858">
        <f t="shared" si="485"/>
        <v>-3587.1240558770282</v>
      </c>
      <c r="O3858" t="s">
        <v>15</v>
      </c>
    </row>
    <row r="3859" spans="1:15" x14ac:dyDescent="0.35">
      <c r="A3859">
        <v>2010</v>
      </c>
      <c r="B3859">
        <v>7</v>
      </c>
      <c r="C3859">
        <v>24</v>
      </c>
      <c r="D3859" s="1">
        <f t="shared" si="480"/>
        <v>40383</v>
      </c>
      <c r="E3859">
        <v>0</v>
      </c>
      <c r="F3859">
        <f t="shared" si="486"/>
        <v>2</v>
      </c>
      <c r="G3859">
        <f t="shared" si="481"/>
        <v>0</v>
      </c>
      <c r="H3859">
        <f t="shared" si="487"/>
        <v>1</v>
      </c>
      <c r="I3859">
        <v>3858</v>
      </c>
      <c r="J3859">
        <f t="shared" si="482"/>
        <v>-0.38342829071163154</v>
      </c>
      <c r="K3859">
        <f t="shared" si="483"/>
        <v>-0.92357065018435736</v>
      </c>
      <c r="L3859">
        <f>VLOOKUP(D3859,[1]SOI!$A$1:$C$142,3)</f>
        <v>1.8</v>
      </c>
      <c r="M3859" s="2">
        <f t="shared" si="484"/>
        <v>-1479.2663455654745</v>
      </c>
      <c r="N3859">
        <f t="shared" si="485"/>
        <v>-3563.1355684112505</v>
      </c>
      <c r="O3859" t="s">
        <v>15</v>
      </c>
    </row>
    <row r="3860" spans="1:15" x14ac:dyDescent="0.35">
      <c r="A3860">
        <v>2010</v>
      </c>
      <c r="B3860">
        <v>7</v>
      </c>
      <c r="C3860">
        <v>25</v>
      </c>
      <c r="D3860" s="1">
        <f t="shared" si="480"/>
        <v>40384</v>
      </c>
      <c r="E3860">
        <v>0</v>
      </c>
      <c r="F3860">
        <f t="shared" si="486"/>
        <v>0</v>
      </c>
      <c r="G3860">
        <f t="shared" si="481"/>
        <v>0</v>
      </c>
      <c r="H3860">
        <f t="shared" si="487"/>
        <v>0</v>
      </c>
      <c r="I3860">
        <v>3859</v>
      </c>
      <c r="J3860">
        <f t="shared" si="482"/>
        <v>-0.39925842960488245</v>
      </c>
      <c r="K3860">
        <f t="shared" si="483"/>
        <v>-0.91683842981707697</v>
      </c>
      <c r="L3860">
        <f>VLOOKUP(D3860,[1]SOI!$A$1:$C$142,3)</f>
        <v>1.8</v>
      </c>
      <c r="M3860" s="2">
        <f t="shared" si="484"/>
        <v>-1540.7382798452413</v>
      </c>
      <c r="N3860">
        <f t="shared" si="485"/>
        <v>-3538.0795006641001</v>
      </c>
      <c r="O3860" t="s">
        <v>15</v>
      </c>
    </row>
    <row r="3861" spans="1:15" x14ac:dyDescent="0.35">
      <c r="A3861">
        <v>2010</v>
      </c>
      <c r="B3861">
        <v>7</v>
      </c>
      <c r="C3861">
        <v>26</v>
      </c>
      <c r="D3861" s="1">
        <f t="shared" si="480"/>
        <v>40385</v>
      </c>
      <c r="E3861">
        <v>0</v>
      </c>
      <c r="F3861">
        <f t="shared" si="486"/>
        <v>0</v>
      </c>
      <c r="G3861">
        <f t="shared" si="481"/>
        <v>0</v>
      </c>
      <c r="H3861">
        <f t="shared" si="487"/>
        <v>0</v>
      </c>
      <c r="I3861">
        <v>3860</v>
      </c>
      <c r="J3861">
        <f t="shared" si="482"/>
        <v>-0.41497042150534974</v>
      </c>
      <c r="K3861">
        <f t="shared" si="483"/>
        <v>-0.90983490220790741</v>
      </c>
      <c r="L3861">
        <f>VLOOKUP(D3861,[1]SOI!$A$1:$C$142,3)</f>
        <v>1.8</v>
      </c>
      <c r="M3861" s="2">
        <f t="shared" si="484"/>
        <v>-1601.7858270106501</v>
      </c>
      <c r="N3861">
        <f t="shared" si="485"/>
        <v>-3511.9627225225227</v>
      </c>
      <c r="O3861" t="s">
        <v>15</v>
      </c>
    </row>
    <row r="3862" spans="1:15" x14ac:dyDescent="0.35">
      <c r="A3862">
        <v>2010</v>
      </c>
      <c r="B3862">
        <v>7</v>
      </c>
      <c r="C3862">
        <v>27</v>
      </c>
      <c r="D3862" s="1">
        <f t="shared" si="480"/>
        <v>40386</v>
      </c>
      <c r="E3862">
        <v>0</v>
      </c>
      <c r="F3862">
        <f t="shared" si="486"/>
        <v>0</v>
      </c>
      <c r="G3862">
        <f t="shared" si="481"/>
        <v>0</v>
      </c>
      <c r="H3862">
        <f t="shared" si="487"/>
        <v>0</v>
      </c>
      <c r="I3862">
        <v>3861</v>
      </c>
      <c r="J3862">
        <f t="shared" si="482"/>
        <v>-0.43055961698187439</v>
      </c>
      <c r="K3862">
        <f t="shared" si="483"/>
        <v>-0.90256213981333255</v>
      </c>
      <c r="L3862">
        <f>VLOOKUP(D3862,[1]SOI!$A$1:$C$142,3)</f>
        <v>1.8</v>
      </c>
      <c r="M3862" s="2">
        <f t="shared" si="484"/>
        <v>-1662.390681167017</v>
      </c>
      <c r="N3862">
        <f t="shared" si="485"/>
        <v>-3484.792421819277</v>
      </c>
      <c r="O3862" t="s">
        <v>15</v>
      </c>
    </row>
    <row r="3863" spans="1:15" x14ac:dyDescent="0.35">
      <c r="A3863">
        <v>2010</v>
      </c>
      <c r="B3863">
        <v>7</v>
      </c>
      <c r="C3863">
        <v>28</v>
      </c>
      <c r="D3863" s="1">
        <f t="shared" si="480"/>
        <v>40387</v>
      </c>
      <c r="E3863">
        <v>0</v>
      </c>
      <c r="F3863">
        <f t="shared" si="486"/>
        <v>0</v>
      </c>
      <c r="G3863">
        <f t="shared" si="481"/>
        <v>0</v>
      </c>
      <c r="H3863">
        <f t="shared" si="487"/>
        <v>0</v>
      </c>
      <c r="I3863">
        <v>3862</v>
      </c>
      <c r="J3863">
        <f t="shared" si="482"/>
        <v>-0.44602140294068321</v>
      </c>
      <c r="K3863">
        <f t="shared" si="483"/>
        <v>-0.89502229476076445</v>
      </c>
      <c r="L3863">
        <f>VLOOKUP(D3863,[1]SOI!$A$1:$C$142,3)</f>
        <v>1.8</v>
      </c>
      <c r="M3863" s="2">
        <f t="shared" si="484"/>
        <v>-1722.5346581569186</v>
      </c>
      <c r="N3863">
        <f t="shared" si="485"/>
        <v>-3456.5761023660725</v>
      </c>
      <c r="O3863" t="s">
        <v>15</v>
      </c>
    </row>
    <row r="3864" spans="1:15" x14ac:dyDescent="0.35">
      <c r="A3864">
        <v>2010</v>
      </c>
      <c r="B3864">
        <v>7</v>
      </c>
      <c r="C3864">
        <v>29</v>
      </c>
      <c r="D3864" s="1">
        <f t="shared" si="480"/>
        <v>40388</v>
      </c>
      <c r="E3864">
        <v>4.4000000000000004</v>
      </c>
      <c r="F3864">
        <f t="shared" si="486"/>
        <v>0</v>
      </c>
      <c r="G3864">
        <f t="shared" si="481"/>
        <v>1</v>
      </c>
      <c r="H3864">
        <f t="shared" si="487"/>
        <v>0</v>
      </c>
      <c r="I3864">
        <v>3863</v>
      </c>
      <c r="J3864">
        <f t="shared" si="482"/>
        <v>-0.4613512039905675</v>
      </c>
      <c r="K3864">
        <f t="shared" si="483"/>
        <v>-0.8872175982116528</v>
      </c>
      <c r="L3864">
        <f>VLOOKUP(D3864,[1]SOI!$A$1:$C$142,3)</f>
        <v>1.8</v>
      </c>
      <c r="M3864" s="2">
        <f t="shared" si="484"/>
        <v>-1782.1997010155624</v>
      </c>
      <c r="N3864">
        <f t="shared" si="485"/>
        <v>-3427.3215818916146</v>
      </c>
      <c r="O3864" t="s">
        <v>15</v>
      </c>
    </row>
    <row r="3865" spans="1:15" x14ac:dyDescent="0.35">
      <c r="A3865">
        <v>2010</v>
      </c>
      <c r="B3865">
        <v>7</v>
      </c>
      <c r="C3865">
        <v>30</v>
      </c>
      <c r="D3865" s="1">
        <f t="shared" si="480"/>
        <v>40389</v>
      </c>
      <c r="E3865">
        <v>0</v>
      </c>
      <c r="F3865">
        <f t="shared" si="486"/>
        <v>4.4000000000000004</v>
      </c>
      <c r="G3865">
        <f t="shared" si="481"/>
        <v>0</v>
      </c>
      <c r="H3865">
        <f t="shared" si="487"/>
        <v>1</v>
      </c>
      <c r="I3865">
        <v>3864</v>
      </c>
      <c r="J3865">
        <f t="shared" si="482"/>
        <v>-0.4765444837967765</v>
      </c>
      <c r="K3865">
        <f t="shared" si="483"/>
        <v>-0.87915035970126509</v>
      </c>
      <c r="L3865">
        <f>VLOOKUP(D3865,[1]SOI!$A$1:$C$142,3)</f>
        <v>1.8</v>
      </c>
      <c r="M3865" s="2">
        <f t="shared" si="484"/>
        <v>-1841.3678853907443</v>
      </c>
      <c r="N3865">
        <f t="shared" si="485"/>
        <v>-3397.0369898856884</v>
      </c>
      <c r="O3865" t="s">
        <v>15</v>
      </c>
    </row>
    <row r="3866" spans="1:15" x14ac:dyDescent="0.35">
      <c r="A3866">
        <v>2010</v>
      </c>
      <c r="B3866">
        <v>7</v>
      </c>
      <c r="C3866">
        <v>31</v>
      </c>
      <c r="D3866" s="1">
        <f t="shared" si="480"/>
        <v>40390</v>
      </c>
      <c r="E3866">
        <v>0</v>
      </c>
      <c r="F3866">
        <f t="shared" si="486"/>
        <v>0</v>
      </c>
      <c r="G3866">
        <f t="shared" si="481"/>
        <v>0</v>
      </c>
      <c r="H3866">
        <f t="shared" si="487"/>
        <v>0</v>
      </c>
      <c r="I3866">
        <v>3865</v>
      </c>
      <c r="J3866">
        <f t="shared" si="482"/>
        <v>-0.49159674642335399</v>
      </c>
      <c r="K3866">
        <f t="shared" si="483"/>
        <v>-0.87082296645527935</v>
      </c>
      <c r="L3866">
        <f>VLOOKUP(D3866,[1]SOI!$A$1:$C$142,3)</f>
        <v>1.8</v>
      </c>
      <c r="M3866" s="2">
        <f t="shared" si="484"/>
        <v>-1900.0214249262631</v>
      </c>
      <c r="N3866">
        <f t="shared" si="485"/>
        <v>-3365.7307653496546</v>
      </c>
      <c r="O3866" t="s">
        <v>15</v>
      </c>
    </row>
    <row r="3867" spans="1:15" x14ac:dyDescent="0.35">
      <c r="A3867">
        <v>2010</v>
      </c>
      <c r="B3867">
        <v>8</v>
      </c>
      <c r="C3867">
        <v>1</v>
      </c>
      <c r="D3867" s="1">
        <f t="shared" si="480"/>
        <v>40391</v>
      </c>
      <c r="E3867">
        <v>3.4</v>
      </c>
      <c r="F3867">
        <f t="shared" si="486"/>
        <v>0</v>
      </c>
      <c r="G3867">
        <f t="shared" si="481"/>
        <v>1</v>
      </c>
      <c r="H3867">
        <f t="shared" si="487"/>
        <v>0</v>
      </c>
      <c r="I3867">
        <v>3866</v>
      </c>
      <c r="J3867">
        <f t="shared" si="482"/>
        <v>-0.50650353766364609</v>
      </c>
      <c r="K3867">
        <f t="shared" si="483"/>
        <v>-0.86223788268331814</v>
      </c>
      <c r="L3867">
        <f>VLOOKUP(D3867,[1]SOI!$A$1:$C$142,3)</f>
        <v>20.5</v>
      </c>
      <c r="M3867" s="2">
        <f t="shared" si="484"/>
        <v>-1958.1426766076559</v>
      </c>
      <c r="N3867">
        <f t="shared" si="485"/>
        <v>-3333.4116544537078</v>
      </c>
      <c r="O3867" t="s">
        <v>15</v>
      </c>
    </row>
    <row r="3868" spans="1:15" x14ac:dyDescent="0.35">
      <c r="A3868">
        <v>2010</v>
      </c>
      <c r="B3868">
        <v>8</v>
      </c>
      <c r="C3868">
        <v>2</v>
      </c>
      <c r="D3868" s="1">
        <f t="shared" si="480"/>
        <v>40392</v>
      </c>
      <c r="E3868">
        <v>6</v>
      </c>
      <c r="F3868">
        <f t="shared" si="486"/>
        <v>3.4</v>
      </c>
      <c r="G3868">
        <f t="shared" si="481"/>
        <v>1</v>
      </c>
      <c r="H3868">
        <f t="shared" si="487"/>
        <v>1</v>
      </c>
      <c r="I3868">
        <v>3867</v>
      </c>
      <c r="J3868">
        <f t="shared" si="482"/>
        <v>-0.52126044635827284</v>
      </c>
      <c r="K3868">
        <f t="shared" si="483"/>
        <v>-0.85339764884980451</v>
      </c>
      <c r="L3868">
        <f>VLOOKUP(D3868,[1]SOI!$A$1:$C$142,3)</f>
        <v>20.5</v>
      </c>
      <c r="M3868" s="2">
        <f t="shared" si="484"/>
        <v>-2015.7141460674411</v>
      </c>
      <c r="N3868">
        <f t="shared" si="485"/>
        <v>-3300.0887081021942</v>
      </c>
      <c r="O3868" t="s">
        <v>15</v>
      </c>
    </row>
    <row r="3869" spans="1:15" x14ac:dyDescent="0.35">
      <c r="A3869">
        <v>2010</v>
      </c>
      <c r="B3869">
        <v>8</v>
      </c>
      <c r="C3869">
        <v>3</v>
      </c>
      <c r="D3869" s="1">
        <f t="shared" si="480"/>
        <v>40393</v>
      </c>
      <c r="E3869">
        <v>4.4000000000000004</v>
      </c>
      <c r="F3869">
        <f t="shared" si="486"/>
        <v>6</v>
      </c>
      <c r="G3869">
        <f t="shared" si="481"/>
        <v>1</v>
      </c>
      <c r="H3869">
        <f t="shared" si="487"/>
        <v>1</v>
      </c>
      <c r="I3869">
        <v>3868</v>
      </c>
      <c r="J3869">
        <f t="shared" si="482"/>
        <v>-0.53586310570054818</v>
      </c>
      <c r="K3869">
        <f t="shared" si="483"/>
        <v>-0.84430488092214839</v>
      </c>
      <c r="L3869">
        <f>VLOOKUP(D3869,[1]SOI!$A$1:$C$142,3)</f>
        <v>20.5</v>
      </c>
      <c r="M3869" s="2">
        <f t="shared" si="484"/>
        <v>-2072.7184928497204</v>
      </c>
      <c r="N3869">
        <f t="shared" si="485"/>
        <v>-3265.7712794068698</v>
      </c>
      <c r="O3869" t="s">
        <v>15</v>
      </c>
    </row>
    <row r="3870" spans="1:15" x14ac:dyDescent="0.35">
      <c r="A3870">
        <v>2010</v>
      </c>
      <c r="B3870">
        <v>8</v>
      </c>
      <c r="C3870">
        <v>4</v>
      </c>
      <c r="D3870" s="1">
        <f t="shared" si="480"/>
        <v>40394</v>
      </c>
      <c r="E3870">
        <v>0</v>
      </c>
      <c r="F3870">
        <f t="shared" si="486"/>
        <v>4.4000000000000004</v>
      </c>
      <c r="G3870">
        <f t="shared" si="481"/>
        <v>0</v>
      </c>
      <c r="H3870">
        <f t="shared" si="487"/>
        <v>1</v>
      </c>
      <c r="I3870">
        <v>3869</v>
      </c>
      <c r="J3870">
        <f t="shared" si="482"/>
        <v>-0.55030719452865029</v>
      </c>
      <c r="K3870">
        <f t="shared" si="483"/>
        <v>-0.83496226959666042</v>
      </c>
      <c r="L3870">
        <f>VLOOKUP(D3870,[1]SOI!$A$1:$C$142,3)</f>
        <v>20.5</v>
      </c>
      <c r="M3870" s="2">
        <f t="shared" si="484"/>
        <v>-2129.1385356313481</v>
      </c>
      <c r="N3870">
        <f t="shared" si="485"/>
        <v>-3230.4690210694794</v>
      </c>
      <c r="O3870" t="s">
        <v>15</v>
      </c>
    </row>
    <row r="3871" spans="1:15" x14ac:dyDescent="0.35">
      <c r="A3871">
        <v>2010</v>
      </c>
      <c r="B3871">
        <v>8</v>
      </c>
      <c r="C3871">
        <v>5</v>
      </c>
      <c r="D3871" s="1">
        <f t="shared" si="480"/>
        <v>40395</v>
      </c>
      <c r="E3871">
        <v>4.8</v>
      </c>
      <c r="F3871">
        <f t="shared" si="486"/>
        <v>0</v>
      </c>
      <c r="G3871">
        <f t="shared" si="481"/>
        <v>1</v>
      </c>
      <c r="H3871">
        <f t="shared" si="487"/>
        <v>0</v>
      </c>
      <c r="I3871">
        <v>3870</v>
      </c>
      <c r="J3871">
        <f t="shared" si="482"/>
        <v>-0.56458843860428809</v>
      </c>
      <c r="K3871">
        <f t="shared" si="483"/>
        <v>-0.82537257950235543</v>
      </c>
      <c r="L3871">
        <f>VLOOKUP(D3871,[1]SOI!$A$1:$C$142,3)</f>
        <v>20.5</v>
      </c>
      <c r="M3871" s="2">
        <f t="shared" si="484"/>
        <v>-2184.9572573985947</v>
      </c>
      <c r="N3871">
        <f t="shared" si="485"/>
        <v>-3194.1918826741157</v>
      </c>
      <c r="O3871" t="s">
        <v>15</v>
      </c>
    </row>
    <row r="3872" spans="1:15" x14ac:dyDescent="0.35">
      <c r="A3872">
        <v>2010</v>
      </c>
      <c r="B3872">
        <v>8</v>
      </c>
      <c r="C3872">
        <v>6</v>
      </c>
      <c r="D3872" s="1">
        <f t="shared" si="480"/>
        <v>40396</v>
      </c>
      <c r="E3872">
        <v>2.2000000000000002</v>
      </c>
      <c r="F3872">
        <f t="shared" si="486"/>
        <v>4.8</v>
      </c>
      <c r="G3872">
        <f t="shared" si="481"/>
        <v>1</v>
      </c>
      <c r="H3872">
        <f t="shared" si="487"/>
        <v>1</v>
      </c>
      <c r="I3872">
        <v>3871</v>
      </c>
      <c r="J3872">
        <f t="shared" si="482"/>
        <v>-0.57870261187759997</v>
      </c>
      <c r="K3872">
        <f t="shared" si="483"/>
        <v>-0.81553864838279977</v>
      </c>
      <c r="L3872">
        <f>VLOOKUP(D3872,[1]SOI!$A$1:$C$142,3)</f>
        <v>20.5</v>
      </c>
      <c r="M3872" s="2">
        <f t="shared" si="484"/>
        <v>-2240.1578105781896</v>
      </c>
      <c r="N3872">
        <f t="shared" si="485"/>
        <v>-3156.9501078898179</v>
      </c>
      <c r="O3872" t="s">
        <v>15</v>
      </c>
    </row>
    <row r="3873" spans="1:15" x14ac:dyDescent="0.35">
      <c r="A3873">
        <v>2010</v>
      </c>
      <c r="B3873">
        <v>8</v>
      </c>
      <c r="C3873">
        <v>7</v>
      </c>
      <c r="D3873" s="1">
        <f t="shared" si="480"/>
        <v>40397</v>
      </c>
      <c r="E3873">
        <v>0</v>
      </c>
      <c r="F3873">
        <f t="shared" si="486"/>
        <v>2.2000000000000002</v>
      </c>
      <c r="G3873">
        <f t="shared" si="481"/>
        <v>0</v>
      </c>
      <c r="H3873">
        <f t="shared" si="487"/>
        <v>1</v>
      </c>
      <c r="I3873">
        <v>3872</v>
      </c>
      <c r="J3873">
        <f t="shared" si="482"/>
        <v>-0.5926455377376274</v>
      </c>
      <c r="K3873">
        <f t="shared" si="483"/>
        <v>-0.8054633862564321</v>
      </c>
      <c r="L3873">
        <f>VLOOKUP(D3873,[1]SOI!$A$1:$C$142,3)</f>
        <v>20.5</v>
      </c>
      <c r="M3873" s="2">
        <f t="shared" si="484"/>
        <v>-2294.7235221200931</v>
      </c>
      <c r="N3873">
        <f t="shared" si="485"/>
        <v>-3118.754231584905</v>
      </c>
      <c r="O3873" t="s">
        <v>15</v>
      </c>
    </row>
    <row r="3874" spans="1:15" x14ac:dyDescent="0.35">
      <c r="A3874">
        <v>2010</v>
      </c>
      <c r="B3874">
        <v>8</v>
      </c>
      <c r="C3874">
        <v>8</v>
      </c>
      <c r="D3874" s="1">
        <f t="shared" si="480"/>
        <v>40398</v>
      </c>
      <c r="E3874">
        <v>0</v>
      </c>
      <c r="F3874">
        <f t="shared" si="486"/>
        <v>0</v>
      </c>
      <c r="G3874">
        <f t="shared" si="481"/>
        <v>0</v>
      </c>
      <c r="H3874">
        <f t="shared" si="487"/>
        <v>0</v>
      </c>
      <c r="I3874">
        <v>3873</v>
      </c>
      <c r="J3874">
        <f t="shared" si="482"/>
        <v>-0.60641309024827705</v>
      </c>
      <c r="K3874">
        <f t="shared" si="483"/>
        <v>-0.7951497745554198</v>
      </c>
      <c r="L3874">
        <f>VLOOKUP(D3874,[1]SOI!$A$1:$C$142,3)</f>
        <v>20.5</v>
      </c>
      <c r="M3874" s="2">
        <f t="shared" si="484"/>
        <v>-2348.6378985315769</v>
      </c>
      <c r="N3874">
        <f t="shared" si="485"/>
        <v>-3079.6150768531411</v>
      </c>
      <c r="O3874" t="s">
        <v>15</v>
      </c>
    </row>
    <row r="3875" spans="1:15" x14ac:dyDescent="0.35">
      <c r="A3875">
        <v>2010</v>
      </c>
      <c r="B3875">
        <v>8</v>
      </c>
      <c r="C3875">
        <v>9</v>
      </c>
      <c r="D3875" s="1">
        <f t="shared" si="480"/>
        <v>40399</v>
      </c>
      <c r="E3875">
        <v>0</v>
      </c>
      <c r="F3875">
        <f t="shared" si="486"/>
        <v>0</v>
      </c>
      <c r="G3875">
        <f t="shared" si="481"/>
        <v>0</v>
      </c>
      <c r="H3875">
        <f t="shared" si="487"/>
        <v>0</v>
      </c>
      <c r="I3875">
        <v>3874</v>
      </c>
      <c r="J3875">
        <f t="shared" si="482"/>
        <v>-0.62000119536927378</v>
      </c>
      <c r="K3875">
        <f t="shared" si="483"/>
        <v>-0.78460086524338701</v>
      </c>
      <c r="L3875">
        <f>VLOOKUP(D3875,[1]SOI!$A$1:$C$142,3)</f>
        <v>20.5</v>
      </c>
      <c r="M3875" s="2">
        <f t="shared" si="484"/>
        <v>-2401.8846308605666</v>
      </c>
      <c r="N3875">
        <f t="shared" si="485"/>
        <v>-3039.5437519528814</v>
      </c>
      <c r="O3875" t="s">
        <v>15</v>
      </c>
    </row>
    <row r="3876" spans="1:15" x14ac:dyDescent="0.35">
      <c r="A3876">
        <v>2010</v>
      </c>
      <c r="B3876">
        <v>8</v>
      </c>
      <c r="C3876">
        <v>10</v>
      </c>
      <c r="D3876" s="1">
        <f t="shared" si="480"/>
        <v>40400</v>
      </c>
      <c r="E3876">
        <v>1.4</v>
      </c>
      <c r="F3876">
        <f t="shared" si="486"/>
        <v>0</v>
      </c>
      <c r="G3876">
        <f t="shared" si="481"/>
        <v>1</v>
      </c>
      <c r="H3876">
        <f t="shared" si="487"/>
        <v>0</v>
      </c>
      <c r="I3876">
        <v>3875</v>
      </c>
      <c r="J3876">
        <f t="shared" si="482"/>
        <v>-0.63340583216170088</v>
      </c>
      <c r="K3876">
        <f t="shared" si="483"/>
        <v>-0.77381977991231476</v>
      </c>
      <c r="L3876">
        <f>VLOOKUP(D3876,[1]SOI!$A$1:$C$142,3)</f>
        <v>20.5</v>
      </c>
      <c r="M3876" s="2">
        <f t="shared" si="484"/>
        <v>-2454.447599626591</v>
      </c>
      <c r="N3876">
        <f t="shared" si="485"/>
        <v>-2998.5516471602195</v>
      </c>
      <c r="O3876" t="s">
        <v>15</v>
      </c>
    </row>
    <row r="3877" spans="1:15" x14ac:dyDescent="0.35">
      <c r="A3877">
        <v>2010</v>
      </c>
      <c r="B3877">
        <v>8</v>
      </c>
      <c r="C3877">
        <v>11</v>
      </c>
      <c r="D3877" s="1">
        <f t="shared" si="480"/>
        <v>40401</v>
      </c>
      <c r="E3877">
        <v>7.2</v>
      </c>
      <c r="F3877">
        <f t="shared" si="486"/>
        <v>1.4</v>
      </c>
      <c r="G3877">
        <f t="shared" si="481"/>
        <v>1</v>
      </c>
      <c r="H3877">
        <f t="shared" si="487"/>
        <v>1</v>
      </c>
      <c r="I3877">
        <v>3876</v>
      </c>
      <c r="J3877">
        <f t="shared" si="482"/>
        <v>-0.64662303397788234</v>
      </c>
      <c r="K3877">
        <f t="shared" si="483"/>
        <v>-0.76280970885879429</v>
      </c>
      <c r="L3877">
        <f>VLOOKUP(D3877,[1]SOI!$A$1:$C$142,3)</f>
        <v>20.5</v>
      </c>
      <c r="M3877" s="2">
        <f t="shared" si="484"/>
        <v>-2506.3108796982719</v>
      </c>
      <c r="N3877">
        <f t="shared" si="485"/>
        <v>-2956.6504315366865</v>
      </c>
      <c r="O3877" t="s">
        <v>15</v>
      </c>
    </row>
    <row r="3878" spans="1:15" x14ac:dyDescent="0.35">
      <c r="A3878">
        <v>2010</v>
      </c>
      <c r="B3878">
        <v>8</v>
      </c>
      <c r="C3878">
        <v>12</v>
      </c>
      <c r="D3878" s="1">
        <f t="shared" si="480"/>
        <v>40402</v>
      </c>
      <c r="E3878">
        <v>16.2</v>
      </c>
      <c r="F3878">
        <f t="shared" si="486"/>
        <v>7.2</v>
      </c>
      <c r="G3878">
        <f t="shared" si="481"/>
        <v>1</v>
      </c>
      <c r="H3878">
        <f t="shared" si="487"/>
        <v>1</v>
      </c>
      <c r="I3878">
        <v>3877</v>
      </c>
      <c r="J3878">
        <f t="shared" si="482"/>
        <v>-0.65964888963514523</v>
      </c>
      <c r="K3878">
        <f t="shared" si="483"/>
        <v>-0.75157391013999408</v>
      </c>
      <c r="L3878">
        <f>VLOOKUP(D3878,[1]SOI!$A$1:$C$142,3)</f>
        <v>20.5</v>
      </c>
      <c r="M3878" s="2">
        <f t="shared" si="484"/>
        <v>-2557.458745115458</v>
      </c>
      <c r="N3878">
        <f t="shared" si="485"/>
        <v>-2913.8520496127571</v>
      </c>
      <c r="O3878" t="s">
        <v>15</v>
      </c>
    </row>
    <row r="3879" spans="1:15" x14ac:dyDescent="0.35">
      <c r="A3879">
        <v>2010</v>
      </c>
      <c r="B3879">
        <v>8</v>
      </c>
      <c r="C3879">
        <v>13</v>
      </c>
      <c r="D3879" s="1">
        <f t="shared" si="480"/>
        <v>40403</v>
      </c>
      <c r="E3879">
        <v>1.8</v>
      </c>
      <c r="F3879">
        <f t="shared" si="486"/>
        <v>16.2</v>
      </c>
      <c r="G3879">
        <f t="shared" si="481"/>
        <v>1</v>
      </c>
      <c r="H3879">
        <f t="shared" si="487"/>
        <v>1</v>
      </c>
      <c r="I3879">
        <v>3878</v>
      </c>
      <c r="J3879">
        <f t="shared" si="482"/>
        <v>-0.67247954457322434</v>
      </c>
      <c r="K3879">
        <f t="shared" si="483"/>
        <v>-0.74011570860953146</v>
      </c>
      <c r="L3879">
        <f>VLOOKUP(D3879,[1]SOI!$A$1:$C$142,3)</f>
        <v>20.5</v>
      </c>
      <c r="M3879" s="2">
        <f t="shared" si="484"/>
        <v>-2607.8756738549641</v>
      </c>
      <c r="N3879">
        <f t="shared" si="485"/>
        <v>-2870.1687179877631</v>
      </c>
      <c r="O3879" t="s">
        <v>15</v>
      </c>
    </row>
    <row r="3880" spans="1:15" x14ac:dyDescent="0.35">
      <c r="A3880">
        <v>2010</v>
      </c>
      <c r="B3880">
        <v>8</v>
      </c>
      <c r="C3880">
        <v>14</v>
      </c>
      <c r="D3880" s="1">
        <f t="shared" si="480"/>
        <v>40404</v>
      </c>
      <c r="E3880">
        <v>0</v>
      </c>
      <c r="F3880">
        <f t="shared" si="486"/>
        <v>1.8</v>
      </c>
      <c r="G3880">
        <f t="shared" si="481"/>
        <v>0</v>
      </c>
      <c r="H3880">
        <f t="shared" si="487"/>
        <v>1</v>
      </c>
      <c r="I3880">
        <v>3879</v>
      </c>
      <c r="J3880">
        <f t="shared" si="482"/>
        <v>-0.68511120199490882</v>
      </c>
      <c r="K3880">
        <f t="shared" si="483"/>
        <v>-0.72843849493357449</v>
      </c>
      <c r="L3880">
        <f>VLOOKUP(D3880,[1]SOI!$A$1:$C$142,3)</f>
        <v>20.5</v>
      </c>
      <c r="M3880" s="2">
        <f t="shared" si="484"/>
        <v>-2657.5463525382515</v>
      </c>
      <c r="N3880">
        <f t="shared" si="485"/>
        <v>-2825.6129218473357</v>
      </c>
      <c r="O3880" t="s">
        <v>15</v>
      </c>
    </row>
    <row r="3881" spans="1:15" x14ac:dyDescent="0.35">
      <c r="A3881">
        <v>2010</v>
      </c>
      <c r="B3881">
        <v>8</v>
      </c>
      <c r="C3881">
        <v>15</v>
      </c>
      <c r="D3881" s="1">
        <f t="shared" si="480"/>
        <v>40405</v>
      </c>
      <c r="E3881">
        <v>0</v>
      </c>
      <c r="F3881">
        <f t="shared" si="486"/>
        <v>0</v>
      </c>
      <c r="G3881">
        <f t="shared" si="481"/>
        <v>0</v>
      </c>
      <c r="H3881">
        <f t="shared" si="487"/>
        <v>0</v>
      </c>
      <c r="I3881">
        <v>3880</v>
      </c>
      <c r="J3881">
        <f t="shared" si="482"/>
        <v>-0.69754012398954379</v>
      </c>
      <c r="K3881">
        <f t="shared" si="483"/>
        <v>-0.71654572458751853</v>
      </c>
      <c r="L3881">
        <f>VLOOKUP(D3881,[1]SOI!$A$1:$C$142,3)</f>
        <v>20.5</v>
      </c>
      <c r="M3881" s="2">
        <f t="shared" si="484"/>
        <v>-2706.4556810794297</v>
      </c>
      <c r="N3881">
        <f t="shared" si="485"/>
        <v>-2780.197411399572</v>
      </c>
      <c r="O3881" t="s">
        <v>15</v>
      </c>
    </row>
    <row r="3882" spans="1:15" x14ac:dyDescent="0.35">
      <c r="A3882">
        <v>2010</v>
      </c>
      <c r="B3882">
        <v>8</v>
      </c>
      <c r="C3882">
        <v>16</v>
      </c>
      <c r="D3882" s="1">
        <f t="shared" si="480"/>
        <v>40406</v>
      </c>
      <c r="E3882">
        <v>6</v>
      </c>
      <c r="F3882">
        <f t="shared" si="486"/>
        <v>0</v>
      </c>
      <c r="G3882">
        <f t="shared" si="481"/>
        <v>1</v>
      </c>
      <c r="H3882">
        <f t="shared" si="487"/>
        <v>0</v>
      </c>
      <c r="I3882">
        <v>3881</v>
      </c>
      <c r="J3882">
        <f t="shared" si="482"/>
        <v>-0.70976263263915895</v>
      </c>
      <c r="K3882">
        <f t="shared" si="483"/>
        <v>-0.7044409168334349</v>
      </c>
      <c r="L3882">
        <f>VLOOKUP(D3882,[1]SOI!$A$1:$C$142,3)</f>
        <v>20.5</v>
      </c>
      <c r="M3882" s="2">
        <f t="shared" si="484"/>
        <v>-2754.588777272576</v>
      </c>
      <c r="N3882">
        <f t="shared" si="485"/>
        <v>-2733.9351982305607</v>
      </c>
      <c r="O3882" t="s">
        <v>15</v>
      </c>
    </row>
    <row r="3883" spans="1:15" x14ac:dyDescent="0.35">
      <c r="A3883">
        <v>2010</v>
      </c>
      <c r="B3883">
        <v>8</v>
      </c>
      <c r="C3883">
        <v>17</v>
      </c>
      <c r="D3883" s="1">
        <f t="shared" si="480"/>
        <v>40407</v>
      </c>
      <c r="E3883">
        <v>1.4</v>
      </c>
      <c r="F3883">
        <f t="shared" si="486"/>
        <v>6</v>
      </c>
      <c r="G3883">
        <f t="shared" si="481"/>
        <v>1</v>
      </c>
      <c r="H3883">
        <f t="shared" si="487"/>
        <v>1</v>
      </c>
      <c r="I3883">
        <v>3882</v>
      </c>
      <c r="J3883">
        <f t="shared" si="482"/>
        <v>-0.72177511110679327</v>
      </c>
      <c r="K3883">
        <f t="shared" si="483"/>
        <v>-0.69212765367869555</v>
      </c>
      <c r="L3883">
        <f>VLOOKUP(D3883,[1]SOI!$A$1:$C$142,3)</f>
        <v>20.5</v>
      </c>
      <c r="M3883" s="2">
        <f t="shared" si="484"/>
        <v>-2801.9309813165714</v>
      </c>
      <c r="N3883">
        <f t="shared" si="485"/>
        <v>-2686.839551580696</v>
      </c>
      <c r="O3883" t="s">
        <v>15</v>
      </c>
    </row>
    <row r="3884" spans="1:15" x14ac:dyDescent="0.35">
      <c r="A3884">
        <v>2010</v>
      </c>
      <c r="B3884">
        <v>8</v>
      </c>
      <c r="C3884">
        <v>18</v>
      </c>
      <c r="D3884" s="1">
        <f t="shared" si="480"/>
        <v>40408</v>
      </c>
      <c r="E3884">
        <v>0</v>
      </c>
      <c r="F3884">
        <f t="shared" si="486"/>
        <v>1.4</v>
      </c>
      <c r="G3884">
        <f t="shared" si="481"/>
        <v>0</v>
      </c>
      <c r="H3884">
        <f t="shared" si="487"/>
        <v>1</v>
      </c>
      <c r="I3884">
        <v>3883</v>
      </c>
      <c r="J3884">
        <f t="shared" si="482"/>
        <v>-0.73357400470679623</v>
      </c>
      <c r="K3884">
        <f t="shared" si="483"/>
        <v>-0.67960957881597972</v>
      </c>
      <c r="L3884">
        <f>VLOOKUP(D3884,[1]SOI!$A$1:$C$142,3)</f>
        <v>20.5</v>
      </c>
      <c r="M3884" s="2">
        <f t="shared" si="484"/>
        <v>-2848.4678602764898</v>
      </c>
      <c r="N3884">
        <f t="shared" si="485"/>
        <v>-2638.9239945424492</v>
      </c>
      <c r="O3884" t="s">
        <v>15</v>
      </c>
    </row>
    <row r="3885" spans="1:15" x14ac:dyDescent="0.35">
      <c r="A3885">
        <v>2010</v>
      </c>
      <c r="B3885">
        <v>8</v>
      </c>
      <c r="C3885">
        <v>19</v>
      </c>
      <c r="D3885" s="1">
        <f t="shared" si="480"/>
        <v>40409</v>
      </c>
      <c r="E3885">
        <v>0</v>
      </c>
      <c r="F3885">
        <f t="shared" si="486"/>
        <v>0</v>
      </c>
      <c r="G3885">
        <f t="shared" si="481"/>
        <v>0</v>
      </c>
      <c r="H3885">
        <f t="shared" si="487"/>
        <v>0</v>
      </c>
      <c r="I3885">
        <v>3884</v>
      </c>
      <c r="J3885">
        <f t="shared" si="482"/>
        <v>-0.74515582195674523</v>
      </c>
      <c r="K3885">
        <f t="shared" si="483"/>
        <v>-0.66689039654501503</v>
      </c>
      <c r="L3885">
        <f>VLOOKUP(D3885,[1]SOI!$A$1:$C$142,3)</f>
        <v>20.5</v>
      </c>
      <c r="M3885" s="2">
        <f t="shared" si="484"/>
        <v>-2894.1852124799984</v>
      </c>
      <c r="N3885">
        <f t="shared" si="485"/>
        <v>-2590.2023001808384</v>
      </c>
      <c r="O3885" t="s">
        <v>15</v>
      </c>
    </row>
    <row r="3886" spans="1:15" x14ac:dyDescent="0.35">
      <c r="A3886">
        <v>2010</v>
      </c>
      <c r="B3886">
        <v>8</v>
      </c>
      <c r="C3886">
        <v>20</v>
      </c>
      <c r="D3886" s="1">
        <f t="shared" si="480"/>
        <v>40410</v>
      </c>
      <c r="E3886">
        <v>0.8</v>
      </c>
      <c r="F3886">
        <f t="shared" si="486"/>
        <v>0</v>
      </c>
      <c r="G3886">
        <f t="shared" si="481"/>
        <v>1</v>
      </c>
      <c r="H3886">
        <f t="shared" si="487"/>
        <v>0</v>
      </c>
      <c r="I3886">
        <v>3885</v>
      </c>
      <c r="J3886">
        <f t="shared" si="482"/>
        <v>-0.75651713561056344</v>
      </c>
      <c r="K3886">
        <f t="shared" si="483"/>
        <v>-0.65397387067648838</v>
      </c>
      <c r="L3886">
        <f>VLOOKUP(D3886,[1]SOI!$A$1:$C$142,3)</f>
        <v>20.5</v>
      </c>
      <c r="M3886" s="2">
        <f t="shared" si="484"/>
        <v>-2939.0690718470391</v>
      </c>
      <c r="N3886">
        <f t="shared" si="485"/>
        <v>-2540.6884875781575</v>
      </c>
      <c r="O3886" t="s">
        <v>15</v>
      </c>
    </row>
    <row r="3887" spans="1:15" x14ac:dyDescent="0.35">
      <c r="A3887">
        <v>2010</v>
      </c>
      <c r="B3887">
        <v>8</v>
      </c>
      <c r="C3887">
        <v>21</v>
      </c>
      <c r="D3887" s="1">
        <f t="shared" si="480"/>
        <v>40411</v>
      </c>
      <c r="E3887">
        <v>1.2</v>
      </c>
      <c r="F3887">
        <f t="shared" si="486"/>
        <v>0.8</v>
      </c>
      <c r="G3887">
        <f t="shared" si="481"/>
        <v>1</v>
      </c>
      <c r="H3887">
        <f t="shared" si="487"/>
        <v>1</v>
      </c>
      <c r="I3887">
        <v>3886</v>
      </c>
      <c r="J3887">
        <f t="shared" si="482"/>
        <v>-0.76765458367276418</v>
      </c>
      <c r="K3887">
        <f t="shared" si="483"/>
        <v>-0.64086382341820092</v>
      </c>
      <c r="L3887">
        <f>VLOOKUP(D3887,[1]SOI!$A$1:$C$142,3)</f>
        <v>20.5</v>
      </c>
      <c r="M3887" s="2">
        <f t="shared" si="484"/>
        <v>-2983.1057121523618</v>
      </c>
      <c r="N3887">
        <f t="shared" si="485"/>
        <v>-2490.3968178031287</v>
      </c>
      <c r="O3887" t="s">
        <v>15</v>
      </c>
    </row>
    <row r="3888" spans="1:15" x14ac:dyDescent="0.35">
      <c r="A3888">
        <v>2010</v>
      </c>
      <c r="B3888">
        <v>8</v>
      </c>
      <c r="C3888">
        <v>22</v>
      </c>
      <c r="D3888" s="1">
        <f t="shared" si="480"/>
        <v>40412</v>
      </c>
      <c r="E3888">
        <v>0.2</v>
      </c>
      <c r="F3888">
        <f t="shared" si="486"/>
        <v>1.2</v>
      </c>
      <c r="G3888">
        <f t="shared" si="481"/>
        <v>1</v>
      </c>
      <c r="H3888">
        <f t="shared" si="487"/>
        <v>1</v>
      </c>
      <c r="I3888">
        <v>3887</v>
      </c>
      <c r="J3888">
        <f t="shared" si="482"/>
        <v>-0.7785648703932907</v>
      </c>
      <c r="K3888">
        <f t="shared" si="483"/>
        <v>-0.62756413424404567</v>
      </c>
      <c r="L3888">
        <f>VLOOKUP(D3888,[1]SOI!$A$1:$C$142,3)</f>
        <v>20.5</v>
      </c>
      <c r="M3888" s="2">
        <f t="shared" si="484"/>
        <v>-3026.281651218721</v>
      </c>
      <c r="N3888">
        <f t="shared" si="485"/>
        <v>-2439.3417898066054</v>
      </c>
      <c r="O3888" t="s">
        <v>15</v>
      </c>
    </row>
    <row r="3889" spans="1:15" x14ac:dyDescent="0.35">
      <c r="A3889">
        <v>2010</v>
      </c>
      <c r="B3889">
        <v>8</v>
      </c>
      <c r="C3889">
        <v>23</v>
      </c>
      <c r="D3889" s="1">
        <f t="shared" si="480"/>
        <v>40413</v>
      </c>
      <c r="E3889">
        <v>0</v>
      </c>
      <c r="F3889">
        <f t="shared" si="486"/>
        <v>0.2</v>
      </c>
      <c r="G3889">
        <f t="shared" si="481"/>
        <v>0</v>
      </c>
      <c r="H3889">
        <f t="shared" si="487"/>
        <v>1</v>
      </c>
      <c r="I3889">
        <v>3888</v>
      </c>
      <c r="J3889">
        <f t="shared" si="482"/>
        <v>-0.7892447672427545</v>
      </c>
      <c r="K3889">
        <f t="shared" si="483"/>
        <v>-0.61407873874604246</v>
      </c>
      <c r="L3889">
        <f>VLOOKUP(D3889,[1]SOI!$A$1:$C$142,3)</f>
        <v>20.5</v>
      </c>
      <c r="M3889" s="2">
        <f t="shared" si="484"/>
        <v>-3068.5836550398294</v>
      </c>
      <c r="N3889">
        <f t="shared" si="485"/>
        <v>-2387.5381362446133</v>
      </c>
      <c r="O3889" t="s">
        <v>15</v>
      </c>
    </row>
    <row r="3890" spans="1:15" x14ac:dyDescent="0.35">
      <c r="A3890">
        <v>2010</v>
      </c>
      <c r="B3890">
        <v>8</v>
      </c>
      <c r="C3890">
        <v>24</v>
      </c>
      <c r="D3890" s="1">
        <f t="shared" si="480"/>
        <v>40414</v>
      </c>
      <c r="E3890">
        <v>1.4</v>
      </c>
      <c r="F3890">
        <f t="shared" si="486"/>
        <v>0</v>
      </c>
      <c r="G3890">
        <f t="shared" si="481"/>
        <v>1</v>
      </c>
      <c r="H3890">
        <f t="shared" si="487"/>
        <v>0</v>
      </c>
      <c r="I3890">
        <v>3889</v>
      </c>
      <c r="J3890">
        <f t="shared" si="482"/>
        <v>-0.79969111386787262</v>
      </c>
      <c r="K3890">
        <f t="shared" si="483"/>
        <v>-0.60041162746965626</v>
      </c>
      <c r="L3890">
        <f>VLOOKUP(D3890,[1]SOI!$A$1:$C$142,3)</f>
        <v>20.5</v>
      </c>
      <c r="M3890" s="2">
        <f t="shared" si="484"/>
        <v>-3109.9987418321566</v>
      </c>
      <c r="N3890">
        <f t="shared" si="485"/>
        <v>-2335.0008192294931</v>
      </c>
      <c r="O3890" t="s">
        <v>15</v>
      </c>
    </row>
    <row r="3891" spans="1:15" x14ac:dyDescent="0.35">
      <c r="A3891">
        <v>2010</v>
      </c>
      <c r="B3891">
        <v>8</v>
      </c>
      <c r="C3891">
        <v>25</v>
      </c>
      <c r="D3891" s="1">
        <f t="shared" si="480"/>
        <v>40415</v>
      </c>
      <c r="E3891">
        <v>8.1999999999999993</v>
      </c>
      <c r="F3891">
        <f t="shared" si="486"/>
        <v>1.4</v>
      </c>
      <c r="G3891">
        <f t="shared" si="481"/>
        <v>1</v>
      </c>
      <c r="H3891">
        <f t="shared" si="487"/>
        <v>1</v>
      </c>
      <c r="I3891">
        <v>3890</v>
      </c>
      <c r="J3891">
        <f t="shared" si="482"/>
        <v>-0.80990081902659572</v>
      </c>
      <c r="K3891">
        <f t="shared" si="483"/>
        <v>-0.58656684473301879</v>
      </c>
      <c r="L3891">
        <f>VLOOKUP(D3891,[1]SOI!$A$1:$C$142,3)</f>
        <v>20.5</v>
      </c>
      <c r="M3891" s="2">
        <f t="shared" si="484"/>
        <v>-3150.5141860134572</v>
      </c>
      <c r="N3891">
        <f t="shared" si="485"/>
        <v>-2281.7450260114429</v>
      </c>
      <c r="O3891" t="s">
        <v>15</v>
      </c>
    </row>
    <row r="3892" spans="1:15" x14ac:dyDescent="0.35">
      <c r="A3892">
        <v>2010</v>
      </c>
      <c r="B3892">
        <v>8</v>
      </c>
      <c r="C3892">
        <v>26</v>
      </c>
      <c r="D3892" s="1">
        <f t="shared" si="480"/>
        <v>40416</v>
      </c>
      <c r="E3892">
        <v>0.2</v>
      </c>
      <c r="F3892">
        <f t="shared" si="486"/>
        <v>8.1999999999999993</v>
      </c>
      <c r="G3892">
        <f t="shared" si="481"/>
        <v>1</v>
      </c>
      <c r="H3892">
        <f t="shared" si="487"/>
        <v>1</v>
      </c>
      <c r="I3892">
        <v>3891</v>
      </c>
      <c r="J3892">
        <f t="shared" si="482"/>
        <v>-0.81987086150291788</v>
      </c>
      <c r="K3892">
        <f t="shared" si="483"/>
        <v>-0.57254848743007203</v>
      </c>
      <c r="L3892">
        <f>VLOOKUP(D3892,[1]SOI!$A$1:$C$142,3)</f>
        <v>20.5</v>
      </c>
      <c r="M3892" s="2">
        <f t="shared" si="484"/>
        <v>-3190.1175221078533</v>
      </c>
      <c r="N3892">
        <f t="shared" si="485"/>
        <v>-2227.7861645904104</v>
      </c>
      <c r="O3892" t="s">
        <v>15</v>
      </c>
    </row>
    <row r="3893" spans="1:15" x14ac:dyDescent="0.35">
      <c r="A3893">
        <v>2010</v>
      </c>
      <c r="B3893">
        <v>8</v>
      </c>
      <c r="C3893">
        <v>27</v>
      </c>
      <c r="D3893" s="1">
        <f t="shared" si="480"/>
        <v>40417</v>
      </c>
      <c r="E3893">
        <v>1.2</v>
      </c>
      <c r="F3893">
        <f t="shared" si="486"/>
        <v>0.2</v>
      </c>
      <c r="G3893">
        <f t="shared" si="481"/>
        <v>1</v>
      </c>
      <c r="H3893">
        <f t="shared" si="487"/>
        <v>1</v>
      </c>
      <c r="I3893">
        <v>3892</v>
      </c>
      <c r="J3893">
        <f t="shared" si="482"/>
        <v>-0.82959829100087557</v>
      </c>
      <c r="K3893">
        <f t="shared" si="483"/>
        <v>-0.55836070381826353</v>
      </c>
      <c r="L3893">
        <f>VLOOKUP(D3893,[1]SOI!$A$1:$C$142,3)</f>
        <v>20.5</v>
      </c>
      <c r="M3893" s="2">
        <f t="shared" si="484"/>
        <v>-3228.7965485754075</v>
      </c>
      <c r="N3893">
        <f t="shared" si="485"/>
        <v>-2173.1398592606815</v>
      </c>
      <c r="O3893" t="s">
        <v>15</v>
      </c>
    </row>
    <row r="3894" spans="1:15" x14ac:dyDescent="0.35">
      <c r="A3894">
        <v>2010</v>
      </c>
      <c r="B3894">
        <v>8</v>
      </c>
      <c r="C3894">
        <v>28</v>
      </c>
      <c r="D3894" s="1">
        <f t="shared" si="480"/>
        <v>40418</v>
      </c>
      <c r="E3894">
        <v>0.2</v>
      </c>
      <c r="F3894">
        <f t="shared" si="486"/>
        <v>1.2</v>
      </c>
      <c r="G3894">
        <f t="shared" si="481"/>
        <v>1</v>
      </c>
      <c r="H3894">
        <f t="shared" si="487"/>
        <v>1</v>
      </c>
      <c r="I3894">
        <v>3893</v>
      </c>
      <c r="J3894">
        <f t="shared" si="482"/>
        <v>-0.83908022901756507</v>
      </c>
      <c r="K3894">
        <f t="shared" si="483"/>
        <v>-0.54400769229104706</v>
      </c>
      <c r="L3894">
        <f>VLOOKUP(D3894,[1]SOI!$A$1:$C$142,3)</f>
        <v>20.5</v>
      </c>
      <c r="M3894" s="2">
        <f t="shared" si="484"/>
        <v>-3266.539331565381</v>
      </c>
      <c r="N3894">
        <f t="shared" si="485"/>
        <v>-2117.8219460890464</v>
      </c>
      <c r="O3894" t="s">
        <v>15</v>
      </c>
    </row>
    <row r="3895" spans="1:15" x14ac:dyDescent="0.35">
      <c r="A3895">
        <v>2010</v>
      </c>
      <c r="B3895">
        <v>8</v>
      </c>
      <c r="C3895">
        <v>29</v>
      </c>
      <c r="D3895" s="1">
        <f t="shared" si="480"/>
        <v>40419</v>
      </c>
      <c r="E3895">
        <v>0</v>
      </c>
      <c r="F3895">
        <f t="shared" si="486"/>
        <v>0.2</v>
      </c>
      <c r="G3895">
        <f t="shared" si="481"/>
        <v>0</v>
      </c>
      <c r="H3895">
        <f t="shared" si="487"/>
        <v>1</v>
      </c>
      <c r="I3895">
        <v>3894</v>
      </c>
      <c r="J3895">
        <f t="shared" si="482"/>
        <v>-0.84831386969499323</v>
      </c>
      <c r="K3895">
        <f t="shared" si="483"/>
        <v>-0.52949370013542751</v>
      </c>
      <c r="L3895">
        <f>VLOOKUP(D3895,[1]SOI!$A$1:$C$142,3)</f>
        <v>20.5</v>
      </c>
      <c r="M3895" s="2">
        <f t="shared" si="484"/>
        <v>-3303.3342085923036</v>
      </c>
      <c r="N3895">
        <f t="shared" si="485"/>
        <v>-2061.8484683273546</v>
      </c>
      <c r="O3895" t="s">
        <v>15</v>
      </c>
    </row>
    <row r="3896" spans="1:15" x14ac:dyDescent="0.35">
      <c r="A3896">
        <v>2010</v>
      </c>
      <c r="B3896">
        <v>8</v>
      </c>
      <c r="C3896">
        <v>30</v>
      </c>
      <c r="D3896" s="1">
        <f t="shared" si="480"/>
        <v>40420</v>
      </c>
      <c r="E3896">
        <v>0</v>
      </c>
      <c r="F3896">
        <f t="shared" si="486"/>
        <v>0</v>
      </c>
      <c r="G3896">
        <f t="shared" si="481"/>
        <v>0</v>
      </c>
      <c r="H3896">
        <f t="shared" si="487"/>
        <v>0</v>
      </c>
      <c r="I3896">
        <v>3895</v>
      </c>
      <c r="J3896">
        <f t="shared" si="482"/>
        <v>-0.85729648065031328</v>
      </c>
      <c r="K3896">
        <f t="shared" si="483"/>
        <v>-0.51482302227521548</v>
      </c>
      <c r="L3896">
        <f>VLOOKUP(D3896,[1]SOI!$A$1:$C$142,3)</f>
        <v>20.5</v>
      </c>
      <c r="M3896" s="2">
        <f t="shared" si="484"/>
        <v>-3339.1697921329701</v>
      </c>
      <c r="N3896">
        <f t="shared" si="485"/>
        <v>-2005.2356717619643</v>
      </c>
      <c r="O3896" t="s">
        <v>15</v>
      </c>
    </row>
    <row r="3897" spans="1:15" x14ac:dyDescent="0.35">
      <c r="A3897">
        <v>2010</v>
      </c>
      <c r="B3897">
        <v>8</v>
      </c>
      <c r="C3897">
        <v>31</v>
      </c>
      <c r="D3897" s="1">
        <f t="shared" si="480"/>
        <v>40421</v>
      </c>
      <c r="E3897">
        <v>0</v>
      </c>
      <c r="F3897">
        <f t="shared" si="486"/>
        <v>0</v>
      </c>
      <c r="G3897">
        <f t="shared" si="481"/>
        <v>0</v>
      </c>
      <c r="H3897">
        <f t="shared" si="487"/>
        <v>0</v>
      </c>
      <c r="I3897">
        <v>3896</v>
      </c>
      <c r="J3897">
        <f t="shared" si="482"/>
        <v>-0.86602540378443493</v>
      </c>
      <c r="K3897">
        <f t="shared" si="483"/>
        <v>-0.50000000000000633</v>
      </c>
      <c r="L3897">
        <f>VLOOKUP(D3897,[1]SOI!$A$1:$C$142,3)</f>
        <v>20.5</v>
      </c>
      <c r="M3897" s="2">
        <f t="shared" si="484"/>
        <v>-3374.0349731441584</v>
      </c>
      <c r="N3897">
        <f t="shared" si="485"/>
        <v>-1948.0000000000246</v>
      </c>
      <c r="O3897" t="s">
        <v>15</v>
      </c>
    </row>
    <row r="3898" spans="1:15" x14ac:dyDescent="0.35">
      <c r="A3898">
        <v>2010</v>
      </c>
      <c r="B3898">
        <v>9</v>
      </c>
      <c r="C3898">
        <v>1</v>
      </c>
      <c r="D3898" s="1">
        <f t="shared" si="480"/>
        <v>40422</v>
      </c>
      <c r="E3898">
        <v>5.8</v>
      </c>
      <c r="F3898">
        <f t="shared" si="486"/>
        <v>0</v>
      </c>
      <c r="G3898">
        <f t="shared" si="481"/>
        <v>1</v>
      </c>
      <c r="H3898">
        <f t="shared" si="487"/>
        <v>0</v>
      </c>
      <c r="I3898">
        <v>3897</v>
      </c>
      <c r="J3898">
        <f t="shared" si="482"/>
        <v>-0.874498056068575</v>
      </c>
      <c r="K3898">
        <f t="shared" si="483"/>
        <v>-0.48502901968055845</v>
      </c>
      <c r="L3898">
        <f>VLOOKUP(D3898,[1]SOI!$A$1:$C$142,3)</f>
        <v>18.8</v>
      </c>
      <c r="M3898" s="2">
        <f t="shared" si="484"/>
        <v>-3407.9189244992367</v>
      </c>
      <c r="N3898">
        <f t="shared" si="485"/>
        <v>-1890.1580896951364</v>
      </c>
      <c r="O3898" t="s">
        <v>15</v>
      </c>
    </row>
    <row r="3899" spans="1:15" x14ac:dyDescent="0.35">
      <c r="A3899">
        <v>2010</v>
      </c>
      <c r="B3899">
        <v>9</v>
      </c>
      <c r="C3899">
        <v>2</v>
      </c>
      <c r="D3899" s="1">
        <f t="shared" si="480"/>
        <v>40423</v>
      </c>
      <c r="E3899">
        <v>6.2</v>
      </c>
      <c r="F3899">
        <f t="shared" si="486"/>
        <v>5.8</v>
      </c>
      <c r="G3899">
        <f t="shared" si="481"/>
        <v>1</v>
      </c>
      <c r="H3899">
        <f t="shared" si="487"/>
        <v>1</v>
      </c>
      <c r="I3899">
        <v>3898</v>
      </c>
      <c r="J3899">
        <f t="shared" si="482"/>
        <v>-0.88271193030859652</v>
      </c>
      <c r="K3899">
        <f t="shared" si="483"/>
        <v>-0.46991451147083285</v>
      </c>
      <c r="L3899">
        <f>VLOOKUP(D3899,[1]SOI!$A$1:$C$142,3)</f>
        <v>18.8</v>
      </c>
      <c r="M3899" s="2">
        <f t="shared" si="484"/>
        <v>-3440.8111043429094</v>
      </c>
      <c r="N3899">
        <f t="shared" si="485"/>
        <v>-1831.7267657133063</v>
      </c>
      <c r="O3899" t="s">
        <v>15</v>
      </c>
    </row>
    <row r="3900" spans="1:15" x14ac:dyDescent="0.35">
      <c r="A3900">
        <v>2010</v>
      </c>
      <c r="B3900">
        <v>9</v>
      </c>
      <c r="C3900">
        <v>3</v>
      </c>
      <c r="D3900" s="1">
        <f t="shared" si="480"/>
        <v>40424</v>
      </c>
      <c r="E3900">
        <v>0</v>
      </c>
      <c r="F3900">
        <f t="shared" si="486"/>
        <v>6.2</v>
      </c>
      <c r="G3900">
        <f t="shared" si="481"/>
        <v>0</v>
      </c>
      <c r="H3900">
        <f t="shared" si="487"/>
        <v>1</v>
      </c>
      <c r="I3900">
        <v>3899</v>
      </c>
      <c r="J3900">
        <f t="shared" si="482"/>
        <v>-0.890664595886977</v>
      </c>
      <c r="K3900">
        <f t="shared" si="483"/>
        <v>-0.454660947996953</v>
      </c>
      <c r="L3900">
        <f>VLOOKUP(D3900,[1]SOI!$A$1:$C$142,3)</f>
        <v>18.8</v>
      </c>
      <c r="M3900" s="2">
        <f t="shared" si="484"/>
        <v>-3472.7012593633235</v>
      </c>
      <c r="N3900">
        <f t="shared" si="485"/>
        <v>-1772.7230362401197</v>
      </c>
      <c r="O3900" t="s">
        <v>15</v>
      </c>
    </row>
    <row r="3901" spans="1:15" x14ac:dyDescent="0.35">
      <c r="A3901">
        <v>2010</v>
      </c>
      <c r="B3901">
        <v>9</v>
      </c>
      <c r="C3901">
        <v>4</v>
      </c>
      <c r="D3901" s="1">
        <f t="shared" si="480"/>
        <v>40425</v>
      </c>
      <c r="E3901">
        <v>9.6</v>
      </c>
      <c r="F3901">
        <f t="shared" si="486"/>
        <v>0</v>
      </c>
      <c r="G3901">
        <f t="shared" si="481"/>
        <v>1</v>
      </c>
      <c r="H3901">
        <f t="shared" si="487"/>
        <v>0</v>
      </c>
      <c r="I3901">
        <v>3900</v>
      </c>
      <c r="J3901">
        <f t="shared" si="482"/>
        <v>-0.8983536994820126</v>
      </c>
      <c r="K3901">
        <f t="shared" si="483"/>
        <v>-0.43927284303378222</v>
      </c>
      <c r="L3901">
        <f>VLOOKUP(D3901,[1]SOI!$A$1:$C$142,3)</f>
        <v>18.8</v>
      </c>
      <c r="M3901" s="2">
        <f t="shared" si="484"/>
        <v>-3503.5794279798492</v>
      </c>
      <c r="N3901">
        <f t="shared" si="485"/>
        <v>-1713.1640878317507</v>
      </c>
      <c r="O3901" t="s">
        <v>15</v>
      </c>
    </row>
    <row r="3902" spans="1:15" x14ac:dyDescent="0.35">
      <c r="A3902">
        <v>2010</v>
      </c>
      <c r="B3902">
        <v>9</v>
      </c>
      <c r="C3902">
        <v>5</v>
      </c>
      <c r="D3902" s="1">
        <f t="shared" si="480"/>
        <v>40426</v>
      </c>
      <c r="E3902">
        <v>3.8</v>
      </c>
      <c r="F3902">
        <f t="shared" si="486"/>
        <v>9.6</v>
      </c>
      <c r="G3902">
        <f t="shared" si="481"/>
        <v>1</v>
      </c>
      <c r="H3902">
        <f t="shared" si="487"/>
        <v>1</v>
      </c>
      <c r="I3902">
        <v>3901</v>
      </c>
      <c r="J3902">
        <f t="shared" si="482"/>
        <v>-0.90577696576425037</v>
      </c>
      <c r="K3902">
        <f t="shared" si="483"/>
        <v>-0.42375475016913733</v>
      </c>
      <c r="L3902">
        <f>VLOOKUP(D3902,[1]SOI!$A$1:$C$142,3)</f>
        <v>18.8</v>
      </c>
      <c r="M3902" s="2">
        <f t="shared" si="484"/>
        <v>-3533.4359434463408</v>
      </c>
      <c r="N3902">
        <f t="shared" si="485"/>
        <v>-1653.0672804098047</v>
      </c>
      <c r="O3902" t="s">
        <v>15</v>
      </c>
    </row>
    <row r="3903" spans="1:15" x14ac:dyDescent="0.35">
      <c r="A3903">
        <v>2010</v>
      </c>
      <c r="B3903">
        <v>9</v>
      </c>
      <c r="C3903">
        <v>6</v>
      </c>
      <c r="D3903" s="1">
        <f t="shared" si="480"/>
        <v>40427</v>
      </c>
      <c r="E3903">
        <v>1.8</v>
      </c>
      <c r="F3903">
        <f t="shared" si="486"/>
        <v>3.8</v>
      </c>
      <c r="G3903">
        <f t="shared" si="481"/>
        <v>1</v>
      </c>
      <c r="H3903">
        <f t="shared" si="487"/>
        <v>1</v>
      </c>
      <c r="I3903">
        <v>3902</v>
      </c>
      <c r="J3903">
        <f t="shared" si="482"/>
        <v>-0.91293219806977444</v>
      </c>
      <c r="K3903">
        <f t="shared" si="483"/>
        <v>-0.40811126145634619</v>
      </c>
      <c r="L3903">
        <f>VLOOKUP(D3903,[1]SOI!$A$1:$C$142,3)</f>
        <v>18.8</v>
      </c>
      <c r="M3903" s="2">
        <f t="shared" si="484"/>
        <v>-3562.2614368682598</v>
      </c>
      <c r="N3903">
        <f t="shared" si="485"/>
        <v>-1592.4501422026628</v>
      </c>
      <c r="O3903" t="s">
        <v>15</v>
      </c>
    </row>
    <row r="3904" spans="1:15" x14ac:dyDescent="0.35">
      <c r="A3904">
        <v>2010</v>
      </c>
      <c r="B3904">
        <v>9</v>
      </c>
      <c r="C3904">
        <v>7</v>
      </c>
      <c r="D3904" s="1">
        <f t="shared" si="480"/>
        <v>40428</v>
      </c>
      <c r="E3904">
        <v>11.2</v>
      </c>
      <c r="F3904">
        <f t="shared" si="486"/>
        <v>1.8</v>
      </c>
      <c r="G3904">
        <f t="shared" si="481"/>
        <v>1</v>
      </c>
      <c r="H3904">
        <f t="shared" si="487"/>
        <v>1</v>
      </c>
      <c r="I3904">
        <v>3903</v>
      </c>
      <c r="J3904">
        <f t="shared" si="482"/>
        <v>-0.91981727905021704</v>
      </c>
      <c r="K3904">
        <f t="shared" si="483"/>
        <v>-0.39234700605542416</v>
      </c>
      <c r="L3904">
        <f>VLOOKUP(D3904,[1]SOI!$A$1:$C$142,3)</f>
        <v>18.8</v>
      </c>
      <c r="M3904" s="2">
        <f t="shared" si="484"/>
        <v>-3590.0468401329972</v>
      </c>
      <c r="N3904">
        <f t="shared" si="485"/>
        <v>-1531.3303646343204</v>
      </c>
      <c r="O3904" t="s">
        <v>15</v>
      </c>
    </row>
    <row r="3905" spans="1:15" x14ac:dyDescent="0.35">
      <c r="A3905">
        <v>2010</v>
      </c>
      <c r="B3905">
        <v>9</v>
      </c>
      <c r="C3905">
        <v>8</v>
      </c>
      <c r="D3905" s="1">
        <f t="shared" si="480"/>
        <v>40429</v>
      </c>
      <c r="E3905">
        <v>0</v>
      </c>
      <c r="F3905">
        <f t="shared" si="486"/>
        <v>11.2</v>
      </c>
      <c r="G3905">
        <f t="shared" si="481"/>
        <v>0</v>
      </c>
      <c r="H3905">
        <f t="shared" si="487"/>
        <v>1</v>
      </c>
      <c r="I3905">
        <v>3904</v>
      </c>
      <c r="J3905">
        <f t="shared" si="482"/>
        <v>-0.92643017129935734</v>
      </c>
      <c r="K3905">
        <f t="shared" si="483"/>
        <v>-0.37646664886314096</v>
      </c>
      <c r="L3905">
        <f>VLOOKUP(D3905,[1]SOI!$A$1:$C$142,3)</f>
        <v>18.8</v>
      </c>
      <c r="M3905" s="2">
        <f t="shared" si="484"/>
        <v>-3616.7833887526913</v>
      </c>
      <c r="N3905">
        <f t="shared" si="485"/>
        <v>-1469.7257971617023</v>
      </c>
      <c r="O3905" t="s">
        <v>15</v>
      </c>
    </row>
    <row r="3906" spans="1:15" x14ac:dyDescent="0.35">
      <c r="A3906">
        <v>2010</v>
      </c>
      <c r="B3906">
        <v>9</v>
      </c>
      <c r="C3906">
        <v>9</v>
      </c>
      <c r="D3906" s="1">
        <f t="shared" si="480"/>
        <v>40430</v>
      </c>
      <c r="E3906">
        <v>0</v>
      </c>
      <c r="F3906">
        <f t="shared" si="486"/>
        <v>0</v>
      </c>
      <c r="G3906">
        <f t="shared" si="481"/>
        <v>0</v>
      </c>
      <c r="H3906">
        <f t="shared" si="487"/>
        <v>0</v>
      </c>
      <c r="I3906">
        <v>3905</v>
      </c>
      <c r="J3906">
        <f t="shared" si="482"/>
        <v>-0.93276891795597638</v>
      </c>
      <c r="K3906">
        <f t="shared" si="483"/>
        <v>-0.36047488913270631</v>
      </c>
      <c r="L3906">
        <f>VLOOKUP(D3906,[1]SOI!$A$1:$C$142,3)</f>
        <v>18.8</v>
      </c>
      <c r="M3906" s="2">
        <f t="shared" si="484"/>
        <v>-3642.4626246180878</v>
      </c>
      <c r="N3906">
        <f t="shared" si="485"/>
        <v>-1407.6544420632181</v>
      </c>
      <c r="O3906" t="s">
        <v>15</v>
      </c>
    </row>
    <row r="3907" spans="1:15" x14ac:dyDescent="0.35">
      <c r="A3907">
        <v>2010</v>
      </c>
      <c r="B3907">
        <v>9</v>
      </c>
      <c r="C3907">
        <v>10</v>
      </c>
      <c r="D3907" s="1">
        <f t="shared" ref="D3907:D3970" si="488">DATE(A3907,B3907,C3907)</f>
        <v>40431</v>
      </c>
      <c r="E3907">
        <v>2.6</v>
      </c>
      <c r="F3907">
        <f t="shared" si="486"/>
        <v>0</v>
      </c>
      <c r="G3907">
        <f t="shared" ref="G3907:G3970" si="489">IF(E3907=0,0,1)</f>
        <v>1</v>
      </c>
      <c r="H3907">
        <f t="shared" si="487"/>
        <v>0</v>
      </c>
      <c r="I3907">
        <v>3906</v>
      </c>
      <c r="J3907">
        <f t="shared" ref="J3907:J3970" si="490">SIN(2*PI()*I3907/365.25)</f>
        <v>-0.93883164328296864</v>
      </c>
      <c r="K3907">
        <f t="shared" ref="K3907:K3970" si="491">COS(2*PI()*I3907/365.25)</f>
        <v>-0.34437645908308079</v>
      </c>
      <c r="L3907">
        <f>VLOOKUP(D3907,[1]SOI!$A$1:$C$142,3)</f>
        <v>18.8</v>
      </c>
      <c r="M3907" s="2">
        <f t="shared" ref="M3907:M3970" si="492">I3907*J3907</f>
        <v>-3667.0763986632755</v>
      </c>
      <c r="N3907">
        <f t="shared" ref="N3907:N3970" si="493">I3907*K3907</f>
        <v>-1345.1344491785135</v>
      </c>
      <c r="O3907" t="s">
        <v>15</v>
      </c>
    </row>
    <row r="3908" spans="1:15" x14ac:dyDescent="0.35">
      <c r="A3908">
        <v>2010</v>
      </c>
      <c r="B3908">
        <v>9</v>
      </c>
      <c r="C3908">
        <v>11</v>
      </c>
      <c r="D3908" s="1">
        <f t="shared" si="488"/>
        <v>40432</v>
      </c>
      <c r="E3908">
        <v>0.6</v>
      </c>
      <c r="F3908">
        <f t="shared" ref="F3908:F3971" si="494">E3907</f>
        <v>2.6</v>
      </c>
      <c r="G3908">
        <f t="shared" si="489"/>
        <v>1</v>
      </c>
      <c r="H3908">
        <f t="shared" ref="H3908:H3971" si="495">G3907</f>
        <v>1</v>
      </c>
      <c r="I3908">
        <v>3907</v>
      </c>
      <c r="J3908">
        <f t="shared" si="490"/>
        <v>-0.94461655322235971</v>
      </c>
      <c r="K3908">
        <f t="shared" si="491"/>
        <v>-0.3281761224987414</v>
      </c>
      <c r="L3908">
        <f>VLOOKUP(D3908,[1]SOI!$A$1:$C$142,3)</f>
        <v>18.8</v>
      </c>
      <c r="M3908" s="2">
        <f t="shared" si="492"/>
        <v>-3690.6168734397593</v>
      </c>
      <c r="N3908">
        <f t="shared" si="493"/>
        <v>-1282.1841106025827</v>
      </c>
      <c r="O3908" t="s">
        <v>15</v>
      </c>
    </row>
    <row r="3909" spans="1:15" x14ac:dyDescent="0.35">
      <c r="A3909">
        <v>2010</v>
      </c>
      <c r="B3909">
        <v>9</v>
      </c>
      <c r="C3909">
        <v>12</v>
      </c>
      <c r="D3909" s="1">
        <f t="shared" si="488"/>
        <v>40433</v>
      </c>
      <c r="E3909">
        <v>0</v>
      </c>
      <c r="F3909">
        <f t="shared" si="494"/>
        <v>0.6</v>
      </c>
      <c r="G3909">
        <f t="shared" si="489"/>
        <v>0</v>
      </c>
      <c r="H3909">
        <f t="shared" si="495"/>
        <v>1</v>
      </c>
      <c r="I3909">
        <v>3908</v>
      </c>
      <c r="J3909">
        <f t="shared" si="490"/>
        <v>-0.95012193592623351</v>
      </c>
      <c r="K3909">
        <f t="shared" si="491"/>
        <v>-0.31187867331990859</v>
      </c>
      <c r="L3909">
        <f>VLOOKUP(D3909,[1]SOI!$A$1:$C$142,3)</f>
        <v>18.8</v>
      </c>
      <c r="M3909" s="2">
        <f t="shared" si="492"/>
        <v>-3713.0765255997208</v>
      </c>
      <c r="N3909">
        <f t="shared" si="493"/>
        <v>-1218.8218553342028</v>
      </c>
      <c r="O3909" t="s">
        <v>15</v>
      </c>
    </row>
    <row r="3910" spans="1:15" x14ac:dyDescent="0.35">
      <c r="A3910">
        <v>2010</v>
      </c>
      <c r="B3910">
        <v>9</v>
      </c>
      <c r="C3910">
        <v>13</v>
      </c>
      <c r="D3910" s="1">
        <f t="shared" si="488"/>
        <v>40434</v>
      </c>
      <c r="E3910">
        <v>0</v>
      </c>
      <c r="F3910">
        <f t="shared" si="494"/>
        <v>0</v>
      </c>
      <c r="G3910">
        <f t="shared" si="489"/>
        <v>0</v>
      </c>
      <c r="H3910">
        <f t="shared" si="495"/>
        <v>0</v>
      </c>
      <c r="I3910">
        <v>3909</v>
      </c>
      <c r="J3910">
        <f t="shared" si="490"/>
        <v>-0.95534616226327906</v>
      </c>
      <c r="K3910">
        <f t="shared" si="491"/>
        <v>-0.29548893422398154</v>
      </c>
      <c r="L3910">
        <f>VLOOKUP(D3910,[1]SOI!$A$1:$C$142,3)</f>
        <v>18.8</v>
      </c>
      <c r="M3910" s="2">
        <f t="shared" si="492"/>
        <v>-3734.4481482871579</v>
      </c>
      <c r="N3910">
        <f t="shared" si="493"/>
        <v>-1155.0662438815439</v>
      </c>
      <c r="O3910" t="s">
        <v>15</v>
      </c>
    </row>
    <row r="3911" spans="1:15" x14ac:dyDescent="0.35">
      <c r="A3911">
        <v>2010</v>
      </c>
      <c r="B3911">
        <v>9</v>
      </c>
      <c r="C3911">
        <v>14</v>
      </c>
      <c r="D3911" s="1">
        <f t="shared" si="488"/>
        <v>40435</v>
      </c>
      <c r="E3911">
        <v>0</v>
      </c>
      <c r="F3911">
        <f t="shared" si="494"/>
        <v>0</v>
      </c>
      <c r="G3911">
        <f t="shared" si="489"/>
        <v>0</v>
      </c>
      <c r="H3911">
        <f t="shared" si="495"/>
        <v>0</v>
      </c>
      <c r="I3911">
        <v>3910</v>
      </c>
      <c r="J3911">
        <f t="shared" si="490"/>
        <v>-0.96028768630086492</v>
      </c>
      <c r="K3911">
        <f t="shared" si="491"/>
        <v>-0.27901175519847138</v>
      </c>
      <c r="L3911">
        <f>VLOOKUP(D3911,[1]SOI!$A$1:$C$142,3)</f>
        <v>18.8</v>
      </c>
      <c r="M3911" s="2">
        <f t="shared" si="492"/>
        <v>-3754.7248534363816</v>
      </c>
      <c r="N3911">
        <f t="shared" si="493"/>
        <v>-1090.9359628260231</v>
      </c>
      <c r="O3911" t="s">
        <v>15</v>
      </c>
    </row>
    <row r="3912" spans="1:15" x14ac:dyDescent="0.35">
      <c r="A3912">
        <v>2010</v>
      </c>
      <c r="B3912">
        <v>9</v>
      </c>
      <c r="C3912">
        <v>15</v>
      </c>
      <c r="D3912" s="1">
        <f t="shared" si="488"/>
        <v>40436</v>
      </c>
      <c r="E3912">
        <v>0</v>
      </c>
      <c r="F3912">
        <f t="shared" si="494"/>
        <v>0</v>
      </c>
      <c r="G3912">
        <f t="shared" si="489"/>
        <v>0</v>
      </c>
      <c r="H3912">
        <f t="shared" si="495"/>
        <v>0</v>
      </c>
      <c r="I3912">
        <v>3911</v>
      </c>
      <c r="J3912">
        <f t="shared" si="490"/>
        <v>-0.96494504576253493</v>
      </c>
      <c r="K3912">
        <f t="shared" si="491"/>
        <v>-0.26245201210571684</v>
      </c>
      <c r="L3912">
        <f>VLOOKUP(D3912,[1]SOI!$A$1:$C$142,3)</f>
        <v>18.8</v>
      </c>
      <c r="M3912" s="2">
        <f t="shared" si="492"/>
        <v>-3773.9000739772741</v>
      </c>
      <c r="N3912">
        <f t="shared" si="493"/>
        <v>-1026.4498193454585</v>
      </c>
      <c r="O3912" t="s">
        <v>15</v>
      </c>
    </row>
    <row r="3913" spans="1:15" x14ac:dyDescent="0.35">
      <c r="A3913">
        <v>2010</v>
      </c>
      <c r="B3913">
        <v>9</v>
      </c>
      <c r="C3913">
        <v>16</v>
      </c>
      <c r="D3913" s="1">
        <f t="shared" si="488"/>
        <v>40437</v>
      </c>
      <c r="E3913">
        <v>1.2</v>
      </c>
      <c r="F3913">
        <f t="shared" si="494"/>
        <v>0</v>
      </c>
      <c r="G3913">
        <f t="shared" si="489"/>
        <v>1</v>
      </c>
      <c r="H3913">
        <f t="shared" si="495"/>
        <v>0</v>
      </c>
      <c r="I3913">
        <v>3912</v>
      </c>
      <c r="J3913">
        <f t="shared" si="490"/>
        <v>-0.96931686246068716</v>
      </c>
      <c r="K3913">
        <f t="shared" si="491"/>
        <v>-0.24581460524014703</v>
      </c>
      <c r="L3913">
        <f>VLOOKUP(D3913,[1]SOI!$A$1:$C$142,3)</f>
        <v>18.8</v>
      </c>
      <c r="M3913" s="2">
        <f t="shared" si="492"/>
        <v>-3791.9675659462082</v>
      </c>
      <c r="N3913">
        <f t="shared" si="493"/>
        <v>-961.62673569945514</v>
      </c>
      <c r="O3913" t="s">
        <v>15</v>
      </c>
    </row>
    <row r="3914" spans="1:15" x14ac:dyDescent="0.35">
      <c r="A3914">
        <v>2010</v>
      </c>
      <c r="B3914">
        <v>9</v>
      </c>
      <c r="C3914">
        <v>17</v>
      </c>
      <c r="D3914" s="1">
        <f t="shared" si="488"/>
        <v>40438</v>
      </c>
      <c r="E3914">
        <v>0.6</v>
      </c>
      <c r="F3914">
        <f t="shared" si="494"/>
        <v>1.2</v>
      </c>
      <c r="G3914">
        <f t="shared" si="489"/>
        <v>1</v>
      </c>
      <c r="H3914">
        <f t="shared" si="495"/>
        <v>1</v>
      </c>
      <c r="I3914">
        <v>3913</v>
      </c>
      <c r="J3914">
        <f t="shared" si="490"/>
        <v>-0.97340184270442864</v>
      </c>
      <c r="K3914">
        <f t="shared" si="491"/>
        <v>-0.22910445787811001</v>
      </c>
      <c r="L3914">
        <f>VLOOKUP(D3914,[1]SOI!$A$1:$C$142,3)</f>
        <v>18.8</v>
      </c>
      <c r="M3914" s="2">
        <f t="shared" si="492"/>
        <v>-3808.9214105024294</v>
      </c>
      <c r="N3914">
        <f t="shared" si="493"/>
        <v>-896.48574367704452</v>
      </c>
      <c r="O3914" t="s">
        <v>15</v>
      </c>
    </row>
    <row r="3915" spans="1:15" x14ac:dyDescent="0.35">
      <c r="A3915">
        <v>2010</v>
      </c>
      <c r="B3915">
        <v>9</v>
      </c>
      <c r="C3915">
        <v>18</v>
      </c>
      <c r="D3915" s="1">
        <f t="shared" si="488"/>
        <v>40439</v>
      </c>
      <c r="E3915">
        <v>0</v>
      </c>
      <c r="F3915">
        <f t="shared" si="494"/>
        <v>0.6</v>
      </c>
      <c r="G3915">
        <f t="shared" si="489"/>
        <v>0</v>
      </c>
      <c r="H3915">
        <f t="shared" si="495"/>
        <v>1</v>
      </c>
      <c r="I3915">
        <v>3914</v>
      </c>
      <c r="J3915">
        <f t="shared" si="490"/>
        <v>-0.97719877768238739</v>
      </c>
      <c r="K3915">
        <f t="shared" si="491"/>
        <v>-0.21232651482103676</v>
      </c>
      <c r="L3915">
        <f>VLOOKUP(D3915,[1]SOI!$A$1:$C$142,3)</f>
        <v>18.8</v>
      </c>
      <c r="M3915" s="2">
        <f t="shared" si="492"/>
        <v>-3824.7560158488641</v>
      </c>
      <c r="N3915">
        <f t="shared" si="493"/>
        <v>-831.04597900953786</v>
      </c>
      <c r="O3915" t="s">
        <v>15</v>
      </c>
    </row>
    <row r="3916" spans="1:15" x14ac:dyDescent="0.35">
      <c r="A3916">
        <v>2010</v>
      </c>
      <c r="B3916">
        <v>9</v>
      </c>
      <c r="C3916">
        <v>19</v>
      </c>
      <c r="D3916" s="1">
        <f t="shared" si="488"/>
        <v>40440</v>
      </c>
      <c r="E3916">
        <v>3</v>
      </c>
      <c r="F3916">
        <f t="shared" si="494"/>
        <v>0</v>
      </c>
      <c r="G3916">
        <f t="shared" si="489"/>
        <v>1</v>
      </c>
      <c r="H3916">
        <f t="shared" si="495"/>
        <v>0</v>
      </c>
      <c r="I3916">
        <v>3915</v>
      </c>
      <c r="J3916">
        <f t="shared" si="490"/>
        <v>-0.98070654382041034</v>
      </c>
      <c r="K3916">
        <f t="shared" si="491"/>
        <v>-0.19548574093223667</v>
      </c>
      <c r="L3916">
        <f>VLOOKUP(D3916,[1]SOI!$A$1:$C$142,3)</f>
        <v>18.8</v>
      </c>
      <c r="M3916" s="2">
        <f t="shared" si="492"/>
        <v>-3839.4661190569063</v>
      </c>
      <c r="N3916">
        <f t="shared" si="493"/>
        <v>-765.32667574970651</v>
      </c>
      <c r="O3916" t="s">
        <v>15</v>
      </c>
    </row>
    <row r="3917" spans="1:15" x14ac:dyDescent="0.35">
      <c r="A3917">
        <v>2010</v>
      </c>
      <c r="B3917">
        <v>9</v>
      </c>
      <c r="C3917">
        <v>20</v>
      </c>
      <c r="D3917" s="1">
        <f t="shared" si="488"/>
        <v>40441</v>
      </c>
      <c r="E3917">
        <v>0</v>
      </c>
      <c r="F3917">
        <f t="shared" si="494"/>
        <v>3</v>
      </c>
      <c r="G3917">
        <f t="shared" si="489"/>
        <v>0</v>
      </c>
      <c r="H3917">
        <f t="shared" si="495"/>
        <v>1</v>
      </c>
      <c r="I3917">
        <v>3916</v>
      </c>
      <c r="J3917">
        <f t="shared" si="490"/>
        <v>-0.98392410311406842</v>
      </c>
      <c r="K3917">
        <f t="shared" si="491"/>
        <v>-0.17858711966761764</v>
      </c>
      <c r="L3917">
        <f>VLOOKUP(D3917,[1]SOI!$A$1:$C$142,3)</f>
        <v>18.8</v>
      </c>
      <c r="M3917" s="2">
        <f t="shared" si="492"/>
        <v>-3853.0467877946921</v>
      </c>
      <c r="N3917">
        <f t="shared" si="493"/>
        <v>-699.34716061839072</v>
      </c>
      <c r="O3917" t="s">
        <v>15</v>
      </c>
    </row>
    <row r="3918" spans="1:15" x14ac:dyDescent="0.35">
      <c r="A3918">
        <v>2010</v>
      </c>
      <c r="B3918">
        <v>9</v>
      </c>
      <c r="C3918">
        <v>21</v>
      </c>
      <c r="D3918" s="1">
        <f t="shared" si="488"/>
        <v>40442</v>
      </c>
      <c r="E3918">
        <v>0.4</v>
      </c>
      <c r="F3918">
        <f t="shared" si="494"/>
        <v>0</v>
      </c>
      <c r="G3918">
        <f t="shared" si="489"/>
        <v>1</v>
      </c>
      <c r="H3918">
        <f t="shared" si="495"/>
        <v>0</v>
      </c>
      <c r="I3918">
        <v>3917</v>
      </c>
      <c r="J3918">
        <f t="shared" si="490"/>
        <v>-0.98685050343579583</v>
      </c>
      <c r="K3918">
        <f t="shared" si="491"/>
        <v>-0.16163565160111248</v>
      </c>
      <c r="L3918">
        <f>VLOOKUP(D3918,[1]SOI!$A$1:$C$142,3)</f>
        <v>18.8</v>
      </c>
      <c r="M3918" s="2">
        <f t="shared" si="492"/>
        <v>-3865.4934219580123</v>
      </c>
      <c r="N3918">
        <f t="shared" si="493"/>
        <v>-633.12684732155765</v>
      </c>
      <c r="O3918" t="s">
        <v>15</v>
      </c>
    </row>
    <row r="3919" spans="1:15" x14ac:dyDescent="0.35">
      <c r="A3919">
        <v>2010</v>
      </c>
      <c r="B3919">
        <v>9</v>
      </c>
      <c r="C3919">
        <v>22</v>
      </c>
      <c r="D3919" s="1">
        <f t="shared" si="488"/>
        <v>40443</v>
      </c>
      <c r="E3919">
        <v>0</v>
      </c>
      <c r="F3919">
        <f t="shared" si="494"/>
        <v>0.4</v>
      </c>
      <c r="G3919">
        <f t="shared" si="489"/>
        <v>0</v>
      </c>
      <c r="H3919">
        <f t="shared" si="495"/>
        <v>1</v>
      </c>
      <c r="I3919">
        <v>3918</v>
      </c>
      <c r="J3919">
        <f t="shared" si="490"/>
        <v>-0.98948487881665892</v>
      </c>
      <c r="K3919">
        <f t="shared" si="491"/>
        <v>-0.14463635294483099</v>
      </c>
      <c r="L3919">
        <f>VLOOKUP(D3919,[1]SOI!$A$1:$C$142,3)</f>
        <v>18.8</v>
      </c>
      <c r="M3919" s="2">
        <f t="shared" si="492"/>
        <v>-3876.8017552036695</v>
      </c>
      <c r="N3919">
        <f t="shared" si="493"/>
        <v>-566.68523083784783</v>
      </c>
      <c r="O3919" t="s">
        <v>15</v>
      </c>
    </row>
    <row r="3920" spans="1:15" x14ac:dyDescent="0.35">
      <c r="A3920">
        <v>2010</v>
      </c>
      <c r="B3920">
        <v>9</v>
      </c>
      <c r="C3920">
        <v>23</v>
      </c>
      <c r="D3920" s="1">
        <f t="shared" si="488"/>
        <v>40444</v>
      </c>
      <c r="E3920">
        <v>0</v>
      </c>
      <c r="F3920">
        <f t="shared" si="494"/>
        <v>0</v>
      </c>
      <c r="G3920">
        <f t="shared" si="489"/>
        <v>0</v>
      </c>
      <c r="H3920">
        <f t="shared" si="495"/>
        <v>0</v>
      </c>
      <c r="I3920">
        <v>3919</v>
      </c>
      <c r="J3920">
        <f t="shared" si="490"/>
        <v>-0.99182644970260125</v>
      </c>
      <c r="K3920">
        <f t="shared" si="491"/>
        <v>-0.12759425406472391</v>
      </c>
      <c r="L3920">
        <f>VLOOKUP(D3920,[1]SOI!$A$1:$C$142,3)</f>
        <v>18.8</v>
      </c>
      <c r="M3920" s="2">
        <f t="shared" si="492"/>
        <v>-3886.9678563844941</v>
      </c>
      <c r="N3920">
        <f t="shared" si="493"/>
        <v>-500.04188167965299</v>
      </c>
      <c r="O3920" t="s">
        <v>15</v>
      </c>
    </row>
    <row r="3921" spans="1:15" x14ac:dyDescent="0.35">
      <c r="A3921">
        <v>2010</v>
      </c>
      <c r="B3921">
        <v>9</v>
      </c>
      <c r="C3921">
        <v>24</v>
      </c>
      <c r="D3921" s="1">
        <f t="shared" si="488"/>
        <v>40445</v>
      </c>
      <c r="E3921">
        <v>0</v>
      </c>
      <c r="F3921">
        <f t="shared" si="494"/>
        <v>0</v>
      </c>
      <c r="G3921">
        <f t="shared" si="489"/>
        <v>0</v>
      </c>
      <c r="H3921">
        <f t="shared" si="495"/>
        <v>0</v>
      </c>
      <c r="I3921">
        <v>3920</v>
      </c>
      <c r="J3921">
        <f t="shared" si="490"/>
        <v>-0.99387452318512159</v>
      </c>
      <c r="K3921">
        <f t="shared" si="491"/>
        <v>-0.110514397992059</v>
      </c>
      <c r="L3921">
        <f>VLOOKUP(D3921,[1]SOI!$A$1:$C$142,3)</f>
        <v>18.8</v>
      </c>
      <c r="M3921" s="2">
        <f t="shared" si="492"/>
        <v>-3895.9881308856766</v>
      </c>
      <c r="N3921">
        <f t="shared" si="493"/>
        <v>-433.21644012887128</v>
      </c>
      <c r="O3921" t="s">
        <v>15</v>
      </c>
    </row>
    <row r="3922" spans="1:15" x14ac:dyDescent="0.35">
      <c r="A3922">
        <v>2010</v>
      </c>
      <c r="B3922">
        <v>9</v>
      </c>
      <c r="C3922">
        <v>25</v>
      </c>
      <c r="D3922" s="1">
        <f t="shared" si="488"/>
        <v>40446</v>
      </c>
      <c r="E3922">
        <v>0</v>
      </c>
      <c r="F3922">
        <f t="shared" si="494"/>
        <v>0</v>
      </c>
      <c r="G3922">
        <f t="shared" si="489"/>
        <v>0</v>
      </c>
      <c r="H3922">
        <f t="shared" si="495"/>
        <v>0</v>
      </c>
      <c r="I3922">
        <v>3921</v>
      </c>
      <c r="J3922">
        <f t="shared" si="490"/>
        <v>-0.9956284932063294</v>
      </c>
      <c r="K3922">
        <f t="shared" si="491"/>
        <v>-9.3401838931008438E-2</v>
      </c>
      <c r="L3922">
        <f>VLOOKUP(D3922,[1]SOI!$A$1:$C$142,3)</f>
        <v>18.8</v>
      </c>
      <c r="M3922" s="2">
        <f t="shared" si="492"/>
        <v>-3903.8593218620176</v>
      </c>
      <c r="N3922">
        <f t="shared" si="493"/>
        <v>-366.22861044848406</v>
      </c>
      <c r="O3922" t="s">
        <v>15</v>
      </c>
    </row>
    <row r="3923" spans="1:15" x14ac:dyDescent="0.35">
      <c r="A3923">
        <v>2010</v>
      </c>
      <c r="B3923">
        <v>9</v>
      </c>
      <c r="C3923">
        <v>26</v>
      </c>
      <c r="D3923" s="1">
        <f t="shared" si="488"/>
        <v>40447</v>
      </c>
      <c r="E3923">
        <v>0.4</v>
      </c>
      <c r="F3923">
        <f t="shared" si="494"/>
        <v>0</v>
      </c>
      <c r="G3923">
        <f t="shared" si="489"/>
        <v>1</v>
      </c>
      <c r="H3923">
        <f t="shared" si="495"/>
        <v>0</v>
      </c>
      <c r="I3923">
        <v>3922</v>
      </c>
      <c r="J3923">
        <f t="shared" si="490"/>
        <v>-0.99708784073827395</v>
      </c>
      <c r="K3923">
        <f t="shared" si="491"/>
        <v>-7.6261640763141236E-2</v>
      </c>
      <c r="L3923">
        <f>VLOOKUP(D3923,[1]SOI!$A$1:$C$142,3)</f>
        <v>18.8</v>
      </c>
      <c r="M3923" s="2">
        <f t="shared" si="492"/>
        <v>-3910.5785113755105</v>
      </c>
      <c r="N3923">
        <f t="shared" si="493"/>
        <v>-299.09815507303995</v>
      </c>
      <c r="O3923" t="s">
        <v>15</v>
      </c>
    </row>
    <row r="3924" spans="1:15" x14ac:dyDescent="0.35">
      <c r="A3924">
        <v>2010</v>
      </c>
      <c r="B3924">
        <v>9</v>
      </c>
      <c r="C3924">
        <v>27</v>
      </c>
      <c r="D3924" s="1">
        <f t="shared" si="488"/>
        <v>40448</v>
      </c>
      <c r="E3924">
        <v>0.2</v>
      </c>
      <c r="F3924">
        <f t="shared" si="494"/>
        <v>0.4</v>
      </c>
      <c r="G3924">
        <f t="shared" si="489"/>
        <v>1</v>
      </c>
      <c r="H3924">
        <f t="shared" si="495"/>
        <v>1</v>
      </c>
      <c r="I3924">
        <v>3923</v>
      </c>
      <c r="J3924">
        <f t="shared" si="490"/>
        <v>-0.99825213393654344</v>
      </c>
      <c r="K3924">
        <f t="shared" si="491"/>
        <v>-5.9098875548840413E-2</v>
      </c>
      <c r="L3924">
        <f>VLOOKUP(D3924,[1]SOI!$A$1:$C$142,3)</f>
        <v>18.8</v>
      </c>
      <c r="M3924" s="2">
        <f t="shared" si="492"/>
        <v>-3916.1431214330601</v>
      </c>
      <c r="N3924">
        <f t="shared" si="493"/>
        <v>-231.84488877810094</v>
      </c>
      <c r="O3924" t="s">
        <v>15</v>
      </c>
    </row>
    <row r="3925" spans="1:15" x14ac:dyDescent="0.35">
      <c r="A3925">
        <v>2010</v>
      </c>
      <c r="B3925">
        <v>9</v>
      </c>
      <c r="C3925">
        <v>28</v>
      </c>
      <c r="D3925" s="1">
        <f t="shared" si="488"/>
        <v>40449</v>
      </c>
      <c r="E3925">
        <v>4.4000000000000004</v>
      </c>
      <c r="F3925">
        <f t="shared" si="494"/>
        <v>0.2</v>
      </c>
      <c r="G3925">
        <f t="shared" si="489"/>
        <v>1</v>
      </c>
      <c r="H3925">
        <f t="shared" si="495"/>
        <v>1</v>
      </c>
      <c r="I3925">
        <v>3924</v>
      </c>
      <c r="J3925">
        <f t="shared" si="490"/>
        <v>-0.99912102826804938</v>
      </c>
      <c r="K3925">
        <f t="shared" si="491"/>
        <v>-4.1918622026441026E-2</v>
      </c>
      <c r="L3925">
        <f>VLOOKUP(D3925,[1]SOI!$A$1:$C$142,3)</f>
        <v>18.8</v>
      </c>
      <c r="M3925" s="2">
        <f t="shared" si="492"/>
        <v>-3920.550914923826</v>
      </c>
      <c r="N3925">
        <f t="shared" si="493"/>
        <v>-164.48867283175457</v>
      </c>
      <c r="O3925" t="s">
        <v>15</v>
      </c>
    </row>
    <row r="3926" spans="1:15" x14ac:dyDescent="0.35">
      <c r="A3926">
        <v>2010</v>
      </c>
      <c r="B3926">
        <v>9</v>
      </c>
      <c r="C3926">
        <v>29</v>
      </c>
      <c r="D3926" s="1">
        <f t="shared" si="488"/>
        <v>40450</v>
      </c>
      <c r="E3926">
        <v>1.2</v>
      </c>
      <c r="F3926">
        <f t="shared" si="494"/>
        <v>4.4000000000000004</v>
      </c>
      <c r="G3926">
        <f t="shared" si="489"/>
        <v>1</v>
      </c>
      <c r="H3926">
        <f t="shared" si="495"/>
        <v>1</v>
      </c>
      <c r="I3926">
        <v>3925</v>
      </c>
      <c r="J3926">
        <f t="shared" si="490"/>
        <v>-0.99969426661297855</v>
      </c>
      <c r="K3926">
        <f t="shared" si="491"/>
        <v>-2.4725964109392425E-2</v>
      </c>
      <c r="L3926">
        <f>VLOOKUP(D3926,[1]SOI!$A$1:$C$142,3)</f>
        <v>18.8</v>
      </c>
      <c r="M3926" s="2">
        <f t="shared" si="492"/>
        <v>-3923.7999964559408</v>
      </c>
      <c r="N3926">
        <f t="shared" si="493"/>
        <v>-97.049409129365273</v>
      </c>
      <c r="O3926" t="s">
        <v>15</v>
      </c>
    </row>
    <row r="3927" spans="1:15" x14ac:dyDescent="0.35">
      <c r="A3927">
        <v>2010</v>
      </c>
      <c r="B3927">
        <v>9</v>
      </c>
      <c r="C3927">
        <v>30</v>
      </c>
      <c r="D3927" s="1">
        <f t="shared" si="488"/>
        <v>40451</v>
      </c>
      <c r="E3927">
        <v>0</v>
      </c>
      <c r="F3927">
        <f t="shared" si="494"/>
        <v>1.2</v>
      </c>
      <c r="G3927">
        <f t="shared" si="489"/>
        <v>0</v>
      </c>
      <c r="H3927">
        <f t="shared" si="495"/>
        <v>1</v>
      </c>
      <c r="I3927">
        <v>3926</v>
      </c>
      <c r="J3927">
        <f t="shared" si="490"/>
        <v>-0.99997167934088305</v>
      </c>
      <c r="K3927">
        <f t="shared" si="491"/>
        <v>-7.5259893817471437E-3</v>
      </c>
      <c r="L3927">
        <f>VLOOKUP(D3927,[1]SOI!$A$1:$C$142,3)</f>
        <v>18.8</v>
      </c>
      <c r="M3927" s="2">
        <f t="shared" si="492"/>
        <v>-3925.8888130923069</v>
      </c>
      <c r="N3927">
        <f t="shared" si="493"/>
        <v>-29.547034312739285</v>
      </c>
      <c r="O3927" t="s">
        <v>15</v>
      </c>
    </row>
    <row r="3928" spans="1:15" x14ac:dyDescent="0.35">
      <c r="A3928">
        <v>2010</v>
      </c>
      <c r="B3928">
        <v>10</v>
      </c>
      <c r="C3928">
        <v>1</v>
      </c>
      <c r="D3928" s="1">
        <f t="shared" si="488"/>
        <v>40452</v>
      </c>
      <c r="E3928">
        <v>0</v>
      </c>
      <c r="F3928">
        <f t="shared" si="494"/>
        <v>0</v>
      </c>
      <c r="G3928">
        <f t="shared" si="489"/>
        <v>0</v>
      </c>
      <c r="H3928">
        <f t="shared" si="495"/>
        <v>0</v>
      </c>
      <c r="I3928">
        <v>3927</v>
      </c>
      <c r="J3928">
        <f t="shared" si="490"/>
        <v>-0.99995318436087299</v>
      </c>
      <c r="K3928">
        <f t="shared" si="491"/>
        <v>9.6762124072377262E-3</v>
      </c>
      <c r="L3928">
        <f>VLOOKUP(D3928,[1]SOI!$A$1:$C$142,3)</f>
        <v>25</v>
      </c>
      <c r="M3928" s="2">
        <f t="shared" si="492"/>
        <v>-3926.8161549851484</v>
      </c>
      <c r="N3928">
        <f t="shared" si="493"/>
        <v>37.998486123222548</v>
      </c>
      <c r="O3928" t="s">
        <v>15</v>
      </c>
    </row>
    <row r="3929" spans="1:15" x14ac:dyDescent="0.35">
      <c r="A3929">
        <v>2010</v>
      </c>
      <c r="B3929">
        <v>10</v>
      </c>
      <c r="C3929">
        <v>2</v>
      </c>
      <c r="D3929" s="1">
        <f t="shared" si="488"/>
        <v>40453</v>
      </c>
      <c r="E3929">
        <v>0</v>
      </c>
      <c r="F3929">
        <f t="shared" si="494"/>
        <v>0</v>
      </c>
      <c r="G3929">
        <f t="shared" si="489"/>
        <v>0</v>
      </c>
      <c r="H3929">
        <f t="shared" si="495"/>
        <v>0</v>
      </c>
      <c r="I3929">
        <v>3928</v>
      </c>
      <c r="J3929">
        <f t="shared" si="490"/>
        <v>-0.99963878714591081</v>
      </c>
      <c r="K3929">
        <f t="shared" si="491"/>
        <v>2.6875550849281796E-2</v>
      </c>
      <c r="L3929">
        <f>VLOOKUP(D3929,[1]SOI!$A$1:$C$142,3)</f>
        <v>25</v>
      </c>
      <c r="M3929" s="2">
        <f t="shared" si="492"/>
        <v>-3926.5811559091376</v>
      </c>
      <c r="N3929">
        <f t="shared" si="493"/>
        <v>105.56716373597889</v>
      </c>
      <c r="O3929" t="s">
        <v>15</v>
      </c>
    </row>
    <row r="3930" spans="1:15" x14ac:dyDescent="0.35">
      <c r="A3930">
        <v>2010</v>
      </c>
      <c r="B3930">
        <v>10</v>
      </c>
      <c r="C3930">
        <v>3</v>
      </c>
      <c r="D3930" s="1">
        <f t="shared" si="488"/>
        <v>40454</v>
      </c>
      <c r="E3930">
        <v>0</v>
      </c>
      <c r="F3930">
        <f t="shared" si="494"/>
        <v>0</v>
      </c>
      <c r="G3930">
        <f t="shared" si="489"/>
        <v>0</v>
      </c>
      <c r="H3930">
        <f t="shared" si="495"/>
        <v>0</v>
      </c>
      <c r="I3930">
        <v>3929</v>
      </c>
      <c r="J3930">
        <f t="shared" si="490"/>
        <v>-0.99902858073119083</v>
      </c>
      <c r="K3930">
        <f t="shared" si="491"/>
        <v>4.4066936383443535E-2</v>
      </c>
      <c r="L3930">
        <f>VLOOKUP(D3930,[1]SOI!$A$1:$C$142,3)</f>
        <v>25</v>
      </c>
      <c r="M3930" s="2">
        <f t="shared" si="492"/>
        <v>-3925.1832936928486</v>
      </c>
      <c r="N3930">
        <f t="shared" si="493"/>
        <v>173.13899305054966</v>
      </c>
      <c r="O3930" t="s">
        <v>15</v>
      </c>
    </row>
    <row r="3931" spans="1:15" x14ac:dyDescent="0.35">
      <c r="A3931">
        <v>2010</v>
      </c>
      <c r="B3931">
        <v>10</v>
      </c>
      <c r="C3931">
        <v>4</v>
      </c>
      <c r="D3931" s="1">
        <f t="shared" si="488"/>
        <v>40455</v>
      </c>
      <c r="E3931">
        <v>0</v>
      </c>
      <c r="F3931">
        <f t="shared" si="494"/>
        <v>0</v>
      </c>
      <c r="G3931">
        <f t="shared" si="489"/>
        <v>0</v>
      </c>
      <c r="H3931">
        <f t="shared" si="495"/>
        <v>0</v>
      </c>
      <c r="I3931">
        <v>3930</v>
      </c>
      <c r="J3931">
        <f t="shared" si="490"/>
        <v>-0.99812274568660841</v>
      </c>
      <c r="K3931">
        <f t="shared" si="491"/>
        <v>6.1245281802160587E-2</v>
      </c>
      <c r="L3931">
        <f>VLOOKUP(D3931,[1]SOI!$A$1:$C$142,3)</f>
        <v>25</v>
      </c>
      <c r="M3931" s="2">
        <f t="shared" si="492"/>
        <v>-3922.6223905483712</v>
      </c>
      <c r="N3931">
        <f t="shared" si="493"/>
        <v>240.6939574824911</v>
      </c>
      <c r="O3931" t="s">
        <v>15</v>
      </c>
    </row>
    <row r="3932" spans="1:15" x14ac:dyDescent="0.35">
      <c r="A3932">
        <v>2010</v>
      </c>
      <c r="B3932">
        <v>10</v>
      </c>
      <c r="C3932">
        <v>5</v>
      </c>
      <c r="D3932" s="1">
        <f t="shared" si="488"/>
        <v>40456</v>
      </c>
      <c r="E3932">
        <v>1.8</v>
      </c>
      <c r="F3932">
        <f t="shared" si="494"/>
        <v>0</v>
      </c>
      <c r="G3932">
        <f t="shared" si="489"/>
        <v>1</v>
      </c>
      <c r="H3932">
        <f t="shared" si="495"/>
        <v>0</v>
      </c>
      <c r="I3932">
        <v>3931</v>
      </c>
      <c r="J3932">
        <f t="shared" si="490"/>
        <v>-0.9969215500633255</v>
      </c>
      <c r="K3932">
        <f t="shared" si="491"/>
        <v>7.8405503756664732E-2</v>
      </c>
      <c r="L3932">
        <f>VLOOKUP(D3932,[1]SOI!$A$1:$C$142,3)</f>
        <v>25</v>
      </c>
      <c r="M3932" s="2">
        <f t="shared" si="492"/>
        <v>-3918.8986132989326</v>
      </c>
      <c r="N3932">
        <f t="shared" si="493"/>
        <v>308.21203526744904</v>
      </c>
      <c r="O3932" t="s">
        <v>15</v>
      </c>
    </row>
    <row r="3933" spans="1:15" x14ac:dyDescent="0.35">
      <c r="A3933">
        <v>2010</v>
      </c>
      <c r="B3933">
        <v>10</v>
      </c>
      <c r="C3933">
        <v>6</v>
      </c>
      <c r="D3933" s="1">
        <f t="shared" si="488"/>
        <v>40457</v>
      </c>
      <c r="E3933">
        <v>0</v>
      </c>
      <c r="F3933">
        <f t="shared" si="494"/>
        <v>1.8</v>
      </c>
      <c r="G3933">
        <f t="shared" si="489"/>
        <v>0</v>
      </c>
      <c r="H3933">
        <f t="shared" si="495"/>
        <v>1</v>
      </c>
      <c r="I3933">
        <v>3932</v>
      </c>
      <c r="J3933">
        <f t="shared" si="490"/>
        <v>-0.99542534931445315</v>
      </c>
      <c r="K3933">
        <f t="shared" si="491"/>
        <v>9.5542524261183995E-2</v>
      </c>
      <c r="L3933">
        <f>VLOOKUP(D3933,[1]SOI!$A$1:$C$142,3)</f>
        <v>25</v>
      </c>
      <c r="M3933" s="2">
        <f t="shared" si="492"/>
        <v>-3914.0124735044296</v>
      </c>
      <c r="N3933">
        <f t="shared" si="493"/>
        <v>375.67320539497547</v>
      </c>
      <c r="O3933" t="s">
        <v>15</v>
      </c>
    </row>
    <row r="3934" spans="1:15" x14ac:dyDescent="0.35">
      <c r="A3934">
        <v>2010</v>
      </c>
      <c r="B3934">
        <v>10</v>
      </c>
      <c r="C3934">
        <v>7</v>
      </c>
      <c r="D3934" s="1">
        <f t="shared" si="488"/>
        <v>40458</v>
      </c>
      <c r="E3934">
        <v>17.399999999999999</v>
      </c>
      <c r="F3934">
        <f t="shared" si="494"/>
        <v>0</v>
      </c>
      <c r="G3934">
        <f t="shared" si="489"/>
        <v>1</v>
      </c>
      <c r="H3934">
        <f t="shared" si="495"/>
        <v>0</v>
      </c>
      <c r="I3934">
        <v>3933</v>
      </c>
      <c r="J3934">
        <f t="shared" si="490"/>
        <v>-0.993634586189866</v>
      </c>
      <c r="K3934">
        <f t="shared" si="491"/>
        <v>0.11265127219562882</v>
      </c>
      <c r="L3934">
        <f>VLOOKUP(D3934,[1]SOI!$A$1:$C$142,3)</f>
        <v>25</v>
      </c>
      <c r="M3934" s="2">
        <f t="shared" si="492"/>
        <v>-3907.9648274847432</v>
      </c>
      <c r="N3934">
        <f t="shared" si="493"/>
        <v>443.05745354540812</v>
      </c>
      <c r="O3934" t="s">
        <v>15</v>
      </c>
    </row>
    <row r="3935" spans="1:15" x14ac:dyDescent="0.35">
      <c r="A3935">
        <v>2010</v>
      </c>
      <c r="B3935">
        <v>10</v>
      </c>
      <c r="C3935">
        <v>8</v>
      </c>
      <c r="D3935" s="1">
        <f t="shared" si="488"/>
        <v>40459</v>
      </c>
      <c r="E3935">
        <v>0</v>
      </c>
      <c r="F3935">
        <f t="shared" si="494"/>
        <v>17.399999999999999</v>
      </c>
      <c r="G3935">
        <f t="shared" si="489"/>
        <v>0</v>
      </c>
      <c r="H3935">
        <f t="shared" si="495"/>
        <v>1</v>
      </c>
      <c r="I3935">
        <v>3934</v>
      </c>
      <c r="J3935">
        <f t="shared" si="490"/>
        <v>-0.99154979060518234</v>
      </c>
      <c r="K3935">
        <f t="shared" si="491"/>
        <v>0.12972668480624627</v>
      </c>
      <c r="L3935">
        <f>VLOOKUP(D3935,[1]SOI!$A$1:$C$142,3)</f>
        <v>25</v>
      </c>
      <c r="M3935" s="2">
        <f t="shared" si="492"/>
        <v>-3900.7568762407873</v>
      </c>
      <c r="N3935">
        <f t="shared" si="493"/>
        <v>510.34477802777286</v>
      </c>
      <c r="O3935" t="s">
        <v>15</v>
      </c>
    </row>
    <row r="3936" spans="1:15" x14ac:dyDescent="0.35">
      <c r="A3936">
        <v>2010</v>
      </c>
      <c r="B3936">
        <v>10</v>
      </c>
      <c r="C3936">
        <v>9</v>
      </c>
      <c r="D3936" s="1">
        <f t="shared" si="488"/>
        <v>40460</v>
      </c>
      <c r="E3936">
        <v>0</v>
      </c>
      <c r="F3936">
        <f t="shared" si="494"/>
        <v>0</v>
      </c>
      <c r="G3936">
        <f t="shared" si="489"/>
        <v>0</v>
      </c>
      <c r="H3936">
        <f t="shared" si="495"/>
        <v>0</v>
      </c>
      <c r="I3936">
        <v>3935</v>
      </c>
      <c r="J3936">
        <f t="shared" si="490"/>
        <v>-0.98917157948495649</v>
      </c>
      <c r="K3936">
        <f t="shared" si="491"/>
        <v>0.14676370920372794</v>
      </c>
      <c r="L3936">
        <f>VLOOKUP(D3936,[1]SOI!$A$1:$C$142,3)</f>
        <v>25</v>
      </c>
      <c r="M3936" s="2">
        <f t="shared" si="492"/>
        <v>-3892.3901652733039</v>
      </c>
      <c r="N3936">
        <f t="shared" si="493"/>
        <v>577.5151957166695</v>
      </c>
      <c r="O3936" t="s">
        <v>15</v>
      </c>
    </row>
    <row r="3937" spans="1:15" x14ac:dyDescent="0.35">
      <c r="A3937">
        <v>2010</v>
      </c>
      <c r="B3937">
        <v>10</v>
      </c>
      <c r="C3937">
        <v>10</v>
      </c>
      <c r="D3937" s="1">
        <f t="shared" si="488"/>
        <v>40461</v>
      </c>
      <c r="E3937">
        <v>0</v>
      </c>
      <c r="F3937">
        <f t="shared" si="494"/>
        <v>0</v>
      </c>
      <c r="G3937">
        <f t="shared" si="489"/>
        <v>0</v>
      </c>
      <c r="H3937">
        <f t="shared" si="495"/>
        <v>0</v>
      </c>
      <c r="I3937">
        <v>3936</v>
      </c>
      <c r="J3937">
        <f t="shared" si="490"/>
        <v>-0.98650065658011854</v>
      </c>
      <c r="K3937">
        <f t="shared" si="491"/>
        <v>0.16375730385846923</v>
      </c>
      <c r="L3937">
        <f>VLOOKUP(D3937,[1]SOI!$A$1:$C$142,3)</f>
        <v>25</v>
      </c>
      <c r="M3937" s="2">
        <f t="shared" si="492"/>
        <v>-3882.8665842993464</v>
      </c>
      <c r="N3937">
        <f t="shared" si="493"/>
        <v>644.54874798693493</v>
      </c>
      <c r="O3937" t="s">
        <v>15</v>
      </c>
    </row>
    <row r="3938" spans="1:15" x14ac:dyDescent="0.35">
      <c r="A3938">
        <v>2010</v>
      </c>
      <c r="B3938">
        <v>10</v>
      </c>
      <c r="C3938">
        <v>11</v>
      </c>
      <c r="D3938" s="1">
        <f t="shared" si="488"/>
        <v>40462</v>
      </c>
      <c r="E3938">
        <v>0</v>
      </c>
      <c r="F3938">
        <f t="shared" si="494"/>
        <v>0</v>
      </c>
      <c r="G3938">
        <f t="shared" si="489"/>
        <v>0</v>
      </c>
      <c r="H3938">
        <f t="shared" si="495"/>
        <v>0</v>
      </c>
      <c r="I3938">
        <v>3937</v>
      </c>
      <c r="J3938">
        <f t="shared" si="490"/>
        <v>-0.98353781225972881</v>
      </c>
      <c r="K3938">
        <f t="shared" si="491"/>
        <v>0.18070244009239708</v>
      </c>
      <c r="L3938">
        <f>VLOOKUP(D3938,[1]SOI!$A$1:$C$142,3)</f>
        <v>25</v>
      </c>
      <c r="M3938" s="2">
        <f t="shared" si="492"/>
        <v>-3872.1883668665523</v>
      </c>
      <c r="N3938">
        <f t="shared" si="493"/>
        <v>711.42550664376733</v>
      </c>
      <c r="O3938" t="s">
        <v>15</v>
      </c>
    </row>
    <row r="3939" spans="1:15" x14ac:dyDescent="0.35">
      <c r="A3939">
        <v>2010</v>
      </c>
      <c r="B3939">
        <v>10</v>
      </c>
      <c r="C3939">
        <v>12</v>
      </c>
      <c r="D3939" s="1">
        <f t="shared" si="488"/>
        <v>40463</v>
      </c>
      <c r="E3939">
        <v>0</v>
      </c>
      <c r="F3939">
        <f t="shared" si="494"/>
        <v>0</v>
      </c>
      <c r="G3939">
        <f t="shared" si="489"/>
        <v>0</v>
      </c>
      <c r="H3939">
        <f t="shared" si="495"/>
        <v>0</v>
      </c>
      <c r="I3939">
        <v>3938</v>
      </c>
      <c r="J3939">
        <f t="shared" si="490"/>
        <v>-0.98028392327709224</v>
      </c>
      <c r="K3939">
        <f t="shared" si="491"/>
        <v>0.19759410356706489</v>
      </c>
      <c r="L3939">
        <f>VLOOKUP(D3939,[1]SOI!$A$1:$C$142,3)</f>
        <v>25</v>
      </c>
      <c r="M3939" s="2">
        <f t="shared" si="492"/>
        <v>-3860.3580898651894</v>
      </c>
      <c r="N3939">
        <f t="shared" si="493"/>
        <v>778.12557984710156</v>
      </c>
      <c r="O3939" t="s">
        <v>15</v>
      </c>
    </row>
    <row r="3940" spans="1:15" x14ac:dyDescent="0.35">
      <c r="A3940">
        <v>2010</v>
      </c>
      <c r="B3940">
        <v>10</v>
      </c>
      <c r="C3940">
        <v>13</v>
      </c>
      <c r="D3940" s="1">
        <f t="shared" si="488"/>
        <v>40464</v>
      </c>
      <c r="E3940">
        <v>9.4</v>
      </c>
      <c r="F3940">
        <f t="shared" si="494"/>
        <v>0</v>
      </c>
      <c r="G3940">
        <f t="shared" si="489"/>
        <v>1</v>
      </c>
      <c r="H3940">
        <f t="shared" si="495"/>
        <v>0</v>
      </c>
      <c r="I3940">
        <v>3939</v>
      </c>
      <c r="J3940">
        <f t="shared" si="490"/>
        <v>-0.97673995251030332</v>
      </c>
      <c r="K3940">
        <f t="shared" si="491"/>
        <v>0.21442729576751771</v>
      </c>
      <c r="L3940">
        <f>VLOOKUP(D3940,[1]SOI!$A$1:$C$142,3)</f>
        <v>25</v>
      </c>
      <c r="M3940" s="2">
        <f t="shared" si="492"/>
        <v>-3847.3786729380849</v>
      </c>
      <c r="N3940">
        <f t="shared" si="493"/>
        <v>844.62911802825226</v>
      </c>
      <c r="O3940" t="s">
        <v>15</v>
      </c>
    </row>
    <row r="3941" spans="1:15" x14ac:dyDescent="0.35">
      <c r="A3941">
        <v>2010</v>
      </c>
      <c r="B3941">
        <v>10</v>
      </c>
      <c r="C3941">
        <v>14</v>
      </c>
      <c r="D3941" s="1">
        <f t="shared" si="488"/>
        <v>40465</v>
      </c>
      <c r="E3941">
        <v>4</v>
      </c>
      <c r="F3941">
        <f t="shared" si="494"/>
        <v>9.4</v>
      </c>
      <c r="G3941">
        <f t="shared" si="489"/>
        <v>1</v>
      </c>
      <c r="H3941">
        <f t="shared" si="495"/>
        <v>1</v>
      </c>
      <c r="I3941">
        <v>3940</v>
      </c>
      <c r="J3941">
        <f t="shared" si="490"/>
        <v>-0.97290694867733807</v>
      </c>
      <c r="K3941">
        <f t="shared" si="491"/>
        <v>0.23119703548132173</v>
      </c>
      <c r="L3941">
        <f>VLOOKUP(D3941,[1]SOI!$A$1:$C$142,3)</f>
        <v>25</v>
      </c>
      <c r="M3941" s="2">
        <f t="shared" si="492"/>
        <v>-3833.253377788712</v>
      </c>
      <c r="N3941">
        <f t="shared" si="493"/>
        <v>910.91631979640761</v>
      </c>
      <c r="O3941" t="s">
        <v>15</v>
      </c>
    </row>
    <row r="3942" spans="1:15" x14ac:dyDescent="0.35">
      <c r="A3942">
        <v>2010</v>
      </c>
      <c r="B3942">
        <v>10</v>
      </c>
      <c r="C3942">
        <v>15</v>
      </c>
      <c r="D3942" s="1">
        <f t="shared" si="488"/>
        <v>40466</v>
      </c>
      <c r="E3942">
        <v>12</v>
      </c>
      <c r="F3942">
        <f t="shared" si="494"/>
        <v>4</v>
      </c>
      <c r="G3942">
        <f t="shared" si="489"/>
        <v>1</v>
      </c>
      <c r="H3942">
        <f t="shared" si="495"/>
        <v>1</v>
      </c>
      <c r="I3942">
        <v>3941</v>
      </c>
      <c r="J3942">
        <f t="shared" si="490"/>
        <v>-0.96878604602568508</v>
      </c>
      <c r="K3942">
        <f t="shared" si="491"/>
        <v>0.24789836027275189</v>
      </c>
      <c r="L3942">
        <f>VLOOKUP(D3942,[1]SOI!$A$1:$C$142,3)</f>
        <v>25</v>
      </c>
      <c r="M3942" s="2">
        <f t="shared" si="492"/>
        <v>-3817.9858073872247</v>
      </c>
      <c r="N3942">
        <f t="shared" si="493"/>
        <v>976.96743783491524</v>
      </c>
      <c r="O3942" t="s">
        <v>15</v>
      </c>
    </row>
    <row r="3943" spans="1:15" x14ac:dyDescent="0.35">
      <c r="A3943">
        <v>2010</v>
      </c>
      <c r="B3943">
        <v>10</v>
      </c>
      <c r="C3943">
        <v>16</v>
      </c>
      <c r="D3943" s="1">
        <f t="shared" si="488"/>
        <v>40467</v>
      </c>
      <c r="E3943">
        <v>22.6</v>
      </c>
      <c r="F3943">
        <f t="shared" si="494"/>
        <v>12</v>
      </c>
      <c r="G3943">
        <f t="shared" si="489"/>
        <v>1</v>
      </c>
      <c r="H3943">
        <f t="shared" si="495"/>
        <v>1</v>
      </c>
      <c r="I3943">
        <v>3942</v>
      </c>
      <c r="J3943">
        <f t="shared" si="490"/>
        <v>-0.96437846399674421</v>
      </c>
      <c r="K3943">
        <f t="shared" si="491"/>
        <v>0.26452632795107617</v>
      </c>
      <c r="L3943">
        <f>VLOOKUP(D3943,[1]SOI!$A$1:$C$142,3)</f>
        <v>25</v>
      </c>
      <c r="M3943" s="2">
        <f t="shared" si="492"/>
        <v>-3801.5799050751657</v>
      </c>
      <c r="N3943">
        <f t="shared" si="493"/>
        <v>1042.7627847831423</v>
      </c>
      <c r="O3943" t="s">
        <v>15</v>
      </c>
    </row>
    <row r="3944" spans="1:15" x14ac:dyDescent="0.35">
      <c r="A3944">
        <v>2010</v>
      </c>
      <c r="B3944">
        <v>10</v>
      </c>
      <c r="C3944">
        <v>17</v>
      </c>
      <c r="D3944" s="1">
        <f t="shared" si="488"/>
        <v>40468</v>
      </c>
      <c r="E3944">
        <v>1.6</v>
      </c>
      <c r="F3944">
        <f t="shared" si="494"/>
        <v>22.6</v>
      </c>
      <c r="G3944">
        <f t="shared" si="489"/>
        <v>1</v>
      </c>
      <c r="H3944">
        <f t="shared" si="495"/>
        <v>1</v>
      </c>
      <c r="I3944">
        <v>3943</v>
      </c>
      <c r="J3944">
        <f t="shared" si="490"/>
        <v>-0.95968550686495291</v>
      </c>
      <c r="K3944">
        <f t="shared" si="491"/>
        <v>0.28107601803312665</v>
      </c>
      <c r="L3944">
        <f>VLOOKUP(D3944,[1]SOI!$A$1:$C$142,3)</f>
        <v>25</v>
      </c>
      <c r="M3944" s="2">
        <f t="shared" si="492"/>
        <v>-3784.0399535685092</v>
      </c>
      <c r="N3944">
        <f t="shared" si="493"/>
        <v>1108.2827391046185</v>
      </c>
      <c r="O3944" t="s">
        <v>15</v>
      </c>
    </row>
    <row r="3945" spans="1:15" x14ac:dyDescent="0.35">
      <c r="A3945">
        <v>2010</v>
      </c>
      <c r="B3945">
        <v>10</v>
      </c>
      <c r="C3945">
        <v>18</v>
      </c>
      <c r="D3945" s="1">
        <f t="shared" si="488"/>
        <v>40469</v>
      </c>
      <c r="E3945">
        <v>0</v>
      </c>
      <c r="F3945">
        <f t="shared" si="494"/>
        <v>1.6</v>
      </c>
      <c r="G3945">
        <f t="shared" si="489"/>
        <v>0</v>
      </c>
      <c r="H3945">
        <f t="shared" si="495"/>
        <v>1</v>
      </c>
      <c r="I3945">
        <v>3944</v>
      </c>
      <c r="J3945">
        <f t="shared" si="490"/>
        <v>-0.95470856335182097</v>
      </c>
      <c r="K3945">
        <f t="shared" si="491"/>
        <v>0.2975425331993764</v>
      </c>
      <c r="L3945">
        <f>VLOOKUP(D3945,[1]SOI!$A$1:$C$142,3)</f>
        <v>25</v>
      </c>
      <c r="M3945" s="2">
        <f t="shared" si="492"/>
        <v>-3765.3705738595818</v>
      </c>
      <c r="N3945">
        <f t="shared" si="493"/>
        <v>1173.5077509383405</v>
      </c>
      <c r="O3945" t="s">
        <v>15</v>
      </c>
    </row>
    <row r="3946" spans="1:15" x14ac:dyDescent="0.35">
      <c r="A3946">
        <v>2010</v>
      </c>
      <c r="B3946">
        <v>10</v>
      </c>
      <c r="C3946">
        <v>19</v>
      </c>
      <c r="D3946" s="1">
        <f t="shared" si="488"/>
        <v>40470</v>
      </c>
      <c r="E3946">
        <v>1.4</v>
      </c>
      <c r="F3946">
        <f t="shared" si="494"/>
        <v>0</v>
      </c>
      <c r="G3946">
        <f t="shared" si="489"/>
        <v>1</v>
      </c>
      <c r="H3946">
        <f t="shared" si="495"/>
        <v>0</v>
      </c>
      <c r="I3946">
        <v>3945</v>
      </c>
      <c r="J3946">
        <f t="shared" si="490"/>
        <v>-0.94944910621501366</v>
      </c>
      <c r="K3946">
        <f t="shared" si="491"/>
        <v>0.31392100074303991</v>
      </c>
      <c r="L3946">
        <f>VLOOKUP(D3946,[1]SOI!$A$1:$C$142,3)</f>
        <v>25</v>
      </c>
      <c r="M3946" s="2">
        <f t="shared" si="492"/>
        <v>-3745.576724018229</v>
      </c>
      <c r="N3946">
        <f t="shared" si="493"/>
        <v>1238.4183479312924</v>
      </c>
      <c r="O3946" t="s">
        <v>15</v>
      </c>
    </row>
    <row r="3947" spans="1:15" x14ac:dyDescent="0.35">
      <c r="A3947">
        <v>2010</v>
      </c>
      <c r="B3947">
        <v>10</v>
      </c>
      <c r="C3947">
        <v>20</v>
      </c>
      <c r="D3947" s="1">
        <f t="shared" si="488"/>
        <v>40471</v>
      </c>
      <c r="E3947">
        <v>0</v>
      </c>
      <c r="F3947">
        <f t="shared" si="494"/>
        <v>1.4</v>
      </c>
      <c r="G3947">
        <f t="shared" si="489"/>
        <v>0</v>
      </c>
      <c r="H3947">
        <f t="shared" si="495"/>
        <v>1</v>
      </c>
      <c r="I3947">
        <v>3946</v>
      </c>
      <c r="J3947">
        <f t="shared" si="490"/>
        <v>-0.94390869181251025</v>
      </c>
      <c r="K3947">
        <f t="shared" si="491"/>
        <v>0.33020657401208031</v>
      </c>
      <c r="L3947">
        <f>VLOOKUP(D3947,[1]SOI!$A$1:$C$142,3)</f>
        <v>25</v>
      </c>
      <c r="M3947" s="2">
        <f t="shared" si="492"/>
        <v>-3724.6636978921656</v>
      </c>
      <c r="N3947">
        <f t="shared" si="493"/>
        <v>1302.995141051669</v>
      </c>
      <c r="O3947" t="s">
        <v>15</v>
      </c>
    </row>
    <row r="3948" spans="1:15" x14ac:dyDescent="0.35">
      <c r="A3948">
        <v>2010</v>
      </c>
      <c r="B3948">
        <v>10</v>
      </c>
      <c r="C3948">
        <v>21</v>
      </c>
      <c r="D3948" s="1">
        <f t="shared" si="488"/>
        <v>40472</v>
      </c>
      <c r="E3948">
        <v>0</v>
      </c>
      <c r="F3948">
        <f t="shared" si="494"/>
        <v>0</v>
      </c>
      <c r="G3948">
        <f t="shared" si="489"/>
        <v>0</v>
      </c>
      <c r="H3948">
        <f t="shared" si="495"/>
        <v>0</v>
      </c>
      <c r="I3948">
        <v>3947</v>
      </c>
      <c r="J3948">
        <f t="shared" si="490"/>
        <v>-0.93808895964206429</v>
      </c>
      <c r="K3948">
        <f t="shared" si="491"/>
        <v>0.34639443384337104</v>
      </c>
      <c r="L3948">
        <f>VLOOKUP(D3948,[1]SOI!$A$1:$C$142,3)</f>
        <v>25</v>
      </c>
      <c r="M3948" s="2">
        <f t="shared" si="492"/>
        <v>-3702.6371237072276</v>
      </c>
      <c r="N3948">
        <f t="shared" si="493"/>
        <v>1367.2188303797855</v>
      </c>
      <c r="O3948" t="s">
        <v>15</v>
      </c>
    </row>
    <row r="3949" spans="1:15" x14ac:dyDescent="0.35">
      <c r="A3949">
        <v>2010</v>
      </c>
      <c r="B3949">
        <v>10</v>
      </c>
      <c r="C3949">
        <v>22</v>
      </c>
      <c r="D3949" s="1">
        <f t="shared" si="488"/>
        <v>40473</v>
      </c>
      <c r="E3949">
        <v>0</v>
      </c>
      <c r="F3949">
        <f t="shared" si="494"/>
        <v>0</v>
      </c>
      <c r="G3949">
        <f t="shared" si="489"/>
        <v>0</v>
      </c>
      <c r="H3949">
        <f t="shared" si="495"/>
        <v>0</v>
      </c>
      <c r="I3949">
        <v>3948</v>
      </c>
      <c r="J3949">
        <f t="shared" si="490"/>
        <v>-0.93199163185606493</v>
      </c>
      <c r="K3949">
        <f t="shared" si="491"/>
        <v>0.3624797899887236</v>
      </c>
      <c r="L3949">
        <f>VLOOKUP(D3949,[1]SOI!$A$1:$C$142,3)</f>
        <v>25</v>
      </c>
      <c r="M3949" s="2">
        <f t="shared" si="492"/>
        <v>-3679.5029625677444</v>
      </c>
      <c r="N3949">
        <f t="shared" si="493"/>
        <v>1431.0702108754808</v>
      </c>
      <c r="O3949" t="s">
        <v>15</v>
      </c>
    </row>
    <row r="3950" spans="1:15" x14ac:dyDescent="0.35">
      <c r="A3950">
        <v>2010</v>
      </c>
      <c r="B3950">
        <v>10</v>
      </c>
      <c r="C3950">
        <v>23</v>
      </c>
      <c r="D3950" s="1">
        <f t="shared" si="488"/>
        <v>40474</v>
      </c>
      <c r="E3950">
        <v>6.8</v>
      </c>
      <c r="F3950">
        <f t="shared" si="494"/>
        <v>0</v>
      </c>
      <c r="G3950">
        <f t="shared" si="489"/>
        <v>1</v>
      </c>
      <c r="H3950">
        <f t="shared" si="495"/>
        <v>0</v>
      </c>
      <c r="I3950">
        <v>3949</v>
      </c>
      <c r="J3950">
        <f t="shared" si="490"/>
        <v>-0.92561851275189067</v>
      </c>
      <c r="K3950">
        <f t="shared" si="491"/>
        <v>0.37845788253249268</v>
      </c>
      <c r="L3950">
        <f>VLOOKUP(D3950,[1]SOI!$A$1:$C$142,3)</f>
        <v>25</v>
      </c>
      <c r="M3950" s="2">
        <f t="shared" si="492"/>
        <v>-3655.2675068572162</v>
      </c>
      <c r="N3950">
        <f t="shared" si="493"/>
        <v>1494.5301781208136</v>
      </c>
      <c r="O3950" t="s">
        <v>15</v>
      </c>
    </row>
    <row r="3951" spans="1:15" x14ac:dyDescent="0.35">
      <c r="A3951">
        <v>2010</v>
      </c>
      <c r="B3951">
        <v>10</v>
      </c>
      <c r="C3951">
        <v>24</v>
      </c>
      <c r="D3951" s="1">
        <f t="shared" si="488"/>
        <v>40475</v>
      </c>
      <c r="E3951">
        <v>1.8</v>
      </c>
      <c r="F3951">
        <f t="shared" si="494"/>
        <v>6.8</v>
      </c>
      <c r="G3951">
        <f t="shared" si="489"/>
        <v>1</v>
      </c>
      <c r="H3951">
        <f t="shared" si="495"/>
        <v>1</v>
      </c>
      <c r="I3951">
        <v>3950</v>
      </c>
      <c r="J3951">
        <f t="shared" si="490"/>
        <v>-0.91897148823802854</v>
      </c>
      <c r="K3951">
        <f t="shared" si="491"/>
        <v>0.39432398330000534</v>
      </c>
      <c r="L3951">
        <f>VLOOKUP(D3951,[1]SOI!$A$1:$C$142,3)</f>
        <v>25</v>
      </c>
      <c r="M3951" s="2">
        <f t="shared" si="492"/>
        <v>-3629.9373785402126</v>
      </c>
      <c r="N3951">
        <f t="shared" si="493"/>
        <v>1557.5797340350211</v>
      </c>
      <c r="O3951" t="s">
        <v>15</v>
      </c>
    </row>
    <row r="3952" spans="1:15" x14ac:dyDescent="0.35">
      <c r="A3952">
        <v>2010</v>
      </c>
      <c r="B3952">
        <v>10</v>
      </c>
      <c r="C3952">
        <v>25</v>
      </c>
      <c r="D3952" s="1">
        <f t="shared" si="488"/>
        <v>40476</v>
      </c>
      <c r="E3952">
        <v>0</v>
      </c>
      <c r="F3952">
        <f t="shared" si="494"/>
        <v>1.8</v>
      </c>
      <c r="G3952">
        <f t="shared" si="489"/>
        <v>0</v>
      </c>
      <c r="H3952">
        <f t="shared" si="495"/>
        <v>1</v>
      </c>
      <c r="I3952">
        <v>3951</v>
      </c>
      <c r="J3952">
        <f t="shared" si="490"/>
        <v>-0.91205252527596747</v>
      </c>
      <c r="K3952">
        <f t="shared" si="491"/>
        <v>0.41007339725679681</v>
      </c>
      <c r="L3952">
        <f>VLOOKUP(D3952,[1]SOI!$A$1:$C$142,3)</f>
        <v>25</v>
      </c>
      <c r="M3952" s="2">
        <f t="shared" si="492"/>
        <v>-3603.5195273653476</v>
      </c>
      <c r="N3952">
        <f t="shared" si="493"/>
        <v>1620.1999925616042</v>
      </c>
      <c r="O3952" t="s">
        <v>15</v>
      </c>
    </row>
    <row r="3953" spans="1:15" x14ac:dyDescent="0.35">
      <c r="A3953">
        <v>2010</v>
      </c>
      <c r="B3953">
        <v>10</v>
      </c>
      <c r="C3953">
        <v>26</v>
      </c>
      <c r="D3953" s="1">
        <f t="shared" si="488"/>
        <v>40477</v>
      </c>
      <c r="E3953">
        <v>0</v>
      </c>
      <c r="F3953">
        <f t="shared" si="494"/>
        <v>0</v>
      </c>
      <c r="G3953">
        <f t="shared" si="489"/>
        <v>0</v>
      </c>
      <c r="H3953">
        <f t="shared" si="495"/>
        <v>0</v>
      </c>
      <c r="I3953">
        <v>3952</v>
      </c>
      <c r="J3953">
        <f t="shared" si="490"/>
        <v>-0.90486367129815726</v>
      </c>
      <c r="K3953">
        <f t="shared" si="491"/>
        <v>0.42570146389790636</v>
      </c>
      <c r="L3953">
        <f>VLOOKUP(D3953,[1]SOI!$A$1:$C$142,3)</f>
        <v>25</v>
      </c>
      <c r="M3953" s="2">
        <f t="shared" si="492"/>
        <v>-3576.0212289703177</v>
      </c>
      <c r="N3953">
        <f t="shared" si="493"/>
        <v>1682.3721853245258</v>
      </c>
      <c r="O3953" t="s">
        <v>15</v>
      </c>
    </row>
    <row r="3954" spans="1:15" x14ac:dyDescent="0.35">
      <c r="A3954">
        <v>2010</v>
      </c>
      <c r="B3954">
        <v>10</v>
      </c>
      <c r="C3954">
        <v>27</v>
      </c>
      <c r="D3954" s="1">
        <f t="shared" si="488"/>
        <v>40478</v>
      </c>
      <c r="E3954">
        <v>2.4</v>
      </c>
      <c r="F3954">
        <f t="shared" si="494"/>
        <v>0</v>
      </c>
      <c r="G3954">
        <f t="shared" si="489"/>
        <v>1</v>
      </c>
      <c r="H3954">
        <f t="shared" si="495"/>
        <v>0</v>
      </c>
      <c r="I3954">
        <v>3953</v>
      </c>
      <c r="J3954">
        <f t="shared" si="490"/>
        <v>-0.89740705360215922</v>
      </c>
      <c r="K3954">
        <f t="shared" si="491"/>
        <v>0.4412035586269577</v>
      </c>
      <c r="L3954">
        <f>VLOOKUP(D3954,[1]SOI!$A$1:$C$142,3)</f>
        <v>25</v>
      </c>
      <c r="M3954" s="2">
        <f t="shared" si="492"/>
        <v>-3547.4500828893356</v>
      </c>
      <c r="N3954">
        <f t="shared" si="493"/>
        <v>1744.0776672523639</v>
      </c>
      <c r="O3954" t="s">
        <v>15</v>
      </c>
    </row>
    <row r="3955" spans="1:15" x14ac:dyDescent="0.35">
      <c r="A3955">
        <v>2010</v>
      </c>
      <c r="B3955">
        <v>10</v>
      </c>
      <c r="C3955">
        <v>28</v>
      </c>
      <c r="D3955" s="1">
        <f t="shared" si="488"/>
        <v>40479</v>
      </c>
      <c r="E3955">
        <v>0</v>
      </c>
      <c r="F3955">
        <f t="shared" si="494"/>
        <v>2.4</v>
      </c>
      <c r="G3955">
        <f t="shared" si="489"/>
        <v>0</v>
      </c>
      <c r="H3955">
        <f t="shared" si="495"/>
        <v>1</v>
      </c>
      <c r="I3955">
        <v>3954</v>
      </c>
      <c r="J3955">
        <f t="shared" si="490"/>
        <v>-0.88968487872110291</v>
      </c>
      <c r="K3955">
        <f t="shared" si="491"/>
        <v>0.45657509412474134</v>
      </c>
      <c r="L3955">
        <f>VLOOKUP(D3955,[1]SOI!$A$1:$C$142,3)</f>
        <v>25</v>
      </c>
      <c r="M3955" s="2">
        <f t="shared" si="492"/>
        <v>-3517.8140104632407</v>
      </c>
      <c r="N3955">
        <f t="shared" si="493"/>
        <v>1805.2979221692274</v>
      </c>
      <c r="O3955" t="s">
        <v>15</v>
      </c>
    </row>
    <row r="3956" spans="1:15" x14ac:dyDescent="0.35">
      <c r="A3956">
        <v>2010</v>
      </c>
      <c r="B3956">
        <v>10</v>
      </c>
      <c r="C3956">
        <v>29</v>
      </c>
      <c r="D3956" s="1">
        <f t="shared" si="488"/>
        <v>40480</v>
      </c>
      <c r="E3956">
        <v>0</v>
      </c>
      <c r="F3956">
        <f t="shared" si="494"/>
        <v>0</v>
      </c>
      <c r="G3956">
        <f t="shared" si="489"/>
        <v>0</v>
      </c>
      <c r="H3956">
        <f t="shared" si="495"/>
        <v>0</v>
      </c>
      <c r="I3956">
        <v>3955</v>
      </c>
      <c r="J3956">
        <f t="shared" si="490"/>
        <v>-0.88169943177078614</v>
      </c>
      <c r="K3956">
        <f t="shared" si="491"/>
        <v>0.47181152170657387</v>
      </c>
      <c r="L3956">
        <f>VLOOKUP(D3956,[1]SOI!$A$1:$C$142,3)</f>
        <v>25</v>
      </c>
      <c r="M3956" s="2">
        <f t="shared" si="492"/>
        <v>-3487.1212526534591</v>
      </c>
      <c r="N3956">
        <f t="shared" si="493"/>
        <v>1866.0145683494995</v>
      </c>
      <c r="O3956" t="s">
        <v>15</v>
      </c>
    </row>
    <row r="3957" spans="1:15" x14ac:dyDescent="0.35">
      <c r="A3957">
        <v>2010</v>
      </c>
      <c r="B3957">
        <v>10</v>
      </c>
      <c r="C3957">
        <v>30</v>
      </c>
      <c r="D3957" s="1">
        <f t="shared" si="488"/>
        <v>40481</v>
      </c>
      <c r="E3957">
        <v>2.2000000000000002</v>
      </c>
      <c r="F3957">
        <f t="shared" si="494"/>
        <v>0</v>
      </c>
      <c r="G3957">
        <f t="shared" si="489"/>
        <v>1</v>
      </c>
      <c r="H3957">
        <f t="shared" si="495"/>
        <v>0</v>
      </c>
      <c r="I3957">
        <v>3956</v>
      </c>
      <c r="J3957">
        <f t="shared" si="490"/>
        <v>-0.87345307577342879</v>
      </c>
      <c r="K3957">
        <f t="shared" si="491"/>
        <v>0.4869083326684161</v>
      </c>
      <c r="L3957">
        <f>VLOOKUP(D3957,[1]SOI!$A$1:$C$142,3)</f>
        <v>25</v>
      </c>
      <c r="M3957" s="2">
        <f t="shared" si="492"/>
        <v>-3455.3803677596843</v>
      </c>
      <c r="N3957">
        <f t="shared" si="493"/>
        <v>1926.2093640362541</v>
      </c>
      <c r="O3957" t="s">
        <v>15</v>
      </c>
    </row>
    <row r="3958" spans="1:15" x14ac:dyDescent="0.35">
      <c r="A3958">
        <v>2010</v>
      </c>
      <c r="B3958">
        <v>10</v>
      </c>
      <c r="C3958">
        <v>31</v>
      </c>
      <c r="D3958" s="1">
        <f t="shared" si="488"/>
        <v>40482</v>
      </c>
      <c r="E3958">
        <v>61.4</v>
      </c>
      <c r="F3958">
        <f t="shared" si="494"/>
        <v>2.2000000000000002</v>
      </c>
      <c r="G3958">
        <f t="shared" si="489"/>
        <v>1</v>
      </c>
      <c r="H3958">
        <f t="shared" si="495"/>
        <v>1</v>
      </c>
      <c r="I3958">
        <v>3957</v>
      </c>
      <c r="J3958">
        <f t="shared" si="490"/>
        <v>-0.86494825095843431</v>
      </c>
      <c r="K3958">
        <f t="shared" si="491"/>
        <v>0.50186105962103233</v>
      </c>
      <c r="L3958">
        <f>VLOOKUP(D3958,[1]SOI!$A$1:$C$142,3)</f>
        <v>25</v>
      </c>
      <c r="M3958" s="2">
        <f t="shared" si="492"/>
        <v>-3422.6002290425245</v>
      </c>
      <c r="N3958">
        <f t="shared" si="493"/>
        <v>1985.864212920425</v>
      </c>
      <c r="O3958" t="s">
        <v>15</v>
      </c>
    </row>
    <row r="3959" spans="1:15" x14ac:dyDescent="0.35">
      <c r="A3959">
        <v>2010</v>
      </c>
      <c r="B3959">
        <v>11</v>
      </c>
      <c r="C3959">
        <v>1</v>
      </c>
      <c r="D3959" s="1">
        <f t="shared" si="488"/>
        <v>40483</v>
      </c>
      <c r="E3959">
        <v>3.8</v>
      </c>
      <c r="F3959">
        <f t="shared" si="494"/>
        <v>61.4</v>
      </c>
      <c r="G3959">
        <f t="shared" si="489"/>
        <v>1</v>
      </c>
      <c r="H3959">
        <f t="shared" si="495"/>
        <v>1</v>
      </c>
      <c r="I3959">
        <v>3958</v>
      </c>
      <c r="J3959">
        <f t="shared" si="490"/>
        <v>-0.85618747404030915</v>
      </c>
      <c r="K3959">
        <f t="shared" si="491"/>
        <v>0.51666527781192628</v>
      </c>
      <c r="L3959">
        <f>VLOOKUP(D3959,[1]SOI!$A$1:$C$142,3)</f>
        <v>18.3</v>
      </c>
      <c r="M3959" s="2">
        <f t="shared" si="492"/>
        <v>-3388.7900222515436</v>
      </c>
      <c r="N3959">
        <f t="shared" si="493"/>
        <v>2044.9611695796043</v>
      </c>
      <c r="O3959" t="s">
        <v>15</v>
      </c>
    </row>
    <row r="3960" spans="1:15" x14ac:dyDescent="0.35">
      <c r="A3960">
        <v>2010</v>
      </c>
      <c r="B3960">
        <v>11</v>
      </c>
      <c r="C3960">
        <v>2</v>
      </c>
      <c r="D3960" s="1">
        <f t="shared" si="488"/>
        <v>40484</v>
      </c>
      <c r="E3960">
        <v>0.6</v>
      </c>
      <c r="F3960">
        <f t="shared" si="494"/>
        <v>3.8</v>
      </c>
      <c r="G3960">
        <f t="shared" si="489"/>
        <v>1</v>
      </c>
      <c r="H3960">
        <f t="shared" si="495"/>
        <v>1</v>
      </c>
      <c r="I3960">
        <v>3959</v>
      </c>
      <c r="J3960">
        <f t="shared" si="490"/>
        <v>-0.84717333747387613</v>
      </c>
      <c r="K3960">
        <f t="shared" si="491"/>
        <v>0.53131660643478285</v>
      </c>
      <c r="L3960">
        <f>VLOOKUP(D3960,[1]SOI!$A$1:$C$142,3)</f>
        <v>18.3</v>
      </c>
      <c r="M3960" s="2">
        <f t="shared" si="492"/>
        <v>-3353.9592430590756</v>
      </c>
      <c r="N3960">
        <f t="shared" si="493"/>
        <v>2103.4824448753052</v>
      </c>
      <c r="O3960" t="s">
        <v>15</v>
      </c>
    </row>
    <row r="3961" spans="1:15" x14ac:dyDescent="0.35">
      <c r="A3961">
        <v>2010</v>
      </c>
      <c r="B3961">
        <v>11</v>
      </c>
      <c r="C3961">
        <v>3</v>
      </c>
      <c r="D3961" s="1">
        <f t="shared" si="488"/>
        <v>40485</v>
      </c>
      <c r="E3961">
        <v>4</v>
      </c>
      <c r="F3961">
        <f t="shared" si="494"/>
        <v>0.6</v>
      </c>
      <c r="G3961">
        <f t="shared" si="489"/>
        <v>1</v>
      </c>
      <c r="H3961">
        <f t="shared" si="495"/>
        <v>1</v>
      </c>
      <c r="I3961">
        <v>3960</v>
      </c>
      <c r="J3961">
        <f t="shared" si="490"/>
        <v>-0.83790850868718381</v>
      </c>
      <c r="K3961">
        <f t="shared" si="491"/>
        <v>0.545810709925721</v>
      </c>
      <c r="L3961">
        <f>VLOOKUP(D3961,[1]SOI!$A$1:$C$142,3)</f>
        <v>18.3</v>
      </c>
      <c r="M3961" s="2">
        <f t="shared" si="492"/>
        <v>-3318.1176944012477</v>
      </c>
      <c r="N3961">
        <f t="shared" si="493"/>
        <v>2161.4104113058552</v>
      </c>
      <c r="O3961" t="s">
        <v>15</v>
      </c>
    </row>
    <row r="3962" spans="1:15" x14ac:dyDescent="0.35">
      <c r="A3962">
        <v>2010</v>
      </c>
      <c r="B3962">
        <v>11</v>
      </c>
      <c r="C3962">
        <v>4</v>
      </c>
      <c r="D3962" s="1">
        <f t="shared" si="488"/>
        <v>40486</v>
      </c>
      <c r="E3962">
        <v>5.2</v>
      </c>
      <c r="F3962">
        <f t="shared" si="494"/>
        <v>4</v>
      </c>
      <c r="G3962">
        <f t="shared" si="489"/>
        <v>1</v>
      </c>
      <c r="H3962">
        <f t="shared" si="495"/>
        <v>1</v>
      </c>
      <c r="I3962">
        <v>3961</v>
      </c>
      <c r="J3962">
        <f t="shared" si="490"/>
        <v>-0.82839572929211147</v>
      </c>
      <c r="K3962">
        <f t="shared" si="491"/>
        <v>0.5601432992463542</v>
      </c>
      <c r="L3962">
        <f>VLOOKUP(D3962,[1]SOI!$A$1:$C$142,3)</f>
        <v>18.3</v>
      </c>
      <c r="M3962" s="2">
        <f t="shared" si="492"/>
        <v>-3281.2754837260536</v>
      </c>
      <c r="N3962">
        <f t="shared" si="493"/>
        <v>2218.727608314809</v>
      </c>
      <c r="O3962" t="s">
        <v>15</v>
      </c>
    </row>
    <row r="3963" spans="1:15" x14ac:dyDescent="0.35">
      <c r="A3963">
        <v>2010</v>
      </c>
      <c r="B3963">
        <v>11</v>
      </c>
      <c r="C3963">
        <v>5</v>
      </c>
      <c r="D3963" s="1">
        <f t="shared" si="488"/>
        <v>40487</v>
      </c>
      <c r="E3963">
        <v>0</v>
      </c>
      <c r="F3963">
        <f t="shared" si="494"/>
        <v>5.2</v>
      </c>
      <c r="G3963">
        <f t="shared" si="489"/>
        <v>0</v>
      </c>
      <c r="H3963">
        <f t="shared" si="495"/>
        <v>1</v>
      </c>
      <c r="I3963">
        <v>3962</v>
      </c>
      <c r="J3963">
        <f t="shared" si="490"/>
        <v>-0.81863781427314386</v>
      </c>
      <c r="K3963">
        <f t="shared" si="491"/>
        <v>0.57431013315288948</v>
      </c>
      <c r="L3963">
        <f>VLOOKUP(D3963,[1]SOI!$A$1:$C$142,3)</f>
        <v>18.3</v>
      </c>
      <c r="M3963" s="2">
        <f t="shared" si="492"/>
        <v>-3243.4430201501959</v>
      </c>
      <c r="N3963">
        <f t="shared" si="493"/>
        <v>2275.4167475517479</v>
      </c>
      <c r="O3963" t="s">
        <v>15</v>
      </c>
    </row>
    <row r="3964" spans="1:15" x14ac:dyDescent="0.35">
      <c r="A3964">
        <v>2010</v>
      </c>
      <c r="B3964">
        <v>11</v>
      </c>
      <c r="C3964">
        <v>6</v>
      </c>
      <c r="D3964" s="1">
        <f t="shared" si="488"/>
        <v>40488</v>
      </c>
      <c r="E3964">
        <v>0</v>
      </c>
      <c r="F3964">
        <f t="shared" si="494"/>
        <v>0</v>
      </c>
      <c r="G3964">
        <f t="shared" si="489"/>
        <v>0</v>
      </c>
      <c r="H3964">
        <f t="shared" si="495"/>
        <v>0</v>
      </c>
      <c r="I3964">
        <v>3963</v>
      </c>
      <c r="J3964">
        <f t="shared" si="490"/>
        <v>-0.80863765115431696</v>
      </c>
      <c r="K3964">
        <f t="shared" si="491"/>
        <v>0.58830701945126329</v>
      </c>
      <c r="L3964">
        <f>VLOOKUP(D3964,[1]SOI!$A$1:$C$142,3)</f>
        <v>18.3</v>
      </c>
      <c r="M3964" s="2">
        <f t="shared" si="492"/>
        <v>-3204.6310115245583</v>
      </c>
      <c r="N3964">
        <f t="shared" si="493"/>
        <v>2331.4607180853563</v>
      </c>
      <c r="O3964" t="s">
        <v>15</v>
      </c>
    </row>
    <row r="3965" spans="1:15" x14ac:dyDescent="0.35">
      <c r="A3965">
        <v>2010</v>
      </c>
      <c r="B3965">
        <v>11</v>
      </c>
      <c r="C3965">
        <v>7</v>
      </c>
      <c r="D3965" s="1">
        <f t="shared" si="488"/>
        <v>40489</v>
      </c>
      <c r="E3965">
        <v>0.2</v>
      </c>
      <c r="F3965">
        <f t="shared" si="494"/>
        <v>0</v>
      </c>
      <c r="G3965">
        <f t="shared" si="489"/>
        <v>1</v>
      </c>
      <c r="H3965">
        <f t="shared" si="495"/>
        <v>0</v>
      </c>
      <c r="I3965">
        <v>3964</v>
      </c>
      <c r="J3965">
        <f t="shared" si="490"/>
        <v>-0.79839819914477639</v>
      </c>
      <c r="K3965">
        <f t="shared" si="491"/>
        <v>0.60212981623764317</v>
      </c>
      <c r="L3965">
        <f>VLOOKUP(D3965,[1]SOI!$A$1:$C$142,3)</f>
        <v>18.3</v>
      </c>
      <c r="M3965" s="2">
        <f t="shared" si="492"/>
        <v>-3164.8504614098938</v>
      </c>
      <c r="N3965">
        <f t="shared" si="493"/>
        <v>2386.8425915660173</v>
      </c>
      <c r="O3965" t="s">
        <v>15</v>
      </c>
    </row>
    <row r="3966" spans="1:15" x14ac:dyDescent="0.35">
      <c r="A3966">
        <v>2010</v>
      </c>
      <c r="B3966">
        <v>11</v>
      </c>
      <c r="C3966">
        <v>8</v>
      </c>
      <c r="D3966" s="1">
        <f t="shared" si="488"/>
        <v>40490</v>
      </c>
      <c r="E3966">
        <v>0</v>
      </c>
      <c r="F3966">
        <f t="shared" si="494"/>
        <v>0.2</v>
      </c>
      <c r="G3966">
        <f t="shared" si="489"/>
        <v>0</v>
      </c>
      <c r="H3966">
        <f t="shared" si="495"/>
        <v>1</v>
      </c>
      <c r="I3966">
        <v>3965</v>
      </c>
      <c r="J3966">
        <f t="shared" si="490"/>
        <v>-0.7879224882631255</v>
      </c>
      <c r="K3966">
        <f t="shared" si="491"/>
        <v>0.61577443312404978</v>
      </c>
      <c r="L3966">
        <f>VLOOKUP(D3966,[1]SOI!$A$1:$C$142,3)</f>
        <v>18.3</v>
      </c>
      <c r="M3966" s="2">
        <f t="shared" si="492"/>
        <v>-3124.1126659632928</v>
      </c>
      <c r="N3966">
        <f t="shared" si="493"/>
        <v>2441.5456273368573</v>
      </c>
      <c r="O3966" t="s">
        <v>15</v>
      </c>
    </row>
    <row r="3967" spans="1:15" x14ac:dyDescent="0.35">
      <c r="A3967">
        <v>2010</v>
      </c>
      <c r="B3967">
        <v>11</v>
      </c>
      <c r="C3967">
        <v>9</v>
      </c>
      <c r="D3967" s="1">
        <f t="shared" si="488"/>
        <v>40491</v>
      </c>
      <c r="E3967">
        <v>0</v>
      </c>
      <c r="F3967">
        <f t="shared" si="494"/>
        <v>0</v>
      </c>
      <c r="G3967">
        <f t="shared" si="489"/>
        <v>0</v>
      </c>
      <c r="H3967">
        <f t="shared" si="495"/>
        <v>0</v>
      </c>
      <c r="I3967">
        <v>3966</v>
      </c>
      <c r="J3967">
        <f t="shared" si="490"/>
        <v>-0.77721361844073489</v>
      </c>
      <c r="K3967">
        <f t="shared" si="491"/>
        <v>0.62923683244884809</v>
      </c>
      <c r="L3967">
        <f>VLOOKUP(D3967,[1]SOI!$A$1:$C$142,3)</f>
        <v>18.3</v>
      </c>
      <c r="M3967" s="2">
        <f t="shared" si="492"/>
        <v>-3082.4292107359547</v>
      </c>
      <c r="N3967">
        <f t="shared" si="493"/>
        <v>2495.5532774921317</v>
      </c>
      <c r="O3967" t="s">
        <v>15</v>
      </c>
    </row>
    <row r="3968" spans="1:15" x14ac:dyDescent="0.35">
      <c r="A3968">
        <v>2010</v>
      </c>
      <c r="B3968">
        <v>11</v>
      </c>
      <c r="C3968">
        <v>10</v>
      </c>
      <c r="D3968" s="1">
        <f t="shared" si="488"/>
        <v>40492</v>
      </c>
      <c r="E3968">
        <v>0</v>
      </c>
      <c r="F3968">
        <f t="shared" si="494"/>
        <v>0</v>
      </c>
      <c r="G3968">
        <f t="shared" si="489"/>
        <v>0</v>
      </c>
      <c r="H3968">
        <f t="shared" si="495"/>
        <v>0</v>
      </c>
      <c r="I3968">
        <v>3967</v>
      </c>
      <c r="J3968">
        <f t="shared" si="490"/>
        <v>-0.76627475860449179</v>
      </c>
      <c r="K3968">
        <f t="shared" si="491"/>
        <v>0.64251303047146668</v>
      </c>
      <c r="L3968">
        <f>VLOOKUP(D3968,[1]SOI!$A$1:$C$142,3)</f>
        <v>18.3</v>
      </c>
      <c r="M3968" s="2">
        <f t="shared" si="492"/>
        <v>-3039.8119673840188</v>
      </c>
      <c r="N3968">
        <f t="shared" si="493"/>
        <v>2548.8491918803084</v>
      </c>
      <c r="O3968" t="s">
        <v>15</v>
      </c>
    </row>
    <row r="3969" spans="1:15" x14ac:dyDescent="0.35">
      <c r="A3969">
        <v>2010</v>
      </c>
      <c r="B3969">
        <v>11</v>
      </c>
      <c r="C3969">
        <v>11</v>
      </c>
      <c r="D3969" s="1">
        <f t="shared" si="488"/>
        <v>40493</v>
      </c>
      <c r="E3969">
        <v>0</v>
      </c>
      <c r="F3969">
        <f t="shared" si="494"/>
        <v>0</v>
      </c>
      <c r="G3969">
        <f t="shared" si="489"/>
        <v>0</v>
      </c>
      <c r="H3969">
        <f t="shared" si="495"/>
        <v>0</v>
      </c>
      <c r="I3969">
        <v>3968</v>
      </c>
      <c r="J3969">
        <f t="shared" si="490"/>
        <v>-0.75510914573900245</v>
      </c>
      <c r="K3969">
        <f t="shared" si="491"/>
        <v>0.65559909855132814</v>
      </c>
      <c r="L3969">
        <f>VLOOKUP(D3969,[1]SOI!$A$1:$C$142,3)</f>
        <v>18.3</v>
      </c>
      <c r="M3969" s="2">
        <f t="shared" si="492"/>
        <v>-2996.2730902923618</v>
      </c>
      <c r="N3969">
        <f t="shared" si="493"/>
        <v>2601.4172230516701</v>
      </c>
      <c r="O3969" t="s">
        <v>15</v>
      </c>
    </row>
    <row r="3970" spans="1:15" x14ac:dyDescent="0.35">
      <c r="A3970">
        <v>2010</v>
      </c>
      <c r="B3970">
        <v>11</v>
      </c>
      <c r="C3970">
        <v>12</v>
      </c>
      <c r="D3970" s="1">
        <f t="shared" si="488"/>
        <v>40494</v>
      </c>
      <c r="E3970">
        <v>0</v>
      </c>
      <c r="F3970">
        <f t="shared" si="494"/>
        <v>0</v>
      </c>
      <c r="G3970">
        <f t="shared" si="489"/>
        <v>0</v>
      </c>
      <c r="H3970">
        <f t="shared" si="495"/>
        <v>0</v>
      </c>
      <c r="I3970">
        <v>3969</v>
      </c>
      <c r="J3970">
        <f t="shared" si="490"/>
        <v>-0.74372008392874156</v>
      </c>
      <c r="K3970">
        <f t="shared" si="491"/>
        <v>0.66849116431036371</v>
      </c>
      <c r="L3970">
        <f>VLOOKUP(D3970,[1]SOI!$A$1:$C$142,3)</f>
        <v>18.3</v>
      </c>
      <c r="M3970" s="2">
        <f t="shared" si="492"/>
        <v>-2951.8250131131754</v>
      </c>
      <c r="N3970">
        <f t="shared" si="493"/>
        <v>2653.2414311478337</v>
      </c>
      <c r="O3970" t="s">
        <v>15</v>
      </c>
    </row>
    <row r="3971" spans="1:15" x14ac:dyDescent="0.35">
      <c r="A3971">
        <v>2010</v>
      </c>
      <c r="B3971">
        <v>11</v>
      </c>
      <c r="C3971">
        <v>13</v>
      </c>
      <c r="D3971" s="1">
        <f t="shared" ref="D3971:D4034" si="496">DATE(A3971,B3971,C3971)</f>
        <v>40495</v>
      </c>
      <c r="E3971">
        <v>20</v>
      </c>
      <c r="F3971">
        <f t="shared" si="494"/>
        <v>0</v>
      </c>
      <c r="G3971">
        <f t="shared" ref="G3971:G4034" si="497">IF(E3971=0,0,1)</f>
        <v>1</v>
      </c>
      <c r="H3971">
        <f t="shared" si="495"/>
        <v>0</v>
      </c>
      <c r="I3971">
        <v>3970</v>
      </c>
      <c r="J3971">
        <f t="shared" ref="J3971:J4034" si="498">SIN(2*PI()*I3971/365.25)</f>
        <v>-0.7321109433803501</v>
      </c>
      <c r="K3971">
        <f t="shared" ref="K3971:K4034" si="499">COS(2*PI()*I3971/365.25)</f>
        <v>0.68118541277888056</v>
      </c>
      <c r="L3971">
        <f>VLOOKUP(D3971,[1]SOI!$A$1:$C$142,3)</f>
        <v>18.3</v>
      </c>
      <c r="M3971" s="2">
        <f t="shared" ref="M3971:M4034" si="500">I3971*J3971</f>
        <v>-2906.4804452199901</v>
      </c>
      <c r="N3971">
        <f t="shared" ref="N3971:N4034" si="501">I3971*K3971</f>
        <v>2704.3060887321558</v>
      </c>
      <c r="O3971" t="s">
        <v>15</v>
      </c>
    </row>
    <row r="3972" spans="1:15" x14ac:dyDescent="0.35">
      <c r="A3972">
        <v>2010</v>
      </c>
      <c r="B3972">
        <v>11</v>
      </c>
      <c r="C3972">
        <v>14</v>
      </c>
      <c r="D3972" s="1">
        <f t="shared" si="496"/>
        <v>40496</v>
      </c>
      <c r="E3972">
        <v>15.6</v>
      </c>
      <c r="F3972">
        <f t="shared" ref="F3972:F4035" si="502">E3971</f>
        <v>20</v>
      </c>
      <c r="G3972">
        <f t="shared" si="497"/>
        <v>1</v>
      </c>
      <c r="H3972">
        <f t="shared" ref="H3972:H4035" si="503">G3971</f>
        <v>1</v>
      </c>
      <c r="I3972">
        <v>3971</v>
      </c>
      <c r="J3972">
        <f t="shared" si="498"/>
        <v>-0.72028515942527016</v>
      </c>
      <c r="K3972">
        <f t="shared" si="499"/>
        <v>0.69367808752454707</v>
      </c>
      <c r="L3972">
        <f>VLOOKUP(D3972,[1]SOI!$A$1:$C$142,3)</f>
        <v>18.3</v>
      </c>
      <c r="M3972" s="2">
        <f t="shared" si="500"/>
        <v>-2860.2523680777476</v>
      </c>
      <c r="N3972">
        <f t="shared" si="501"/>
        <v>2754.5956855599766</v>
      </c>
      <c r="O3972" t="s">
        <v>15</v>
      </c>
    </row>
    <row r="3973" spans="1:15" x14ac:dyDescent="0.35">
      <c r="A3973">
        <v>2010</v>
      </c>
      <c r="B3973">
        <v>11</v>
      </c>
      <c r="C3973">
        <v>15</v>
      </c>
      <c r="D3973" s="1">
        <f t="shared" si="496"/>
        <v>40497</v>
      </c>
      <c r="E3973">
        <v>1.2</v>
      </c>
      <c r="F3973">
        <f t="shared" si="502"/>
        <v>15.6</v>
      </c>
      <c r="G3973">
        <f t="shared" si="497"/>
        <v>1</v>
      </c>
      <c r="H3973">
        <f t="shared" si="503"/>
        <v>1</v>
      </c>
      <c r="I3973">
        <v>3972</v>
      </c>
      <c r="J3973">
        <f t="shared" si="498"/>
        <v>-0.70824623150325217</v>
      </c>
      <c r="K3973">
        <f t="shared" si="499"/>
        <v>0.70596549176389756</v>
      </c>
      <c r="L3973">
        <f>VLOOKUP(D3973,[1]SOI!$A$1:$C$142,3)</f>
        <v>18.3</v>
      </c>
      <c r="M3973" s="2">
        <f t="shared" si="500"/>
        <v>-2813.1540315309176</v>
      </c>
      <c r="N3973">
        <f t="shared" si="501"/>
        <v>2804.094933286201</v>
      </c>
      <c r="O3973" t="s">
        <v>15</v>
      </c>
    </row>
    <row r="3974" spans="1:15" x14ac:dyDescent="0.35">
      <c r="A3974">
        <v>2010</v>
      </c>
      <c r="B3974">
        <v>11</v>
      </c>
      <c r="C3974">
        <v>16</v>
      </c>
      <c r="D3974" s="1">
        <f t="shared" si="496"/>
        <v>40498</v>
      </c>
      <c r="E3974">
        <v>0.2</v>
      </c>
      <c r="F3974">
        <f t="shared" si="502"/>
        <v>1.2</v>
      </c>
      <c r="G3974">
        <f t="shared" si="497"/>
        <v>1</v>
      </c>
      <c r="H3974">
        <f t="shared" si="503"/>
        <v>1</v>
      </c>
      <c r="I3974">
        <v>3973</v>
      </c>
      <c r="J3974">
        <f t="shared" si="498"/>
        <v>-0.69599772212674638</v>
      </c>
      <c r="K3974">
        <f t="shared" si="499"/>
        <v>0.71804398945634262</v>
      </c>
      <c r="L3974">
        <f>VLOOKUP(D3974,[1]SOI!$A$1:$C$142,3)</f>
        <v>18.3</v>
      </c>
      <c r="M3974" s="2">
        <f t="shared" si="500"/>
        <v>-2765.1989500095633</v>
      </c>
      <c r="N3974">
        <f t="shared" si="501"/>
        <v>2852.7887701100494</v>
      </c>
      <c r="O3974" t="s">
        <v>15</v>
      </c>
    </row>
    <row r="3975" spans="1:15" x14ac:dyDescent="0.35">
      <c r="A3975">
        <v>2010</v>
      </c>
      <c r="B3975">
        <v>11</v>
      </c>
      <c r="C3975">
        <v>17</v>
      </c>
      <c r="D3975" s="1">
        <f t="shared" si="496"/>
        <v>40499</v>
      </c>
      <c r="E3975">
        <v>0</v>
      </c>
      <c r="F3975">
        <f t="shared" si="502"/>
        <v>0.2</v>
      </c>
      <c r="G3975">
        <f t="shared" si="497"/>
        <v>0</v>
      </c>
      <c r="H3975">
        <f t="shared" si="503"/>
        <v>1</v>
      </c>
      <c r="I3975">
        <v>3974</v>
      </c>
      <c r="J3975">
        <f t="shared" si="498"/>
        <v>-0.68354325582672648</v>
      </c>
      <c r="K3975">
        <f t="shared" si="499"/>
        <v>0.72991000638010051</v>
      </c>
      <c r="L3975">
        <f>VLOOKUP(D3975,[1]SOI!$A$1:$C$142,3)</f>
        <v>18.3</v>
      </c>
      <c r="M3975" s="2">
        <f t="shared" si="500"/>
        <v>-2716.4008986554109</v>
      </c>
      <c r="N3975">
        <f t="shared" si="501"/>
        <v>2900.6623653545194</v>
      </c>
      <c r="O3975" t="s">
        <v>15</v>
      </c>
    </row>
    <row r="3976" spans="1:15" x14ac:dyDescent="0.35">
      <c r="A3976">
        <v>2010</v>
      </c>
      <c r="B3976">
        <v>11</v>
      </c>
      <c r="C3976">
        <v>18</v>
      </c>
      <c r="D3976" s="1">
        <f t="shared" si="496"/>
        <v>40500</v>
      </c>
      <c r="E3976">
        <v>0</v>
      </c>
      <c r="F3976">
        <f t="shared" si="502"/>
        <v>0</v>
      </c>
      <c r="G3976">
        <f t="shared" si="497"/>
        <v>0</v>
      </c>
      <c r="H3976">
        <f t="shared" si="503"/>
        <v>0</v>
      </c>
      <c r="I3976">
        <v>3975</v>
      </c>
      <c r="J3976">
        <f t="shared" si="498"/>
        <v>-0.67088651808016431</v>
      </c>
      <c r="K3976">
        <f t="shared" si="499"/>
        <v>0.74156003118983793</v>
      </c>
      <c r="L3976">
        <f>VLOOKUP(D3976,[1]SOI!$A$1:$C$142,3)</f>
        <v>18.3</v>
      </c>
      <c r="M3976" s="2">
        <f t="shared" si="500"/>
        <v>-2666.7739093686532</v>
      </c>
      <c r="N3976">
        <f t="shared" si="501"/>
        <v>2947.7011239796057</v>
      </c>
      <c r="O3976" t="s">
        <v>15</v>
      </c>
    </row>
    <row r="3977" spans="1:15" x14ac:dyDescent="0.35">
      <c r="A3977">
        <v>2010</v>
      </c>
      <c r="B3977">
        <v>11</v>
      </c>
      <c r="C3977">
        <v>19</v>
      </c>
      <c r="D3977" s="1">
        <f t="shared" si="496"/>
        <v>40501</v>
      </c>
      <c r="E3977">
        <v>2.6</v>
      </c>
      <c r="F3977">
        <f t="shared" si="502"/>
        <v>0</v>
      </c>
      <c r="G3977">
        <f t="shared" si="497"/>
        <v>1</v>
      </c>
      <c r="H3977">
        <f t="shared" si="503"/>
        <v>0</v>
      </c>
      <c r="I3977">
        <v>3976</v>
      </c>
      <c r="J3977">
        <f t="shared" si="498"/>
        <v>-0.65803125421936537</v>
      </c>
      <c r="K3977">
        <f t="shared" si="499"/>
        <v>0.75299061645580212</v>
      </c>
      <c r="L3977">
        <f>VLOOKUP(D3977,[1]SOI!$A$1:$C$142,3)</f>
        <v>18.3</v>
      </c>
      <c r="M3977" s="2">
        <f t="shared" si="500"/>
        <v>-2616.3322667761968</v>
      </c>
      <c r="N3977">
        <f t="shared" si="501"/>
        <v>2993.8906910282694</v>
      </c>
      <c r="O3977" t="s">
        <v>15</v>
      </c>
    </row>
    <row r="3978" spans="1:15" x14ac:dyDescent="0.35">
      <c r="A3978">
        <v>2010</v>
      </c>
      <c r="B3978">
        <v>11</v>
      </c>
      <c r="C3978">
        <v>20</v>
      </c>
      <c r="D3978" s="1">
        <f t="shared" si="496"/>
        <v>40502</v>
      </c>
      <c r="E3978">
        <v>0</v>
      </c>
      <c r="F3978">
        <f t="shared" si="502"/>
        <v>2.6</v>
      </c>
      <c r="G3978">
        <f t="shared" si="497"/>
        <v>0</v>
      </c>
      <c r="H3978">
        <f t="shared" si="503"/>
        <v>1</v>
      </c>
      <c r="I3978">
        <v>3977</v>
      </c>
      <c r="J3978">
        <f t="shared" si="498"/>
        <v>-0.6449812683237488</v>
      </c>
      <c r="K3978">
        <f t="shared" si="499"/>
        <v>0.76419837968389359</v>
      </c>
      <c r="L3978">
        <f>VLOOKUP(D3978,[1]SOI!$A$1:$C$142,3)</f>
        <v>18.3</v>
      </c>
      <c r="M3978" s="2">
        <f t="shared" si="500"/>
        <v>-2565.0905041235492</v>
      </c>
      <c r="N3978">
        <f t="shared" si="501"/>
        <v>3039.2169560028447</v>
      </c>
      <c r="O3978" t="s">
        <v>15</v>
      </c>
    </row>
    <row r="3979" spans="1:15" x14ac:dyDescent="0.35">
      <c r="A3979">
        <v>2010</v>
      </c>
      <c r="B3979">
        <v>11</v>
      </c>
      <c r="C3979">
        <v>21</v>
      </c>
      <c r="D3979" s="1">
        <f t="shared" si="496"/>
        <v>40503</v>
      </c>
      <c r="E3979">
        <v>0.2</v>
      </c>
      <c r="F3979">
        <f t="shared" si="502"/>
        <v>0</v>
      </c>
      <c r="G3979">
        <f t="shared" si="497"/>
        <v>1</v>
      </c>
      <c r="H3979">
        <f t="shared" si="503"/>
        <v>0</v>
      </c>
      <c r="I3979">
        <v>3978</v>
      </c>
      <c r="J3979">
        <f t="shared" si="498"/>
        <v>-0.63174042209408454</v>
      </c>
      <c r="K3979">
        <f t="shared" si="499"/>
        <v>0.775180004316667</v>
      </c>
      <c r="L3979">
        <f>VLOOKUP(D3979,[1]SOI!$A$1:$C$142,3)</f>
        <v>18.3</v>
      </c>
      <c r="M3979" s="2">
        <f t="shared" si="500"/>
        <v>-2513.0633990902684</v>
      </c>
      <c r="N3979">
        <f t="shared" si="501"/>
        <v>3083.6660571717011</v>
      </c>
      <c r="O3979" t="s">
        <v>15</v>
      </c>
    </row>
    <row r="3980" spans="1:15" x14ac:dyDescent="0.35">
      <c r="A3980">
        <v>2010</v>
      </c>
      <c r="B3980">
        <v>11</v>
      </c>
      <c r="C3980">
        <v>22</v>
      </c>
      <c r="D3980" s="1">
        <f t="shared" si="496"/>
        <v>40504</v>
      </c>
      <c r="E3980">
        <v>0.2</v>
      </c>
      <c r="F3980">
        <f t="shared" si="502"/>
        <v>0.2</v>
      </c>
      <c r="G3980">
        <f t="shared" si="497"/>
        <v>1</v>
      </c>
      <c r="H3980">
        <f t="shared" si="503"/>
        <v>1</v>
      </c>
      <c r="I3980">
        <v>3979</v>
      </c>
      <c r="J3980">
        <f t="shared" si="498"/>
        <v>-0.61831263370978551</v>
      </c>
      <c r="K3980">
        <f t="shared" si="499"/>
        <v>0.78593224071472512</v>
      </c>
      <c r="L3980">
        <f>VLOOKUP(D3980,[1]SOI!$A$1:$C$142,3)</f>
        <v>18.3</v>
      </c>
      <c r="M3980" s="2">
        <f t="shared" si="500"/>
        <v>-2460.2659695312364</v>
      </c>
      <c r="N3980">
        <f t="shared" si="501"/>
        <v>3127.2243858038914</v>
      </c>
      <c r="O3980" t="s">
        <v>15</v>
      </c>
    </row>
    <row r="3981" spans="1:15" x14ac:dyDescent="0.35">
      <c r="A3981">
        <v>2010</v>
      </c>
      <c r="B3981">
        <v>11</v>
      </c>
      <c r="C3981">
        <v>23</v>
      </c>
      <c r="D3981" s="1">
        <f t="shared" si="496"/>
        <v>40505</v>
      </c>
      <c r="E3981">
        <v>0</v>
      </c>
      <c r="F3981">
        <f t="shared" si="502"/>
        <v>0.2</v>
      </c>
      <c r="G3981">
        <f t="shared" si="497"/>
        <v>0</v>
      </c>
      <c r="H3981">
        <f t="shared" si="503"/>
        <v>1</v>
      </c>
      <c r="I3981">
        <v>3980</v>
      </c>
      <c r="J3981">
        <f t="shared" si="498"/>
        <v>-0.60470187666948927</v>
      </c>
      <c r="K3981">
        <f t="shared" si="499"/>
        <v>0.79645190711831293</v>
      </c>
      <c r="L3981">
        <f>VLOOKUP(D3981,[1]SOI!$A$1:$C$142,3)</f>
        <v>18.3</v>
      </c>
      <c r="M3981" s="2">
        <f t="shared" si="500"/>
        <v>-2406.7134691445672</v>
      </c>
      <c r="N3981">
        <f t="shared" si="501"/>
        <v>3169.8785903308853</v>
      </c>
      <c r="O3981" t="s">
        <v>15</v>
      </c>
    </row>
    <row r="3982" spans="1:15" x14ac:dyDescent="0.35">
      <c r="A3982">
        <v>2010</v>
      </c>
      <c r="B3982">
        <v>11</v>
      </c>
      <c r="C3982">
        <v>24</v>
      </c>
      <c r="D3982" s="1">
        <f t="shared" si="496"/>
        <v>40506</v>
      </c>
      <c r="E3982">
        <v>0</v>
      </c>
      <c r="F3982">
        <f t="shared" si="502"/>
        <v>0</v>
      </c>
      <c r="G3982">
        <f t="shared" si="497"/>
        <v>0</v>
      </c>
      <c r="H3982">
        <f t="shared" si="503"/>
        <v>0</v>
      </c>
      <c r="I3982">
        <v>3981</v>
      </c>
      <c r="J3982">
        <f t="shared" si="498"/>
        <v>-0.59091217861515744</v>
      </c>
      <c r="K3982">
        <f t="shared" si="499"/>
        <v>0.80673589058891404</v>
      </c>
      <c r="L3982">
        <f>VLOOKUP(D3982,[1]SOI!$A$1:$C$142,3)</f>
        <v>18.3</v>
      </c>
      <c r="M3982" s="2">
        <f t="shared" si="500"/>
        <v>-2352.4213830669419</v>
      </c>
      <c r="N3982">
        <f t="shared" si="501"/>
        <v>3211.6155804344667</v>
      </c>
      <c r="O3982" t="s">
        <v>15</v>
      </c>
    </row>
    <row r="3983" spans="1:15" x14ac:dyDescent="0.35">
      <c r="A3983">
        <v>2010</v>
      </c>
      <c r="B3983">
        <v>11</v>
      </c>
      <c r="C3983">
        <v>25</v>
      </c>
      <c r="D3983" s="1">
        <f t="shared" si="496"/>
        <v>40507</v>
      </c>
      <c r="E3983">
        <v>23</v>
      </c>
      <c r="F3983">
        <f t="shared" si="502"/>
        <v>0</v>
      </c>
      <c r="G3983">
        <f t="shared" si="497"/>
        <v>1</v>
      </c>
      <c r="H3983">
        <f t="shared" si="503"/>
        <v>0</v>
      </c>
      <c r="I3983">
        <v>3982</v>
      </c>
      <c r="J3983">
        <f t="shared" si="498"/>
        <v>-0.57694762014031042</v>
      </c>
      <c r="K3983">
        <f t="shared" si="499"/>
        <v>0.81678114793035728</v>
      </c>
      <c r="L3983">
        <f>VLOOKUP(D3983,[1]SOI!$A$1:$C$142,3)</f>
        <v>18.3</v>
      </c>
      <c r="M3983" s="2">
        <f t="shared" si="500"/>
        <v>-2297.4054233987163</v>
      </c>
      <c r="N3983">
        <f t="shared" si="501"/>
        <v>3252.4225310586826</v>
      </c>
      <c r="O3983" t="s">
        <v>15</v>
      </c>
    </row>
    <row r="3984" spans="1:15" x14ac:dyDescent="0.35">
      <c r="A3984">
        <v>2010</v>
      </c>
      <c r="B3984">
        <v>11</v>
      </c>
      <c r="C3984">
        <v>26</v>
      </c>
      <c r="D3984" s="1">
        <f t="shared" si="496"/>
        <v>40508</v>
      </c>
      <c r="E3984">
        <v>1.8</v>
      </c>
      <c r="F3984">
        <f t="shared" si="502"/>
        <v>23</v>
      </c>
      <c r="G3984">
        <f t="shared" si="497"/>
        <v>1</v>
      </c>
      <c r="H3984">
        <f t="shared" si="503"/>
        <v>1</v>
      </c>
      <c r="I3984">
        <v>3983</v>
      </c>
      <c r="J3984">
        <f t="shared" si="498"/>
        <v>-0.56281233358248073</v>
      </c>
      <c r="K3984">
        <f t="shared" si="499"/>
        <v>0.82658470658937455</v>
      </c>
      <c r="L3984">
        <f>VLOOKUP(D3984,[1]SOI!$A$1:$C$142,3)</f>
        <v>18.3</v>
      </c>
      <c r="M3984" s="2">
        <f t="shared" si="500"/>
        <v>-2241.6815246590209</v>
      </c>
      <c r="N3984">
        <f t="shared" si="501"/>
        <v>3292.2868863454787</v>
      </c>
      <c r="O3984" t="s">
        <v>15</v>
      </c>
    </row>
    <row r="3985" spans="1:15" x14ac:dyDescent="0.35">
      <c r="A3985">
        <v>2010</v>
      </c>
      <c r="B3985">
        <v>11</v>
      </c>
      <c r="C3985">
        <v>27</v>
      </c>
      <c r="D3985" s="1">
        <f t="shared" si="496"/>
        <v>40509</v>
      </c>
      <c r="E3985">
        <v>14.2</v>
      </c>
      <c r="F3985">
        <f t="shared" si="502"/>
        <v>1.8</v>
      </c>
      <c r="G3985">
        <f t="shared" si="497"/>
        <v>1</v>
      </c>
      <c r="H3985">
        <f t="shared" si="503"/>
        <v>1</v>
      </c>
      <c r="I3985">
        <v>3984</v>
      </c>
      <c r="J3985">
        <f t="shared" si="498"/>
        <v>-0.54851050180036454</v>
      </c>
      <c r="K3985">
        <f t="shared" si="499"/>
        <v>0.836143665535243</v>
      </c>
      <c r="L3985">
        <f>VLOOKUP(D3985,[1]SOI!$A$1:$C$142,3)</f>
        <v>18.3</v>
      </c>
      <c r="M3985" s="2">
        <f t="shared" si="500"/>
        <v>-2185.2658391726522</v>
      </c>
      <c r="N3985">
        <f t="shared" si="501"/>
        <v>3331.1963634924082</v>
      </c>
      <c r="O3985" t="s">
        <v>15</v>
      </c>
    </row>
    <row r="3986" spans="1:15" x14ac:dyDescent="0.35">
      <c r="A3986">
        <v>2010</v>
      </c>
      <c r="B3986">
        <v>11</v>
      </c>
      <c r="C3986">
        <v>28</v>
      </c>
      <c r="D3986" s="1">
        <f t="shared" si="496"/>
        <v>40510</v>
      </c>
      <c r="E3986">
        <v>21.4</v>
      </c>
      <c r="F3986">
        <f t="shared" si="502"/>
        <v>14.2</v>
      </c>
      <c r="G3986">
        <f t="shared" si="497"/>
        <v>1</v>
      </c>
      <c r="H3986">
        <f t="shared" si="503"/>
        <v>1</v>
      </c>
      <c r="I3986">
        <v>3985</v>
      </c>
      <c r="J3986">
        <f t="shared" si="498"/>
        <v>-0.53404635693608016</v>
      </c>
      <c r="K3986">
        <f t="shared" si="499"/>
        <v>0.84545519611822173</v>
      </c>
      <c r="L3986">
        <f>VLOOKUP(D3986,[1]SOI!$A$1:$C$142,3)</f>
        <v>18.3</v>
      </c>
      <c r="M3986" s="2">
        <f t="shared" si="500"/>
        <v>-2128.1747323902796</v>
      </c>
      <c r="N3986">
        <f t="shared" si="501"/>
        <v>3369.1389565311138</v>
      </c>
      <c r="O3986" t="s">
        <v>15</v>
      </c>
    </row>
    <row r="3987" spans="1:15" x14ac:dyDescent="0.35">
      <c r="A3987">
        <v>2010</v>
      </c>
      <c r="B3987">
        <v>11</v>
      </c>
      <c r="C3987">
        <v>29</v>
      </c>
      <c r="D3987" s="1">
        <f t="shared" si="496"/>
        <v>40511</v>
      </c>
      <c r="E3987">
        <v>0.6</v>
      </c>
      <c r="F3987">
        <f t="shared" si="502"/>
        <v>21.4</v>
      </c>
      <c r="G3987">
        <f t="shared" si="497"/>
        <v>1</v>
      </c>
      <c r="H3987">
        <f t="shared" si="503"/>
        <v>1</v>
      </c>
      <c r="I3987">
        <v>3986</v>
      </c>
      <c r="J3987">
        <f t="shared" si="498"/>
        <v>-0.51942417916278671</v>
      </c>
      <c r="K3987">
        <f t="shared" si="499"/>
        <v>0.85451654290661061</v>
      </c>
      <c r="L3987">
        <f>VLOOKUP(D3987,[1]SOI!$A$1:$C$142,3)</f>
        <v>18.3</v>
      </c>
      <c r="M3987" s="2">
        <f t="shared" si="500"/>
        <v>-2070.424778142868</v>
      </c>
      <c r="N3987">
        <f t="shared" si="501"/>
        <v>3406.1029400257498</v>
      </c>
      <c r="O3987" t="s">
        <v>15</v>
      </c>
    </row>
    <row r="3988" spans="1:15" x14ac:dyDescent="0.35">
      <c r="A3988">
        <v>2010</v>
      </c>
      <c r="B3988">
        <v>11</v>
      </c>
      <c r="C3988">
        <v>30</v>
      </c>
      <c r="D3988" s="1">
        <f t="shared" si="496"/>
        <v>40512</v>
      </c>
      <c r="E3988">
        <v>0.4</v>
      </c>
      <c r="F3988">
        <f t="shared" si="502"/>
        <v>0.6</v>
      </c>
      <c r="G3988">
        <f t="shared" si="497"/>
        <v>1</v>
      </c>
      <c r="H3988">
        <f t="shared" si="503"/>
        <v>1</v>
      </c>
      <c r="I3988">
        <v>3987</v>
      </c>
      <c r="J3988">
        <f t="shared" si="498"/>
        <v>-0.50464829541814749</v>
      </c>
      <c r="K3988">
        <f t="shared" si="499"/>
        <v>0.8633250245021038</v>
      </c>
      <c r="L3988">
        <f>VLOOKUP(D3988,[1]SOI!$A$1:$C$142,3)</f>
        <v>18.3</v>
      </c>
      <c r="M3988" s="2">
        <f t="shared" si="500"/>
        <v>-2012.032753832154</v>
      </c>
      <c r="N3988">
        <f t="shared" si="501"/>
        <v>3442.0768726898878</v>
      </c>
      <c r="O3988" t="s">
        <v>15</v>
      </c>
    </row>
    <row r="3989" spans="1:15" x14ac:dyDescent="0.35">
      <c r="A3989">
        <v>2010</v>
      </c>
      <c r="B3989">
        <v>12</v>
      </c>
      <c r="C3989">
        <v>1</v>
      </c>
      <c r="D3989" s="1">
        <f t="shared" si="496"/>
        <v>40513</v>
      </c>
      <c r="E3989">
        <v>0.2</v>
      </c>
      <c r="F3989">
        <f t="shared" si="502"/>
        <v>0.4</v>
      </c>
      <c r="G3989">
        <f t="shared" si="497"/>
        <v>1</v>
      </c>
      <c r="H3989">
        <f t="shared" si="503"/>
        <v>1</v>
      </c>
      <c r="I3989">
        <v>3988</v>
      </c>
      <c r="J3989">
        <f t="shared" si="498"/>
        <v>-0.48972307812389582</v>
      </c>
      <c r="K3989">
        <f t="shared" si="499"/>
        <v>0.87187803433327571</v>
      </c>
      <c r="L3989">
        <f>VLOOKUP(D3989,[1]SOI!$A$1:$C$142,3)</f>
        <v>16.399999999999999</v>
      </c>
      <c r="M3989" s="2">
        <f t="shared" si="500"/>
        <v>-1953.0156355580966</v>
      </c>
      <c r="N3989">
        <f t="shared" si="501"/>
        <v>3477.0496009211033</v>
      </c>
      <c r="O3989" t="s">
        <v>15</v>
      </c>
    </row>
    <row r="3990" spans="1:15" x14ac:dyDescent="0.35">
      <c r="A3990">
        <v>2010</v>
      </c>
      <c r="B3990">
        <v>12</v>
      </c>
      <c r="C3990">
        <v>2</v>
      </c>
      <c r="D3990" s="1">
        <f t="shared" si="496"/>
        <v>40514</v>
      </c>
      <c r="E3990">
        <v>5</v>
      </c>
      <c r="F3990">
        <f t="shared" si="502"/>
        <v>0.2</v>
      </c>
      <c r="G3990">
        <f t="shared" si="497"/>
        <v>1</v>
      </c>
      <c r="H3990">
        <f t="shared" si="503"/>
        <v>1</v>
      </c>
      <c r="I3990">
        <v>3989</v>
      </c>
      <c r="J3990">
        <f t="shared" si="498"/>
        <v>-0.47465294389194068</v>
      </c>
      <c r="K3990">
        <f t="shared" si="499"/>
        <v>0.88017304142691977</v>
      </c>
      <c r="L3990">
        <f>VLOOKUP(D3990,[1]SOI!$A$1:$C$142,3)</f>
        <v>16.399999999999999</v>
      </c>
      <c r="M3990" s="2">
        <f t="shared" si="500"/>
        <v>-1893.3905931849513</v>
      </c>
      <c r="N3990">
        <f t="shared" si="501"/>
        <v>3511.010262251983</v>
      </c>
      <c r="O3990" t="s">
        <v>15</v>
      </c>
    </row>
    <row r="3991" spans="1:15" x14ac:dyDescent="0.35">
      <c r="A3991">
        <v>2010</v>
      </c>
      <c r="B3991">
        <v>12</v>
      </c>
      <c r="C3991">
        <v>3</v>
      </c>
      <c r="D3991" s="1">
        <f t="shared" si="496"/>
        <v>40515</v>
      </c>
      <c r="E3991">
        <v>7.8</v>
      </c>
      <c r="F3991">
        <f t="shared" si="502"/>
        <v>5</v>
      </c>
      <c r="G3991">
        <f t="shared" si="497"/>
        <v>1</v>
      </c>
      <c r="H3991">
        <f t="shared" si="503"/>
        <v>1</v>
      </c>
      <c r="I3991">
        <v>3990</v>
      </c>
      <c r="J3991">
        <f t="shared" si="498"/>
        <v>-0.4594423522174565</v>
      </c>
      <c r="K3991">
        <f t="shared" si="499"/>
        <v>0.88820759115698322</v>
      </c>
      <c r="L3991">
        <f>VLOOKUP(D3991,[1]SOI!$A$1:$C$142,3)</f>
        <v>16.399999999999999</v>
      </c>
      <c r="M3991" s="2">
        <f t="shared" si="500"/>
        <v>-1833.1749853476515</v>
      </c>
      <c r="N3991">
        <f t="shared" si="501"/>
        <v>3543.9482887163631</v>
      </c>
      <c r="O3991" t="s">
        <v>15</v>
      </c>
    </row>
    <row r="3992" spans="1:15" x14ac:dyDescent="0.35">
      <c r="A3992">
        <v>2010</v>
      </c>
      <c r="B3992">
        <v>12</v>
      </c>
      <c r="C3992">
        <v>4</v>
      </c>
      <c r="D3992" s="1">
        <f t="shared" si="496"/>
        <v>40516</v>
      </c>
      <c r="E3992">
        <v>0.2</v>
      </c>
      <c r="F3992">
        <f t="shared" si="502"/>
        <v>7.8</v>
      </c>
      <c r="G3992">
        <f t="shared" si="497"/>
        <v>1</v>
      </c>
      <c r="H3992">
        <f t="shared" si="503"/>
        <v>1</v>
      </c>
      <c r="I3992">
        <v>3991</v>
      </c>
      <c r="J3992">
        <f t="shared" si="498"/>
        <v>-0.44409580415922184</v>
      </c>
      <c r="K3992">
        <f t="shared" si="499"/>
        <v>0.89597930597094377</v>
      </c>
      <c r="L3992">
        <f>VLOOKUP(D3992,[1]SOI!$A$1:$C$142,3)</f>
        <v>16.399999999999999</v>
      </c>
      <c r="M3992" s="2">
        <f t="shared" si="500"/>
        <v>-1772.3863543994544</v>
      </c>
      <c r="N3992">
        <f t="shared" si="501"/>
        <v>3575.8534101300365</v>
      </c>
      <c r="O3992" t="s">
        <v>15</v>
      </c>
    </row>
    <row r="3993" spans="1:15" x14ac:dyDescent="0.35">
      <c r="A3993">
        <v>2010</v>
      </c>
      <c r="B3993">
        <v>12</v>
      </c>
      <c r="C3993">
        <v>5</v>
      </c>
      <c r="D3993" s="1">
        <f t="shared" si="496"/>
        <v>40517</v>
      </c>
      <c r="E3993">
        <v>0</v>
      </c>
      <c r="F3993">
        <f t="shared" si="502"/>
        <v>0.2</v>
      </c>
      <c r="G3993">
        <f t="shared" si="497"/>
        <v>0</v>
      </c>
      <c r="H3993">
        <f t="shared" si="503"/>
        <v>1</v>
      </c>
      <c r="I3993">
        <v>3992</v>
      </c>
      <c r="J3993">
        <f t="shared" si="498"/>
        <v>-0.42861784100772188</v>
      </c>
      <c r="K3993">
        <f t="shared" si="499"/>
        <v>0.90348588609334635</v>
      </c>
      <c r="L3993">
        <f>VLOOKUP(D3993,[1]SOI!$A$1:$C$142,3)</f>
        <v>16.399999999999999</v>
      </c>
      <c r="M3993" s="2">
        <f t="shared" si="500"/>
        <v>-1711.0424213028257</v>
      </c>
      <c r="N3993">
        <f t="shared" si="501"/>
        <v>3606.7156572846388</v>
      </c>
      <c r="O3993" t="s">
        <v>15</v>
      </c>
    </row>
    <row r="3994" spans="1:15" x14ac:dyDescent="0.35">
      <c r="A3994">
        <v>2010</v>
      </c>
      <c r="B3994">
        <v>12</v>
      </c>
      <c r="C3994">
        <v>6</v>
      </c>
      <c r="D3994" s="1">
        <f t="shared" si="496"/>
        <v>40518</v>
      </c>
      <c r="E3994">
        <v>0</v>
      </c>
      <c r="F3994">
        <f t="shared" si="502"/>
        <v>0</v>
      </c>
      <c r="G3994">
        <f t="shared" si="497"/>
        <v>0</v>
      </c>
      <c r="H3994">
        <f t="shared" si="503"/>
        <v>0</v>
      </c>
      <c r="I3994">
        <v>3993</v>
      </c>
      <c r="J3994">
        <f t="shared" si="498"/>
        <v>-0.4130130429412826</v>
      </c>
      <c r="K3994">
        <f t="shared" si="499"/>
        <v>0.9107251102063576</v>
      </c>
      <c r="L3994">
        <f>VLOOKUP(D3994,[1]SOI!$A$1:$C$142,3)</f>
        <v>16.399999999999999</v>
      </c>
      <c r="M3994" s="2">
        <f t="shared" si="500"/>
        <v>-1649.1610804645413</v>
      </c>
      <c r="N3994">
        <f t="shared" si="501"/>
        <v>3636.5253650539858</v>
      </c>
      <c r="O3994" t="s">
        <v>15</v>
      </c>
    </row>
    <row r="3995" spans="1:15" x14ac:dyDescent="0.35">
      <c r="A3995">
        <v>2010</v>
      </c>
      <c r="B3995">
        <v>12</v>
      </c>
      <c r="C3995">
        <v>7</v>
      </c>
      <c r="D3995" s="1">
        <f t="shared" si="496"/>
        <v>40519</v>
      </c>
      <c r="E3995">
        <v>2.4</v>
      </c>
      <c r="F3995">
        <f t="shared" si="502"/>
        <v>0</v>
      </c>
      <c r="G3995">
        <f t="shared" si="497"/>
        <v>1</v>
      </c>
      <c r="H3995">
        <f t="shared" si="503"/>
        <v>0</v>
      </c>
      <c r="I3995">
        <v>3994</v>
      </c>
      <c r="J3995">
        <f t="shared" si="498"/>
        <v>-0.39728602767068311</v>
      </c>
      <c r="K3995">
        <f t="shared" si="499"/>
        <v>0.91769483610710656</v>
      </c>
      <c r="L3995">
        <f>VLOOKUP(D3995,[1]SOI!$A$1:$C$142,3)</f>
        <v>16.399999999999999</v>
      </c>
      <c r="M3995" s="2">
        <f t="shared" si="500"/>
        <v>-1586.7603945167084</v>
      </c>
      <c r="N3995">
        <f t="shared" si="501"/>
        <v>3665.2731754117835</v>
      </c>
      <c r="O3995" t="s">
        <v>15</v>
      </c>
    </row>
    <row r="3996" spans="1:15" x14ac:dyDescent="0.35">
      <c r="A3996">
        <v>2010</v>
      </c>
      <c r="B3996">
        <v>12</v>
      </c>
      <c r="C3996">
        <v>8</v>
      </c>
      <c r="D3996" s="1">
        <f t="shared" si="496"/>
        <v>40520</v>
      </c>
      <c r="E3996">
        <v>2.8</v>
      </c>
      <c r="F3996">
        <f t="shared" si="502"/>
        <v>2.4</v>
      </c>
      <c r="G3996">
        <f t="shared" si="497"/>
        <v>1</v>
      </c>
      <c r="H3996">
        <f t="shared" si="503"/>
        <v>1</v>
      </c>
      <c r="I3996">
        <v>3995</v>
      </c>
      <c r="J3996">
        <f t="shared" si="498"/>
        <v>-0.38144144907280447</v>
      </c>
      <c r="K3996">
        <f t="shared" si="499"/>
        <v>0.92439300134155011</v>
      </c>
      <c r="L3996">
        <f>VLOOKUP(D3996,[1]SOI!$A$1:$C$142,3)</f>
        <v>16.399999999999999</v>
      </c>
      <c r="M3996" s="2">
        <f t="shared" si="500"/>
        <v>-1523.8585890458539</v>
      </c>
      <c r="N3996">
        <f t="shared" si="501"/>
        <v>3692.9500403594925</v>
      </c>
      <c r="O3996" t="s">
        <v>15</v>
      </c>
    </row>
    <row r="3997" spans="1:15" x14ac:dyDescent="0.35">
      <c r="A3997">
        <v>2010</v>
      </c>
      <c r="B3997">
        <v>12</v>
      </c>
      <c r="C3997">
        <v>9</v>
      </c>
      <c r="D3997" s="1">
        <f t="shared" si="496"/>
        <v>40521</v>
      </c>
      <c r="E3997">
        <v>28.8</v>
      </c>
      <c r="F3997">
        <f t="shared" si="502"/>
        <v>2.8</v>
      </c>
      <c r="G3997">
        <f t="shared" si="497"/>
        <v>1</v>
      </c>
      <c r="H3997">
        <f t="shared" si="503"/>
        <v>1</v>
      </c>
      <c r="I3997">
        <v>3996</v>
      </c>
      <c r="J3997">
        <f t="shared" si="498"/>
        <v>-0.3654839958133162</v>
      </c>
      <c r="K3997">
        <f t="shared" si="499"/>
        <v>0.93081762381485444</v>
      </c>
      <c r="L3997">
        <f>VLOOKUP(D3997,[1]SOI!$A$1:$C$142,3)</f>
        <v>16.399999999999999</v>
      </c>
      <c r="M3997" s="2">
        <f t="shared" si="500"/>
        <v>-1460.4740472700116</v>
      </c>
      <c r="N3997">
        <f t="shared" si="501"/>
        <v>3719.5472247641583</v>
      </c>
      <c r="O3997" t="s">
        <v>15</v>
      </c>
    </row>
    <row r="3998" spans="1:15" x14ac:dyDescent="0.35">
      <c r="A3998">
        <v>2010</v>
      </c>
      <c r="B3998">
        <v>12</v>
      </c>
      <c r="C3998">
        <v>10</v>
      </c>
      <c r="D3998" s="1">
        <f t="shared" si="496"/>
        <v>40522</v>
      </c>
      <c r="E3998">
        <v>2.4</v>
      </c>
      <c r="F3998">
        <f t="shared" si="502"/>
        <v>28.8</v>
      </c>
      <c r="G3998">
        <f t="shared" si="497"/>
        <v>1</v>
      </c>
      <c r="H3998">
        <f t="shared" si="503"/>
        <v>1</v>
      </c>
      <c r="I3998">
        <v>3997</v>
      </c>
      <c r="J3998">
        <f t="shared" si="498"/>
        <v>-0.34941838995939462</v>
      </c>
      <c r="K3998">
        <f t="shared" si="499"/>
        <v>0.93696680237785612</v>
      </c>
      <c r="L3998">
        <f>VLOOKUP(D3998,[1]SOI!$A$1:$C$142,3)</f>
        <v>16.399999999999999</v>
      </c>
      <c r="M3998" s="2">
        <f t="shared" si="500"/>
        <v>-1396.6253046677002</v>
      </c>
      <c r="N3998">
        <f t="shared" si="501"/>
        <v>3745.0563091042909</v>
      </c>
      <c r="O3998" t="s">
        <v>15</v>
      </c>
    </row>
    <row r="3999" spans="1:15" x14ac:dyDescent="0.35">
      <c r="A3999">
        <v>2010</v>
      </c>
      <c r="B3999">
        <v>12</v>
      </c>
      <c r="C3999">
        <v>11</v>
      </c>
      <c r="D3999" s="1">
        <f t="shared" si="496"/>
        <v>40523</v>
      </c>
      <c r="E3999">
        <v>0.2</v>
      </c>
      <c r="F3999">
        <f t="shared" si="502"/>
        <v>2.4</v>
      </c>
      <c r="G3999">
        <f t="shared" si="497"/>
        <v>1</v>
      </c>
      <c r="H3999">
        <f t="shared" si="503"/>
        <v>1</v>
      </c>
      <c r="I3999">
        <v>3998</v>
      </c>
      <c r="J3999">
        <f t="shared" si="498"/>
        <v>-0.33324938558229594</v>
      </c>
      <c r="K3999">
        <f t="shared" si="499"/>
        <v>0.94283871738968283</v>
      </c>
      <c r="L3999">
        <f>VLOOKUP(D3999,[1]SOI!$A$1:$C$142,3)</f>
        <v>16.399999999999999</v>
      </c>
      <c r="M3999" s="2">
        <f t="shared" si="500"/>
        <v>-1332.3310435580192</v>
      </c>
      <c r="N3999">
        <f t="shared" si="501"/>
        <v>3769.4691921239519</v>
      </c>
      <c r="O3999" t="s">
        <v>15</v>
      </c>
    </row>
    <row r="4000" spans="1:15" x14ac:dyDescent="0.35">
      <c r="A4000">
        <v>2010</v>
      </c>
      <c r="B4000">
        <v>12</v>
      </c>
      <c r="C4000">
        <v>12</v>
      </c>
      <c r="D4000" s="1">
        <f t="shared" si="496"/>
        <v>40524</v>
      </c>
      <c r="E4000">
        <v>0.4</v>
      </c>
      <c r="F4000">
        <f t="shared" si="502"/>
        <v>0.2</v>
      </c>
      <c r="G4000">
        <f t="shared" si="497"/>
        <v>1</v>
      </c>
      <c r="H4000">
        <f t="shared" si="503"/>
        <v>1</v>
      </c>
      <c r="I4000">
        <v>3999</v>
      </c>
      <c r="J4000">
        <f t="shared" si="498"/>
        <v>-0.31698176735052308</v>
      </c>
      <c r="K4000">
        <f t="shared" si="499"/>
        <v>0.94843163125622232</v>
      </c>
      <c r="L4000">
        <f>VLOOKUP(D4000,[1]SOI!$A$1:$C$142,3)</f>
        <v>16.399999999999999</v>
      </c>
      <c r="M4000" s="2">
        <f t="shared" si="500"/>
        <v>-1267.6100876347418</v>
      </c>
      <c r="N4000">
        <f t="shared" si="501"/>
        <v>3792.7780933936328</v>
      </c>
      <c r="O4000" t="s">
        <v>15</v>
      </c>
    </row>
    <row r="4001" spans="1:15" x14ac:dyDescent="0.35">
      <c r="A4001">
        <v>2010</v>
      </c>
      <c r="B4001">
        <v>12</v>
      </c>
      <c r="C4001">
        <v>13</v>
      </c>
      <c r="D4001" s="1">
        <f t="shared" si="496"/>
        <v>40525</v>
      </c>
      <c r="E4001">
        <v>4.5999999999999996</v>
      </c>
      <c r="F4001">
        <f t="shared" si="502"/>
        <v>0.4</v>
      </c>
      <c r="G4001">
        <f t="shared" si="497"/>
        <v>1</v>
      </c>
      <c r="H4001">
        <f t="shared" si="503"/>
        <v>1</v>
      </c>
      <c r="I4001">
        <v>4000</v>
      </c>
      <c r="J4001">
        <f t="shared" si="498"/>
        <v>-0.30062034911405833</v>
      </c>
      <c r="K4001">
        <f t="shared" si="499"/>
        <v>0.95374388894427087</v>
      </c>
      <c r="L4001">
        <f>VLOOKUP(D4001,[1]SOI!$A$1:$C$142,3)</f>
        <v>16.399999999999999</v>
      </c>
      <c r="M4001" s="2">
        <f t="shared" si="500"/>
        <v>-1202.4813964562334</v>
      </c>
      <c r="N4001">
        <f t="shared" si="501"/>
        <v>3814.9755557770836</v>
      </c>
      <c r="O4001" t="s">
        <v>15</v>
      </c>
    </row>
    <row r="4002" spans="1:15" x14ac:dyDescent="0.35">
      <c r="A4002">
        <v>2010</v>
      </c>
      <c r="B4002">
        <v>12</v>
      </c>
      <c r="C4002">
        <v>14</v>
      </c>
      <c r="D4002" s="1">
        <f t="shared" si="496"/>
        <v>40526</v>
      </c>
      <c r="E4002">
        <v>0</v>
      </c>
      <c r="F4002">
        <f t="shared" si="502"/>
        <v>4.5999999999999996</v>
      </c>
      <c r="G4002">
        <f t="shared" si="497"/>
        <v>0</v>
      </c>
      <c r="H4002">
        <f t="shared" si="503"/>
        <v>1</v>
      </c>
      <c r="I4002">
        <v>4001</v>
      </c>
      <c r="J4002">
        <f t="shared" si="498"/>
        <v>-0.28416997247977449</v>
      </c>
      <c r="K4002">
        <f t="shared" si="499"/>
        <v>0.95877391847131732</v>
      </c>
      <c r="L4002">
        <f>VLOOKUP(D4002,[1]SOI!$A$1:$C$142,3)</f>
        <v>16.399999999999999</v>
      </c>
      <c r="M4002" s="2">
        <f t="shared" si="500"/>
        <v>-1136.9640598915778</v>
      </c>
      <c r="N4002">
        <f t="shared" si="501"/>
        <v>3836.0544478037405</v>
      </c>
      <c r="O4002" t="s">
        <v>15</v>
      </c>
    </row>
    <row r="4003" spans="1:15" x14ac:dyDescent="0.35">
      <c r="A4003">
        <v>2010</v>
      </c>
      <c r="B4003">
        <v>12</v>
      </c>
      <c r="C4003">
        <v>15</v>
      </c>
      <c r="D4003" s="1">
        <f t="shared" si="496"/>
        <v>40527</v>
      </c>
      <c r="E4003">
        <v>0</v>
      </c>
      <c r="F4003">
        <f t="shared" si="502"/>
        <v>0</v>
      </c>
      <c r="G4003">
        <f t="shared" si="497"/>
        <v>0</v>
      </c>
      <c r="H4003">
        <f t="shared" si="503"/>
        <v>0</v>
      </c>
      <c r="I4003">
        <v>4002</v>
      </c>
      <c r="J4003">
        <f t="shared" si="498"/>
        <v>-0.26763550537876502</v>
      </c>
      <c r="K4003">
        <f t="shared" si="499"/>
        <v>0.96352023137070297</v>
      </c>
      <c r="L4003">
        <f>VLOOKUP(D4003,[1]SOI!$A$1:$C$142,3)</f>
        <v>16.399999999999999</v>
      </c>
      <c r="M4003" s="2">
        <f t="shared" si="500"/>
        <v>-1071.0772925258175</v>
      </c>
      <c r="N4003">
        <f t="shared" si="501"/>
        <v>3856.0079659455532</v>
      </c>
      <c r="O4003" t="s">
        <v>15</v>
      </c>
    </row>
    <row r="4004" spans="1:15" x14ac:dyDescent="0.35">
      <c r="A4004">
        <v>2010</v>
      </c>
      <c r="B4004">
        <v>12</v>
      </c>
      <c r="C4004">
        <v>16</v>
      </c>
      <c r="D4004" s="1">
        <f t="shared" si="496"/>
        <v>40528</v>
      </c>
      <c r="E4004">
        <v>0.8</v>
      </c>
      <c r="F4004">
        <f t="shared" si="502"/>
        <v>0</v>
      </c>
      <c r="G4004">
        <f t="shared" si="497"/>
        <v>1</v>
      </c>
      <c r="H4004">
        <f t="shared" si="503"/>
        <v>0</v>
      </c>
      <c r="I4004">
        <v>4003</v>
      </c>
      <c r="J4004">
        <f t="shared" si="498"/>
        <v>-0.25102184062588639</v>
      </c>
      <c r="K4004">
        <f t="shared" si="499"/>
        <v>0.96798142313207236</v>
      </c>
      <c r="L4004">
        <f>VLOOKUP(D4004,[1]SOI!$A$1:$C$142,3)</f>
        <v>16.399999999999999</v>
      </c>
      <c r="M4004" s="2">
        <f t="shared" si="500"/>
        <v>-1004.8404280254232</v>
      </c>
      <c r="N4004">
        <f t="shared" si="501"/>
        <v>3874.8296367976855</v>
      </c>
      <c r="O4004" t="s">
        <v>15</v>
      </c>
    </row>
    <row r="4005" spans="1:15" x14ac:dyDescent="0.35">
      <c r="A4005">
        <v>2010</v>
      </c>
      <c r="B4005">
        <v>12</v>
      </c>
      <c r="C4005">
        <v>17</v>
      </c>
      <c r="D4005" s="1">
        <f t="shared" si="496"/>
        <v>40529</v>
      </c>
      <c r="E4005">
        <v>0</v>
      </c>
      <c r="F4005">
        <f t="shared" si="502"/>
        <v>0.8</v>
      </c>
      <c r="G4005">
        <f t="shared" si="497"/>
        <v>0</v>
      </c>
      <c r="H4005">
        <f t="shared" si="503"/>
        <v>1</v>
      </c>
      <c r="I4005">
        <v>4004</v>
      </c>
      <c r="J4005">
        <f t="shared" si="498"/>
        <v>-0.23433389447179975</v>
      </c>
      <c r="K4005">
        <f t="shared" si="499"/>
        <v>0.97215617361701689</v>
      </c>
      <c r="L4005">
        <f>VLOOKUP(D4005,[1]SOI!$A$1:$C$142,3)</f>
        <v>16.399999999999999</v>
      </c>
      <c r="M4005" s="2">
        <f t="shared" si="500"/>
        <v>-938.27291346508616</v>
      </c>
      <c r="N4005">
        <f t="shared" si="501"/>
        <v>3892.5133191625355</v>
      </c>
      <c r="O4005" t="s">
        <v>15</v>
      </c>
    </row>
    <row r="4006" spans="1:15" x14ac:dyDescent="0.35">
      <c r="A4006">
        <v>2010</v>
      </c>
      <c r="B4006">
        <v>12</v>
      </c>
      <c r="C4006">
        <v>18</v>
      </c>
      <c r="D4006" s="1">
        <f t="shared" si="496"/>
        <v>40530</v>
      </c>
      <c r="E4006">
        <v>2.8</v>
      </c>
      <c r="F4006">
        <f t="shared" si="502"/>
        <v>0</v>
      </c>
      <c r="G4006">
        <f t="shared" si="497"/>
        <v>1</v>
      </c>
      <c r="H4006">
        <f t="shared" si="503"/>
        <v>0</v>
      </c>
      <c r="I4006">
        <v>4005</v>
      </c>
      <c r="J4006">
        <f t="shared" si="498"/>
        <v>-0.21757660514828286</v>
      </c>
      <c r="K4006">
        <f t="shared" si="499"/>
        <v>0.97604324744969584</v>
      </c>
      <c r="L4006">
        <f>VLOOKUP(D4006,[1]SOI!$A$1:$C$142,3)</f>
        <v>16.399999999999999</v>
      </c>
      <c r="M4006" s="2">
        <f t="shared" si="500"/>
        <v>-871.39430361887287</v>
      </c>
      <c r="N4006">
        <f t="shared" si="501"/>
        <v>3909.053206036032</v>
      </c>
      <c r="O4006" t="s">
        <v>15</v>
      </c>
    </row>
    <row r="4007" spans="1:15" x14ac:dyDescent="0.35">
      <c r="A4007">
        <v>2010</v>
      </c>
      <c r="B4007">
        <v>12</v>
      </c>
      <c r="C4007">
        <v>19</v>
      </c>
      <c r="D4007" s="1">
        <f t="shared" si="496"/>
        <v>40531</v>
      </c>
      <c r="E4007">
        <v>2.8</v>
      </c>
      <c r="F4007">
        <f t="shared" si="502"/>
        <v>2.8</v>
      </c>
      <c r="G4007">
        <f t="shared" si="497"/>
        <v>1</v>
      </c>
      <c r="H4007">
        <f t="shared" si="503"/>
        <v>1</v>
      </c>
      <c r="I4007">
        <v>4006</v>
      </c>
      <c r="J4007">
        <f t="shared" si="498"/>
        <v>-0.20075493140683168</v>
      </c>
      <c r="K4007">
        <f t="shared" si="499"/>
        <v>0.97964149438242887</v>
      </c>
      <c r="L4007">
        <f>VLOOKUP(D4007,[1]SOI!$A$1:$C$142,3)</f>
        <v>16.399999999999999</v>
      </c>
      <c r="M4007" s="2">
        <f t="shared" si="500"/>
        <v>-804.2242552157677</v>
      </c>
      <c r="N4007">
        <f t="shared" si="501"/>
        <v>3924.4438264960099</v>
      </c>
      <c r="O4007" t="s">
        <v>15</v>
      </c>
    </row>
    <row r="4008" spans="1:15" x14ac:dyDescent="0.35">
      <c r="A4008">
        <v>2010</v>
      </c>
      <c r="B4008">
        <v>12</v>
      </c>
      <c r="C4008">
        <v>20</v>
      </c>
      <c r="D4008" s="1">
        <f t="shared" si="496"/>
        <v>40532</v>
      </c>
      <c r="E4008">
        <v>22.2</v>
      </c>
      <c r="F4008">
        <f t="shared" si="502"/>
        <v>2.8</v>
      </c>
      <c r="G4008">
        <f t="shared" si="497"/>
        <v>1</v>
      </c>
      <c r="H4008">
        <f t="shared" si="503"/>
        <v>1</v>
      </c>
      <c r="I4008">
        <v>4007</v>
      </c>
      <c r="J4008">
        <f t="shared" si="498"/>
        <v>-0.183873851051327</v>
      </c>
      <c r="K4008">
        <f t="shared" si="499"/>
        <v>0.98294984963606069</v>
      </c>
      <c r="L4008">
        <f>VLOOKUP(D4008,[1]SOI!$A$1:$C$142,3)</f>
        <v>16.399999999999999</v>
      </c>
      <c r="M4008" s="2">
        <f t="shared" si="500"/>
        <v>-736.78252116266731</v>
      </c>
      <c r="N4008">
        <f t="shared" si="501"/>
        <v>3938.6800474916954</v>
      </c>
      <c r="O4008" t="s">
        <v>15</v>
      </c>
    </row>
    <row r="4009" spans="1:15" x14ac:dyDescent="0.35">
      <c r="A4009">
        <v>2010</v>
      </c>
      <c r="B4009">
        <v>12</v>
      </c>
      <c r="C4009">
        <v>21</v>
      </c>
      <c r="D4009" s="1">
        <f t="shared" si="496"/>
        <v>40533</v>
      </c>
      <c r="E4009">
        <v>0</v>
      </c>
      <c r="F4009">
        <f t="shared" si="502"/>
        <v>22.2</v>
      </c>
      <c r="G4009">
        <f t="shared" si="497"/>
        <v>0</v>
      </c>
      <c r="H4009">
        <f t="shared" si="503"/>
        <v>1</v>
      </c>
      <c r="I4009">
        <v>4008</v>
      </c>
      <c r="J4009">
        <f t="shared" si="498"/>
        <v>-0.16693835946506438</v>
      </c>
      <c r="K4009">
        <f t="shared" si="499"/>
        <v>0.98596733421504024</v>
      </c>
      <c r="L4009">
        <f>VLOOKUP(D4009,[1]SOI!$A$1:$C$142,3)</f>
        <v>16.399999999999999</v>
      </c>
      <c r="M4009" s="2">
        <f t="shared" si="500"/>
        <v>-669.08894473597809</v>
      </c>
      <c r="N4009">
        <f t="shared" si="501"/>
        <v>3951.7570755338811</v>
      </c>
      <c r="O4009" t="s">
        <v>15</v>
      </c>
    </row>
    <row r="4010" spans="1:15" x14ac:dyDescent="0.35">
      <c r="A4010">
        <v>2010</v>
      </c>
      <c r="B4010">
        <v>12</v>
      </c>
      <c r="C4010">
        <v>22</v>
      </c>
      <c r="D4010" s="1">
        <f t="shared" si="496"/>
        <v>40534</v>
      </c>
      <c r="E4010">
        <v>1.4</v>
      </c>
      <c r="F4010">
        <f t="shared" si="502"/>
        <v>0</v>
      </c>
      <c r="G4010">
        <f t="shared" si="497"/>
        <v>1</v>
      </c>
      <c r="H4010">
        <f t="shared" si="503"/>
        <v>0</v>
      </c>
      <c r="I4010">
        <v>4009</v>
      </c>
      <c r="J4010">
        <f t="shared" si="498"/>
        <v>-0.14995346813244212</v>
      </c>
      <c r="K4010">
        <f t="shared" si="499"/>
        <v>0.9886930551971389</v>
      </c>
      <c r="L4010">
        <f>VLOOKUP(D4010,[1]SOI!$A$1:$C$142,3)</f>
        <v>16.399999999999999</v>
      </c>
      <c r="M4010" s="2">
        <f t="shared" si="500"/>
        <v>-601.16345374296043</v>
      </c>
      <c r="N4010">
        <f t="shared" si="501"/>
        <v>3963.6704582853299</v>
      </c>
      <c r="O4010" t="s">
        <v>15</v>
      </c>
    </row>
    <row r="4011" spans="1:15" x14ac:dyDescent="0.35">
      <c r="A4011">
        <v>2010</v>
      </c>
      <c r="B4011">
        <v>12</v>
      </c>
      <c r="C4011">
        <v>23</v>
      </c>
      <c r="D4011" s="1">
        <f t="shared" si="496"/>
        <v>40535</v>
      </c>
      <c r="E4011">
        <v>0</v>
      </c>
      <c r="F4011">
        <f t="shared" si="502"/>
        <v>1.4</v>
      </c>
      <c r="G4011">
        <f t="shared" si="497"/>
        <v>0</v>
      </c>
      <c r="H4011">
        <f t="shared" si="503"/>
        <v>1</v>
      </c>
      <c r="I4011">
        <v>4010</v>
      </c>
      <c r="J4011">
        <f t="shared" si="498"/>
        <v>-0.13292420315609416</v>
      </c>
      <c r="K4011">
        <f t="shared" si="499"/>
        <v>0.99112620599766077</v>
      </c>
      <c r="L4011">
        <f>VLOOKUP(D4011,[1]SOI!$A$1:$C$142,3)</f>
        <v>16.399999999999999</v>
      </c>
      <c r="M4011" s="2">
        <f t="shared" si="500"/>
        <v>-533.02605465593751</v>
      </c>
      <c r="N4011">
        <f t="shared" si="501"/>
        <v>3974.4160860506195</v>
      </c>
      <c r="O4011" t="s">
        <v>15</v>
      </c>
    </row>
    <row r="4012" spans="1:15" x14ac:dyDescent="0.35">
      <c r="A4012">
        <v>2010</v>
      </c>
      <c r="B4012">
        <v>12</v>
      </c>
      <c r="C4012">
        <v>24</v>
      </c>
      <c r="D4012" s="1">
        <f t="shared" si="496"/>
        <v>40536</v>
      </c>
      <c r="E4012">
        <v>0</v>
      </c>
      <c r="F4012">
        <f t="shared" si="502"/>
        <v>0</v>
      </c>
      <c r="G4012">
        <f t="shared" si="497"/>
        <v>0</v>
      </c>
      <c r="H4012">
        <f t="shared" si="503"/>
        <v>0</v>
      </c>
      <c r="I4012">
        <v>4011</v>
      </c>
      <c r="J4012">
        <f t="shared" si="498"/>
        <v>-0.11585560376948757</v>
      </c>
      <c r="K4012">
        <f t="shared" si="499"/>
        <v>0.99326606660814076</v>
      </c>
      <c r="L4012">
        <f>VLOOKUP(D4012,[1]SOI!$A$1:$C$142,3)</f>
        <v>16.399999999999999</v>
      </c>
      <c r="M4012" s="2">
        <f t="shared" si="500"/>
        <v>-464.69682671941467</v>
      </c>
      <c r="N4012">
        <f t="shared" si="501"/>
        <v>3983.9901931652525</v>
      </c>
      <c r="O4012" t="s">
        <v>15</v>
      </c>
    </row>
    <row r="4013" spans="1:15" x14ac:dyDescent="0.35">
      <c r="A4013">
        <v>2010</v>
      </c>
      <c r="B4013">
        <v>12</v>
      </c>
      <c r="C4013">
        <v>25</v>
      </c>
      <c r="D4013" s="1">
        <f t="shared" si="496"/>
        <v>40537</v>
      </c>
      <c r="E4013">
        <v>0</v>
      </c>
      <c r="F4013">
        <f t="shared" si="502"/>
        <v>0</v>
      </c>
      <c r="G4013">
        <f t="shared" si="497"/>
        <v>0</v>
      </c>
      <c r="H4013">
        <f t="shared" si="503"/>
        <v>0</v>
      </c>
      <c r="I4013">
        <v>4012</v>
      </c>
      <c r="J4013">
        <f t="shared" si="498"/>
        <v>-9.8752720845774036E-2</v>
      </c>
      <c r="K4013">
        <f t="shared" si="499"/>
        <v>0.99511200380939868</v>
      </c>
      <c r="L4013">
        <f>VLOOKUP(D4013,[1]SOI!$A$1:$C$142,3)</f>
        <v>16.399999999999999</v>
      </c>
      <c r="M4013" s="2">
        <f t="shared" si="500"/>
        <v>-396.19591603324545</v>
      </c>
      <c r="N4013">
        <f t="shared" si="501"/>
        <v>3992.3893592833074</v>
      </c>
      <c r="O4013" t="s">
        <v>15</v>
      </c>
    </row>
    <row r="4014" spans="1:15" x14ac:dyDescent="0.35">
      <c r="A4014">
        <v>2010</v>
      </c>
      <c r="B4014">
        <v>12</v>
      </c>
      <c r="C4014">
        <v>26</v>
      </c>
      <c r="D4014" s="1">
        <f t="shared" si="496"/>
        <v>40538</v>
      </c>
      <c r="E4014">
        <v>0</v>
      </c>
      <c r="F4014">
        <f t="shared" si="502"/>
        <v>0</v>
      </c>
      <c r="G4014">
        <f t="shared" si="497"/>
        <v>0</v>
      </c>
      <c r="H4014">
        <f t="shared" si="503"/>
        <v>0</v>
      </c>
      <c r="I4014">
        <v>4013</v>
      </c>
      <c r="J4014">
        <f t="shared" si="498"/>
        <v>-8.1620615403197871E-2</v>
      </c>
      <c r="K4014">
        <f t="shared" si="499"/>
        <v>0.9966634713589152</v>
      </c>
      <c r="L4014">
        <f>VLOOKUP(D4014,[1]SOI!$A$1:$C$142,3)</f>
        <v>16.399999999999999</v>
      </c>
      <c r="M4014" s="2">
        <f t="shared" si="500"/>
        <v>-327.54352961303306</v>
      </c>
      <c r="N4014">
        <f t="shared" si="501"/>
        <v>3999.6105105633269</v>
      </c>
      <c r="O4014" t="s">
        <v>15</v>
      </c>
    </row>
    <row r="4015" spans="1:15" x14ac:dyDescent="0.35">
      <c r="A4015">
        <v>2010</v>
      </c>
      <c r="B4015">
        <v>12</v>
      </c>
      <c r="C4015">
        <v>27</v>
      </c>
      <c r="D4015" s="1">
        <f t="shared" si="496"/>
        <v>40539</v>
      </c>
      <c r="E4015">
        <v>0.4</v>
      </c>
      <c r="F4015">
        <f t="shared" si="502"/>
        <v>0</v>
      </c>
      <c r="G4015">
        <f t="shared" si="497"/>
        <v>1</v>
      </c>
      <c r="H4015">
        <f t="shared" si="503"/>
        <v>0</v>
      </c>
      <c r="I4015">
        <v>4014</v>
      </c>
      <c r="J4015">
        <f t="shared" si="498"/>
        <v>-6.4464357107360301E-2</v>
      </c>
      <c r="K4015">
        <f t="shared" si="499"/>
        <v>0.99792001015248444</v>
      </c>
      <c r="L4015">
        <f>VLOOKUP(D4015,[1]SOI!$A$1:$C$142,3)</f>
        <v>16.399999999999999</v>
      </c>
      <c r="M4015" s="2">
        <f t="shared" si="500"/>
        <v>-258.75992942894425</v>
      </c>
      <c r="N4015">
        <f t="shared" si="501"/>
        <v>4005.6509207520726</v>
      </c>
      <c r="O4015" t="s">
        <v>15</v>
      </c>
    </row>
    <row r="4016" spans="1:15" x14ac:dyDescent="0.35">
      <c r="A4016">
        <v>2010</v>
      </c>
      <c r="B4016">
        <v>12</v>
      </c>
      <c r="C4016">
        <v>28</v>
      </c>
      <c r="D4016" s="1">
        <f t="shared" si="496"/>
        <v>40540</v>
      </c>
      <c r="E4016">
        <v>0</v>
      </c>
      <c r="F4016">
        <f t="shared" si="502"/>
        <v>0.4</v>
      </c>
      <c r="G4016">
        <f t="shared" si="497"/>
        <v>0</v>
      </c>
      <c r="H4016">
        <f t="shared" si="503"/>
        <v>1</v>
      </c>
      <c r="I4016">
        <v>4015</v>
      </c>
      <c r="J4016">
        <f t="shared" si="498"/>
        <v>-4.7289022771137064E-2</v>
      </c>
      <c r="K4016">
        <f t="shared" si="499"/>
        <v>0.99888124836005954</v>
      </c>
      <c r="L4016">
        <f>VLOOKUP(D4016,[1]SOI!$A$1:$C$142,3)</f>
        <v>16.399999999999999</v>
      </c>
      <c r="M4016" s="2">
        <f t="shared" si="500"/>
        <v>-189.86542642611531</v>
      </c>
      <c r="N4016">
        <f t="shared" si="501"/>
        <v>4010.5082121656392</v>
      </c>
      <c r="O4016" t="s">
        <v>15</v>
      </c>
    </row>
    <row r="4017" spans="1:15" x14ac:dyDescent="0.35">
      <c r="A4017">
        <v>2010</v>
      </c>
      <c r="B4017">
        <v>12</v>
      </c>
      <c r="C4017">
        <v>29</v>
      </c>
      <c r="D4017" s="1">
        <f t="shared" si="496"/>
        <v>40541</v>
      </c>
      <c r="E4017">
        <v>0</v>
      </c>
      <c r="F4017">
        <f t="shared" si="502"/>
        <v>0</v>
      </c>
      <c r="G4017">
        <f t="shared" si="497"/>
        <v>0</v>
      </c>
      <c r="H4017">
        <f t="shared" si="503"/>
        <v>0</v>
      </c>
      <c r="I4017">
        <v>4016</v>
      </c>
      <c r="J4017">
        <f t="shared" si="498"/>
        <v>-3.0099694852254437E-2</v>
      </c>
      <c r="K4017">
        <f t="shared" si="499"/>
        <v>0.9995469015357914</v>
      </c>
      <c r="L4017">
        <f>VLOOKUP(D4017,[1]SOI!$A$1:$C$142,3)</f>
        <v>16.399999999999999</v>
      </c>
      <c r="M4017" s="2">
        <f t="shared" si="500"/>
        <v>-120.88037452665382</v>
      </c>
      <c r="N4017">
        <f t="shared" si="501"/>
        <v>4014.1803565677383</v>
      </c>
      <c r="O4017" t="s">
        <v>15</v>
      </c>
    </row>
    <row r="4018" spans="1:15" x14ac:dyDescent="0.35">
      <c r="A4018">
        <v>2010</v>
      </c>
      <c r="B4018">
        <v>12</v>
      </c>
      <c r="C4018">
        <v>30</v>
      </c>
      <c r="D4018" s="1">
        <f t="shared" si="496"/>
        <v>40542</v>
      </c>
      <c r="E4018">
        <v>0</v>
      </c>
      <c r="F4018">
        <f t="shared" si="502"/>
        <v>0</v>
      </c>
      <c r="G4018">
        <f t="shared" si="497"/>
        <v>0</v>
      </c>
      <c r="H4018">
        <f t="shared" si="503"/>
        <v>0</v>
      </c>
      <c r="I4018">
        <v>4017</v>
      </c>
      <c r="J4018">
        <f t="shared" si="498"/>
        <v>-1.2901459949421705E-2</v>
      </c>
      <c r="K4018">
        <f t="shared" si="499"/>
        <v>0.99991677270219514</v>
      </c>
      <c r="L4018">
        <f>VLOOKUP(D4018,[1]SOI!$A$1:$C$142,3)</f>
        <v>16.399999999999999</v>
      </c>
      <c r="M4018" s="2">
        <f t="shared" si="500"/>
        <v>-51.825164616826989</v>
      </c>
      <c r="N4018">
        <f t="shared" si="501"/>
        <v>4016.6656759447178</v>
      </c>
      <c r="O4018" t="s">
        <v>15</v>
      </c>
    </row>
    <row r="4019" spans="1:15" x14ac:dyDescent="0.35">
      <c r="A4019">
        <v>2010</v>
      </c>
      <c r="B4019">
        <v>12</v>
      </c>
      <c r="C4019">
        <v>31</v>
      </c>
      <c r="D4019" s="1">
        <f t="shared" si="496"/>
        <v>40543</v>
      </c>
      <c r="E4019">
        <v>0</v>
      </c>
      <c r="F4019">
        <f t="shared" si="502"/>
        <v>0</v>
      </c>
      <c r="G4019">
        <f t="shared" si="497"/>
        <v>0</v>
      </c>
      <c r="H4019">
        <f t="shared" si="503"/>
        <v>0</v>
      </c>
      <c r="I4019">
        <v>4018</v>
      </c>
      <c r="J4019">
        <f t="shared" si="498"/>
        <v>4.3005927029745924E-3</v>
      </c>
      <c r="K4019">
        <f t="shared" si="499"/>
        <v>0.9999907524084426</v>
      </c>
      <c r="L4019">
        <f>VLOOKUP(D4019,[1]SOI!$A$1:$C$142,3)</f>
        <v>16.399999999999999</v>
      </c>
      <c r="M4019" s="2">
        <f t="shared" si="500"/>
        <v>17.279781480551911</v>
      </c>
      <c r="N4019">
        <f t="shared" si="501"/>
        <v>4017.9628431771225</v>
      </c>
      <c r="O4019" t="s">
        <v>15</v>
      </c>
    </row>
    <row r="4020" spans="1:15" x14ac:dyDescent="0.35">
      <c r="A4020">
        <v>2011</v>
      </c>
      <c r="B4020">
        <v>1</v>
      </c>
      <c r="C4020">
        <v>1</v>
      </c>
      <c r="D4020" s="1">
        <f t="shared" si="496"/>
        <v>40544</v>
      </c>
      <c r="E4020">
        <v>0</v>
      </c>
      <c r="F4020">
        <f t="shared" si="502"/>
        <v>0</v>
      </c>
      <c r="G4020">
        <f t="shared" si="497"/>
        <v>0</v>
      </c>
      <c r="H4020">
        <f t="shared" si="503"/>
        <v>0</v>
      </c>
      <c r="I4020">
        <v>4019</v>
      </c>
      <c r="J4020">
        <f t="shared" si="498"/>
        <v>2.1501372740814404E-2</v>
      </c>
      <c r="K4020">
        <f t="shared" si="499"/>
        <v>0.99976881876274803</v>
      </c>
      <c r="L4020">
        <f>VLOOKUP(D4020,[1]SOI!$A$1:$C$142,3)</f>
        <v>27.1</v>
      </c>
      <c r="M4020" s="2">
        <f t="shared" si="500"/>
        <v>86.414017045333097</v>
      </c>
      <c r="N4020">
        <f t="shared" si="501"/>
        <v>4018.0708826074842</v>
      </c>
      <c r="O4020" t="s">
        <v>15</v>
      </c>
    </row>
    <row r="4021" spans="1:15" x14ac:dyDescent="0.35">
      <c r="A4021">
        <v>2011</v>
      </c>
      <c r="B4021">
        <v>1</v>
      </c>
      <c r="C4021">
        <v>2</v>
      </c>
      <c r="D4021" s="1">
        <f t="shared" si="496"/>
        <v>40545</v>
      </c>
      <c r="E4021">
        <v>0</v>
      </c>
      <c r="F4021">
        <f t="shared" si="502"/>
        <v>0</v>
      </c>
      <c r="G4021">
        <f t="shared" si="497"/>
        <v>0</v>
      </c>
      <c r="H4021">
        <f t="shared" si="503"/>
        <v>0</v>
      </c>
      <c r="I4021">
        <v>4020</v>
      </c>
      <c r="J4021">
        <f t="shared" si="498"/>
        <v>3.869579017652218E-2</v>
      </c>
      <c r="K4021">
        <f t="shared" si="499"/>
        <v>0.99925103743884824</v>
      </c>
      <c r="L4021">
        <f>VLOOKUP(D4021,[1]SOI!$A$1:$C$142,3)</f>
        <v>27.1</v>
      </c>
      <c r="M4021" s="2">
        <f t="shared" si="500"/>
        <v>155.55707650961915</v>
      </c>
      <c r="N4021">
        <f t="shared" si="501"/>
        <v>4016.98917050417</v>
      </c>
      <c r="O4021" t="s">
        <v>15</v>
      </c>
    </row>
    <row r="4022" spans="1:15" x14ac:dyDescent="0.35">
      <c r="A4022">
        <v>2011</v>
      </c>
      <c r="B4022">
        <v>1</v>
      </c>
      <c r="C4022">
        <v>3</v>
      </c>
      <c r="D4022" s="1">
        <f t="shared" si="496"/>
        <v>40546</v>
      </c>
      <c r="E4022">
        <v>0</v>
      </c>
      <c r="F4022">
        <f t="shared" si="502"/>
        <v>0</v>
      </c>
      <c r="G4022">
        <f t="shared" si="497"/>
        <v>0</v>
      </c>
      <c r="H4022">
        <f t="shared" si="503"/>
        <v>0</v>
      </c>
      <c r="I4022">
        <v>4021</v>
      </c>
      <c r="J4022">
        <f t="shared" si="498"/>
        <v>5.5878756905375519E-2</v>
      </c>
      <c r="K4022">
        <f t="shared" si="499"/>
        <v>0.9984375616565665</v>
      </c>
      <c r="L4022">
        <f>VLOOKUP(D4022,[1]SOI!$A$1:$C$142,3)</f>
        <v>27.1</v>
      </c>
      <c r="M4022" s="2">
        <f t="shared" si="500"/>
        <v>224.68848151651497</v>
      </c>
      <c r="N4022">
        <f t="shared" si="501"/>
        <v>4014.7174354210538</v>
      </c>
      <c r="O4022" t="s">
        <v>15</v>
      </c>
    </row>
    <row r="4023" spans="1:15" x14ac:dyDescent="0.35">
      <c r="A4023">
        <v>2011</v>
      </c>
      <c r="B4023">
        <v>1</v>
      </c>
      <c r="C4023">
        <v>4</v>
      </c>
      <c r="D4023" s="1">
        <f t="shared" si="496"/>
        <v>40547</v>
      </c>
      <c r="E4023">
        <v>0</v>
      </c>
      <c r="F4023">
        <f t="shared" si="502"/>
        <v>0</v>
      </c>
      <c r="G4023">
        <f t="shared" si="497"/>
        <v>0</v>
      </c>
      <c r="H4023">
        <f t="shared" si="503"/>
        <v>0</v>
      </c>
      <c r="I4023">
        <v>4022</v>
      </c>
      <c r="J4023">
        <f t="shared" si="498"/>
        <v>7.304518821104361E-2</v>
      </c>
      <c r="K4023">
        <f t="shared" si="499"/>
        <v>0.99732863213647549</v>
      </c>
      <c r="L4023">
        <f>VLOOKUP(D4023,[1]SOI!$A$1:$C$142,3)</f>
        <v>27.1</v>
      </c>
      <c r="M4023" s="2">
        <f t="shared" si="500"/>
        <v>293.78774698481737</v>
      </c>
      <c r="N4023">
        <f t="shared" si="501"/>
        <v>4011.2557584529045</v>
      </c>
      <c r="O4023" t="s">
        <v>15</v>
      </c>
    </row>
    <row r="4024" spans="1:15" x14ac:dyDescent="0.35">
      <c r="A4024">
        <v>2011</v>
      </c>
      <c r="B4024">
        <v>1</v>
      </c>
      <c r="C4024">
        <v>5</v>
      </c>
      <c r="D4024" s="1">
        <f t="shared" si="496"/>
        <v>40548</v>
      </c>
      <c r="E4024">
        <v>0</v>
      </c>
      <c r="F4024">
        <f t="shared" si="502"/>
        <v>0</v>
      </c>
      <c r="G4024">
        <f t="shared" si="497"/>
        <v>0</v>
      </c>
      <c r="H4024">
        <f t="shared" si="503"/>
        <v>0</v>
      </c>
      <c r="I4024">
        <v>4023</v>
      </c>
      <c r="J4024">
        <f t="shared" si="498"/>
        <v>9.0190004270336008E-2</v>
      </c>
      <c r="K4024">
        <f t="shared" si="499"/>
        <v>0.99592457702866077</v>
      </c>
      <c r="L4024">
        <f>VLOOKUP(D4024,[1]SOI!$A$1:$C$142,3)</f>
        <v>27.1</v>
      </c>
      <c r="M4024" s="2">
        <f t="shared" si="500"/>
        <v>362.83438717956176</v>
      </c>
      <c r="N4024">
        <f t="shared" si="501"/>
        <v>4006.6045733863025</v>
      </c>
      <c r="O4024" t="s">
        <v>15</v>
      </c>
    </row>
    <row r="4025" spans="1:15" x14ac:dyDescent="0.35">
      <c r="A4025">
        <v>2011</v>
      </c>
      <c r="B4025">
        <v>1</v>
      </c>
      <c r="C4025">
        <v>6</v>
      </c>
      <c r="D4025" s="1">
        <f t="shared" si="496"/>
        <v>40549</v>
      </c>
      <c r="E4025">
        <v>0</v>
      </c>
      <c r="F4025">
        <f t="shared" si="502"/>
        <v>0</v>
      </c>
      <c r="G4025">
        <f t="shared" si="497"/>
        <v>0</v>
      </c>
      <c r="H4025">
        <f t="shared" si="503"/>
        <v>0</v>
      </c>
      <c r="I4025">
        <v>4024</v>
      </c>
      <c r="J4025">
        <f t="shared" si="498"/>
        <v>0.10730813165636131</v>
      </c>
      <c r="K4025">
        <f t="shared" si="499"/>
        <v>0.9942258118156162</v>
      </c>
      <c r="L4025">
        <f>VLOOKUP(D4025,[1]SOI!$A$1:$C$142,3)</f>
        <v>27.1</v>
      </c>
      <c r="M4025" s="2">
        <f t="shared" si="500"/>
        <v>431.80792178519795</v>
      </c>
      <c r="N4025">
        <f t="shared" si="501"/>
        <v>4000.7646667460394</v>
      </c>
      <c r="O4025" t="s">
        <v>15</v>
      </c>
    </row>
    <row r="4026" spans="1:15" x14ac:dyDescent="0.35">
      <c r="A4026">
        <v>2011</v>
      </c>
      <c r="B4026">
        <v>1</v>
      </c>
      <c r="C4026">
        <v>7</v>
      </c>
      <c r="D4026" s="1">
        <f t="shared" si="496"/>
        <v>40550</v>
      </c>
      <c r="E4026">
        <v>0</v>
      </c>
      <c r="F4026">
        <f t="shared" si="502"/>
        <v>0</v>
      </c>
      <c r="G4026">
        <f t="shared" si="497"/>
        <v>0</v>
      </c>
      <c r="H4026">
        <f t="shared" si="503"/>
        <v>0</v>
      </c>
      <c r="I4026">
        <v>4025</v>
      </c>
      <c r="J4026">
        <f t="shared" si="498"/>
        <v>0.12439450483979354</v>
      </c>
      <c r="K4026">
        <f t="shared" si="499"/>
        <v>0.99223283918930172</v>
      </c>
      <c r="L4026">
        <f>VLOOKUP(D4026,[1]SOI!$A$1:$C$142,3)</f>
        <v>27.1</v>
      </c>
      <c r="M4026" s="2">
        <f t="shared" si="500"/>
        <v>500.68788198016904</v>
      </c>
      <c r="N4026">
        <f t="shared" si="501"/>
        <v>3993.7371777369394</v>
      </c>
      <c r="O4026" t="s">
        <v>15</v>
      </c>
    </row>
    <row r="4027" spans="1:15" x14ac:dyDescent="0.35">
      <c r="A4027">
        <v>2011</v>
      </c>
      <c r="B4027">
        <v>1</v>
      </c>
      <c r="C4027">
        <v>8</v>
      </c>
      <c r="D4027" s="1">
        <f t="shared" si="496"/>
        <v>40551</v>
      </c>
      <c r="E4027">
        <v>0</v>
      </c>
      <c r="F4027">
        <f t="shared" si="502"/>
        <v>0</v>
      </c>
      <c r="G4027">
        <f t="shared" si="497"/>
        <v>0</v>
      </c>
      <c r="H4027">
        <f t="shared" si="503"/>
        <v>0</v>
      </c>
      <c r="I4027">
        <v>4026</v>
      </c>
      <c r="J4027">
        <f t="shared" si="498"/>
        <v>0.14144406768794263</v>
      </c>
      <c r="K4027">
        <f t="shared" si="499"/>
        <v>0.98994624890237792</v>
      </c>
      <c r="L4027">
        <f>VLOOKUP(D4027,[1]SOI!$A$1:$C$142,3)</f>
        <v>27.1</v>
      </c>
      <c r="M4027" s="2">
        <f t="shared" si="500"/>
        <v>569.45381651165701</v>
      </c>
      <c r="N4027">
        <f t="shared" si="501"/>
        <v>3985.5235980809734</v>
      </c>
      <c r="O4027" t="s">
        <v>15</v>
      </c>
    </row>
    <row r="4028" spans="1:15" x14ac:dyDescent="0.35">
      <c r="A4028">
        <v>2011</v>
      </c>
      <c r="B4028">
        <v>1</v>
      </c>
      <c r="C4028">
        <v>9</v>
      </c>
      <c r="D4028" s="1">
        <f t="shared" si="496"/>
        <v>40552</v>
      </c>
      <c r="E4028">
        <v>0.6</v>
      </c>
      <c r="F4028">
        <f t="shared" si="502"/>
        <v>0</v>
      </c>
      <c r="G4028">
        <f t="shared" si="497"/>
        <v>1</v>
      </c>
      <c r="H4028">
        <f t="shared" si="503"/>
        <v>0</v>
      </c>
      <c r="I4028">
        <v>4027</v>
      </c>
      <c r="J4028">
        <f t="shared" si="498"/>
        <v>0.15845177496083254</v>
      </c>
      <c r="K4028">
        <f t="shared" si="499"/>
        <v>0.9873667175937022</v>
      </c>
      <c r="L4028">
        <f>VLOOKUP(D4028,[1]SOI!$A$1:$C$142,3)</f>
        <v>27.1</v>
      </c>
      <c r="M4028" s="2">
        <f t="shared" si="500"/>
        <v>638.08529776727266</v>
      </c>
      <c r="N4028">
        <f t="shared" si="501"/>
        <v>3976.1257717498388</v>
      </c>
      <c r="O4028" t="s">
        <v>15</v>
      </c>
    </row>
    <row r="4029" spans="1:15" x14ac:dyDescent="0.35">
      <c r="A4029">
        <v>2011</v>
      </c>
      <c r="B4029">
        <v>1</v>
      </c>
      <c r="C4029">
        <v>10</v>
      </c>
      <c r="D4029" s="1">
        <f t="shared" si="496"/>
        <v>40553</v>
      </c>
      <c r="E4029">
        <v>0.2</v>
      </c>
      <c r="F4029">
        <f t="shared" si="502"/>
        <v>0.6</v>
      </c>
      <c r="G4029">
        <f t="shared" si="497"/>
        <v>1</v>
      </c>
      <c r="H4029">
        <f t="shared" si="503"/>
        <v>1</v>
      </c>
      <c r="I4029">
        <v>4028</v>
      </c>
      <c r="J4029">
        <f t="shared" si="498"/>
        <v>0.17541259380426766</v>
      </c>
      <c r="K4029">
        <f t="shared" si="499"/>
        <v>0.98449500858808781</v>
      </c>
      <c r="L4029">
        <f>VLOOKUP(D4029,[1]SOI!$A$1:$C$142,3)</f>
        <v>27.1</v>
      </c>
      <c r="M4029" s="2">
        <f t="shared" si="500"/>
        <v>706.56192784359018</v>
      </c>
      <c r="N4029">
        <f t="shared" si="501"/>
        <v>3965.5458945928176</v>
      </c>
      <c r="O4029" t="s">
        <v>15</v>
      </c>
    </row>
    <row r="4030" spans="1:15" x14ac:dyDescent="0.35">
      <c r="A4030">
        <v>2011</v>
      </c>
      <c r="B4030">
        <v>1</v>
      </c>
      <c r="C4030">
        <v>11</v>
      </c>
      <c r="D4030" s="1">
        <f t="shared" si="496"/>
        <v>40554</v>
      </c>
      <c r="E4030">
        <v>7</v>
      </c>
      <c r="F4030">
        <f t="shared" si="502"/>
        <v>0.2</v>
      </c>
      <c r="G4030">
        <f t="shared" si="497"/>
        <v>1</v>
      </c>
      <c r="H4030">
        <f t="shared" si="503"/>
        <v>1</v>
      </c>
      <c r="I4030">
        <v>4029</v>
      </c>
      <c r="J4030">
        <f t="shared" si="498"/>
        <v>0.19232150523909283</v>
      </c>
      <c r="K4030">
        <f t="shared" si="499"/>
        <v>0.98133197167042796</v>
      </c>
      <c r="L4030">
        <f>VLOOKUP(D4030,[1]SOI!$A$1:$C$142,3)</f>
        <v>27.1</v>
      </c>
      <c r="M4030" s="2">
        <f t="shared" si="500"/>
        <v>774.86334460830506</v>
      </c>
      <c r="N4030">
        <f t="shared" si="501"/>
        <v>3953.7865138601542</v>
      </c>
      <c r="O4030" t="s">
        <v>15</v>
      </c>
    </row>
    <row r="4031" spans="1:15" x14ac:dyDescent="0.35">
      <c r="A4031">
        <v>2011</v>
      </c>
      <c r="B4031">
        <v>1</v>
      </c>
      <c r="C4031">
        <v>12</v>
      </c>
      <c r="D4031" s="1">
        <f t="shared" si="496"/>
        <v>40555</v>
      </c>
      <c r="E4031">
        <v>15.4</v>
      </c>
      <c r="F4031">
        <f t="shared" si="502"/>
        <v>7</v>
      </c>
      <c r="G4031">
        <f t="shared" si="497"/>
        <v>1</v>
      </c>
      <c r="H4031">
        <f t="shared" si="503"/>
        <v>1</v>
      </c>
      <c r="I4031">
        <v>4030</v>
      </c>
      <c r="J4031">
        <f t="shared" si="498"/>
        <v>0.20917350564634829</v>
      </c>
      <c r="K4031">
        <f t="shared" si="499"/>
        <v>0.97787854283424025</v>
      </c>
      <c r="L4031">
        <f>VLOOKUP(D4031,[1]SOI!$A$1:$C$142,3)</f>
        <v>27.1</v>
      </c>
      <c r="M4031" s="2">
        <f t="shared" si="500"/>
        <v>842.96922775478356</v>
      </c>
      <c r="N4031">
        <f t="shared" si="501"/>
        <v>3940.850527621988</v>
      </c>
      <c r="O4031" t="s">
        <v>15</v>
      </c>
    </row>
    <row r="4032" spans="1:15" x14ac:dyDescent="0.35">
      <c r="A4032">
        <v>2011</v>
      </c>
      <c r="B4032">
        <v>1</v>
      </c>
      <c r="C4032">
        <v>13</v>
      </c>
      <c r="D4032" s="1">
        <f t="shared" si="496"/>
        <v>40556</v>
      </c>
      <c r="E4032">
        <v>4.8</v>
      </c>
      <c r="F4032">
        <f t="shared" si="502"/>
        <v>15.4</v>
      </c>
      <c r="G4032">
        <f t="shared" si="497"/>
        <v>1</v>
      </c>
      <c r="H4032">
        <f t="shared" si="503"/>
        <v>1</v>
      </c>
      <c r="I4032">
        <v>4031</v>
      </c>
      <c r="J4032">
        <f t="shared" si="498"/>
        <v>0.22596360824801878</v>
      </c>
      <c r="K4032">
        <f t="shared" si="499"/>
        <v>0.97413574400467207</v>
      </c>
      <c r="L4032">
        <f>VLOOKUP(D4032,[1]SOI!$A$1:$C$142,3)</f>
        <v>27.1</v>
      </c>
      <c r="M4032" s="2">
        <f t="shared" si="500"/>
        <v>910.85930484776372</v>
      </c>
      <c r="N4032">
        <f t="shared" si="501"/>
        <v>3926.7411840828331</v>
      </c>
      <c r="O4032" t="s">
        <v>15</v>
      </c>
    </row>
    <row r="4033" spans="1:15" x14ac:dyDescent="0.35">
      <c r="A4033">
        <v>2011</v>
      </c>
      <c r="B4033">
        <v>1</v>
      </c>
      <c r="C4033">
        <v>14</v>
      </c>
      <c r="D4033" s="1">
        <f t="shared" si="496"/>
        <v>40557</v>
      </c>
      <c r="E4033">
        <v>28.2</v>
      </c>
      <c r="F4033">
        <f t="shared" si="502"/>
        <v>4.8</v>
      </c>
      <c r="G4033">
        <f t="shared" si="497"/>
        <v>1</v>
      </c>
      <c r="H4033">
        <f t="shared" si="503"/>
        <v>1</v>
      </c>
      <c r="I4033">
        <v>4032</v>
      </c>
      <c r="J4033">
        <f t="shared" si="498"/>
        <v>0.24268684458258996</v>
      </c>
      <c r="K4033">
        <f t="shared" si="499"/>
        <v>0.97010468273611883</v>
      </c>
      <c r="L4033">
        <f>VLOOKUP(D4033,[1]SOI!$A$1:$C$142,3)</f>
        <v>27.1</v>
      </c>
      <c r="M4033" s="2">
        <f t="shared" si="500"/>
        <v>978.51335735700275</v>
      </c>
      <c r="N4033">
        <f t="shared" si="501"/>
        <v>3911.462080792031</v>
      </c>
      <c r="O4033" t="s">
        <v>15</v>
      </c>
    </row>
    <row r="4034" spans="1:15" x14ac:dyDescent="0.35">
      <c r="A4034">
        <v>2011</v>
      </c>
      <c r="B4034">
        <v>1</v>
      </c>
      <c r="C4034">
        <v>15</v>
      </c>
      <c r="D4034" s="1">
        <f t="shared" si="496"/>
        <v>40558</v>
      </c>
      <c r="E4034">
        <v>22.4</v>
      </c>
      <c r="F4034">
        <f t="shared" si="502"/>
        <v>28.2</v>
      </c>
      <c r="G4034">
        <f t="shared" si="497"/>
        <v>1</v>
      </c>
      <c r="H4034">
        <f t="shared" si="503"/>
        <v>1</v>
      </c>
      <c r="I4034">
        <v>4033</v>
      </c>
      <c r="J4034">
        <f t="shared" si="498"/>
        <v>0.25933826597539333</v>
      </c>
      <c r="K4034">
        <f t="shared" si="499"/>
        <v>0.96578655188446072</v>
      </c>
      <c r="L4034">
        <f>VLOOKUP(D4034,[1]SOI!$A$1:$C$142,3)</f>
        <v>27.1</v>
      </c>
      <c r="M4034" s="2">
        <f t="shared" si="500"/>
        <v>1045.9112266787613</v>
      </c>
      <c r="N4034">
        <f t="shared" si="501"/>
        <v>3895.0171637500302</v>
      </c>
      <c r="O4034" t="s">
        <v>15</v>
      </c>
    </row>
    <row r="4035" spans="1:15" x14ac:dyDescent="0.35">
      <c r="A4035">
        <v>2011</v>
      </c>
      <c r="B4035">
        <v>1</v>
      </c>
      <c r="C4035">
        <v>16</v>
      </c>
      <c r="D4035" s="1">
        <f t="shared" ref="D4035:D4098" si="504">DATE(A4035,B4035,C4035)</f>
        <v>40559</v>
      </c>
      <c r="E4035">
        <v>0</v>
      </c>
      <c r="F4035">
        <f t="shared" si="502"/>
        <v>22.4</v>
      </c>
      <c r="G4035">
        <f t="shared" ref="G4035:G4098" si="505">IF(E4035=0,0,1)</f>
        <v>0</v>
      </c>
      <c r="H4035">
        <f t="shared" si="503"/>
        <v>1</v>
      </c>
      <c r="I4035">
        <v>4034</v>
      </c>
      <c r="J4035">
        <f t="shared" ref="J4035:J4098" si="506">SIN(2*PI()*I4035/365.25)</f>
        <v>0.27591294500295677</v>
      </c>
      <c r="K4035">
        <f t="shared" ref="K4035:K4098" si="507">COS(2*PI()*I4035/365.25)</f>
        <v>0.96118262925408471</v>
      </c>
      <c r="L4035">
        <f>VLOOKUP(D4035,[1]SOI!$A$1:$C$142,3)</f>
        <v>27.1</v>
      </c>
      <c r="M4035" s="2">
        <f t="shared" ref="M4035:M4098" si="508">I4035*J4035</f>
        <v>1113.0328201419277</v>
      </c>
      <c r="N4035">
        <f t="shared" ref="N4035:N4098" si="509">I4035*K4035</f>
        <v>3877.4107264109775</v>
      </c>
      <c r="O4035" t="s">
        <v>15</v>
      </c>
    </row>
    <row r="4036" spans="1:15" x14ac:dyDescent="0.35">
      <c r="A4036">
        <v>2011</v>
      </c>
      <c r="B4036">
        <v>1</v>
      </c>
      <c r="C4036">
        <v>17</v>
      </c>
      <c r="D4036" s="1">
        <f t="shared" si="504"/>
        <v>40560</v>
      </c>
      <c r="E4036">
        <v>0</v>
      </c>
      <c r="F4036">
        <f t="shared" ref="F4036:F4099" si="510">E4035</f>
        <v>0</v>
      </c>
      <c r="G4036">
        <f t="shared" si="505"/>
        <v>0</v>
      </c>
      <c r="H4036">
        <f t="shared" ref="H4036:H4099" si="511">G4035</f>
        <v>0</v>
      </c>
      <c r="I4036">
        <v>4035</v>
      </c>
      <c r="J4036">
        <f t="shared" si="506"/>
        <v>0.29240597695106774</v>
      </c>
      <c r="K4036">
        <f t="shared" si="507"/>
        <v>0.95629427721977489</v>
      </c>
      <c r="L4036">
        <f>VLOOKUP(D4036,[1]SOI!$A$1:$C$142,3)</f>
        <v>27.1</v>
      </c>
      <c r="M4036" s="2">
        <f t="shared" si="508"/>
        <v>1179.8581169975582</v>
      </c>
      <c r="N4036">
        <f t="shared" si="509"/>
        <v>3858.6474085817918</v>
      </c>
      <c r="O4036" t="s">
        <v>15</v>
      </c>
    </row>
    <row r="4037" spans="1:15" x14ac:dyDescent="0.35">
      <c r="A4037">
        <v>2011</v>
      </c>
      <c r="B4037">
        <v>1</v>
      </c>
      <c r="C4037">
        <v>18</v>
      </c>
      <c r="D4037" s="1">
        <f t="shared" si="504"/>
        <v>40561</v>
      </c>
      <c r="E4037">
        <v>0</v>
      </c>
      <c r="F4037">
        <f t="shared" si="510"/>
        <v>0</v>
      </c>
      <c r="G4037">
        <f t="shared" si="505"/>
        <v>0</v>
      </c>
      <c r="H4037">
        <f t="shared" si="511"/>
        <v>0</v>
      </c>
      <c r="I4037">
        <v>4036</v>
      </c>
      <c r="J4037">
        <f t="shared" si="506"/>
        <v>0.30881248126625266</v>
      </c>
      <c r="K4037">
        <f t="shared" si="507"/>
        <v>0.951122942323536</v>
      </c>
      <c r="L4037">
        <f>VLOOKUP(D4037,[1]SOI!$A$1:$C$142,3)</f>
        <v>27.1</v>
      </c>
      <c r="M4037" s="2">
        <f t="shared" si="508"/>
        <v>1246.3671743905957</v>
      </c>
      <c r="N4037">
        <f t="shared" si="509"/>
        <v>3838.7321952177913</v>
      </c>
      <c r="O4037" t="s">
        <v>15</v>
      </c>
    </row>
    <row r="4038" spans="1:15" x14ac:dyDescent="0.35">
      <c r="A4038">
        <v>2011</v>
      </c>
      <c r="B4038">
        <v>1</v>
      </c>
      <c r="C4038">
        <v>19</v>
      </c>
      <c r="D4038" s="1">
        <f t="shared" si="504"/>
        <v>40562</v>
      </c>
      <c r="E4038">
        <v>0</v>
      </c>
      <c r="F4038">
        <f t="shared" si="510"/>
        <v>0</v>
      </c>
      <c r="G4038">
        <f t="shared" si="505"/>
        <v>0</v>
      </c>
      <c r="H4038">
        <f t="shared" si="511"/>
        <v>0</v>
      </c>
      <c r="I4038">
        <v>4037</v>
      </c>
      <c r="J4038">
        <f t="shared" si="506"/>
        <v>0.32512760299990229</v>
      </c>
      <c r="K4038">
        <f t="shared" si="507"/>
        <v>0.94567015484657113</v>
      </c>
      <c r="L4038">
        <f>VLOOKUP(D4038,[1]SOI!$A$1:$C$142,3)</f>
        <v>27.1</v>
      </c>
      <c r="M4038" s="2">
        <f t="shared" si="508"/>
        <v>1312.5401333106056</v>
      </c>
      <c r="N4038">
        <f t="shared" si="509"/>
        <v>3817.6704151156077</v>
      </c>
      <c r="O4038" t="s">
        <v>15</v>
      </c>
    </row>
    <row r="4039" spans="1:15" x14ac:dyDescent="0.35">
      <c r="A4039">
        <v>2011</v>
      </c>
      <c r="B4039">
        <v>1</v>
      </c>
      <c r="C4039">
        <v>20</v>
      </c>
      <c r="D4039" s="1">
        <f t="shared" si="504"/>
        <v>40563</v>
      </c>
      <c r="E4039">
        <v>0</v>
      </c>
      <c r="F4039">
        <f t="shared" si="510"/>
        <v>0</v>
      </c>
      <c r="G4039">
        <f t="shared" si="505"/>
        <v>0</v>
      </c>
      <c r="H4039">
        <f t="shared" si="511"/>
        <v>0</v>
      </c>
      <c r="I4039">
        <v>4038</v>
      </c>
      <c r="J4039">
        <f t="shared" si="506"/>
        <v>0.34134651424503754</v>
      </c>
      <c r="K4039">
        <f t="shared" si="507"/>
        <v>0.93993752835641287</v>
      </c>
      <c r="L4039">
        <f>VLOOKUP(D4039,[1]SOI!$A$1:$C$142,3)</f>
        <v>27.1</v>
      </c>
      <c r="M4039" s="2">
        <f t="shared" si="508"/>
        <v>1378.3572245214616</v>
      </c>
      <c r="N4039">
        <f t="shared" si="509"/>
        <v>3795.4677395031949</v>
      </c>
      <c r="O4039" t="s">
        <v>15</v>
      </c>
    </row>
    <row r="4040" spans="1:15" x14ac:dyDescent="0.35">
      <c r="A4040">
        <v>2011</v>
      </c>
      <c r="B4040">
        <v>1</v>
      </c>
      <c r="C4040">
        <v>21</v>
      </c>
      <c r="D4040" s="1">
        <f t="shared" si="504"/>
        <v>40564</v>
      </c>
      <c r="E4040">
        <v>0</v>
      </c>
      <c r="F4040">
        <f t="shared" si="510"/>
        <v>0</v>
      </c>
      <c r="G4040">
        <f t="shared" si="505"/>
        <v>0</v>
      </c>
      <c r="H4040">
        <f t="shared" si="511"/>
        <v>0</v>
      </c>
      <c r="I4040">
        <v>4039</v>
      </c>
      <c r="J4040">
        <f t="shared" si="506"/>
        <v>0.35746441556485697</v>
      </c>
      <c r="K4040">
        <f t="shared" si="507"/>
        <v>0.93392675922947788</v>
      </c>
      <c r="L4040">
        <f>VLOOKUP(D4040,[1]SOI!$A$1:$C$142,3)</f>
        <v>27.1</v>
      </c>
      <c r="M4040" s="2">
        <f t="shared" si="508"/>
        <v>1443.7987744664574</v>
      </c>
      <c r="N4040">
        <f t="shared" si="509"/>
        <v>3772.1301805278613</v>
      </c>
      <c r="O4040" t="s">
        <v>15</v>
      </c>
    </row>
    <row r="4041" spans="1:15" x14ac:dyDescent="0.35">
      <c r="A4041">
        <v>2011</v>
      </c>
      <c r="B4041">
        <v>1</v>
      </c>
      <c r="C4041">
        <v>22</v>
      </c>
      <c r="D4041" s="1">
        <f t="shared" si="504"/>
        <v>40565</v>
      </c>
      <c r="E4041">
        <v>0</v>
      </c>
      <c r="F4041">
        <f t="shared" si="510"/>
        <v>0</v>
      </c>
      <c r="G4041">
        <f t="shared" si="505"/>
        <v>0</v>
      </c>
      <c r="H4041">
        <f t="shared" si="511"/>
        <v>0</v>
      </c>
      <c r="I4041">
        <v>4040</v>
      </c>
      <c r="J4041">
        <f t="shared" si="506"/>
        <v>0.37347653741306142</v>
      </c>
      <c r="K4041">
        <f t="shared" si="507"/>
        <v>0.92763962614905049</v>
      </c>
      <c r="L4041">
        <f>VLOOKUP(D4041,[1]SOI!$A$1:$C$142,3)</f>
        <v>27.1</v>
      </c>
      <c r="M4041" s="2">
        <f t="shared" si="508"/>
        <v>1508.8452111487682</v>
      </c>
      <c r="N4041">
        <f t="shared" si="509"/>
        <v>3747.6640896421641</v>
      </c>
      <c r="O4041" t="s">
        <v>15</v>
      </c>
    </row>
    <row r="4042" spans="1:15" x14ac:dyDescent="0.35">
      <c r="A4042">
        <v>2011</v>
      </c>
      <c r="B4042">
        <v>1</v>
      </c>
      <c r="C4042">
        <v>23</v>
      </c>
      <c r="D4042" s="1">
        <f t="shared" si="504"/>
        <v>40566</v>
      </c>
      <c r="E4042">
        <v>0</v>
      </c>
      <c r="F4042">
        <f t="shared" si="510"/>
        <v>0</v>
      </c>
      <c r="G4042">
        <f t="shared" si="505"/>
        <v>0</v>
      </c>
      <c r="H4042">
        <f t="shared" si="511"/>
        <v>0</v>
      </c>
      <c r="I4042">
        <v>4041</v>
      </c>
      <c r="J4042">
        <f t="shared" si="506"/>
        <v>0.38937814154519879</v>
      </c>
      <c r="K4042">
        <f t="shared" si="507"/>
        <v>0.9210779895789537</v>
      </c>
      <c r="L4042">
        <f>VLOOKUP(D4042,[1]SOI!$A$1:$C$142,3)</f>
        <v>27.1</v>
      </c>
      <c r="M4042" s="2">
        <f t="shared" si="508"/>
        <v>1573.4770699841483</v>
      </c>
      <c r="N4042">
        <f t="shared" si="509"/>
        <v>3722.076155888552</v>
      </c>
      <c r="O4042" t="s">
        <v>15</v>
      </c>
    </row>
    <row r="4043" spans="1:15" x14ac:dyDescent="0.35">
      <c r="A4043">
        <v>2011</v>
      </c>
      <c r="B4043">
        <v>1</v>
      </c>
      <c r="C4043">
        <v>24</v>
      </c>
      <c r="D4043" s="1">
        <f t="shared" si="504"/>
        <v>40567</v>
      </c>
      <c r="E4043">
        <v>4.5999999999999996</v>
      </c>
      <c r="F4043">
        <f t="shared" si="510"/>
        <v>0</v>
      </c>
      <c r="G4043">
        <f t="shared" si="505"/>
        <v>1</v>
      </c>
      <c r="H4043">
        <f t="shared" si="511"/>
        <v>0</v>
      </c>
      <c r="I4043">
        <v>4042</v>
      </c>
      <c r="J4043">
        <f t="shared" si="506"/>
        <v>0.40516452242076095</v>
      </c>
      <c r="K4043">
        <f t="shared" si="507"/>
        <v>0.91424379121302035</v>
      </c>
      <c r="L4043">
        <f>VLOOKUP(D4043,[1]SOI!$A$1:$C$142,3)</f>
        <v>27.1</v>
      </c>
      <c r="M4043" s="2">
        <f t="shared" si="508"/>
        <v>1637.6749996247158</v>
      </c>
      <c r="N4043">
        <f t="shared" si="509"/>
        <v>3695.3734040830282</v>
      </c>
      <c r="O4043" t="s">
        <v>15</v>
      </c>
    </row>
    <row r="4044" spans="1:15" x14ac:dyDescent="0.35">
      <c r="A4044">
        <v>2011</v>
      </c>
      <c r="B4044">
        <v>1</v>
      </c>
      <c r="C4044">
        <v>25</v>
      </c>
      <c r="D4044" s="1">
        <f t="shared" si="504"/>
        <v>40568</v>
      </c>
      <c r="E4044">
        <v>0</v>
      </c>
      <c r="F4044">
        <f t="shared" si="510"/>
        <v>4.5999999999999996</v>
      </c>
      <c r="G4044">
        <f t="shared" si="505"/>
        <v>0</v>
      </c>
      <c r="H4044">
        <f t="shared" si="511"/>
        <v>1</v>
      </c>
      <c r="I4044">
        <v>4043</v>
      </c>
      <c r="J4044">
        <f t="shared" si="506"/>
        <v>0.42083100859565536</v>
      </c>
      <c r="K4044">
        <f t="shared" si="507"/>
        <v>0.90713905340050449</v>
      </c>
      <c r="L4044">
        <f>VLOOKUP(D4044,[1]SOI!$A$1:$C$142,3)</f>
        <v>27.1</v>
      </c>
      <c r="M4044" s="2">
        <f t="shared" si="508"/>
        <v>1701.4197677522347</v>
      </c>
      <c r="N4044">
        <f t="shared" si="509"/>
        <v>3667.5631928982398</v>
      </c>
      <c r="O4044" t="s">
        <v>15</v>
      </c>
    </row>
    <row r="4045" spans="1:15" x14ac:dyDescent="0.35">
      <c r="A4045">
        <v>2011</v>
      </c>
      <c r="B4045">
        <v>1</v>
      </c>
      <c r="C4045">
        <v>26</v>
      </c>
      <c r="D4045" s="1">
        <f t="shared" si="504"/>
        <v>40569</v>
      </c>
      <c r="E4045">
        <v>6.2</v>
      </c>
      <c r="F4045">
        <f t="shared" si="510"/>
        <v>0</v>
      </c>
      <c r="G4045">
        <f t="shared" si="505"/>
        <v>1</v>
      </c>
      <c r="H4045">
        <f t="shared" si="511"/>
        <v>0</v>
      </c>
      <c r="I4045">
        <v>4044</v>
      </c>
      <c r="J4045">
        <f t="shared" si="506"/>
        <v>0.43637296410458659</v>
      </c>
      <c r="K4045">
        <f t="shared" si="507"/>
        <v>0.89976587854762369</v>
      </c>
      <c r="L4045">
        <f>VLOOKUP(D4045,[1]SOI!$A$1:$C$142,3)</f>
        <v>27.1</v>
      </c>
      <c r="M4045" s="2">
        <f t="shared" si="508"/>
        <v>1764.6922668389482</v>
      </c>
      <c r="N4045">
        <f t="shared" si="509"/>
        <v>3638.6532128465901</v>
      </c>
      <c r="O4045" t="s">
        <v>15</v>
      </c>
    </row>
    <row r="4046" spans="1:15" x14ac:dyDescent="0.35">
      <c r="A4046">
        <v>2011</v>
      </c>
      <c r="B4046">
        <v>1</v>
      </c>
      <c r="C4046">
        <v>27</v>
      </c>
      <c r="D4046" s="1">
        <f t="shared" si="504"/>
        <v>40570</v>
      </c>
      <c r="E4046">
        <v>0.2</v>
      </c>
      <c r="F4046">
        <f t="shared" si="510"/>
        <v>6.2</v>
      </c>
      <c r="G4046">
        <f t="shared" si="505"/>
        <v>1</v>
      </c>
      <c r="H4046">
        <f t="shared" si="511"/>
        <v>1</v>
      </c>
      <c r="I4046">
        <v>4045</v>
      </c>
      <c r="J4046">
        <f t="shared" si="506"/>
        <v>0.45178578983287343</v>
      </c>
      <c r="K4046">
        <f t="shared" si="507"/>
        <v>0.89212644849543987</v>
      </c>
      <c r="L4046">
        <f>VLOOKUP(D4046,[1]SOI!$A$1:$C$142,3)</f>
        <v>27.1</v>
      </c>
      <c r="M4046" s="2">
        <f t="shared" si="508"/>
        <v>1827.4735198739729</v>
      </c>
      <c r="N4046">
        <f t="shared" si="509"/>
        <v>3608.6514841640542</v>
      </c>
      <c r="O4046" t="s">
        <v>15</v>
      </c>
    </row>
    <row r="4047" spans="1:15" x14ac:dyDescent="0.35">
      <c r="A4047">
        <v>2011</v>
      </c>
      <c r="B4047">
        <v>1</v>
      </c>
      <c r="C4047">
        <v>28</v>
      </c>
      <c r="D4047" s="1">
        <f t="shared" si="504"/>
        <v>40571</v>
      </c>
      <c r="E4047">
        <v>0</v>
      </c>
      <c r="F4047">
        <f t="shared" si="510"/>
        <v>0.2</v>
      </c>
      <c r="G4047">
        <f t="shared" si="505"/>
        <v>0</v>
      </c>
      <c r="H4047">
        <f t="shared" si="511"/>
        <v>1</v>
      </c>
      <c r="I4047">
        <v>4046</v>
      </c>
      <c r="J4047">
        <f t="shared" si="506"/>
        <v>0.46706492487742696</v>
      </c>
      <c r="K4047">
        <f t="shared" si="507"/>
        <v>0.88422302387420537</v>
      </c>
      <c r="L4047">
        <f>VLOOKUP(D4047,[1]SOI!$A$1:$C$142,3)</f>
        <v>27.1</v>
      </c>
      <c r="M4047" s="2">
        <f t="shared" si="508"/>
        <v>1889.7446860540695</v>
      </c>
      <c r="N4047">
        <f t="shared" si="509"/>
        <v>3577.5663545950351</v>
      </c>
      <c r="O4047" t="s">
        <v>15</v>
      </c>
    </row>
    <row r="4048" spans="1:15" x14ac:dyDescent="0.35">
      <c r="A4048">
        <v>2011</v>
      </c>
      <c r="B4048">
        <v>1</v>
      </c>
      <c r="C4048">
        <v>29</v>
      </c>
      <c r="D4048" s="1">
        <f t="shared" si="504"/>
        <v>40572</v>
      </c>
      <c r="E4048">
        <v>0</v>
      </c>
      <c r="F4048">
        <f t="shared" si="510"/>
        <v>0</v>
      </c>
      <c r="G4048">
        <f t="shared" si="505"/>
        <v>0</v>
      </c>
      <c r="H4048">
        <f t="shared" si="511"/>
        <v>0</v>
      </c>
      <c r="I4048">
        <v>4047</v>
      </c>
      <c r="J4048">
        <f t="shared" si="506"/>
        <v>0.48220584789635706</v>
      </c>
      <c r="K4048">
        <f t="shared" si="507"/>
        <v>0.87605794343442567</v>
      </c>
      <c r="L4048">
        <f>VLOOKUP(D4048,[1]SOI!$A$1:$C$142,3)</f>
        <v>27.1</v>
      </c>
      <c r="M4048" s="2">
        <f t="shared" si="508"/>
        <v>1951.4870664365571</v>
      </c>
      <c r="N4048">
        <f t="shared" si="509"/>
        <v>3545.4064970791205</v>
      </c>
      <c r="O4048" t="s">
        <v>15</v>
      </c>
    </row>
    <row r="4049" spans="1:15" x14ac:dyDescent="0.35">
      <c r="A4049">
        <v>2011</v>
      </c>
      <c r="B4049">
        <v>1</v>
      </c>
      <c r="C4049">
        <v>30</v>
      </c>
      <c r="D4049" s="1">
        <f t="shared" si="504"/>
        <v>40573</v>
      </c>
      <c r="E4049">
        <v>0</v>
      </c>
      <c r="F4049">
        <f t="shared" si="510"/>
        <v>0</v>
      </c>
      <c r="G4049">
        <f t="shared" si="505"/>
        <v>0</v>
      </c>
      <c r="H4049">
        <f t="shared" si="511"/>
        <v>0</v>
      </c>
      <c r="I4049">
        <v>4048</v>
      </c>
      <c r="J4049">
        <f t="shared" si="506"/>
        <v>0.49720407844693604</v>
      </c>
      <c r="K4049">
        <f t="shared" si="507"/>
        <v>0.86763362335477356</v>
      </c>
      <c r="L4049">
        <f>VLOOKUP(D4049,[1]SOI!$A$1:$C$142,3)</f>
        <v>27.1</v>
      </c>
      <c r="M4049" s="2">
        <f t="shared" si="508"/>
        <v>2012.6821095531971</v>
      </c>
      <c r="N4049">
        <f t="shared" si="509"/>
        <v>3512.1809073401232</v>
      </c>
      <c r="O4049" t="s">
        <v>15</v>
      </c>
    </row>
    <row r="4050" spans="1:15" x14ac:dyDescent="0.35">
      <c r="A4050">
        <v>2011</v>
      </c>
      <c r="B4050">
        <v>1</v>
      </c>
      <c r="C4050">
        <v>31</v>
      </c>
      <c r="D4050" s="1">
        <f t="shared" si="504"/>
        <v>40574</v>
      </c>
      <c r="E4050">
        <v>0</v>
      </c>
      <c r="F4050">
        <f t="shared" si="510"/>
        <v>0</v>
      </c>
      <c r="G4050">
        <f t="shared" si="505"/>
        <v>0</v>
      </c>
      <c r="H4050">
        <f t="shared" si="511"/>
        <v>0</v>
      </c>
      <c r="I4050">
        <v>4049</v>
      </c>
      <c r="J4050">
        <f t="shared" si="506"/>
        <v>0.51205517831147052</v>
      </c>
      <c r="K4050">
        <f t="shared" si="507"/>
        <v>0.85895255652708091</v>
      </c>
      <c r="L4050">
        <f>VLOOKUP(D4050,[1]SOI!$A$1:$C$142,3)</f>
        <v>27.1</v>
      </c>
      <c r="M4050" s="2">
        <f t="shared" si="508"/>
        <v>2073.3114169831442</v>
      </c>
      <c r="N4050">
        <f t="shared" si="509"/>
        <v>3477.8989013781506</v>
      </c>
      <c r="O4050" t="s">
        <v>15</v>
      </c>
    </row>
    <row r="4051" spans="1:15" x14ac:dyDescent="0.35">
      <c r="A4051">
        <v>2011</v>
      </c>
      <c r="B4051">
        <v>2</v>
      </c>
      <c r="C4051">
        <v>1</v>
      </c>
      <c r="D4051" s="1">
        <f t="shared" si="504"/>
        <v>40575</v>
      </c>
      <c r="E4051">
        <v>0</v>
      </c>
      <c r="F4051">
        <f t="shared" si="510"/>
        <v>0</v>
      </c>
      <c r="G4051">
        <f t="shared" si="505"/>
        <v>0</v>
      </c>
      <c r="H4051">
        <f t="shared" si="511"/>
        <v>0</v>
      </c>
      <c r="I4051">
        <v>4050</v>
      </c>
      <c r="J4051">
        <f t="shared" si="506"/>
        <v>0.52675475281054263</v>
      </c>
      <c r="K4051">
        <f t="shared" si="507"/>
        <v>0.85001731181870888</v>
      </c>
      <c r="L4051">
        <f>VLOOKUP(D4051,[1]SOI!$A$1:$C$142,3)</f>
        <v>19.899999999999999</v>
      </c>
      <c r="M4051" s="2">
        <f t="shared" si="508"/>
        <v>2133.3567488826975</v>
      </c>
      <c r="N4051">
        <f t="shared" si="509"/>
        <v>3442.5701128657711</v>
      </c>
      <c r="O4051" t="s">
        <v>15</v>
      </c>
    </row>
    <row r="4052" spans="1:15" x14ac:dyDescent="0.35">
      <c r="A4052">
        <v>2011</v>
      </c>
      <c r="B4052">
        <v>2</v>
      </c>
      <c r="C4052">
        <v>2</v>
      </c>
      <c r="D4052" s="1">
        <f t="shared" si="504"/>
        <v>40576</v>
      </c>
      <c r="E4052">
        <v>0</v>
      </c>
      <c r="F4052">
        <f t="shared" si="510"/>
        <v>0</v>
      </c>
      <c r="G4052">
        <f t="shared" si="505"/>
        <v>0</v>
      </c>
      <c r="H4052">
        <f t="shared" si="511"/>
        <v>0</v>
      </c>
      <c r="I4052">
        <v>4051</v>
      </c>
      <c r="J4052">
        <f t="shared" si="506"/>
        <v>0.54129845210361327</v>
      </c>
      <c r="K4052">
        <f t="shared" si="507"/>
        <v>0.8408305333122913</v>
      </c>
      <c r="L4052">
        <f>VLOOKUP(D4052,[1]SOI!$A$1:$C$142,3)</f>
        <v>19.899999999999999</v>
      </c>
      <c r="M4052" s="2">
        <f t="shared" si="508"/>
        <v>2192.8000294717372</v>
      </c>
      <c r="N4052">
        <f t="shared" si="509"/>
        <v>3406.2044904480922</v>
      </c>
      <c r="O4052" t="s">
        <v>15</v>
      </c>
    </row>
    <row r="4053" spans="1:15" x14ac:dyDescent="0.35">
      <c r="A4053">
        <v>2011</v>
      </c>
      <c r="B4053">
        <v>2</v>
      </c>
      <c r="C4053">
        <v>3</v>
      </c>
      <c r="D4053" s="1">
        <f t="shared" si="504"/>
        <v>40577</v>
      </c>
      <c r="E4053">
        <v>0</v>
      </c>
      <c r="F4053">
        <f t="shared" si="510"/>
        <v>0</v>
      </c>
      <c r="G4053">
        <f t="shared" si="505"/>
        <v>0</v>
      </c>
      <c r="H4053">
        <f t="shared" si="511"/>
        <v>0</v>
      </c>
      <c r="I4053">
        <v>4052</v>
      </c>
      <c r="J4053">
        <f t="shared" si="506"/>
        <v>0.55568197247605167</v>
      </c>
      <c r="K4053">
        <f t="shared" si="507"/>
        <v>0.83139493952340393</v>
      </c>
      <c r="L4053">
        <f>VLOOKUP(D4053,[1]SOI!$A$1:$C$142,3)</f>
        <v>19.899999999999999</v>
      </c>
      <c r="M4053" s="2">
        <f t="shared" si="508"/>
        <v>2251.6233524729614</v>
      </c>
      <c r="N4053">
        <f t="shared" si="509"/>
        <v>3368.8122949488329</v>
      </c>
      <c r="O4053" t="s">
        <v>15</v>
      </c>
    </row>
    <row r="4054" spans="1:15" x14ac:dyDescent="0.35">
      <c r="A4054">
        <v>2011</v>
      </c>
      <c r="B4054">
        <v>2</v>
      </c>
      <c r="C4054">
        <v>4</v>
      </c>
      <c r="D4054" s="1">
        <f t="shared" si="504"/>
        <v>40578</v>
      </c>
      <c r="E4054">
        <v>2.4</v>
      </c>
      <c r="F4054">
        <f t="shared" si="510"/>
        <v>0</v>
      </c>
      <c r="G4054">
        <f t="shared" si="505"/>
        <v>1</v>
      </c>
      <c r="H4054">
        <f t="shared" si="511"/>
        <v>0</v>
      </c>
      <c r="I4054">
        <v>4053</v>
      </c>
      <c r="J4054">
        <f t="shared" si="506"/>
        <v>0.56990105761275922</v>
      </c>
      <c r="K4054">
        <f t="shared" si="507"/>
        <v>0.82171332259606111</v>
      </c>
      <c r="L4054">
        <f>VLOOKUP(D4054,[1]SOI!$A$1:$C$142,3)</f>
        <v>19.899999999999999</v>
      </c>
      <c r="M4054" s="2">
        <f t="shared" si="508"/>
        <v>2309.8089865045131</v>
      </c>
      <c r="N4054">
        <f t="shared" si="509"/>
        <v>3330.4040964818355</v>
      </c>
      <c r="O4054" t="s">
        <v>15</v>
      </c>
    </row>
    <row r="4055" spans="1:15" x14ac:dyDescent="0.35">
      <c r="A4055">
        <v>2011</v>
      </c>
      <c r="B4055">
        <v>2</v>
      </c>
      <c r="C4055">
        <v>5</v>
      </c>
      <c r="D4055" s="1">
        <f t="shared" si="504"/>
        <v>40579</v>
      </c>
      <c r="E4055">
        <v>82.4</v>
      </c>
      <c r="F4055">
        <f t="shared" si="510"/>
        <v>2.4</v>
      </c>
      <c r="G4055">
        <f t="shared" si="505"/>
        <v>1</v>
      </c>
      <c r="H4055">
        <f t="shared" si="511"/>
        <v>1</v>
      </c>
      <c r="I4055">
        <v>4054</v>
      </c>
      <c r="J4055">
        <f t="shared" si="506"/>
        <v>0.58395149985770456</v>
      </c>
      <c r="K4055">
        <f t="shared" si="507"/>
        <v>0.8117885474764579</v>
      </c>
      <c r="L4055">
        <f>VLOOKUP(D4055,[1]SOI!$A$1:$C$142,3)</f>
        <v>19.899999999999999</v>
      </c>
      <c r="M4055" s="2">
        <f t="shared" si="508"/>
        <v>2367.3393804231341</v>
      </c>
      <c r="N4055">
        <f t="shared" si="509"/>
        <v>3290.9907714695605</v>
      </c>
      <c r="O4055" t="s">
        <v>15</v>
      </c>
    </row>
    <row r="4056" spans="1:15" x14ac:dyDescent="0.35">
      <c r="A4056">
        <v>2011</v>
      </c>
      <c r="B4056">
        <v>2</v>
      </c>
      <c r="C4056">
        <v>6</v>
      </c>
      <c r="D4056" s="1">
        <f t="shared" si="504"/>
        <v>40580</v>
      </c>
      <c r="E4056">
        <v>2</v>
      </c>
      <c r="F4056">
        <f t="shared" si="510"/>
        <v>82.4</v>
      </c>
      <c r="G4056">
        <f t="shared" si="505"/>
        <v>1</v>
      </c>
      <c r="H4056">
        <f t="shared" si="511"/>
        <v>1</v>
      </c>
      <c r="I4056">
        <v>4055</v>
      </c>
      <c r="J4056">
        <f t="shared" si="506"/>
        <v>0.59782914145895416</v>
      </c>
      <c r="K4056">
        <f t="shared" si="507"/>
        <v>0.80162355106524263</v>
      </c>
      <c r="L4056">
        <f>VLOOKUP(D4056,[1]SOI!$A$1:$C$142,3)</f>
        <v>19.899999999999999</v>
      </c>
      <c r="M4056" s="2">
        <f t="shared" si="508"/>
        <v>2424.1971686160591</v>
      </c>
      <c r="N4056">
        <f t="shared" si="509"/>
        <v>3250.5834995695591</v>
      </c>
      <c r="O4056" t="s">
        <v>15</v>
      </c>
    </row>
    <row r="4057" spans="1:15" x14ac:dyDescent="0.35">
      <c r="A4057">
        <v>2011</v>
      </c>
      <c r="B4057">
        <v>2</v>
      </c>
      <c r="C4057">
        <v>7</v>
      </c>
      <c r="D4057" s="1">
        <f t="shared" si="504"/>
        <v>40581</v>
      </c>
      <c r="E4057">
        <v>2.6</v>
      </c>
      <c r="F4057">
        <f t="shared" si="510"/>
        <v>2</v>
      </c>
      <c r="G4057">
        <f t="shared" si="505"/>
        <v>1</v>
      </c>
      <c r="H4057">
        <f t="shared" si="511"/>
        <v>1</v>
      </c>
      <c r="I4057">
        <v>4056</v>
      </c>
      <c r="J4057">
        <f t="shared" si="506"/>
        <v>0.61152987579910023</v>
      </c>
      <c r="K4057">
        <f t="shared" si="507"/>
        <v>0.79122134134838473</v>
      </c>
      <c r="L4057">
        <f>VLOOKUP(D4057,[1]SOI!$A$1:$C$142,3)</f>
        <v>19.899999999999999</v>
      </c>
      <c r="M4057" s="2">
        <f t="shared" si="508"/>
        <v>2480.3651762411505</v>
      </c>
      <c r="N4057">
        <f t="shared" si="509"/>
        <v>3209.1937605090484</v>
      </c>
      <c r="O4057" t="s">
        <v>15</v>
      </c>
    </row>
    <row r="4058" spans="1:15" x14ac:dyDescent="0.35">
      <c r="A4058">
        <v>2011</v>
      </c>
      <c r="B4058">
        <v>2</v>
      </c>
      <c r="C4058">
        <v>8</v>
      </c>
      <c r="D4058" s="1">
        <f t="shared" si="504"/>
        <v>40582</v>
      </c>
      <c r="E4058">
        <v>3.2</v>
      </c>
      <c r="F4058">
        <f t="shared" si="510"/>
        <v>2.6</v>
      </c>
      <c r="G4058">
        <f t="shared" si="505"/>
        <v>1</v>
      </c>
      <c r="H4058">
        <f t="shared" si="511"/>
        <v>1</v>
      </c>
      <c r="I4058">
        <v>4057</v>
      </c>
      <c r="J4058">
        <f t="shared" si="506"/>
        <v>0.62504964861043888</v>
      </c>
      <c r="K4058">
        <f t="shared" si="507"/>
        <v>0.78058499650708568</v>
      </c>
      <c r="L4058">
        <f>VLOOKUP(D4058,[1]SOI!$A$1:$C$142,3)</f>
        <v>19.899999999999999</v>
      </c>
      <c r="M4058" s="2">
        <f t="shared" si="508"/>
        <v>2535.8264244125508</v>
      </c>
      <c r="N4058">
        <f t="shared" si="509"/>
        <v>3166.8333308292467</v>
      </c>
      <c r="O4058" t="s">
        <v>15</v>
      </c>
    </row>
    <row r="4059" spans="1:15" x14ac:dyDescent="0.35">
      <c r="A4059">
        <v>2011</v>
      </c>
      <c r="B4059">
        <v>2</v>
      </c>
      <c r="C4059">
        <v>9</v>
      </c>
      <c r="D4059" s="1">
        <f t="shared" si="504"/>
        <v>40583</v>
      </c>
      <c r="E4059">
        <v>0</v>
      </c>
      <c r="F4059">
        <f t="shared" si="510"/>
        <v>3.2</v>
      </c>
      <c r="G4059">
        <f t="shared" si="505"/>
        <v>0</v>
      </c>
      <c r="H4059">
        <f t="shared" si="511"/>
        <v>1</v>
      </c>
      <c r="I4059">
        <v>4058</v>
      </c>
      <c r="J4059">
        <f t="shared" si="506"/>
        <v>0.63838445917466069</v>
      </c>
      <c r="K4059">
        <f t="shared" si="507"/>
        <v>0.7697176640069241</v>
      </c>
      <c r="L4059">
        <f>VLOOKUP(D4059,[1]SOI!$A$1:$C$142,3)</f>
        <v>19.899999999999999</v>
      </c>
      <c r="M4059" s="2">
        <f t="shared" si="508"/>
        <v>2590.5641353307733</v>
      </c>
      <c r="N4059">
        <f t="shared" si="509"/>
        <v>3123.5142805400978</v>
      </c>
      <c r="O4059" t="s">
        <v>15</v>
      </c>
    </row>
    <row r="4060" spans="1:15" x14ac:dyDescent="0.35">
      <c r="A4060">
        <v>2011</v>
      </c>
      <c r="B4060">
        <v>2</v>
      </c>
      <c r="C4060">
        <v>10</v>
      </c>
      <c r="D4060" s="1">
        <f t="shared" si="504"/>
        <v>40584</v>
      </c>
      <c r="E4060">
        <v>0</v>
      </c>
      <c r="F4060">
        <f t="shared" si="510"/>
        <v>0</v>
      </c>
      <c r="G4060">
        <f t="shared" si="505"/>
        <v>0</v>
      </c>
      <c r="H4060">
        <f t="shared" si="511"/>
        <v>0</v>
      </c>
      <c r="I4060">
        <v>4059</v>
      </c>
      <c r="J4060">
        <f t="shared" si="506"/>
        <v>0.65153036150680521</v>
      </c>
      <c r="K4060">
        <f t="shared" si="507"/>
        <v>0.75862255966640724</v>
      </c>
      <c r="L4060">
        <f>VLOOKUP(D4060,[1]SOI!$A$1:$C$142,3)</f>
        <v>19.899999999999999</v>
      </c>
      <c r="M4060" s="2">
        <f t="shared" si="508"/>
        <v>2644.5617373561222</v>
      </c>
      <c r="N4060">
        <f t="shared" si="509"/>
        <v>3079.248969685947</v>
      </c>
      <c r="O4060" t="s">
        <v>15</v>
      </c>
    </row>
    <row r="4061" spans="1:15" x14ac:dyDescent="0.35">
      <c r="A4061">
        <v>2011</v>
      </c>
      <c r="B4061">
        <v>2</v>
      </c>
      <c r="C4061">
        <v>11</v>
      </c>
      <c r="D4061" s="1">
        <f t="shared" si="504"/>
        <v>40585</v>
      </c>
      <c r="E4061">
        <v>1.8</v>
      </c>
      <c r="F4061">
        <f t="shared" si="510"/>
        <v>0</v>
      </c>
      <c r="G4061">
        <f t="shared" si="505"/>
        <v>1</v>
      </c>
      <c r="H4061">
        <f t="shared" si="511"/>
        <v>0</v>
      </c>
      <c r="I4061">
        <v>4060</v>
      </c>
      <c r="J4061">
        <f t="shared" si="506"/>
        <v>0.66448346552285364</v>
      </c>
      <c r="K4061">
        <f t="shared" si="507"/>
        <v>0.74730296670543106</v>
      </c>
      <c r="L4061">
        <f>VLOOKUP(D4061,[1]SOI!$A$1:$C$142,3)</f>
        <v>19.899999999999999</v>
      </c>
      <c r="M4061" s="2">
        <f t="shared" si="508"/>
        <v>2697.802870022786</v>
      </c>
      <c r="N4061">
        <f t="shared" si="509"/>
        <v>3034.05004482405</v>
      </c>
      <c r="O4061" t="s">
        <v>15</v>
      </c>
    </row>
    <row r="4062" spans="1:15" x14ac:dyDescent="0.35">
      <c r="A4062">
        <v>2011</v>
      </c>
      <c r="B4062">
        <v>2</v>
      </c>
      <c r="C4062">
        <v>12</v>
      </c>
      <c r="D4062" s="1">
        <f t="shared" si="504"/>
        <v>40586</v>
      </c>
      <c r="E4062">
        <v>4.4000000000000004</v>
      </c>
      <c r="F4062">
        <f t="shared" si="510"/>
        <v>1.8</v>
      </c>
      <c r="G4062">
        <f t="shared" si="505"/>
        <v>1</v>
      </c>
      <c r="H4062">
        <f t="shared" si="511"/>
        <v>1</v>
      </c>
      <c r="I4062">
        <v>4061</v>
      </c>
      <c r="J4062">
        <f t="shared" si="506"/>
        <v>0.67723993819094297</v>
      </c>
      <c r="K4062">
        <f t="shared" si="507"/>
        <v>0.73576223477365821</v>
      </c>
      <c r="L4062">
        <f>VLOOKUP(D4062,[1]SOI!$A$1:$C$142,3)</f>
        <v>19.899999999999999</v>
      </c>
      <c r="M4062" s="2">
        <f t="shared" si="508"/>
        <v>2750.2713889934194</v>
      </c>
      <c r="N4062">
        <f t="shared" si="509"/>
        <v>2987.9304354158262</v>
      </c>
      <c r="O4062" t="s">
        <v>15</v>
      </c>
    </row>
    <row r="4063" spans="1:15" x14ac:dyDescent="0.35">
      <c r="A4063">
        <v>2011</v>
      </c>
      <c r="B4063">
        <v>2</v>
      </c>
      <c r="C4063">
        <v>13</v>
      </c>
      <c r="D4063" s="1">
        <f t="shared" si="504"/>
        <v>40587</v>
      </c>
      <c r="E4063">
        <v>0</v>
      </c>
      <c r="F4063">
        <f t="shared" si="510"/>
        <v>4.4000000000000004</v>
      </c>
      <c r="G4063">
        <f t="shared" si="505"/>
        <v>0</v>
      </c>
      <c r="H4063">
        <f t="shared" si="511"/>
        <v>1</v>
      </c>
      <c r="I4063">
        <v>4062</v>
      </c>
      <c r="J4063">
        <f t="shared" si="506"/>
        <v>0.6897960046655891</v>
      </c>
      <c r="K4063">
        <f t="shared" si="507"/>
        <v>0.7240037789593301</v>
      </c>
      <c r="L4063">
        <f>VLOOKUP(D4063,[1]SOI!$A$1:$C$142,3)</f>
        <v>19.899999999999999</v>
      </c>
      <c r="M4063" s="2">
        <f t="shared" si="508"/>
        <v>2801.9513709516227</v>
      </c>
      <c r="N4063">
        <f t="shared" si="509"/>
        <v>2940.903350132799</v>
      </c>
      <c r="O4063" t="s">
        <v>15</v>
      </c>
    </row>
    <row r="4064" spans="1:15" x14ac:dyDescent="0.35">
      <c r="A4064">
        <v>2011</v>
      </c>
      <c r="B4064">
        <v>2</v>
      </c>
      <c r="C4064">
        <v>14</v>
      </c>
      <c r="D4064" s="1">
        <f t="shared" si="504"/>
        <v>40588</v>
      </c>
      <c r="E4064">
        <v>0</v>
      </c>
      <c r="F4064">
        <f t="shared" si="510"/>
        <v>0</v>
      </c>
      <c r="G4064">
        <f t="shared" si="505"/>
        <v>0</v>
      </c>
      <c r="H4064">
        <f t="shared" si="511"/>
        <v>0</v>
      </c>
      <c r="I4064">
        <v>4063</v>
      </c>
      <c r="J4064">
        <f t="shared" si="506"/>
        <v>0.70214794940469383</v>
      </c>
      <c r="K4064">
        <f t="shared" si="507"/>
        <v>0.71203107877871696</v>
      </c>
      <c r="L4064">
        <f>VLOOKUP(D4064,[1]SOI!$A$1:$C$142,3)</f>
        <v>19.899999999999999</v>
      </c>
      <c r="M4064" s="2">
        <f t="shared" si="508"/>
        <v>2852.8271184312712</v>
      </c>
      <c r="N4064">
        <f t="shared" si="509"/>
        <v>2892.9822730779269</v>
      </c>
      <c r="O4064" t="s">
        <v>15</v>
      </c>
    </row>
    <row r="4065" spans="1:15" x14ac:dyDescent="0.35">
      <c r="A4065">
        <v>2011</v>
      </c>
      <c r="B4065">
        <v>2</v>
      </c>
      <c r="C4065">
        <v>15</v>
      </c>
      <c r="D4065" s="1">
        <f t="shared" si="504"/>
        <v>40589</v>
      </c>
      <c r="E4065">
        <v>0</v>
      </c>
      <c r="F4065">
        <f t="shared" si="510"/>
        <v>0</v>
      </c>
      <c r="G4065">
        <f t="shared" si="505"/>
        <v>0</v>
      </c>
      <c r="H4065">
        <f t="shared" si="511"/>
        <v>0</v>
      </c>
      <c r="I4065">
        <v>4064</v>
      </c>
      <c r="J4065">
        <f t="shared" si="506"/>
        <v>0.71429211726910558</v>
      </c>
      <c r="K4065">
        <f t="shared" si="507"/>
        <v>0.69984767714640472</v>
      </c>
      <c r="L4065">
        <f>VLOOKUP(D4065,[1]SOI!$A$1:$C$142,3)</f>
        <v>19.899999999999999</v>
      </c>
      <c r="M4065" s="2">
        <f t="shared" si="508"/>
        <v>2902.8831645816449</v>
      </c>
      <c r="N4065">
        <f t="shared" si="509"/>
        <v>2844.1809599229887</v>
      </c>
      <c r="O4065" t="s">
        <v>15</v>
      </c>
    </row>
    <row r="4066" spans="1:15" x14ac:dyDescent="0.35">
      <c r="A4066">
        <v>2011</v>
      </c>
      <c r="B4066">
        <v>2</v>
      </c>
      <c r="C4066">
        <v>16</v>
      </c>
      <c r="D4066" s="1">
        <f t="shared" si="504"/>
        <v>40590</v>
      </c>
      <c r="E4066">
        <v>0</v>
      </c>
      <c r="F4066">
        <f t="shared" si="510"/>
        <v>0</v>
      </c>
      <c r="G4066">
        <f t="shared" si="505"/>
        <v>0</v>
      </c>
      <c r="H4066">
        <f t="shared" si="511"/>
        <v>0</v>
      </c>
      <c r="I4066">
        <v>4065</v>
      </c>
      <c r="J4066">
        <f t="shared" si="506"/>
        <v>0.72622491460415228</v>
      </c>
      <c r="K4066">
        <f t="shared" si="507"/>
        <v>0.68745717932696848</v>
      </c>
      <c r="L4066">
        <f>VLOOKUP(D4066,[1]SOI!$A$1:$C$142,3)</f>
        <v>19.899999999999999</v>
      </c>
      <c r="M4066" s="2">
        <f t="shared" si="508"/>
        <v>2952.1042778658789</v>
      </c>
      <c r="N4066">
        <f t="shared" si="509"/>
        <v>2794.5134339641268</v>
      </c>
      <c r="O4066" t="s">
        <v>15</v>
      </c>
    </row>
    <row r="4067" spans="1:15" x14ac:dyDescent="0.35">
      <c r="A4067">
        <v>2011</v>
      </c>
      <c r="B4067">
        <v>2</v>
      </c>
      <c r="C4067">
        <v>17</v>
      </c>
      <c r="D4067" s="1">
        <f t="shared" si="504"/>
        <v>40591</v>
      </c>
      <c r="E4067">
        <v>4.5999999999999996</v>
      </c>
      <c r="F4067">
        <f t="shared" si="510"/>
        <v>0</v>
      </c>
      <c r="G4067">
        <f t="shared" si="505"/>
        <v>1</v>
      </c>
      <c r="H4067">
        <f t="shared" si="511"/>
        <v>0</v>
      </c>
      <c r="I4067">
        <v>4066</v>
      </c>
      <c r="J4067">
        <f t="shared" si="506"/>
        <v>0.73794281030313236</v>
      </c>
      <c r="K4067">
        <f t="shared" si="507"/>
        <v>0.67486325186804708</v>
      </c>
      <c r="L4067">
        <f>VLOOKUP(D4067,[1]SOI!$A$1:$C$142,3)</f>
        <v>19.899999999999999</v>
      </c>
      <c r="M4067" s="2">
        <f t="shared" si="508"/>
        <v>3000.475466692536</v>
      </c>
      <c r="N4067">
        <f t="shared" si="509"/>
        <v>2743.9939820954796</v>
      </c>
      <c r="O4067" t="s">
        <v>15</v>
      </c>
    </row>
    <row r="4068" spans="1:15" x14ac:dyDescent="0.35">
      <c r="A4068">
        <v>2011</v>
      </c>
      <c r="B4068">
        <v>2</v>
      </c>
      <c r="C4068">
        <v>18</v>
      </c>
      <c r="D4068" s="1">
        <f t="shared" si="504"/>
        <v>40592</v>
      </c>
      <c r="E4068">
        <v>0</v>
      </c>
      <c r="F4068">
        <f t="shared" si="510"/>
        <v>4.5999999999999996</v>
      </c>
      <c r="G4068">
        <f t="shared" si="505"/>
        <v>0</v>
      </c>
      <c r="H4068">
        <f t="shared" si="511"/>
        <v>1</v>
      </c>
      <c r="I4068">
        <v>4067</v>
      </c>
      <c r="J4068">
        <f t="shared" si="506"/>
        <v>0.74944233685219519</v>
      </c>
      <c r="K4068">
        <f t="shared" si="507"/>
        <v>0.66206962151538173</v>
      </c>
      <c r="L4068">
        <f>VLOOKUP(D4068,[1]SOI!$A$1:$C$142,3)</f>
        <v>19.899999999999999</v>
      </c>
      <c r="M4068" s="2">
        <f t="shared" si="508"/>
        <v>3047.9819839778779</v>
      </c>
      <c r="N4068">
        <f t="shared" si="509"/>
        <v>2692.6371507030576</v>
      </c>
      <c r="O4068" t="s">
        <v>15</v>
      </c>
    </row>
    <row r="4069" spans="1:15" x14ac:dyDescent="0.35">
      <c r="A4069">
        <v>2011</v>
      </c>
      <c r="B4069">
        <v>2</v>
      </c>
      <c r="C4069">
        <v>19</v>
      </c>
      <c r="D4069" s="1">
        <f t="shared" si="504"/>
        <v>40593</v>
      </c>
      <c r="E4069">
        <v>15.4</v>
      </c>
      <c r="F4069">
        <f t="shared" si="510"/>
        <v>0</v>
      </c>
      <c r="G4069">
        <f t="shared" si="505"/>
        <v>1</v>
      </c>
      <c r="H4069">
        <f t="shared" si="511"/>
        <v>0</v>
      </c>
      <c r="I4069">
        <v>4068</v>
      </c>
      <c r="J4069">
        <f t="shared" si="506"/>
        <v>0.76072009135640617</v>
      </c>
      <c r="K4069">
        <f t="shared" si="507"/>
        <v>0.64908007411004465</v>
      </c>
      <c r="L4069">
        <f>VLOOKUP(D4069,[1]SOI!$A$1:$C$142,3)</f>
        <v>19.899999999999999</v>
      </c>
      <c r="M4069" s="2">
        <f t="shared" si="508"/>
        <v>3094.6093316378601</v>
      </c>
      <c r="N4069">
        <f t="shared" si="509"/>
        <v>2640.4577414796618</v>
      </c>
      <c r="O4069" t="s">
        <v>15</v>
      </c>
    </row>
    <row r="4070" spans="1:15" x14ac:dyDescent="0.35">
      <c r="A4070">
        <v>2011</v>
      </c>
      <c r="B4070">
        <v>2</v>
      </c>
      <c r="C4070">
        <v>20</v>
      </c>
      <c r="D4070" s="1">
        <f t="shared" si="504"/>
        <v>40594</v>
      </c>
      <c r="E4070">
        <v>0</v>
      </c>
      <c r="F4070">
        <f t="shared" si="510"/>
        <v>15.4</v>
      </c>
      <c r="G4070">
        <f t="shared" si="505"/>
        <v>0</v>
      </c>
      <c r="H4070">
        <f t="shared" si="511"/>
        <v>1</v>
      </c>
      <c r="I4070">
        <v>4069</v>
      </c>
      <c r="J4070">
        <f t="shared" si="506"/>
        <v>0.77177273654678458</v>
      </c>
      <c r="K4070">
        <f t="shared" si="507"/>
        <v>0.63589845346807328</v>
      </c>
      <c r="L4070">
        <f>VLOOKUP(D4070,[1]SOI!$A$1:$C$142,3)</f>
        <v>19.899999999999999</v>
      </c>
      <c r="M4070" s="2">
        <f t="shared" si="508"/>
        <v>3140.3432650088666</v>
      </c>
      <c r="N4070">
        <f t="shared" si="509"/>
        <v>2587.4708071615901</v>
      </c>
      <c r="O4070" t="s">
        <v>15</v>
      </c>
    </row>
    <row r="4071" spans="1:15" x14ac:dyDescent="0.35">
      <c r="A4071">
        <v>2011</v>
      </c>
      <c r="B4071">
        <v>2</v>
      </c>
      <c r="C4071">
        <v>21</v>
      </c>
      <c r="D4071" s="1">
        <f t="shared" si="504"/>
        <v>40595</v>
      </c>
      <c r="E4071">
        <v>0.6</v>
      </c>
      <c r="F4071">
        <f t="shared" si="510"/>
        <v>0</v>
      </c>
      <c r="G4071">
        <f t="shared" si="505"/>
        <v>1</v>
      </c>
      <c r="H4071">
        <f t="shared" si="511"/>
        <v>0</v>
      </c>
      <c r="I4071">
        <v>4070</v>
      </c>
      <c r="J4071">
        <f t="shared" si="506"/>
        <v>0.78259700176778035</v>
      </c>
      <c r="K4071">
        <f t="shared" si="507"/>
        <v>0.62252866024310938</v>
      </c>
      <c r="L4071">
        <f>VLOOKUP(D4071,[1]SOI!$A$1:$C$142,3)</f>
        <v>19.899999999999999</v>
      </c>
      <c r="M4071" s="2">
        <f t="shared" si="508"/>
        <v>3185.1697971948661</v>
      </c>
      <c r="N4071">
        <f t="shared" si="509"/>
        <v>2533.6916471894551</v>
      </c>
      <c r="O4071" t="s">
        <v>15</v>
      </c>
    </row>
    <row r="4072" spans="1:15" x14ac:dyDescent="0.35">
      <c r="A4072">
        <v>2011</v>
      </c>
      <c r="B4072">
        <v>2</v>
      </c>
      <c r="C4072">
        <v>22</v>
      </c>
      <c r="D4072" s="1">
        <f t="shared" si="504"/>
        <v>40596</v>
      </c>
      <c r="E4072">
        <v>0.2</v>
      </c>
      <c r="F4072">
        <f t="shared" si="510"/>
        <v>0.6</v>
      </c>
      <c r="G4072">
        <f t="shared" si="505"/>
        <v>1</v>
      </c>
      <c r="H4072">
        <f t="shared" si="511"/>
        <v>1</v>
      </c>
      <c r="I4072">
        <v>4071</v>
      </c>
      <c r="J4072">
        <f t="shared" si="506"/>
        <v>0.79318968394518685</v>
      </c>
      <c r="K4072">
        <f t="shared" si="507"/>
        <v>0.60897465077204527</v>
      </c>
      <c r="L4072">
        <f>VLOOKUP(D4072,[1]SOI!$A$1:$C$142,3)</f>
        <v>19.899999999999999</v>
      </c>
      <c r="M4072" s="2">
        <f t="shared" si="508"/>
        <v>3229.0752033408558</v>
      </c>
      <c r="N4072">
        <f t="shared" si="509"/>
        <v>2479.1358032929961</v>
      </c>
      <c r="O4072" t="s">
        <v>15</v>
      </c>
    </row>
    <row r="4073" spans="1:15" x14ac:dyDescent="0.35">
      <c r="A4073">
        <v>2011</v>
      </c>
      <c r="B4073">
        <v>2</v>
      </c>
      <c r="C4073">
        <v>23</v>
      </c>
      <c r="D4073" s="1">
        <f t="shared" si="504"/>
        <v>40597</v>
      </c>
      <c r="E4073">
        <v>0</v>
      </c>
      <c r="F4073">
        <f t="shared" si="510"/>
        <v>0.2</v>
      </c>
      <c r="G4073">
        <f t="shared" si="505"/>
        <v>0</v>
      </c>
      <c r="H4073">
        <f t="shared" si="511"/>
        <v>1</v>
      </c>
      <c r="I4073">
        <v>4072</v>
      </c>
      <c r="J4073">
        <f t="shared" si="506"/>
        <v>0.80354764853391036</v>
      </c>
      <c r="K4073">
        <f t="shared" si="507"/>
        <v>0.59524043590436904</v>
      </c>
      <c r="L4073">
        <f>VLOOKUP(D4073,[1]SOI!$A$1:$C$142,3)</f>
        <v>19.899999999999999</v>
      </c>
      <c r="M4073" s="2">
        <f t="shared" si="508"/>
        <v>3272.0460248300828</v>
      </c>
      <c r="N4073">
        <f t="shared" si="509"/>
        <v>2423.8190550025906</v>
      </c>
      <c r="O4073" t="s">
        <v>15</v>
      </c>
    </row>
    <row r="4074" spans="1:15" x14ac:dyDescent="0.35">
      <c r="A4074">
        <v>2011</v>
      </c>
      <c r="B4074">
        <v>2</v>
      </c>
      <c r="C4074">
        <v>24</v>
      </c>
      <c r="D4074" s="1">
        <f t="shared" si="504"/>
        <v>40598</v>
      </c>
      <c r="E4074">
        <v>0</v>
      </c>
      <c r="F4074">
        <f t="shared" si="510"/>
        <v>0</v>
      </c>
      <c r="G4074">
        <f t="shared" si="505"/>
        <v>0</v>
      </c>
      <c r="H4074">
        <f t="shared" si="511"/>
        <v>0</v>
      </c>
      <c r="I4074">
        <v>4073</v>
      </c>
      <c r="J4074">
        <f t="shared" si="506"/>
        <v>0.81366783044559432</v>
      </c>
      <c r="K4074">
        <f t="shared" si="507"/>
        <v>0.58133007981521101</v>
      </c>
      <c r="L4074">
        <f>VLOOKUP(D4074,[1]SOI!$A$1:$C$142,3)</f>
        <v>19.899999999999999</v>
      </c>
      <c r="M4074" s="2">
        <f t="shared" si="508"/>
        <v>3314.0690734049058</v>
      </c>
      <c r="N4074">
        <f t="shared" si="509"/>
        <v>2367.7574150873543</v>
      </c>
      <c r="O4074" t="s">
        <v>15</v>
      </c>
    </row>
    <row r="4075" spans="1:15" x14ac:dyDescent="0.35">
      <c r="A4075">
        <v>2011</v>
      </c>
      <c r="B4075">
        <v>2</v>
      </c>
      <c r="C4075">
        <v>25</v>
      </c>
      <c r="D4075" s="1">
        <f t="shared" si="504"/>
        <v>40599</v>
      </c>
      <c r="E4075">
        <v>0</v>
      </c>
      <c r="F4075">
        <f t="shared" si="510"/>
        <v>0</v>
      </c>
      <c r="G4075">
        <f t="shared" si="505"/>
        <v>0</v>
      </c>
      <c r="H4075">
        <f t="shared" si="511"/>
        <v>0</v>
      </c>
      <c r="I4075">
        <v>4074</v>
      </c>
      <c r="J4075">
        <f t="shared" si="506"/>
        <v>0.823547234955601</v>
      </c>
      <c r="K4075">
        <f t="shared" si="507"/>
        <v>0.56724769880272241</v>
      </c>
      <c r="L4075">
        <f>VLOOKUP(D4075,[1]SOI!$A$1:$C$142,3)</f>
        <v>19.899999999999999</v>
      </c>
      <c r="M4075" s="2">
        <f t="shared" si="508"/>
        <v>3355.1314352091185</v>
      </c>
      <c r="N4075">
        <f t="shared" si="509"/>
        <v>2310.9671249222911</v>
      </c>
      <c r="O4075" t="s">
        <v>15</v>
      </c>
    </row>
    <row r="4076" spans="1:15" x14ac:dyDescent="0.35">
      <c r="A4076">
        <v>2011</v>
      </c>
      <c r="B4076">
        <v>2</v>
      </c>
      <c r="C4076">
        <v>26</v>
      </c>
      <c r="D4076" s="1">
        <f t="shared" si="504"/>
        <v>40600</v>
      </c>
      <c r="E4076">
        <v>0</v>
      </c>
      <c r="F4076">
        <f t="shared" si="510"/>
        <v>0</v>
      </c>
      <c r="G4076">
        <f t="shared" si="505"/>
        <v>0</v>
      </c>
      <c r="H4076">
        <f t="shared" si="511"/>
        <v>0</v>
      </c>
      <c r="I4076">
        <v>4075</v>
      </c>
      <c r="J4076">
        <f t="shared" si="506"/>
        <v>0.83318293858917536</v>
      </c>
      <c r="K4076">
        <f t="shared" si="507"/>
        <v>0.55299746007003181</v>
      </c>
      <c r="L4076">
        <f>VLOOKUP(D4076,[1]SOI!$A$1:$C$142,3)</f>
        <v>19.899999999999999</v>
      </c>
      <c r="M4076" s="2">
        <f t="shared" si="508"/>
        <v>3395.2204747508895</v>
      </c>
      <c r="N4076">
        <f t="shared" si="509"/>
        <v>2253.4646497853796</v>
      </c>
      <c r="O4076" t="s">
        <v>15</v>
      </c>
    </row>
    <row r="4077" spans="1:15" x14ac:dyDescent="0.35">
      <c r="A4077">
        <v>2011</v>
      </c>
      <c r="B4077">
        <v>2</v>
      </c>
      <c r="C4077">
        <v>27</v>
      </c>
      <c r="D4077" s="1">
        <f t="shared" si="504"/>
        <v>40601</v>
      </c>
      <c r="E4077">
        <v>9.8000000000000007</v>
      </c>
      <c r="F4077">
        <f t="shared" si="510"/>
        <v>0</v>
      </c>
      <c r="G4077">
        <f t="shared" si="505"/>
        <v>1</v>
      </c>
      <c r="H4077">
        <f t="shared" si="511"/>
        <v>0</v>
      </c>
      <c r="I4077">
        <v>4076</v>
      </c>
      <c r="J4077">
        <f t="shared" si="506"/>
        <v>0.84257208998660438</v>
      </c>
      <c r="K4077">
        <f t="shared" si="507"/>
        <v>0.53858358049202104</v>
      </c>
      <c r="L4077">
        <f>VLOOKUP(D4077,[1]SOI!$A$1:$C$142,3)</f>
        <v>19.899999999999999</v>
      </c>
      <c r="M4077" s="2">
        <f t="shared" si="508"/>
        <v>3434.3238387853994</v>
      </c>
      <c r="N4077">
        <f t="shared" si="509"/>
        <v>2195.2666740854779</v>
      </c>
      <c r="O4077" t="s">
        <v>15</v>
      </c>
    </row>
    <row r="4078" spans="1:15" x14ac:dyDescent="0.35">
      <c r="A4078">
        <v>2011</v>
      </c>
      <c r="B4078">
        <v>2</v>
      </c>
      <c r="C4078">
        <v>28</v>
      </c>
      <c r="D4078" s="1">
        <f t="shared" si="504"/>
        <v>40602</v>
      </c>
      <c r="E4078">
        <v>2</v>
      </c>
      <c r="F4078">
        <f t="shared" si="510"/>
        <v>9.8000000000000007</v>
      </c>
      <c r="G4078">
        <f t="shared" si="505"/>
        <v>1</v>
      </c>
      <c r="H4078">
        <f t="shared" si="511"/>
        <v>1</v>
      </c>
      <c r="I4078">
        <v>4077</v>
      </c>
      <c r="J4078">
        <f t="shared" si="506"/>
        <v>0.85171191074691732</v>
      </c>
      <c r="K4078">
        <f t="shared" si="507"/>
        <v>0.52401032536757808</v>
      </c>
      <c r="L4078">
        <f>VLOOKUP(D4078,[1]SOI!$A$1:$C$142,3)</f>
        <v>19.899999999999999</v>
      </c>
      <c r="M4078" s="2">
        <f t="shared" si="508"/>
        <v>3472.4294601151819</v>
      </c>
      <c r="N4078">
        <f t="shared" si="509"/>
        <v>2136.3900965236157</v>
      </c>
      <c r="O4078" t="s">
        <v>15</v>
      </c>
    </row>
    <row r="4079" spans="1:15" x14ac:dyDescent="0.35">
      <c r="A4079">
        <v>2011</v>
      </c>
      <c r="B4079">
        <v>3</v>
      </c>
      <c r="C4079">
        <v>1</v>
      </c>
      <c r="D4079" s="1">
        <f t="shared" si="504"/>
        <v>40603</v>
      </c>
      <c r="E4079">
        <v>0.2</v>
      </c>
      <c r="F4079">
        <f t="shared" si="510"/>
        <v>2</v>
      </c>
      <c r="G4079">
        <f t="shared" si="505"/>
        <v>1</v>
      </c>
      <c r="H4079">
        <f t="shared" si="511"/>
        <v>1</v>
      </c>
      <c r="I4079">
        <v>4078</v>
      </c>
      <c r="J4079">
        <f t="shared" si="506"/>
        <v>0.86059969625011346</v>
      </c>
      <c r="K4079">
        <f t="shared" si="507"/>
        <v>0.50928200715734351</v>
      </c>
      <c r="L4079">
        <f>VLOOKUP(D4079,[1]SOI!$A$1:$C$142,3)</f>
        <v>22.3</v>
      </c>
      <c r="M4079" s="2">
        <f t="shared" si="508"/>
        <v>3509.5255613079626</v>
      </c>
      <c r="N4079">
        <f t="shared" si="509"/>
        <v>2076.8520251876466</v>
      </c>
      <c r="O4079" t="s">
        <v>15</v>
      </c>
    </row>
    <row r="4080" spans="1:15" x14ac:dyDescent="0.35">
      <c r="A4080">
        <v>2011</v>
      </c>
      <c r="B4080">
        <v>3</v>
      </c>
      <c r="C4080">
        <v>2</v>
      </c>
      <c r="D4080" s="1">
        <f t="shared" si="504"/>
        <v>40604</v>
      </c>
      <c r="E4080">
        <v>0.4</v>
      </c>
      <c r="F4080">
        <f t="shared" si="510"/>
        <v>0.2</v>
      </c>
      <c r="G4080">
        <f t="shared" si="505"/>
        <v>1</v>
      </c>
      <c r="H4080">
        <f t="shared" si="511"/>
        <v>1</v>
      </c>
      <c r="I4080">
        <v>4079</v>
      </c>
      <c r="J4080">
        <f t="shared" si="506"/>
        <v>0.86923281645747863</v>
      </c>
      <c r="K4080">
        <f t="shared" si="507"/>
        <v>0.49440298420761919</v>
      </c>
      <c r="L4080">
        <f>VLOOKUP(D4080,[1]SOI!$A$1:$C$142,3)</f>
        <v>22.3</v>
      </c>
      <c r="M4080" s="2">
        <f t="shared" si="508"/>
        <v>3545.6006583300555</v>
      </c>
      <c r="N4080">
        <f t="shared" si="509"/>
        <v>2016.6697725828787</v>
      </c>
      <c r="O4080" t="s">
        <v>15</v>
      </c>
    </row>
    <row r="4081" spans="1:15" x14ac:dyDescent="0.35">
      <c r="A4081">
        <v>2011</v>
      </c>
      <c r="B4081">
        <v>3</v>
      </c>
      <c r="C4081">
        <v>3</v>
      </c>
      <c r="D4081" s="1">
        <f t="shared" si="504"/>
        <v>40605</v>
      </c>
      <c r="E4081">
        <v>0</v>
      </c>
      <c r="F4081">
        <f t="shared" si="510"/>
        <v>0.4</v>
      </c>
      <c r="G4081">
        <f t="shared" si="505"/>
        <v>0</v>
      </c>
      <c r="H4081">
        <f t="shared" si="511"/>
        <v>1</v>
      </c>
      <c r="I4081">
        <v>4080</v>
      </c>
      <c r="J4081">
        <f t="shared" si="506"/>
        <v>0.87760871668983564</v>
      </c>
      <c r="K4081">
        <f t="shared" si="507"/>
        <v>0.47937765946070099</v>
      </c>
      <c r="L4081">
        <f>VLOOKUP(D4081,[1]SOI!$A$1:$C$142,3)</f>
        <v>22.3</v>
      </c>
      <c r="M4081" s="2">
        <f t="shared" si="508"/>
        <v>3580.6435640945292</v>
      </c>
      <c r="N4081">
        <f t="shared" si="509"/>
        <v>1955.8608505996601</v>
      </c>
      <c r="O4081" t="s">
        <v>15</v>
      </c>
    </row>
    <row r="4082" spans="1:15" x14ac:dyDescent="0.35">
      <c r="A4082">
        <v>2011</v>
      </c>
      <c r="B4082">
        <v>3</v>
      </c>
      <c r="C4082">
        <v>4</v>
      </c>
      <c r="D4082" s="1">
        <f t="shared" si="504"/>
        <v>40606</v>
      </c>
      <c r="E4082">
        <v>0</v>
      </c>
      <c r="F4082">
        <f t="shared" si="510"/>
        <v>0</v>
      </c>
      <c r="G4082">
        <f t="shared" si="505"/>
        <v>0</v>
      </c>
      <c r="H4082">
        <f t="shared" si="511"/>
        <v>0</v>
      </c>
      <c r="I4082">
        <v>4081</v>
      </c>
      <c r="J4082">
        <f t="shared" si="506"/>
        <v>0.88572491838356437</v>
      </c>
      <c r="K4082">
        <f t="shared" si="507"/>
        <v>0.46421047915189095</v>
      </c>
      <c r="L4082">
        <f>VLOOKUP(D4082,[1]SOI!$A$1:$C$142,3)</f>
        <v>22.3</v>
      </c>
      <c r="M4082" s="2">
        <f t="shared" si="508"/>
        <v>3614.6433919233264</v>
      </c>
      <c r="N4082">
        <f t="shared" si="509"/>
        <v>1894.4429654188671</v>
      </c>
      <c r="O4082" t="s">
        <v>15</v>
      </c>
    </row>
    <row r="4083" spans="1:15" x14ac:dyDescent="0.35">
      <c r="A4083">
        <v>2011</v>
      </c>
      <c r="B4083">
        <v>3</v>
      </c>
      <c r="C4083">
        <v>5</v>
      </c>
      <c r="D4083" s="1">
        <f t="shared" si="504"/>
        <v>40607</v>
      </c>
      <c r="E4083">
        <v>0</v>
      </c>
      <c r="F4083">
        <f t="shared" si="510"/>
        <v>0</v>
      </c>
      <c r="G4083">
        <f t="shared" si="505"/>
        <v>0</v>
      </c>
      <c r="H4083">
        <f t="shared" si="511"/>
        <v>0</v>
      </c>
      <c r="I4083">
        <v>4082</v>
      </c>
      <c r="J4083">
        <f t="shared" si="506"/>
        <v>0.89357901982399313</v>
      </c>
      <c r="K4083">
        <f t="shared" si="507"/>
        <v>0.44890593149388403</v>
      </c>
      <c r="L4083">
        <f>VLOOKUP(D4083,[1]SOI!$A$1:$C$142,3)</f>
        <v>22.3</v>
      </c>
      <c r="M4083" s="2">
        <f t="shared" si="508"/>
        <v>3647.5895589215397</v>
      </c>
      <c r="N4083">
        <f t="shared" si="509"/>
        <v>1832.4340123580346</v>
      </c>
      <c r="O4083" t="s">
        <v>15</v>
      </c>
    </row>
    <row r="4084" spans="1:15" x14ac:dyDescent="0.35">
      <c r="A4084">
        <v>2011</v>
      </c>
      <c r="B4084">
        <v>3</v>
      </c>
      <c r="C4084">
        <v>6</v>
      </c>
      <c r="D4084" s="1">
        <f t="shared" si="504"/>
        <v>40608</v>
      </c>
      <c r="E4084">
        <v>0</v>
      </c>
      <c r="F4084">
        <f t="shared" si="510"/>
        <v>0</v>
      </c>
      <c r="G4084">
        <f t="shared" si="505"/>
        <v>0</v>
      </c>
      <c r="H4084">
        <f t="shared" si="511"/>
        <v>0</v>
      </c>
      <c r="I4084">
        <v>4083</v>
      </c>
      <c r="J4084">
        <f t="shared" si="506"/>
        <v>0.90116869685615208</v>
      </c>
      <c r="K4084">
        <f t="shared" si="507"/>
        <v>0.43346854534854617</v>
      </c>
      <c r="L4084">
        <f>VLOOKUP(D4084,[1]SOI!$A$1:$C$142,3)</f>
        <v>22.3</v>
      </c>
      <c r="M4084" s="2">
        <f t="shared" si="508"/>
        <v>3679.4717892636691</v>
      </c>
      <c r="N4084">
        <f t="shared" si="509"/>
        <v>1769.8520706581141</v>
      </c>
      <c r="O4084" t="s">
        <v>15</v>
      </c>
    </row>
    <row r="4085" spans="1:15" x14ac:dyDescent="0.35">
      <c r="A4085">
        <v>2011</v>
      </c>
      <c r="B4085">
        <v>3</v>
      </c>
      <c r="C4085">
        <v>7</v>
      </c>
      <c r="D4085" s="1">
        <f t="shared" si="504"/>
        <v>40609</v>
      </c>
      <c r="E4085">
        <v>0</v>
      </c>
      <c r="F4085">
        <f t="shared" si="510"/>
        <v>0</v>
      </c>
      <c r="G4085">
        <f t="shared" si="505"/>
        <v>0</v>
      </c>
      <c r="H4085">
        <f t="shared" si="511"/>
        <v>0</v>
      </c>
      <c r="I4085">
        <v>4084</v>
      </c>
      <c r="J4085">
        <f t="shared" si="506"/>
        <v>0.9084917035725073</v>
      </c>
      <c r="K4085">
        <f t="shared" si="507"/>
        <v>0.41790288888678856</v>
      </c>
      <c r="L4085">
        <f>VLOOKUP(D4085,[1]SOI!$A$1:$C$142,3)</f>
        <v>22.3</v>
      </c>
      <c r="M4085" s="2">
        <f t="shared" si="508"/>
        <v>3710.2801173901198</v>
      </c>
      <c r="N4085">
        <f t="shared" si="509"/>
        <v>1706.7153982136444</v>
      </c>
      <c r="O4085" t="s">
        <v>15</v>
      </c>
    </row>
    <row r="4086" spans="1:15" x14ac:dyDescent="0.35">
      <c r="A4086">
        <v>2011</v>
      </c>
      <c r="B4086">
        <v>3</v>
      </c>
      <c r="C4086">
        <v>8</v>
      </c>
      <c r="D4086" s="1">
        <f t="shared" si="504"/>
        <v>40610</v>
      </c>
      <c r="E4086">
        <v>0</v>
      </c>
      <c r="F4086">
        <f t="shared" si="510"/>
        <v>0</v>
      </c>
      <c r="G4086">
        <f t="shared" si="505"/>
        <v>0</v>
      </c>
      <c r="H4086">
        <f t="shared" si="511"/>
        <v>0</v>
      </c>
      <c r="I4086">
        <v>4085</v>
      </c>
      <c r="J4086">
        <f t="shared" si="506"/>
        <v>0.91554587297754342</v>
      </c>
      <c r="K4086">
        <f t="shared" si="507"/>
        <v>0.40221356823681126</v>
      </c>
      <c r="L4086">
        <f>VLOOKUP(D4086,[1]SOI!$A$1:$C$142,3)</f>
        <v>22.3</v>
      </c>
      <c r="M4086" s="2">
        <f t="shared" si="508"/>
        <v>3740.0048911132649</v>
      </c>
      <c r="N4086">
        <f t="shared" si="509"/>
        <v>1643.0424262473739</v>
      </c>
      <c r="O4086" t="s">
        <v>15</v>
      </c>
    </row>
    <row r="4087" spans="1:15" x14ac:dyDescent="0.35">
      <c r="A4087">
        <v>2011</v>
      </c>
      <c r="B4087">
        <v>3</v>
      </c>
      <c r="C4087">
        <v>9</v>
      </c>
      <c r="D4087" s="1">
        <f t="shared" si="504"/>
        <v>40611</v>
      </c>
      <c r="E4087">
        <v>0.2</v>
      </c>
      <c r="F4087">
        <f t="shared" si="510"/>
        <v>0</v>
      </c>
      <c r="G4087">
        <f t="shared" si="505"/>
        <v>1</v>
      </c>
      <c r="H4087">
        <f t="shared" si="511"/>
        <v>0</v>
      </c>
      <c r="I4087">
        <v>4086</v>
      </c>
      <c r="J4087">
        <f t="shared" si="506"/>
        <v>0.92232911762905434</v>
      </c>
      <c r="K4087">
        <f t="shared" si="507"/>
        <v>0.3864052261209856</v>
      </c>
      <c r="L4087">
        <f>VLOOKUP(D4087,[1]SOI!$A$1:$C$142,3)</f>
        <v>22.3</v>
      </c>
      <c r="M4087" s="2">
        <f t="shared" si="508"/>
        <v>3768.6367746323162</v>
      </c>
      <c r="N4087">
        <f t="shared" si="509"/>
        <v>1578.8517539303471</v>
      </c>
      <c r="O4087" t="s">
        <v>15</v>
      </c>
    </row>
    <row r="4088" spans="1:15" x14ac:dyDescent="0.35">
      <c r="A4088">
        <v>2011</v>
      </c>
      <c r="B4088">
        <v>3</v>
      </c>
      <c r="C4088">
        <v>10</v>
      </c>
      <c r="D4088" s="1">
        <f t="shared" si="504"/>
        <v>40612</v>
      </c>
      <c r="E4088">
        <v>11.2</v>
      </c>
      <c r="F4088">
        <f t="shared" si="510"/>
        <v>0.2</v>
      </c>
      <c r="G4088">
        <f t="shared" si="505"/>
        <v>1</v>
      </c>
      <c r="H4088">
        <f t="shared" si="511"/>
        <v>1</v>
      </c>
      <c r="I4088">
        <v>4087</v>
      </c>
      <c r="J4088">
        <f t="shared" si="506"/>
        <v>0.92883943025580473</v>
      </c>
      <c r="K4088">
        <f t="shared" si="507"/>
        <v>0.3704825404821015</v>
      </c>
      <c r="L4088">
        <f>VLOOKUP(D4088,[1]SOI!$A$1:$C$142,3)</f>
        <v>22.3</v>
      </c>
      <c r="M4088" s="2">
        <f t="shared" si="508"/>
        <v>3796.1667514554738</v>
      </c>
      <c r="N4088">
        <f t="shared" si="509"/>
        <v>1514.1621429503489</v>
      </c>
      <c r="O4088" t="s">
        <v>15</v>
      </c>
    </row>
    <row r="4089" spans="1:15" x14ac:dyDescent="0.35">
      <c r="A4089">
        <v>2011</v>
      </c>
      <c r="B4089">
        <v>3</v>
      </c>
      <c r="C4089">
        <v>11</v>
      </c>
      <c r="D4089" s="1">
        <f t="shared" si="504"/>
        <v>40613</v>
      </c>
      <c r="E4089">
        <v>0.2</v>
      </c>
      <c r="F4089">
        <f t="shared" si="510"/>
        <v>11.2</v>
      </c>
      <c r="G4089">
        <f t="shared" si="505"/>
        <v>1</v>
      </c>
      <c r="H4089">
        <f t="shared" si="511"/>
        <v>1</v>
      </c>
      <c r="I4089">
        <v>4088</v>
      </c>
      <c r="J4089">
        <f t="shared" si="506"/>
        <v>0.93507488435155317</v>
      </c>
      <c r="K4089">
        <f t="shared" si="507"/>
        <v>0.35445022309899793</v>
      </c>
      <c r="L4089">
        <f>VLOOKUP(D4089,[1]SOI!$A$1:$C$142,3)</f>
        <v>22.3</v>
      </c>
      <c r="M4089" s="2">
        <f t="shared" si="508"/>
        <v>3822.5861272291495</v>
      </c>
      <c r="N4089">
        <f t="shared" si="509"/>
        <v>1448.9925120287035</v>
      </c>
      <c r="O4089" t="s">
        <v>15</v>
      </c>
    </row>
    <row r="4090" spans="1:15" x14ac:dyDescent="0.35">
      <c r="A4090">
        <v>2011</v>
      </c>
      <c r="B4090">
        <v>3</v>
      </c>
      <c r="C4090">
        <v>12</v>
      </c>
      <c r="D4090" s="1">
        <f t="shared" si="504"/>
        <v>40614</v>
      </c>
      <c r="E4090">
        <v>0</v>
      </c>
      <c r="F4090">
        <f t="shared" si="510"/>
        <v>0.2</v>
      </c>
      <c r="G4090">
        <f t="shared" si="505"/>
        <v>0</v>
      </c>
      <c r="H4090">
        <f t="shared" si="511"/>
        <v>1</v>
      </c>
      <c r="I4090">
        <v>4089</v>
      </c>
      <c r="J4090">
        <f t="shared" si="506"/>
        <v>0.9410336347451187</v>
      </c>
      <c r="K4090">
        <f t="shared" si="507"/>
        <v>0.3383130181923103</v>
      </c>
      <c r="L4090">
        <f>VLOOKUP(D4090,[1]SOI!$A$1:$C$142,3)</f>
        <v>22.3</v>
      </c>
      <c r="M4090" s="2">
        <f t="shared" si="508"/>
        <v>3847.8865324727903</v>
      </c>
      <c r="N4090">
        <f t="shared" si="509"/>
        <v>1383.3619313883569</v>
      </c>
      <c r="O4090" t="s">
        <v>15</v>
      </c>
    </row>
    <row r="4091" spans="1:15" x14ac:dyDescent="0.35">
      <c r="A4091">
        <v>2011</v>
      </c>
      <c r="B4091">
        <v>3</v>
      </c>
      <c r="C4091">
        <v>13</v>
      </c>
      <c r="D4091" s="1">
        <f t="shared" si="504"/>
        <v>40615</v>
      </c>
      <c r="E4091">
        <v>0</v>
      </c>
      <c r="F4091">
        <f t="shared" si="510"/>
        <v>0</v>
      </c>
      <c r="G4091">
        <f t="shared" si="505"/>
        <v>0</v>
      </c>
      <c r="H4091">
        <f t="shared" si="511"/>
        <v>0</v>
      </c>
      <c r="I4091">
        <v>4090</v>
      </c>
      <c r="J4091">
        <f t="shared" si="506"/>
        <v>0.94671391814638295</v>
      </c>
      <c r="K4091">
        <f t="shared" si="507"/>
        <v>0.32207570102061989</v>
      </c>
      <c r="L4091">
        <f>VLOOKUP(D4091,[1]SOI!$A$1:$C$142,3)</f>
        <v>22.3</v>
      </c>
      <c r="M4091" s="2">
        <f t="shared" si="508"/>
        <v>3872.0599252187062</v>
      </c>
      <c r="N4091">
        <f t="shared" si="509"/>
        <v>1317.2896171743353</v>
      </c>
      <c r="O4091" t="s">
        <v>15</v>
      </c>
    </row>
    <row r="4092" spans="1:15" x14ac:dyDescent="0.35">
      <c r="A4092">
        <v>2011</v>
      </c>
      <c r="B4092">
        <v>3</v>
      </c>
      <c r="C4092">
        <v>14</v>
      </c>
      <c r="D4092" s="1">
        <f t="shared" si="504"/>
        <v>40616</v>
      </c>
      <c r="E4092">
        <v>6.2</v>
      </c>
      <c r="F4092">
        <f t="shared" si="510"/>
        <v>0</v>
      </c>
      <c r="G4092">
        <f t="shared" si="505"/>
        <v>1</v>
      </c>
      <c r="H4092">
        <f t="shared" si="511"/>
        <v>0</v>
      </c>
      <c r="I4092">
        <v>4091</v>
      </c>
      <c r="J4092">
        <f t="shared" si="506"/>
        <v>0.95211405366810986</v>
      </c>
      <c r="K4092">
        <f t="shared" si="507"/>
        <v>0.30574307646728421</v>
      </c>
      <c r="L4092">
        <f>VLOOKUP(D4092,[1]SOI!$A$1:$C$142,3)</f>
        <v>22.3</v>
      </c>
      <c r="M4092" s="2">
        <f t="shared" si="508"/>
        <v>3895.0985935562376</v>
      </c>
      <c r="N4092">
        <f t="shared" si="509"/>
        <v>1250.7949258276597</v>
      </c>
      <c r="O4092" t="s">
        <v>15</v>
      </c>
    </row>
    <row r="4093" spans="1:15" x14ac:dyDescent="0.35">
      <c r="A4093">
        <v>2011</v>
      </c>
      <c r="B4093">
        <v>3</v>
      </c>
      <c r="C4093">
        <v>15</v>
      </c>
      <c r="D4093" s="1">
        <f t="shared" si="504"/>
        <v>40617</v>
      </c>
      <c r="E4093">
        <v>0.2</v>
      </c>
      <c r="F4093">
        <f t="shared" si="510"/>
        <v>6.2</v>
      </c>
      <c r="G4093">
        <f t="shared" si="505"/>
        <v>1</v>
      </c>
      <c r="H4093">
        <f t="shared" si="511"/>
        <v>1</v>
      </c>
      <c r="I4093">
        <v>4092</v>
      </c>
      <c r="J4093">
        <f t="shared" si="506"/>
        <v>0.95723244332330981</v>
      </c>
      <c r="K4093">
        <f t="shared" si="507"/>
        <v>0.28931997761870232</v>
      </c>
      <c r="L4093">
        <f>VLOOKUP(D4093,[1]SOI!$A$1:$C$142,3)</f>
        <v>22.3</v>
      </c>
      <c r="M4093" s="2">
        <f t="shared" si="508"/>
        <v>3916.9951580789839</v>
      </c>
      <c r="N4093">
        <f t="shared" si="509"/>
        <v>1183.89734841573</v>
      </c>
      <c r="O4093" t="s">
        <v>15</v>
      </c>
    </row>
    <row r="4094" spans="1:15" x14ac:dyDescent="0.35">
      <c r="A4094">
        <v>2011</v>
      </c>
      <c r="B4094">
        <v>3</v>
      </c>
      <c r="C4094">
        <v>16</v>
      </c>
      <c r="D4094" s="1">
        <f t="shared" si="504"/>
        <v>40618</v>
      </c>
      <c r="E4094">
        <v>0</v>
      </c>
      <c r="F4094">
        <f t="shared" si="510"/>
        <v>0.2</v>
      </c>
      <c r="G4094">
        <f t="shared" si="505"/>
        <v>0</v>
      </c>
      <c r="H4094">
        <f t="shared" si="511"/>
        <v>1</v>
      </c>
      <c r="I4094">
        <v>4093</v>
      </c>
      <c r="J4094">
        <f t="shared" si="506"/>
        <v>0.96206757249814545</v>
      </c>
      <c r="K4094">
        <f t="shared" si="507"/>
        <v>0.27281126433401853</v>
      </c>
      <c r="L4094">
        <f>VLOOKUP(D4094,[1]SOI!$A$1:$C$142,3)</f>
        <v>22.3</v>
      </c>
      <c r="M4094" s="2">
        <f t="shared" si="508"/>
        <v>3937.7425742349092</v>
      </c>
      <c r="N4094">
        <f t="shared" si="509"/>
        <v>1116.6165049191379</v>
      </c>
      <c r="O4094" t="s">
        <v>15</v>
      </c>
    </row>
    <row r="4095" spans="1:15" x14ac:dyDescent="0.35">
      <c r="A4095">
        <v>2011</v>
      </c>
      <c r="B4095">
        <v>3</v>
      </c>
      <c r="C4095">
        <v>17</v>
      </c>
      <c r="D4095" s="1">
        <f t="shared" si="504"/>
        <v>40619</v>
      </c>
      <c r="E4095">
        <v>0</v>
      </c>
      <c r="F4095">
        <f t="shared" si="510"/>
        <v>0</v>
      </c>
      <c r="G4095">
        <f t="shared" si="505"/>
        <v>0</v>
      </c>
      <c r="H4095">
        <f t="shared" si="511"/>
        <v>0</v>
      </c>
      <c r="I4095">
        <v>4094</v>
      </c>
      <c r="J4095">
        <f t="shared" si="506"/>
        <v>0.96661801040009598</v>
      </c>
      <c r="K4095">
        <f t="shared" si="507"/>
        <v>0.25622182180712083</v>
      </c>
      <c r="L4095">
        <f>VLOOKUP(D4095,[1]SOI!$A$1:$C$142,3)</f>
        <v>22.3</v>
      </c>
      <c r="M4095" s="2">
        <f t="shared" si="508"/>
        <v>3957.3341345779932</v>
      </c>
      <c r="N4095">
        <f t="shared" si="509"/>
        <v>1048.9721384783527</v>
      </c>
      <c r="O4095" t="s">
        <v>15</v>
      </c>
    </row>
    <row r="4096" spans="1:15" x14ac:dyDescent="0.35">
      <c r="A4096">
        <v>2011</v>
      </c>
      <c r="B4096">
        <v>3</v>
      </c>
      <c r="C4096">
        <v>18</v>
      </c>
      <c r="D4096" s="1">
        <f t="shared" si="504"/>
        <v>40620</v>
      </c>
      <c r="E4096">
        <v>0</v>
      </c>
      <c r="F4096">
        <f t="shared" si="510"/>
        <v>0</v>
      </c>
      <c r="G4096">
        <f t="shared" si="505"/>
        <v>0</v>
      </c>
      <c r="H4096">
        <f t="shared" si="511"/>
        <v>0</v>
      </c>
      <c r="I4096">
        <v>4095</v>
      </c>
      <c r="J4096">
        <f t="shared" si="506"/>
        <v>0.97088241048138091</v>
      </c>
      <c r="K4096">
        <f t="shared" si="507"/>
        <v>0.23955655912093771</v>
      </c>
      <c r="L4096">
        <f>VLOOKUP(D4096,[1]SOI!$A$1:$C$142,3)</f>
        <v>22.3</v>
      </c>
      <c r="M4096" s="2">
        <f t="shared" si="508"/>
        <v>3975.7634709212548</v>
      </c>
      <c r="N4096">
        <f t="shared" si="509"/>
        <v>980.98410960023989</v>
      </c>
      <c r="O4096" t="s">
        <v>15</v>
      </c>
    </row>
    <row r="4097" spans="1:15" x14ac:dyDescent="0.35">
      <c r="A4097">
        <v>2011</v>
      </c>
      <c r="B4097">
        <v>3</v>
      </c>
      <c r="C4097">
        <v>19</v>
      </c>
      <c r="D4097" s="1">
        <f t="shared" si="504"/>
        <v>40621</v>
      </c>
      <c r="E4097">
        <v>0</v>
      </c>
      <c r="F4097">
        <f t="shared" si="510"/>
        <v>0</v>
      </c>
      <c r="G4097">
        <f t="shared" si="505"/>
        <v>0</v>
      </c>
      <c r="H4097">
        <f t="shared" si="511"/>
        <v>0</v>
      </c>
      <c r="I4097">
        <v>4096</v>
      </c>
      <c r="J4097">
        <f t="shared" si="506"/>
        <v>0.97485951083741185</v>
      </c>
      <c r="K4097">
        <f t="shared" si="507"/>
        <v>0.22282040779480247</v>
      </c>
      <c r="L4097">
        <f>VLOOKUP(D4097,[1]SOI!$A$1:$C$142,3)</f>
        <v>22.3</v>
      </c>
      <c r="M4097" s="2">
        <f t="shared" si="508"/>
        <v>3993.0245563900389</v>
      </c>
      <c r="N4097">
        <f t="shared" si="509"/>
        <v>912.67239032751093</v>
      </c>
      <c r="O4097" t="s">
        <v>15</v>
      </c>
    </row>
    <row r="4098" spans="1:15" x14ac:dyDescent="0.35">
      <c r="A4098">
        <v>2011</v>
      </c>
      <c r="B4098">
        <v>3</v>
      </c>
      <c r="C4098">
        <v>20</v>
      </c>
      <c r="D4098" s="1">
        <f t="shared" si="504"/>
        <v>40622</v>
      </c>
      <c r="E4098">
        <v>2</v>
      </c>
      <c r="F4098">
        <f t="shared" si="510"/>
        <v>0</v>
      </c>
      <c r="G4098">
        <f t="shared" si="505"/>
        <v>1</v>
      </c>
      <c r="H4098">
        <f t="shared" si="511"/>
        <v>0</v>
      </c>
      <c r="I4098">
        <v>4097</v>
      </c>
      <c r="J4098">
        <f t="shared" si="506"/>
        <v>0.97854813458020429</v>
      </c>
      <c r="K4098">
        <f t="shared" si="507"/>
        <v>0.20601832032516501</v>
      </c>
      <c r="L4098">
        <f>VLOOKUP(D4098,[1]SOI!$A$1:$C$142,3)</f>
        <v>22.3</v>
      </c>
      <c r="M4098" s="2">
        <f t="shared" si="508"/>
        <v>4009.111707375097</v>
      </c>
      <c r="N4098">
        <f t="shared" si="509"/>
        <v>844.05705837220103</v>
      </c>
      <c r="O4098" t="s">
        <v>15</v>
      </c>
    </row>
    <row r="4099" spans="1:15" x14ac:dyDescent="0.35">
      <c r="A4099">
        <v>2011</v>
      </c>
      <c r="B4099">
        <v>3</v>
      </c>
      <c r="C4099">
        <v>21</v>
      </c>
      <c r="D4099" s="1">
        <f t="shared" ref="D4099:D4162" si="512">DATE(A4099,B4099,C4099)</f>
        <v>40623</v>
      </c>
      <c r="E4099">
        <v>0.2</v>
      </c>
      <c r="F4099">
        <f t="shared" si="510"/>
        <v>2</v>
      </c>
      <c r="G4099">
        <f t="shared" ref="G4099:G4162" si="513">IF(E4099=0,0,1)</f>
        <v>1</v>
      </c>
      <c r="H4099">
        <f t="shared" si="511"/>
        <v>1</v>
      </c>
      <c r="I4099">
        <v>4098</v>
      </c>
      <c r="J4099">
        <f t="shared" ref="J4099:J4162" si="514">SIN(2*PI()*I4099/365.25)</f>
        <v>0.98194719018664589</v>
      </c>
      <c r="K4099">
        <f t="shared" ref="K4099:K4162" si="515">COS(2*PI()*I4099/365.25)</f>
        <v>0.18915526872004121</v>
      </c>
      <c r="L4099">
        <f>VLOOKUP(D4099,[1]SOI!$A$1:$C$142,3)</f>
        <v>22.3</v>
      </c>
      <c r="M4099" s="2">
        <f t="shared" ref="M4099:M4162" si="516">I4099*J4099</f>
        <v>4024.019585384875</v>
      </c>
      <c r="N4099">
        <f t="shared" ref="N4099:N4162" si="517">I4099*K4099</f>
        <v>775.15829121472882</v>
      </c>
      <c r="O4099" t="s">
        <v>15</v>
      </c>
    </row>
    <row r="4100" spans="1:15" x14ac:dyDescent="0.35">
      <c r="A4100">
        <v>2011</v>
      </c>
      <c r="B4100">
        <v>3</v>
      </c>
      <c r="C4100">
        <v>22</v>
      </c>
      <c r="D4100" s="1">
        <f t="shared" si="512"/>
        <v>40624</v>
      </c>
      <c r="E4100">
        <v>0</v>
      </c>
      <c r="F4100">
        <f t="shared" ref="F4100:F4163" si="518">E4099</f>
        <v>0.2</v>
      </c>
      <c r="G4100">
        <f t="shared" si="513"/>
        <v>0</v>
      </c>
      <c r="H4100">
        <f t="shared" ref="H4100:H4163" si="519">G4099</f>
        <v>1</v>
      </c>
      <c r="I4100">
        <v>4099</v>
      </c>
      <c r="J4100">
        <f t="shared" si="514"/>
        <v>0.98505567182150033</v>
      </c>
      <c r="K4100">
        <f t="shared" si="515"/>
        <v>0.17223624302768753</v>
      </c>
      <c r="L4100">
        <f>VLOOKUP(D4100,[1]SOI!$A$1:$C$142,3)</f>
        <v>22.3</v>
      </c>
      <c r="M4100" s="2">
        <f t="shared" si="516"/>
        <v>4037.74319879633</v>
      </c>
      <c r="N4100">
        <f t="shared" si="517"/>
        <v>705.99636017049113</v>
      </c>
      <c r="O4100" t="s">
        <v>15</v>
      </c>
    </row>
    <row r="4101" spans="1:15" x14ac:dyDescent="0.35">
      <c r="A4101">
        <v>2011</v>
      </c>
      <c r="B4101">
        <v>3</v>
      </c>
      <c r="C4101">
        <v>23</v>
      </c>
      <c r="D4101" s="1">
        <f t="shared" si="512"/>
        <v>40625</v>
      </c>
      <c r="E4101">
        <v>0</v>
      </c>
      <c r="F4101">
        <f t="shared" si="518"/>
        <v>0</v>
      </c>
      <c r="G4101">
        <f t="shared" si="513"/>
        <v>0</v>
      </c>
      <c r="H4101">
        <f t="shared" si="519"/>
        <v>0</v>
      </c>
      <c r="I4101">
        <v>4100</v>
      </c>
      <c r="J4101">
        <f t="shared" si="514"/>
        <v>0.98787265963504112</v>
      </c>
      <c r="K4101">
        <f t="shared" si="515"/>
        <v>0.15526624986000731</v>
      </c>
      <c r="L4101">
        <f>VLOOKUP(D4101,[1]SOI!$A$1:$C$142,3)</f>
        <v>22.3</v>
      </c>
      <c r="M4101" s="2">
        <f t="shared" si="516"/>
        <v>4050.2779045036687</v>
      </c>
      <c r="N4101">
        <f t="shared" si="517"/>
        <v>636.59162442602997</v>
      </c>
      <c r="O4101" t="s">
        <v>15</v>
      </c>
    </row>
    <row r="4102" spans="1:15" x14ac:dyDescent="0.35">
      <c r="A4102">
        <v>2011</v>
      </c>
      <c r="B4102">
        <v>3</v>
      </c>
      <c r="C4102">
        <v>24</v>
      </c>
      <c r="D4102" s="1">
        <f t="shared" si="512"/>
        <v>40626</v>
      </c>
      <c r="E4102">
        <v>0</v>
      </c>
      <c r="F4102">
        <f t="shared" si="518"/>
        <v>0</v>
      </c>
      <c r="G4102">
        <f t="shared" si="513"/>
        <v>0</v>
      </c>
      <c r="H4102">
        <f t="shared" si="519"/>
        <v>0</v>
      </c>
      <c r="I4102">
        <v>4101</v>
      </c>
      <c r="J4102">
        <f t="shared" si="514"/>
        <v>0.99039732003525527</v>
      </c>
      <c r="K4102">
        <f t="shared" si="515"/>
        <v>0.13825031091098569</v>
      </c>
      <c r="L4102">
        <f>VLOOKUP(D4102,[1]SOI!$A$1:$C$142,3)</f>
        <v>22.3</v>
      </c>
      <c r="M4102" s="2">
        <f t="shared" si="516"/>
        <v>4061.6194094645821</v>
      </c>
      <c r="N4102">
        <f t="shared" si="517"/>
        <v>566.96452504595231</v>
      </c>
      <c r="O4102" t="s">
        <v>15</v>
      </c>
    </row>
    <row r="4103" spans="1:15" x14ac:dyDescent="0.35">
      <c r="A4103">
        <v>2011</v>
      </c>
      <c r="B4103">
        <v>3</v>
      </c>
      <c r="C4103">
        <v>25</v>
      </c>
      <c r="D4103" s="1">
        <f t="shared" si="512"/>
        <v>40627</v>
      </c>
      <c r="E4103">
        <v>9.4</v>
      </c>
      <c r="F4103">
        <f t="shared" si="518"/>
        <v>0</v>
      </c>
      <c r="G4103">
        <f t="shared" si="513"/>
        <v>1</v>
      </c>
      <c r="H4103">
        <f t="shared" si="519"/>
        <v>0</v>
      </c>
      <c r="I4103">
        <v>4102</v>
      </c>
      <c r="J4103">
        <f t="shared" si="514"/>
        <v>0.99262890593450992</v>
      </c>
      <c r="K4103">
        <f t="shared" si="515"/>
        <v>0.12119346147073187</v>
      </c>
      <c r="L4103">
        <f>VLOOKUP(D4103,[1]SOI!$A$1:$C$142,3)</f>
        <v>22.3</v>
      </c>
      <c r="M4103" s="2">
        <f t="shared" si="516"/>
        <v>4071.7637721433598</v>
      </c>
      <c r="N4103">
        <f t="shared" si="517"/>
        <v>497.13557895294213</v>
      </c>
      <c r="O4103" t="s">
        <v>15</v>
      </c>
    </row>
    <row r="4104" spans="1:15" x14ac:dyDescent="0.35">
      <c r="A4104">
        <v>2011</v>
      </c>
      <c r="B4104">
        <v>3</v>
      </c>
      <c r="C4104">
        <v>26</v>
      </c>
      <c r="D4104" s="1">
        <f t="shared" si="512"/>
        <v>40628</v>
      </c>
      <c r="E4104">
        <v>0.2</v>
      </c>
      <c r="F4104">
        <f t="shared" si="518"/>
        <v>9.4</v>
      </c>
      <c r="G4104">
        <f t="shared" si="513"/>
        <v>1</v>
      </c>
      <c r="H4104">
        <f t="shared" si="519"/>
        <v>1</v>
      </c>
      <c r="I4104">
        <v>4103</v>
      </c>
      <c r="J4104">
        <f t="shared" si="514"/>
        <v>0.99456675697063346</v>
      </c>
      <c r="K4104">
        <f t="shared" si="515"/>
        <v>0.10410074893542764</v>
      </c>
      <c r="L4104">
        <f>VLOOKUP(D4104,[1]SOI!$A$1:$C$142,3)</f>
        <v>22.3</v>
      </c>
      <c r="M4104" s="2">
        <f t="shared" si="516"/>
        <v>4080.7074038505089</v>
      </c>
      <c r="N4104">
        <f t="shared" si="517"/>
        <v>427.12537288205965</v>
      </c>
      <c r="O4104" t="s">
        <v>15</v>
      </c>
    </row>
    <row r="4105" spans="1:15" x14ac:dyDescent="0.35">
      <c r="A4105">
        <v>2011</v>
      </c>
      <c r="B4105">
        <v>3</v>
      </c>
      <c r="C4105">
        <v>27</v>
      </c>
      <c r="D4105" s="1">
        <f t="shared" si="512"/>
        <v>40629</v>
      </c>
      <c r="E4105">
        <v>0</v>
      </c>
      <c r="F4105">
        <f t="shared" si="518"/>
        <v>0.2</v>
      </c>
      <c r="G4105">
        <f t="shared" si="513"/>
        <v>0</v>
      </c>
      <c r="H4105">
        <f t="shared" si="519"/>
        <v>1</v>
      </c>
      <c r="I4105">
        <v>4104</v>
      </c>
      <c r="J4105">
        <f t="shared" si="514"/>
        <v>0.99621029970233033</v>
      </c>
      <c r="K4105">
        <f t="shared" si="515"/>
        <v>8.6977231313679293E-2</v>
      </c>
      <c r="L4105">
        <f>VLOOKUP(D4105,[1]SOI!$A$1:$C$142,3)</f>
        <v>22.3</v>
      </c>
      <c r="M4105" s="2">
        <f t="shared" si="516"/>
        <v>4088.4470699783637</v>
      </c>
      <c r="N4105">
        <f t="shared" si="517"/>
        <v>356.95455731133984</v>
      </c>
      <c r="O4105" t="s">
        <v>15</v>
      </c>
    </row>
    <row r="4106" spans="1:15" x14ac:dyDescent="0.35">
      <c r="A4106">
        <v>2011</v>
      </c>
      <c r="B4106">
        <v>3</v>
      </c>
      <c r="C4106">
        <v>28</v>
      </c>
      <c r="D4106" s="1">
        <f t="shared" si="512"/>
        <v>40630</v>
      </c>
      <c r="E4106">
        <v>0</v>
      </c>
      <c r="F4106">
        <f t="shared" si="518"/>
        <v>0</v>
      </c>
      <c r="G4106">
        <f t="shared" si="513"/>
        <v>0</v>
      </c>
      <c r="H4106">
        <f t="shared" si="519"/>
        <v>0</v>
      </c>
      <c r="I4106">
        <v>4105</v>
      </c>
      <c r="J4106">
        <f t="shared" si="514"/>
        <v>0.9975590477788604</v>
      </c>
      <c r="K4106">
        <f t="shared" si="515"/>
        <v>6.9827975729884459E-2</v>
      </c>
      <c r="L4106">
        <f>VLOOKUP(D4106,[1]SOI!$A$1:$C$142,3)</f>
        <v>22.3</v>
      </c>
      <c r="M4106" s="2">
        <f t="shared" si="516"/>
        <v>4094.9798911322218</v>
      </c>
      <c r="N4106">
        <f t="shared" si="517"/>
        <v>286.64384037117571</v>
      </c>
      <c r="O4106" t="s">
        <v>15</v>
      </c>
    </row>
    <row r="4107" spans="1:15" x14ac:dyDescent="0.35">
      <c r="A4107">
        <v>2011</v>
      </c>
      <c r="B4107">
        <v>3</v>
      </c>
      <c r="C4107">
        <v>29</v>
      </c>
      <c r="D4107" s="1">
        <f t="shared" si="512"/>
        <v>40631</v>
      </c>
      <c r="E4107">
        <v>0</v>
      </c>
      <c r="F4107">
        <f t="shared" si="518"/>
        <v>0</v>
      </c>
      <c r="G4107">
        <f t="shared" si="513"/>
        <v>0</v>
      </c>
      <c r="H4107">
        <f t="shared" si="519"/>
        <v>0</v>
      </c>
      <c r="I4107">
        <v>4106</v>
      </c>
      <c r="J4107">
        <f t="shared" si="514"/>
        <v>0.99861260208397307</v>
      </c>
      <c r="K4107">
        <f t="shared" si="515"/>
        <v>5.265805692461871E-2</v>
      </c>
      <c r="L4107">
        <f>VLOOKUP(D4107,[1]SOI!$A$1:$C$142,3)</f>
        <v>22.3</v>
      </c>
      <c r="M4107" s="2">
        <f t="shared" si="516"/>
        <v>4100.3033441567932</v>
      </c>
      <c r="N4107">
        <f t="shared" si="517"/>
        <v>216.21398173248443</v>
      </c>
      <c r="O4107" t="s">
        <v>15</v>
      </c>
    </row>
    <row r="4108" spans="1:15" x14ac:dyDescent="0.35">
      <c r="A4108">
        <v>2011</v>
      </c>
      <c r="B4108">
        <v>3</v>
      </c>
      <c r="C4108">
        <v>30</v>
      </c>
      <c r="D4108" s="1">
        <f t="shared" si="512"/>
        <v>40632</v>
      </c>
      <c r="E4108">
        <v>0</v>
      </c>
      <c r="F4108">
        <f t="shared" si="518"/>
        <v>0</v>
      </c>
      <c r="G4108">
        <f t="shared" si="513"/>
        <v>0</v>
      </c>
      <c r="H4108">
        <f t="shared" si="519"/>
        <v>0</v>
      </c>
      <c r="I4108">
        <v>4107</v>
      </c>
      <c r="J4108">
        <f t="shared" si="514"/>
        <v>0.99937065085399701</v>
      </c>
      <c r="K4108">
        <f t="shared" si="515"/>
        <v>3.5472555753122283E-2</v>
      </c>
      <c r="L4108">
        <f>VLOOKUP(D4108,[1]SOI!$A$1:$C$142,3)</f>
        <v>22.3</v>
      </c>
      <c r="M4108" s="2">
        <f t="shared" si="516"/>
        <v>4104.4152630573653</v>
      </c>
      <c r="N4108">
        <f t="shared" si="517"/>
        <v>145.68578647807323</v>
      </c>
      <c r="O4108" t="s">
        <v>15</v>
      </c>
    </row>
    <row r="4109" spans="1:15" x14ac:dyDescent="0.35">
      <c r="A4109">
        <v>2011</v>
      </c>
      <c r="B4109">
        <v>3</v>
      </c>
      <c r="C4109">
        <v>31</v>
      </c>
      <c r="D4109" s="1">
        <f t="shared" si="512"/>
        <v>40633</v>
      </c>
      <c r="E4109">
        <v>0</v>
      </c>
      <c r="F4109">
        <f t="shared" si="518"/>
        <v>0</v>
      </c>
      <c r="G4109">
        <f t="shared" si="513"/>
        <v>0</v>
      </c>
      <c r="H4109">
        <f t="shared" si="519"/>
        <v>0</v>
      </c>
      <c r="I4109">
        <v>4108</v>
      </c>
      <c r="J4109">
        <f t="shared" si="514"/>
        <v>0.99983296977010505</v>
      </c>
      <c r="K4109">
        <f t="shared" si="515"/>
        <v>1.8276557681694165E-2</v>
      </c>
      <c r="L4109">
        <f>VLOOKUP(D4109,[1]SOI!$A$1:$C$142,3)</f>
        <v>22.3</v>
      </c>
      <c r="M4109" s="2">
        <f t="shared" si="516"/>
        <v>4107.3138398155916</v>
      </c>
      <c r="N4109">
        <f t="shared" si="517"/>
        <v>75.080098956399624</v>
      </c>
      <c r="O4109" t="s">
        <v>15</v>
      </c>
    </row>
    <row r="4110" spans="1:15" x14ac:dyDescent="0.35">
      <c r="A4110">
        <v>2011</v>
      </c>
      <c r="B4110">
        <v>4</v>
      </c>
      <c r="C4110">
        <v>1</v>
      </c>
      <c r="D4110" s="1">
        <f t="shared" si="512"/>
        <v>40634</v>
      </c>
      <c r="E4110">
        <v>0</v>
      </c>
      <c r="F4110">
        <f t="shared" si="518"/>
        <v>0</v>
      </c>
      <c r="G4110">
        <f t="shared" si="513"/>
        <v>0</v>
      </c>
      <c r="H4110">
        <f t="shared" si="519"/>
        <v>0</v>
      </c>
      <c r="I4110">
        <v>4109</v>
      </c>
      <c r="J4110">
        <f t="shared" si="514"/>
        <v>0.9999994220246925</v>
      </c>
      <c r="K4110">
        <f t="shared" si="515"/>
        <v>1.0751512827922845E-3</v>
      </c>
      <c r="L4110">
        <f>VLOOKUP(D4110,[1]SOI!$A$1:$C$142,3)</f>
        <v>21.4</v>
      </c>
      <c r="M4110" s="2">
        <f t="shared" si="516"/>
        <v>4108.9976250994614</v>
      </c>
      <c r="N4110">
        <f t="shared" si="517"/>
        <v>4.4177966209934967</v>
      </c>
      <c r="O4110" t="s">
        <v>15</v>
      </c>
    </row>
    <row r="4111" spans="1:15" x14ac:dyDescent="0.35">
      <c r="A4111">
        <v>2011</v>
      </c>
      <c r="B4111">
        <v>4</v>
      </c>
      <c r="C4111">
        <v>2</v>
      </c>
      <c r="D4111" s="1">
        <f t="shared" si="512"/>
        <v>40635</v>
      </c>
      <c r="E4111">
        <v>0</v>
      </c>
      <c r="F4111">
        <f t="shared" si="518"/>
        <v>0</v>
      </c>
      <c r="G4111">
        <f t="shared" si="513"/>
        <v>0</v>
      </c>
      <c r="H4111">
        <f t="shared" si="519"/>
        <v>0</v>
      </c>
      <c r="I4111">
        <v>4110</v>
      </c>
      <c r="J4111">
        <f t="shared" si="514"/>
        <v>0.99986995836185921</v>
      </c>
      <c r="K4111">
        <f t="shared" si="515"/>
        <v>-1.6126573270657488E-2</v>
      </c>
      <c r="L4111">
        <f>VLOOKUP(D4111,[1]SOI!$A$1:$C$142,3)</f>
        <v>21.4</v>
      </c>
      <c r="M4111" s="2">
        <f t="shared" si="516"/>
        <v>4109.4655288672411</v>
      </c>
      <c r="N4111">
        <f t="shared" si="517"/>
        <v>-66.280216142402281</v>
      </c>
      <c r="O4111" t="s">
        <v>15</v>
      </c>
    </row>
    <row r="4112" spans="1:15" x14ac:dyDescent="0.35">
      <c r="A4112">
        <v>2011</v>
      </c>
      <c r="B4112">
        <v>4</v>
      </c>
      <c r="C4112">
        <v>3</v>
      </c>
      <c r="D4112" s="1">
        <f t="shared" si="512"/>
        <v>40636</v>
      </c>
      <c r="E4112">
        <v>0</v>
      </c>
      <c r="F4112">
        <f t="shared" si="518"/>
        <v>0</v>
      </c>
      <c r="G4112">
        <f t="shared" si="513"/>
        <v>0</v>
      </c>
      <c r="H4112">
        <f t="shared" si="519"/>
        <v>0</v>
      </c>
      <c r="I4112">
        <v>4111</v>
      </c>
      <c r="J4112">
        <f t="shared" si="514"/>
        <v>0.99944461709198607</v>
      </c>
      <c r="K4112">
        <f t="shared" si="515"/>
        <v>-3.3323525711624856E-2</v>
      </c>
      <c r="L4112">
        <f>VLOOKUP(D4112,[1]SOI!$A$1:$C$142,3)</f>
        <v>21.4</v>
      </c>
      <c r="M4112" s="2">
        <f t="shared" si="516"/>
        <v>4108.7168208651547</v>
      </c>
      <c r="N4112">
        <f t="shared" si="517"/>
        <v>-136.9930142004898</v>
      </c>
      <c r="O4112" t="s">
        <v>15</v>
      </c>
    </row>
    <row r="4113" spans="1:15" x14ac:dyDescent="0.35">
      <c r="A4113">
        <v>2011</v>
      </c>
      <c r="B4113">
        <v>4</v>
      </c>
      <c r="C4113">
        <v>4</v>
      </c>
      <c r="D4113" s="1">
        <f t="shared" si="512"/>
        <v>40637</v>
      </c>
      <c r="E4113">
        <v>2.4</v>
      </c>
      <c r="F4113">
        <f t="shared" si="518"/>
        <v>0</v>
      </c>
      <c r="G4113">
        <f t="shared" si="513"/>
        <v>1</v>
      </c>
      <c r="H4113">
        <f t="shared" si="519"/>
        <v>0</v>
      </c>
      <c r="I4113">
        <v>4112</v>
      </c>
      <c r="J4113">
        <f t="shared" si="514"/>
        <v>0.99872352408039722</v>
      </c>
      <c r="K4113">
        <f t="shared" si="515"/>
        <v>-5.0510617185224385E-2</v>
      </c>
      <c r="L4113">
        <f>VLOOKUP(D4113,[1]SOI!$A$1:$C$142,3)</f>
        <v>21.4</v>
      </c>
      <c r="M4113" s="2">
        <f t="shared" si="516"/>
        <v>4106.7511310185937</v>
      </c>
      <c r="N4113">
        <f t="shared" si="517"/>
        <v>-207.69965786564268</v>
      </c>
      <c r="O4113" t="s">
        <v>15</v>
      </c>
    </row>
    <row r="4114" spans="1:15" x14ac:dyDescent="0.35">
      <c r="A4114">
        <v>2011</v>
      </c>
      <c r="B4114">
        <v>4</v>
      </c>
      <c r="C4114">
        <v>5</v>
      </c>
      <c r="D4114" s="1">
        <f t="shared" si="512"/>
        <v>40638</v>
      </c>
      <c r="E4114">
        <v>0.2</v>
      </c>
      <c r="F4114">
        <f t="shared" si="518"/>
        <v>2.4</v>
      </c>
      <c r="G4114">
        <f t="shared" si="513"/>
        <v>1</v>
      </c>
      <c r="H4114">
        <f t="shared" si="519"/>
        <v>1</v>
      </c>
      <c r="I4114">
        <v>4113</v>
      </c>
      <c r="J4114">
        <f t="shared" si="514"/>
        <v>0.99770689271011714</v>
      </c>
      <c r="K4114">
        <f t="shared" si="515"/>
        <v>-6.7682761754546919E-2</v>
      </c>
      <c r="L4114">
        <f>VLOOKUP(D4114,[1]SOI!$A$1:$C$142,3)</f>
        <v>21.4</v>
      </c>
      <c r="M4114" s="2">
        <f t="shared" si="516"/>
        <v>4103.5684497167122</v>
      </c>
      <c r="N4114">
        <f t="shared" si="517"/>
        <v>-278.37919909645149</v>
      </c>
      <c r="O4114" t="s">
        <v>15</v>
      </c>
    </row>
    <row r="4115" spans="1:15" x14ac:dyDescent="0.35">
      <c r="A4115">
        <v>2011</v>
      </c>
      <c r="B4115">
        <v>4</v>
      </c>
      <c r="C4115">
        <v>6</v>
      </c>
      <c r="D4115" s="1">
        <f t="shared" si="512"/>
        <v>40639</v>
      </c>
      <c r="E4115">
        <v>0</v>
      </c>
      <c r="F4115">
        <f t="shared" si="518"/>
        <v>0.2</v>
      </c>
      <c r="G4115">
        <f t="shared" si="513"/>
        <v>0</v>
      </c>
      <c r="H4115">
        <f t="shared" si="519"/>
        <v>1</v>
      </c>
      <c r="I4115">
        <v>4114</v>
      </c>
      <c r="J4115">
        <f t="shared" si="514"/>
        <v>0.9963950238187228</v>
      </c>
      <c r="K4115">
        <f t="shared" si="515"/>
        <v>-8.4834877905769532E-2</v>
      </c>
      <c r="L4115">
        <f>VLOOKUP(D4115,[1]SOI!$A$1:$C$142,3)</f>
        <v>21.4</v>
      </c>
      <c r="M4115" s="2">
        <f t="shared" si="516"/>
        <v>4099.1691279902252</v>
      </c>
      <c r="N4115">
        <f t="shared" si="517"/>
        <v>-349.01068770433585</v>
      </c>
      <c r="O4115" t="s">
        <v>15</v>
      </c>
    </row>
    <row r="4116" spans="1:15" x14ac:dyDescent="0.35">
      <c r="A4116">
        <v>2011</v>
      </c>
      <c r="B4116">
        <v>4</v>
      </c>
      <c r="C4116">
        <v>7</v>
      </c>
      <c r="D4116" s="1">
        <f t="shared" si="512"/>
        <v>40640</v>
      </c>
      <c r="E4116">
        <v>0</v>
      </c>
      <c r="F4116">
        <f t="shared" si="518"/>
        <v>0</v>
      </c>
      <c r="G4116">
        <f t="shared" si="513"/>
        <v>0</v>
      </c>
      <c r="H4116">
        <f t="shared" si="519"/>
        <v>0</v>
      </c>
      <c r="I4116">
        <v>4115</v>
      </c>
      <c r="J4116">
        <f t="shared" si="514"/>
        <v>0.99478830560932718</v>
      </c>
      <c r="K4116">
        <f t="shared" si="515"/>
        <v>-0.10196189005174372</v>
      </c>
      <c r="L4116">
        <f>VLOOKUP(D4116,[1]SOI!$A$1:$C$142,3)</f>
        <v>21.4</v>
      </c>
      <c r="M4116" s="2">
        <f t="shared" si="516"/>
        <v>4093.5538775823816</v>
      </c>
      <c r="N4116">
        <f t="shared" si="517"/>
        <v>-419.57317756292542</v>
      </c>
      <c r="O4116" t="s">
        <v>15</v>
      </c>
    </row>
    <row r="4117" spans="1:15" x14ac:dyDescent="0.35">
      <c r="A4117">
        <v>2011</v>
      </c>
      <c r="B4117">
        <v>4</v>
      </c>
      <c r="C4117">
        <v>8</v>
      </c>
      <c r="D4117" s="1">
        <f t="shared" si="512"/>
        <v>40641</v>
      </c>
      <c r="E4117">
        <v>0</v>
      </c>
      <c r="F4117">
        <f t="shared" si="518"/>
        <v>0</v>
      </c>
      <c r="G4117">
        <f t="shared" si="513"/>
        <v>0</v>
      </c>
      <c r="H4117">
        <f t="shared" si="519"/>
        <v>0</v>
      </c>
      <c r="I4117">
        <v>4116</v>
      </c>
      <c r="J4117">
        <f t="shared" si="514"/>
        <v>0.99288721353569709</v>
      </c>
      <c r="K4117">
        <f t="shared" si="515"/>
        <v>-0.11905873003404255</v>
      </c>
      <c r="L4117">
        <f>VLOOKUP(D4117,[1]SOI!$A$1:$C$142,3)</f>
        <v>21.4</v>
      </c>
      <c r="M4117" s="2">
        <f t="shared" si="516"/>
        <v>4086.723770912929</v>
      </c>
      <c r="N4117">
        <f t="shared" si="517"/>
        <v>-490.04573282011916</v>
      </c>
      <c r="O4117" t="s">
        <v>15</v>
      </c>
    </row>
    <row r="4118" spans="1:15" x14ac:dyDescent="0.35">
      <c r="A4118">
        <v>2011</v>
      </c>
      <c r="B4118">
        <v>4</v>
      </c>
      <c r="C4118">
        <v>9</v>
      </c>
      <c r="D4118" s="1">
        <f t="shared" si="512"/>
        <v>40642</v>
      </c>
      <c r="E4118">
        <v>0</v>
      </c>
      <c r="F4118">
        <f t="shared" si="518"/>
        <v>0</v>
      </c>
      <c r="G4118">
        <f t="shared" si="513"/>
        <v>0</v>
      </c>
      <c r="H4118">
        <f t="shared" si="519"/>
        <v>0</v>
      </c>
      <c r="I4118">
        <v>4117</v>
      </c>
      <c r="J4118">
        <f t="shared" si="514"/>
        <v>0.9906923101615609</v>
      </c>
      <c r="K4118">
        <f t="shared" si="515"/>
        <v>-0.13612033862266762</v>
      </c>
      <c r="L4118">
        <f>VLOOKUP(D4118,[1]SOI!$A$1:$C$142,3)</f>
        <v>21.4</v>
      </c>
      <c r="M4118" s="2">
        <f t="shared" si="516"/>
        <v>4078.6802409351462</v>
      </c>
      <c r="N4118">
        <f t="shared" si="517"/>
        <v>-560.40743410952257</v>
      </c>
      <c r="O4118" t="s">
        <v>15</v>
      </c>
    </row>
    <row r="4119" spans="1:15" x14ac:dyDescent="0.35">
      <c r="A4119">
        <v>2011</v>
      </c>
      <c r="B4119">
        <v>4</v>
      </c>
      <c r="C4119">
        <v>10</v>
      </c>
      <c r="D4119" s="1">
        <f t="shared" si="512"/>
        <v>40643</v>
      </c>
      <c r="E4119">
        <v>17.600000000000001</v>
      </c>
      <c r="F4119">
        <f t="shared" si="518"/>
        <v>0</v>
      </c>
      <c r="G4119">
        <f t="shared" si="513"/>
        <v>1</v>
      </c>
      <c r="H4119">
        <f t="shared" si="519"/>
        <v>0</v>
      </c>
      <c r="I4119">
        <v>4118</v>
      </c>
      <c r="J4119">
        <f t="shared" si="514"/>
        <v>0.98820424499414306</v>
      </c>
      <c r="K4119">
        <f t="shared" si="515"/>
        <v>-0.15314166701311452</v>
      </c>
      <c r="L4119">
        <f>VLOOKUP(D4119,[1]SOI!$A$1:$C$142,3)</f>
        <v>21.4</v>
      </c>
      <c r="M4119" s="2">
        <f t="shared" si="516"/>
        <v>4069.425080885881</v>
      </c>
      <c r="N4119">
        <f t="shared" si="517"/>
        <v>-630.6373847600056</v>
      </c>
      <c r="O4119" t="s">
        <v>15</v>
      </c>
    </row>
    <row r="4120" spans="1:15" x14ac:dyDescent="0.35">
      <c r="A4120">
        <v>2011</v>
      </c>
      <c r="B4120">
        <v>4</v>
      </c>
      <c r="C4120">
        <v>11</v>
      </c>
      <c r="D4120" s="1">
        <f t="shared" si="512"/>
        <v>40644</v>
      </c>
      <c r="E4120">
        <v>1.4</v>
      </c>
      <c r="F4120">
        <f t="shared" si="518"/>
        <v>17.600000000000001</v>
      </c>
      <c r="G4120">
        <f t="shared" si="513"/>
        <v>1</v>
      </c>
      <c r="H4120">
        <f t="shared" si="519"/>
        <v>1</v>
      </c>
      <c r="I4120">
        <v>4119</v>
      </c>
      <c r="J4120">
        <f t="shared" si="514"/>
        <v>0.98542375429195184</v>
      </c>
      <c r="K4120">
        <f t="shared" si="515"/>
        <v>-0.17011767832049376</v>
      </c>
      <c r="L4120">
        <f>VLOOKUP(D4120,[1]SOI!$A$1:$C$142,3)</f>
        <v>21.4</v>
      </c>
      <c r="M4120" s="2">
        <f t="shared" si="516"/>
        <v>4058.9604439285495</v>
      </c>
      <c r="N4120">
        <f t="shared" si="517"/>
        <v>-700.71471700211384</v>
      </c>
      <c r="O4120" t="s">
        <v>15</v>
      </c>
    </row>
    <row r="4121" spans="1:15" x14ac:dyDescent="0.35">
      <c r="A4121">
        <v>2011</v>
      </c>
      <c r="B4121">
        <v>4</v>
      </c>
      <c r="C4121">
        <v>12</v>
      </c>
      <c r="D4121" s="1">
        <f t="shared" si="512"/>
        <v>40645</v>
      </c>
      <c r="E4121">
        <v>51</v>
      </c>
      <c r="F4121">
        <f t="shared" si="518"/>
        <v>1.4</v>
      </c>
      <c r="G4121">
        <f t="shared" si="513"/>
        <v>1</v>
      </c>
      <c r="H4121">
        <f t="shared" si="519"/>
        <v>1</v>
      </c>
      <c r="I4121">
        <v>4120</v>
      </c>
      <c r="J4121">
        <f t="shared" si="514"/>
        <v>0.98235166084692427</v>
      </c>
      <c r="K4121">
        <f t="shared" si="515"/>
        <v>-0.18704334906991368</v>
      </c>
      <c r="L4121">
        <f>VLOOKUP(D4121,[1]SOI!$A$1:$C$142,3)</f>
        <v>21.4</v>
      </c>
      <c r="M4121" s="2">
        <f t="shared" si="516"/>
        <v>4047.2888426893278</v>
      </c>
      <c r="N4121">
        <f t="shared" si="517"/>
        <v>-770.6185981680444</v>
      </c>
      <c r="O4121" t="s">
        <v>15</v>
      </c>
    </row>
    <row r="4122" spans="1:15" x14ac:dyDescent="0.35">
      <c r="A4122">
        <v>2011</v>
      </c>
      <c r="B4122">
        <v>4</v>
      </c>
      <c r="C4122">
        <v>13</v>
      </c>
      <c r="D4122" s="1">
        <f t="shared" si="512"/>
        <v>40646</v>
      </c>
      <c r="E4122">
        <v>13</v>
      </c>
      <c r="F4122">
        <f t="shared" si="518"/>
        <v>51</v>
      </c>
      <c r="G4122">
        <f t="shared" si="513"/>
        <v>1</v>
      </c>
      <c r="H4122">
        <f t="shared" si="519"/>
        <v>1</v>
      </c>
      <c r="I4122">
        <v>4121</v>
      </c>
      <c r="J4122">
        <f t="shared" si="514"/>
        <v>0.97898887374093368</v>
      </c>
      <c r="K4122">
        <f t="shared" si="515"/>
        <v>-0.20391367068310576</v>
      </c>
      <c r="L4122">
        <f>VLOOKUP(D4122,[1]SOI!$A$1:$C$142,3)</f>
        <v>21.4</v>
      </c>
      <c r="M4122" s="2">
        <f t="shared" si="516"/>
        <v>4034.4131486863876</v>
      </c>
      <c r="N4122">
        <f t="shared" si="517"/>
        <v>-840.32823688507881</v>
      </c>
      <c r="O4122" t="s">
        <v>15</v>
      </c>
    </row>
    <row r="4123" spans="1:15" x14ac:dyDescent="0.35">
      <c r="A4123">
        <v>2011</v>
      </c>
      <c r="B4123">
        <v>4</v>
      </c>
      <c r="C4123">
        <v>14</v>
      </c>
      <c r="D4123" s="1">
        <f t="shared" si="512"/>
        <v>40647</v>
      </c>
      <c r="E4123">
        <v>1.2</v>
      </c>
      <c r="F4123">
        <f t="shared" si="518"/>
        <v>13</v>
      </c>
      <c r="G4123">
        <f t="shared" si="513"/>
        <v>1</v>
      </c>
      <c r="H4123">
        <f t="shared" si="519"/>
        <v>1</v>
      </c>
      <c r="I4123">
        <v>4122</v>
      </c>
      <c r="J4123">
        <f t="shared" si="514"/>
        <v>0.97533638807678391</v>
      </c>
      <c r="K4123">
        <f t="shared" si="515"/>
        <v>-0.22072365096050109</v>
      </c>
      <c r="L4123">
        <f>VLOOKUP(D4123,[1]SOI!$A$1:$C$142,3)</f>
        <v>21.4</v>
      </c>
      <c r="M4123" s="2">
        <f t="shared" si="516"/>
        <v>4020.3365916525031</v>
      </c>
      <c r="N4123">
        <f t="shared" si="517"/>
        <v>-909.82288925918544</v>
      </c>
      <c r="O4123" t="s">
        <v>15</v>
      </c>
    </row>
    <row r="4124" spans="1:15" x14ac:dyDescent="0.35">
      <c r="A4124">
        <v>2011</v>
      </c>
      <c r="B4124">
        <v>4</v>
      </c>
      <c r="C4124">
        <v>15</v>
      </c>
      <c r="D4124" s="1">
        <f t="shared" si="512"/>
        <v>40648</v>
      </c>
      <c r="E4124">
        <v>0.4</v>
      </c>
      <c r="F4124">
        <f t="shared" si="518"/>
        <v>1.2</v>
      </c>
      <c r="G4124">
        <f t="shared" si="513"/>
        <v>1</v>
      </c>
      <c r="H4124">
        <f t="shared" si="519"/>
        <v>1</v>
      </c>
      <c r="I4124">
        <v>4123</v>
      </c>
      <c r="J4124">
        <f t="shared" si="514"/>
        <v>0.97139528468375169</v>
      </c>
      <c r="K4124">
        <f t="shared" si="515"/>
        <v>-0.23746831555846126</v>
      </c>
      <c r="L4124">
        <f>VLOOKUP(D4124,[1]SOI!$A$1:$C$142,3)</f>
        <v>21.4</v>
      </c>
      <c r="M4124" s="2">
        <f t="shared" si="516"/>
        <v>4005.062758751108</v>
      </c>
      <c r="N4124">
        <f t="shared" si="517"/>
        <v>-979.08186504753576</v>
      </c>
      <c r="O4124" t="s">
        <v>15</v>
      </c>
    </row>
    <row r="4125" spans="1:15" x14ac:dyDescent="0.35">
      <c r="A4125">
        <v>2011</v>
      </c>
      <c r="B4125">
        <v>4</v>
      </c>
      <c r="C4125">
        <v>16</v>
      </c>
      <c r="D4125" s="1">
        <f t="shared" si="512"/>
        <v>40649</v>
      </c>
      <c r="E4125">
        <v>0</v>
      </c>
      <c r="F4125">
        <f t="shared" si="518"/>
        <v>0.4</v>
      </c>
      <c r="G4125">
        <f t="shared" si="513"/>
        <v>0</v>
      </c>
      <c r="H4125">
        <f t="shared" si="519"/>
        <v>1</v>
      </c>
      <c r="I4125">
        <v>4124</v>
      </c>
      <c r="J4125">
        <f t="shared" si="514"/>
        <v>0.96716672979773088</v>
      </c>
      <c r="K4125">
        <f t="shared" si="515"/>
        <v>-0.25414270946136364</v>
      </c>
      <c r="L4125">
        <f>VLOOKUP(D4125,[1]SOI!$A$1:$C$142,3)</f>
        <v>21.4</v>
      </c>
      <c r="M4125" s="2">
        <f t="shared" si="516"/>
        <v>3988.5955936858422</v>
      </c>
      <c r="N4125">
        <f t="shared" si="517"/>
        <v>-1048.0845338186637</v>
      </c>
      <c r="O4125" t="s">
        <v>15</v>
      </c>
    </row>
    <row r="4126" spans="1:15" x14ac:dyDescent="0.35">
      <c r="A4126">
        <v>2011</v>
      </c>
      <c r="B4126">
        <v>4</v>
      </c>
      <c r="C4126">
        <v>17</v>
      </c>
      <c r="D4126" s="1">
        <f t="shared" si="512"/>
        <v>40650</v>
      </c>
      <c r="E4126">
        <v>0</v>
      </c>
      <c r="F4126">
        <f t="shared" si="518"/>
        <v>0</v>
      </c>
      <c r="G4126">
        <f t="shared" si="513"/>
        <v>0</v>
      </c>
      <c r="H4126">
        <f t="shared" si="519"/>
        <v>0</v>
      </c>
      <c r="I4126">
        <v>4125</v>
      </c>
      <c r="J4126">
        <f t="shared" si="514"/>
        <v>0.96265197471614994</v>
      </c>
      <c r="K4126">
        <f t="shared" si="515"/>
        <v>-0.27074189844775964</v>
      </c>
      <c r="L4126">
        <f>VLOOKUP(D4126,[1]SOI!$A$1:$C$142,3)</f>
        <v>21.4</v>
      </c>
      <c r="M4126" s="2">
        <f t="shared" si="516"/>
        <v>3970.9393957041184</v>
      </c>
      <c r="N4126">
        <f t="shared" si="517"/>
        <v>-1116.8103310970084</v>
      </c>
      <c r="O4126" t="s">
        <v>15</v>
      </c>
    </row>
    <row r="4127" spans="1:15" x14ac:dyDescent="0.35">
      <c r="A4127">
        <v>2011</v>
      </c>
      <c r="B4127">
        <v>4</v>
      </c>
      <c r="C4127">
        <v>18</v>
      </c>
      <c r="D4127" s="1">
        <f t="shared" si="512"/>
        <v>40651</v>
      </c>
      <c r="E4127">
        <v>8.4</v>
      </c>
      <c r="F4127">
        <f t="shared" si="518"/>
        <v>0</v>
      </c>
      <c r="G4127">
        <f t="shared" si="513"/>
        <v>1</v>
      </c>
      <c r="H4127">
        <f t="shared" si="519"/>
        <v>0</v>
      </c>
      <c r="I4127">
        <v>4126</v>
      </c>
      <c r="J4127">
        <f t="shared" si="514"/>
        <v>0.95785235542766567</v>
      </c>
      <c r="K4127">
        <f t="shared" si="515"/>
        <v>-0.28726097055060035</v>
      </c>
      <c r="L4127">
        <f>VLOOKUP(D4127,[1]SOI!$A$1:$C$142,3)</f>
        <v>21.4</v>
      </c>
      <c r="M4127" s="2">
        <f t="shared" si="516"/>
        <v>3952.0988184945486</v>
      </c>
      <c r="N4127">
        <f t="shared" si="517"/>
        <v>-1185.2387644917771</v>
      </c>
      <c r="O4127" t="s">
        <v>15</v>
      </c>
    </row>
    <row r="4128" spans="1:15" x14ac:dyDescent="0.35">
      <c r="A4128">
        <v>2011</v>
      </c>
      <c r="B4128">
        <v>4</v>
      </c>
      <c r="C4128">
        <v>19</v>
      </c>
      <c r="D4128" s="1">
        <f t="shared" si="512"/>
        <v>40652</v>
      </c>
      <c r="E4128">
        <v>0</v>
      </c>
      <c r="F4128">
        <f t="shared" si="518"/>
        <v>8.4</v>
      </c>
      <c r="G4128">
        <f t="shared" si="513"/>
        <v>0</v>
      </c>
      <c r="H4128">
        <f t="shared" si="519"/>
        <v>1</v>
      </c>
      <c r="I4128">
        <v>4127</v>
      </c>
      <c r="J4128">
        <f t="shared" si="514"/>
        <v>0.9527692922168518</v>
      </c>
      <c r="K4128">
        <f t="shared" si="515"/>
        <v>-0.30369503751065685</v>
      </c>
      <c r="L4128">
        <f>VLOOKUP(D4128,[1]SOI!$A$1:$C$142,3)</f>
        <v>21.4</v>
      </c>
      <c r="M4128" s="2">
        <f t="shared" si="516"/>
        <v>3932.0788689789474</v>
      </c>
      <c r="N4128">
        <f t="shared" si="517"/>
        <v>-1253.3494198064809</v>
      </c>
      <c r="O4128" t="s">
        <v>15</v>
      </c>
    </row>
    <row r="4129" spans="1:15" x14ac:dyDescent="0.35">
      <c r="A4129">
        <v>2011</v>
      </c>
      <c r="B4129">
        <v>4</v>
      </c>
      <c r="C4129">
        <v>20</v>
      </c>
      <c r="D4129" s="1">
        <f t="shared" si="512"/>
        <v>40653</v>
      </c>
      <c r="E4129">
        <v>0</v>
      </c>
      <c r="F4129">
        <f t="shared" si="518"/>
        <v>0</v>
      </c>
      <c r="G4129">
        <f t="shared" si="513"/>
        <v>0</v>
      </c>
      <c r="H4129">
        <f t="shared" si="519"/>
        <v>0</v>
      </c>
      <c r="I4129">
        <v>4128</v>
      </c>
      <c r="J4129">
        <f t="shared" si="514"/>
        <v>0.9474042892438872</v>
      </c>
      <c r="K4129">
        <f t="shared" si="515"/>
        <v>-0.32003923622313074</v>
      </c>
      <c r="L4129">
        <f>VLOOKUP(D4129,[1]SOI!$A$1:$C$142,3)</f>
        <v>21.4</v>
      </c>
      <c r="M4129" s="2">
        <f t="shared" si="516"/>
        <v>3910.8849059987665</v>
      </c>
      <c r="N4129">
        <f t="shared" si="517"/>
        <v>-1321.1219671290837</v>
      </c>
      <c r="O4129" t="s">
        <v>15</v>
      </c>
    </row>
    <row r="4130" spans="1:15" x14ac:dyDescent="0.35">
      <c r="A4130">
        <v>2011</v>
      </c>
      <c r="B4130">
        <v>4</v>
      </c>
      <c r="C4130">
        <v>21</v>
      </c>
      <c r="D4130" s="1">
        <f t="shared" si="512"/>
        <v>40654</v>
      </c>
      <c r="E4130">
        <v>14.6</v>
      </c>
      <c r="F4130">
        <f t="shared" si="518"/>
        <v>0</v>
      </c>
      <c r="G4130">
        <f t="shared" si="513"/>
        <v>1</v>
      </c>
      <c r="H4130">
        <f t="shared" si="519"/>
        <v>0</v>
      </c>
      <c r="I4130">
        <v>4129</v>
      </c>
      <c r="J4130">
        <f t="shared" si="514"/>
        <v>0.94175893409946143</v>
      </c>
      <c r="K4130">
        <f t="shared" si="515"/>
        <v>-0.33628873017668343</v>
      </c>
      <c r="L4130">
        <f>VLOOKUP(D4130,[1]SOI!$A$1:$C$142,3)</f>
        <v>21.4</v>
      </c>
      <c r="M4130" s="2">
        <f t="shared" si="516"/>
        <v>3888.5226388966762</v>
      </c>
      <c r="N4130">
        <f t="shared" si="517"/>
        <v>-1388.5361668995258</v>
      </c>
      <c r="O4130" t="s">
        <v>15</v>
      </c>
    </row>
    <row r="4131" spans="1:15" x14ac:dyDescent="0.35">
      <c r="A4131">
        <v>2011</v>
      </c>
      <c r="B4131">
        <v>4</v>
      </c>
      <c r="C4131">
        <v>22</v>
      </c>
      <c r="D4131" s="1">
        <f t="shared" si="512"/>
        <v>40655</v>
      </c>
      <c r="E4131">
        <v>3.8</v>
      </c>
      <c r="F4131">
        <f t="shared" si="518"/>
        <v>14.6</v>
      </c>
      <c r="G4131">
        <f t="shared" si="513"/>
        <v>1</v>
      </c>
      <c r="H4131">
        <f t="shared" si="519"/>
        <v>1</v>
      </c>
      <c r="I4131">
        <v>4130</v>
      </c>
      <c r="J4131">
        <f t="shared" si="514"/>
        <v>0.93583489733499614</v>
      </c>
      <c r="K4131">
        <f t="shared" si="515"/>
        <v>-0.35243871088459805</v>
      </c>
      <c r="L4131">
        <f>VLOOKUP(D4131,[1]SOI!$A$1:$C$142,3)</f>
        <v>21.4</v>
      </c>
      <c r="M4131" s="2">
        <f t="shared" si="516"/>
        <v>3864.9981259935339</v>
      </c>
      <c r="N4131">
        <f t="shared" si="517"/>
        <v>-1455.57187595339</v>
      </c>
      <c r="O4131" t="s">
        <v>15</v>
      </c>
    </row>
    <row r="4132" spans="1:15" x14ac:dyDescent="0.35">
      <c r="A4132">
        <v>2011</v>
      </c>
      <c r="B4132">
        <v>4</v>
      </c>
      <c r="C4132">
        <v>23</v>
      </c>
      <c r="D4132" s="1">
        <f t="shared" si="512"/>
        <v>40656</v>
      </c>
      <c r="E4132">
        <v>0.2</v>
      </c>
      <c r="F4132">
        <f t="shared" si="518"/>
        <v>3.8</v>
      </c>
      <c r="G4132">
        <f t="shared" si="513"/>
        <v>1</v>
      </c>
      <c r="H4132">
        <f t="shared" si="519"/>
        <v>1</v>
      </c>
      <c r="I4132">
        <v>4131</v>
      </c>
      <c r="J4132">
        <f t="shared" si="514"/>
        <v>0.9296339319682686</v>
      </c>
      <c r="K4132">
        <f t="shared" si="515"/>
        <v>-0.36848439930778154</v>
      </c>
      <c r="L4132">
        <f>VLOOKUP(D4132,[1]SOI!$A$1:$C$142,3)</f>
        <v>21.4</v>
      </c>
      <c r="M4132" s="2">
        <f t="shared" si="516"/>
        <v>3840.3177729609174</v>
      </c>
      <c r="N4132">
        <f t="shared" si="517"/>
        <v>-1522.2090535404454</v>
      </c>
      <c r="O4132" t="s">
        <v>15</v>
      </c>
    </row>
    <row r="4133" spans="1:15" x14ac:dyDescent="0.35">
      <c r="A4133">
        <v>2011</v>
      </c>
      <c r="B4133">
        <v>4</v>
      </c>
      <c r="C4133">
        <v>24</v>
      </c>
      <c r="D4133" s="1">
        <f t="shared" si="512"/>
        <v>40657</v>
      </c>
      <c r="E4133">
        <v>0</v>
      </c>
      <c r="F4133">
        <f t="shared" si="518"/>
        <v>0.2</v>
      </c>
      <c r="G4133">
        <f t="shared" si="513"/>
        <v>0</v>
      </c>
      <c r="H4133">
        <f t="shared" si="519"/>
        <v>1</v>
      </c>
      <c r="I4133">
        <v>4132</v>
      </c>
      <c r="J4133">
        <f t="shared" si="514"/>
        <v>0.92315787296470508</v>
      </c>
      <c r="K4133">
        <f t="shared" si="515"/>
        <v>-0.38442104726885273</v>
      </c>
      <c r="L4133">
        <f>VLOOKUP(D4133,[1]SOI!$A$1:$C$142,3)</f>
        <v>21.4</v>
      </c>
      <c r="M4133" s="2">
        <f t="shared" si="516"/>
        <v>3814.4883310901614</v>
      </c>
      <c r="N4133">
        <f t="shared" si="517"/>
        <v>-1588.4277673148995</v>
      </c>
      <c r="O4133" t="s">
        <v>15</v>
      </c>
    </row>
    <row r="4134" spans="1:15" x14ac:dyDescent="0.35">
      <c r="A4134">
        <v>2011</v>
      </c>
      <c r="B4134">
        <v>4</v>
      </c>
      <c r="C4134">
        <v>25</v>
      </c>
      <c r="D4134" s="1">
        <f t="shared" si="512"/>
        <v>40658</v>
      </c>
      <c r="E4134">
        <v>0</v>
      </c>
      <c r="F4134">
        <f t="shared" si="518"/>
        <v>0</v>
      </c>
      <c r="G4134">
        <f t="shared" si="513"/>
        <v>0</v>
      </c>
      <c r="H4134">
        <f t="shared" si="519"/>
        <v>0</v>
      </c>
      <c r="I4134">
        <v>4133</v>
      </c>
      <c r="J4134">
        <f t="shared" si="514"/>
        <v>0.91640863669434947</v>
      </c>
      <c r="K4134">
        <f t="shared" si="515"/>
        <v>-0.4002439388572972</v>
      </c>
      <c r="L4134">
        <f>VLOOKUP(D4134,[1]SOI!$A$1:$C$142,3)</f>
        <v>21.4</v>
      </c>
      <c r="M4134" s="2">
        <f t="shared" si="516"/>
        <v>3787.5168954577462</v>
      </c>
      <c r="N4134">
        <f t="shared" si="517"/>
        <v>-1654.2081992972094</v>
      </c>
      <c r="O4134" t="s">
        <v>15</v>
      </c>
    </row>
    <row r="4135" spans="1:15" x14ac:dyDescent="0.35">
      <c r="A4135">
        <v>2011</v>
      </c>
      <c r="B4135">
        <v>4</v>
      </c>
      <c r="C4135">
        <v>26</v>
      </c>
      <c r="D4135" s="1">
        <f t="shared" si="512"/>
        <v>40659</v>
      </c>
      <c r="E4135">
        <v>0</v>
      </c>
      <c r="F4135">
        <f t="shared" si="518"/>
        <v>0</v>
      </c>
      <c r="G4135">
        <f t="shared" si="513"/>
        <v>0</v>
      </c>
      <c r="H4135">
        <f t="shared" si="519"/>
        <v>0</v>
      </c>
      <c r="I4135">
        <v>4134</v>
      </c>
      <c r="J4135">
        <f t="shared" si="514"/>
        <v>0.90938822036479305</v>
      </c>
      <c r="K4135">
        <f t="shared" si="515"/>
        <v>-0.41594839182494103</v>
      </c>
      <c r="L4135">
        <f>VLOOKUP(D4135,[1]SOI!$A$1:$C$142,3)</f>
        <v>21.4</v>
      </c>
      <c r="M4135" s="2">
        <f t="shared" si="516"/>
        <v>3759.4109029880547</v>
      </c>
      <c r="N4135">
        <f t="shared" si="517"/>
        <v>-1719.5306518043062</v>
      </c>
      <c r="O4135" t="s">
        <v>15</v>
      </c>
    </row>
    <row r="4136" spans="1:15" x14ac:dyDescent="0.35">
      <c r="A4136">
        <v>2011</v>
      </c>
      <c r="B4136">
        <v>4</v>
      </c>
      <c r="C4136">
        <v>27</v>
      </c>
      <c r="D4136" s="1">
        <f t="shared" si="512"/>
        <v>40660</v>
      </c>
      <c r="E4136">
        <v>0</v>
      </c>
      <c r="F4136">
        <f t="shared" si="518"/>
        <v>0</v>
      </c>
      <c r="G4136">
        <f t="shared" si="513"/>
        <v>0</v>
      </c>
      <c r="H4136">
        <f t="shared" si="519"/>
        <v>0</v>
      </c>
      <c r="I4136">
        <v>4135</v>
      </c>
      <c r="J4136">
        <f t="shared" si="514"/>
        <v>0.90209870143018689</v>
      </c>
      <c r="K4136">
        <f t="shared" si="515"/>
        <v>-0.43152975897146478</v>
      </c>
      <c r="L4136">
        <f>VLOOKUP(D4136,[1]SOI!$A$1:$C$142,3)</f>
        <v>21.4</v>
      </c>
      <c r="M4136" s="2">
        <f t="shared" si="516"/>
        <v>3730.1781304138226</v>
      </c>
      <c r="N4136">
        <f t="shared" si="517"/>
        <v>-1784.3755533470069</v>
      </c>
      <c r="O4136" t="s">
        <v>15</v>
      </c>
    </row>
    <row r="4137" spans="1:15" x14ac:dyDescent="0.35">
      <c r="A4137">
        <v>2011</v>
      </c>
      <c r="B4137">
        <v>4</v>
      </c>
      <c r="C4137">
        <v>28</v>
      </c>
      <c r="D4137" s="1">
        <f t="shared" si="512"/>
        <v>40661</v>
      </c>
      <c r="E4137">
        <v>0</v>
      </c>
      <c r="F4137">
        <f t="shared" si="518"/>
        <v>0</v>
      </c>
      <c r="G4137">
        <f t="shared" si="513"/>
        <v>0</v>
      </c>
      <c r="H4137">
        <f t="shared" si="519"/>
        <v>0</v>
      </c>
      <c r="I4137">
        <v>4136</v>
      </c>
      <c r="J4137">
        <f t="shared" si="514"/>
        <v>0.89454223697644897</v>
      </c>
      <c r="K4137">
        <f t="shared" si="515"/>
        <v>-0.44698342951967551</v>
      </c>
      <c r="L4137">
        <f>VLOOKUP(D4137,[1]SOI!$A$1:$C$142,3)</f>
        <v>21.4</v>
      </c>
      <c r="M4137" s="2">
        <f t="shared" si="516"/>
        <v>3699.826692134593</v>
      </c>
      <c r="N4137">
        <f t="shared" si="517"/>
        <v>-1848.7234644933778</v>
      </c>
      <c r="O4137" t="s">
        <v>15</v>
      </c>
    </row>
    <row r="4138" spans="1:15" x14ac:dyDescent="0.35">
      <c r="A4138">
        <v>2011</v>
      </c>
      <c r="B4138">
        <v>4</v>
      </c>
      <c r="C4138">
        <v>29</v>
      </c>
      <c r="D4138" s="1">
        <f t="shared" si="512"/>
        <v>40662</v>
      </c>
      <c r="E4138">
        <v>0</v>
      </c>
      <c r="F4138">
        <f t="shared" si="518"/>
        <v>0</v>
      </c>
      <c r="G4138">
        <f t="shared" si="513"/>
        <v>0</v>
      </c>
      <c r="H4138">
        <f t="shared" si="519"/>
        <v>0</v>
      </c>
      <c r="I4138">
        <v>4137</v>
      </c>
      <c r="J4138">
        <f t="shared" si="514"/>
        <v>0.88672106308299525</v>
      </c>
      <c r="K4138">
        <f t="shared" si="515"/>
        <v>-0.46230483047980669</v>
      </c>
      <c r="L4138">
        <f>VLOOKUP(D4138,[1]SOI!$A$1:$C$142,3)</f>
        <v>21.4</v>
      </c>
      <c r="M4138" s="2">
        <f t="shared" si="516"/>
        <v>3668.3650379743513</v>
      </c>
      <c r="N4138">
        <f t="shared" si="517"/>
        <v>-1912.5550836949603</v>
      </c>
      <c r="O4138" t="s">
        <v>15</v>
      </c>
    </row>
    <row r="4139" spans="1:15" x14ac:dyDescent="0.35">
      <c r="A4139">
        <v>2011</v>
      </c>
      <c r="B4139">
        <v>4</v>
      </c>
      <c r="C4139">
        <v>30</v>
      </c>
      <c r="D4139" s="1">
        <f t="shared" si="512"/>
        <v>40663</v>
      </c>
      <c r="E4139">
        <v>0</v>
      </c>
      <c r="F4139">
        <f t="shared" si="518"/>
        <v>0</v>
      </c>
      <c r="G4139">
        <f t="shared" si="513"/>
        <v>0</v>
      </c>
      <c r="H4139">
        <f t="shared" si="519"/>
        <v>0</v>
      </c>
      <c r="I4139">
        <v>4138</v>
      </c>
      <c r="J4139">
        <f t="shared" si="514"/>
        <v>0.87863749416100534</v>
      </c>
      <c r="K4139">
        <f t="shared" si="515"/>
        <v>-0.47748942800282951</v>
      </c>
      <c r="L4139">
        <f>VLOOKUP(D4139,[1]SOI!$A$1:$C$142,3)</f>
        <v>21.4</v>
      </c>
      <c r="M4139" s="2">
        <f t="shared" si="516"/>
        <v>3635.8019508382399</v>
      </c>
      <c r="N4139">
        <f t="shared" si="517"/>
        <v>-1975.8512530757084</v>
      </c>
      <c r="O4139" t="s">
        <v>15</v>
      </c>
    </row>
    <row r="4140" spans="1:15" x14ac:dyDescent="0.35">
      <c r="A4140">
        <v>2011</v>
      </c>
      <c r="B4140">
        <v>5</v>
      </c>
      <c r="C4140">
        <v>1</v>
      </c>
      <c r="D4140" s="1">
        <f t="shared" si="512"/>
        <v>40664</v>
      </c>
      <c r="E4140">
        <v>0</v>
      </c>
      <c r="F4140">
        <f t="shared" si="518"/>
        <v>0</v>
      </c>
      <c r="G4140">
        <f t="shared" si="513"/>
        <v>0</v>
      </c>
      <c r="H4140">
        <f t="shared" si="519"/>
        <v>0</v>
      </c>
      <c r="I4140">
        <v>4139</v>
      </c>
      <c r="J4140">
        <f t="shared" si="514"/>
        <v>0.87029392226856839</v>
      </c>
      <c r="K4140">
        <f t="shared" si="515"/>
        <v>-0.49253272872205256</v>
      </c>
      <c r="L4140">
        <f>VLOOKUP(D4140,[1]SOI!$A$1:$C$142,3)</f>
        <v>25.1</v>
      </c>
      <c r="M4140" s="2">
        <f t="shared" si="516"/>
        <v>3602.1465442696044</v>
      </c>
      <c r="N4140">
        <f t="shared" si="517"/>
        <v>-2038.5929641805756</v>
      </c>
      <c r="O4140" t="s">
        <v>15</v>
      </c>
    </row>
    <row r="4141" spans="1:15" x14ac:dyDescent="0.35">
      <c r="A4141">
        <v>2011</v>
      </c>
      <c r="B4141">
        <v>5</v>
      </c>
      <c r="C4141">
        <v>2</v>
      </c>
      <c r="D4141" s="1">
        <f t="shared" si="512"/>
        <v>40665</v>
      </c>
      <c r="E4141">
        <v>21.2</v>
      </c>
      <c r="F4141">
        <f t="shared" si="518"/>
        <v>0</v>
      </c>
      <c r="G4141">
        <f t="shared" si="513"/>
        <v>1</v>
      </c>
      <c r="H4141">
        <f t="shared" si="519"/>
        <v>0</v>
      </c>
      <c r="I4141">
        <v>4140</v>
      </c>
      <c r="J4141">
        <f t="shared" si="514"/>
        <v>0.86169281640285633</v>
      </c>
      <c r="K4141">
        <f t="shared" si="515"/>
        <v>-0.50743028108274468</v>
      </c>
      <c r="L4141">
        <f>VLOOKUP(D4141,[1]SOI!$A$1:$C$142,3)</f>
        <v>25.1</v>
      </c>
      <c r="M4141" s="2">
        <f t="shared" si="516"/>
        <v>3567.4082599078251</v>
      </c>
      <c r="N4141">
        <f t="shared" si="517"/>
        <v>-2100.7613636825631</v>
      </c>
      <c r="O4141" t="s">
        <v>15</v>
      </c>
    </row>
    <row r="4142" spans="1:15" x14ac:dyDescent="0.35">
      <c r="A4142">
        <v>2011</v>
      </c>
      <c r="B4142">
        <v>5</v>
      </c>
      <c r="C4142">
        <v>3</v>
      </c>
      <c r="D4142" s="1">
        <f t="shared" si="512"/>
        <v>40666</v>
      </c>
      <c r="E4142">
        <v>0</v>
      </c>
      <c r="F4142">
        <f t="shared" si="518"/>
        <v>21.2</v>
      </c>
      <c r="G4142">
        <f t="shared" si="513"/>
        <v>0</v>
      </c>
      <c r="H4142">
        <f t="shared" si="519"/>
        <v>1</v>
      </c>
      <c r="I4142">
        <v>4141</v>
      </c>
      <c r="J4142">
        <f t="shared" si="514"/>
        <v>0.85283672176945913</v>
      </c>
      <c r="K4142">
        <f t="shared" si="515"/>
        <v>-0.52217767665950854</v>
      </c>
      <c r="L4142">
        <f>VLOOKUP(D4142,[1]SOI!$A$1:$C$142,3)</f>
        <v>25.1</v>
      </c>
      <c r="M4142" s="2">
        <f t="shared" si="516"/>
        <v>3531.5968648473304</v>
      </c>
      <c r="N4142">
        <f t="shared" si="517"/>
        <v>-2162.337759047025</v>
      </c>
      <c r="O4142" t="s">
        <v>15</v>
      </c>
    </row>
    <row r="4143" spans="1:15" x14ac:dyDescent="0.35">
      <c r="A4143">
        <v>2011</v>
      </c>
      <c r="B4143">
        <v>5</v>
      </c>
      <c r="C4143">
        <v>4</v>
      </c>
      <c r="D4143" s="1">
        <f t="shared" si="512"/>
        <v>40667</v>
      </c>
      <c r="E4143">
        <v>0</v>
      </c>
      <c r="F4143">
        <f t="shared" si="518"/>
        <v>0</v>
      </c>
      <c r="G4143">
        <f t="shared" si="513"/>
        <v>0</v>
      </c>
      <c r="H4143">
        <f t="shared" si="519"/>
        <v>0</v>
      </c>
      <c r="I4143">
        <v>4142</v>
      </c>
      <c r="J4143">
        <f t="shared" si="514"/>
        <v>0.84372825902927417</v>
      </c>
      <c r="K4143">
        <f t="shared" si="515"/>
        <v>-0.53677055146070562</v>
      </c>
      <c r="L4143">
        <f>VLOOKUP(D4143,[1]SOI!$A$1:$C$142,3)</f>
        <v>25.1</v>
      </c>
      <c r="M4143" s="2">
        <f t="shared" si="516"/>
        <v>3494.7224488992538</v>
      </c>
      <c r="N4143">
        <f t="shared" si="517"/>
        <v>-2223.3036241502427</v>
      </c>
      <c r="O4143" t="s">
        <v>15</v>
      </c>
    </row>
    <row r="4144" spans="1:15" x14ac:dyDescent="0.35">
      <c r="A4144">
        <v>2011</v>
      </c>
      <c r="B4144">
        <v>5</v>
      </c>
      <c r="C4144">
        <v>5</v>
      </c>
      <c r="D4144" s="1">
        <f t="shared" si="512"/>
        <v>40668</v>
      </c>
      <c r="E4144">
        <v>0.6</v>
      </c>
      <c r="F4144">
        <f t="shared" si="518"/>
        <v>0</v>
      </c>
      <c r="G4144">
        <f t="shared" si="513"/>
        <v>1</v>
      </c>
      <c r="H4144">
        <f t="shared" si="519"/>
        <v>0</v>
      </c>
      <c r="I4144">
        <v>4143</v>
      </c>
      <c r="J4144">
        <f t="shared" si="514"/>
        <v>0.83437012352296025</v>
      </c>
      <c r="K4144">
        <f t="shared" si="515"/>
        <v>-0.55120458721991783</v>
      </c>
      <c r="L4144">
        <f>VLOOKUP(D4144,[1]SOI!$A$1:$C$142,3)</f>
        <v>25.1</v>
      </c>
      <c r="M4144" s="2">
        <f t="shared" si="516"/>
        <v>3456.7954217556244</v>
      </c>
      <c r="N4144">
        <f t="shared" si="517"/>
        <v>-2283.6406048521194</v>
      </c>
      <c r="O4144" t="s">
        <v>15</v>
      </c>
    </row>
    <row r="4145" spans="1:15" x14ac:dyDescent="0.35">
      <c r="A4145">
        <v>2011</v>
      </c>
      <c r="B4145">
        <v>5</v>
      </c>
      <c r="C4145">
        <v>6</v>
      </c>
      <c r="D4145" s="1">
        <f t="shared" si="512"/>
        <v>40669</v>
      </c>
      <c r="E4145">
        <v>0</v>
      </c>
      <c r="F4145">
        <f t="shared" si="518"/>
        <v>0.6</v>
      </c>
      <c r="G4145">
        <f t="shared" si="513"/>
        <v>0</v>
      </c>
      <c r="H4145">
        <f t="shared" si="519"/>
        <v>1</v>
      </c>
      <c r="I4145">
        <v>4144</v>
      </c>
      <c r="J4145">
        <f t="shared" si="514"/>
        <v>0.82476508447336361</v>
      </c>
      <c r="K4145">
        <f t="shared" si="515"/>
        <v>-0.56547551267375451</v>
      </c>
      <c r="L4145">
        <f>VLOOKUP(D4145,[1]SOI!$A$1:$C$142,3)</f>
        <v>25.1</v>
      </c>
      <c r="M4145" s="2">
        <f t="shared" si="516"/>
        <v>3417.8265100576186</v>
      </c>
      <c r="N4145">
        <f t="shared" si="517"/>
        <v>-2343.3305245200386</v>
      </c>
      <c r="O4145" t="s">
        <v>15</v>
      </c>
    </row>
    <row r="4146" spans="1:15" x14ac:dyDescent="0.35">
      <c r="A4146">
        <v>2011</v>
      </c>
      <c r="B4146">
        <v>5</v>
      </c>
      <c r="C4146">
        <v>7</v>
      </c>
      <c r="D4146" s="1">
        <f t="shared" si="512"/>
        <v>40670</v>
      </c>
      <c r="E4146">
        <v>0</v>
      </c>
      <c r="F4146">
        <f t="shared" si="518"/>
        <v>0</v>
      </c>
      <c r="G4146">
        <f t="shared" si="513"/>
        <v>0</v>
      </c>
      <c r="H4146">
        <f t="shared" si="519"/>
        <v>0</v>
      </c>
      <c r="I4146">
        <v>4145</v>
      </c>
      <c r="J4146">
        <f t="shared" si="514"/>
        <v>0.81491598416608491</v>
      </c>
      <c r="K4146">
        <f t="shared" si="515"/>
        <v>-0.57957910482575303</v>
      </c>
      <c r="L4146">
        <f>VLOOKUP(D4146,[1]SOI!$A$1:$C$142,3)</f>
        <v>25.1</v>
      </c>
      <c r="M4146" s="2">
        <f t="shared" si="516"/>
        <v>3377.8267543684219</v>
      </c>
      <c r="N4146">
        <f t="shared" si="517"/>
        <v>-2402.3553895027462</v>
      </c>
      <c r="O4146" t="s">
        <v>15</v>
      </c>
    </row>
    <row r="4147" spans="1:15" x14ac:dyDescent="0.35">
      <c r="A4147">
        <v>2011</v>
      </c>
      <c r="B4147">
        <v>5</v>
      </c>
      <c r="C4147">
        <v>8</v>
      </c>
      <c r="D4147" s="1">
        <f t="shared" si="512"/>
        <v>40671</v>
      </c>
      <c r="E4147">
        <v>0</v>
      </c>
      <c r="F4147">
        <f t="shared" si="518"/>
        <v>0</v>
      </c>
      <c r="G4147">
        <f t="shared" si="513"/>
        <v>0</v>
      </c>
      <c r="H4147">
        <f t="shared" si="519"/>
        <v>0</v>
      </c>
      <c r="I4147">
        <v>4146</v>
      </c>
      <c r="J4147">
        <f t="shared" si="514"/>
        <v>0.80482573710834582</v>
      </c>
      <c r="K4147">
        <f t="shared" si="515"/>
        <v>-0.59351119019611398</v>
      </c>
      <c r="L4147">
        <f>VLOOKUP(D4147,[1]SOI!$A$1:$C$142,3)</f>
        <v>25.1</v>
      </c>
      <c r="M4147" s="2">
        <f t="shared" si="516"/>
        <v>3336.8075060512019</v>
      </c>
      <c r="N4147">
        <f t="shared" si="517"/>
        <v>-2460.6973945530885</v>
      </c>
      <c r="O4147" t="s">
        <v>15</v>
      </c>
    </row>
    <row r="4148" spans="1:15" x14ac:dyDescent="0.35">
      <c r="A4148">
        <v>2011</v>
      </c>
      <c r="B4148">
        <v>5</v>
      </c>
      <c r="C4148">
        <v>9</v>
      </c>
      <c r="D4148" s="1">
        <f t="shared" si="512"/>
        <v>40672</v>
      </c>
      <c r="E4148">
        <v>6.8</v>
      </c>
      <c r="F4148">
        <f t="shared" si="518"/>
        <v>0</v>
      </c>
      <c r="G4148">
        <f t="shared" si="513"/>
        <v>1</v>
      </c>
      <c r="H4148">
        <f t="shared" si="519"/>
        <v>0</v>
      </c>
      <c r="I4148">
        <v>4147</v>
      </c>
      <c r="J4148">
        <f t="shared" si="514"/>
        <v>0.79449732916660376</v>
      </c>
      <c r="K4148">
        <f t="shared" si="515"/>
        <v>-0.60726764605660766</v>
      </c>
      <c r="L4148">
        <f>VLOOKUP(D4148,[1]SOI!$A$1:$C$142,3)</f>
        <v>25.1</v>
      </c>
      <c r="M4148" s="2">
        <f t="shared" si="516"/>
        <v>3294.7804240539058</v>
      </c>
      <c r="N4148">
        <f t="shared" si="517"/>
        <v>-2518.338928196752</v>
      </c>
      <c r="O4148" t="s">
        <v>15</v>
      </c>
    </row>
    <row r="4149" spans="1:15" x14ac:dyDescent="0.35">
      <c r="A4149">
        <v>2011</v>
      </c>
      <c r="B4149">
        <v>5</v>
      </c>
      <c r="C4149">
        <v>10</v>
      </c>
      <c r="D4149" s="1">
        <f t="shared" si="512"/>
        <v>40673</v>
      </c>
      <c r="E4149">
        <v>0</v>
      </c>
      <c r="F4149">
        <f t="shared" si="518"/>
        <v>6.8</v>
      </c>
      <c r="G4149">
        <f t="shared" si="513"/>
        <v>0</v>
      </c>
      <c r="H4149">
        <f t="shared" si="519"/>
        <v>1</v>
      </c>
      <c r="I4149">
        <v>4148</v>
      </c>
      <c r="J4149">
        <f t="shared" si="514"/>
        <v>0.78393381668291973</v>
      </c>
      <c r="K4149">
        <f t="shared" si="515"/>
        <v>-0.62084440165064747</v>
      </c>
      <c r="L4149">
        <f>VLOOKUP(D4149,[1]SOI!$A$1:$C$142,3)</f>
        <v>25.1</v>
      </c>
      <c r="M4149" s="2">
        <f t="shared" si="516"/>
        <v>3251.7574716007512</v>
      </c>
      <c r="N4149">
        <f t="shared" si="517"/>
        <v>-2575.2625780468857</v>
      </c>
      <c r="O4149" t="s">
        <v>15</v>
      </c>
    </row>
    <row r="4150" spans="1:15" x14ac:dyDescent="0.35">
      <c r="A4150">
        <v>2011</v>
      </c>
      <c r="B4150">
        <v>5</v>
      </c>
      <c r="C4150">
        <v>11</v>
      </c>
      <c r="D4150" s="1">
        <f t="shared" si="512"/>
        <v>40674</v>
      </c>
      <c r="E4150">
        <v>4.2</v>
      </c>
      <c r="F4150">
        <f t="shared" si="518"/>
        <v>0</v>
      </c>
      <c r="G4150">
        <f t="shared" si="513"/>
        <v>1</v>
      </c>
      <c r="H4150">
        <f t="shared" si="519"/>
        <v>0</v>
      </c>
      <c r="I4150">
        <v>4149</v>
      </c>
      <c r="J4150">
        <f t="shared" si="514"/>
        <v>0.77313832557060558</v>
      </c>
      <c r="K4150">
        <f t="shared" si="515"/>
        <v>-0.63423743939780175</v>
      </c>
      <c r="L4150">
        <f>VLOOKUP(D4150,[1]SOI!$A$1:$C$142,3)</f>
        <v>25.1</v>
      </c>
      <c r="M4150" s="2">
        <f t="shared" si="516"/>
        <v>3207.7509127924427</v>
      </c>
      <c r="N4150">
        <f t="shared" si="517"/>
        <v>-2631.4511360614792</v>
      </c>
      <c r="O4150" t="s">
        <v>15</v>
      </c>
    </row>
    <row r="4151" spans="1:15" x14ac:dyDescent="0.35">
      <c r="A4151">
        <v>2011</v>
      </c>
      <c r="B4151">
        <v>5</v>
      </c>
      <c r="C4151">
        <v>12</v>
      </c>
      <c r="D4151" s="1">
        <f t="shared" si="512"/>
        <v>40675</v>
      </c>
      <c r="E4151">
        <v>6.8</v>
      </c>
      <c r="F4151">
        <f t="shared" si="518"/>
        <v>4.2</v>
      </c>
      <c r="G4151">
        <f t="shared" si="513"/>
        <v>1</v>
      </c>
      <c r="H4151">
        <f t="shared" si="519"/>
        <v>1</v>
      </c>
      <c r="I4151">
        <v>4150</v>
      </c>
      <c r="J4151">
        <f t="shared" si="514"/>
        <v>0.76211405038915581</v>
      </c>
      <c r="K4151">
        <f t="shared" si="515"/>
        <v>-0.64744279608273914</v>
      </c>
      <c r="L4151">
        <f>VLOOKUP(D4151,[1]SOI!$A$1:$C$142,3)</f>
        <v>25.1</v>
      </c>
      <c r="M4151" s="2">
        <f t="shared" si="516"/>
        <v>3162.7733091149967</v>
      </c>
      <c r="N4151">
        <f t="shared" si="517"/>
        <v>-2686.8876037433674</v>
      </c>
      <c r="O4151" t="s">
        <v>15</v>
      </c>
    </row>
    <row r="4152" spans="1:15" x14ac:dyDescent="0.35">
      <c r="A4152">
        <v>2011</v>
      </c>
      <c r="B4152">
        <v>5</v>
      </c>
      <c r="C4152">
        <v>13</v>
      </c>
      <c r="D4152" s="1">
        <f t="shared" si="512"/>
        <v>40676</v>
      </c>
      <c r="E4152">
        <v>11</v>
      </c>
      <c r="F4152">
        <f t="shared" si="518"/>
        <v>6.8</v>
      </c>
      <c r="G4152">
        <f t="shared" si="513"/>
        <v>1</v>
      </c>
      <c r="H4152">
        <f t="shared" si="519"/>
        <v>1</v>
      </c>
      <c r="I4152">
        <v>4151</v>
      </c>
      <c r="J4152">
        <f t="shared" si="514"/>
        <v>0.75086425339895058</v>
      </c>
      <c r="K4152">
        <f t="shared" si="515"/>
        <v>-0.66045656402797348</v>
      </c>
      <c r="L4152">
        <f>VLOOKUP(D4152,[1]SOI!$A$1:$C$142,3)</f>
        <v>25.1</v>
      </c>
      <c r="M4152" s="2">
        <f t="shared" si="516"/>
        <v>3116.8375158590438</v>
      </c>
      <c r="N4152">
        <f t="shared" si="517"/>
        <v>-2741.5551972801181</v>
      </c>
      <c r="O4152" t="s">
        <v>15</v>
      </c>
    </row>
    <row r="4153" spans="1:15" x14ac:dyDescent="0.35">
      <c r="A4153">
        <v>2011</v>
      </c>
      <c r="B4153">
        <v>5</v>
      </c>
      <c r="C4153">
        <v>14</v>
      </c>
      <c r="D4153" s="1">
        <f t="shared" si="512"/>
        <v>40677</v>
      </c>
      <c r="E4153">
        <v>8</v>
      </c>
      <c r="F4153">
        <f t="shared" si="518"/>
        <v>11</v>
      </c>
      <c r="G4153">
        <f t="shared" si="513"/>
        <v>1</v>
      </c>
      <c r="H4153">
        <f t="shared" si="519"/>
        <v>1</v>
      </c>
      <c r="I4153">
        <v>4152</v>
      </c>
      <c r="J4153">
        <f t="shared" si="514"/>
        <v>0.73939226359592014</v>
      </c>
      <c r="K4153">
        <f t="shared" si="515"/>
        <v>-0.67327489225018733</v>
      </c>
      <c r="L4153">
        <f>VLOOKUP(D4153,[1]SOI!$A$1:$C$142,3)</f>
        <v>25.1</v>
      </c>
      <c r="M4153" s="2">
        <f t="shared" si="516"/>
        <v>3069.9566784502604</v>
      </c>
      <c r="N4153">
        <f t="shared" si="517"/>
        <v>-2795.4373526227778</v>
      </c>
      <c r="O4153" t="s">
        <v>15</v>
      </c>
    </row>
    <row r="4154" spans="1:15" x14ac:dyDescent="0.35">
      <c r="A4154">
        <v>2011</v>
      </c>
      <c r="B4154">
        <v>5</v>
      </c>
      <c r="C4154">
        <v>15</v>
      </c>
      <c r="D4154" s="1">
        <f t="shared" si="512"/>
        <v>40678</v>
      </c>
      <c r="E4154">
        <v>1.4</v>
      </c>
      <c r="F4154">
        <f t="shared" si="518"/>
        <v>8</v>
      </c>
      <c r="G4154">
        <f t="shared" si="513"/>
        <v>1</v>
      </c>
      <c r="H4154">
        <f t="shared" si="519"/>
        <v>1</v>
      </c>
      <c r="I4154">
        <v>4153</v>
      </c>
      <c r="J4154">
        <f t="shared" si="514"/>
        <v>0.72770147572642352</v>
      </c>
      <c r="K4154">
        <f t="shared" si="515"/>
        <v>-0.68589398759982245</v>
      </c>
      <c r="L4154">
        <f>VLOOKUP(D4154,[1]SOI!$A$1:$C$142,3)</f>
        <v>25.1</v>
      </c>
      <c r="M4154" s="2">
        <f t="shared" si="516"/>
        <v>3022.1442286918368</v>
      </c>
      <c r="N4154">
        <f t="shared" si="517"/>
        <v>-2848.5177305020625</v>
      </c>
      <c r="O4154" t="s">
        <v>15</v>
      </c>
    </row>
    <row r="4155" spans="1:15" x14ac:dyDescent="0.35">
      <c r="A4155">
        <v>2011</v>
      </c>
      <c r="B4155">
        <v>5</v>
      </c>
      <c r="C4155">
        <v>16</v>
      </c>
      <c r="D4155" s="1">
        <f t="shared" si="512"/>
        <v>40679</v>
      </c>
      <c r="E4155">
        <v>0</v>
      </c>
      <c r="F4155">
        <f t="shared" si="518"/>
        <v>1.4</v>
      </c>
      <c r="G4155">
        <f t="shared" si="513"/>
        <v>0</v>
      </c>
      <c r="H4155">
        <f t="shared" si="519"/>
        <v>1</v>
      </c>
      <c r="I4155">
        <v>4154</v>
      </c>
      <c r="J4155">
        <f t="shared" si="514"/>
        <v>0.71579534928266875</v>
      </c>
      <c r="K4155">
        <f t="shared" si="515"/>
        <v>-0.69831011588355374</v>
      </c>
      <c r="L4155">
        <f>VLOOKUP(D4155,[1]SOI!$A$1:$C$142,3)</f>
        <v>25.1</v>
      </c>
      <c r="M4155" s="2">
        <f t="shared" si="516"/>
        <v>2973.4138809202059</v>
      </c>
      <c r="N4155">
        <f t="shared" si="517"/>
        <v>-2900.7802213802825</v>
      </c>
      <c r="O4155" t="s">
        <v>15</v>
      </c>
    </row>
    <row r="4156" spans="1:15" x14ac:dyDescent="0.35">
      <c r="A4156">
        <v>2011</v>
      </c>
      <c r="B4156">
        <v>5</v>
      </c>
      <c r="C4156">
        <v>17</v>
      </c>
      <c r="D4156" s="1">
        <f t="shared" si="512"/>
        <v>40680</v>
      </c>
      <c r="E4156">
        <v>0</v>
      </c>
      <c r="F4156">
        <f t="shared" si="518"/>
        <v>0</v>
      </c>
      <c r="G4156">
        <f t="shared" si="513"/>
        <v>0</v>
      </c>
      <c r="H4156">
        <f t="shared" si="519"/>
        <v>0</v>
      </c>
      <c r="I4156">
        <v>4155</v>
      </c>
      <c r="J4156">
        <f t="shared" si="514"/>
        <v>0.70367740747902152</v>
      </c>
      <c r="K4156">
        <f t="shared" si="515"/>
        <v>-0.71051960296926586</v>
      </c>
      <c r="L4156">
        <f>VLOOKUP(D4156,[1]SOI!$A$1:$C$142,3)</f>
        <v>25.1</v>
      </c>
      <c r="M4156" s="2">
        <f t="shared" si="516"/>
        <v>2923.7796280753346</v>
      </c>
      <c r="N4156">
        <f t="shared" si="517"/>
        <v>-2952.2089503372995</v>
      </c>
      <c r="O4156" t="s">
        <v>15</v>
      </c>
    </row>
    <row r="4157" spans="1:15" x14ac:dyDescent="0.35">
      <c r="A4157">
        <v>2011</v>
      </c>
      <c r="B4157">
        <v>5</v>
      </c>
      <c r="C4157">
        <v>18</v>
      </c>
      <c r="D4157" s="1">
        <f t="shared" si="512"/>
        <v>40681</v>
      </c>
      <c r="E4157">
        <v>0</v>
      </c>
      <c r="F4157">
        <f t="shared" si="518"/>
        <v>0</v>
      </c>
      <c r="G4157">
        <f t="shared" si="513"/>
        <v>0</v>
      </c>
      <c r="H4157">
        <f t="shared" si="519"/>
        <v>0</v>
      </c>
      <c r="I4157">
        <v>4156</v>
      </c>
      <c r="J4157">
        <f t="shared" si="514"/>
        <v>0.69135123620941019</v>
      </c>
      <c r="K4157">
        <f t="shared" si="515"/>
        <v>-0.72251883587330812</v>
      </c>
      <c r="L4157">
        <f>VLOOKUP(D4157,[1]SOI!$A$1:$C$142,3)</f>
        <v>25.1</v>
      </c>
      <c r="M4157" s="2">
        <f t="shared" si="516"/>
        <v>2873.2557376863087</v>
      </c>
      <c r="N4157">
        <f t="shared" si="517"/>
        <v>-3002.7882818894686</v>
      </c>
      <c r="O4157" t="s">
        <v>15</v>
      </c>
    </row>
    <row r="4158" spans="1:15" x14ac:dyDescent="0.35">
      <c r="A4158">
        <v>2011</v>
      </c>
      <c r="B4158">
        <v>5</v>
      </c>
      <c r="C4158">
        <v>19</v>
      </c>
      <c r="D4158" s="1">
        <f t="shared" si="512"/>
        <v>40682</v>
      </c>
      <c r="E4158">
        <v>0</v>
      </c>
      <c r="F4158">
        <f t="shared" si="518"/>
        <v>0</v>
      </c>
      <c r="G4158">
        <f t="shared" si="513"/>
        <v>0</v>
      </c>
      <c r="H4158">
        <f t="shared" si="519"/>
        <v>0</v>
      </c>
      <c r="I4158">
        <v>4157</v>
      </c>
      <c r="J4158">
        <f t="shared" si="514"/>
        <v>0.67882048298623254</v>
      </c>
      <c r="K4158">
        <f t="shared" si="515"/>
        <v>-0.7343042638296049</v>
      </c>
      <c r="L4158">
        <f>VLOOKUP(D4158,[1]SOI!$A$1:$C$142,3)</f>
        <v>25.1</v>
      </c>
      <c r="M4158" s="2">
        <f t="shared" si="516"/>
        <v>2821.8567477737688</v>
      </c>
      <c r="N4158">
        <f t="shared" si="517"/>
        <v>-3052.5028247396676</v>
      </c>
      <c r="O4158" t="s">
        <v>15</v>
      </c>
    </row>
    <row r="4159" spans="1:15" x14ac:dyDescent="0.35">
      <c r="A4159">
        <v>2011</v>
      </c>
      <c r="B4159">
        <v>5</v>
      </c>
      <c r="C4159">
        <v>20</v>
      </c>
      <c r="D4159" s="1">
        <f t="shared" si="512"/>
        <v>40683</v>
      </c>
      <c r="E4159">
        <v>0</v>
      </c>
      <c r="F4159">
        <f t="shared" si="518"/>
        <v>0</v>
      </c>
      <c r="G4159">
        <f t="shared" si="513"/>
        <v>0</v>
      </c>
      <c r="H4159">
        <f t="shared" si="519"/>
        <v>0</v>
      </c>
      <c r="I4159">
        <v>4158</v>
      </c>
      <c r="J4159">
        <f t="shared" si="514"/>
        <v>0.66608885586097821</v>
      </c>
      <c r="K4159">
        <f t="shared" si="515"/>
        <v>-0.74587239934040528</v>
      </c>
      <c r="L4159">
        <f>VLOOKUP(D4159,[1]SOI!$A$1:$C$142,3)</f>
        <v>25.1</v>
      </c>
      <c r="M4159" s="2">
        <f t="shared" si="516"/>
        <v>2769.5974626699476</v>
      </c>
      <c r="N4159">
        <f t="shared" si="517"/>
        <v>-3101.3374364574051</v>
      </c>
      <c r="O4159" t="s">
        <v>15</v>
      </c>
    </row>
    <row r="4160" spans="1:15" x14ac:dyDescent="0.35">
      <c r="A4160">
        <v>2011</v>
      </c>
      <c r="B4160">
        <v>5</v>
      </c>
      <c r="C4160">
        <v>21</v>
      </c>
      <c r="D4160" s="1">
        <f t="shared" si="512"/>
        <v>40684</v>
      </c>
      <c r="E4160">
        <v>0</v>
      </c>
      <c r="F4160">
        <f t="shared" si="518"/>
        <v>0</v>
      </c>
      <c r="G4160">
        <f t="shared" si="513"/>
        <v>0</v>
      </c>
      <c r="H4160">
        <f t="shared" si="519"/>
        <v>0</v>
      </c>
      <c r="I4160">
        <v>4159</v>
      </c>
      <c r="J4160">
        <f t="shared" si="514"/>
        <v>0.65316012232692489</v>
      </c>
      <c r="K4160">
        <f t="shared" si="515"/>
        <v>-0.75721981920831716</v>
      </c>
      <c r="L4160">
        <f>VLOOKUP(D4160,[1]SOI!$A$1:$C$142,3)</f>
        <v>25.1</v>
      </c>
      <c r="M4160" s="2">
        <f t="shared" si="516"/>
        <v>2716.4929487576806</v>
      </c>
      <c r="N4160">
        <f t="shared" si="517"/>
        <v>-3149.277228087391</v>
      </c>
      <c r="O4160" t="s">
        <v>15</v>
      </c>
    </row>
    <row r="4161" spans="1:15" x14ac:dyDescent="0.35">
      <c r="A4161">
        <v>2011</v>
      </c>
      <c r="B4161">
        <v>5</v>
      </c>
      <c r="C4161">
        <v>22</v>
      </c>
      <c r="D4161" s="1">
        <f t="shared" si="512"/>
        <v>40685</v>
      </c>
      <c r="E4161">
        <v>0</v>
      </c>
      <c r="F4161">
        <f t="shared" si="518"/>
        <v>0</v>
      </c>
      <c r="G4161">
        <f t="shared" si="513"/>
        <v>0</v>
      </c>
      <c r="H4161">
        <f t="shared" si="519"/>
        <v>0</v>
      </c>
      <c r="I4161">
        <v>4160</v>
      </c>
      <c r="J4161">
        <f t="shared" si="514"/>
        <v>0.64003810820436069</v>
      </c>
      <c r="K4161">
        <f t="shared" si="515"/>
        <v>-0.76834316554921156</v>
      </c>
      <c r="L4161">
        <f>VLOOKUP(D4161,[1]SOI!$A$1:$C$142,3)</f>
        <v>25.1</v>
      </c>
      <c r="M4161" s="2">
        <f t="shared" si="516"/>
        <v>2662.5585301301403</v>
      </c>
      <c r="N4161">
        <f t="shared" si="517"/>
        <v>-3196.3075686847201</v>
      </c>
      <c r="O4161" t="s">
        <v>15</v>
      </c>
    </row>
    <row r="4162" spans="1:15" x14ac:dyDescent="0.35">
      <c r="A4162">
        <v>2011</v>
      </c>
      <c r="B4162">
        <v>5</v>
      </c>
      <c r="C4162">
        <v>23</v>
      </c>
      <c r="D4162" s="1">
        <f t="shared" si="512"/>
        <v>40686</v>
      </c>
      <c r="E4162">
        <v>3.4</v>
      </c>
      <c r="F4162">
        <f t="shared" si="518"/>
        <v>0</v>
      </c>
      <c r="G4162">
        <f t="shared" si="513"/>
        <v>1</v>
      </c>
      <c r="H4162">
        <f t="shared" si="519"/>
        <v>0</v>
      </c>
      <c r="I4162">
        <v>4161</v>
      </c>
      <c r="J4162">
        <f t="shared" si="514"/>
        <v>0.62672669650833412</v>
      </c>
      <c r="K4162">
        <f t="shared" si="515"/>
        <v>-0.77923914678598538</v>
      </c>
      <c r="L4162">
        <f>VLOOKUP(D4162,[1]SOI!$A$1:$C$142,3)</f>
        <v>25.1</v>
      </c>
      <c r="M4162" s="2">
        <f t="shared" si="516"/>
        <v>2607.8097841711783</v>
      </c>
      <c r="N4162">
        <f t="shared" si="517"/>
        <v>-3242.4140897764851</v>
      </c>
      <c r="O4162" t="s">
        <v>15</v>
      </c>
    </row>
    <row r="4163" spans="1:15" x14ac:dyDescent="0.35">
      <c r="A4163">
        <v>2011</v>
      </c>
      <c r="B4163">
        <v>5</v>
      </c>
      <c r="C4163">
        <v>24</v>
      </c>
      <c r="D4163" s="1">
        <f t="shared" ref="D4163:D4226" si="520">DATE(A4163,B4163,C4163)</f>
        <v>40687</v>
      </c>
      <c r="E4163">
        <v>1.2</v>
      </c>
      <c r="F4163">
        <f t="shared" si="518"/>
        <v>3.4</v>
      </c>
      <c r="G4163">
        <f t="shared" ref="G4163:G4226" si="521">IF(E4163=0,0,1)</f>
        <v>1</v>
      </c>
      <c r="H4163">
        <f t="shared" si="519"/>
        <v>1</v>
      </c>
      <c r="I4163">
        <v>4162</v>
      </c>
      <c r="J4163">
        <f t="shared" ref="J4163:J4226" si="522">SIN(2*PI()*I4163/365.25)</f>
        <v>0.61322982629974754</v>
      </c>
      <c r="K4163">
        <f t="shared" ref="K4163:K4226" si="523">COS(2*PI()*I4163/365.25)</f>
        <v>-0.78990453862247267</v>
      </c>
      <c r="L4163">
        <f>VLOOKUP(D4163,[1]SOI!$A$1:$C$142,3)</f>
        <v>25.1</v>
      </c>
      <c r="M4163" s="2">
        <f t="shared" ref="M4163:M4226" si="524">I4163*J4163</f>
        <v>2552.2625370595492</v>
      </c>
      <c r="N4163">
        <f t="shared" ref="N4163:N4226" si="525">I4163*K4163</f>
        <v>-3287.5826897467314</v>
      </c>
      <c r="O4163" t="s">
        <v>15</v>
      </c>
    </row>
    <row r="4164" spans="1:15" x14ac:dyDescent="0.35">
      <c r="A4164">
        <v>2011</v>
      </c>
      <c r="B4164">
        <v>5</v>
      </c>
      <c r="C4164">
        <v>25</v>
      </c>
      <c r="D4164" s="1">
        <f t="shared" si="520"/>
        <v>40688</v>
      </c>
      <c r="E4164">
        <v>1.2</v>
      </c>
      <c r="F4164">
        <f t="shared" ref="F4164:F4227" si="526">E4163</f>
        <v>1.2</v>
      </c>
      <c r="G4164">
        <f t="shared" si="521"/>
        <v>1</v>
      </c>
      <c r="H4164">
        <f t="shared" ref="H4164:H4227" si="527">G4163</f>
        <v>1</v>
      </c>
      <c r="I4164">
        <v>4163</v>
      </c>
      <c r="J4164">
        <f t="shared" si="522"/>
        <v>0.59955149151965093</v>
      </c>
      <c r="K4164">
        <f t="shared" si="523"/>
        <v>-0.80033618499763082</v>
      </c>
      <c r="L4164">
        <f>VLOOKUP(D4164,[1]SOI!$A$1:$C$142,3)</f>
        <v>25.1</v>
      </c>
      <c r="M4164" s="2">
        <f t="shared" si="524"/>
        <v>2495.9328591963067</v>
      </c>
      <c r="N4164">
        <f t="shared" si="525"/>
        <v>-3331.7995381451369</v>
      </c>
      <c r="O4164" t="s">
        <v>15</v>
      </c>
    </row>
    <row r="4165" spans="1:15" x14ac:dyDescent="0.35">
      <c r="A4165">
        <v>2011</v>
      </c>
      <c r="B4165">
        <v>5</v>
      </c>
      <c r="C4165">
        <v>26</v>
      </c>
      <c r="D4165" s="1">
        <f t="shared" si="520"/>
        <v>40689</v>
      </c>
      <c r="E4165">
        <v>0</v>
      </c>
      <c r="F4165">
        <f t="shared" si="526"/>
        <v>1.2</v>
      </c>
      <c r="G4165">
        <f t="shared" si="521"/>
        <v>0</v>
      </c>
      <c r="H4165">
        <f t="shared" si="527"/>
        <v>1</v>
      </c>
      <c r="I4165">
        <v>4164</v>
      </c>
      <c r="J4165">
        <f t="shared" si="522"/>
        <v>0.58569573980734635</v>
      </c>
      <c r="K4165">
        <f t="shared" si="523"/>
        <v>-0.81053099901948555</v>
      </c>
      <c r="L4165">
        <f>VLOOKUP(D4165,[1]SOI!$A$1:$C$142,3)</f>
        <v>25.1</v>
      </c>
      <c r="M4165" s="2">
        <f t="shared" si="524"/>
        <v>2438.8370605577902</v>
      </c>
      <c r="N4165">
        <f t="shared" si="525"/>
        <v>-3375.0510799171379</v>
      </c>
      <c r="O4165" t="s">
        <v>15</v>
      </c>
    </row>
    <row r="4166" spans="1:15" x14ac:dyDescent="0.35">
      <c r="A4166">
        <v>2011</v>
      </c>
      <c r="B4166">
        <v>5</v>
      </c>
      <c r="C4166">
        <v>27</v>
      </c>
      <c r="D4166" s="1">
        <f t="shared" si="520"/>
        <v>40690</v>
      </c>
      <c r="E4166">
        <v>1.6</v>
      </c>
      <c r="F4166">
        <f t="shared" si="526"/>
        <v>0</v>
      </c>
      <c r="G4166">
        <f t="shared" si="521"/>
        <v>1</v>
      </c>
      <c r="H4166">
        <f t="shared" si="527"/>
        <v>0</v>
      </c>
      <c r="I4166">
        <v>4165</v>
      </c>
      <c r="J4166">
        <f t="shared" si="522"/>
        <v>0.57166667130270576</v>
      </c>
      <c r="K4166">
        <f t="shared" si="523"/>
        <v>-0.82048596387853223</v>
      </c>
      <c r="L4166">
        <f>VLOOKUP(D4166,[1]SOI!$A$1:$C$142,3)</f>
        <v>25.1</v>
      </c>
      <c r="M4166" s="2">
        <f t="shared" si="524"/>
        <v>2380.9916859757695</v>
      </c>
      <c r="N4166">
        <f t="shared" si="525"/>
        <v>-3417.3240395540865</v>
      </c>
      <c r="O4166" t="s">
        <v>15</v>
      </c>
    </row>
    <row r="4167" spans="1:15" x14ac:dyDescent="0.35">
      <c r="A4167">
        <v>2011</v>
      </c>
      <c r="B4167">
        <v>5</v>
      </c>
      <c r="C4167">
        <v>28</v>
      </c>
      <c r="D4167" s="1">
        <f t="shared" si="520"/>
        <v>40691</v>
      </c>
      <c r="E4167">
        <v>1</v>
      </c>
      <c r="F4167">
        <f t="shared" si="526"/>
        <v>1.6</v>
      </c>
      <c r="G4167">
        <f t="shared" si="521"/>
        <v>1</v>
      </c>
      <c r="H4167">
        <f t="shared" si="527"/>
        <v>1</v>
      </c>
      <c r="I4167">
        <v>4166</v>
      </c>
      <c r="J4167">
        <f t="shared" si="522"/>
        <v>0.55746843743279462</v>
      </c>
      <c r="K4167">
        <f t="shared" si="523"/>
        <v>-0.83019813374051765</v>
      </c>
      <c r="L4167">
        <f>VLOOKUP(D4167,[1]SOI!$A$1:$C$142,3)</f>
        <v>25.1</v>
      </c>
      <c r="M4167" s="2">
        <f t="shared" si="524"/>
        <v>2322.4135103450226</v>
      </c>
      <c r="N4167">
        <f t="shared" si="525"/>
        <v>-3458.6054251629967</v>
      </c>
      <c r="O4167" t="s">
        <v>15</v>
      </c>
    </row>
    <row r="4168" spans="1:15" x14ac:dyDescent="0.35">
      <c r="A4168">
        <v>2011</v>
      </c>
      <c r="B4168">
        <v>5</v>
      </c>
      <c r="C4168">
        <v>29</v>
      </c>
      <c r="D4168" s="1">
        <f t="shared" si="520"/>
        <v>40692</v>
      </c>
      <c r="E4168">
        <v>0</v>
      </c>
      <c r="F4168">
        <f t="shared" si="526"/>
        <v>1</v>
      </c>
      <c r="G4168">
        <f t="shared" si="521"/>
        <v>0</v>
      </c>
      <c r="H4168">
        <f t="shared" si="527"/>
        <v>1</v>
      </c>
      <c r="I4168">
        <v>4167</v>
      </c>
      <c r="J4168">
        <f t="shared" si="522"/>
        <v>0.5431052396834305</v>
      </c>
      <c r="K4168">
        <f t="shared" si="523"/>
        <v>-0.83966463461813345</v>
      </c>
      <c r="L4168">
        <f>VLOOKUP(D4168,[1]SOI!$A$1:$C$142,3)</f>
        <v>25.1</v>
      </c>
      <c r="M4168" s="2">
        <f t="shared" si="524"/>
        <v>2263.1195337608547</v>
      </c>
      <c r="N4168">
        <f t="shared" si="525"/>
        <v>-3498.882532453762</v>
      </c>
      <c r="O4168" t="s">
        <v>15</v>
      </c>
    </row>
    <row r="4169" spans="1:15" x14ac:dyDescent="0.35">
      <c r="A4169">
        <v>2011</v>
      </c>
      <c r="B4169">
        <v>5</v>
      </c>
      <c r="C4169">
        <v>30</v>
      </c>
      <c r="D4169" s="1">
        <f t="shared" si="520"/>
        <v>40693</v>
      </c>
      <c r="E4169">
        <v>0</v>
      </c>
      <c r="F4169">
        <f t="shared" si="526"/>
        <v>0</v>
      </c>
      <c r="G4169">
        <f t="shared" si="521"/>
        <v>0</v>
      </c>
      <c r="H4169">
        <f t="shared" si="527"/>
        <v>0</v>
      </c>
      <c r="I4169">
        <v>4168</v>
      </c>
      <c r="J4169">
        <f t="shared" si="522"/>
        <v>0.52858132835593286</v>
      </c>
      <c r="K4169">
        <f t="shared" si="523"/>
        <v>-0.84888266522145306</v>
      </c>
      <c r="L4169">
        <f>VLOOKUP(D4169,[1]SOI!$A$1:$C$142,3)</f>
        <v>25.1</v>
      </c>
      <c r="M4169" s="2">
        <f t="shared" si="524"/>
        <v>2203.1269765875281</v>
      </c>
      <c r="N4169">
        <f t="shared" si="525"/>
        <v>-3538.1429486430166</v>
      </c>
      <c r="O4169" t="s">
        <v>15</v>
      </c>
    </row>
    <row r="4170" spans="1:15" x14ac:dyDescent="0.35">
      <c r="A4170">
        <v>2011</v>
      </c>
      <c r="B4170">
        <v>5</v>
      </c>
      <c r="C4170">
        <v>31</v>
      </c>
      <c r="D4170" s="1">
        <f t="shared" si="520"/>
        <v>40694</v>
      </c>
      <c r="E4170">
        <v>0</v>
      </c>
      <c r="F4170">
        <f t="shared" si="526"/>
        <v>0</v>
      </c>
      <c r="G4170">
        <f t="shared" si="521"/>
        <v>0</v>
      </c>
      <c r="H4170">
        <f t="shared" si="527"/>
        <v>0</v>
      </c>
      <c r="I4170">
        <v>4169</v>
      </c>
      <c r="J4170">
        <f t="shared" si="522"/>
        <v>0.51390100130930672</v>
      </c>
      <c r="K4170">
        <f t="shared" si="523"/>
        <v>-0.85784949778693231</v>
      </c>
      <c r="L4170">
        <f>VLOOKUP(D4170,[1]SOI!$A$1:$C$142,3)</f>
        <v>25.1</v>
      </c>
      <c r="M4170" s="2">
        <f t="shared" si="524"/>
        <v>2142.4532744584999</v>
      </c>
      <c r="N4170">
        <f t="shared" si="525"/>
        <v>-3576.3745562737208</v>
      </c>
      <c r="O4170" t="s">
        <v>15</v>
      </c>
    </row>
    <row r="4171" spans="1:15" x14ac:dyDescent="0.35">
      <c r="A4171">
        <v>2011</v>
      </c>
      <c r="B4171">
        <v>6</v>
      </c>
      <c r="C4171">
        <v>1</v>
      </c>
      <c r="D4171" s="1">
        <f t="shared" si="520"/>
        <v>40695</v>
      </c>
      <c r="E4171">
        <v>0</v>
      </c>
      <c r="F4171">
        <f t="shared" si="526"/>
        <v>0</v>
      </c>
      <c r="G4171">
        <f t="shared" si="521"/>
        <v>0</v>
      </c>
      <c r="H4171">
        <f t="shared" si="527"/>
        <v>0</v>
      </c>
      <c r="I4171">
        <v>4170</v>
      </c>
      <c r="J4171">
        <f t="shared" si="522"/>
        <v>0.49906860268853331</v>
      </c>
      <c r="K4171">
        <f t="shared" si="523"/>
        <v>-0.86656247888453775</v>
      </c>
      <c r="L4171">
        <f>VLOOKUP(D4171,[1]SOI!$A$1:$C$142,3)</f>
        <v>2.1</v>
      </c>
      <c r="M4171" s="2">
        <f t="shared" si="524"/>
        <v>2081.1160732111839</v>
      </c>
      <c r="N4171">
        <f t="shared" si="525"/>
        <v>-3613.5655369485225</v>
      </c>
      <c r="O4171" t="s">
        <v>15</v>
      </c>
    </row>
    <row r="4172" spans="1:15" x14ac:dyDescent="0.35">
      <c r="A4172">
        <v>2011</v>
      </c>
      <c r="B4172">
        <v>6</v>
      </c>
      <c r="C4172">
        <v>2</v>
      </c>
      <c r="D4172" s="1">
        <f t="shared" si="520"/>
        <v>40696</v>
      </c>
      <c r="E4172">
        <v>0</v>
      </c>
      <c r="F4172">
        <f t="shared" si="526"/>
        <v>0</v>
      </c>
      <c r="G4172">
        <f t="shared" si="521"/>
        <v>0</v>
      </c>
      <c r="H4172">
        <f t="shared" si="527"/>
        <v>0</v>
      </c>
      <c r="I4172">
        <v>4171</v>
      </c>
      <c r="J4172">
        <f t="shared" si="522"/>
        <v>0.48408852163898275</v>
      </c>
      <c r="K4172">
        <f t="shared" si="523"/>
        <v>-0.87501903020299177</v>
      </c>
      <c r="L4172">
        <f>VLOOKUP(D4172,[1]SOI!$A$1:$C$142,3)</f>
        <v>2.1</v>
      </c>
      <c r="M4172" s="2">
        <f t="shared" si="524"/>
        <v>2019.1332237561971</v>
      </c>
      <c r="N4172">
        <f t="shared" si="525"/>
        <v>-3649.7043749766785</v>
      </c>
      <c r="O4172" t="s">
        <v>15</v>
      </c>
    </row>
    <row r="4173" spans="1:15" x14ac:dyDescent="0.35">
      <c r="A4173">
        <v>2011</v>
      </c>
      <c r="B4173">
        <v>6</v>
      </c>
      <c r="C4173">
        <v>3</v>
      </c>
      <c r="D4173" s="1">
        <f t="shared" si="520"/>
        <v>40697</v>
      </c>
      <c r="E4173">
        <v>0</v>
      </c>
      <c r="F4173">
        <f t="shared" si="526"/>
        <v>0</v>
      </c>
      <c r="G4173">
        <f t="shared" si="521"/>
        <v>0</v>
      </c>
      <c r="H4173">
        <f t="shared" si="527"/>
        <v>0</v>
      </c>
      <c r="I4173">
        <v>4172</v>
      </c>
      <c r="J4173">
        <f t="shared" si="522"/>
        <v>0.46896519100763129</v>
      </c>
      <c r="K4173">
        <f t="shared" si="523"/>
        <v>-0.88321664931271304</v>
      </c>
      <c r="L4173">
        <f>VLOOKUP(D4173,[1]SOI!$A$1:$C$142,3)</f>
        <v>2.1</v>
      </c>
      <c r="M4173" s="2">
        <f t="shared" si="524"/>
        <v>1956.5227768838377</v>
      </c>
      <c r="N4173">
        <f t="shared" si="525"/>
        <v>-3684.7798609326387</v>
      </c>
      <c r="O4173" t="s">
        <v>15</v>
      </c>
    </row>
    <row r="4174" spans="1:15" x14ac:dyDescent="0.35">
      <c r="A4174">
        <v>2011</v>
      </c>
      <c r="B4174">
        <v>6</v>
      </c>
      <c r="C4174">
        <v>4</v>
      </c>
      <c r="D4174" s="1">
        <f t="shared" si="520"/>
        <v>40698</v>
      </c>
      <c r="E4174">
        <v>0</v>
      </c>
      <c r="F4174">
        <f t="shared" si="526"/>
        <v>0</v>
      </c>
      <c r="G4174">
        <f t="shared" si="521"/>
        <v>0</v>
      </c>
      <c r="H4174">
        <f t="shared" si="527"/>
        <v>0</v>
      </c>
      <c r="I4174">
        <v>4173</v>
      </c>
      <c r="J4174">
        <f t="shared" si="522"/>
        <v>0.45370308603134885</v>
      </c>
      <c r="K4174">
        <f t="shared" si="523"/>
        <v>-0.89115291040630651</v>
      </c>
      <c r="L4174">
        <f>VLOOKUP(D4174,[1]SOI!$A$1:$C$142,3)</f>
        <v>2.1</v>
      </c>
      <c r="M4174" s="2">
        <f t="shared" si="524"/>
        <v>1893.3029780088186</v>
      </c>
      <c r="N4174">
        <f t="shared" si="525"/>
        <v>-3718.7810951255169</v>
      </c>
      <c r="O4174" t="s">
        <v>15</v>
      </c>
    </row>
    <row r="4175" spans="1:15" x14ac:dyDescent="0.35">
      <c r="A4175">
        <v>2011</v>
      </c>
      <c r="B4175">
        <v>6</v>
      </c>
      <c r="C4175">
        <v>5</v>
      </c>
      <c r="D4175" s="1">
        <f t="shared" si="520"/>
        <v>40699</v>
      </c>
      <c r="E4175">
        <v>0.2</v>
      </c>
      <c r="F4175">
        <f t="shared" si="526"/>
        <v>0</v>
      </c>
      <c r="G4175">
        <f t="shared" si="521"/>
        <v>1</v>
      </c>
      <c r="H4175">
        <f t="shared" si="527"/>
        <v>0</v>
      </c>
      <c r="I4175">
        <v>4174</v>
      </c>
      <c r="J4175">
        <f t="shared" si="522"/>
        <v>0.43830672301251627</v>
      </c>
      <c r="K4175">
        <f t="shared" si="523"/>
        <v>-0.89882546501644545</v>
      </c>
      <c r="L4175">
        <f>VLOOKUP(D4175,[1]SOI!$A$1:$C$142,3)</f>
        <v>2.1</v>
      </c>
      <c r="M4175" s="2">
        <f t="shared" si="524"/>
        <v>1829.492261854243</v>
      </c>
      <c r="N4175">
        <f t="shared" si="525"/>
        <v>-3751.6974909786431</v>
      </c>
      <c r="O4175" t="s">
        <v>15</v>
      </c>
    </row>
    <row r="4176" spans="1:15" x14ac:dyDescent="0.35">
      <c r="A4176">
        <v>2011</v>
      </c>
      <c r="B4176">
        <v>6</v>
      </c>
      <c r="C4176">
        <v>6</v>
      </c>
      <c r="D4176" s="1">
        <f t="shared" si="520"/>
        <v>40700</v>
      </c>
      <c r="E4176">
        <v>4.5999999999999996</v>
      </c>
      <c r="F4176">
        <f t="shared" si="526"/>
        <v>0.2</v>
      </c>
      <c r="G4176">
        <f t="shared" si="521"/>
        <v>1</v>
      </c>
      <c r="H4176">
        <f t="shared" si="527"/>
        <v>1</v>
      </c>
      <c r="I4176">
        <v>4175</v>
      </c>
      <c r="J4176">
        <f t="shared" si="522"/>
        <v>0.42278065798267994</v>
      </c>
      <c r="K4176">
        <f t="shared" si="523"/>
        <v>-0.90623204271076852</v>
      </c>
      <c r="L4176">
        <f>VLOOKUP(D4176,[1]SOI!$A$1:$C$142,3)</f>
        <v>2.1</v>
      </c>
      <c r="M4176" s="2">
        <f t="shared" si="524"/>
        <v>1765.1092470776887</v>
      </c>
      <c r="N4176">
        <f t="shared" si="525"/>
        <v>-3783.5187783174583</v>
      </c>
      <c r="O4176" t="s">
        <v>15</v>
      </c>
    </row>
    <row r="4177" spans="1:15" x14ac:dyDescent="0.35">
      <c r="A4177">
        <v>2011</v>
      </c>
      <c r="B4177">
        <v>6</v>
      </c>
      <c r="C4177">
        <v>7</v>
      </c>
      <c r="D4177" s="1">
        <f t="shared" si="520"/>
        <v>40701</v>
      </c>
      <c r="E4177">
        <v>0</v>
      </c>
      <c r="F4177">
        <f t="shared" si="526"/>
        <v>4.5999999999999996</v>
      </c>
      <c r="G4177">
        <f t="shared" si="521"/>
        <v>0</v>
      </c>
      <c r="H4177">
        <f t="shared" si="527"/>
        <v>1</v>
      </c>
      <c r="I4177">
        <v>4176</v>
      </c>
      <c r="J4177">
        <f t="shared" si="522"/>
        <v>0.40712948535425991</v>
      </c>
      <c r="K4177">
        <f t="shared" si="523"/>
        <v>-0.91337045176378218</v>
      </c>
      <c r="L4177">
        <f>VLOOKUP(D4177,[1]SOI!$A$1:$C$142,3)</f>
        <v>2.1</v>
      </c>
      <c r="M4177" s="2">
        <f t="shared" si="524"/>
        <v>1700.1727308393895</v>
      </c>
      <c r="N4177">
        <f t="shared" si="525"/>
        <v>-3814.2350065655542</v>
      </c>
      <c r="O4177" t="s">
        <v>15</v>
      </c>
    </row>
    <row r="4178" spans="1:15" x14ac:dyDescent="0.35">
      <c r="A4178">
        <v>2011</v>
      </c>
      <c r="B4178">
        <v>6</v>
      </c>
      <c r="C4178">
        <v>8</v>
      </c>
      <c r="D4178" s="1">
        <f t="shared" si="520"/>
        <v>40702</v>
      </c>
      <c r="E4178">
        <v>6.6</v>
      </c>
      <c r="F4178">
        <f t="shared" si="526"/>
        <v>0</v>
      </c>
      <c r="G4178">
        <f t="shared" si="521"/>
        <v>1</v>
      </c>
      <c r="H4178">
        <f t="shared" si="527"/>
        <v>0</v>
      </c>
      <c r="I4178">
        <v>4177</v>
      </c>
      <c r="J4178">
        <f t="shared" si="522"/>
        <v>0.39135783656102702</v>
      </c>
      <c r="K4178">
        <f t="shared" si="523"/>
        <v>-0.92023857980540702</v>
      </c>
      <c r="L4178">
        <f>VLOOKUP(D4178,[1]SOI!$A$1:$C$142,3)</f>
        <v>2.1</v>
      </c>
      <c r="M4178" s="2">
        <f t="shared" si="524"/>
        <v>1634.7016833154098</v>
      </c>
      <c r="N4178">
        <f t="shared" si="525"/>
        <v>-3843.8365478471851</v>
      </c>
      <c r="O4178" t="s">
        <v>15</v>
      </c>
    </row>
    <row r="4179" spans="1:15" x14ac:dyDescent="0.35">
      <c r="A4179">
        <v>2011</v>
      </c>
      <c r="B4179">
        <v>6</v>
      </c>
      <c r="C4179">
        <v>9</v>
      </c>
      <c r="D4179" s="1">
        <f t="shared" si="520"/>
        <v>40703</v>
      </c>
      <c r="E4179">
        <v>2.6</v>
      </c>
      <c r="F4179">
        <f t="shared" si="526"/>
        <v>6.6</v>
      </c>
      <c r="G4179">
        <f t="shared" si="521"/>
        <v>1</v>
      </c>
      <c r="H4179">
        <f t="shared" si="527"/>
        <v>1</v>
      </c>
      <c r="I4179">
        <v>4178</v>
      </c>
      <c r="J4179">
        <f t="shared" si="522"/>
        <v>0.37547037868762662</v>
      </c>
      <c r="K4179">
        <f t="shared" si="523"/>
        <v>-0.92683439444604676</v>
      </c>
      <c r="L4179">
        <f>VLOOKUP(D4179,[1]SOI!$A$1:$C$142,3)</f>
        <v>2.1</v>
      </c>
      <c r="M4179" s="2">
        <f t="shared" si="524"/>
        <v>1568.715242156904</v>
      </c>
      <c r="N4179">
        <f t="shared" si="525"/>
        <v>-3872.3140999955835</v>
      </c>
      <c r="O4179" t="s">
        <v>15</v>
      </c>
    </row>
    <row r="4180" spans="1:15" x14ac:dyDescent="0.35">
      <c r="A4180">
        <v>2011</v>
      </c>
      <c r="B4180">
        <v>6</v>
      </c>
      <c r="C4180">
        <v>10</v>
      </c>
      <c r="D4180" s="1">
        <f t="shared" si="520"/>
        <v>40704</v>
      </c>
      <c r="E4180">
        <v>0</v>
      </c>
      <c r="F4180">
        <f t="shared" si="526"/>
        <v>2.6</v>
      </c>
      <c r="G4180">
        <f t="shared" si="521"/>
        <v>0</v>
      </c>
      <c r="H4180">
        <f t="shared" si="527"/>
        <v>1</v>
      </c>
      <c r="I4180">
        <v>4179</v>
      </c>
      <c r="J4180">
        <f t="shared" si="522"/>
        <v>0.3594718130884218</v>
      </c>
      <c r="K4180">
        <f t="shared" si="523"/>
        <v>-0.93315594387804379</v>
      </c>
      <c r="L4180">
        <f>VLOOKUP(D4180,[1]SOI!$A$1:$C$142,3)</f>
        <v>2.1</v>
      </c>
      <c r="M4180" s="2">
        <f t="shared" si="524"/>
        <v>1502.2327068965146</v>
      </c>
      <c r="N4180">
        <f t="shared" si="525"/>
        <v>-3899.6586894663451</v>
      </c>
      <c r="O4180" t="s">
        <v>15</v>
      </c>
    </row>
    <row r="4181" spans="1:15" x14ac:dyDescent="0.35">
      <c r="A4181">
        <v>2011</v>
      </c>
      <c r="B4181">
        <v>6</v>
      </c>
      <c r="C4181">
        <v>11</v>
      </c>
      <c r="D4181" s="1">
        <f t="shared" si="520"/>
        <v>40705</v>
      </c>
      <c r="E4181">
        <v>0</v>
      </c>
      <c r="F4181">
        <f t="shared" si="526"/>
        <v>0</v>
      </c>
      <c r="G4181">
        <f t="shared" si="521"/>
        <v>0</v>
      </c>
      <c r="H4181">
        <f t="shared" si="527"/>
        <v>0</v>
      </c>
      <c r="I4181">
        <v>4180</v>
      </c>
      <c r="J4181">
        <f t="shared" si="522"/>
        <v>0.34336687399639204</v>
      </c>
      <c r="K4181">
        <f t="shared" si="523"/>
        <v>-0.93920135745320654</v>
      </c>
      <c r="L4181">
        <f>VLOOKUP(D4181,[1]SOI!$A$1:$C$142,3)</f>
        <v>2.1</v>
      </c>
      <c r="M4181" s="2">
        <f t="shared" si="524"/>
        <v>1435.2735333049188</v>
      </c>
      <c r="N4181">
        <f t="shared" si="525"/>
        <v>-3925.8616741544033</v>
      </c>
      <c r="O4181" t="s">
        <v>15</v>
      </c>
    </row>
    <row r="4182" spans="1:15" x14ac:dyDescent="0.35">
      <c r="A4182">
        <v>2011</v>
      </c>
      <c r="B4182">
        <v>6</v>
      </c>
      <c r="C4182">
        <v>12</v>
      </c>
      <c r="D4182" s="1">
        <f t="shared" si="520"/>
        <v>40706</v>
      </c>
      <c r="E4182">
        <v>0</v>
      </c>
      <c r="F4182">
        <f t="shared" si="526"/>
        <v>0</v>
      </c>
      <c r="G4182">
        <f t="shared" si="521"/>
        <v>0</v>
      </c>
      <c r="H4182">
        <f t="shared" si="527"/>
        <v>0</v>
      </c>
      <c r="I4182">
        <v>4181</v>
      </c>
      <c r="J4182">
        <f t="shared" si="522"/>
        <v>0.32716032712209159</v>
      </c>
      <c r="K4182">
        <f t="shared" si="523"/>
        <v>-0.94496884623640687</v>
      </c>
      <c r="L4182">
        <f>VLOOKUP(D4182,[1]SOI!$A$1:$C$142,3)</f>
        <v>2.1</v>
      </c>
      <c r="M4182" s="2">
        <f t="shared" si="524"/>
        <v>1367.8573276974648</v>
      </c>
      <c r="N4182">
        <f t="shared" si="525"/>
        <v>-3950.9147461144171</v>
      </c>
      <c r="O4182" t="s">
        <v>15</v>
      </c>
    </row>
    <row r="4183" spans="1:15" x14ac:dyDescent="0.35">
      <c r="A4183">
        <v>2011</v>
      </c>
      <c r="B4183">
        <v>6</v>
      </c>
      <c r="C4183">
        <v>13</v>
      </c>
      <c r="D4183" s="1">
        <f t="shared" si="520"/>
        <v>40707</v>
      </c>
      <c r="E4183">
        <v>0</v>
      </c>
      <c r="F4183">
        <f t="shared" si="526"/>
        <v>0</v>
      </c>
      <c r="G4183">
        <f t="shared" si="521"/>
        <v>0</v>
      </c>
      <c r="H4183">
        <f t="shared" si="527"/>
        <v>0</v>
      </c>
      <c r="I4183">
        <v>4182</v>
      </c>
      <c r="J4183">
        <f t="shared" si="522"/>
        <v>0.31085696824350556</v>
      </c>
      <c r="K4183">
        <f t="shared" si="523"/>
        <v>-0.9504567035349144</v>
      </c>
      <c r="L4183">
        <f>VLOOKUP(D4183,[1]SOI!$A$1:$C$142,3)</f>
        <v>2.1</v>
      </c>
      <c r="M4183" s="2">
        <f t="shared" si="524"/>
        <v>1300.0038411943403</v>
      </c>
      <c r="N4183">
        <f t="shared" si="525"/>
        <v>-3974.809934183012</v>
      </c>
      <c r="O4183" t="s">
        <v>15</v>
      </c>
    </row>
    <row r="4184" spans="1:15" x14ac:dyDescent="0.35">
      <c r="A4184">
        <v>2011</v>
      </c>
      <c r="B4184">
        <v>6</v>
      </c>
      <c r="C4184">
        <v>14</v>
      </c>
      <c r="D4184" s="1">
        <f t="shared" si="520"/>
        <v>40708</v>
      </c>
      <c r="E4184">
        <v>0.2</v>
      </c>
      <c r="F4184">
        <f t="shared" si="526"/>
        <v>0</v>
      </c>
      <c r="G4184">
        <f t="shared" si="521"/>
        <v>1</v>
      </c>
      <c r="H4184">
        <f t="shared" si="527"/>
        <v>0</v>
      </c>
      <c r="I4184">
        <v>4183</v>
      </c>
      <c r="J4184">
        <f t="shared" si="522"/>
        <v>0.29446162178680868</v>
      </c>
      <c r="K4184">
        <f t="shared" si="523"/>
        <v>-0.95566330540346811</v>
      </c>
      <c r="L4184">
        <f>VLOOKUP(D4184,[1]SOI!$A$1:$C$142,3)</f>
        <v>2.1</v>
      </c>
      <c r="M4184" s="2">
        <f t="shared" si="524"/>
        <v>1231.7329639342206</v>
      </c>
      <c r="N4184">
        <f t="shared" si="525"/>
        <v>-3997.5396065027071</v>
      </c>
      <c r="O4184" t="s">
        <v>15</v>
      </c>
    </row>
    <row r="4185" spans="1:15" x14ac:dyDescent="0.35">
      <c r="A4185">
        <v>2011</v>
      </c>
      <c r="B4185">
        <v>6</v>
      </c>
      <c r="C4185">
        <v>15</v>
      </c>
      <c r="D4185" s="1">
        <f t="shared" si="520"/>
        <v>40709</v>
      </c>
      <c r="E4185">
        <v>0</v>
      </c>
      <c r="F4185">
        <f t="shared" si="526"/>
        <v>0.2</v>
      </c>
      <c r="G4185">
        <f t="shared" si="521"/>
        <v>0</v>
      </c>
      <c r="H4185">
        <f t="shared" si="527"/>
        <v>1</v>
      </c>
      <c r="I4185">
        <v>4184</v>
      </c>
      <c r="J4185">
        <f t="shared" si="522"/>
        <v>0.27797913939877955</v>
      </c>
      <c r="K4185">
        <f t="shared" si="523"/>
        <v>-0.96058711112481299</v>
      </c>
      <c r="L4185">
        <f>VLOOKUP(D4185,[1]SOI!$A$1:$C$142,3)</f>
        <v>2.1</v>
      </c>
      <c r="M4185" s="2">
        <f t="shared" si="524"/>
        <v>1163.0647192444937</v>
      </c>
      <c r="N4185">
        <f t="shared" si="525"/>
        <v>-4019.0964729462175</v>
      </c>
      <c r="O4185" t="s">
        <v>15</v>
      </c>
    </row>
    <row r="4186" spans="1:15" x14ac:dyDescent="0.35">
      <c r="A4186">
        <v>2011</v>
      </c>
      <c r="B4186">
        <v>6</v>
      </c>
      <c r="C4186">
        <v>16</v>
      </c>
      <c r="D4186" s="1">
        <f t="shared" si="520"/>
        <v>40710</v>
      </c>
      <c r="E4186">
        <v>0</v>
      </c>
      <c r="F4186">
        <f t="shared" si="526"/>
        <v>0</v>
      </c>
      <c r="G4186">
        <f t="shared" si="521"/>
        <v>0</v>
      </c>
      <c r="H4186">
        <f t="shared" si="527"/>
        <v>0</v>
      </c>
      <c r="I4186">
        <v>4185</v>
      </c>
      <c r="J4186">
        <f t="shared" si="522"/>
        <v>0.26141439851116161</v>
      </c>
      <c r="K4186">
        <f t="shared" si="523"/>
        <v>-0.9652266636656115</v>
      </c>
      <c r="L4186">
        <f>VLOOKUP(D4186,[1]SOI!$A$1:$C$142,3)</f>
        <v>2.1</v>
      </c>
      <c r="M4186" s="2">
        <f t="shared" si="524"/>
        <v>1094.0192577692112</v>
      </c>
      <c r="N4186">
        <f t="shared" si="525"/>
        <v>-4039.4735874405842</v>
      </c>
      <c r="O4186" t="s">
        <v>15</v>
      </c>
    </row>
    <row r="4187" spans="1:15" x14ac:dyDescent="0.35">
      <c r="A4187">
        <v>2011</v>
      </c>
      <c r="B4187">
        <v>6</v>
      </c>
      <c r="C4187">
        <v>17</v>
      </c>
      <c r="D4187" s="1">
        <f t="shared" si="520"/>
        <v>40711</v>
      </c>
      <c r="E4187">
        <v>4.4000000000000004</v>
      </c>
      <c r="F4187">
        <f t="shared" si="526"/>
        <v>0</v>
      </c>
      <c r="G4187">
        <f t="shared" si="521"/>
        <v>1</v>
      </c>
      <c r="H4187">
        <f t="shared" si="527"/>
        <v>0</v>
      </c>
      <c r="I4187">
        <v>4186</v>
      </c>
      <c r="J4187">
        <f t="shared" si="522"/>
        <v>0.24477230089725727</v>
      </c>
      <c r="K4187">
        <f t="shared" si="523"/>
        <v>-0.96958059010763131</v>
      </c>
      <c r="L4187">
        <f>VLOOKUP(D4187,[1]SOI!$A$1:$C$142,3)</f>
        <v>2.1</v>
      </c>
      <c r="M4187" s="2">
        <f t="shared" si="524"/>
        <v>1024.6168515559189</v>
      </c>
      <c r="N4187">
        <f t="shared" si="525"/>
        <v>-4058.6643501905446</v>
      </c>
      <c r="O4187" t="s">
        <v>15</v>
      </c>
    </row>
    <row r="4188" spans="1:15" x14ac:dyDescent="0.35">
      <c r="A4188">
        <v>2011</v>
      </c>
      <c r="B4188">
        <v>6</v>
      </c>
      <c r="C4188">
        <v>18</v>
      </c>
      <c r="D4188" s="1">
        <f t="shared" si="520"/>
        <v>40712</v>
      </c>
      <c r="E4188">
        <v>1.4</v>
      </c>
      <c r="F4188">
        <f t="shared" si="526"/>
        <v>4.4000000000000004</v>
      </c>
      <c r="G4188">
        <f t="shared" si="521"/>
        <v>1</v>
      </c>
      <c r="H4188">
        <f t="shared" si="527"/>
        <v>1</v>
      </c>
      <c r="I4188">
        <v>4187</v>
      </c>
      <c r="J4188">
        <f t="shared" si="522"/>
        <v>0.22805777122152351</v>
      </c>
      <c r="K4188">
        <f t="shared" si="523"/>
        <v>-0.97364760205398304</v>
      </c>
      <c r="L4188">
        <f>VLOOKUP(D4188,[1]SOI!$A$1:$C$142,3)</f>
        <v>2.1</v>
      </c>
      <c r="M4188" s="2">
        <f t="shared" si="524"/>
        <v>954.877888104519</v>
      </c>
      <c r="N4188">
        <f t="shared" si="525"/>
        <v>-4076.6625098000268</v>
      </c>
      <c r="O4188" t="s">
        <v>15</v>
      </c>
    </row>
    <row r="4189" spans="1:15" x14ac:dyDescent="0.35">
      <c r="A4189">
        <v>2011</v>
      </c>
      <c r="B4189">
        <v>6</v>
      </c>
      <c r="C4189">
        <v>19</v>
      </c>
      <c r="D4189" s="1">
        <f t="shared" si="520"/>
        <v>40713</v>
      </c>
      <c r="E4189">
        <v>0</v>
      </c>
      <c r="F4189">
        <f t="shared" si="526"/>
        <v>1.4</v>
      </c>
      <c r="G4189">
        <f t="shared" si="521"/>
        <v>0</v>
      </c>
      <c r="H4189">
        <f t="shared" si="527"/>
        <v>1</v>
      </c>
      <c r="I4189">
        <v>4188</v>
      </c>
      <c r="J4189">
        <f t="shared" si="522"/>
        <v>0.21127575558218867</v>
      </c>
      <c r="K4189">
        <f t="shared" si="523"/>
        <v>-0.97742649601040343</v>
      </c>
      <c r="L4189">
        <f>VLOOKUP(D4189,[1]SOI!$A$1:$C$142,3)</f>
        <v>2.1</v>
      </c>
      <c r="M4189" s="2">
        <f t="shared" si="524"/>
        <v>884.82286437820619</v>
      </c>
      <c r="N4189">
        <f t="shared" si="525"/>
        <v>-4093.4621652915694</v>
      </c>
      <c r="O4189" t="s">
        <v>15</v>
      </c>
    </row>
    <row r="4190" spans="1:15" x14ac:dyDescent="0.35">
      <c r="A4190">
        <v>2011</v>
      </c>
      <c r="B4190">
        <v>6</v>
      </c>
      <c r="C4190">
        <v>20</v>
      </c>
      <c r="D4190" s="1">
        <f t="shared" si="520"/>
        <v>40714</v>
      </c>
      <c r="E4190">
        <v>0.4</v>
      </c>
      <c r="F4190">
        <f t="shared" si="526"/>
        <v>0</v>
      </c>
      <c r="G4190">
        <f t="shared" si="521"/>
        <v>1</v>
      </c>
      <c r="H4190">
        <f t="shared" si="527"/>
        <v>0</v>
      </c>
      <c r="I4190">
        <v>4189</v>
      </c>
      <c r="J4190">
        <f t="shared" si="522"/>
        <v>0.19443122004766308</v>
      </c>
      <c r="K4190">
        <f t="shared" si="523"/>
        <v>-0.98091615374137719</v>
      </c>
      <c r="L4190">
        <f>VLOOKUP(D4190,[1]SOI!$A$1:$C$142,3)</f>
        <v>2.1</v>
      </c>
      <c r="M4190" s="2">
        <f t="shared" si="524"/>
        <v>814.47238077966063</v>
      </c>
      <c r="N4190">
        <f t="shared" si="525"/>
        <v>-4109.0577680226288</v>
      </c>
      <c r="O4190" t="s">
        <v>15</v>
      </c>
    </row>
    <row r="4191" spans="1:15" x14ac:dyDescent="0.35">
      <c r="A4191">
        <v>2011</v>
      </c>
      <c r="B4191">
        <v>6</v>
      </c>
      <c r="C4191">
        <v>21</v>
      </c>
      <c r="D4191" s="1">
        <f t="shared" si="520"/>
        <v>40715</v>
      </c>
      <c r="E4191">
        <v>7.2</v>
      </c>
      <c r="F4191">
        <f t="shared" si="526"/>
        <v>0.4</v>
      </c>
      <c r="G4191">
        <f t="shared" si="521"/>
        <v>1</v>
      </c>
      <c r="H4191">
        <f t="shared" si="527"/>
        <v>1</v>
      </c>
      <c r="I4191">
        <v>4190</v>
      </c>
      <c r="J4191">
        <f t="shared" si="522"/>
        <v>0.1775291491870418</v>
      </c>
      <c r="K4191">
        <f t="shared" si="523"/>
        <v>-0.98411554260103273</v>
      </c>
      <c r="L4191">
        <f>VLOOKUP(D4191,[1]SOI!$A$1:$C$142,3)</f>
        <v>2.1</v>
      </c>
      <c r="M4191" s="2">
        <f t="shared" si="524"/>
        <v>743.84713509370511</v>
      </c>
      <c r="N4191">
        <f t="shared" si="525"/>
        <v>-4123.4441234983269</v>
      </c>
      <c r="O4191" t="s">
        <v>15</v>
      </c>
    </row>
    <row r="4192" spans="1:15" x14ac:dyDescent="0.35">
      <c r="A4192">
        <v>2011</v>
      </c>
      <c r="B4192">
        <v>6</v>
      </c>
      <c r="C4192">
        <v>22</v>
      </c>
      <c r="D4192" s="1">
        <f t="shared" si="520"/>
        <v>40716</v>
      </c>
      <c r="E4192">
        <v>4.2</v>
      </c>
      <c r="F4192">
        <f t="shared" si="526"/>
        <v>7.2</v>
      </c>
      <c r="G4192">
        <f t="shared" si="521"/>
        <v>1</v>
      </c>
      <c r="H4192">
        <f t="shared" si="527"/>
        <v>1</v>
      </c>
      <c r="I4192">
        <v>4191</v>
      </c>
      <c r="J4192">
        <f t="shared" si="522"/>
        <v>0.16057454459499271</v>
      </c>
      <c r="K4192">
        <f t="shared" si="523"/>
        <v>-0.98702371583873849</v>
      </c>
      <c r="L4192">
        <f>VLOOKUP(D4192,[1]SOI!$A$1:$C$142,3)</f>
        <v>2.1</v>
      </c>
      <c r="M4192" s="2">
        <f t="shared" si="524"/>
        <v>672.96791639761443</v>
      </c>
      <c r="N4192">
        <f t="shared" si="525"/>
        <v>-4136.6163930801531</v>
      </c>
      <c r="O4192" t="s">
        <v>15</v>
      </c>
    </row>
    <row r="4193" spans="1:15" x14ac:dyDescent="0.35">
      <c r="A4193">
        <v>2011</v>
      </c>
      <c r="B4193">
        <v>6</v>
      </c>
      <c r="C4193">
        <v>23</v>
      </c>
      <c r="D4193" s="1">
        <f t="shared" si="520"/>
        <v>40717</v>
      </c>
      <c r="E4193">
        <v>0.2</v>
      </c>
      <c r="F4193">
        <f t="shared" si="526"/>
        <v>4.2</v>
      </c>
      <c r="G4193">
        <f t="shared" si="521"/>
        <v>1</v>
      </c>
      <c r="H4193">
        <f t="shared" si="527"/>
        <v>1</v>
      </c>
      <c r="I4193">
        <v>4192</v>
      </c>
      <c r="J4193">
        <f t="shared" si="522"/>
        <v>0.14357242341181597</v>
      </c>
      <c r="K4193">
        <f t="shared" si="523"/>
        <v>-0.98963981287924052</v>
      </c>
      <c r="L4193">
        <f>VLOOKUP(D4193,[1]SOI!$A$1:$C$142,3)</f>
        <v>2.1</v>
      </c>
      <c r="M4193" s="2">
        <f t="shared" si="524"/>
        <v>601.85559894233256</v>
      </c>
      <c r="N4193">
        <f t="shared" si="525"/>
        <v>-4148.5700955897764</v>
      </c>
      <c r="O4193" t="s">
        <v>15</v>
      </c>
    </row>
    <row r="4194" spans="1:15" x14ac:dyDescent="0.35">
      <c r="A4194">
        <v>2011</v>
      </c>
      <c r="B4194">
        <v>6</v>
      </c>
      <c r="C4194">
        <v>24</v>
      </c>
      <c r="D4194" s="1">
        <f t="shared" si="520"/>
        <v>40718</v>
      </c>
      <c r="E4194">
        <v>0.4</v>
      </c>
      <c r="F4194">
        <f t="shared" si="526"/>
        <v>0.2</v>
      </c>
      <c r="G4194">
        <f t="shared" si="521"/>
        <v>1</v>
      </c>
      <c r="H4194">
        <f t="shared" si="527"/>
        <v>1</v>
      </c>
      <c r="I4194">
        <v>4193</v>
      </c>
      <c r="J4194">
        <f t="shared" si="522"/>
        <v>0.12652781683869355</v>
      </c>
      <c r="K4194">
        <f t="shared" si="523"/>
        <v>-0.99196305957733832</v>
      </c>
      <c r="L4194">
        <f>VLOOKUP(D4194,[1]SOI!$A$1:$C$142,3)</f>
        <v>2.1</v>
      </c>
      <c r="M4194" s="2">
        <f t="shared" si="524"/>
        <v>530.53113600464201</v>
      </c>
      <c r="N4194">
        <f t="shared" si="525"/>
        <v>-4159.3011088077792</v>
      </c>
      <c r="O4194" t="s">
        <v>15</v>
      </c>
    </row>
    <row r="4195" spans="1:15" x14ac:dyDescent="0.35">
      <c r="A4195">
        <v>2011</v>
      </c>
      <c r="B4195">
        <v>6</v>
      </c>
      <c r="C4195">
        <v>25</v>
      </c>
      <c r="D4195" s="1">
        <f t="shared" si="520"/>
        <v>40719</v>
      </c>
      <c r="E4195">
        <v>0</v>
      </c>
      <c r="F4195">
        <f t="shared" si="526"/>
        <v>0.4</v>
      </c>
      <c r="G4195">
        <f t="shared" si="521"/>
        <v>0</v>
      </c>
      <c r="H4195">
        <f t="shared" si="527"/>
        <v>1</v>
      </c>
      <c r="I4195">
        <v>4194</v>
      </c>
      <c r="J4195">
        <f t="shared" si="522"/>
        <v>0.1094457686489176</v>
      </c>
      <c r="K4195">
        <f t="shared" si="523"/>
        <v>-0.99399276844695783</v>
      </c>
      <c r="L4195">
        <f>VLOOKUP(D4195,[1]SOI!$A$1:$C$142,3)</f>
        <v>2.1</v>
      </c>
      <c r="M4195" s="2">
        <f t="shared" si="524"/>
        <v>459.01555371356039</v>
      </c>
      <c r="N4195">
        <f t="shared" si="525"/>
        <v>-4168.8056708665408</v>
      </c>
      <c r="O4195" t="s">
        <v>15</v>
      </c>
    </row>
    <row r="4196" spans="1:15" x14ac:dyDescent="0.35">
      <c r="A4196">
        <v>2011</v>
      </c>
      <c r="B4196">
        <v>6</v>
      </c>
      <c r="C4196">
        <v>26</v>
      </c>
      <c r="D4196" s="1">
        <f t="shared" si="520"/>
        <v>40720</v>
      </c>
      <c r="E4196">
        <v>0</v>
      </c>
      <c r="F4196">
        <f t="shared" si="526"/>
        <v>0</v>
      </c>
      <c r="G4196">
        <f t="shared" si="521"/>
        <v>0</v>
      </c>
      <c r="H4196">
        <f t="shared" si="527"/>
        <v>0</v>
      </c>
      <c r="I4196">
        <v>4195</v>
      </c>
      <c r="J4196">
        <f t="shared" si="522"/>
        <v>9.2331333695399462E-2</v>
      </c>
      <c r="K4196">
        <f t="shared" si="523"/>
        <v>-0.99572833886458645</v>
      </c>
      <c r="L4196">
        <f>VLOOKUP(D4196,[1]SOI!$A$1:$C$142,3)</f>
        <v>2.1</v>
      </c>
      <c r="M4196" s="2">
        <f t="shared" si="524"/>
        <v>387.32994485220075</v>
      </c>
      <c r="N4196">
        <f t="shared" si="525"/>
        <v>-4177.08038153694</v>
      </c>
      <c r="O4196" t="s">
        <v>15</v>
      </c>
    </row>
    <row r="4197" spans="1:15" x14ac:dyDescent="0.35">
      <c r="A4197">
        <v>2011</v>
      </c>
      <c r="B4197">
        <v>6</v>
      </c>
      <c r="C4197">
        <v>27</v>
      </c>
      <c r="D4197" s="1">
        <f t="shared" si="520"/>
        <v>40721</v>
      </c>
      <c r="E4197">
        <v>0</v>
      </c>
      <c r="F4197">
        <f t="shared" si="526"/>
        <v>0</v>
      </c>
      <c r="G4197">
        <f t="shared" si="521"/>
        <v>0</v>
      </c>
      <c r="H4197">
        <f t="shared" si="527"/>
        <v>0</v>
      </c>
      <c r="I4197">
        <v>4196</v>
      </c>
      <c r="J4197">
        <f t="shared" si="522"/>
        <v>7.5189576414758388E-2</v>
      </c>
      <c r="K4197">
        <f t="shared" si="523"/>
        <v>-0.99716925724701777</v>
      </c>
      <c r="L4197">
        <f>VLOOKUP(D4197,[1]SOI!$A$1:$C$142,3)</f>
        <v>2.1</v>
      </c>
      <c r="M4197" s="2">
        <f t="shared" si="524"/>
        <v>315.49546263632618</v>
      </c>
      <c r="N4197">
        <f t="shared" si="525"/>
        <v>-4184.1222034084867</v>
      </c>
      <c r="O4197" t="s">
        <v>15</v>
      </c>
    </row>
    <row r="4198" spans="1:15" x14ac:dyDescent="0.35">
      <c r="A4198">
        <v>2011</v>
      </c>
      <c r="B4198">
        <v>6</v>
      </c>
      <c r="C4198">
        <v>28</v>
      </c>
      <c r="D4198" s="1">
        <f t="shared" si="520"/>
        <v>40722</v>
      </c>
      <c r="E4198">
        <v>0</v>
      </c>
      <c r="F4198">
        <f t="shared" si="526"/>
        <v>0</v>
      </c>
      <c r="G4198">
        <f t="shared" si="521"/>
        <v>0</v>
      </c>
      <c r="H4198">
        <f t="shared" si="527"/>
        <v>0</v>
      </c>
      <c r="I4198">
        <v>4197</v>
      </c>
      <c r="J4198">
        <f t="shared" si="522"/>
        <v>5.8025569328786386E-2</v>
      </c>
      <c r="K4198">
        <f t="shared" si="523"/>
        <v>-0.99831509720331801</v>
      </c>
      <c r="L4198">
        <f>VLOOKUP(D4198,[1]SOI!$A$1:$C$142,3)</f>
        <v>2.1</v>
      </c>
      <c r="M4198" s="2">
        <f t="shared" si="524"/>
        <v>243.53331447291646</v>
      </c>
      <c r="N4198">
        <f t="shared" si="525"/>
        <v>-4189.9284629623253</v>
      </c>
      <c r="O4198" t="s">
        <v>15</v>
      </c>
    </row>
    <row r="4199" spans="1:15" x14ac:dyDescent="0.35">
      <c r="A4199">
        <v>2011</v>
      </c>
      <c r="B4199">
        <v>6</v>
      </c>
      <c r="C4199">
        <v>29</v>
      </c>
      <c r="D4199" s="1">
        <f t="shared" si="520"/>
        <v>40723</v>
      </c>
      <c r="E4199">
        <v>0</v>
      </c>
      <c r="F4199">
        <f t="shared" si="526"/>
        <v>0</v>
      </c>
      <c r="G4199">
        <f t="shared" si="521"/>
        <v>0</v>
      </c>
      <c r="H4199">
        <f t="shared" si="527"/>
        <v>0</v>
      </c>
      <c r="I4199">
        <v>4198</v>
      </c>
      <c r="J4199">
        <f t="shared" si="522"/>
        <v>4.0844391543308364E-2</v>
      </c>
      <c r="K4199">
        <f t="shared" si="523"/>
        <v>-0.99916551966101042</v>
      </c>
      <c r="L4199">
        <f>VLOOKUP(D4199,[1]SOI!$A$1:$C$142,3)</f>
        <v>2.1</v>
      </c>
      <c r="M4199" s="2">
        <f t="shared" si="524"/>
        <v>171.46475569880852</v>
      </c>
      <c r="N4199">
        <f t="shared" si="525"/>
        <v>-4194.4968515369219</v>
      </c>
      <c r="O4199" t="s">
        <v>15</v>
      </c>
    </row>
    <row r="4200" spans="1:15" x14ac:dyDescent="0.35">
      <c r="A4200">
        <v>2011</v>
      </c>
      <c r="B4200">
        <v>6</v>
      </c>
      <c r="C4200">
        <v>30</v>
      </c>
      <c r="D4200" s="1">
        <f t="shared" si="520"/>
        <v>40724</v>
      </c>
      <c r="E4200">
        <v>0</v>
      </c>
      <c r="F4200">
        <f t="shared" si="526"/>
        <v>0</v>
      </c>
      <c r="G4200">
        <f t="shared" si="521"/>
        <v>0</v>
      </c>
      <c r="H4200">
        <f t="shared" si="527"/>
        <v>0</v>
      </c>
      <c r="I4200">
        <v>4199</v>
      </c>
      <c r="J4200">
        <f t="shared" si="522"/>
        <v>2.3651127245235413E-2</v>
      </c>
      <c r="K4200">
        <f t="shared" si="523"/>
        <v>-0.9997202729664082</v>
      </c>
      <c r="L4200">
        <f>VLOOKUP(D4200,[1]SOI!$A$1:$C$142,3)</f>
        <v>2.1</v>
      </c>
      <c r="M4200" s="2">
        <f t="shared" si="524"/>
        <v>99.311083302743498</v>
      </c>
      <c r="N4200">
        <f t="shared" si="525"/>
        <v>-4197.8254261859483</v>
      </c>
      <c r="O4200" t="s">
        <v>15</v>
      </c>
    </row>
    <row r="4201" spans="1:15" x14ac:dyDescent="0.35">
      <c r="A4201">
        <v>2011</v>
      </c>
      <c r="B4201">
        <v>7</v>
      </c>
      <c r="C4201">
        <v>1</v>
      </c>
      <c r="D4201" s="1">
        <f t="shared" si="520"/>
        <v>40725</v>
      </c>
      <c r="E4201">
        <v>0</v>
      </c>
      <c r="F4201">
        <f t="shared" si="526"/>
        <v>0</v>
      </c>
      <c r="G4201">
        <f t="shared" si="521"/>
        <v>0</v>
      </c>
      <c r="H4201">
        <f t="shared" si="527"/>
        <v>0</v>
      </c>
      <c r="I4201">
        <v>4200</v>
      </c>
      <c r="J4201">
        <f t="shared" si="522"/>
        <v>6.4508641981147518E-3</v>
      </c>
      <c r="K4201">
        <f t="shared" si="523"/>
        <v>-0.99997919295908222</v>
      </c>
      <c r="L4201">
        <f>VLOOKUP(D4201,[1]SOI!$A$1:$C$142,3)</f>
        <v>0.2</v>
      </c>
      <c r="M4201" s="2">
        <f t="shared" si="524"/>
        <v>27.093629632081957</v>
      </c>
      <c r="N4201">
        <f t="shared" si="525"/>
        <v>-4199.9126104281449</v>
      </c>
      <c r="O4201" t="s">
        <v>15</v>
      </c>
    </row>
    <row r="4202" spans="1:15" x14ac:dyDescent="0.35">
      <c r="A4202">
        <v>2011</v>
      </c>
      <c r="B4202">
        <v>7</v>
      </c>
      <c r="C4202">
        <v>2</v>
      </c>
      <c r="D4202" s="1">
        <f t="shared" si="520"/>
        <v>40726</v>
      </c>
      <c r="E4202">
        <v>0</v>
      </c>
      <c r="F4202">
        <f t="shared" si="526"/>
        <v>0</v>
      </c>
      <c r="G4202">
        <f t="shared" si="521"/>
        <v>0</v>
      </c>
      <c r="H4202">
        <f t="shared" si="527"/>
        <v>0</v>
      </c>
      <c r="I4202">
        <v>4201</v>
      </c>
      <c r="J4202">
        <f t="shared" si="522"/>
        <v>-1.0751307763520767E-2</v>
      </c>
      <c r="K4202">
        <f t="shared" si="523"/>
        <v>-0.99994220302044157</v>
      </c>
      <c r="L4202">
        <f>VLOOKUP(D4202,[1]SOI!$A$1:$C$142,3)</f>
        <v>0.2</v>
      </c>
      <c r="M4202" s="2">
        <f t="shared" si="524"/>
        <v>-45.166243914550741</v>
      </c>
      <c r="N4202">
        <f t="shared" si="525"/>
        <v>-4200.7571948888753</v>
      </c>
      <c r="O4202" t="s">
        <v>15</v>
      </c>
    </row>
    <row r="4203" spans="1:15" x14ac:dyDescent="0.35">
      <c r="A4203">
        <v>2011</v>
      </c>
      <c r="B4203">
        <v>7</v>
      </c>
      <c r="C4203">
        <v>3</v>
      </c>
      <c r="D4203" s="1">
        <f t="shared" si="520"/>
        <v>40727</v>
      </c>
      <c r="E4203">
        <v>0</v>
      </c>
      <c r="F4203">
        <f t="shared" si="526"/>
        <v>0</v>
      </c>
      <c r="G4203">
        <f t="shared" si="521"/>
        <v>0</v>
      </c>
      <c r="H4203">
        <f t="shared" si="527"/>
        <v>0</v>
      </c>
      <c r="I4203">
        <v>4202</v>
      </c>
      <c r="J4203">
        <f t="shared" si="522"/>
        <v>-2.7950298240202943E-2</v>
      </c>
      <c r="K4203">
        <f t="shared" si="523"/>
        <v>-0.99960931409640419</v>
      </c>
      <c r="L4203">
        <f>VLOOKUP(D4203,[1]SOI!$A$1:$C$142,3)</f>
        <v>0.2</v>
      </c>
      <c r="M4203" s="2">
        <f t="shared" si="524"/>
        <v>-117.44715320533277</v>
      </c>
      <c r="N4203">
        <f t="shared" si="525"/>
        <v>-4200.3583378330904</v>
      </c>
      <c r="O4203" t="s">
        <v>15</v>
      </c>
    </row>
    <row r="4204" spans="1:15" x14ac:dyDescent="0.35">
      <c r="A4204">
        <v>2011</v>
      </c>
      <c r="B4204">
        <v>7</v>
      </c>
      <c r="C4204">
        <v>4</v>
      </c>
      <c r="D4204" s="1">
        <f t="shared" si="520"/>
        <v>40728</v>
      </c>
      <c r="E4204">
        <v>0.2</v>
      </c>
      <c r="F4204">
        <f t="shared" si="526"/>
        <v>0</v>
      </c>
      <c r="G4204">
        <f t="shared" si="521"/>
        <v>1</v>
      </c>
      <c r="H4204">
        <f t="shared" si="527"/>
        <v>0</v>
      </c>
      <c r="I4204">
        <v>4203</v>
      </c>
      <c r="J4204">
        <f t="shared" si="522"/>
        <v>-4.5141017773972981E-2</v>
      </c>
      <c r="K4204">
        <f t="shared" si="523"/>
        <v>-0.99898062469415783</v>
      </c>
      <c r="L4204">
        <f>VLOOKUP(D4204,[1]SOI!$A$1:$C$142,3)</f>
        <v>0.2</v>
      </c>
      <c r="M4204" s="2">
        <f t="shared" si="524"/>
        <v>-189.72769770400845</v>
      </c>
      <c r="N4204">
        <f t="shared" si="525"/>
        <v>-4198.7155655895449</v>
      </c>
      <c r="O4204" t="s">
        <v>15</v>
      </c>
    </row>
    <row r="4205" spans="1:15" x14ac:dyDescent="0.35">
      <c r="A4205">
        <v>2011</v>
      </c>
      <c r="B4205">
        <v>7</v>
      </c>
      <c r="C4205">
        <v>5</v>
      </c>
      <c r="D4205" s="1">
        <f t="shared" si="520"/>
        <v>40729</v>
      </c>
      <c r="E4205">
        <v>0</v>
      </c>
      <c r="F4205">
        <f t="shared" si="526"/>
        <v>0.2</v>
      </c>
      <c r="G4205">
        <f t="shared" si="521"/>
        <v>0</v>
      </c>
      <c r="H4205">
        <f t="shared" si="527"/>
        <v>1</v>
      </c>
      <c r="I4205">
        <v>4204</v>
      </c>
      <c r="J4205">
        <f t="shared" si="522"/>
        <v>-6.2318379354320372E-2</v>
      </c>
      <c r="K4205">
        <f t="shared" si="523"/>
        <v>-0.99805632085301232</v>
      </c>
      <c r="L4205">
        <f>VLOOKUP(D4205,[1]SOI!$A$1:$C$142,3)</f>
        <v>0.2</v>
      </c>
      <c r="M4205" s="2">
        <f t="shared" si="524"/>
        <v>-261.98646680556283</v>
      </c>
      <c r="N4205">
        <f t="shared" si="525"/>
        <v>-4195.8287728660634</v>
      </c>
      <c r="O4205" t="s">
        <v>15</v>
      </c>
    </row>
    <row r="4206" spans="1:15" x14ac:dyDescent="0.35">
      <c r="A4206">
        <v>2011</v>
      </c>
      <c r="B4206">
        <v>7</v>
      </c>
      <c r="C4206">
        <v>6</v>
      </c>
      <c r="D4206" s="1">
        <f t="shared" si="520"/>
        <v>40730</v>
      </c>
      <c r="E4206">
        <v>1.8</v>
      </c>
      <c r="F4206">
        <f t="shared" si="526"/>
        <v>0</v>
      </c>
      <c r="G4206">
        <f t="shared" si="521"/>
        <v>1</v>
      </c>
      <c r="H4206">
        <f t="shared" si="527"/>
        <v>0</v>
      </c>
      <c r="I4206">
        <v>4205</v>
      </c>
      <c r="J4206">
        <f t="shared" si="522"/>
        <v>-7.9477299923610509E-2</v>
      </c>
      <c r="K4206">
        <f t="shared" si="523"/>
        <v>-0.99683667608934434</v>
      </c>
      <c r="L4206">
        <f>VLOOKUP(D4206,[1]SOI!$A$1:$C$142,3)</f>
        <v>0.2</v>
      </c>
      <c r="M4206" s="2">
        <f t="shared" si="524"/>
        <v>-334.20204617878221</v>
      </c>
      <c r="N4206">
        <f t="shared" si="525"/>
        <v>-4191.6982229556934</v>
      </c>
      <c r="O4206" t="s">
        <v>15</v>
      </c>
    </row>
    <row r="4207" spans="1:15" x14ac:dyDescent="0.35">
      <c r="A4207">
        <v>2011</v>
      </c>
      <c r="B4207">
        <v>7</v>
      </c>
      <c r="C4207">
        <v>7</v>
      </c>
      <c r="D4207" s="1">
        <f t="shared" si="520"/>
        <v>40731</v>
      </c>
      <c r="E4207">
        <v>2.4</v>
      </c>
      <c r="F4207">
        <f t="shared" si="526"/>
        <v>1.8</v>
      </c>
      <c r="G4207">
        <f t="shared" si="521"/>
        <v>1</v>
      </c>
      <c r="H4207">
        <f t="shared" si="527"/>
        <v>1</v>
      </c>
      <c r="I4207">
        <v>4206</v>
      </c>
      <c r="J4207">
        <f t="shared" si="522"/>
        <v>-9.6612701881200622E-2</v>
      </c>
      <c r="K4207">
        <f t="shared" si="523"/>
        <v>-0.99532205131566043</v>
      </c>
      <c r="L4207">
        <f>VLOOKUP(D4207,[1]SOI!$A$1:$C$142,3)</f>
        <v>0.2</v>
      </c>
      <c r="M4207" s="2">
        <f t="shared" si="524"/>
        <v>-406.35302411232982</v>
      </c>
      <c r="N4207">
        <f t="shared" si="525"/>
        <v>-4186.3245478336676</v>
      </c>
      <c r="O4207" t="s">
        <v>15</v>
      </c>
    </row>
    <row r="4208" spans="1:15" x14ac:dyDescent="0.35">
      <c r="A4208">
        <v>2011</v>
      </c>
      <c r="B4208">
        <v>7</v>
      </c>
      <c r="C4208">
        <v>8</v>
      </c>
      <c r="D4208" s="1">
        <f t="shared" si="520"/>
        <v>40732</v>
      </c>
      <c r="E4208">
        <v>0</v>
      </c>
      <c r="F4208">
        <f t="shared" si="526"/>
        <v>2.4</v>
      </c>
      <c r="G4208">
        <f t="shared" si="521"/>
        <v>0</v>
      </c>
      <c r="H4208">
        <f t="shared" si="527"/>
        <v>1</v>
      </c>
      <c r="I4208">
        <v>4207</v>
      </c>
      <c r="J4208">
        <f t="shared" si="522"/>
        <v>-0.11371951458595514</v>
      </c>
      <c r="K4208">
        <f t="shared" si="523"/>
        <v>-0.9935128947338</v>
      </c>
      <c r="L4208">
        <f>VLOOKUP(D4208,[1]SOI!$A$1:$C$142,3)</f>
        <v>0.2</v>
      </c>
      <c r="M4208" s="2">
        <f t="shared" si="524"/>
        <v>-478.41799786311327</v>
      </c>
      <c r="N4208">
        <f t="shared" si="525"/>
        <v>-4179.7087481450963</v>
      </c>
      <c r="O4208" t="s">
        <v>15</v>
      </c>
    </row>
    <row r="4209" spans="1:15" x14ac:dyDescent="0.35">
      <c r="A4209">
        <v>2011</v>
      </c>
      <c r="B4209">
        <v>7</v>
      </c>
      <c r="C4209">
        <v>9</v>
      </c>
      <c r="D4209" s="1">
        <f t="shared" si="520"/>
        <v>40733</v>
      </c>
      <c r="E4209">
        <v>0</v>
      </c>
      <c r="F4209">
        <f t="shared" si="526"/>
        <v>0</v>
      </c>
      <c r="G4209">
        <f t="shared" si="521"/>
        <v>0</v>
      </c>
      <c r="H4209">
        <f t="shared" si="527"/>
        <v>0</v>
      </c>
      <c r="I4209">
        <v>4208</v>
      </c>
      <c r="J4209">
        <f t="shared" si="522"/>
        <v>-0.13079267585675849</v>
      </c>
      <c r="K4209">
        <f t="shared" si="523"/>
        <v>-0.99140974170230389</v>
      </c>
      <c r="L4209">
        <f>VLOOKUP(D4209,[1]SOI!$A$1:$C$142,3)</f>
        <v>0.2</v>
      </c>
      <c r="M4209" s="2">
        <f t="shared" si="524"/>
        <v>-550.37558000523973</v>
      </c>
      <c r="N4209">
        <f t="shared" si="525"/>
        <v>-4171.8521930832949</v>
      </c>
      <c r="O4209" t="s">
        <v>15</v>
      </c>
    </row>
    <row r="4210" spans="1:15" x14ac:dyDescent="0.35">
      <c r="A4210">
        <v>2011</v>
      </c>
      <c r="B4210">
        <v>7</v>
      </c>
      <c r="C4210">
        <v>10</v>
      </c>
      <c r="D4210" s="1">
        <f t="shared" si="520"/>
        <v>40734</v>
      </c>
      <c r="E4210">
        <v>0</v>
      </c>
      <c r="F4210">
        <f t="shared" si="526"/>
        <v>0</v>
      </c>
      <c r="G4210">
        <f t="shared" si="521"/>
        <v>0</v>
      </c>
      <c r="H4210">
        <f t="shared" si="527"/>
        <v>0</v>
      </c>
      <c r="I4210">
        <v>4209</v>
      </c>
      <c r="J4210">
        <f t="shared" si="522"/>
        <v>-0.14782713347052406</v>
      </c>
      <c r="K4210">
        <f t="shared" si="523"/>
        <v>-0.9890132145779893</v>
      </c>
      <c r="L4210">
        <f>VLOOKUP(D4210,[1]SOI!$A$1:$C$142,3)</f>
        <v>0.2</v>
      </c>
      <c r="M4210" s="2">
        <f t="shared" si="524"/>
        <v>-622.2044047774358</v>
      </c>
      <c r="N4210">
        <f t="shared" si="525"/>
        <v>-4162.756620158757</v>
      </c>
      <c r="O4210" t="s">
        <v>15</v>
      </c>
    </row>
    <row r="4211" spans="1:15" x14ac:dyDescent="0.35">
      <c r="A4211">
        <v>2011</v>
      </c>
      <c r="B4211">
        <v>7</v>
      </c>
      <c r="C4211">
        <v>11</v>
      </c>
      <c r="D4211" s="1">
        <f t="shared" si="520"/>
        <v>40735</v>
      </c>
      <c r="E4211">
        <v>3.2</v>
      </c>
      <c r="F4211">
        <f t="shared" si="526"/>
        <v>0</v>
      </c>
      <c r="G4211">
        <f t="shared" si="521"/>
        <v>1</v>
      </c>
      <c r="H4211">
        <f t="shared" si="527"/>
        <v>0</v>
      </c>
      <c r="I4211">
        <v>4210</v>
      </c>
      <c r="J4211">
        <f t="shared" si="522"/>
        <v>-0.16481784665718582</v>
      </c>
      <c r="K4211">
        <f t="shared" si="523"/>
        <v>-0.98632402253178864</v>
      </c>
      <c r="L4211">
        <f>VLOOKUP(D4211,[1]SOI!$A$1:$C$142,3)</f>
        <v>0.2</v>
      </c>
      <c r="M4211" s="2">
        <f t="shared" si="524"/>
        <v>-693.88313442675235</v>
      </c>
      <c r="N4211">
        <f t="shared" si="525"/>
        <v>-4152.4241348588303</v>
      </c>
      <c r="O4211" t="s">
        <v>15</v>
      </c>
    </row>
    <row r="4212" spans="1:15" x14ac:dyDescent="0.35">
      <c r="A4212">
        <v>2011</v>
      </c>
      <c r="B4212">
        <v>7</v>
      </c>
      <c r="C4212">
        <v>12</v>
      </c>
      <c r="D4212" s="1">
        <f t="shared" si="520"/>
        <v>40736</v>
      </c>
      <c r="E4212">
        <v>0</v>
      </c>
      <c r="F4212">
        <f t="shared" si="526"/>
        <v>3.2</v>
      </c>
      <c r="G4212">
        <f t="shared" si="521"/>
        <v>0</v>
      </c>
      <c r="H4212">
        <f t="shared" si="527"/>
        <v>1</v>
      </c>
      <c r="I4212">
        <v>4211</v>
      </c>
      <c r="J4212">
        <f t="shared" si="522"/>
        <v>-0.18175978759137157</v>
      </c>
      <c r="K4212">
        <f t="shared" si="523"/>
        <v>-0.98334296133889088</v>
      </c>
      <c r="L4212">
        <f>VLOOKUP(D4212,[1]SOI!$A$1:$C$142,3)</f>
        <v>0.2</v>
      </c>
      <c r="M4212" s="2">
        <f t="shared" si="524"/>
        <v>-765.39046554726565</v>
      </c>
      <c r="N4212">
        <f t="shared" si="525"/>
        <v>-4140.8572101980699</v>
      </c>
      <c r="O4212" t="s">
        <v>15</v>
      </c>
    </row>
    <row r="4213" spans="1:15" x14ac:dyDescent="0.35">
      <c r="A4213">
        <v>2011</v>
      </c>
      <c r="B4213">
        <v>7</v>
      </c>
      <c r="C4213">
        <v>13</v>
      </c>
      <c r="D4213" s="1">
        <f t="shared" si="520"/>
        <v>40737</v>
      </c>
      <c r="E4213">
        <v>0.4</v>
      </c>
      <c r="F4213">
        <f t="shared" si="526"/>
        <v>0</v>
      </c>
      <c r="G4213">
        <f t="shared" si="521"/>
        <v>1</v>
      </c>
      <c r="H4213">
        <f t="shared" si="527"/>
        <v>0</v>
      </c>
      <c r="I4213">
        <v>4212</v>
      </c>
      <c r="J4213">
        <f t="shared" si="522"/>
        <v>-0.1986479428801752</v>
      </c>
      <c r="K4213">
        <f t="shared" si="523"/>
        <v>-0.98007091314326567</v>
      </c>
      <c r="L4213">
        <f>VLOOKUP(D4213,[1]SOI!$A$1:$C$142,3)</f>
        <v>0.2</v>
      </c>
      <c r="M4213" s="2">
        <f t="shared" si="524"/>
        <v>-836.70513541129799</v>
      </c>
      <c r="N4213">
        <f t="shared" si="525"/>
        <v>-4128.0586861594347</v>
      </c>
      <c r="O4213" t="s">
        <v>15</v>
      </c>
    </row>
    <row r="4214" spans="1:15" x14ac:dyDescent="0.35">
      <c r="A4214">
        <v>2011</v>
      </c>
      <c r="B4214">
        <v>7</v>
      </c>
      <c r="C4214">
        <v>14</v>
      </c>
      <c r="D4214" s="1">
        <f t="shared" si="520"/>
        <v>40738</v>
      </c>
      <c r="E4214">
        <v>7.2</v>
      </c>
      <c r="F4214">
        <f t="shared" si="526"/>
        <v>0.4</v>
      </c>
      <c r="G4214">
        <f t="shared" si="521"/>
        <v>1</v>
      </c>
      <c r="H4214">
        <f t="shared" si="527"/>
        <v>1</v>
      </c>
      <c r="I4214">
        <v>4213</v>
      </c>
      <c r="J4214">
        <f t="shared" si="522"/>
        <v>-0.21547731504672857</v>
      </c>
      <c r="K4214">
        <f t="shared" si="523"/>
        <v>-0.97650884619661937</v>
      </c>
      <c r="L4214">
        <f>VLOOKUP(D4214,[1]SOI!$A$1:$C$142,3)</f>
        <v>0.2</v>
      </c>
      <c r="M4214" s="2">
        <f t="shared" si="524"/>
        <v>-907.80592829186742</v>
      </c>
      <c r="N4214">
        <f t="shared" si="525"/>
        <v>-4114.0317690263573</v>
      </c>
      <c r="O4214" t="s">
        <v>15</v>
      </c>
    </row>
    <row r="4215" spans="1:15" x14ac:dyDescent="0.35">
      <c r="A4215">
        <v>2011</v>
      </c>
      <c r="B4215">
        <v>7</v>
      </c>
      <c r="C4215">
        <v>15</v>
      </c>
      <c r="D4215" s="1">
        <f t="shared" si="520"/>
        <v>40739</v>
      </c>
      <c r="E4215">
        <v>0.2</v>
      </c>
      <c r="F4215">
        <f t="shared" si="526"/>
        <v>7.2</v>
      </c>
      <c r="G4215">
        <f t="shared" si="521"/>
        <v>1</v>
      </c>
      <c r="H4215">
        <f t="shared" si="527"/>
        <v>1</v>
      </c>
      <c r="I4215">
        <v>4214</v>
      </c>
      <c r="J4215">
        <f t="shared" si="522"/>
        <v>-0.23224292400907681</v>
      </c>
      <c r="K4215">
        <f t="shared" si="523"/>
        <v>-0.97265781457186384</v>
      </c>
      <c r="L4215">
        <f>VLOOKUP(D4215,[1]SOI!$A$1:$C$142,3)</f>
        <v>0.2</v>
      </c>
      <c r="M4215" s="2">
        <f t="shared" si="524"/>
        <v>-978.67168177424969</v>
      </c>
      <c r="N4215">
        <f t="shared" si="525"/>
        <v>-4098.7800306058343</v>
      </c>
      <c r="O4215" t="s">
        <v>15</v>
      </c>
    </row>
    <row r="4216" spans="1:15" x14ac:dyDescent="0.35">
      <c r="A4216">
        <v>2011</v>
      </c>
      <c r="B4216">
        <v>7</v>
      </c>
      <c r="C4216">
        <v>16</v>
      </c>
      <c r="D4216" s="1">
        <f t="shared" si="520"/>
        <v>40740</v>
      </c>
      <c r="E4216">
        <v>0</v>
      </c>
      <c r="F4216">
        <f t="shared" si="526"/>
        <v>0.2</v>
      </c>
      <c r="G4216">
        <f t="shared" si="521"/>
        <v>0</v>
      </c>
      <c r="H4216">
        <f t="shared" si="527"/>
        <v>1</v>
      </c>
      <c r="I4216">
        <v>4215</v>
      </c>
      <c r="J4216">
        <f t="shared" si="522"/>
        <v>-0.24893980855375383</v>
      </c>
      <c r="K4216">
        <f t="shared" si="523"/>
        <v>-0.96851895785122366</v>
      </c>
      <c r="L4216">
        <f>VLOOKUP(D4216,[1]SOI!$A$1:$C$142,3)</f>
        <v>0.2</v>
      </c>
      <c r="M4216" s="2">
        <f t="shared" si="524"/>
        <v>-1049.2812930540724</v>
      </c>
      <c r="N4216">
        <f t="shared" si="525"/>
        <v>-4082.3074073429079</v>
      </c>
      <c r="O4216" t="s">
        <v>15</v>
      </c>
    </row>
    <row r="4217" spans="1:15" x14ac:dyDescent="0.35">
      <c r="A4217">
        <v>2011</v>
      </c>
      <c r="B4217">
        <v>7</v>
      </c>
      <c r="C4217">
        <v>17</v>
      </c>
      <c r="D4217" s="1">
        <f t="shared" si="520"/>
        <v>40741</v>
      </c>
      <c r="E4217">
        <v>0</v>
      </c>
      <c r="F4217">
        <f t="shared" si="526"/>
        <v>0</v>
      </c>
      <c r="G4217">
        <f t="shared" si="521"/>
        <v>0</v>
      </c>
      <c r="H4217">
        <f t="shared" si="527"/>
        <v>0</v>
      </c>
      <c r="I4217">
        <v>4216</v>
      </c>
      <c r="J4217">
        <f t="shared" si="522"/>
        <v>-0.26556302780405094</v>
      </c>
      <c r="K4217">
        <f t="shared" si="523"/>
        <v>-0.96409350078897682</v>
      </c>
      <c r="L4217">
        <f>VLOOKUP(D4217,[1]SOI!$A$1:$C$142,3)</f>
        <v>0.2</v>
      </c>
      <c r="M4217" s="2">
        <f t="shared" si="524"/>
        <v>-1119.6137252218787</v>
      </c>
      <c r="N4217">
        <f t="shared" si="525"/>
        <v>-4064.6181993263262</v>
      </c>
      <c r="O4217" t="s">
        <v>15</v>
      </c>
    </row>
    <row r="4218" spans="1:15" x14ac:dyDescent="0.35">
      <c r="A4218">
        <v>2011</v>
      </c>
      <c r="B4218">
        <v>7</v>
      </c>
      <c r="C4218">
        <v>18</v>
      </c>
      <c r="D4218" s="1">
        <f t="shared" si="520"/>
        <v>40742</v>
      </c>
      <c r="E4218">
        <v>9.1999999999999993</v>
      </c>
      <c r="F4218">
        <f t="shared" si="526"/>
        <v>0</v>
      </c>
      <c r="G4218">
        <f t="shared" si="521"/>
        <v>1</v>
      </c>
      <c r="H4218">
        <f t="shared" si="527"/>
        <v>0</v>
      </c>
      <c r="I4218">
        <v>4217</v>
      </c>
      <c r="J4218">
        <f t="shared" si="522"/>
        <v>-0.2821076626819225</v>
      </c>
      <c r="K4218">
        <f t="shared" si="523"/>
        <v>-0.95938275294907327</v>
      </c>
      <c r="L4218">
        <f>VLOOKUP(D4218,[1]SOI!$A$1:$C$142,3)</f>
        <v>0.2</v>
      </c>
      <c r="M4218" s="2">
        <f t="shared" si="524"/>
        <v>-1189.6480135296672</v>
      </c>
      <c r="N4218">
        <f t="shared" si="525"/>
        <v>-4045.717069186242</v>
      </c>
      <c r="O4218" t="s">
        <v>15</v>
      </c>
    </row>
    <row r="4219" spans="1:15" x14ac:dyDescent="0.35">
      <c r="A4219">
        <v>2011</v>
      </c>
      <c r="B4219">
        <v>7</v>
      </c>
      <c r="C4219">
        <v>19</v>
      </c>
      <c r="D4219" s="1">
        <f t="shared" si="520"/>
        <v>40743</v>
      </c>
      <c r="E4219">
        <v>0.6</v>
      </c>
      <c r="F4219">
        <f t="shared" si="526"/>
        <v>9.1999999999999993</v>
      </c>
      <c r="G4219">
        <f t="shared" si="521"/>
        <v>1</v>
      </c>
      <c r="H4219">
        <f t="shared" si="527"/>
        <v>1</v>
      </c>
      <c r="I4219">
        <v>4218</v>
      </c>
      <c r="J4219">
        <f t="shared" si="522"/>
        <v>-0.29856881736371699</v>
      </c>
      <c r="K4219">
        <f t="shared" si="523"/>
        <v>-0.9543881083175918</v>
      </c>
      <c r="L4219">
        <f>VLOOKUP(D4219,[1]SOI!$A$1:$C$142,3)</f>
        <v>0.2</v>
      </c>
      <c r="M4219" s="2">
        <f t="shared" si="524"/>
        <v>-1259.3632716401582</v>
      </c>
      <c r="N4219">
        <f t="shared" si="525"/>
        <v>-4025.6090408836021</v>
      </c>
      <c r="O4219" t="s">
        <v>15</v>
      </c>
    </row>
    <row r="4220" spans="1:15" x14ac:dyDescent="0.35">
      <c r="A4220">
        <v>2011</v>
      </c>
      <c r="B4220">
        <v>7</v>
      </c>
      <c r="C4220">
        <v>20</v>
      </c>
      <c r="D4220" s="1">
        <f t="shared" si="520"/>
        <v>40744</v>
      </c>
      <c r="E4220">
        <v>0.2</v>
      </c>
      <c r="F4220">
        <f t="shared" si="526"/>
        <v>0.6</v>
      </c>
      <c r="G4220">
        <f t="shared" si="521"/>
        <v>1</v>
      </c>
      <c r="H4220">
        <f t="shared" si="527"/>
        <v>1</v>
      </c>
      <c r="I4220">
        <v>4219</v>
      </c>
      <c r="J4220">
        <f t="shared" si="522"/>
        <v>-0.31494162072895671</v>
      </c>
      <c r="K4220">
        <f t="shared" si="523"/>
        <v>-0.94911104489022668</v>
      </c>
      <c r="L4220">
        <f>VLOOKUP(D4220,[1]SOI!$A$1:$C$142,3)</f>
        <v>0.2</v>
      </c>
      <c r="M4220" s="2">
        <f t="shared" si="524"/>
        <v>-1328.7386978554684</v>
      </c>
      <c r="N4220">
        <f t="shared" si="525"/>
        <v>-4004.2994983918666</v>
      </c>
      <c r="O4220" t="s">
        <v>15</v>
      </c>
    </row>
    <row r="4221" spans="1:15" x14ac:dyDescent="0.35">
      <c r="A4221">
        <v>2011</v>
      </c>
      <c r="B4221">
        <v>7</v>
      </c>
      <c r="C4221">
        <v>21</v>
      </c>
      <c r="D4221" s="1">
        <f t="shared" si="520"/>
        <v>40745</v>
      </c>
      <c r="E4221">
        <v>0</v>
      </c>
      <c r="F4221">
        <f t="shared" si="526"/>
        <v>0.2</v>
      </c>
      <c r="G4221">
        <f t="shared" si="521"/>
        <v>0</v>
      </c>
      <c r="H4221">
        <f t="shared" si="527"/>
        <v>1</v>
      </c>
      <c r="I4221">
        <v>4220</v>
      </c>
      <c r="J4221">
        <f t="shared" si="522"/>
        <v>-0.3312212278016724</v>
      </c>
      <c r="K4221">
        <f t="shared" si="523"/>
        <v>-0.94355312423495941</v>
      </c>
      <c r="L4221">
        <f>VLOOKUP(D4221,[1]SOI!$A$1:$C$142,3)</f>
        <v>0.2</v>
      </c>
      <c r="M4221" s="2">
        <f t="shared" si="524"/>
        <v>-1397.7535813230575</v>
      </c>
      <c r="N4221">
        <f t="shared" si="525"/>
        <v>-3981.7941842715286</v>
      </c>
      <c r="O4221" t="s">
        <v>15</v>
      </c>
    </row>
    <row r="4222" spans="1:15" x14ac:dyDescent="0.35">
      <c r="A4222">
        <v>2011</v>
      </c>
      <c r="B4222">
        <v>7</v>
      </c>
      <c r="C4222">
        <v>22</v>
      </c>
      <c r="D4222" s="1">
        <f t="shared" si="520"/>
        <v>40746</v>
      </c>
      <c r="E4222">
        <v>0.8</v>
      </c>
      <c r="F4222">
        <f t="shared" si="526"/>
        <v>0</v>
      </c>
      <c r="G4222">
        <f t="shared" si="521"/>
        <v>1</v>
      </c>
      <c r="H4222">
        <f t="shared" si="527"/>
        <v>0</v>
      </c>
      <c r="I4222">
        <v>4221</v>
      </c>
      <c r="J4222">
        <f t="shared" si="522"/>
        <v>-0.34740282118427129</v>
      </c>
      <c r="K4222">
        <f t="shared" si="523"/>
        <v>-0.93771599102991154</v>
      </c>
      <c r="L4222">
        <f>VLOOKUP(D4222,[1]SOI!$A$1:$C$142,3)</f>
        <v>0.2</v>
      </c>
      <c r="M4222" s="2">
        <f t="shared" si="524"/>
        <v>-1466.387308218809</v>
      </c>
      <c r="N4222">
        <f t="shared" si="525"/>
        <v>-3958.0991981372567</v>
      </c>
      <c r="O4222" t="s">
        <v>15</v>
      </c>
    </row>
    <row r="4223" spans="1:15" x14ac:dyDescent="0.35">
      <c r="A4223">
        <v>2011</v>
      </c>
      <c r="B4223">
        <v>7</v>
      </c>
      <c r="C4223">
        <v>23</v>
      </c>
      <c r="D4223" s="1">
        <f t="shared" si="520"/>
        <v>40747</v>
      </c>
      <c r="E4223">
        <v>0</v>
      </c>
      <c r="F4223">
        <f t="shared" si="526"/>
        <v>0.8</v>
      </c>
      <c r="G4223">
        <f t="shared" si="521"/>
        <v>0</v>
      </c>
      <c r="H4223">
        <f t="shared" si="527"/>
        <v>1</v>
      </c>
      <c r="I4223">
        <v>4222</v>
      </c>
      <c r="J4223">
        <f t="shared" si="522"/>
        <v>-0.36348161248290772</v>
      </c>
      <c r="K4223">
        <f t="shared" si="523"/>
        <v>-0.93160137257671816</v>
      </c>
      <c r="L4223">
        <f>VLOOKUP(D4223,[1]SOI!$A$1:$C$142,3)</f>
        <v>0.2</v>
      </c>
      <c r="M4223" s="2">
        <f t="shared" si="524"/>
        <v>-1534.6193679028363</v>
      </c>
      <c r="N4223">
        <f t="shared" si="525"/>
        <v>-3933.220995018904</v>
      </c>
      <c r="O4223" t="s">
        <v>15</v>
      </c>
    </row>
    <row r="4224" spans="1:15" x14ac:dyDescent="0.35">
      <c r="A4224">
        <v>2011</v>
      </c>
      <c r="B4224">
        <v>7</v>
      </c>
      <c r="C4224">
        <v>24</v>
      </c>
      <c r="D4224" s="1">
        <f t="shared" si="520"/>
        <v>40748</v>
      </c>
      <c r="E4224">
        <v>3.4</v>
      </c>
      <c r="F4224">
        <f t="shared" si="526"/>
        <v>0</v>
      </c>
      <c r="G4224">
        <f t="shared" si="521"/>
        <v>1</v>
      </c>
      <c r="H4224">
        <f t="shared" si="527"/>
        <v>0</v>
      </c>
      <c r="I4224">
        <v>4223</v>
      </c>
      <c r="J4224">
        <f t="shared" si="522"/>
        <v>-0.37945284372454041</v>
      </c>
      <c r="K4224">
        <f t="shared" si="523"/>
        <v>-0.92521107828935956</v>
      </c>
      <c r="L4224">
        <f>VLOOKUP(D4224,[1]SOI!$A$1:$C$142,3)</f>
        <v>0.2</v>
      </c>
      <c r="M4224" s="2">
        <f t="shared" si="524"/>
        <v>-1602.4293590487341</v>
      </c>
      <c r="N4224">
        <f t="shared" si="525"/>
        <v>-3907.1663836159655</v>
      </c>
      <c r="O4224" t="s">
        <v>15</v>
      </c>
    </row>
    <row r="4225" spans="1:15" x14ac:dyDescent="0.35">
      <c r="A4225">
        <v>2011</v>
      </c>
      <c r="B4225">
        <v>7</v>
      </c>
      <c r="C4225">
        <v>25</v>
      </c>
      <c r="D4225" s="1">
        <f t="shared" si="520"/>
        <v>40749</v>
      </c>
      <c r="E4225">
        <v>1.8</v>
      </c>
      <c r="F4225">
        <f t="shared" si="526"/>
        <v>3.4</v>
      </c>
      <c r="G4225">
        <f t="shared" si="521"/>
        <v>1</v>
      </c>
      <c r="H4225">
        <f t="shared" si="527"/>
        <v>1</v>
      </c>
      <c r="I4225">
        <v>4224</v>
      </c>
      <c r="J4225">
        <f t="shared" si="522"/>
        <v>-0.3953117887649189</v>
      </c>
      <c r="K4225">
        <f t="shared" si="523"/>
        <v>-0.91854699915871485</v>
      </c>
      <c r="L4225">
        <f>VLOOKUP(D4225,[1]SOI!$A$1:$C$142,3)</f>
        <v>0.2</v>
      </c>
      <c r="M4225" s="2">
        <f t="shared" si="524"/>
        <v>-1669.7969957430175</v>
      </c>
      <c r="N4225">
        <f t="shared" si="525"/>
        <v>-3879.9425244464114</v>
      </c>
      <c r="O4225" t="s">
        <v>15</v>
      </c>
    </row>
    <row r="4226" spans="1:15" x14ac:dyDescent="0.35">
      <c r="A4226">
        <v>2011</v>
      </c>
      <c r="B4226">
        <v>7</v>
      </c>
      <c r="C4226">
        <v>26</v>
      </c>
      <c r="D4226" s="1">
        <f t="shared" si="520"/>
        <v>40750</v>
      </c>
      <c r="E4226">
        <v>5.2</v>
      </c>
      <c r="F4226">
        <f t="shared" si="526"/>
        <v>1.8</v>
      </c>
      <c r="G4226">
        <f t="shared" si="521"/>
        <v>1</v>
      </c>
      <c r="H4226">
        <f t="shared" si="527"/>
        <v>1</v>
      </c>
      <c r="I4226">
        <v>4225</v>
      </c>
      <c r="J4226">
        <f t="shared" si="522"/>
        <v>-0.41105375468703365</v>
      </c>
      <c r="K4226">
        <f t="shared" si="523"/>
        <v>-0.91161110719302452</v>
      </c>
      <c r="L4226">
        <f>VLOOKUP(D4226,[1]SOI!$A$1:$C$142,3)</f>
        <v>0.2</v>
      </c>
      <c r="M4226" s="2">
        <f t="shared" si="524"/>
        <v>-1736.7021135527173</v>
      </c>
      <c r="N4226">
        <f t="shared" si="525"/>
        <v>-3851.5569278905286</v>
      </c>
      <c r="O4226" t="s">
        <v>15</v>
      </c>
    </row>
    <row r="4227" spans="1:15" x14ac:dyDescent="0.35">
      <c r="A4227">
        <v>2011</v>
      </c>
      <c r="B4227">
        <v>7</v>
      </c>
      <c r="C4227">
        <v>27</v>
      </c>
      <c r="D4227" s="1">
        <f t="shared" ref="D4227:D4290" si="528">DATE(A4227,B4227,C4227)</f>
        <v>40751</v>
      </c>
      <c r="E4227">
        <v>0.2</v>
      </c>
      <c r="F4227">
        <f t="shared" si="526"/>
        <v>5.2</v>
      </c>
      <c r="G4227">
        <f t="shared" ref="G4227:G4290" si="529">IF(E4227=0,0,1)</f>
        <v>1</v>
      </c>
      <c r="H4227">
        <f t="shared" si="527"/>
        <v>1</v>
      </c>
      <c r="I4227">
        <v>4226</v>
      </c>
      <c r="J4227">
        <f t="shared" ref="J4227:J4290" si="530">SIN(2*PI()*I4227/365.25)</f>
        <v>-0.42667408318991756</v>
      </c>
      <c r="K4227">
        <f t="shared" ref="K4227:K4290" si="531">COS(2*PI()*I4227/365.25)</f>
        <v>-0.90440545483430346</v>
      </c>
      <c r="L4227">
        <f>VLOOKUP(D4227,[1]SOI!$A$1:$C$142,3)</f>
        <v>0.2</v>
      </c>
      <c r="M4227" s="2">
        <f t="shared" ref="M4227:M4290" si="532">I4227*J4227</f>
        <v>-1803.1246755605916</v>
      </c>
      <c r="N4227">
        <f t="shared" ref="N4227:N4290" si="533">I4227*K4227</f>
        <v>-3822.0174521297663</v>
      </c>
      <c r="O4227" t="s">
        <v>15</v>
      </c>
    </row>
    <row r="4228" spans="1:15" x14ac:dyDescent="0.35">
      <c r="A4228">
        <v>2011</v>
      </c>
      <c r="B4228">
        <v>7</v>
      </c>
      <c r="C4228">
        <v>28</v>
      </c>
      <c r="D4228" s="1">
        <f t="shared" si="528"/>
        <v>40752</v>
      </c>
      <c r="E4228">
        <v>0.2</v>
      </c>
      <c r="F4228">
        <f t="shared" ref="F4228:F4291" si="534">E4227</f>
        <v>0.2</v>
      </c>
      <c r="G4228">
        <f t="shared" si="529"/>
        <v>1</v>
      </c>
      <c r="H4228">
        <f t="shared" ref="H4228:H4291" si="535">G4227</f>
        <v>1</v>
      </c>
      <c r="I4228">
        <v>4227</v>
      </c>
      <c r="J4228">
        <f t="shared" si="530"/>
        <v>-0.44216815196707254</v>
      </c>
      <c r="K4228">
        <f t="shared" si="531"/>
        <v>-0.89693217435100625</v>
      </c>
      <c r="L4228">
        <f>VLOOKUP(D4228,[1]SOI!$A$1:$C$142,3)</f>
        <v>0.2</v>
      </c>
      <c r="M4228" s="2">
        <f t="shared" si="532"/>
        <v>-1869.0447783648156</v>
      </c>
      <c r="N4228">
        <f t="shared" si="533"/>
        <v>-3791.3323009817036</v>
      </c>
      <c r="O4228" t="s">
        <v>15</v>
      </c>
    </row>
    <row r="4229" spans="1:15" x14ac:dyDescent="0.35">
      <c r="A4229">
        <v>2011</v>
      </c>
      <c r="B4229">
        <v>7</v>
      </c>
      <c r="C4229">
        <v>29</v>
      </c>
      <c r="D4229" s="1">
        <f t="shared" si="528"/>
        <v>40753</v>
      </c>
      <c r="E4229">
        <v>0</v>
      </c>
      <c r="F4229">
        <f t="shared" si="534"/>
        <v>0.2</v>
      </c>
      <c r="G4229">
        <f t="shared" si="529"/>
        <v>0</v>
      </c>
      <c r="H4229">
        <f t="shared" si="535"/>
        <v>1</v>
      </c>
      <c r="I4229">
        <v>4228</v>
      </c>
      <c r="J4229">
        <f t="shared" si="530"/>
        <v>-0.45753137607424621</v>
      </c>
      <c r="K4229">
        <f t="shared" si="531"/>
        <v>-0.88919347720707365</v>
      </c>
      <c r="L4229">
        <f>VLOOKUP(D4229,[1]SOI!$A$1:$C$142,3)</f>
        <v>0.2</v>
      </c>
      <c r="M4229" s="2">
        <f t="shared" si="532"/>
        <v>-1934.4426580419129</v>
      </c>
      <c r="N4229">
        <f t="shared" si="533"/>
        <v>-3759.5100216315072</v>
      </c>
      <c r="O4229" t="s">
        <v>15</v>
      </c>
    </row>
    <row r="4230" spans="1:15" x14ac:dyDescent="0.35">
      <c r="A4230">
        <v>2011</v>
      </c>
      <c r="B4230">
        <v>7</v>
      </c>
      <c r="C4230">
        <v>30</v>
      </c>
      <c r="D4230" s="1">
        <f t="shared" si="528"/>
        <v>40754</v>
      </c>
      <c r="E4230">
        <v>0</v>
      </c>
      <c r="F4230">
        <f t="shared" si="534"/>
        <v>0</v>
      </c>
      <c r="G4230">
        <f t="shared" si="529"/>
        <v>0</v>
      </c>
      <c r="H4230">
        <f t="shared" si="535"/>
        <v>0</v>
      </c>
      <c r="I4230">
        <v>4229</v>
      </c>
      <c r="J4230">
        <f t="shared" si="530"/>
        <v>-0.47275920928628007</v>
      </c>
      <c r="K4230">
        <f t="shared" si="531"/>
        <v>-0.88119165340748162</v>
      </c>
      <c r="L4230">
        <f>VLOOKUP(D4230,[1]SOI!$A$1:$C$142,3)</f>
        <v>0.2</v>
      </c>
      <c r="M4230" s="2">
        <f t="shared" si="532"/>
        <v>-1999.2986960716785</v>
      </c>
      <c r="N4230">
        <f t="shared" si="533"/>
        <v>-3726.5595022602397</v>
      </c>
      <c r="O4230" t="s">
        <v>15</v>
      </c>
    </row>
    <row r="4231" spans="1:15" x14ac:dyDescent="0.35">
      <c r="A4231">
        <v>2011</v>
      </c>
      <c r="B4231">
        <v>7</v>
      </c>
      <c r="C4231">
        <v>31</v>
      </c>
      <c r="D4231" s="1">
        <f t="shared" si="528"/>
        <v>40755</v>
      </c>
      <c r="E4231">
        <v>0.4</v>
      </c>
      <c r="F4231">
        <f t="shared" si="534"/>
        <v>0</v>
      </c>
      <c r="G4231">
        <f t="shared" si="529"/>
        <v>1</v>
      </c>
      <c r="H4231">
        <f t="shared" si="535"/>
        <v>0</v>
      </c>
      <c r="I4231">
        <v>4230</v>
      </c>
      <c r="J4231">
        <f t="shared" si="530"/>
        <v>-0.48784714544230928</v>
      </c>
      <c r="K4231">
        <f t="shared" si="531"/>
        <v>-0.87292907082064253</v>
      </c>
      <c r="L4231">
        <f>VLOOKUP(D4231,[1]SOI!$A$1:$C$142,3)</f>
        <v>0.2</v>
      </c>
      <c r="M4231" s="2">
        <f t="shared" si="532"/>
        <v>-2063.5934252209681</v>
      </c>
      <c r="N4231">
        <f t="shared" si="533"/>
        <v>-3692.4899695713179</v>
      </c>
      <c r="O4231" t="s">
        <v>15</v>
      </c>
    </row>
    <row r="4232" spans="1:15" x14ac:dyDescent="0.35">
      <c r="A4232">
        <v>2011</v>
      </c>
      <c r="B4232">
        <v>8</v>
      </c>
      <c r="C4232">
        <v>1</v>
      </c>
      <c r="D4232" s="1">
        <f t="shared" si="528"/>
        <v>40756</v>
      </c>
      <c r="E4232">
        <v>0</v>
      </c>
      <c r="F4232">
        <f t="shared" si="534"/>
        <v>0.4</v>
      </c>
      <c r="G4232">
        <f t="shared" si="529"/>
        <v>0</v>
      </c>
      <c r="H4232">
        <f t="shared" si="535"/>
        <v>1</v>
      </c>
      <c r="I4232">
        <v>4231</v>
      </c>
      <c r="J4232">
        <f t="shared" si="530"/>
        <v>-0.50279071977929646</v>
      </c>
      <c r="K4232">
        <f t="shared" si="531"/>
        <v>-0.86440817447766949</v>
      </c>
      <c r="L4232">
        <f>VLOOKUP(D4232,[1]SOI!$A$1:$C$142,3)</f>
        <v>10.7</v>
      </c>
      <c r="M4232" s="2">
        <f t="shared" si="532"/>
        <v>-2127.3075353862032</v>
      </c>
      <c r="N4232">
        <f t="shared" si="533"/>
        <v>-3657.3109862150195</v>
      </c>
      <c r="O4232" t="s">
        <v>15</v>
      </c>
    </row>
    <row r="4233" spans="1:15" x14ac:dyDescent="0.35">
      <c r="A4233">
        <v>2011</v>
      </c>
      <c r="B4233">
        <v>8</v>
      </c>
      <c r="C4233">
        <v>2</v>
      </c>
      <c r="D4233" s="1">
        <f t="shared" si="528"/>
        <v>40757</v>
      </c>
      <c r="E4233">
        <v>0.4</v>
      </c>
      <c r="F4233">
        <f t="shared" si="534"/>
        <v>0</v>
      </c>
      <c r="G4233">
        <f t="shared" si="529"/>
        <v>1</v>
      </c>
      <c r="H4233">
        <f t="shared" si="535"/>
        <v>0</v>
      </c>
      <c r="I4233">
        <v>4232</v>
      </c>
      <c r="J4233">
        <f t="shared" si="530"/>
        <v>-0.51758551025318822</v>
      </c>
      <c r="K4233">
        <f t="shared" si="531"/>
        <v>-0.85563148584887105</v>
      </c>
      <c r="L4233">
        <f>VLOOKUP(D4233,[1]SOI!$A$1:$C$142,3)</f>
        <v>10.7</v>
      </c>
      <c r="M4233" s="2">
        <f t="shared" si="532"/>
        <v>-2190.4218793914924</v>
      </c>
      <c r="N4233">
        <f t="shared" si="533"/>
        <v>-3621.0324481124221</v>
      </c>
      <c r="O4233" t="s">
        <v>15</v>
      </c>
    </row>
    <row r="4234" spans="1:15" x14ac:dyDescent="0.35">
      <c r="A4234">
        <v>2011</v>
      </c>
      <c r="B4234">
        <v>8</v>
      </c>
      <c r="C4234">
        <v>3</v>
      </c>
      <c r="D4234" s="1">
        <f t="shared" si="528"/>
        <v>40758</v>
      </c>
      <c r="E4234">
        <v>0</v>
      </c>
      <c r="F4234">
        <f t="shared" si="534"/>
        <v>0.4</v>
      </c>
      <c r="G4234">
        <f t="shared" si="529"/>
        <v>0</v>
      </c>
      <c r="H4234">
        <f t="shared" si="535"/>
        <v>1</v>
      </c>
      <c r="I4234">
        <v>4233</v>
      </c>
      <c r="J4234">
        <f t="shared" si="530"/>
        <v>-0.53222713884743378</v>
      </c>
      <c r="K4234">
        <f t="shared" si="531"/>
        <v>-0.84660160209763036</v>
      </c>
      <c r="L4234">
        <f>VLOOKUP(D4234,[1]SOI!$A$1:$C$142,3)</f>
        <v>10.7</v>
      </c>
      <c r="M4234" s="2">
        <f t="shared" si="532"/>
        <v>-2252.9174787411871</v>
      </c>
      <c r="N4234">
        <f t="shared" si="533"/>
        <v>-3583.6645816792693</v>
      </c>
      <c r="O4234" t="s">
        <v>15</v>
      </c>
    </row>
    <row r="4235" spans="1:15" x14ac:dyDescent="0.35">
      <c r="A4235">
        <v>2011</v>
      </c>
      <c r="B4235">
        <v>8</v>
      </c>
      <c r="C4235">
        <v>4</v>
      </c>
      <c r="D4235" s="1">
        <f t="shared" si="528"/>
        <v>40759</v>
      </c>
      <c r="E4235">
        <v>0</v>
      </c>
      <c r="F4235">
        <f t="shared" si="534"/>
        <v>0</v>
      </c>
      <c r="G4235">
        <f t="shared" si="529"/>
        <v>0</v>
      </c>
      <c r="H4235">
        <f t="shared" si="535"/>
        <v>0</v>
      </c>
      <c r="I4235">
        <v>4234</v>
      </c>
      <c r="J4235">
        <f t="shared" si="530"/>
        <v>-0.54671127286859522</v>
      </c>
      <c r="K4235">
        <f t="shared" si="531"/>
        <v>-0.83732119531181126</v>
      </c>
      <c r="L4235">
        <f>VLOOKUP(D4235,[1]SOI!$A$1:$C$142,3)</f>
        <v>10.7</v>
      </c>
      <c r="M4235" s="2">
        <f t="shared" si="532"/>
        <v>-2314.7755293256323</v>
      </c>
      <c r="N4235">
        <f t="shared" si="533"/>
        <v>-3545.2179409502087</v>
      </c>
      <c r="O4235" t="s">
        <v>15</v>
      </c>
    </row>
    <row r="4236" spans="1:15" x14ac:dyDescent="0.35">
      <c r="A4236">
        <v>2011</v>
      </c>
      <c r="B4236">
        <v>8</v>
      </c>
      <c r="C4236">
        <v>5</v>
      </c>
      <c r="D4236" s="1">
        <f t="shared" si="528"/>
        <v>40760</v>
      </c>
      <c r="E4236">
        <v>0</v>
      </c>
      <c r="F4236">
        <f t="shared" si="534"/>
        <v>0</v>
      </c>
      <c r="G4236">
        <f t="shared" si="529"/>
        <v>0</v>
      </c>
      <c r="H4236">
        <f t="shared" si="535"/>
        <v>0</v>
      </c>
      <c r="I4236">
        <v>4235</v>
      </c>
      <c r="J4236">
        <f t="shared" si="530"/>
        <v>-0.56103362622836417</v>
      </c>
      <c r="K4236">
        <f t="shared" si="531"/>
        <v>-0.8277930117131046</v>
      </c>
      <c r="L4236">
        <f>VLOOKUP(D4236,[1]SOI!$A$1:$C$142,3)</f>
        <v>10.7</v>
      </c>
      <c r="M4236" s="2">
        <f t="shared" si="532"/>
        <v>-2375.9774070771223</v>
      </c>
      <c r="N4236">
        <f t="shared" si="533"/>
        <v>-3505.703404604998</v>
      </c>
      <c r="O4236" t="s">
        <v>15</v>
      </c>
    </row>
    <row r="4237" spans="1:15" x14ac:dyDescent="0.35">
      <c r="A4237">
        <v>2011</v>
      </c>
      <c r="B4237">
        <v>8</v>
      </c>
      <c r="C4237">
        <v>6</v>
      </c>
      <c r="D4237" s="1">
        <f t="shared" si="528"/>
        <v>40761</v>
      </c>
      <c r="E4237">
        <v>0</v>
      </c>
      <c r="F4237">
        <f t="shared" si="534"/>
        <v>0</v>
      </c>
      <c r="G4237">
        <f t="shared" si="529"/>
        <v>0</v>
      </c>
      <c r="H4237">
        <f t="shared" si="535"/>
        <v>0</v>
      </c>
      <c r="I4237">
        <v>4236</v>
      </c>
      <c r="J4237">
        <f t="shared" si="530"/>
        <v>-0.57518996071198092</v>
      </c>
      <c r="K4237">
        <f t="shared" si="531"/>
        <v>-0.81801987084431504</v>
      </c>
      <c r="L4237">
        <f>VLOOKUP(D4237,[1]SOI!$A$1:$C$142,3)</f>
        <v>10.7</v>
      </c>
      <c r="M4237" s="2">
        <f t="shared" si="532"/>
        <v>-2436.5046735759511</v>
      </c>
      <c r="N4237">
        <f t="shared" si="533"/>
        <v>-3465.1321728965186</v>
      </c>
      <c r="O4237" t="s">
        <v>15</v>
      </c>
    </row>
    <row r="4238" spans="1:15" x14ac:dyDescent="0.35">
      <c r="A4238">
        <v>2011</v>
      </c>
      <c r="B4238">
        <v>8</v>
      </c>
      <c r="C4238">
        <v>7</v>
      </c>
      <c r="D4238" s="1">
        <f t="shared" si="528"/>
        <v>40762</v>
      </c>
      <c r="E4238">
        <v>4</v>
      </c>
      <c r="F4238">
        <f t="shared" si="534"/>
        <v>0</v>
      </c>
      <c r="G4238">
        <f t="shared" si="529"/>
        <v>1</v>
      </c>
      <c r="H4238">
        <f t="shared" si="535"/>
        <v>0</v>
      </c>
      <c r="I4238">
        <v>4237</v>
      </c>
      <c r="J4238">
        <f t="shared" si="530"/>
        <v>-0.58917608723229464</v>
      </c>
      <c r="K4238">
        <f t="shared" si="531"/>
        <v>-0.80800466473507659</v>
      </c>
      <c r="L4238">
        <f>VLOOKUP(D4238,[1]SOI!$A$1:$C$142,3)</f>
        <v>10.7</v>
      </c>
      <c r="M4238" s="2">
        <f t="shared" si="532"/>
        <v>-2496.3390816032324</v>
      </c>
      <c r="N4238">
        <f t="shared" si="533"/>
        <v>-3423.5157644825194</v>
      </c>
      <c r="O4238" t="s">
        <v>15</v>
      </c>
    </row>
    <row r="4239" spans="1:15" x14ac:dyDescent="0.35">
      <c r="A4239">
        <v>2011</v>
      </c>
      <c r="B4239">
        <v>8</v>
      </c>
      <c r="C4239">
        <v>8</v>
      </c>
      <c r="D4239" s="1">
        <f t="shared" si="528"/>
        <v>40763</v>
      </c>
      <c r="E4239">
        <v>0.8</v>
      </c>
      <c r="F4239">
        <f t="shared" si="534"/>
        <v>4</v>
      </c>
      <c r="G4239">
        <f t="shared" si="529"/>
        <v>1</v>
      </c>
      <c r="H4239">
        <f t="shared" si="535"/>
        <v>1</v>
      </c>
      <c r="I4239">
        <v>4238</v>
      </c>
      <c r="J4239">
        <f t="shared" si="530"/>
        <v>-0.60298786706946472</v>
      </c>
      <c r="K4239">
        <f t="shared" si="531"/>
        <v>-0.79775035704599817</v>
      </c>
      <c r="L4239">
        <f>VLOOKUP(D4239,[1]SOI!$A$1:$C$142,3)</f>
        <v>10.7</v>
      </c>
      <c r="M4239" s="2">
        <f t="shared" si="532"/>
        <v>-2555.4625806403915</v>
      </c>
      <c r="N4239">
        <f t="shared" si="533"/>
        <v>-3380.8660131609404</v>
      </c>
      <c r="O4239" t="s">
        <v>15</v>
      </c>
    </row>
    <row r="4240" spans="1:15" x14ac:dyDescent="0.35">
      <c r="A4240">
        <v>2011</v>
      </c>
      <c r="B4240">
        <v>8</v>
      </c>
      <c r="C4240">
        <v>9</v>
      </c>
      <c r="D4240" s="1">
        <f t="shared" si="528"/>
        <v>40764</v>
      </c>
      <c r="E4240">
        <v>0.2</v>
      </c>
      <c r="F4240">
        <f t="shared" si="534"/>
        <v>0.8</v>
      </c>
      <c r="G4240">
        <f t="shared" si="529"/>
        <v>1</v>
      </c>
      <c r="H4240">
        <f t="shared" si="535"/>
        <v>1</v>
      </c>
      <c r="I4240">
        <v>4239</v>
      </c>
      <c r="J4240">
        <f t="shared" si="530"/>
        <v>-0.61662121309563833</v>
      </c>
      <c r="K4240">
        <f t="shared" si="531"/>
        <v>-0.78725998219169213</v>
      </c>
      <c r="L4240">
        <f>VLOOKUP(D4240,[1]SOI!$A$1:$C$142,3)</f>
        <v>10.7</v>
      </c>
      <c r="M4240" s="2">
        <f t="shared" si="532"/>
        <v>-2613.8573223124108</v>
      </c>
      <c r="N4240">
        <f t="shared" si="533"/>
        <v>-3337.1950645105831</v>
      </c>
      <c r="O4240" t="s">
        <v>15</v>
      </c>
    </row>
    <row r="4241" spans="1:15" x14ac:dyDescent="0.35">
      <c r="A4241">
        <v>2011</v>
      </c>
      <c r="B4241">
        <v>8</v>
      </c>
      <c r="C4241">
        <v>10</v>
      </c>
      <c r="D4241" s="1">
        <f t="shared" si="528"/>
        <v>40765</v>
      </c>
      <c r="E4241">
        <v>1.2</v>
      </c>
      <c r="F4241">
        <f t="shared" si="534"/>
        <v>0.2</v>
      </c>
      <c r="G4241">
        <f t="shared" si="529"/>
        <v>1</v>
      </c>
      <c r="H4241">
        <f t="shared" si="535"/>
        <v>1</v>
      </c>
      <c r="I4241">
        <v>4240</v>
      </c>
      <c r="J4241">
        <f t="shared" si="530"/>
        <v>-0.63007209098436434</v>
      </c>
      <c r="K4241">
        <f t="shared" si="531"/>
        <v>-0.77653664444286907</v>
      </c>
      <c r="L4241">
        <f>VLOOKUP(D4241,[1]SOI!$A$1:$C$142,3)</f>
        <v>10.7</v>
      </c>
      <c r="M4241" s="2">
        <f t="shared" si="532"/>
        <v>-2671.505665773705</v>
      </c>
      <c r="N4241">
        <f t="shared" si="533"/>
        <v>-3292.5153724377647</v>
      </c>
      <c r="O4241" t="s">
        <v>15</v>
      </c>
    </row>
    <row r="4242" spans="1:15" x14ac:dyDescent="0.35">
      <c r="A4242">
        <v>2011</v>
      </c>
      <c r="B4242">
        <v>8</v>
      </c>
      <c r="C4242">
        <v>11</v>
      </c>
      <c r="D4242" s="1">
        <f t="shared" si="528"/>
        <v>40766</v>
      </c>
      <c r="E4242">
        <v>3.4</v>
      </c>
      <c r="F4242">
        <f t="shared" si="534"/>
        <v>1.2</v>
      </c>
      <c r="G4242">
        <f t="shared" si="529"/>
        <v>1</v>
      </c>
      <c r="H4242">
        <f t="shared" si="535"/>
        <v>1</v>
      </c>
      <c r="I4242">
        <v>4241</v>
      </c>
      <c r="J4242">
        <f t="shared" si="530"/>
        <v>-0.64333652040449385</v>
      </c>
      <c r="K4242">
        <f t="shared" si="531"/>
        <v>-0.76558351700767313</v>
      </c>
      <c r="L4242">
        <f>VLOOKUP(D4242,[1]SOI!$A$1:$C$142,3)</f>
        <v>10.7</v>
      </c>
      <c r="M4242" s="2">
        <f t="shared" si="532"/>
        <v>-2728.3901830354584</v>
      </c>
      <c r="N4242">
        <f t="shared" si="533"/>
        <v>-3246.8396956295419</v>
      </c>
      <c r="O4242" t="s">
        <v>15</v>
      </c>
    </row>
    <row r="4243" spans="1:15" x14ac:dyDescent="0.35">
      <c r="A4243">
        <v>2011</v>
      </c>
      <c r="B4243">
        <v>8</v>
      </c>
      <c r="C4243">
        <v>12</v>
      </c>
      <c r="D4243" s="1">
        <f t="shared" si="528"/>
        <v>40767</v>
      </c>
      <c r="E4243">
        <v>0</v>
      </c>
      <c r="F4243">
        <f t="shared" si="534"/>
        <v>3.4</v>
      </c>
      <c r="G4243">
        <f t="shared" si="529"/>
        <v>0</v>
      </c>
      <c r="H4243">
        <f t="shared" si="535"/>
        <v>1</v>
      </c>
      <c r="I4243">
        <v>4242</v>
      </c>
      <c r="J4243">
        <f t="shared" si="530"/>
        <v>-0.65641057619793552</v>
      </c>
      <c r="K4243">
        <f t="shared" si="531"/>
        <v>-0.75440384109274938</v>
      </c>
      <c r="L4243">
        <f>VLOOKUP(D4243,[1]SOI!$A$1:$C$142,3)</f>
        <v>10.7</v>
      </c>
      <c r="M4243" s="2">
        <f t="shared" si="532"/>
        <v>-2784.4936642316425</v>
      </c>
      <c r="N4243">
        <f t="shared" si="533"/>
        <v>-3200.1810939154429</v>
      </c>
      <c r="O4243" t="s">
        <v>15</v>
      </c>
    </row>
    <row r="4244" spans="1:15" x14ac:dyDescent="0.35">
      <c r="A4244">
        <v>2011</v>
      </c>
      <c r="B4244">
        <v>8</v>
      </c>
      <c r="C4244">
        <v>13</v>
      </c>
      <c r="D4244" s="1">
        <f t="shared" si="528"/>
        <v>40768</v>
      </c>
      <c r="E4244">
        <v>0</v>
      </c>
      <c r="F4244">
        <f t="shared" si="534"/>
        <v>0</v>
      </c>
      <c r="G4244">
        <f t="shared" si="529"/>
        <v>0</v>
      </c>
      <c r="H4244">
        <f t="shared" si="535"/>
        <v>0</v>
      </c>
      <c r="I4244">
        <v>4243</v>
      </c>
      <c r="J4244">
        <f t="shared" si="530"/>
        <v>-0.66929038954124964</v>
      </c>
      <c r="K4244">
        <f t="shared" si="531"/>
        <v>-0.74300092494405579</v>
      </c>
      <c r="L4244">
        <f>VLOOKUP(D4244,[1]SOI!$A$1:$C$142,3)</f>
        <v>10.7</v>
      </c>
      <c r="M4244" s="2">
        <f t="shared" si="532"/>
        <v>-2839.7991228235223</v>
      </c>
      <c r="N4244">
        <f t="shared" si="533"/>
        <v>-3152.5529245376288</v>
      </c>
      <c r="O4244" t="s">
        <v>15</v>
      </c>
    </row>
    <row r="4245" spans="1:15" x14ac:dyDescent="0.35">
      <c r="A4245">
        <v>2011</v>
      </c>
      <c r="B4245">
        <v>8</v>
      </c>
      <c r="C4245">
        <v>14</v>
      </c>
      <c r="D4245" s="1">
        <f t="shared" si="528"/>
        <v>40769</v>
      </c>
      <c r="E4245">
        <v>0</v>
      </c>
      <c r="F4245">
        <f t="shared" si="534"/>
        <v>0</v>
      </c>
      <c r="G4245">
        <f t="shared" si="529"/>
        <v>0</v>
      </c>
      <c r="H4245">
        <f t="shared" si="535"/>
        <v>0</v>
      </c>
      <c r="I4245">
        <v>4244</v>
      </c>
      <c r="J4245">
        <f t="shared" si="530"/>
        <v>-0.681972149090462</v>
      </c>
      <c r="K4245">
        <f t="shared" si="531"/>
        <v>-0.73137814286792613</v>
      </c>
      <c r="L4245">
        <f>VLOOKUP(D4245,[1]SOI!$A$1:$C$142,3)</f>
        <v>10.7</v>
      </c>
      <c r="M4245" s="2">
        <f t="shared" si="532"/>
        <v>-2894.2898007399208</v>
      </c>
      <c r="N4245">
        <f t="shared" si="533"/>
        <v>-3103.9688383314783</v>
      </c>
      <c r="O4245" t="s">
        <v>15</v>
      </c>
    </row>
    <row r="4246" spans="1:15" x14ac:dyDescent="0.35">
      <c r="A4246">
        <v>2011</v>
      </c>
      <c r="B4246">
        <v>8</v>
      </c>
      <c r="C4246">
        <v>15</v>
      </c>
      <c r="D4246" s="1">
        <f t="shared" si="528"/>
        <v>40770</v>
      </c>
      <c r="E4246">
        <v>0.2</v>
      </c>
      <c r="F4246">
        <f t="shared" si="534"/>
        <v>0</v>
      </c>
      <c r="G4246">
        <f t="shared" si="529"/>
        <v>1</v>
      </c>
      <c r="H4246">
        <f t="shared" si="535"/>
        <v>0</v>
      </c>
      <c r="I4246">
        <v>4245</v>
      </c>
      <c r="J4246">
        <f t="shared" si="530"/>
        <v>-0.69445210210887132</v>
      </c>
      <c r="K4246">
        <f t="shared" si="531"/>
        <v>-0.71953893423258874</v>
      </c>
      <c r="L4246">
        <f>VLOOKUP(D4246,[1]SOI!$A$1:$C$142,3)</f>
        <v>10.7</v>
      </c>
      <c r="M4246" s="2">
        <f t="shared" si="532"/>
        <v>-2947.9491734521589</v>
      </c>
      <c r="N4246">
        <f t="shared" si="533"/>
        <v>-3054.4427758173392</v>
      </c>
      <c r="O4246" t="s">
        <v>15</v>
      </c>
    </row>
    <row r="4247" spans="1:15" x14ac:dyDescent="0.35">
      <c r="A4247">
        <v>2011</v>
      </c>
      <c r="B4247">
        <v>8</v>
      </c>
      <c r="C4247">
        <v>16</v>
      </c>
      <c r="D4247" s="1">
        <f t="shared" si="528"/>
        <v>40771</v>
      </c>
      <c r="E4247">
        <v>2.8</v>
      </c>
      <c r="F4247">
        <f t="shared" si="534"/>
        <v>0.2</v>
      </c>
      <c r="G4247">
        <f t="shared" si="529"/>
        <v>1</v>
      </c>
      <c r="H4247">
        <f t="shared" si="535"/>
        <v>1</v>
      </c>
      <c r="I4247">
        <v>4246</v>
      </c>
      <c r="J4247">
        <f t="shared" si="530"/>
        <v>-0.70672655557761688</v>
      </c>
      <c r="K4247">
        <f t="shared" si="531"/>
        <v>-0.7074868024503338</v>
      </c>
      <c r="L4247">
        <f>VLOOKUP(D4247,[1]SOI!$A$1:$C$142,3)</f>
        <v>10.7</v>
      </c>
      <c r="M4247" s="2">
        <f t="shared" si="532"/>
        <v>-3000.7609549825611</v>
      </c>
      <c r="N4247">
        <f t="shared" si="533"/>
        <v>-3003.9889632041172</v>
      </c>
      <c r="O4247" t="s">
        <v>15</v>
      </c>
    </row>
    <row r="4248" spans="1:15" x14ac:dyDescent="0.35">
      <c r="A4248">
        <v>2011</v>
      </c>
      <c r="B4248">
        <v>8</v>
      </c>
      <c r="C4248">
        <v>17</v>
      </c>
      <c r="D4248" s="1">
        <f t="shared" si="528"/>
        <v>40772</v>
      </c>
      <c r="E4248">
        <v>0</v>
      </c>
      <c r="F4248">
        <f t="shared" si="534"/>
        <v>2.8</v>
      </c>
      <c r="G4248">
        <f t="shared" si="529"/>
        <v>0</v>
      </c>
      <c r="H4248">
        <f t="shared" si="535"/>
        <v>1</v>
      </c>
      <c r="I4248">
        <v>4247</v>
      </c>
      <c r="J4248">
        <f t="shared" si="530"/>
        <v>-0.71879187728841998</v>
      </c>
      <c r="K4248">
        <f t="shared" si="531"/>
        <v>-0.69522531394087561</v>
      </c>
      <c r="L4248">
        <f>VLOOKUP(D4248,[1]SOI!$A$1:$C$142,3)</f>
        <v>10.7</v>
      </c>
      <c r="M4248" s="2">
        <f t="shared" si="532"/>
        <v>-3052.7091028439195</v>
      </c>
      <c r="N4248">
        <f t="shared" si="533"/>
        <v>-2952.6219083068986</v>
      </c>
      <c r="O4248" t="s">
        <v>15</v>
      </c>
    </row>
    <row r="4249" spans="1:15" x14ac:dyDescent="0.35">
      <c r="A4249">
        <v>2011</v>
      </c>
      <c r="B4249">
        <v>8</v>
      </c>
      <c r="C4249">
        <v>18</v>
      </c>
      <c r="D4249" s="1">
        <f t="shared" si="528"/>
        <v>40773</v>
      </c>
      <c r="E4249">
        <v>3.6</v>
      </c>
      <c r="F4249">
        <f t="shared" si="534"/>
        <v>0</v>
      </c>
      <c r="G4249">
        <f t="shared" si="529"/>
        <v>1</v>
      </c>
      <c r="H4249">
        <f t="shared" si="535"/>
        <v>0</v>
      </c>
      <c r="I4249">
        <v>4248</v>
      </c>
      <c r="J4249">
        <f t="shared" si="530"/>
        <v>-0.73064449691848421</v>
      </c>
      <c r="K4249">
        <f t="shared" si="531"/>
        <v>-0.68275809707592272</v>
      </c>
      <c r="L4249">
        <f>VLOOKUP(D4249,[1]SOI!$A$1:$C$142,3)</f>
        <v>10.7</v>
      </c>
      <c r="M4249" s="2">
        <f t="shared" si="532"/>
        <v>-3103.7778229097207</v>
      </c>
      <c r="N4249">
        <f t="shared" si="533"/>
        <v>-2900.3563963785195</v>
      </c>
      <c r="O4249" t="s">
        <v>15</v>
      </c>
    </row>
    <row r="4250" spans="1:15" x14ac:dyDescent="0.35">
      <c r="A4250">
        <v>2011</v>
      </c>
      <c r="B4250">
        <v>8</v>
      </c>
      <c r="C4250">
        <v>19</v>
      </c>
      <c r="D4250" s="1">
        <f t="shared" si="528"/>
        <v>40774</v>
      </c>
      <c r="E4250">
        <v>2.2000000000000002</v>
      </c>
      <c r="F4250">
        <f t="shared" si="534"/>
        <v>3.6</v>
      </c>
      <c r="G4250">
        <f t="shared" si="529"/>
        <v>1</v>
      </c>
      <c r="H4250">
        <f t="shared" si="535"/>
        <v>1</v>
      </c>
      <c r="I4250">
        <v>4249</v>
      </c>
      <c r="J4250">
        <f t="shared" si="530"/>
        <v>-0.74228090708698036</v>
      </c>
      <c r="K4250">
        <f t="shared" si="531"/>
        <v>-0.67008884110551314</v>
      </c>
      <c r="L4250">
        <f>VLOOKUP(D4250,[1]SOI!$A$1:$C$142,3)</f>
        <v>10.7</v>
      </c>
      <c r="M4250" s="2">
        <f t="shared" si="532"/>
        <v>-3153.9515742125795</v>
      </c>
      <c r="N4250">
        <f t="shared" si="533"/>
        <v>-2847.2074858573255</v>
      </c>
      <c r="O4250" t="s">
        <v>15</v>
      </c>
    </row>
    <row r="4251" spans="1:15" x14ac:dyDescent="0.35">
      <c r="A4251">
        <v>2011</v>
      </c>
      <c r="B4251">
        <v>8</v>
      </c>
      <c r="C4251">
        <v>20</v>
      </c>
      <c r="D4251" s="1">
        <f t="shared" si="528"/>
        <v>40775</v>
      </c>
      <c r="E4251">
        <v>0</v>
      </c>
      <c r="F4251">
        <f t="shared" si="534"/>
        <v>2.2000000000000002</v>
      </c>
      <c r="G4251">
        <f t="shared" si="529"/>
        <v>0</v>
      </c>
      <c r="H4251">
        <f t="shared" si="535"/>
        <v>1</v>
      </c>
      <c r="I4251">
        <v>4250</v>
      </c>
      <c r="J4251">
        <f t="shared" si="530"/>
        <v>-0.75369766439290853</v>
      </c>
      <c r="K4251">
        <f t="shared" si="531"/>
        <v>-0.65722129506633808</v>
      </c>
      <c r="L4251">
        <f>VLOOKUP(D4251,[1]SOI!$A$1:$C$142,3)</f>
        <v>10.7</v>
      </c>
      <c r="M4251" s="2">
        <f t="shared" si="532"/>
        <v>-3203.2150736698613</v>
      </c>
      <c r="N4251">
        <f t="shared" si="533"/>
        <v>-2793.1905040319371</v>
      </c>
      <c r="O4251" t="s">
        <v>15</v>
      </c>
    </row>
    <row r="4252" spans="1:15" x14ac:dyDescent="0.35">
      <c r="A4252">
        <v>2011</v>
      </c>
      <c r="B4252">
        <v>8</v>
      </c>
      <c r="C4252">
        <v>21</v>
      </c>
      <c r="D4252" s="1">
        <f t="shared" si="528"/>
        <v>40776</v>
      </c>
      <c r="E4252">
        <v>0</v>
      </c>
      <c r="F4252">
        <f t="shared" si="534"/>
        <v>0</v>
      </c>
      <c r="G4252">
        <f t="shared" si="529"/>
        <v>0</v>
      </c>
      <c r="H4252">
        <f t="shared" si="535"/>
        <v>0</v>
      </c>
      <c r="I4252">
        <v>4251</v>
      </c>
      <c r="J4252">
        <f t="shared" si="530"/>
        <v>-0.76489139043412269</v>
      </c>
      <c r="K4252">
        <f t="shared" si="531"/>
        <v>-0.64415926667226842</v>
      </c>
      <c r="L4252">
        <f>VLOOKUP(D4252,[1]SOI!$A$1:$C$142,3)</f>
        <v>10.7</v>
      </c>
      <c r="M4252" s="2">
        <f t="shared" si="532"/>
        <v>-3251.5533007354557</v>
      </c>
      <c r="N4252">
        <f t="shared" si="533"/>
        <v>-2738.3210426238129</v>
      </c>
      <c r="O4252" t="s">
        <v>15</v>
      </c>
    </row>
    <row r="4253" spans="1:15" x14ac:dyDescent="0.35">
      <c r="A4253">
        <v>2011</v>
      </c>
      <c r="B4253">
        <v>8</v>
      </c>
      <c r="C4253">
        <v>22</v>
      </c>
      <c r="D4253" s="1">
        <f t="shared" si="528"/>
        <v>40777</v>
      </c>
      <c r="E4253">
        <v>0</v>
      </c>
      <c r="F4253">
        <f t="shared" si="534"/>
        <v>0</v>
      </c>
      <c r="G4253">
        <f t="shared" si="529"/>
        <v>0</v>
      </c>
      <c r="H4253">
        <f t="shared" si="535"/>
        <v>0</v>
      </c>
      <c r="I4253">
        <v>4252</v>
      </c>
      <c r="J4253">
        <f t="shared" si="530"/>
        <v>-0.77585877280697901</v>
      </c>
      <c r="K4253">
        <f t="shared" si="531"/>
        <v>-0.63090662118767515</v>
      </c>
      <c r="L4253">
        <f>VLOOKUP(D4253,[1]SOI!$A$1:$C$142,3)</f>
        <v>10.7</v>
      </c>
      <c r="M4253" s="2">
        <f t="shared" si="532"/>
        <v>-3298.9515019752748</v>
      </c>
      <c r="N4253">
        <f t="shared" si="533"/>
        <v>-2682.6149532899949</v>
      </c>
      <c r="O4253" t="s">
        <v>15</v>
      </c>
    </row>
    <row r="4254" spans="1:15" x14ac:dyDescent="0.35">
      <c r="A4254">
        <v>2011</v>
      </c>
      <c r="B4254">
        <v>8</v>
      </c>
      <c r="C4254">
        <v>23</v>
      </c>
      <c r="D4254" s="1">
        <f t="shared" si="528"/>
        <v>40778</v>
      </c>
      <c r="E4254">
        <v>0</v>
      </c>
      <c r="F4254">
        <f t="shared" si="534"/>
        <v>0</v>
      </c>
      <c r="G4254">
        <f t="shared" si="529"/>
        <v>0</v>
      </c>
      <c r="H4254">
        <f t="shared" si="535"/>
        <v>0</v>
      </c>
      <c r="I4254">
        <v>4253</v>
      </c>
      <c r="J4254">
        <f t="shared" si="530"/>
        <v>-0.78659656608659456</v>
      </c>
      <c r="K4254">
        <f t="shared" si="531"/>
        <v>-0.61746728028356102</v>
      </c>
      <c r="L4254">
        <f>VLOOKUP(D4254,[1]SOI!$A$1:$C$142,3)</f>
        <v>10.7</v>
      </c>
      <c r="M4254" s="2">
        <f t="shared" si="532"/>
        <v>-3345.3951955662865</v>
      </c>
      <c r="N4254">
        <f t="shared" si="533"/>
        <v>-2626.0883430459849</v>
      </c>
      <c r="O4254" t="s">
        <v>15</v>
      </c>
    </row>
    <row r="4255" spans="1:15" x14ac:dyDescent="0.35">
      <c r="A4255">
        <v>2011</v>
      </c>
      <c r="B4255">
        <v>8</v>
      </c>
      <c r="C4255">
        <v>24</v>
      </c>
      <c r="D4255" s="1">
        <f t="shared" si="528"/>
        <v>40779</v>
      </c>
      <c r="E4255">
        <v>0</v>
      </c>
      <c r="F4255">
        <f t="shared" si="534"/>
        <v>0</v>
      </c>
      <c r="G4255">
        <f t="shared" si="529"/>
        <v>0</v>
      </c>
      <c r="H4255">
        <f t="shared" si="535"/>
        <v>0</v>
      </c>
      <c r="I4255">
        <v>4254</v>
      </c>
      <c r="J4255">
        <f t="shared" si="530"/>
        <v>-0.79710159278719195</v>
      </c>
      <c r="K4255">
        <f t="shared" si="531"/>
        <v>-0.60384522087710657</v>
      </c>
      <c r="L4255">
        <f>VLOOKUP(D4255,[1]SOI!$A$1:$C$142,3)</f>
        <v>10.7</v>
      </c>
      <c r="M4255" s="2">
        <f t="shared" si="532"/>
        <v>-3390.8701757167146</v>
      </c>
      <c r="N4255">
        <f t="shared" si="533"/>
        <v>-2568.7575696112112</v>
      </c>
      <c r="O4255" t="s">
        <v>15</v>
      </c>
    </row>
    <row r="4256" spans="1:15" x14ac:dyDescent="0.35">
      <c r="A4256">
        <v>2011</v>
      </c>
      <c r="B4256">
        <v>8</v>
      </c>
      <c r="C4256">
        <v>25</v>
      </c>
      <c r="D4256" s="1">
        <f t="shared" si="528"/>
        <v>40780</v>
      </c>
      <c r="E4256">
        <v>0</v>
      </c>
      <c r="F4256">
        <f t="shared" si="534"/>
        <v>0</v>
      </c>
      <c r="G4256">
        <f t="shared" si="529"/>
        <v>0</v>
      </c>
      <c r="H4256">
        <f t="shared" si="535"/>
        <v>0</v>
      </c>
      <c r="I4256">
        <v>4255</v>
      </c>
      <c r="J4256">
        <f t="shared" si="530"/>
        <v>-0.80737074430234357</v>
      </c>
      <c r="K4256">
        <f t="shared" si="531"/>
        <v>-0.59004447395487036</v>
      </c>
      <c r="L4256">
        <f>VLOOKUP(D4256,[1]SOI!$A$1:$C$142,3)</f>
        <v>10.7</v>
      </c>
      <c r="M4256" s="2">
        <f t="shared" si="532"/>
        <v>-3435.362517006472</v>
      </c>
      <c r="N4256">
        <f t="shared" si="533"/>
        <v>-2510.6392366779733</v>
      </c>
      <c r="O4256" t="s">
        <v>15</v>
      </c>
    </row>
    <row r="4257" spans="1:15" x14ac:dyDescent="0.35">
      <c r="A4257">
        <v>2011</v>
      </c>
      <c r="B4257">
        <v>8</v>
      </c>
      <c r="C4257">
        <v>26</v>
      </c>
      <c r="D4257" s="1">
        <f t="shared" si="528"/>
        <v>40781</v>
      </c>
      <c r="E4257">
        <v>0</v>
      </c>
      <c r="F4257">
        <f t="shared" si="534"/>
        <v>0</v>
      </c>
      <c r="G4257">
        <f t="shared" si="529"/>
        <v>0</v>
      </c>
      <c r="H4257">
        <f t="shared" si="535"/>
        <v>0</v>
      </c>
      <c r="I4257">
        <v>4256</v>
      </c>
      <c r="J4257">
        <f t="shared" si="530"/>
        <v>-0.81740098182491827</v>
      </c>
      <c r="K4257">
        <f t="shared" si="531"/>
        <v>-0.57606912337987681</v>
      </c>
      <c r="L4257">
        <f>VLOOKUP(D4257,[1]SOI!$A$1:$C$142,3)</f>
        <v>10.7</v>
      </c>
      <c r="M4257" s="2">
        <f t="shared" si="532"/>
        <v>-3478.858578646852</v>
      </c>
      <c r="N4257">
        <f t="shared" si="533"/>
        <v>-2451.7501891047559</v>
      </c>
      <c r="O4257" t="s">
        <v>15</v>
      </c>
    </row>
    <row r="4258" spans="1:15" x14ac:dyDescent="0.35">
      <c r="A4258">
        <v>2011</v>
      </c>
      <c r="B4258">
        <v>8</v>
      </c>
      <c r="C4258">
        <v>27</v>
      </c>
      <c r="D4258" s="1">
        <f t="shared" si="528"/>
        <v>40782</v>
      </c>
      <c r="E4258">
        <v>0</v>
      </c>
      <c r="F4258">
        <f t="shared" si="534"/>
        <v>0</v>
      </c>
      <c r="G4258">
        <f t="shared" si="529"/>
        <v>0</v>
      </c>
      <c r="H4258">
        <f t="shared" si="535"/>
        <v>0</v>
      </c>
      <c r="I4258">
        <v>4257</v>
      </c>
      <c r="J4258">
        <f t="shared" si="530"/>
        <v>-0.82718933724624544</v>
      </c>
      <c r="K4258">
        <f t="shared" si="531"/>
        <v>-0.5619233046832256</v>
      </c>
      <c r="L4258">
        <f>VLOOKUP(D4258,[1]SOI!$A$1:$C$142,3)</f>
        <v>10.7</v>
      </c>
      <c r="M4258" s="2">
        <f t="shared" si="532"/>
        <v>-3521.345008657267</v>
      </c>
      <c r="N4258">
        <f t="shared" si="533"/>
        <v>-2392.1075080364913</v>
      </c>
      <c r="O4258" t="s">
        <v>15</v>
      </c>
    </row>
    <row r="4259" spans="1:15" x14ac:dyDescent="0.35">
      <c r="A4259">
        <v>2011</v>
      </c>
      <c r="B4259">
        <v>8</v>
      </c>
      <c r="C4259">
        <v>28</v>
      </c>
      <c r="D4259" s="1">
        <f t="shared" si="528"/>
        <v>40783</v>
      </c>
      <c r="E4259">
        <v>0</v>
      </c>
      <c r="F4259">
        <f t="shared" si="534"/>
        <v>0</v>
      </c>
      <c r="G4259">
        <f t="shared" si="529"/>
        <v>0</v>
      </c>
      <c r="H4259">
        <f t="shared" si="535"/>
        <v>0</v>
      </c>
      <c r="I4259">
        <v>4258</v>
      </c>
      <c r="J4259">
        <f t="shared" si="530"/>
        <v>-0.83673291403449268</v>
      </c>
      <c r="K4259">
        <f t="shared" si="531"/>
        <v>-0.54761120384023032</v>
      </c>
      <c r="L4259">
        <f>VLOOKUP(D4259,[1]SOI!$A$1:$C$142,3)</f>
        <v>10.7</v>
      </c>
      <c r="M4259" s="2">
        <f t="shared" si="532"/>
        <v>-3562.8087479588698</v>
      </c>
      <c r="N4259">
        <f t="shared" si="533"/>
        <v>-2331.7285059517008</v>
      </c>
      <c r="O4259" t="s">
        <v>15</v>
      </c>
    </row>
    <row r="4260" spans="1:15" x14ac:dyDescent="0.35">
      <c r="A4260">
        <v>2011</v>
      </c>
      <c r="B4260">
        <v>8</v>
      </c>
      <c r="C4260">
        <v>29</v>
      </c>
      <c r="D4260" s="1">
        <f t="shared" si="528"/>
        <v>40784</v>
      </c>
      <c r="E4260">
        <v>0.2</v>
      </c>
      <c r="F4260">
        <f t="shared" si="534"/>
        <v>0</v>
      </c>
      <c r="G4260">
        <f t="shared" si="529"/>
        <v>1</v>
      </c>
      <c r="H4260">
        <f t="shared" si="535"/>
        <v>0</v>
      </c>
      <c r="I4260">
        <v>4259</v>
      </c>
      <c r="J4260">
        <f t="shared" si="530"/>
        <v>-0.84602888809173127</v>
      </c>
      <c r="K4260">
        <f t="shared" si="531"/>
        <v>-0.53313705603181338</v>
      </c>
      <c r="L4260">
        <f>VLOOKUP(D4260,[1]SOI!$A$1:$C$142,3)</f>
        <v>10.7</v>
      </c>
      <c r="M4260" s="2">
        <f t="shared" si="532"/>
        <v>-3603.2370343826833</v>
      </c>
      <c r="N4260">
        <f t="shared" si="533"/>
        <v>-2270.630721639493</v>
      </c>
      <c r="O4260" t="s">
        <v>15</v>
      </c>
    </row>
    <row r="4261" spans="1:15" x14ac:dyDescent="0.35">
      <c r="A4261">
        <v>2011</v>
      </c>
      <c r="B4261">
        <v>8</v>
      </c>
      <c r="C4261">
        <v>30</v>
      </c>
      <c r="D4261" s="1">
        <f t="shared" si="528"/>
        <v>40785</v>
      </c>
      <c r="E4261">
        <v>0</v>
      </c>
      <c r="F4261">
        <f t="shared" si="534"/>
        <v>0.2</v>
      </c>
      <c r="G4261">
        <f t="shared" si="529"/>
        <v>0</v>
      </c>
      <c r="H4261">
        <f t="shared" si="535"/>
        <v>1</v>
      </c>
      <c r="I4261">
        <v>4260</v>
      </c>
      <c r="J4261">
        <f t="shared" si="530"/>
        <v>-0.85507450858968759</v>
      </c>
      <c r="K4261">
        <f t="shared" si="531"/>
        <v>-0.51850514439116635</v>
      </c>
      <c r="L4261">
        <f>VLOOKUP(D4261,[1]SOI!$A$1:$C$142,3)</f>
        <v>10.7</v>
      </c>
      <c r="M4261" s="2">
        <f t="shared" si="532"/>
        <v>-3642.6174065920691</v>
      </c>
      <c r="N4261">
        <f t="shared" si="533"/>
        <v>-2208.8319151063688</v>
      </c>
      <c r="O4261" t="s">
        <v>15</v>
      </c>
    </row>
    <row r="4262" spans="1:15" x14ac:dyDescent="0.35">
      <c r="A4262">
        <v>2011</v>
      </c>
      <c r="B4262">
        <v>8</v>
      </c>
      <c r="C4262">
        <v>31</v>
      </c>
      <c r="D4262" s="1">
        <f t="shared" si="528"/>
        <v>40786</v>
      </c>
      <c r="E4262">
        <v>0</v>
      </c>
      <c r="F4262">
        <f t="shared" si="534"/>
        <v>0</v>
      </c>
      <c r="G4262">
        <f t="shared" si="529"/>
        <v>0</v>
      </c>
      <c r="H4262">
        <f t="shared" si="535"/>
        <v>0</v>
      </c>
      <c r="I4262">
        <v>4261</v>
      </c>
      <c r="J4262">
        <f t="shared" si="530"/>
        <v>-0.86386709878373358</v>
      </c>
      <c r="K4262">
        <f t="shared" si="531"/>
        <v>-0.50371979873633621</v>
      </c>
      <c r="L4262">
        <f>VLOOKUP(D4262,[1]SOI!$A$1:$C$142,3)</f>
        <v>10.7</v>
      </c>
      <c r="M4262" s="2">
        <f t="shared" si="532"/>
        <v>-3680.9377079174888</v>
      </c>
      <c r="N4262">
        <f t="shared" si="533"/>
        <v>-2146.3500624155286</v>
      </c>
      <c r="O4262" t="s">
        <v>15</v>
      </c>
    </row>
    <row r="4263" spans="1:15" x14ac:dyDescent="0.35">
      <c r="A4263">
        <v>2011</v>
      </c>
      <c r="B4263">
        <v>9</v>
      </c>
      <c r="C4263">
        <v>1</v>
      </c>
      <c r="D4263" s="1">
        <f t="shared" si="528"/>
        <v>40787</v>
      </c>
      <c r="E4263">
        <v>0</v>
      </c>
      <c r="F4263">
        <f t="shared" si="534"/>
        <v>0</v>
      </c>
      <c r="G4263">
        <f t="shared" si="529"/>
        <v>0</v>
      </c>
      <c r="H4263">
        <f t="shared" si="535"/>
        <v>0</v>
      </c>
      <c r="I4263">
        <v>4262</v>
      </c>
      <c r="J4263">
        <f t="shared" si="530"/>
        <v>-0.87240405680496413</v>
      </c>
      <c r="K4263">
        <f t="shared" si="531"/>
        <v>-0.48878539428898748</v>
      </c>
      <c r="L4263">
        <f>VLOOKUP(D4263,[1]SOI!$A$1:$C$142,3)</f>
        <v>2.1</v>
      </c>
      <c r="M4263" s="2">
        <f t="shared" si="532"/>
        <v>-3718.1860901027571</v>
      </c>
      <c r="N4263">
        <f t="shared" si="533"/>
        <v>-2083.2033504596648</v>
      </c>
      <c r="O4263" t="s">
        <v>15</v>
      </c>
    </row>
    <row r="4264" spans="1:15" x14ac:dyDescent="0.35">
      <c r="A4264">
        <v>2011</v>
      </c>
      <c r="B4264">
        <v>9</v>
      </c>
      <c r="C4264">
        <v>2</v>
      </c>
      <c r="D4264" s="1">
        <f t="shared" si="528"/>
        <v>40788</v>
      </c>
      <c r="E4264">
        <v>0</v>
      </c>
      <c r="F4264">
        <f t="shared" si="534"/>
        <v>0</v>
      </c>
      <c r="G4264">
        <f t="shared" si="529"/>
        <v>0</v>
      </c>
      <c r="H4264">
        <f t="shared" si="535"/>
        <v>0</v>
      </c>
      <c r="I4264">
        <v>4263</v>
      </c>
      <c r="J4264">
        <f t="shared" si="530"/>
        <v>-0.88068285643014743</v>
      </c>
      <c r="K4264">
        <f t="shared" si="531"/>
        <v>-0.47370635037968023</v>
      </c>
      <c r="L4264">
        <f>VLOOKUP(D4264,[1]SOI!$A$1:$C$142,3)</f>
        <v>2.1</v>
      </c>
      <c r="M4264" s="2">
        <f t="shared" si="532"/>
        <v>-3754.3510169617184</v>
      </c>
      <c r="N4264">
        <f t="shared" si="533"/>
        <v>-2019.4101716685768</v>
      </c>
      <c r="O4264" t="s">
        <v>15</v>
      </c>
    </row>
    <row r="4265" spans="1:15" x14ac:dyDescent="0.35">
      <c r="A4265">
        <v>2011</v>
      </c>
      <c r="B4265">
        <v>9</v>
      </c>
      <c r="C4265">
        <v>3</v>
      </c>
      <c r="D4265" s="1">
        <f t="shared" si="528"/>
        <v>40789</v>
      </c>
      <c r="E4265">
        <v>0</v>
      </c>
      <c r="F4265">
        <f t="shared" si="534"/>
        <v>0</v>
      </c>
      <c r="G4265">
        <f t="shared" si="529"/>
        <v>0</v>
      </c>
      <c r="H4265">
        <f t="shared" si="535"/>
        <v>0</v>
      </c>
      <c r="I4265">
        <v>4264</v>
      </c>
      <c r="J4265">
        <f t="shared" si="530"/>
        <v>-0.88870104782928849</v>
      </c>
      <c r="K4265">
        <f t="shared" si="531"/>
        <v>-0.45848712914009343</v>
      </c>
      <c r="L4265">
        <f>VLOOKUP(D4265,[1]SOI!$A$1:$C$142,3)</f>
        <v>2.1</v>
      </c>
      <c r="M4265" s="2">
        <f t="shared" si="532"/>
        <v>-3789.4212679440861</v>
      </c>
      <c r="N4265">
        <f t="shared" si="533"/>
        <v>-1954.9891186533584</v>
      </c>
      <c r="O4265" t="s">
        <v>15</v>
      </c>
    </row>
    <row r="4266" spans="1:15" x14ac:dyDescent="0.35">
      <c r="A4266">
        <v>2011</v>
      </c>
      <c r="B4266">
        <v>9</v>
      </c>
      <c r="C4266">
        <v>4</v>
      </c>
      <c r="D4266" s="1">
        <f t="shared" si="528"/>
        <v>40790</v>
      </c>
      <c r="E4266">
        <v>0</v>
      </c>
      <c r="F4266">
        <f t="shared" si="534"/>
        <v>0</v>
      </c>
      <c r="G4266">
        <f t="shared" si="529"/>
        <v>0</v>
      </c>
      <c r="H4266">
        <f t="shared" si="535"/>
        <v>0</v>
      </c>
      <c r="I4266">
        <v>4265</v>
      </c>
      <c r="J4266">
        <f t="shared" si="530"/>
        <v>-0.89645625829055209</v>
      </c>
      <c r="K4266">
        <f t="shared" si="531"/>
        <v>-0.44313223418264552</v>
      </c>
      <c r="L4266">
        <f>VLOOKUP(D4266,[1]SOI!$A$1:$C$142,3)</f>
        <v>2.1</v>
      </c>
      <c r="M4266" s="2">
        <f t="shared" si="532"/>
        <v>-3823.3859416092046</v>
      </c>
      <c r="N4266">
        <f t="shared" si="533"/>
        <v>-1889.9589787889831</v>
      </c>
      <c r="O4266" t="s">
        <v>15</v>
      </c>
    </row>
    <row r="4267" spans="1:15" x14ac:dyDescent="0.35">
      <c r="A4267">
        <v>2011</v>
      </c>
      <c r="B4267">
        <v>9</v>
      </c>
      <c r="C4267">
        <v>5</v>
      </c>
      <c r="D4267" s="1">
        <f t="shared" si="528"/>
        <v>40791</v>
      </c>
      <c r="E4267">
        <v>0</v>
      </c>
      <c r="F4267">
        <f t="shared" si="534"/>
        <v>0</v>
      </c>
      <c r="G4267">
        <f t="shared" si="529"/>
        <v>0</v>
      </c>
      <c r="H4267">
        <f t="shared" si="535"/>
        <v>0</v>
      </c>
      <c r="I4267">
        <v>4266</v>
      </c>
      <c r="J4267">
        <f t="shared" si="530"/>
        <v>-0.90394619292239942</v>
      </c>
      <c r="K4267">
        <f t="shared" si="531"/>
        <v>-0.42764620926777813</v>
      </c>
      <c r="L4267">
        <f>VLOOKUP(D4267,[1]SOI!$A$1:$C$142,3)</f>
        <v>2.1</v>
      </c>
      <c r="M4267" s="2">
        <f t="shared" si="532"/>
        <v>-3856.2344590069561</v>
      </c>
      <c r="N4267">
        <f t="shared" si="533"/>
        <v>-1824.3387287363414</v>
      </c>
      <c r="O4267" t="s">
        <v>15</v>
      </c>
    </row>
    <row r="4268" spans="1:15" x14ac:dyDescent="0.35">
      <c r="A4268">
        <v>2011</v>
      </c>
      <c r="B4268">
        <v>9</v>
      </c>
      <c r="C4268">
        <v>6</v>
      </c>
      <c r="D4268" s="1">
        <f t="shared" si="528"/>
        <v>40792</v>
      </c>
      <c r="E4268">
        <v>0</v>
      </c>
      <c r="F4268">
        <f t="shared" si="534"/>
        <v>0</v>
      </c>
      <c r="G4268">
        <f t="shared" si="529"/>
        <v>0</v>
      </c>
      <c r="H4268">
        <f t="shared" si="535"/>
        <v>0</v>
      </c>
      <c r="I4268">
        <v>4267</v>
      </c>
      <c r="J4268">
        <f t="shared" si="530"/>
        <v>-0.9111686353326649</v>
      </c>
      <c r="K4268">
        <f t="shared" si="531"/>
        <v>-0.41203363695942236</v>
      </c>
      <c r="L4268">
        <f>VLOOKUP(D4268,[1]SOI!$A$1:$C$142,3)</f>
        <v>2.1</v>
      </c>
      <c r="M4268" s="2">
        <f t="shared" si="532"/>
        <v>-3887.9565669644812</v>
      </c>
      <c r="N4268">
        <f t="shared" si="533"/>
        <v>-1758.1475289058551</v>
      </c>
      <c r="O4268" t="s">
        <v>15</v>
      </c>
    </row>
    <row r="4269" spans="1:15" x14ac:dyDescent="0.35">
      <c r="A4269">
        <v>2011</v>
      </c>
      <c r="B4269">
        <v>9</v>
      </c>
      <c r="C4269">
        <v>7</v>
      </c>
      <c r="D4269" s="1">
        <f t="shared" si="528"/>
        <v>40793</v>
      </c>
      <c r="E4269">
        <v>0</v>
      </c>
      <c r="F4269">
        <f t="shared" si="534"/>
        <v>0</v>
      </c>
      <c r="G4269">
        <f t="shared" si="529"/>
        <v>0</v>
      </c>
      <c r="H4269">
        <f t="shared" si="535"/>
        <v>0</v>
      </c>
      <c r="I4269">
        <v>4268</v>
      </c>
      <c r="J4269">
        <f t="shared" si="530"/>
        <v>-0.91812144828443598</v>
      </c>
      <c r="K4269">
        <f t="shared" si="531"/>
        <v>-0.39629913726891941</v>
      </c>
      <c r="L4269">
        <f>VLOOKUP(D4269,[1]SOI!$A$1:$C$142,3)</f>
        <v>2.1</v>
      </c>
      <c r="M4269" s="2">
        <f t="shared" si="532"/>
        <v>-3918.5423412779728</v>
      </c>
      <c r="N4269">
        <f t="shared" si="533"/>
        <v>-1691.4047178637481</v>
      </c>
      <c r="O4269" t="s">
        <v>15</v>
      </c>
    </row>
    <row r="4270" spans="1:15" x14ac:dyDescent="0.35">
      <c r="A4270">
        <v>2011</v>
      </c>
      <c r="B4270">
        <v>9</v>
      </c>
      <c r="C4270">
        <v>8</v>
      </c>
      <c r="D4270" s="1">
        <f t="shared" si="528"/>
        <v>40794</v>
      </c>
      <c r="E4270">
        <v>0</v>
      </c>
      <c r="F4270">
        <f t="shared" si="534"/>
        <v>0</v>
      </c>
      <c r="G4270">
        <f t="shared" si="529"/>
        <v>0</v>
      </c>
      <c r="H4270">
        <f t="shared" si="535"/>
        <v>0</v>
      </c>
      <c r="I4270">
        <v>4269</v>
      </c>
      <c r="J4270">
        <f t="shared" si="530"/>
        <v>-0.92480257432851143</v>
      </c>
      <c r="K4270">
        <f t="shared" si="531"/>
        <v>-0.38044736628784553</v>
      </c>
      <c r="L4270">
        <f>VLOOKUP(D4270,[1]SOI!$A$1:$C$142,3)</f>
        <v>2.1</v>
      </c>
      <c r="M4270" s="2">
        <f t="shared" si="532"/>
        <v>-3947.9821898084151</v>
      </c>
      <c r="N4270">
        <f t="shared" si="533"/>
        <v>-1624.1298066828126</v>
      </c>
      <c r="O4270" t="s">
        <v>15</v>
      </c>
    </row>
    <row r="4271" spans="1:15" x14ac:dyDescent="0.35">
      <c r="A4271">
        <v>2011</v>
      </c>
      <c r="B4271">
        <v>9</v>
      </c>
      <c r="C4271">
        <v>9</v>
      </c>
      <c r="D4271" s="1">
        <f t="shared" si="528"/>
        <v>40795</v>
      </c>
      <c r="E4271">
        <v>7.8</v>
      </c>
      <c r="F4271">
        <f t="shared" si="534"/>
        <v>0</v>
      </c>
      <c r="G4271">
        <f t="shared" si="529"/>
        <v>1</v>
      </c>
      <c r="H4271">
        <f t="shared" si="535"/>
        <v>0</v>
      </c>
      <c r="I4271">
        <v>4270</v>
      </c>
      <c r="J4271">
        <f t="shared" si="530"/>
        <v>-0.9312100364121898</v>
      </c>
      <c r="K4271">
        <f t="shared" si="531"/>
        <v>-0.36448301481030387</v>
      </c>
      <c r="L4271">
        <f>VLOOKUP(D4271,[1]SOI!$A$1:$C$142,3)</f>
        <v>2.1</v>
      </c>
      <c r="M4271" s="2">
        <f t="shared" si="532"/>
        <v>-3976.2668554800503</v>
      </c>
      <c r="N4271">
        <f t="shared" si="533"/>
        <v>-1556.3424732399976</v>
      </c>
      <c r="O4271" t="s">
        <v>15</v>
      </c>
    </row>
    <row r="4272" spans="1:15" x14ac:dyDescent="0.35">
      <c r="A4272">
        <v>2011</v>
      </c>
      <c r="B4272">
        <v>9</v>
      </c>
      <c r="C4272">
        <v>10</v>
      </c>
      <c r="D4272" s="1">
        <f t="shared" si="528"/>
        <v>40796</v>
      </c>
      <c r="E4272">
        <v>8</v>
      </c>
      <c r="F4272">
        <f t="shared" si="534"/>
        <v>7.8</v>
      </c>
      <c r="G4272">
        <f t="shared" si="529"/>
        <v>1</v>
      </c>
      <c r="H4272">
        <f t="shared" si="535"/>
        <v>1</v>
      </c>
      <c r="I4272">
        <v>4271</v>
      </c>
      <c r="J4272">
        <f t="shared" si="530"/>
        <v>-0.93734193846437541</v>
      </c>
      <c r="K4272">
        <f t="shared" si="531"/>
        <v>-0.34841080694468562</v>
      </c>
      <c r="L4272">
        <f>VLOOKUP(D4272,[1]SOI!$A$1:$C$142,3)</f>
        <v>2.1</v>
      </c>
      <c r="M4272" s="2">
        <f t="shared" si="532"/>
        <v>-4003.3874191813475</v>
      </c>
      <c r="N4272">
        <f t="shared" si="533"/>
        <v>-1488.0625564607524</v>
      </c>
      <c r="O4272" t="s">
        <v>15</v>
      </c>
    </row>
    <row r="4273" spans="1:15" x14ac:dyDescent="0.35">
      <c r="A4273">
        <v>2011</v>
      </c>
      <c r="B4273">
        <v>9</v>
      </c>
      <c r="C4273">
        <v>11</v>
      </c>
      <c r="D4273" s="1">
        <f t="shared" si="528"/>
        <v>40797</v>
      </c>
      <c r="E4273">
        <v>0.6</v>
      </c>
      <c r="F4273">
        <f t="shared" si="534"/>
        <v>8</v>
      </c>
      <c r="G4273">
        <f t="shared" si="529"/>
        <v>1</v>
      </c>
      <c r="H4273">
        <f t="shared" si="535"/>
        <v>1</v>
      </c>
      <c r="I4273">
        <v>4272</v>
      </c>
      <c r="J4273">
        <f t="shared" si="530"/>
        <v>-0.94319646595658757</v>
      </c>
      <c r="K4273">
        <f t="shared" si="531"/>
        <v>-0.33223549871590147</v>
      </c>
      <c r="L4273">
        <f>VLOOKUP(D4273,[1]SOI!$A$1:$C$142,3)</f>
        <v>2.1</v>
      </c>
      <c r="M4273" s="2">
        <f t="shared" si="532"/>
        <v>-4029.3353025665419</v>
      </c>
      <c r="N4273">
        <f t="shared" si="533"/>
        <v>-1419.3100505143311</v>
      </c>
      <c r="O4273" t="s">
        <v>15</v>
      </c>
    </row>
    <row r="4274" spans="1:15" x14ac:dyDescent="0.35">
      <c r="A4274">
        <v>2011</v>
      </c>
      <c r="B4274">
        <v>9</v>
      </c>
      <c r="C4274">
        <v>12</v>
      </c>
      <c r="D4274" s="1">
        <f t="shared" si="528"/>
        <v>40798</v>
      </c>
      <c r="E4274">
        <v>0.2</v>
      </c>
      <c r="F4274">
        <f t="shared" si="534"/>
        <v>0.6</v>
      </c>
      <c r="G4274">
        <f t="shared" si="529"/>
        <v>1</v>
      </c>
      <c r="H4274">
        <f t="shared" si="535"/>
        <v>1</v>
      </c>
      <c r="I4274">
        <v>4273</v>
      </c>
      <c r="J4274">
        <f t="shared" si="530"/>
        <v>-0.94877188643994637</v>
      </c>
      <c r="K4274">
        <f t="shared" si="531"/>
        <v>-0.31596187665790548</v>
      </c>
      <c r="L4274">
        <f>VLOOKUP(D4274,[1]SOI!$A$1:$C$142,3)</f>
        <v>2.1</v>
      </c>
      <c r="M4274" s="2">
        <f t="shared" si="532"/>
        <v>-4054.1022707578909</v>
      </c>
      <c r="N4274">
        <f t="shared" si="533"/>
        <v>-1350.1050989592302</v>
      </c>
      <c r="O4274" t="s">
        <v>15</v>
      </c>
    </row>
    <row r="4275" spans="1:15" x14ac:dyDescent="0.35">
      <c r="A4275">
        <v>2011</v>
      </c>
      <c r="B4275">
        <v>9</v>
      </c>
      <c r="C4275">
        <v>13</v>
      </c>
      <c r="D4275" s="1">
        <f t="shared" si="528"/>
        <v>40799</v>
      </c>
      <c r="E4275">
        <v>0</v>
      </c>
      <c r="F4275">
        <f t="shared" si="534"/>
        <v>0.2</v>
      </c>
      <c r="G4275">
        <f t="shared" si="529"/>
        <v>0</v>
      </c>
      <c r="H4275">
        <f t="shared" si="535"/>
        <v>1</v>
      </c>
      <c r="I4275">
        <v>4274</v>
      </c>
      <c r="J4275">
        <f t="shared" si="530"/>
        <v>-0.95406655005784025</v>
      </c>
      <c r="K4275">
        <f t="shared" si="531"/>
        <v>-0.29959475639725514</v>
      </c>
      <c r="L4275">
        <f>VLOOKUP(D4275,[1]SOI!$A$1:$C$142,3)</f>
        <v>2.1</v>
      </c>
      <c r="M4275" s="2">
        <f t="shared" si="532"/>
        <v>-4077.6804349472091</v>
      </c>
      <c r="N4275">
        <f t="shared" si="533"/>
        <v>-1280.4679888418684</v>
      </c>
      <c r="O4275" t="s">
        <v>15</v>
      </c>
    </row>
    <row r="4276" spans="1:15" x14ac:dyDescent="0.35">
      <c r="A4276">
        <v>2011</v>
      </c>
      <c r="B4276">
        <v>9</v>
      </c>
      <c r="C4276">
        <v>14</v>
      </c>
      <c r="D4276" s="1">
        <f t="shared" si="528"/>
        <v>40800</v>
      </c>
      <c r="E4276">
        <v>0.2</v>
      </c>
      <c r="F4276">
        <f t="shared" si="534"/>
        <v>0</v>
      </c>
      <c r="G4276">
        <f t="shared" si="529"/>
        <v>1</v>
      </c>
      <c r="H4276">
        <f t="shared" si="535"/>
        <v>0</v>
      </c>
      <c r="I4276">
        <v>4275</v>
      </c>
      <c r="J4276">
        <f t="shared" si="530"/>
        <v>-0.95907889003410884</v>
      </c>
      <c r="K4276">
        <f t="shared" si="531"/>
        <v>-0.28313898122819786</v>
      </c>
      <c r="L4276">
        <f>VLOOKUP(D4276,[1]SOI!$A$1:$C$142,3)</f>
        <v>2.1</v>
      </c>
      <c r="M4276" s="2">
        <f t="shared" si="532"/>
        <v>-4100.0622548958154</v>
      </c>
      <c r="N4276">
        <f t="shared" si="533"/>
        <v>-1210.4191447505459</v>
      </c>
      <c r="O4276" t="s">
        <v>15</v>
      </c>
    </row>
    <row r="4277" spans="1:15" x14ac:dyDescent="0.35">
      <c r="A4277">
        <v>2011</v>
      </c>
      <c r="B4277">
        <v>9</v>
      </c>
      <c r="C4277">
        <v>15</v>
      </c>
      <c r="D4277" s="1">
        <f t="shared" si="528"/>
        <v>40801</v>
      </c>
      <c r="E4277">
        <v>0.6</v>
      </c>
      <c r="F4277">
        <f t="shared" si="534"/>
        <v>0.2</v>
      </c>
      <c r="G4277">
        <f t="shared" si="529"/>
        <v>1</v>
      </c>
      <c r="H4277">
        <f t="shared" si="535"/>
        <v>1</v>
      </c>
      <c r="I4277">
        <v>4276</v>
      </c>
      <c r="J4277">
        <f t="shared" si="530"/>
        <v>-0.96380742313672896</v>
      </c>
      <c r="K4277">
        <f t="shared" si="531"/>
        <v>-0.26659942067929981</v>
      </c>
      <c r="L4277">
        <f>VLOOKUP(D4277,[1]SOI!$A$1:$C$142,3)</f>
        <v>2.1</v>
      </c>
      <c r="M4277" s="2">
        <f t="shared" si="532"/>
        <v>-4121.2405413326533</v>
      </c>
      <c r="N4277">
        <f t="shared" si="533"/>
        <v>-1139.9791228246861</v>
      </c>
      <c r="O4277" t="s">
        <v>15</v>
      </c>
    </row>
    <row r="4278" spans="1:15" x14ac:dyDescent="0.35">
      <c r="A4278">
        <v>2011</v>
      </c>
      <c r="B4278">
        <v>9</v>
      </c>
      <c r="C4278">
        <v>16</v>
      </c>
      <c r="D4278" s="1">
        <f t="shared" si="528"/>
        <v>40802</v>
      </c>
      <c r="E4278">
        <v>0</v>
      </c>
      <c r="F4278">
        <f t="shared" si="534"/>
        <v>0.6</v>
      </c>
      <c r="G4278">
        <f t="shared" si="529"/>
        <v>0</v>
      </c>
      <c r="H4278">
        <f t="shared" si="535"/>
        <v>1</v>
      </c>
      <c r="I4278">
        <v>4277</v>
      </c>
      <c r="J4278">
        <f t="shared" si="530"/>
        <v>-0.96825075011667228</v>
      </c>
      <c r="K4278">
        <f t="shared" si="531"/>
        <v>-0.24998096907265044</v>
      </c>
      <c r="L4278">
        <f>VLOOKUP(D4278,[1]SOI!$A$1:$C$142,3)</f>
        <v>2.1</v>
      </c>
      <c r="M4278" s="2">
        <f t="shared" si="532"/>
        <v>-4141.208458249007</v>
      </c>
      <c r="N4278">
        <f t="shared" si="533"/>
        <v>-1069.1686047237258</v>
      </c>
      <c r="O4278" t="s">
        <v>15</v>
      </c>
    </row>
    <row r="4279" spans="1:15" x14ac:dyDescent="0.35">
      <c r="A4279">
        <v>2011</v>
      </c>
      <c r="B4279">
        <v>9</v>
      </c>
      <c r="C4279">
        <v>17</v>
      </c>
      <c r="D4279" s="1">
        <f t="shared" si="528"/>
        <v>40803</v>
      </c>
      <c r="E4279">
        <v>0</v>
      </c>
      <c r="F4279">
        <f t="shared" si="534"/>
        <v>0</v>
      </c>
      <c r="G4279">
        <f t="shared" si="529"/>
        <v>0</v>
      </c>
      <c r="H4279">
        <f t="shared" si="535"/>
        <v>0</v>
      </c>
      <c r="I4279">
        <v>4278</v>
      </c>
      <c r="J4279">
        <f t="shared" si="530"/>
        <v>-0.97240755612199592</v>
      </c>
      <c r="K4279">
        <f t="shared" si="531"/>
        <v>-0.23328854407545913</v>
      </c>
      <c r="L4279">
        <f>VLOOKUP(D4279,[1]SOI!$A$1:$C$142,3)</f>
        <v>2.1</v>
      </c>
      <c r="M4279" s="2">
        <f t="shared" si="532"/>
        <v>-4159.9595250898983</v>
      </c>
      <c r="N4279">
        <f t="shared" si="533"/>
        <v>-998.00839155481412</v>
      </c>
      <c r="O4279" t="s">
        <v>15</v>
      </c>
    </row>
    <row r="4280" spans="1:15" x14ac:dyDescent="0.35">
      <c r="A4280">
        <v>2011</v>
      </c>
      <c r="B4280">
        <v>9</v>
      </c>
      <c r="C4280">
        <v>18</v>
      </c>
      <c r="D4280" s="1">
        <f t="shared" si="528"/>
        <v>40804</v>
      </c>
      <c r="E4280">
        <v>0</v>
      </c>
      <c r="F4280">
        <f t="shared" si="534"/>
        <v>0</v>
      </c>
      <c r="G4280">
        <f t="shared" si="529"/>
        <v>0</v>
      </c>
      <c r="H4280">
        <f t="shared" si="535"/>
        <v>0</v>
      </c>
      <c r="I4280">
        <v>4279</v>
      </c>
      <c r="J4280">
        <f t="shared" si="530"/>
        <v>-0.97627661108693298</v>
      </c>
      <c r="K4280">
        <f t="shared" si="531"/>
        <v>-0.21652708524481032</v>
      </c>
      <c r="L4280">
        <f>VLOOKUP(D4280,[1]SOI!$A$1:$C$142,3)</f>
        <v>2.1</v>
      </c>
      <c r="M4280" s="2">
        <f t="shared" si="532"/>
        <v>-4177.4876188409862</v>
      </c>
      <c r="N4280">
        <f t="shared" si="533"/>
        <v>-926.51939776254335</v>
      </c>
      <c r="O4280" t="s">
        <v>15</v>
      </c>
    </row>
    <row r="4281" spans="1:15" x14ac:dyDescent="0.35">
      <c r="A4281">
        <v>2011</v>
      </c>
      <c r="B4281">
        <v>9</v>
      </c>
      <c r="C4281">
        <v>19</v>
      </c>
      <c r="D4281" s="1">
        <f t="shared" si="528"/>
        <v>40805</v>
      </c>
      <c r="E4281">
        <v>0.2</v>
      </c>
      <c r="F4281">
        <f t="shared" si="534"/>
        <v>0</v>
      </c>
      <c r="G4281">
        <f t="shared" si="529"/>
        <v>1</v>
      </c>
      <c r="H4281">
        <f t="shared" si="535"/>
        <v>0</v>
      </c>
      <c r="I4281">
        <v>4280</v>
      </c>
      <c r="J4281">
        <f t="shared" si="530"/>
        <v>-0.97985677009586603</v>
      </c>
      <c r="K4281">
        <f t="shared" si="531"/>
        <v>-0.19970155256606559</v>
      </c>
      <c r="L4281">
        <f>VLOOKUP(D4281,[1]SOI!$A$1:$C$142,3)</f>
        <v>2.1</v>
      </c>
      <c r="M4281" s="2">
        <f t="shared" si="532"/>
        <v>-4193.7869760103067</v>
      </c>
      <c r="N4281">
        <f t="shared" si="533"/>
        <v>-854.7226449827607</v>
      </c>
      <c r="O4281" t="s">
        <v>15</v>
      </c>
    </row>
    <row r="4282" spans="1:15" x14ac:dyDescent="0.35">
      <c r="A4282">
        <v>2011</v>
      </c>
      <c r="B4282">
        <v>9</v>
      </c>
      <c r="C4282">
        <v>20</v>
      </c>
      <c r="D4282" s="1">
        <f t="shared" si="528"/>
        <v>40806</v>
      </c>
      <c r="E4282">
        <v>3.8</v>
      </c>
      <c r="F4282">
        <f t="shared" si="534"/>
        <v>0.2</v>
      </c>
      <c r="G4282">
        <f t="shared" si="529"/>
        <v>1</v>
      </c>
      <c r="H4282">
        <f t="shared" si="535"/>
        <v>1</v>
      </c>
      <c r="I4282">
        <v>4281</v>
      </c>
      <c r="J4282">
        <f t="shared" si="530"/>
        <v>-0.98314697372214843</v>
      </c>
      <c r="K4282">
        <f t="shared" si="531"/>
        <v>-0.18281692498502758</v>
      </c>
      <c r="L4282">
        <f>VLOOKUP(D4282,[1]SOI!$A$1:$C$142,3)</f>
        <v>2.1</v>
      </c>
      <c r="M4282" s="2">
        <f t="shared" si="532"/>
        <v>-4208.8521945045177</v>
      </c>
      <c r="N4282">
        <f t="shared" si="533"/>
        <v>-782.63925586090306</v>
      </c>
      <c r="O4282" t="s">
        <v>15</v>
      </c>
    </row>
    <row r="4283" spans="1:15" x14ac:dyDescent="0.35">
      <c r="A4283">
        <v>2011</v>
      </c>
      <c r="B4283">
        <v>9</v>
      </c>
      <c r="C4283">
        <v>21</v>
      </c>
      <c r="D4283" s="1">
        <f t="shared" si="528"/>
        <v>40807</v>
      </c>
      <c r="E4283">
        <v>0</v>
      </c>
      <c r="F4283">
        <f t="shared" si="534"/>
        <v>3.8</v>
      </c>
      <c r="G4283">
        <f t="shared" si="529"/>
        <v>0</v>
      </c>
      <c r="H4283">
        <f t="shared" si="535"/>
        <v>1</v>
      </c>
      <c r="I4283">
        <v>4282</v>
      </c>
      <c r="J4283">
        <f t="shared" si="530"/>
        <v>-0.98614624834159514</v>
      </c>
      <c r="K4283">
        <f t="shared" si="531"/>
        <v>-0.16587819893463104</v>
      </c>
      <c r="L4283">
        <f>VLOOKUP(D4283,[1]SOI!$A$1:$C$142,3)</f>
        <v>2.1</v>
      </c>
      <c r="M4283" s="2">
        <f t="shared" si="532"/>
        <v>-4222.6782353987101</v>
      </c>
      <c r="N4283">
        <f t="shared" si="533"/>
        <v>-710.29044783809013</v>
      </c>
      <c r="O4283" t="s">
        <v>15</v>
      </c>
    </row>
    <row r="4284" spans="1:15" x14ac:dyDescent="0.35">
      <c r="A4284">
        <v>2011</v>
      </c>
      <c r="B4284">
        <v>9</v>
      </c>
      <c r="C4284">
        <v>22</v>
      </c>
      <c r="D4284" s="1">
        <f t="shared" si="528"/>
        <v>40808</v>
      </c>
      <c r="E4284">
        <v>0</v>
      </c>
      <c r="F4284">
        <f t="shared" si="534"/>
        <v>0</v>
      </c>
      <c r="G4284">
        <f t="shared" si="529"/>
        <v>0</v>
      </c>
      <c r="H4284">
        <f t="shared" si="535"/>
        <v>0</v>
      </c>
      <c r="I4284">
        <v>4283</v>
      </c>
      <c r="J4284">
        <f t="shared" si="530"/>
        <v>-0.98885370642058756</v>
      </c>
      <c r="K4284">
        <f t="shared" si="531"/>
        <v>-0.14889038685646014</v>
      </c>
      <c r="L4284">
        <f>VLOOKUP(D4284,[1]SOI!$A$1:$C$142,3)</f>
        <v>2.1</v>
      </c>
      <c r="M4284" s="2">
        <f t="shared" si="532"/>
        <v>-4235.2604245993762</v>
      </c>
      <c r="N4284">
        <f t="shared" si="533"/>
        <v>-637.69752690621874</v>
      </c>
      <c r="O4284" t="s">
        <v>15</v>
      </c>
    </row>
    <row r="4285" spans="1:15" x14ac:dyDescent="0.35">
      <c r="A4285">
        <v>2011</v>
      </c>
      <c r="B4285">
        <v>9</v>
      </c>
      <c r="C4285">
        <v>23</v>
      </c>
      <c r="D4285" s="1">
        <f t="shared" si="528"/>
        <v>40809</v>
      </c>
      <c r="E4285">
        <v>0</v>
      </c>
      <c r="F4285">
        <f t="shared" si="534"/>
        <v>0</v>
      </c>
      <c r="G4285">
        <f t="shared" si="529"/>
        <v>0</v>
      </c>
      <c r="H4285">
        <f t="shared" si="535"/>
        <v>0</v>
      </c>
      <c r="I4285">
        <v>4284</v>
      </c>
      <c r="J4285">
        <f t="shared" si="530"/>
        <v>-0.991268546778726</v>
      </c>
      <c r="K4285">
        <f t="shared" si="531"/>
        <v>-0.13185851571738838</v>
      </c>
      <c r="L4285">
        <f>VLOOKUP(D4285,[1]SOI!$A$1:$C$142,3)</f>
        <v>2.1</v>
      </c>
      <c r="M4285" s="2">
        <f t="shared" si="532"/>
        <v>-4246.5944544000622</v>
      </c>
      <c r="N4285">
        <f t="shared" si="533"/>
        <v>-564.88188133329186</v>
      </c>
      <c r="O4285" t="s">
        <v>15</v>
      </c>
    </row>
    <row r="4286" spans="1:15" x14ac:dyDescent="0.35">
      <c r="A4286">
        <v>2011</v>
      </c>
      <c r="B4286">
        <v>9</v>
      </c>
      <c r="C4286">
        <v>24</v>
      </c>
      <c r="D4286" s="1">
        <f t="shared" si="528"/>
        <v>40810</v>
      </c>
      <c r="E4286">
        <v>0</v>
      </c>
      <c r="F4286">
        <f t="shared" si="534"/>
        <v>0</v>
      </c>
      <c r="G4286">
        <f t="shared" si="529"/>
        <v>0</v>
      </c>
      <c r="H4286">
        <f t="shared" si="535"/>
        <v>0</v>
      </c>
      <c r="I4286">
        <v>4285</v>
      </c>
      <c r="J4286">
        <f t="shared" si="530"/>
        <v>-0.99339005482589327</v>
      </c>
      <c r="K4286">
        <f t="shared" si="531"/>
        <v>-0.11478762552213037</v>
      </c>
      <c r="L4286">
        <f>VLOOKUP(D4286,[1]SOI!$A$1:$C$142,3)</f>
        <v>2.1</v>
      </c>
      <c r="M4286" s="2">
        <f t="shared" si="532"/>
        <v>-4256.6763849289528</v>
      </c>
      <c r="N4286">
        <f t="shared" si="533"/>
        <v>-491.86497536232866</v>
      </c>
      <c r="O4286" t="s">
        <v>15</v>
      </c>
    </row>
    <row r="4287" spans="1:15" x14ac:dyDescent="0.35">
      <c r="A4287">
        <v>2011</v>
      </c>
      <c r="B4287">
        <v>9</v>
      </c>
      <c r="C4287">
        <v>25</v>
      </c>
      <c r="D4287" s="1">
        <f t="shared" si="528"/>
        <v>40811</v>
      </c>
      <c r="E4287">
        <v>0</v>
      </c>
      <c r="F4287">
        <f t="shared" si="534"/>
        <v>0</v>
      </c>
      <c r="G4287">
        <f t="shared" si="529"/>
        <v>0</v>
      </c>
      <c r="H4287">
        <f t="shared" si="535"/>
        <v>0</v>
      </c>
      <c r="I4287">
        <v>4286</v>
      </c>
      <c r="J4287">
        <f t="shared" si="530"/>
        <v>-0.9952176027737285</v>
      </c>
      <c r="K4287">
        <f t="shared" si="531"/>
        <v>-9.7682767821725094E-2</v>
      </c>
      <c r="L4287">
        <f>VLOOKUP(D4287,[1]SOI!$A$1:$C$142,3)</f>
        <v>2.1</v>
      </c>
      <c r="M4287" s="2">
        <f t="shared" si="532"/>
        <v>-4265.5026454882</v>
      </c>
      <c r="N4287">
        <f t="shared" si="533"/>
        <v>-418.66834288391374</v>
      </c>
      <c r="O4287" t="s">
        <v>15</v>
      </c>
    </row>
    <row r="4288" spans="1:15" x14ac:dyDescent="0.35">
      <c r="A4288">
        <v>2011</v>
      </c>
      <c r="B4288">
        <v>9</v>
      </c>
      <c r="C4288">
        <v>26</v>
      </c>
      <c r="D4288" s="1">
        <f t="shared" si="528"/>
        <v>40812</v>
      </c>
      <c r="E4288">
        <v>0</v>
      </c>
      <c r="F4288">
        <f t="shared" si="534"/>
        <v>0</v>
      </c>
      <c r="G4288">
        <f t="shared" si="529"/>
        <v>0</v>
      </c>
      <c r="H4288">
        <f t="shared" si="535"/>
        <v>0</v>
      </c>
      <c r="I4288">
        <v>4287</v>
      </c>
      <c r="J4288">
        <f t="shared" si="530"/>
        <v>-0.99675064982139283</v>
      </c>
      <c r="K4288">
        <f t="shared" si="531"/>
        <v>-8.0549004218742601E-2</v>
      </c>
      <c r="L4288">
        <f>VLOOKUP(D4288,[1]SOI!$A$1:$C$142,3)</f>
        <v>2.1</v>
      </c>
      <c r="M4288" s="2">
        <f t="shared" si="532"/>
        <v>-4273.0700357843107</v>
      </c>
      <c r="N4288">
        <f t="shared" si="533"/>
        <v>-345.31358108574955</v>
      </c>
      <c r="O4288" t="s">
        <v>15</v>
      </c>
    </row>
    <row r="4289" spans="1:15" x14ac:dyDescent="0.35">
      <c r="A4289">
        <v>2011</v>
      </c>
      <c r="B4289">
        <v>9</v>
      </c>
      <c r="C4289">
        <v>27</v>
      </c>
      <c r="D4289" s="1">
        <f t="shared" si="528"/>
        <v>40813</v>
      </c>
      <c r="E4289">
        <v>0</v>
      </c>
      <c r="F4289">
        <f t="shared" si="534"/>
        <v>0</v>
      </c>
      <c r="G4289">
        <f t="shared" si="529"/>
        <v>0</v>
      </c>
      <c r="H4289">
        <f t="shared" si="535"/>
        <v>0</v>
      </c>
      <c r="I4289">
        <v>4288</v>
      </c>
      <c r="J4289">
        <f t="shared" si="530"/>
        <v>-0.99798874231559798</v>
      </c>
      <c r="K4289">
        <f t="shared" si="531"/>
        <v>-6.3391404869517082E-2</v>
      </c>
      <c r="L4289">
        <f>VLOOKUP(D4289,[1]SOI!$A$1:$C$142,3)</f>
        <v>2.1</v>
      </c>
      <c r="M4289" s="2">
        <f t="shared" si="532"/>
        <v>-4279.3757270492843</v>
      </c>
      <c r="N4289">
        <f t="shared" si="533"/>
        <v>-271.82234408048924</v>
      </c>
      <c r="O4289" t="s">
        <v>15</v>
      </c>
    </row>
    <row r="4290" spans="1:15" x14ac:dyDescent="0.35">
      <c r="A4290">
        <v>2011</v>
      </c>
      <c r="B4290">
        <v>9</v>
      </c>
      <c r="C4290">
        <v>28</v>
      </c>
      <c r="D4290" s="1">
        <f t="shared" si="528"/>
        <v>40814</v>
      </c>
      <c r="E4290">
        <v>0</v>
      </c>
      <c r="F4290">
        <f t="shared" si="534"/>
        <v>0</v>
      </c>
      <c r="G4290">
        <f t="shared" si="529"/>
        <v>0</v>
      </c>
      <c r="H4290">
        <f t="shared" si="535"/>
        <v>0</v>
      </c>
      <c r="I4290">
        <v>4289</v>
      </c>
      <c r="J4290">
        <f t="shared" si="530"/>
        <v>-0.99893151388485779</v>
      </c>
      <c r="K4290">
        <f t="shared" si="531"/>
        <v>-4.6215046983706855E-2</v>
      </c>
      <c r="L4290">
        <f>VLOOKUP(D4290,[1]SOI!$A$1:$C$142,3)</f>
        <v>2.1</v>
      </c>
      <c r="M4290" s="2">
        <f t="shared" si="532"/>
        <v>-4284.4172630521552</v>
      </c>
      <c r="N4290">
        <f t="shared" si="533"/>
        <v>-198.2163365131187</v>
      </c>
      <c r="O4290" t="s">
        <v>15</v>
      </c>
    </row>
    <row r="4291" spans="1:15" x14ac:dyDescent="0.35">
      <c r="A4291">
        <v>2011</v>
      </c>
      <c r="B4291">
        <v>9</v>
      </c>
      <c r="C4291">
        <v>29</v>
      </c>
      <c r="D4291" s="1">
        <f t="shared" ref="D4291:D4323" si="536">DATE(A4291,B4291,C4291)</f>
        <v>40815</v>
      </c>
      <c r="E4291">
        <v>46.8</v>
      </c>
      <c r="F4291">
        <f t="shared" si="534"/>
        <v>0</v>
      </c>
      <c r="G4291">
        <f t="shared" ref="G4291:G4323" si="537">IF(E4291=0,0,1)</f>
        <v>1</v>
      </c>
      <c r="H4291">
        <f t="shared" si="535"/>
        <v>0</v>
      </c>
      <c r="I4291">
        <v>4290</v>
      </c>
      <c r="J4291">
        <f t="shared" ref="J4291:J4323" si="538">SIN(2*PI()*I4291/365.25)</f>
        <v>-0.99957868554789564</v>
      </c>
      <c r="K4291">
        <f t="shared" ref="K4291:K4323" si="539">COS(2*PI()*I4291/365.25)</f>
        <v>-2.902501332197973E-2</v>
      </c>
      <c r="L4291">
        <f>VLOOKUP(D4291,[1]SOI!$A$1:$C$142,3)</f>
        <v>2.1</v>
      </c>
      <c r="M4291" s="2">
        <f t="shared" ref="M4291:M4323" si="540">I4291*J4291</f>
        <v>-4288.1925610004719</v>
      </c>
      <c r="N4291">
        <f t="shared" ref="N4291:N4323" si="541">I4291*K4291</f>
        <v>-124.51730715129304</v>
      </c>
      <c r="O4291" t="s">
        <v>15</v>
      </c>
    </row>
    <row r="4292" spans="1:15" x14ac:dyDescent="0.35">
      <c r="A4292">
        <v>2011</v>
      </c>
      <c r="B4292">
        <v>9</v>
      </c>
      <c r="C4292">
        <v>30</v>
      </c>
      <c r="D4292" s="1">
        <f t="shared" si="536"/>
        <v>40816</v>
      </c>
      <c r="E4292">
        <v>3.8</v>
      </c>
      <c r="F4292">
        <f t="shared" ref="F4292:F4323" si="542">E4291</f>
        <v>46.8</v>
      </c>
      <c r="G4292">
        <f t="shared" si="537"/>
        <v>1</v>
      </c>
      <c r="H4292">
        <f t="shared" ref="H4292:H4323" si="543">G4291</f>
        <v>1</v>
      </c>
      <c r="I4292">
        <v>4291</v>
      </c>
      <c r="J4292">
        <f t="shared" si="538"/>
        <v>-0.99993006579620569</v>
      </c>
      <c r="K4292">
        <f t="shared" si="539"/>
        <v>-1.1826390691828868E-2</v>
      </c>
      <c r="L4292">
        <f>VLOOKUP(D4292,[1]SOI!$A$1:$C$142,3)</f>
        <v>2.1</v>
      </c>
      <c r="M4292" s="2">
        <f t="shared" si="540"/>
        <v>-4290.699912331519</v>
      </c>
      <c r="N4292">
        <f t="shared" si="541"/>
        <v>-50.747042458637672</v>
      </c>
      <c r="O4292" t="s">
        <v>15</v>
      </c>
    </row>
    <row r="4293" spans="1:15" x14ac:dyDescent="0.35">
      <c r="A4293">
        <v>2011</v>
      </c>
      <c r="B4293">
        <v>10</v>
      </c>
      <c r="C4293">
        <v>1</v>
      </c>
      <c r="D4293" s="1">
        <f t="shared" si="536"/>
        <v>40817</v>
      </c>
      <c r="E4293">
        <v>10.6</v>
      </c>
      <c r="F4293">
        <f t="shared" si="542"/>
        <v>3.8</v>
      </c>
      <c r="G4293">
        <f t="shared" si="537"/>
        <v>1</v>
      </c>
      <c r="H4293">
        <f t="shared" si="543"/>
        <v>1</v>
      </c>
      <c r="I4293">
        <v>4292</v>
      </c>
      <c r="J4293">
        <f t="shared" si="538"/>
        <v>-0.99998555065071859</v>
      </c>
      <c r="K4293">
        <f t="shared" si="539"/>
        <v>5.3757315575818322E-3</v>
      </c>
      <c r="L4293">
        <f>VLOOKUP(D4293,[1]SOI!$A$1:$C$142,3)</f>
        <v>2.1</v>
      </c>
      <c r="M4293" s="2">
        <f t="shared" si="540"/>
        <v>-4291.9379833928842</v>
      </c>
      <c r="N4293">
        <f t="shared" si="541"/>
        <v>23.072639845141225</v>
      </c>
      <c r="O4293" t="s">
        <v>15</v>
      </c>
    </row>
    <row r="4294" spans="1:15" x14ac:dyDescent="0.35">
      <c r="A4294">
        <v>2011</v>
      </c>
      <c r="B4294">
        <v>10</v>
      </c>
      <c r="C4294">
        <v>2</v>
      </c>
      <c r="D4294" s="1">
        <f t="shared" si="536"/>
        <v>40818</v>
      </c>
      <c r="E4294">
        <v>3.2</v>
      </c>
      <c r="F4294">
        <f t="shared" si="542"/>
        <v>10.6</v>
      </c>
      <c r="G4294">
        <f t="shared" si="537"/>
        <v>1</v>
      </c>
      <c r="H4294">
        <f t="shared" si="543"/>
        <v>1</v>
      </c>
      <c r="I4294">
        <v>4293</v>
      </c>
      <c r="J4294">
        <f t="shared" si="538"/>
        <v>-0.99974512369257362</v>
      </c>
      <c r="K4294">
        <f t="shared" si="539"/>
        <v>2.2576263041537439E-2</v>
      </c>
      <c r="L4294">
        <f>VLOOKUP(D4294,[1]SOI!$A$1:$C$142,3)</f>
        <v>2.1</v>
      </c>
      <c r="M4294" s="2">
        <f t="shared" si="540"/>
        <v>-4291.9058160122186</v>
      </c>
      <c r="N4294">
        <f t="shared" si="541"/>
        <v>96.919897237320228</v>
      </c>
      <c r="O4294" t="s">
        <v>15</v>
      </c>
    </row>
    <row r="4295" spans="1:15" x14ac:dyDescent="0.35">
      <c r="A4295">
        <v>2011</v>
      </c>
      <c r="B4295">
        <v>10</v>
      </c>
      <c r="C4295">
        <v>3</v>
      </c>
      <c r="D4295" s="1">
        <f t="shared" si="536"/>
        <v>40819</v>
      </c>
      <c r="E4295">
        <v>0.2</v>
      </c>
      <c r="F4295">
        <f t="shared" si="542"/>
        <v>3.2</v>
      </c>
      <c r="G4295">
        <f t="shared" si="537"/>
        <v>1</v>
      </c>
      <c r="H4295">
        <f t="shared" si="543"/>
        <v>1</v>
      </c>
      <c r="I4295">
        <v>4294</v>
      </c>
      <c r="J4295">
        <f t="shared" si="538"/>
        <v>-0.99920885606797527</v>
      </c>
      <c r="K4295">
        <f t="shared" si="539"/>
        <v>3.9770113846056117E-2</v>
      </c>
      <c r="L4295">
        <f>VLOOKUP(D4295,[1]SOI!$A$1:$C$142,3)</f>
        <v>2.1</v>
      </c>
      <c r="M4295" s="2">
        <f t="shared" si="540"/>
        <v>-4290.6028279558859</v>
      </c>
      <c r="N4295">
        <f t="shared" si="541"/>
        <v>170.77286885496497</v>
      </c>
      <c r="O4295" t="s">
        <v>15</v>
      </c>
    </row>
    <row r="4296" spans="1:15" x14ac:dyDescent="0.35">
      <c r="A4296">
        <v>2011</v>
      </c>
      <c r="B4296">
        <v>10</v>
      </c>
      <c r="C4296">
        <v>4</v>
      </c>
      <c r="D4296" s="1">
        <f t="shared" si="536"/>
        <v>40820</v>
      </c>
      <c r="E4296">
        <v>0</v>
      </c>
      <c r="F4296">
        <f t="shared" si="542"/>
        <v>0.2</v>
      </c>
      <c r="G4296">
        <f t="shared" si="537"/>
        <v>0</v>
      </c>
      <c r="H4296">
        <f t="shared" si="543"/>
        <v>1</v>
      </c>
      <c r="I4296">
        <v>4295</v>
      </c>
      <c r="J4296">
        <f t="shared" si="538"/>
        <v>-0.99837690646714228</v>
      </c>
      <c r="K4296">
        <f t="shared" si="539"/>
        <v>5.6952196034033939E-2</v>
      </c>
      <c r="L4296">
        <f>VLOOKUP(D4296,[1]SOI!$A$1:$C$142,3)</f>
        <v>2.1</v>
      </c>
      <c r="M4296" s="2">
        <f t="shared" si="540"/>
        <v>-4288.0288132763762</v>
      </c>
      <c r="N4296">
        <f t="shared" si="541"/>
        <v>244.60968196617577</v>
      </c>
      <c r="O4296" t="s">
        <v>15</v>
      </c>
    </row>
    <row r="4297" spans="1:15" x14ac:dyDescent="0.35">
      <c r="A4297">
        <v>2011</v>
      </c>
      <c r="B4297">
        <v>10</v>
      </c>
      <c r="C4297">
        <v>5</v>
      </c>
      <c r="D4297" s="1">
        <f t="shared" si="536"/>
        <v>40821</v>
      </c>
      <c r="E4297">
        <v>0</v>
      </c>
      <c r="F4297">
        <f t="shared" si="542"/>
        <v>0</v>
      </c>
      <c r="G4297">
        <f t="shared" si="537"/>
        <v>0</v>
      </c>
      <c r="H4297">
        <f t="shared" si="543"/>
        <v>0</v>
      </c>
      <c r="I4297">
        <v>4296</v>
      </c>
      <c r="J4297">
        <f t="shared" si="538"/>
        <v>-0.99724952107734488</v>
      </c>
      <c r="K4297">
        <f t="shared" si="539"/>
        <v>7.4117425150946742E-2</v>
      </c>
      <c r="L4297">
        <f>VLOOKUP(D4297,[1]SOI!$A$1:$C$142,3)</f>
        <v>2.1</v>
      </c>
      <c r="M4297" s="2">
        <f t="shared" si="540"/>
        <v>-4284.183942548274</v>
      </c>
      <c r="N4297">
        <f t="shared" si="541"/>
        <v>318.40845844846723</v>
      </c>
      <c r="O4297" t="s">
        <v>15</v>
      </c>
    </row>
    <row r="4298" spans="1:15" x14ac:dyDescent="0.35">
      <c r="A4298">
        <v>2011</v>
      </c>
      <c r="B4298">
        <v>10</v>
      </c>
      <c r="C4298">
        <v>6</v>
      </c>
      <c r="D4298" s="1">
        <f t="shared" si="536"/>
        <v>40822</v>
      </c>
      <c r="E4298">
        <v>0</v>
      </c>
      <c r="F4298">
        <f t="shared" si="542"/>
        <v>0</v>
      </c>
      <c r="G4298">
        <f t="shared" si="537"/>
        <v>0</v>
      </c>
      <c r="H4298">
        <f t="shared" si="543"/>
        <v>0</v>
      </c>
      <c r="I4298">
        <v>4297</v>
      </c>
      <c r="J4298">
        <f t="shared" si="538"/>
        <v>-0.99582703351005974</v>
      </c>
      <c r="K4298">
        <f t="shared" si="539"/>
        <v>9.1260721729308505E-2</v>
      </c>
      <c r="L4298">
        <f>VLOOKUP(D4298,[1]SOI!$A$1:$C$142,3)</f>
        <v>2.1</v>
      </c>
      <c r="M4298" s="2">
        <f t="shared" si="540"/>
        <v>-4279.068762992727</v>
      </c>
      <c r="N4298">
        <f t="shared" si="541"/>
        <v>392.14732127083863</v>
      </c>
      <c r="O4298" t="s">
        <v>15</v>
      </c>
    </row>
    <row r="4299" spans="1:15" x14ac:dyDescent="0.35">
      <c r="A4299">
        <v>2011</v>
      </c>
      <c r="B4299">
        <v>10</v>
      </c>
      <c r="C4299">
        <v>7</v>
      </c>
      <c r="D4299" s="1">
        <f t="shared" si="536"/>
        <v>40823</v>
      </c>
      <c r="E4299">
        <v>0</v>
      </c>
      <c r="F4299">
        <f t="shared" si="542"/>
        <v>0</v>
      </c>
      <c r="G4299">
        <f t="shared" si="537"/>
        <v>0</v>
      </c>
      <c r="H4299">
        <f t="shared" si="543"/>
        <v>0</v>
      </c>
      <c r="I4299">
        <v>4298</v>
      </c>
      <c r="J4299">
        <f t="shared" si="538"/>
        <v>-0.99410986470224283</v>
      </c>
      <c r="K4299">
        <f t="shared" si="539"/>
        <v>0.10837701279186676</v>
      </c>
      <c r="L4299">
        <f>VLOOKUP(D4299,[1]SOI!$A$1:$C$142,3)</f>
        <v>2.1</v>
      </c>
      <c r="M4299" s="2">
        <f t="shared" si="540"/>
        <v>-4272.6841984902394</v>
      </c>
      <c r="N4299">
        <f t="shared" si="541"/>
        <v>465.80440097944336</v>
      </c>
      <c r="O4299" t="s">
        <v>15</v>
      </c>
    </row>
    <row r="4300" spans="1:15" x14ac:dyDescent="0.35">
      <c r="A4300">
        <v>2011</v>
      </c>
      <c r="B4300">
        <v>10</v>
      </c>
      <c r="C4300">
        <v>8</v>
      </c>
      <c r="D4300" s="1">
        <f t="shared" si="536"/>
        <v>40824</v>
      </c>
      <c r="E4300">
        <v>2</v>
      </c>
      <c r="F4300">
        <f t="shared" si="542"/>
        <v>0</v>
      </c>
      <c r="G4300">
        <f t="shared" si="537"/>
        <v>1</v>
      </c>
      <c r="H4300">
        <f t="shared" si="543"/>
        <v>0</v>
      </c>
      <c r="I4300">
        <v>4299</v>
      </c>
      <c r="J4300">
        <f t="shared" si="538"/>
        <v>-0.99209852279176913</v>
      </c>
      <c r="K4300">
        <f t="shared" si="539"/>
        <v>0.12546123335273554</v>
      </c>
      <c r="L4300">
        <f>VLOOKUP(D4300,[1]SOI!$A$1:$C$142,3)</f>
        <v>2.1</v>
      </c>
      <c r="M4300" s="2">
        <f t="shared" si="540"/>
        <v>-4265.0315494818151</v>
      </c>
      <c r="N4300">
        <f t="shared" si="541"/>
        <v>539.35784218341007</v>
      </c>
      <c r="O4300" t="s">
        <v>15</v>
      </c>
    </row>
    <row r="4301" spans="1:15" x14ac:dyDescent="0.35">
      <c r="A4301">
        <v>2011</v>
      </c>
      <c r="B4301">
        <v>10</v>
      </c>
      <c r="C4301">
        <v>9</v>
      </c>
      <c r="D4301" s="1">
        <f t="shared" si="536"/>
        <v>40825</v>
      </c>
      <c r="E4301">
        <v>0.6</v>
      </c>
      <c r="F4301">
        <f t="shared" si="542"/>
        <v>2</v>
      </c>
      <c r="G4301">
        <f t="shared" si="537"/>
        <v>1</v>
      </c>
      <c r="H4301">
        <f t="shared" si="543"/>
        <v>1</v>
      </c>
      <c r="I4301">
        <v>4300</v>
      </c>
      <c r="J4301">
        <f t="shared" si="538"/>
        <v>-0.98979360296707264</v>
      </c>
      <c r="K4301">
        <f t="shared" si="539"/>
        <v>0.142508327916164</v>
      </c>
      <c r="L4301">
        <f>VLOOKUP(D4301,[1]SOI!$A$1:$C$142,3)</f>
        <v>2.1</v>
      </c>
      <c r="M4301" s="2">
        <f t="shared" si="540"/>
        <v>-4256.1124927584124</v>
      </c>
      <c r="N4301">
        <f t="shared" si="541"/>
        <v>612.78581003950524</v>
      </c>
      <c r="O4301" t="s">
        <v>15</v>
      </c>
    </row>
    <row r="4302" spans="1:15" x14ac:dyDescent="0.35">
      <c r="A4302">
        <v>2011</v>
      </c>
      <c r="B4302">
        <v>10</v>
      </c>
      <c r="C4302">
        <v>10</v>
      </c>
      <c r="D4302" s="1">
        <f t="shared" si="536"/>
        <v>40826</v>
      </c>
      <c r="E4302">
        <v>0.8</v>
      </c>
      <c r="F4302">
        <f t="shared" si="542"/>
        <v>0.6</v>
      </c>
      <c r="G4302">
        <f t="shared" si="537"/>
        <v>1</v>
      </c>
      <c r="H4302">
        <f t="shared" si="543"/>
        <v>1</v>
      </c>
      <c r="I4302">
        <v>4301</v>
      </c>
      <c r="J4302">
        <f t="shared" si="538"/>
        <v>-0.98719578729100832</v>
      </c>
      <c r="K4302">
        <f t="shared" si="539"/>
        <v>0.1595132519726376</v>
      </c>
      <c r="L4302">
        <f>VLOOKUP(D4302,[1]SOI!$A$1:$C$142,3)</f>
        <v>2.1</v>
      </c>
      <c r="M4302" s="2">
        <f t="shared" si="540"/>
        <v>-4245.9290811386272</v>
      </c>
      <c r="N4302">
        <f t="shared" si="541"/>
        <v>686.06649673431434</v>
      </c>
      <c r="O4302" t="s">
        <v>15</v>
      </c>
    </row>
    <row r="4303" spans="1:15" x14ac:dyDescent="0.35">
      <c r="A4303">
        <v>2011</v>
      </c>
      <c r="B4303">
        <v>10</v>
      </c>
      <c r="C4303">
        <v>11</v>
      </c>
      <c r="D4303" s="1">
        <f t="shared" si="536"/>
        <v>40827</v>
      </c>
      <c r="E4303">
        <v>2</v>
      </c>
      <c r="F4303">
        <f t="shared" si="542"/>
        <v>0.8</v>
      </c>
      <c r="G4303">
        <f t="shared" si="537"/>
        <v>1</v>
      </c>
      <c r="H4303">
        <f t="shared" si="543"/>
        <v>1</v>
      </c>
      <c r="I4303">
        <v>4302</v>
      </c>
      <c r="J4303">
        <f t="shared" si="538"/>
        <v>-0.98430584449903391</v>
      </c>
      <c r="K4303">
        <f t="shared" si="539"/>
        <v>0.176470973491517</v>
      </c>
      <c r="L4303">
        <f>VLOOKUP(D4303,[1]SOI!$A$1:$C$142,3)</f>
        <v>2.1</v>
      </c>
      <c r="M4303" s="2">
        <f t="shared" si="540"/>
        <v>-4234.4837430348443</v>
      </c>
      <c r="N4303">
        <f t="shared" si="541"/>
        <v>759.17812796050612</v>
      </c>
      <c r="O4303" t="s">
        <v>15</v>
      </c>
    </row>
    <row r="4304" spans="1:15" x14ac:dyDescent="0.35">
      <c r="A4304">
        <v>2011</v>
      </c>
      <c r="B4304">
        <v>10</v>
      </c>
      <c r="C4304">
        <v>12</v>
      </c>
      <c r="D4304" s="1">
        <f t="shared" si="536"/>
        <v>40828</v>
      </c>
      <c r="E4304">
        <v>0</v>
      </c>
      <c r="F4304">
        <f t="shared" si="542"/>
        <v>2</v>
      </c>
      <c r="G4304">
        <f t="shared" si="537"/>
        <v>0</v>
      </c>
      <c r="H4304">
        <f t="shared" si="543"/>
        <v>1</v>
      </c>
      <c r="I4304">
        <v>4303</v>
      </c>
      <c r="J4304">
        <f t="shared" si="538"/>
        <v>-0.98112462977171411</v>
      </c>
      <c r="K4304">
        <f t="shared" si="539"/>
        <v>0.19337647441019537</v>
      </c>
      <c r="L4304">
        <f>VLOOKUP(D4304,[1]SOI!$A$1:$C$142,3)</f>
        <v>2.1</v>
      </c>
      <c r="M4304" s="2">
        <f t="shared" si="540"/>
        <v>-4221.7792819076858</v>
      </c>
      <c r="N4304">
        <f t="shared" si="541"/>
        <v>832.09896938707072</v>
      </c>
      <c r="O4304" t="s">
        <v>15</v>
      </c>
    </row>
    <row r="4305" spans="1:15" x14ac:dyDescent="0.35">
      <c r="A4305">
        <v>2011</v>
      </c>
      <c r="B4305">
        <v>10</v>
      </c>
      <c r="C4305">
        <v>13</v>
      </c>
      <c r="D4305" s="1">
        <f t="shared" si="536"/>
        <v>40829</v>
      </c>
      <c r="E4305">
        <v>0.2</v>
      </c>
      <c r="F4305">
        <f t="shared" si="542"/>
        <v>0</v>
      </c>
      <c r="G4305">
        <f t="shared" si="537"/>
        <v>1</v>
      </c>
      <c r="H4305">
        <f t="shared" si="543"/>
        <v>0</v>
      </c>
      <c r="I4305">
        <v>4304</v>
      </c>
      <c r="J4305">
        <f t="shared" si="538"/>
        <v>-0.97765308448166466</v>
      </c>
      <c r="K4305">
        <f t="shared" si="539"/>
        <v>0.21022475211898134</v>
      </c>
      <c r="L4305">
        <f>VLOOKUP(D4305,[1]SOI!$A$1:$C$142,3)</f>
        <v>2.1</v>
      </c>
      <c r="M4305" s="2">
        <f t="shared" si="540"/>
        <v>-4207.8188756090849</v>
      </c>
      <c r="N4305">
        <f t="shared" si="541"/>
        <v>904.80733312009568</v>
      </c>
      <c r="O4305" t="s">
        <v>15</v>
      </c>
    </row>
    <row r="4306" spans="1:15" x14ac:dyDescent="0.35">
      <c r="A4306">
        <v>2011</v>
      </c>
      <c r="B4306">
        <v>10</v>
      </c>
      <c r="C4306">
        <v>14</v>
      </c>
      <c r="D4306" s="1">
        <f t="shared" si="536"/>
        <v>40830</v>
      </c>
      <c r="E4306">
        <v>0</v>
      </c>
      <c r="F4306">
        <f t="shared" si="542"/>
        <v>0.2</v>
      </c>
      <c r="G4306">
        <f t="shared" si="537"/>
        <v>0</v>
      </c>
      <c r="H4306">
        <f t="shared" si="543"/>
        <v>1</v>
      </c>
      <c r="I4306">
        <v>4305</v>
      </c>
      <c r="J4306">
        <f t="shared" si="538"/>
        <v>-0.9738922359149943</v>
      </c>
      <c r="K4306">
        <f t="shared" si="539"/>
        <v>0.2270108209414104</v>
      </c>
      <c r="L4306">
        <f>VLOOKUP(D4306,[1]SOI!$A$1:$C$142,3)</f>
        <v>2.1</v>
      </c>
      <c r="M4306" s="2">
        <f t="shared" si="540"/>
        <v>-4192.6060756140505</v>
      </c>
      <c r="N4306">
        <f t="shared" si="541"/>
        <v>977.28158415277176</v>
      </c>
      <c r="O4306" t="s">
        <v>15</v>
      </c>
    </row>
    <row r="4307" spans="1:15" x14ac:dyDescent="0.35">
      <c r="A4307">
        <v>2011</v>
      </c>
      <c r="B4307">
        <v>10</v>
      </c>
      <c r="C4307">
        <v>15</v>
      </c>
      <c r="D4307" s="1">
        <f t="shared" si="536"/>
        <v>40831</v>
      </c>
      <c r="E4307">
        <v>0</v>
      </c>
      <c r="F4307">
        <f t="shared" si="542"/>
        <v>0</v>
      </c>
      <c r="G4307">
        <f t="shared" si="537"/>
        <v>0</v>
      </c>
      <c r="H4307">
        <f t="shared" si="543"/>
        <v>0</v>
      </c>
      <c r="I4307">
        <v>4306</v>
      </c>
      <c r="J4307">
        <f t="shared" si="538"/>
        <v>-0.96984319696729404</v>
      </c>
      <c r="K4307">
        <f t="shared" si="539"/>
        <v>0.24372971360968382</v>
      </c>
      <c r="L4307">
        <f>VLOOKUP(D4307,[1]SOI!$A$1:$C$142,3)</f>
        <v>2.1</v>
      </c>
      <c r="M4307" s="2">
        <f t="shared" si="540"/>
        <v>-4176.1448061411684</v>
      </c>
      <c r="N4307">
        <f t="shared" si="541"/>
        <v>1049.5001468032985</v>
      </c>
      <c r="O4307" t="s">
        <v>15</v>
      </c>
    </row>
    <row r="4308" spans="1:15" x14ac:dyDescent="0.35">
      <c r="A4308">
        <v>2011</v>
      </c>
      <c r="B4308">
        <v>10</v>
      </c>
      <c r="C4308">
        <v>16</v>
      </c>
      <c r="D4308" s="1">
        <f t="shared" si="536"/>
        <v>40832</v>
      </c>
      <c r="E4308">
        <v>1.2</v>
      </c>
      <c r="F4308">
        <f t="shared" si="542"/>
        <v>0</v>
      </c>
      <c r="G4308">
        <f t="shared" si="537"/>
        <v>1</v>
      </c>
      <c r="H4308">
        <f t="shared" si="543"/>
        <v>0</v>
      </c>
      <c r="I4308">
        <v>4307</v>
      </c>
      <c r="J4308">
        <f t="shared" si="538"/>
        <v>-0.96550716581433793</v>
      </c>
      <c r="K4308">
        <f t="shared" si="539"/>
        <v>0.2603764827344523</v>
      </c>
      <c r="L4308">
        <f>VLOOKUP(D4308,[1]SOI!$A$1:$C$142,3)</f>
        <v>2.1</v>
      </c>
      <c r="M4308" s="2">
        <f t="shared" si="540"/>
        <v>-4158.4393631623534</v>
      </c>
      <c r="N4308">
        <f t="shared" si="541"/>
        <v>1121.4415111372859</v>
      </c>
      <c r="O4308" t="s">
        <v>15</v>
      </c>
    </row>
    <row r="4309" spans="1:15" x14ac:dyDescent="0.35">
      <c r="A4309">
        <v>2011</v>
      </c>
      <c r="B4309">
        <v>10</v>
      </c>
      <c r="C4309">
        <v>17</v>
      </c>
      <c r="D4309" s="1">
        <f t="shared" si="536"/>
        <v>40833</v>
      </c>
      <c r="E4309">
        <v>1.2</v>
      </c>
      <c r="F4309">
        <f t="shared" si="542"/>
        <v>1.2</v>
      </c>
      <c r="G4309">
        <f t="shared" si="537"/>
        <v>1</v>
      </c>
      <c r="H4309">
        <f t="shared" si="543"/>
        <v>1</v>
      </c>
      <c r="I4309">
        <v>4308</v>
      </c>
      <c r="J4309">
        <f t="shared" si="538"/>
        <v>-0.96088542555750101</v>
      </c>
      <c r="K4309">
        <f t="shared" si="539"/>
        <v>0.27694620226892491</v>
      </c>
      <c r="L4309">
        <f>VLOOKUP(D4309,[1]SOI!$A$1:$C$142,3)</f>
        <v>2.1</v>
      </c>
      <c r="M4309" s="2">
        <f t="shared" si="540"/>
        <v>-4139.4944133017143</v>
      </c>
      <c r="N4309">
        <f t="shared" si="541"/>
        <v>1193.0842393745286</v>
      </c>
      <c r="O4309" t="s">
        <v>15</v>
      </c>
    </row>
    <row r="4310" spans="1:15" x14ac:dyDescent="0.35">
      <c r="A4310">
        <v>2011</v>
      </c>
      <c r="B4310">
        <v>10</v>
      </c>
      <c r="C4310">
        <v>18</v>
      </c>
      <c r="D4310" s="1">
        <f t="shared" si="536"/>
        <v>40834</v>
      </c>
      <c r="E4310">
        <v>0</v>
      </c>
      <c r="F4310">
        <f t="shared" si="542"/>
        <v>1.2</v>
      </c>
      <c r="G4310">
        <f t="shared" si="537"/>
        <v>0</v>
      </c>
      <c r="H4310">
        <f t="shared" si="543"/>
        <v>1</v>
      </c>
      <c r="I4310">
        <v>4309</v>
      </c>
      <c r="J4310">
        <f t="shared" si="538"/>
        <v>-0.95597934384407757</v>
      </c>
      <c r="K4310">
        <f t="shared" si="539"/>
        <v>0.29343396896652385</v>
      </c>
      <c r="L4310">
        <f>VLOOKUP(D4310,[1]SOI!$A$1:$C$142,3)</f>
        <v>2.1</v>
      </c>
      <c r="M4310" s="2">
        <f t="shared" si="540"/>
        <v>-4119.3149926241304</v>
      </c>
      <c r="N4310">
        <f t="shared" si="541"/>
        <v>1264.4069722767513</v>
      </c>
      <c r="O4310" t="s">
        <v>15</v>
      </c>
    </row>
    <row r="4311" spans="1:15" x14ac:dyDescent="0.35">
      <c r="A4311">
        <v>2011</v>
      </c>
      <c r="B4311">
        <v>10</v>
      </c>
      <c r="C4311">
        <v>19</v>
      </c>
      <c r="D4311" s="1">
        <f t="shared" si="536"/>
        <v>40835</v>
      </c>
      <c r="E4311">
        <v>0</v>
      </c>
      <c r="F4311">
        <f t="shared" si="542"/>
        <v>0</v>
      </c>
      <c r="G4311">
        <f t="shared" si="537"/>
        <v>0</v>
      </c>
      <c r="H4311">
        <f t="shared" si="543"/>
        <v>0</v>
      </c>
      <c r="I4311">
        <v>4310</v>
      </c>
      <c r="J4311">
        <f t="shared" si="538"/>
        <v>-0.95079037246258613</v>
      </c>
      <c r="K4311">
        <f t="shared" si="539"/>
        <v>0.30983490383179341</v>
      </c>
      <c r="L4311">
        <f>VLOOKUP(D4311,[1]SOI!$A$1:$C$142,3)</f>
        <v>2.1</v>
      </c>
      <c r="M4311" s="2">
        <f t="shared" si="540"/>
        <v>-4097.9065053137465</v>
      </c>
      <c r="N4311">
        <f t="shared" si="541"/>
        <v>1335.3884355150296</v>
      </c>
      <c r="O4311" t="s">
        <v>15</v>
      </c>
    </row>
    <row r="4312" spans="1:15" x14ac:dyDescent="0.35">
      <c r="A4312">
        <v>2011</v>
      </c>
      <c r="B4312">
        <v>10</v>
      </c>
      <c r="C4312">
        <v>20</v>
      </c>
      <c r="D4312" s="1">
        <f t="shared" si="536"/>
        <v>40836</v>
      </c>
      <c r="E4312">
        <v>0</v>
      </c>
      <c r="F4312">
        <f t="shared" si="542"/>
        <v>0</v>
      </c>
      <c r="G4312">
        <f t="shared" si="537"/>
        <v>0</v>
      </c>
      <c r="H4312">
        <f t="shared" si="543"/>
        <v>0</v>
      </c>
      <c r="I4312">
        <v>4311</v>
      </c>
      <c r="J4312">
        <f t="shared" si="538"/>
        <v>-0.94532004691313243</v>
      </c>
      <c r="K4312">
        <f t="shared" si="539"/>
        <v>0.32614415356426835</v>
      </c>
      <c r="L4312">
        <f>VLOOKUP(D4312,[1]SOI!$A$1:$C$142,3)</f>
        <v>2.1</v>
      </c>
      <c r="M4312" s="2">
        <f t="shared" si="540"/>
        <v>-4075.2747222425137</v>
      </c>
      <c r="N4312">
        <f t="shared" si="541"/>
        <v>1406.0074460155608</v>
      </c>
      <c r="O4312" t="s">
        <v>15</v>
      </c>
    </row>
    <row r="4313" spans="1:15" x14ac:dyDescent="0.35">
      <c r="A4313">
        <v>2011</v>
      </c>
      <c r="B4313">
        <v>10</v>
      </c>
      <c r="C4313">
        <v>21</v>
      </c>
      <c r="D4313" s="1">
        <f t="shared" si="536"/>
        <v>40837</v>
      </c>
      <c r="E4313">
        <v>4.4000000000000004</v>
      </c>
      <c r="F4313">
        <f t="shared" si="542"/>
        <v>0</v>
      </c>
      <c r="G4313">
        <f t="shared" si="537"/>
        <v>1</v>
      </c>
      <c r="H4313">
        <f t="shared" si="543"/>
        <v>0</v>
      </c>
      <c r="I4313">
        <v>4312</v>
      </c>
      <c r="J4313">
        <f t="shared" si="538"/>
        <v>-0.93956998595306462</v>
      </c>
      <c r="K4313">
        <f t="shared" si="539"/>
        <v>0.34235689199453528</v>
      </c>
      <c r="L4313">
        <f>VLOOKUP(D4313,[1]SOI!$A$1:$C$142,3)</f>
        <v>2.1</v>
      </c>
      <c r="M4313" s="2">
        <f t="shared" si="540"/>
        <v>-4051.4257794296145</v>
      </c>
      <c r="N4313">
        <f t="shared" si="541"/>
        <v>1476.2429182804362</v>
      </c>
      <c r="O4313" t="s">
        <v>15</v>
      </c>
    </row>
    <row r="4314" spans="1:15" x14ac:dyDescent="0.35">
      <c r="A4314">
        <v>2011</v>
      </c>
      <c r="B4314">
        <v>10</v>
      </c>
      <c r="C4314">
        <v>22</v>
      </c>
      <c r="D4314" s="1">
        <f t="shared" si="536"/>
        <v>40838</v>
      </c>
      <c r="E4314">
        <v>2.2000000000000002</v>
      </c>
      <c r="F4314">
        <f t="shared" si="542"/>
        <v>4.4000000000000004</v>
      </c>
      <c r="G4314">
        <f t="shared" si="537"/>
        <v>1</v>
      </c>
      <c r="H4314">
        <f t="shared" si="543"/>
        <v>1</v>
      </c>
      <c r="I4314">
        <v>4313</v>
      </c>
      <c r="J4314">
        <f t="shared" si="538"/>
        <v>-0.93354189111792096</v>
      </c>
      <c r="K4314">
        <f t="shared" si="539"/>
        <v>0.35846832151248165</v>
      </c>
      <c r="L4314">
        <f>VLOOKUP(D4314,[1]SOI!$A$1:$C$142,3)</f>
        <v>2.1</v>
      </c>
      <c r="M4314" s="2">
        <f t="shared" si="540"/>
        <v>-4026.3661763915929</v>
      </c>
      <c r="N4314">
        <f t="shared" si="541"/>
        <v>1546.0738706833333</v>
      </c>
      <c r="O4314" t="s">
        <v>15</v>
      </c>
    </row>
    <row r="4315" spans="1:15" x14ac:dyDescent="0.35">
      <c r="A4315">
        <v>2011</v>
      </c>
      <c r="B4315">
        <v>10</v>
      </c>
      <c r="C4315">
        <v>23</v>
      </c>
      <c r="D4315" s="1">
        <f t="shared" si="536"/>
        <v>40839</v>
      </c>
      <c r="E4315">
        <v>4.8</v>
      </c>
      <c r="F4315">
        <f t="shared" si="542"/>
        <v>2.2000000000000002</v>
      </c>
      <c r="G4315">
        <f t="shared" si="537"/>
        <v>1</v>
      </c>
      <c r="H4315">
        <f t="shared" si="543"/>
        <v>1</v>
      </c>
      <c r="I4315">
        <v>4314</v>
      </c>
      <c r="J4315">
        <f t="shared" si="538"/>
        <v>-0.92723754621795562</v>
      </c>
      <c r="K4315">
        <f t="shared" si="539"/>
        <v>0.37447367448687846</v>
      </c>
      <c r="L4315">
        <f>VLOOKUP(D4315,[1]SOI!$A$1:$C$142,3)</f>
        <v>2.1</v>
      </c>
      <c r="M4315" s="2">
        <f t="shared" si="540"/>
        <v>-4000.1027743842606</v>
      </c>
      <c r="N4315">
        <f t="shared" si="541"/>
        <v>1615.4794317363937</v>
      </c>
      <c r="O4315" t="s">
        <v>15</v>
      </c>
    </row>
    <row r="4316" spans="1:15" x14ac:dyDescent="0.35">
      <c r="A4316">
        <v>2011</v>
      </c>
      <c r="B4316">
        <v>10</v>
      </c>
      <c r="C4316">
        <v>24</v>
      </c>
      <c r="D4316" s="1">
        <f t="shared" si="536"/>
        <v>40840</v>
      </c>
      <c r="E4316">
        <v>0.2</v>
      </c>
      <c r="F4316">
        <f t="shared" si="542"/>
        <v>4.8</v>
      </c>
      <c r="G4316">
        <f t="shared" si="537"/>
        <v>1</v>
      </c>
      <c r="H4316">
        <f t="shared" si="543"/>
        <v>1</v>
      </c>
      <c r="I4316">
        <v>4315</v>
      </c>
      <c r="J4316">
        <f t="shared" si="538"/>
        <v>-0.92065881681024697</v>
      </c>
      <c r="K4316">
        <f t="shared" si="539"/>
        <v>0.39036821467629257</v>
      </c>
      <c r="L4316">
        <f>VLOOKUP(D4316,[1]SOI!$A$1:$C$142,3)</f>
        <v>2.1</v>
      </c>
      <c r="M4316" s="2">
        <f t="shared" si="540"/>
        <v>-3972.6427945362157</v>
      </c>
      <c r="N4316">
        <f t="shared" si="541"/>
        <v>1684.4388463282025</v>
      </c>
      <c r="O4316" t="s">
        <v>15</v>
      </c>
    </row>
    <row r="4317" spans="1:15" x14ac:dyDescent="0.35">
      <c r="A4317">
        <v>2011</v>
      </c>
      <c r="B4317">
        <v>10</v>
      </c>
      <c r="C4317">
        <v>25</v>
      </c>
      <c r="D4317" s="1">
        <f t="shared" si="536"/>
        <v>40841</v>
      </c>
      <c r="E4317">
        <v>7.6</v>
      </c>
      <c r="F4317">
        <f t="shared" si="542"/>
        <v>0.2</v>
      </c>
      <c r="G4317">
        <f t="shared" si="537"/>
        <v>1</v>
      </c>
      <c r="H4317">
        <f t="shared" si="543"/>
        <v>1</v>
      </c>
      <c r="I4317">
        <v>4316</v>
      </c>
      <c r="J4317">
        <f t="shared" si="538"/>
        <v>-0.91380764964666261</v>
      </c>
      <c r="K4317">
        <f t="shared" si="539"/>
        <v>0.40614723863057639</v>
      </c>
      <c r="L4317">
        <f>VLOOKUP(D4317,[1]SOI!$A$1:$C$142,3)</f>
        <v>2.1</v>
      </c>
      <c r="M4317" s="2">
        <f t="shared" si="540"/>
        <v>-3943.993815874996</v>
      </c>
      <c r="N4317">
        <f t="shared" si="541"/>
        <v>1752.9314819295678</v>
      </c>
      <c r="O4317" t="s">
        <v>15</v>
      </c>
    </row>
    <row r="4318" spans="1:15" x14ac:dyDescent="0.35">
      <c r="A4318">
        <v>2011</v>
      </c>
      <c r="B4318">
        <v>10</v>
      </c>
      <c r="C4318">
        <v>26</v>
      </c>
      <c r="D4318" s="1">
        <f t="shared" si="536"/>
        <v>40842</v>
      </c>
      <c r="E4318">
        <v>0</v>
      </c>
      <c r="F4318">
        <f t="shared" si="542"/>
        <v>7.6</v>
      </c>
      <c r="G4318">
        <f t="shared" si="537"/>
        <v>0</v>
      </c>
      <c r="H4318">
        <f t="shared" si="543"/>
        <v>1</v>
      </c>
      <c r="I4318">
        <v>4317</v>
      </c>
      <c r="J4318">
        <f t="shared" si="538"/>
        <v>-0.90668607209780205</v>
      </c>
      <c r="K4318">
        <f t="shared" si="539"/>
        <v>0.42180607708265566</v>
      </c>
      <c r="L4318">
        <f>VLOOKUP(D4318,[1]SOI!$A$1:$C$142,3)</f>
        <v>2.1</v>
      </c>
      <c r="M4318" s="2">
        <f t="shared" si="540"/>
        <v>-3914.1637732462113</v>
      </c>
      <c r="N4318">
        <f t="shared" si="541"/>
        <v>1820.9368347658244</v>
      </c>
      <c r="O4318" t="s">
        <v>15</v>
      </c>
    </row>
    <row r="4319" spans="1:15" x14ac:dyDescent="0.35">
      <c r="A4319">
        <v>2011</v>
      </c>
      <c r="B4319">
        <v>10</v>
      </c>
      <c r="C4319">
        <v>27</v>
      </c>
      <c r="D4319" s="1">
        <f t="shared" si="536"/>
        <v>40843</v>
      </c>
      <c r="E4319">
        <v>0</v>
      </c>
      <c r="F4319">
        <f t="shared" si="542"/>
        <v>0</v>
      </c>
      <c r="G4319">
        <f t="shared" si="537"/>
        <v>0</v>
      </c>
      <c r="H4319">
        <f t="shared" si="543"/>
        <v>0</v>
      </c>
      <c r="I4319">
        <v>4318</v>
      </c>
      <c r="J4319">
        <f t="shared" si="538"/>
        <v>-0.89929619155302554</v>
      </c>
      <c r="K4319">
        <f t="shared" si="539"/>
        <v>0.43734009633033183</v>
      </c>
      <c r="L4319">
        <f>VLOOKUP(D4319,[1]SOI!$A$1:$C$142,3)</f>
        <v>2.1</v>
      </c>
      <c r="M4319" s="2">
        <f t="shared" si="540"/>
        <v>-3883.1609551259644</v>
      </c>
      <c r="N4319">
        <f t="shared" si="541"/>
        <v>1888.4345359543729</v>
      </c>
      <c r="O4319" t="s">
        <v>15</v>
      </c>
    </row>
    <row r="4320" spans="1:15" x14ac:dyDescent="0.35">
      <c r="A4320">
        <v>2011</v>
      </c>
      <c r="B4320">
        <v>10</v>
      </c>
      <c r="C4320">
        <v>28</v>
      </c>
      <c r="D4320" s="1">
        <f t="shared" si="536"/>
        <v>40844</v>
      </c>
      <c r="E4320">
        <v>0</v>
      </c>
      <c r="F4320">
        <f t="shared" si="542"/>
        <v>0</v>
      </c>
      <c r="G4320">
        <f t="shared" si="537"/>
        <v>0</v>
      </c>
      <c r="H4320">
        <f t="shared" si="543"/>
        <v>0</v>
      </c>
      <c r="I4320">
        <v>4319</v>
      </c>
      <c r="J4320">
        <f t="shared" si="538"/>
        <v>-0.89164019479689027</v>
      </c>
      <c r="K4320">
        <f t="shared" si="539"/>
        <v>0.45274469960736546</v>
      </c>
      <c r="L4320">
        <f>VLOOKUP(D4320,[1]SOI!$A$1:$C$142,3)</f>
        <v>2.1</v>
      </c>
      <c r="M4320" s="2">
        <f t="shared" si="540"/>
        <v>-3850.9940013277692</v>
      </c>
      <c r="N4320">
        <f t="shared" si="541"/>
        <v>1955.4043576042113</v>
      </c>
      <c r="O4320" t="s">
        <v>15</v>
      </c>
    </row>
    <row r="4321" spans="1:15" x14ac:dyDescent="0.35">
      <c r="A4321">
        <v>2011</v>
      </c>
      <c r="B4321">
        <v>10</v>
      </c>
      <c r="C4321">
        <v>29</v>
      </c>
      <c r="D4321" s="1">
        <f t="shared" si="536"/>
        <v>40845</v>
      </c>
      <c r="E4321">
        <v>18.2</v>
      </c>
      <c r="F4321">
        <f t="shared" si="542"/>
        <v>0</v>
      </c>
      <c r="G4321">
        <f t="shared" si="537"/>
        <v>1</v>
      </c>
      <c r="H4321">
        <f t="shared" si="543"/>
        <v>0</v>
      </c>
      <c r="I4321">
        <v>4320</v>
      </c>
      <c r="J4321">
        <f t="shared" si="538"/>
        <v>-0.88372034736200333</v>
      </c>
      <c r="K4321">
        <f t="shared" si="539"/>
        <v>0.4680153284438236</v>
      </c>
      <c r="L4321">
        <f>VLOOKUP(D4321,[1]SOI!$A$1:$C$142,3)</f>
        <v>2.1</v>
      </c>
      <c r="M4321" s="2">
        <f t="shared" si="540"/>
        <v>-3817.6719006038543</v>
      </c>
      <c r="N4321">
        <f t="shared" si="541"/>
        <v>2021.8262188773178</v>
      </c>
      <c r="O4321" t="s">
        <v>15</v>
      </c>
    </row>
    <row r="4322" spans="1:15" x14ac:dyDescent="0.35">
      <c r="A4322">
        <v>2011</v>
      </c>
      <c r="B4322">
        <v>10</v>
      </c>
      <c r="C4322">
        <v>30</v>
      </c>
      <c r="D4322" s="1">
        <f t="shared" si="536"/>
        <v>40846</v>
      </c>
      <c r="E4322">
        <v>3</v>
      </c>
      <c r="F4322">
        <f t="shared" si="542"/>
        <v>18.2</v>
      </c>
      <c r="G4322">
        <f t="shared" si="537"/>
        <v>1</v>
      </c>
      <c r="H4322">
        <f t="shared" si="543"/>
        <v>1</v>
      </c>
      <c r="I4322">
        <v>4321</v>
      </c>
      <c r="J4322">
        <f t="shared" si="538"/>
        <v>-0.87553899285863213</v>
      </c>
      <c r="K4322">
        <f t="shared" si="539"/>
        <v>0.48314746401496517</v>
      </c>
      <c r="L4322">
        <f>VLOOKUP(D4322,[1]SOI!$A$1:$C$142,3)</f>
        <v>2.1</v>
      </c>
      <c r="M4322" s="2">
        <f t="shared" si="540"/>
        <v>-3783.2039881421492</v>
      </c>
      <c r="N4322">
        <f t="shared" si="541"/>
        <v>2087.6801920086646</v>
      </c>
      <c r="O4322" t="s">
        <v>15</v>
      </c>
    </row>
    <row r="4323" spans="1:15" x14ac:dyDescent="0.35">
      <c r="A4323">
        <v>2011</v>
      </c>
      <c r="B4323">
        <v>10</v>
      </c>
      <c r="C4323">
        <v>31</v>
      </c>
      <c r="D4323" s="1">
        <f t="shared" si="536"/>
        <v>40847</v>
      </c>
      <c r="E4323">
        <v>1.8</v>
      </c>
      <c r="F4323">
        <f t="shared" si="542"/>
        <v>3</v>
      </c>
      <c r="G4323">
        <f t="shared" si="537"/>
        <v>1</v>
      </c>
      <c r="H4323">
        <f t="shared" si="543"/>
        <v>1</v>
      </c>
      <c r="I4323">
        <v>4322</v>
      </c>
      <c r="J4323">
        <f t="shared" si="538"/>
        <v>-0.86709855228120591</v>
      </c>
      <c r="K4323">
        <f t="shared" si="539"/>
        <v>0.49813662847840934</v>
      </c>
      <c r="L4323">
        <f>VLOOKUP(D4323,[1]SOI!$A$1:$C$142,3)</f>
        <v>2.1</v>
      </c>
      <c r="M4323" s="2">
        <f t="shared" si="540"/>
        <v>-3747.5999429593721</v>
      </c>
      <c r="N4323">
        <f t="shared" si="541"/>
        <v>2152.946508283685</v>
      </c>
      <c r="O4323" t="s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S3678"/>
  <sheetViews>
    <sheetView showGridLines="0" topLeftCell="A10" workbookViewId="0">
      <selection activeCell="A23" sqref="A23:E29"/>
    </sheetView>
  </sheetViews>
  <sheetFormatPr defaultRowHeight="14.5" x14ac:dyDescent="0.35"/>
  <cols>
    <col min="2" max="2" width="10.7265625" customWidth="1"/>
    <col min="12" max="12" width="13.26953125" bestFit="1" customWidth="1"/>
    <col min="16" max="16" width="11.81640625" customWidth="1"/>
  </cols>
  <sheetData>
    <row r="2" spans="1:14" ht="18.5" x14ac:dyDescent="0.45">
      <c r="B2" s="5" t="s">
        <v>161</v>
      </c>
      <c r="N2" t="s">
        <v>181</v>
      </c>
    </row>
    <row r="4" spans="1:14" ht="15.5" x14ac:dyDescent="0.35">
      <c r="B4" s="12" t="s">
        <v>35</v>
      </c>
      <c r="C4" s="13"/>
      <c r="D4" s="13"/>
      <c r="E4" s="13"/>
      <c r="F4" s="13"/>
      <c r="G4" s="13"/>
      <c r="H4" s="13"/>
      <c r="I4" s="14"/>
      <c r="L4" s="12" t="s">
        <v>36</v>
      </c>
      <c r="M4" s="13"/>
      <c r="N4" s="14"/>
    </row>
    <row r="5" spans="1:14" x14ac:dyDescent="0.35">
      <c r="B5" s="29" t="s">
        <v>41</v>
      </c>
      <c r="C5" s="23"/>
      <c r="D5" s="29" t="s">
        <v>180</v>
      </c>
      <c r="E5" s="23"/>
      <c r="F5" s="29" t="s">
        <v>176</v>
      </c>
      <c r="G5" s="23"/>
      <c r="H5" s="29" t="s">
        <v>175</v>
      </c>
      <c r="I5" s="23"/>
      <c r="L5" s="11" t="s">
        <v>163</v>
      </c>
      <c r="M5" s="11" t="s">
        <v>39</v>
      </c>
      <c r="N5" s="11" t="s">
        <v>40</v>
      </c>
    </row>
    <row r="6" spans="1:14" x14ac:dyDescent="0.35">
      <c r="L6" s="3">
        <v>0</v>
      </c>
      <c r="M6" s="3">
        <v>312</v>
      </c>
      <c r="N6" s="3">
        <v>312</v>
      </c>
    </row>
    <row r="8" spans="1:14" ht="18.5" x14ac:dyDescent="0.45">
      <c r="A8" s="6" t="s">
        <v>41</v>
      </c>
      <c r="I8" s="6" t="s">
        <v>164</v>
      </c>
    </row>
    <row r="10" spans="1:14" ht="15.5" x14ac:dyDescent="0.35">
      <c r="B10" s="12" t="s">
        <v>42</v>
      </c>
      <c r="C10" s="13"/>
      <c r="D10" s="13"/>
      <c r="E10" s="13"/>
      <c r="F10" s="13"/>
      <c r="G10" s="14"/>
      <c r="J10" s="15" t="s">
        <v>165</v>
      </c>
      <c r="K10" s="16"/>
      <c r="L10" s="16"/>
      <c r="M10" s="17"/>
      <c r="N10" s="3">
        <v>46.569005397070164</v>
      </c>
    </row>
    <row r="11" spans="1:14" x14ac:dyDescent="0.35">
      <c r="B11" s="15" t="s">
        <v>43</v>
      </c>
      <c r="C11" s="16"/>
      <c r="D11" s="17"/>
      <c r="E11" s="21" t="s">
        <v>44</v>
      </c>
      <c r="F11" s="22"/>
      <c r="G11" s="23"/>
      <c r="J11" s="15" t="s">
        <v>166</v>
      </c>
      <c r="K11" s="16"/>
      <c r="L11" s="16"/>
      <c r="M11" s="17"/>
      <c r="N11" s="3">
        <v>0.33105147864184009</v>
      </c>
    </row>
    <row r="12" spans="1:14" x14ac:dyDescent="0.35">
      <c r="B12" s="15" t="s">
        <v>45</v>
      </c>
      <c r="C12" s="16"/>
      <c r="D12" s="17"/>
      <c r="E12" s="21" t="s">
        <v>110</v>
      </c>
      <c r="F12" s="22"/>
      <c r="G12" s="23"/>
      <c r="J12" s="15" t="s">
        <v>167</v>
      </c>
      <c r="K12" s="16"/>
      <c r="L12" s="16"/>
      <c r="M12" s="17"/>
      <c r="N12" s="3">
        <v>0.33105147864184009</v>
      </c>
    </row>
    <row r="13" spans="1:14" x14ac:dyDescent="0.35">
      <c r="B13" s="15" t="s">
        <v>168</v>
      </c>
      <c r="C13" s="16"/>
      <c r="D13" s="17"/>
      <c r="E13" s="21" t="s">
        <v>182</v>
      </c>
      <c r="F13" s="22"/>
      <c r="G13" s="23"/>
      <c r="J13" s="15" t="s">
        <v>170</v>
      </c>
      <c r="K13" s="16"/>
      <c r="L13" s="16"/>
      <c r="M13" s="17"/>
      <c r="N13" s="3">
        <v>-3.0206782464846982</v>
      </c>
    </row>
    <row r="14" spans="1:14" x14ac:dyDescent="0.35">
      <c r="B14" s="15" t="s">
        <v>171</v>
      </c>
      <c r="C14" s="16"/>
      <c r="D14" s="17"/>
      <c r="E14" s="21" t="s">
        <v>6</v>
      </c>
      <c r="F14" s="22"/>
      <c r="G14" s="23"/>
      <c r="J14" s="15" t="s">
        <v>172</v>
      </c>
      <c r="K14" s="16"/>
      <c r="L14" s="16"/>
      <c r="M14" s="17"/>
      <c r="N14" s="3">
        <v>-1</v>
      </c>
    </row>
    <row r="15" spans="1:14" x14ac:dyDescent="0.35">
      <c r="B15" s="15" t="s">
        <v>173</v>
      </c>
      <c r="C15" s="16"/>
      <c r="D15" s="17"/>
      <c r="E15" s="18">
        <v>3653</v>
      </c>
      <c r="F15" s="19"/>
      <c r="G15" s="20"/>
      <c r="J15" s="15" t="s">
        <v>174</v>
      </c>
      <c r="K15" s="16"/>
      <c r="L15" s="16"/>
      <c r="M15" s="17"/>
      <c r="N15" s="3">
        <v>-2.7382256297918948E-4</v>
      </c>
    </row>
    <row r="18" spans="1:19" ht="15.5" x14ac:dyDescent="0.35">
      <c r="B18" s="12" t="s">
        <v>53</v>
      </c>
      <c r="C18" s="13"/>
      <c r="D18" s="13"/>
      <c r="E18" s="13"/>
      <c r="F18" s="13"/>
      <c r="G18" s="14"/>
    </row>
    <row r="19" spans="1:19" x14ac:dyDescent="0.35">
      <c r="B19" s="15" t="s">
        <v>154</v>
      </c>
      <c r="C19" s="16"/>
      <c r="D19" s="17"/>
      <c r="E19" s="18">
        <v>1</v>
      </c>
      <c r="F19" s="19"/>
      <c r="G19" s="20"/>
    </row>
    <row r="20" spans="1:19" x14ac:dyDescent="0.35">
      <c r="B20" s="15" t="s">
        <v>175</v>
      </c>
      <c r="C20" s="16"/>
      <c r="D20" s="17"/>
      <c r="E20" s="21" t="s">
        <v>183</v>
      </c>
      <c r="F20" s="22"/>
      <c r="G20" s="23"/>
    </row>
    <row r="21" spans="1:19" x14ac:dyDescent="0.35">
      <c r="B21" s="15" t="s">
        <v>159</v>
      </c>
      <c r="C21" s="16"/>
      <c r="D21" s="17"/>
      <c r="E21" s="18">
        <v>100</v>
      </c>
      <c r="F21" s="19"/>
      <c r="G21" s="20"/>
    </row>
    <row r="23" spans="1:19" ht="18.5" x14ac:dyDescent="0.45">
      <c r="A23" s="6" t="s">
        <v>176</v>
      </c>
      <c r="O23" s="6" t="s">
        <v>175</v>
      </c>
    </row>
    <row r="25" spans="1:19" x14ac:dyDescent="0.35">
      <c r="B25" s="39" t="s">
        <v>3</v>
      </c>
      <c r="C25" s="11" t="s">
        <v>177</v>
      </c>
      <c r="D25" s="11" t="s">
        <v>175</v>
      </c>
      <c r="E25" s="11" t="s">
        <v>178</v>
      </c>
      <c r="P25" s="39" t="s">
        <v>3</v>
      </c>
      <c r="Q25" s="11" t="s">
        <v>175</v>
      </c>
      <c r="R25" s="11" t="s">
        <v>184</v>
      </c>
      <c r="S25" s="11" t="s">
        <v>185</v>
      </c>
    </row>
    <row r="26" spans="1:19" x14ac:dyDescent="0.35">
      <c r="B26" s="38">
        <v>36526</v>
      </c>
      <c r="C26" s="3">
        <v>1</v>
      </c>
      <c r="D26" s="3" t="s">
        <v>179</v>
      </c>
      <c r="E26" s="3" t="s">
        <v>179</v>
      </c>
      <c r="P26" s="38">
        <v>40179</v>
      </c>
      <c r="Q26" s="3">
        <v>0</v>
      </c>
      <c r="R26" s="3">
        <v>-1.1275515474949238</v>
      </c>
      <c r="S26" s="3">
        <v>1.1275515474949238</v>
      </c>
    </row>
    <row r="27" spans="1:19" x14ac:dyDescent="0.35">
      <c r="B27" s="38">
        <v>36527</v>
      </c>
      <c r="C27" s="3">
        <v>0</v>
      </c>
      <c r="D27" s="3">
        <v>1</v>
      </c>
      <c r="E27" s="3">
        <f>C27 - D27</f>
        <v>-1</v>
      </c>
      <c r="P27" s="38">
        <v>40180</v>
      </c>
      <c r="Q27" s="3">
        <v>0</v>
      </c>
      <c r="R27" s="3">
        <v>-1.5945986907420924</v>
      </c>
      <c r="S27" s="3">
        <v>1.5945986907420924</v>
      </c>
    </row>
    <row r="28" spans="1:19" x14ac:dyDescent="0.35">
      <c r="B28" s="38">
        <v>36528</v>
      </c>
      <c r="C28" s="3">
        <v>0</v>
      </c>
      <c r="D28" s="3">
        <v>0</v>
      </c>
      <c r="E28" s="3">
        <f>C28 - D28</f>
        <v>0</v>
      </c>
      <c r="P28" s="38">
        <v>40181</v>
      </c>
      <c r="Q28" s="3">
        <v>0</v>
      </c>
      <c r="R28" s="3">
        <v>-1.9529765684141203</v>
      </c>
      <c r="S28" s="3">
        <v>1.9529765684141203</v>
      </c>
    </row>
    <row r="29" spans="1:19" x14ac:dyDescent="0.35">
      <c r="B29" s="38">
        <v>36529</v>
      </c>
      <c r="C29" s="3">
        <v>1</v>
      </c>
      <c r="D29" s="3">
        <v>0</v>
      </c>
      <c r="E29" s="3">
        <f>C29 - D29</f>
        <v>1</v>
      </c>
      <c r="P29" s="38">
        <v>40182</v>
      </c>
      <c r="Q29" s="3">
        <v>0</v>
      </c>
      <c r="R29" s="3">
        <v>-2.2551030949898476</v>
      </c>
      <c r="S29" s="3">
        <v>2.2551030949898476</v>
      </c>
    </row>
    <row r="30" spans="1:19" x14ac:dyDescent="0.35">
      <c r="B30" s="38">
        <v>36530</v>
      </c>
      <c r="C30" s="3">
        <v>1</v>
      </c>
      <c r="D30" s="3">
        <v>1</v>
      </c>
      <c r="E30" s="3">
        <f>C30 - D30</f>
        <v>0</v>
      </c>
      <c r="P30" s="38">
        <v>40183</v>
      </c>
      <c r="Q30" s="3">
        <v>0</v>
      </c>
      <c r="R30" s="3">
        <v>-2.5212819083337323</v>
      </c>
      <c r="S30" s="3">
        <v>2.5212819083337323</v>
      </c>
    </row>
    <row r="31" spans="1:19" x14ac:dyDescent="0.35">
      <c r="B31" s="38">
        <v>36531</v>
      </c>
      <c r="C31" s="3">
        <v>0</v>
      </c>
      <c r="D31" s="3">
        <v>1</v>
      </c>
      <c r="E31" s="3">
        <f>C31 - D31</f>
        <v>-1</v>
      </c>
      <c r="P31" s="38">
        <v>40184</v>
      </c>
      <c r="Q31" s="3">
        <v>0</v>
      </c>
      <c r="R31" s="3">
        <v>-2.7619259500481155</v>
      </c>
      <c r="S31" s="3">
        <v>2.7619259500481155</v>
      </c>
    </row>
    <row r="32" spans="1:19" x14ac:dyDescent="0.35">
      <c r="B32" s="38">
        <v>36532</v>
      </c>
      <c r="C32" s="3">
        <v>0</v>
      </c>
      <c r="D32" s="3">
        <v>0</v>
      </c>
      <c r="E32" s="3">
        <f>C32 - D32</f>
        <v>0</v>
      </c>
      <c r="P32" s="38">
        <v>40185</v>
      </c>
      <c r="Q32" s="3">
        <v>0</v>
      </c>
      <c r="R32" s="3">
        <v>-2.9832209850776028</v>
      </c>
      <c r="S32" s="3">
        <v>2.9832209850776028</v>
      </c>
    </row>
    <row r="33" spans="2:19" x14ac:dyDescent="0.35">
      <c r="B33" s="38">
        <v>36533</v>
      </c>
      <c r="C33" s="3">
        <v>0</v>
      </c>
      <c r="D33" s="3">
        <v>0</v>
      </c>
      <c r="E33" s="3">
        <f>C33 - D33</f>
        <v>0</v>
      </c>
      <c r="P33" s="38">
        <v>40186</v>
      </c>
      <c r="Q33" s="3">
        <v>0</v>
      </c>
      <c r="R33" s="3">
        <v>-3.1891973814841847</v>
      </c>
      <c r="S33" s="3">
        <v>3.1891973814841847</v>
      </c>
    </row>
    <row r="34" spans="2:19" x14ac:dyDescent="0.35">
      <c r="B34" s="38">
        <v>36534</v>
      </c>
      <c r="C34" s="3">
        <v>0</v>
      </c>
      <c r="D34" s="3">
        <v>0</v>
      </c>
      <c r="E34" s="3">
        <f>C34 - D34</f>
        <v>0</v>
      </c>
      <c r="P34" s="38">
        <v>40187</v>
      </c>
      <c r="Q34" s="3">
        <v>0</v>
      </c>
      <c r="R34" s="3">
        <v>-3.3826546424847717</v>
      </c>
      <c r="S34" s="3">
        <v>3.3826546424847717</v>
      </c>
    </row>
    <row r="35" spans="2:19" x14ac:dyDescent="0.35">
      <c r="B35" s="38">
        <v>36535</v>
      </c>
      <c r="C35" s="3">
        <v>1</v>
      </c>
      <c r="D35" s="3">
        <v>0</v>
      </c>
      <c r="E35" s="3">
        <f>C35 - D35</f>
        <v>1</v>
      </c>
      <c r="P35" s="38">
        <v>40188</v>
      </c>
      <c r="Q35" s="3">
        <v>0</v>
      </c>
      <c r="R35" s="3">
        <v>-3.565631069331483</v>
      </c>
      <c r="S35" s="3">
        <v>3.565631069331483</v>
      </c>
    </row>
    <row r="36" spans="2:19" x14ac:dyDescent="0.35">
      <c r="B36" s="38">
        <v>36536</v>
      </c>
      <c r="C36" s="3">
        <v>0</v>
      </c>
      <c r="D36" s="3">
        <v>1</v>
      </c>
      <c r="E36" s="3">
        <f>C36 - D36</f>
        <v>-1</v>
      </c>
      <c r="P36" s="38">
        <v>40189</v>
      </c>
      <c r="Q36" s="3">
        <v>0</v>
      </c>
      <c r="R36" s="3">
        <v>-3.7396654148252582</v>
      </c>
      <c r="S36" s="3">
        <v>3.7396654148252582</v>
      </c>
    </row>
    <row r="37" spans="2:19" x14ac:dyDescent="0.35">
      <c r="B37" s="38">
        <v>36537</v>
      </c>
      <c r="C37" s="3">
        <v>0</v>
      </c>
      <c r="D37" s="3">
        <v>0</v>
      </c>
      <c r="E37" s="3">
        <f>C37 - D37</f>
        <v>0</v>
      </c>
      <c r="P37" s="38">
        <v>40190</v>
      </c>
      <c r="Q37" s="3">
        <v>0</v>
      </c>
      <c r="R37" s="3">
        <v>-3.9059531368282405</v>
      </c>
      <c r="S37" s="3">
        <v>3.9059531368282405</v>
      </c>
    </row>
    <row r="38" spans="2:19" x14ac:dyDescent="0.35">
      <c r="B38" s="38">
        <v>36538</v>
      </c>
      <c r="C38" s="3">
        <v>0</v>
      </c>
      <c r="D38" s="3">
        <v>0</v>
      </c>
      <c r="E38" s="3">
        <f>C38 - D38</f>
        <v>0</v>
      </c>
      <c r="P38" s="38">
        <v>40191</v>
      </c>
      <c r="Q38" s="3">
        <v>0</v>
      </c>
      <c r="R38" s="3">
        <v>-4.0654449202217178</v>
      </c>
      <c r="S38" s="3">
        <v>4.0654449202217178</v>
      </c>
    </row>
    <row r="39" spans="2:19" x14ac:dyDescent="0.35">
      <c r="B39" s="38">
        <v>36539</v>
      </c>
      <c r="C39" s="3">
        <v>0</v>
      </c>
      <c r="D39" s="3">
        <v>0</v>
      </c>
      <c r="E39" s="3">
        <f>C39 - D39</f>
        <v>0</v>
      </c>
      <c r="P39" s="38">
        <v>40192</v>
      </c>
      <c r="Q39" s="3">
        <v>0</v>
      </c>
      <c r="R39" s="3">
        <v>-4.2189115766527703</v>
      </c>
      <c r="S39" s="3">
        <v>4.2189115766527703</v>
      </c>
    </row>
    <row r="40" spans="2:19" x14ac:dyDescent="0.35">
      <c r="B40" s="38">
        <v>36540</v>
      </c>
      <c r="C40" s="3">
        <v>0</v>
      </c>
      <c r="D40" s="3">
        <v>0</v>
      </c>
      <c r="E40" s="3">
        <f>C40 - D40</f>
        <v>0</v>
      </c>
      <c r="P40" s="38">
        <v>40193</v>
      </c>
      <c r="Q40" s="3">
        <v>0</v>
      </c>
      <c r="R40" s="3">
        <v>-4.3669883654382415</v>
      </c>
      <c r="S40" s="3">
        <v>4.3669883654382415</v>
      </c>
    </row>
    <row r="41" spans="2:19" x14ac:dyDescent="0.35">
      <c r="B41" s="38">
        <v>36541</v>
      </c>
      <c r="C41" s="3">
        <v>1</v>
      </c>
      <c r="D41" s="3">
        <v>0</v>
      </c>
      <c r="E41" s="3">
        <f>C41 - D41</f>
        <v>1</v>
      </c>
      <c r="P41" s="38">
        <v>40194</v>
      </c>
      <c r="Q41" s="3">
        <v>0</v>
      </c>
      <c r="R41" s="3">
        <v>-4.5102061899796952</v>
      </c>
      <c r="S41" s="3">
        <v>4.5102061899796952</v>
      </c>
    </row>
    <row r="42" spans="2:19" x14ac:dyDescent="0.35">
      <c r="B42" s="38">
        <v>36542</v>
      </c>
      <c r="C42" s="3">
        <v>1</v>
      </c>
      <c r="D42" s="3">
        <v>1</v>
      </c>
      <c r="E42" s="3">
        <f>C42 - D42</f>
        <v>0</v>
      </c>
      <c r="P42" s="38">
        <v>40195</v>
      </c>
      <c r="Q42" s="3">
        <v>0</v>
      </c>
      <c r="R42" s="3">
        <v>-4.6490141286502187</v>
      </c>
      <c r="S42" s="3">
        <v>4.6490141286502187</v>
      </c>
    </row>
    <row r="43" spans="2:19" x14ac:dyDescent="0.35">
      <c r="B43" s="38">
        <v>36543</v>
      </c>
      <c r="C43" s="3">
        <v>0</v>
      </c>
      <c r="D43" s="3">
        <v>1</v>
      </c>
      <c r="E43" s="3">
        <f>C43 - D43</f>
        <v>-1</v>
      </c>
      <c r="P43" s="38">
        <v>40196</v>
      </c>
      <c r="Q43" s="3">
        <v>0</v>
      </c>
      <c r="R43" s="3">
        <v>-4.7837960722262762</v>
      </c>
      <c r="S43" s="3">
        <v>4.7837960722262762</v>
      </c>
    </row>
    <row r="44" spans="2:19" x14ac:dyDescent="0.35">
      <c r="B44" s="38">
        <v>36544</v>
      </c>
      <c r="C44" s="3">
        <v>0</v>
      </c>
      <c r="D44" s="3">
        <v>0</v>
      </c>
      <c r="E44" s="3">
        <f>C44 - D44</f>
        <v>0</v>
      </c>
      <c r="P44" s="38">
        <v>40197</v>
      </c>
      <c r="Q44" s="3">
        <v>0</v>
      </c>
      <c r="R44" s="3">
        <v>-4.9148832491632746</v>
      </c>
      <c r="S44" s="3">
        <v>4.9148832491632746</v>
      </c>
    </row>
    <row r="45" spans="2:19" x14ac:dyDescent="0.35">
      <c r="B45" s="38">
        <v>36545</v>
      </c>
      <c r="C45" s="3">
        <v>0</v>
      </c>
      <c r="D45" s="3">
        <v>0</v>
      </c>
      <c r="E45" s="3">
        <f>C45 - D45</f>
        <v>0</v>
      </c>
      <c r="P45" s="38">
        <v>40198</v>
      </c>
      <c r="Q45" s="3">
        <v>0</v>
      </c>
      <c r="R45" s="3">
        <v>-5.0425638166674647</v>
      </c>
      <c r="S45" s="3">
        <v>5.0425638166674647</v>
      </c>
    </row>
    <row r="46" spans="2:19" x14ac:dyDescent="0.35">
      <c r="B46" s="38">
        <v>36546</v>
      </c>
      <c r="C46" s="3">
        <v>0</v>
      </c>
      <c r="D46" s="3">
        <v>0</v>
      </c>
      <c r="E46" s="3">
        <f>C46 - D46</f>
        <v>0</v>
      </c>
      <c r="P46" s="38">
        <v>40199</v>
      </c>
      <c r="Q46" s="3">
        <v>0</v>
      </c>
      <c r="R46" s="3">
        <v>-5.167090316360083</v>
      </c>
      <c r="S46" s="3">
        <v>5.167090316360083</v>
      </c>
    </row>
    <row r="47" spans="2:19" x14ac:dyDescent="0.35">
      <c r="B47" s="38">
        <v>36547</v>
      </c>
      <c r="C47" s="3">
        <v>1</v>
      </c>
      <c r="D47" s="3">
        <v>0</v>
      </c>
      <c r="E47" s="3">
        <f>C47 - D47</f>
        <v>1</v>
      </c>
      <c r="P47" s="38">
        <v>40200</v>
      </c>
      <c r="Q47" s="3">
        <v>0</v>
      </c>
      <c r="R47" s="3">
        <v>-5.2886855483834863</v>
      </c>
      <c r="S47" s="3">
        <v>5.2886855483834863</v>
      </c>
    </row>
    <row r="48" spans="2:19" x14ac:dyDescent="0.35">
      <c r="B48" s="38">
        <v>36548</v>
      </c>
      <c r="C48" s="3">
        <v>1</v>
      </c>
      <c r="D48" s="3">
        <v>1</v>
      </c>
      <c r="E48" s="3">
        <f>C48 - D48</f>
        <v>0</v>
      </c>
      <c r="P48" s="38">
        <v>40201</v>
      </c>
      <c r="Q48" s="3">
        <v>0</v>
      </c>
      <c r="R48" s="3">
        <v>-5.407547255636195</v>
      </c>
      <c r="S48" s="3">
        <v>5.407547255636195</v>
      </c>
    </row>
    <row r="49" spans="2:19" x14ac:dyDescent="0.35">
      <c r="B49" s="38">
        <v>36549</v>
      </c>
      <c r="C49" s="3">
        <v>1</v>
      </c>
      <c r="D49" s="3">
        <v>1</v>
      </c>
      <c r="E49" s="3">
        <f>C49 - D49</f>
        <v>0</v>
      </c>
      <c r="P49" s="38">
        <v>40202</v>
      </c>
      <c r="Q49" s="3">
        <v>0</v>
      </c>
      <c r="R49" s="3">
        <v>-5.5238519000962309</v>
      </c>
      <c r="S49" s="3">
        <v>5.5238519000962309</v>
      </c>
    </row>
    <row r="50" spans="2:19" x14ac:dyDescent="0.35">
      <c r="B50" s="38">
        <v>36550</v>
      </c>
      <c r="C50" s="3">
        <v>1</v>
      </c>
      <c r="D50" s="3">
        <v>1</v>
      </c>
      <c r="E50" s="3">
        <f>C50 - D50</f>
        <v>0</v>
      </c>
      <c r="P50" s="38">
        <v>40203</v>
      </c>
      <c r="Q50" s="3">
        <v>0</v>
      </c>
      <c r="R50" s="3">
        <v>-5.6377577374746188</v>
      </c>
      <c r="S50" s="3">
        <v>5.6377577374746188</v>
      </c>
    </row>
    <row r="51" spans="2:19" x14ac:dyDescent="0.35">
      <c r="B51" s="38">
        <v>36551</v>
      </c>
      <c r="C51" s="3">
        <v>1</v>
      </c>
      <c r="D51" s="3">
        <v>1</v>
      </c>
      <c r="E51" s="3">
        <f>C51 - D51</f>
        <v>0</v>
      </c>
      <c r="P51" s="38">
        <v>40204</v>
      </c>
      <c r="Q51" s="3">
        <v>0</v>
      </c>
      <c r="R51" s="3">
        <v>-5.7494073432583583</v>
      </c>
      <c r="S51" s="3">
        <v>5.7494073432583583</v>
      </c>
    </row>
    <row r="52" spans="2:19" x14ac:dyDescent="0.35">
      <c r="B52" s="38">
        <v>36552</v>
      </c>
      <c r="C52" s="3">
        <v>1</v>
      </c>
      <c r="D52" s="3">
        <v>1</v>
      </c>
      <c r="E52" s="3">
        <f>C52 - D52</f>
        <v>0</v>
      </c>
      <c r="P52" s="38">
        <v>40205</v>
      </c>
      <c r="Q52" s="3">
        <v>0</v>
      </c>
      <c r="R52" s="3">
        <v>-5.8589297052423595</v>
      </c>
      <c r="S52" s="3">
        <v>5.8589297052423595</v>
      </c>
    </row>
    <row r="53" spans="2:19" x14ac:dyDescent="0.35">
      <c r="B53" s="38">
        <v>36553</v>
      </c>
      <c r="C53" s="3">
        <v>1</v>
      </c>
      <c r="D53" s="3">
        <v>1</v>
      </c>
      <c r="E53" s="3">
        <f>C53 - D53</f>
        <v>0</v>
      </c>
      <c r="P53" s="38">
        <v>40206</v>
      </c>
      <c r="Q53" s="3">
        <v>0</v>
      </c>
      <c r="R53" s="3">
        <v>-5.9664419701552056</v>
      </c>
      <c r="S53" s="3">
        <v>5.9664419701552056</v>
      </c>
    </row>
    <row r="54" spans="2:19" x14ac:dyDescent="0.35">
      <c r="B54" s="38">
        <v>36554</v>
      </c>
      <c r="C54" s="3">
        <v>1</v>
      </c>
      <c r="D54" s="3">
        <v>1</v>
      </c>
      <c r="E54" s="3">
        <f>C54 - D54</f>
        <v>0</v>
      </c>
      <c r="P54" s="38">
        <v>40207</v>
      </c>
      <c r="Q54" s="3">
        <v>0</v>
      </c>
      <c r="R54" s="3">
        <v>-6.072050911799713</v>
      </c>
      <c r="S54" s="3">
        <v>6.072050911799713</v>
      </c>
    </row>
    <row r="55" spans="2:19" x14ac:dyDescent="0.35">
      <c r="B55" s="38">
        <v>36555</v>
      </c>
      <c r="C55" s="3">
        <v>0</v>
      </c>
      <c r="D55" s="3">
        <v>1</v>
      </c>
      <c r="E55" s="3">
        <f>C55 - D55</f>
        <v>-1</v>
      </c>
      <c r="P55" s="38">
        <v>40208</v>
      </c>
      <c r="Q55" s="3">
        <v>0</v>
      </c>
      <c r="R55" s="3">
        <v>-6.1758541731282746</v>
      </c>
      <c r="S55" s="3">
        <v>6.1758541731282746</v>
      </c>
    </row>
    <row r="56" spans="2:19" x14ac:dyDescent="0.35">
      <c r="B56" s="38">
        <v>36556</v>
      </c>
      <c r="C56" s="3">
        <v>0</v>
      </c>
      <c r="D56" s="3">
        <v>0</v>
      </c>
      <c r="E56" s="3">
        <f>C56 - D56</f>
        <v>0</v>
      </c>
      <c r="P56" s="38">
        <v>40209</v>
      </c>
      <c r="Q56" s="3">
        <v>0</v>
      </c>
      <c r="R56" s="3">
        <v>-6.2779413233960799</v>
      </c>
      <c r="S56" s="3">
        <v>6.2779413233960799</v>
      </c>
    </row>
    <row r="57" spans="2:19" x14ac:dyDescent="0.35">
      <c r="B57" s="38">
        <v>36557</v>
      </c>
      <c r="C57" s="3">
        <v>0</v>
      </c>
      <c r="D57" s="3">
        <v>0</v>
      </c>
      <c r="E57" s="3">
        <f>C57 - D57</f>
        <v>0</v>
      </c>
      <c r="P57" s="38">
        <v>40210</v>
      </c>
      <c r="Q57" s="3">
        <v>0</v>
      </c>
      <c r="R57" s="3">
        <v>-6.3783947629683695</v>
      </c>
      <c r="S57" s="3">
        <v>6.3783947629683695</v>
      </c>
    </row>
    <row r="58" spans="2:19" x14ac:dyDescent="0.35">
      <c r="B58" s="38">
        <v>36558</v>
      </c>
      <c r="C58" s="3">
        <v>0</v>
      </c>
      <c r="D58" s="3">
        <v>0</v>
      </c>
      <c r="E58" s="3">
        <f>C58 - D58</f>
        <v>0</v>
      </c>
      <c r="P58" s="38">
        <v>40211</v>
      </c>
      <c r="Q58" s="3">
        <v>0</v>
      </c>
      <c r="R58" s="3">
        <v>-6.4772905017854896</v>
      </c>
      <c r="S58" s="3">
        <v>6.4772905017854896</v>
      </c>
    </row>
    <row r="59" spans="2:19" x14ac:dyDescent="0.35">
      <c r="B59" s="38">
        <v>36559</v>
      </c>
      <c r="C59" s="3">
        <v>0</v>
      </c>
      <c r="D59" s="3">
        <v>0</v>
      </c>
      <c r="E59" s="3">
        <f>C59 - D59</f>
        <v>0</v>
      </c>
      <c r="P59" s="38">
        <v>40212</v>
      </c>
      <c r="Q59" s="3">
        <v>0</v>
      </c>
      <c r="R59" s="3">
        <v>-6.5746988324012765</v>
      </c>
      <c r="S59" s="3">
        <v>6.5746988324012765</v>
      </c>
    </row>
    <row r="60" spans="2:19" x14ac:dyDescent="0.35">
      <c r="B60" s="38">
        <v>36560</v>
      </c>
      <c r="C60" s="3">
        <v>1</v>
      </c>
      <c r="D60" s="3">
        <v>0</v>
      </c>
      <c r="E60" s="3">
        <f>C60 - D60</f>
        <v>1</v>
      </c>
      <c r="P60" s="38">
        <v>40213</v>
      </c>
      <c r="Q60" s="3">
        <v>0</v>
      </c>
      <c r="R60" s="3">
        <v>-6.6706849145374054</v>
      </c>
      <c r="S60" s="3">
        <v>6.6706849145374054</v>
      </c>
    </row>
    <row r="61" spans="2:19" x14ac:dyDescent="0.35">
      <c r="B61" s="38">
        <v>36561</v>
      </c>
      <c r="C61" s="3">
        <v>0</v>
      </c>
      <c r="D61" s="3">
        <v>1</v>
      </c>
      <c r="E61" s="3">
        <f>C61 - D61</f>
        <v>-1</v>
      </c>
      <c r="P61" s="38">
        <v>40214</v>
      </c>
      <c r="Q61" s="3">
        <v>0</v>
      </c>
      <c r="R61" s="3">
        <v>-6.7653092849695433</v>
      </c>
      <c r="S61" s="3">
        <v>6.7653092849695433</v>
      </c>
    </row>
    <row r="62" spans="2:19" x14ac:dyDescent="0.35">
      <c r="B62" s="38">
        <v>36562</v>
      </c>
      <c r="C62" s="3">
        <v>0</v>
      </c>
      <c r="D62" s="3">
        <v>0</v>
      </c>
      <c r="E62" s="3">
        <f>C62 - D62</f>
        <v>0</v>
      </c>
      <c r="P62" s="38">
        <v>40215</v>
      </c>
      <c r="Q62" s="3">
        <v>0</v>
      </c>
      <c r="R62" s="3">
        <v>-6.8586283040818961</v>
      </c>
      <c r="S62" s="3">
        <v>6.8586283040818961</v>
      </c>
    </row>
    <row r="63" spans="2:19" x14ac:dyDescent="0.35">
      <c r="B63" s="38">
        <v>36563</v>
      </c>
      <c r="C63" s="3">
        <v>0</v>
      </c>
      <c r="D63" s="3">
        <v>0</v>
      </c>
      <c r="E63" s="3">
        <f>C63 - D63</f>
        <v>0</v>
      </c>
      <c r="P63" s="38">
        <v>40216</v>
      </c>
      <c r="Q63" s="3">
        <v>0</v>
      </c>
      <c r="R63" s="3">
        <v>-6.9506945484470473</v>
      </c>
      <c r="S63" s="3">
        <v>6.9506945484470473</v>
      </c>
    </row>
    <row r="64" spans="2:19" x14ac:dyDescent="0.35">
      <c r="B64" s="38">
        <v>36564</v>
      </c>
      <c r="C64" s="3">
        <v>0</v>
      </c>
      <c r="D64" s="3">
        <v>0</v>
      </c>
      <c r="E64" s="3">
        <f>C64 - D64</f>
        <v>0</v>
      </c>
      <c r="P64" s="38">
        <v>40217</v>
      </c>
      <c r="Q64" s="3">
        <v>0</v>
      </c>
      <c r="R64" s="3">
        <v>-7.0415571571968156</v>
      </c>
      <c r="S64" s="3">
        <v>7.0415571571968156</v>
      </c>
    </row>
    <row r="65" spans="2:19" x14ac:dyDescent="0.35">
      <c r="B65" s="38">
        <v>36565</v>
      </c>
      <c r="C65" s="3">
        <v>0</v>
      </c>
      <c r="D65" s="3">
        <v>0</v>
      </c>
      <c r="E65" s="3">
        <f>C65 - D65</f>
        <v>0</v>
      </c>
      <c r="P65" s="38">
        <v>40218</v>
      </c>
      <c r="Q65" s="3">
        <v>0</v>
      </c>
      <c r="R65" s="3">
        <v>-7.131262138662966</v>
      </c>
      <c r="S65" s="3">
        <v>7.131262138662966</v>
      </c>
    </row>
    <row r="66" spans="2:19" x14ac:dyDescent="0.35">
      <c r="B66" s="38">
        <v>36566</v>
      </c>
      <c r="C66" s="3">
        <v>0</v>
      </c>
      <c r="D66" s="3">
        <v>0</v>
      </c>
      <c r="E66" s="3">
        <f>C66 - D66</f>
        <v>0</v>
      </c>
      <c r="P66" s="38">
        <v>40219</v>
      </c>
      <c r="Q66" s="3">
        <v>0</v>
      </c>
      <c r="R66" s="3">
        <v>-7.2198526427196628</v>
      </c>
      <c r="S66" s="3">
        <v>7.2198526427196628</v>
      </c>
    </row>
    <row r="67" spans="2:19" x14ac:dyDescent="0.35">
      <c r="B67" s="38">
        <v>36567</v>
      </c>
      <c r="C67" s="3">
        <v>1</v>
      </c>
      <c r="D67" s="3">
        <v>0</v>
      </c>
      <c r="E67" s="3">
        <f>C67 - D67</f>
        <v>1</v>
      </c>
      <c r="P67" s="38">
        <v>40220</v>
      </c>
      <c r="Q67" s="3">
        <v>0</v>
      </c>
      <c r="R67" s="3">
        <v>-7.3073692034031161</v>
      </c>
      <c r="S67" s="3">
        <v>7.3073692034031161</v>
      </c>
    </row>
    <row r="68" spans="2:19" x14ac:dyDescent="0.35">
      <c r="B68" s="38">
        <v>36568</v>
      </c>
      <c r="C68" s="3">
        <v>1</v>
      </c>
      <c r="D68" s="3">
        <v>1</v>
      </c>
      <c r="E68" s="3">
        <f>C68 - D68</f>
        <v>0</v>
      </c>
      <c r="P68" s="38">
        <v>40221</v>
      </c>
      <c r="Q68" s="3">
        <v>0</v>
      </c>
      <c r="R68" s="3">
        <v>-7.3938499556795501</v>
      </c>
      <c r="S68" s="3">
        <v>7.3938499556795501</v>
      </c>
    </row>
    <row r="69" spans="2:19" x14ac:dyDescent="0.35">
      <c r="B69" s="38">
        <v>36569</v>
      </c>
      <c r="C69" s="3">
        <v>0</v>
      </c>
      <c r="D69" s="3">
        <v>1</v>
      </c>
      <c r="E69" s="3">
        <f>C69 - D69</f>
        <v>-1</v>
      </c>
      <c r="P69" s="38">
        <v>40222</v>
      </c>
      <c r="Q69" s="3">
        <v>0</v>
      </c>
      <c r="R69" s="3">
        <v>-7.4793308296505163</v>
      </c>
      <c r="S69" s="3">
        <v>7.4793308296505163</v>
      </c>
    </row>
    <row r="70" spans="2:19" x14ac:dyDescent="0.35">
      <c r="B70" s="38">
        <v>36570</v>
      </c>
      <c r="C70" s="3">
        <v>0</v>
      </c>
      <c r="D70" s="3">
        <v>0</v>
      </c>
      <c r="E70" s="3">
        <f>C70 - D70</f>
        <v>0</v>
      </c>
      <c r="P70" s="38">
        <v>40223</v>
      </c>
      <c r="Q70" s="3">
        <v>0</v>
      </c>
      <c r="R70" s="3">
        <v>-7.5638457250011975</v>
      </c>
      <c r="S70" s="3">
        <v>7.5638457250011975</v>
      </c>
    </row>
    <row r="71" spans="2:19" x14ac:dyDescent="0.35">
      <c r="B71" s="38">
        <v>36571</v>
      </c>
      <c r="C71" s="3">
        <v>0</v>
      </c>
      <c r="D71" s="3">
        <v>0</v>
      </c>
      <c r="E71" s="3">
        <f>C71 - D71</f>
        <v>0</v>
      </c>
      <c r="P71" s="38">
        <v>40224</v>
      </c>
      <c r="Q71" s="3">
        <v>0</v>
      </c>
      <c r="R71" s="3">
        <v>-7.6474266680941163</v>
      </c>
      <c r="S71" s="3">
        <v>7.6474266680941163</v>
      </c>
    </row>
    <row r="72" spans="2:19" x14ac:dyDescent="0.35">
      <c r="B72" s="38">
        <v>36572</v>
      </c>
      <c r="C72" s="3">
        <v>0</v>
      </c>
      <c r="D72" s="3">
        <v>0</v>
      </c>
      <c r="E72" s="3">
        <f>C72 - D72</f>
        <v>0</v>
      </c>
      <c r="P72" s="38">
        <v>40225</v>
      </c>
      <c r="Q72" s="3">
        <v>0</v>
      </c>
      <c r="R72" s="3">
        <v>-7.7301039537728906</v>
      </c>
      <c r="S72" s="3">
        <v>7.7301039537728906</v>
      </c>
    </row>
    <row r="73" spans="2:19" x14ac:dyDescent="0.35">
      <c r="B73" s="38">
        <v>36573</v>
      </c>
      <c r="C73" s="3">
        <v>0</v>
      </c>
      <c r="D73" s="3">
        <v>0</v>
      </c>
      <c r="E73" s="3">
        <f>C73 - D73</f>
        <v>0</v>
      </c>
      <c r="P73" s="38">
        <v>40226</v>
      </c>
      <c r="Q73" s="3">
        <v>0</v>
      </c>
      <c r="R73" s="3">
        <v>-7.811906273656481</v>
      </c>
      <c r="S73" s="3">
        <v>7.811906273656481</v>
      </c>
    </row>
    <row r="74" spans="2:19" x14ac:dyDescent="0.35">
      <c r="B74" s="38">
        <v>36574</v>
      </c>
      <c r="C74" s="3">
        <v>0</v>
      </c>
      <c r="D74" s="3">
        <v>0</v>
      </c>
      <c r="E74" s="3">
        <f>C74 - D74</f>
        <v>0</v>
      </c>
      <c r="P74" s="38">
        <v>40227</v>
      </c>
      <c r="Q74" s="3">
        <v>0</v>
      </c>
      <c r="R74" s="3">
        <v>-7.8928608324644678</v>
      </c>
      <c r="S74" s="3">
        <v>7.8928608324644678</v>
      </c>
    </row>
    <row r="75" spans="2:19" x14ac:dyDescent="0.35">
      <c r="B75" s="38">
        <v>36575</v>
      </c>
      <c r="C75" s="3">
        <v>0</v>
      </c>
      <c r="D75" s="3">
        <v>0</v>
      </c>
      <c r="E75" s="3">
        <f>C75 - D75</f>
        <v>0</v>
      </c>
      <c r="P75" s="38">
        <v>40228</v>
      </c>
      <c r="Q75" s="3">
        <v>0</v>
      </c>
      <c r="R75" s="3">
        <v>-7.9729934537104619</v>
      </c>
      <c r="S75" s="3">
        <v>7.9729934537104619</v>
      </c>
    </row>
    <row r="76" spans="2:19" x14ac:dyDescent="0.35">
      <c r="B76" s="38">
        <v>36576</v>
      </c>
      <c r="C76" s="3">
        <v>1</v>
      </c>
      <c r="D76" s="3">
        <v>0</v>
      </c>
      <c r="E76" s="3">
        <f>C76 - D76</f>
        <v>1</v>
      </c>
      <c r="P76" s="38">
        <v>40229</v>
      </c>
      <c r="Q76" s="3">
        <v>0</v>
      </c>
      <c r="R76" s="3">
        <v>-8.0523286759277326</v>
      </c>
      <c r="S76" s="3">
        <v>8.0523286759277326</v>
      </c>
    </row>
    <row r="77" spans="2:19" x14ac:dyDescent="0.35">
      <c r="B77" s="38">
        <v>36577</v>
      </c>
      <c r="C77" s="3">
        <v>0</v>
      </c>
      <c r="D77" s="3">
        <v>1</v>
      </c>
      <c r="E77" s="3">
        <f>C77 - D77</f>
        <v>-1</v>
      </c>
      <c r="P77" s="38">
        <v>40230</v>
      </c>
      <c r="Q77" s="3">
        <v>0</v>
      </c>
      <c r="R77" s="3">
        <v>-8.1308898404434355</v>
      </c>
      <c r="S77" s="3">
        <v>8.1308898404434355</v>
      </c>
    </row>
    <row r="78" spans="2:19" x14ac:dyDescent="0.35">
      <c r="B78" s="38">
        <v>36578</v>
      </c>
      <c r="C78" s="3">
        <v>1</v>
      </c>
      <c r="D78" s="3">
        <v>0</v>
      </c>
      <c r="E78" s="3">
        <f>C78 - D78</f>
        <v>1</v>
      </c>
      <c r="P78" s="38">
        <v>40231</v>
      </c>
      <c r="Q78" s="3">
        <v>0</v>
      </c>
      <c r="R78" s="3">
        <v>-8.2086991715913467</v>
      </c>
      <c r="S78" s="3">
        <v>8.2086991715913467</v>
      </c>
    </row>
    <row r="79" spans="2:19" x14ac:dyDescent="0.35">
      <c r="B79" s="38">
        <v>36579</v>
      </c>
      <c r="C79" s="3">
        <v>1</v>
      </c>
      <c r="D79" s="3">
        <v>1</v>
      </c>
      <c r="E79" s="3">
        <f>C79 - D79</f>
        <v>0</v>
      </c>
      <c r="P79" s="38">
        <v>40232</v>
      </c>
      <c r="Q79" s="3">
        <v>0</v>
      </c>
      <c r="R79" s="3">
        <v>-8.2857778501443455</v>
      </c>
      <c r="S79" s="3">
        <v>8.2857778501443455</v>
      </c>
    </row>
    <row r="80" spans="2:19" x14ac:dyDescent="0.35">
      <c r="B80" s="38">
        <v>36580</v>
      </c>
      <c r="C80" s="3">
        <v>1</v>
      </c>
      <c r="D80" s="3">
        <v>1</v>
      </c>
      <c r="E80" s="3">
        <f>C80 - D80</f>
        <v>0</v>
      </c>
      <c r="P80" s="38">
        <v>40233</v>
      </c>
      <c r="Q80" s="3">
        <v>0</v>
      </c>
      <c r="R80" s="3">
        <v>-8.3621460806542274</v>
      </c>
      <c r="S80" s="3">
        <v>8.3621460806542274</v>
      </c>
    </row>
    <row r="81" spans="2:19" x14ac:dyDescent="0.35">
      <c r="B81" s="38">
        <v>36581</v>
      </c>
      <c r="C81" s="3">
        <v>0</v>
      </c>
      <c r="D81" s="3">
        <v>1</v>
      </c>
      <c r="E81" s="3">
        <f>C81 - D81</f>
        <v>-1</v>
      </c>
      <c r="P81" s="38">
        <v>40234</v>
      </c>
      <c r="Q81" s="3">
        <v>0</v>
      </c>
      <c r="R81" s="3">
        <v>-8.4378231533055406</v>
      </c>
      <c r="S81" s="3">
        <v>8.4378231533055406</v>
      </c>
    </row>
    <row r="82" spans="2:19" x14ac:dyDescent="0.35">
      <c r="B82" s="38">
        <v>36582</v>
      </c>
      <c r="C82" s="3">
        <v>1</v>
      </c>
      <c r="D82" s="3">
        <v>0</v>
      </c>
      <c r="E82" s="3">
        <f>C82 - D82</f>
        <v>1</v>
      </c>
      <c r="P82" s="38">
        <v>40235</v>
      </c>
      <c r="Q82" s="3">
        <v>0</v>
      </c>
      <c r="R82" s="3">
        <v>-8.5128275008199985</v>
      </c>
      <c r="S82" s="3">
        <v>8.5128275008199985</v>
      </c>
    </row>
    <row r="83" spans="2:19" x14ac:dyDescent="0.35">
      <c r="B83" s="38">
        <v>36583</v>
      </c>
      <c r="C83" s="3">
        <v>0</v>
      </c>
      <c r="D83" s="3">
        <v>1</v>
      </c>
      <c r="E83" s="3">
        <f>C83 - D83</f>
        <v>-1</v>
      </c>
      <c r="P83" s="38">
        <v>40236</v>
      </c>
      <c r="Q83" s="3">
        <v>0</v>
      </c>
      <c r="R83" s="3">
        <v>-8.5871767508870729</v>
      </c>
      <c r="S83" s="3">
        <v>8.5871767508870729</v>
      </c>
    </row>
    <row r="84" spans="2:19" x14ac:dyDescent="0.35">
      <c r="B84" s="38">
        <v>36584</v>
      </c>
      <c r="C84" s="3">
        <v>0</v>
      </c>
      <c r="D84" s="3">
        <v>0</v>
      </c>
      <c r="E84" s="3">
        <f>C84 - D84</f>
        <v>0</v>
      </c>
      <c r="P84" s="38">
        <v>40237</v>
      </c>
      <c r="Q84" s="3">
        <v>0</v>
      </c>
      <c r="R84" s="3">
        <v>-8.6608877745433031</v>
      </c>
      <c r="S84" s="3">
        <v>8.6608877745433031</v>
      </c>
    </row>
    <row r="85" spans="2:19" x14ac:dyDescent="0.35">
      <c r="B85" s="38">
        <v>36585</v>
      </c>
      <c r="C85" s="3">
        <v>1</v>
      </c>
      <c r="D85" s="3">
        <v>0</v>
      </c>
      <c r="E85" s="3">
        <f>C85 - D85</f>
        <v>1</v>
      </c>
      <c r="P85" s="38">
        <v>40238</v>
      </c>
      <c r="Q85" s="3">
        <v>0</v>
      </c>
      <c r="R85" s="3">
        <v>-8.7339767308764831</v>
      </c>
      <c r="S85" s="3">
        <v>8.7339767308764831</v>
      </c>
    </row>
    <row r="86" spans="2:19" x14ac:dyDescent="0.35">
      <c r="B86" s="38">
        <v>36586</v>
      </c>
      <c r="C86" s="3">
        <v>1</v>
      </c>
      <c r="D86" s="3">
        <v>1</v>
      </c>
      <c r="E86" s="3">
        <f>C86 - D86</f>
        <v>0</v>
      </c>
      <c r="P86" s="38">
        <v>40239</v>
      </c>
      <c r="Q86" s="3">
        <v>0</v>
      </c>
      <c r="R86" s="3">
        <v>-8.8064591083902766</v>
      </c>
      <c r="S86" s="3">
        <v>8.8064591083902766</v>
      </c>
    </row>
    <row r="87" spans="2:19" x14ac:dyDescent="0.35">
      <c r="B87" s="38">
        <v>36587</v>
      </c>
      <c r="C87" s="3">
        <v>0</v>
      </c>
      <c r="D87" s="3">
        <v>1</v>
      </c>
      <c r="E87" s="3">
        <f>C87 - D87</f>
        <v>-1</v>
      </c>
      <c r="P87" s="38">
        <v>40240</v>
      </c>
      <c r="Q87" s="3">
        <v>0</v>
      </c>
      <c r="R87" s="3">
        <v>-8.8783497633292328</v>
      </c>
      <c r="S87" s="3">
        <v>8.8783497633292328</v>
      </c>
    </row>
    <row r="88" spans="2:19" x14ac:dyDescent="0.35">
      <c r="B88" s="38">
        <v>36588</v>
      </c>
      <c r="C88" s="3">
        <v>0</v>
      </c>
      <c r="D88" s="3">
        <v>0</v>
      </c>
      <c r="E88" s="3">
        <f>C88 - D88</f>
        <v>0</v>
      </c>
      <c r="P88" s="38">
        <v>40241</v>
      </c>
      <c r="Q88" s="3">
        <v>0</v>
      </c>
      <c r="R88" s="3">
        <v>-8.9496629552328084</v>
      </c>
      <c r="S88" s="3">
        <v>8.9496629552328084</v>
      </c>
    </row>
    <row r="89" spans="2:19" x14ac:dyDescent="0.35">
      <c r="B89" s="38">
        <v>36589</v>
      </c>
      <c r="C89" s="3">
        <v>1</v>
      </c>
      <c r="D89" s="3">
        <v>0</v>
      </c>
      <c r="E89" s="3">
        <f>C89 - D89</f>
        <v>1</v>
      </c>
      <c r="P89" s="38">
        <v>40242</v>
      </c>
      <c r="Q89" s="3">
        <v>0</v>
      </c>
      <c r="R89" s="3">
        <v>-9.0204123799593905</v>
      </c>
      <c r="S89" s="3">
        <v>9.0204123799593905</v>
      </c>
    </row>
    <row r="90" spans="2:19" x14ac:dyDescent="0.35">
      <c r="B90" s="38">
        <v>36590</v>
      </c>
      <c r="C90" s="3">
        <v>0</v>
      </c>
      <c r="D90" s="3">
        <v>1</v>
      </c>
      <c r="E90" s="3">
        <f>C90 - D90</f>
        <v>-1</v>
      </c>
      <c r="P90" s="38">
        <v>40243</v>
      </c>
      <c r="Q90" s="3">
        <v>0</v>
      </c>
      <c r="R90" s="3">
        <v>-9.0906112003969692</v>
      </c>
      <c r="S90" s="3">
        <v>9.0906112003969692</v>
      </c>
    </row>
    <row r="91" spans="2:19" x14ac:dyDescent="0.35">
      <c r="B91" s="38">
        <v>36591</v>
      </c>
      <c r="C91" s="3">
        <v>1</v>
      </c>
      <c r="D91" s="3">
        <v>0</v>
      </c>
      <c r="E91" s="3">
        <f>C91 - D91</f>
        <v>1</v>
      </c>
      <c r="P91" s="38">
        <v>40244</v>
      </c>
      <c r="Q91" s="3">
        <v>0</v>
      </c>
      <c r="R91" s="3">
        <v>-9.1602720750554703</v>
      </c>
      <c r="S91" s="3">
        <v>9.1602720750554703</v>
      </c>
    </row>
    <row r="92" spans="2:19" x14ac:dyDescent="0.35">
      <c r="B92" s="38">
        <v>36592</v>
      </c>
      <c r="C92" s="3">
        <v>0</v>
      </c>
      <c r="D92" s="3">
        <v>1</v>
      </c>
      <c r="E92" s="3">
        <f>C92 - D92</f>
        <v>-1</v>
      </c>
      <c r="P92" s="38">
        <v>40245</v>
      </c>
      <c r="Q92" s="3">
        <v>0</v>
      </c>
      <c r="R92" s="3">
        <v>-9.2294071847166439</v>
      </c>
      <c r="S92" s="3">
        <v>9.2294071847166439</v>
      </c>
    </row>
    <row r="93" spans="2:19" x14ac:dyDescent="0.35">
      <c r="B93" s="38">
        <v>36593</v>
      </c>
      <c r="C93" s="3">
        <v>0</v>
      </c>
      <c r="D93" s="3">
        <v>0</v>
      </c>
      <c r="E93" s="3">
        <f>C93 - D93</f>
        <v>0</v>
      </c>
      <c r="P93" s="38">
        <v>40246</v>
      </c>
      <c r="Q93" s="3">
        <v>0</v>
      </c>
      <c r="R93" s="3">
        <v>-9.2980282573004374</v>
      </c>
      <c r="S93" s="3">
        <v>9.2980282573004374</v>
      </c>
    </row>
    <row r="94" spans="2:19" x14ac:dyDescent="0.35">
      <c r="B94" s="38">
        <v>36594</v>
      </c>
      <c r="C94" s="3">
        <v>0</v>
      </c>
      <c r="D94" s="3">
        <v>0</v>
      </c>
      <c r="E94" s="3">
        <f>C94 - D94</f>
        <v>0</v>
      </c>
      <c r="P94" s="38">
        <v>40247</v>
      </c>
      <c r="Q94" s="3">
        <v>0</v>
      </c>
      <c r="R94" s="3">
        <v>-9.3661465910915371</v>
      </c>
      <c r="S94" s="3">
        <v>9.3661465910915371</v>
      </c>
    </row>
    <row r="95" spans="2:19" x14ac:dyDescent="0.35">
      <c r="B95" s="38">
        <v>36595</v>
      </c>
      <c r="C95" s="3">
        <v>0</v>
      </c>
      <c r="D95" s="3">
        <v>0</v>
      </c>
      <c r="E95" s="3">
        <f>C95 - D95</f>
        <v>0</v>
      </c>
      <c r="P95" s="38">
        <v>40248</v>
      </c>
      <c r="Q95" s="3">
        <v>0</v>
      </c>
      <c r="R95" s="3">
        <v>-9.4337730764564078</v>
      </c>
      <c r="S95" s="3">
        <v>9.4337730764564078</v>
      </c>
    </row>
    <row r="96" spans="2:19" x14ac:dyDescent="0.35">
      <c r="B96" s="38">
        <v>36596</v>
      </c>
      <c r="C96" s="3">
        <v>0</v>
      </c>
      <c r="D96" s="3">
        <v>0</v>
      </c>
      <c r="E96" s="3">
        <f>C96 - D96</f>
        <v>0</v>
      </c>
      <c r="P96" s="38">
        <v>40249</v>
      </c>
      <c r="Q96" s="3">
        <v>0</v>
      </c>
      <c r="R96" s="3">
        <v>-9.5009182161690031</v>
      </c>
      <c r="S96" s="3">
        <v>9.5009182161690031</v>
      </c>
    </row>
    <row r="97" spans="2:19" x14ac:dyDescent="0.35">
      <c r="B97" s="38">
        <v>36597</v>
      </c>
      <c r="C97" s="3">
        <v>0</v>
      </c>
      <c r="D97" s="3">
        <v>0</v>
      </c>
      <c r="E97" s="3">
        <f>C97 - D97</f>
        <v>0</v>
      </c>
      <c r="P97" s="38">
        <v>40250</v>
      </c>
      <c r="Q97" s="3">
        <v>0</v>
      </c>
      <c r="R97" s="3">
        <v>-9.5675921444525525</v>
      </c>
      <c r="S97" s="3">
        <v>9.5675921444525525</v>
      </c>
    </row>
    <row r="98" spans="2:19" x14ac:dyDescent="0.35">
      <c r="B98" s="38">
        <v>36598</v>
      </c>
      <c r="C98" s="3">
        <v>0</v>
      </c>
      <c r="D98" s="3">
        <v>0</v>
      </c>
      <c r="E98" s="3">
        <f>C98 - D98</f>
        <v>0</v>
      </c>
      <c r="P98" s="38">
        <v>40251</v>
      </c>
      <c r="Q98" s="3">
        <v>0</v>
      </c>
      <c r="R98" s="3">
        <v>-9.633804644835207</v>
      </c>
      <c r="S98" s="3">
        <v>9.633804644835207</v>
      </c>
    </row>
    <row r="99" spans="2:19" x14ac:dyDescent="0.35">
      <c r="B99" s="38">
        <v>36599</v>
      </c>
      <c r="C99" s="3">
        <v>0</v>
      </c>
      <c r="D99" s="3">
        <v>0</v>
      </c>
      <c r="E99" s="3">
        <f>C99 - D99</f>
        <v>0</v>
      </c>
      <c r="P99" s="38">
        <v>40252</v>
      </c>
      <c r="Q99" s="3">
        <v>0</v>
      </c>
      <c r="R99" s="3">
        <v>-9.6995651669085969</v>
      </c>
      <c r="S99" s="3">
        <v>9.6995651669085969</v>
      </c>
    </row>
    <row r="100" spans="2:19" x14ac:dyDescent="0.35">
      <c r="B100" s="38">
        <v>36600</v>
      </c>
      <c r="C100" s="3">
        <v>0</v>
      </c>
      <c r="D100" s="3">
        <v>0</v>
      </c>
      <c r="E100" s="3">
        <f>C100 - D100</f>
        <v>0</v>
      </c>
      <c r="P100" s="38">
        <v>40253</v>
      </c>
      <c r="Q100" s="3">
        <v>0</v>
      </c>
      <c r="R100" s="3">
        <v>-9.7648828420706</v>
      </c>
      <c r="S100" s="3">
        <v>9.7648828420706</v>
      </c>
    </row>
    <row r="101" spans="2:19" x14ac:dyDescent="0.35">
      <c r="B101" s="38">
        <v>36601</v>
      </c>
      <c r="C101" s="3">
        <v>0</v>
      </c>
      <c r="D101" s="3">
        <v>0</v>
      </c>
      <c r="E101" s="3">
        <f>C101 - D101</f>
        <v>0</v>
      </c>
      <c r="P101" s="38">
        <v>40254</v>
      </c>
      <c r="Q101" s="3">
        <v>0</v>
      </c>
      <c r="R101" s="3">
        <v>-9.8297664983265491</v>
      </c>
      <c r="S101" s="3">
        <v>9.8297664983265491</v>
      </c>
    </row>
    <row r="102" spans="2:19" x14ac:dyDescent="0.35">
      <c r="B102" s="38">
        <v>36602</v>
      </c>
      <c r="C102" s="3">
        <v>0</v>
      </c>
      <c r="D102" s="3">
        <v>0</v>
      </c>
      <c r="E102" s="3">
        <f>C102 - D102</f>
        <v>0</v>
      </c>
      <c r="P102" s="38">
        <v>40255</v>
      </c>
      <c r="Q102" s="3">
        <v>0</v>
      </c>
      <c r="R102" s="3">
        <v>-9.8942246742168329</v>
      </c>
      <c r="S102" s="3">
        <v>9.8942246742168329</v>
      </c>
    </row>
    <row r="103" spans="2:19" x14ac:dyDescent="0.35">
      <c r="B103" s="38">
        <v>36603</v>
      </c>
      <c r="C103" s="3">
        <v>0</v>
      </c>
      <c r="D103" s="3">
        <v>0</v>
      </c>
      <c r="E103" s="3">
        <f>C103 - D103</f>
        <v>0</v>
      </c>
      <c r="P103" s="38">
        <v>40256</v>
      </c>
      <c r="Q103" s="3">
        <v>0</v>
      </c>
      <c r="R103" s="3">
        <v>-9.9582656319330738</v>
      </c>
      <c r="S103" s="3">
        <v>9.9582656319330738</v>
      </c>
    </row>
    <row r="104" spans="2:19" x14ac:dyDescent="0.35">
      <c r="B104" s="38">
        <v>36604</v>
      </c>
      <c r="C104" s="3">
        <v>0</v>
      </c>
      <c r="D104" s="3">
        <v>0</v>
      </c>
      <c r="E104" s="3">
        <f>C104 - D104</f>
        <v>0</v>
      </c>
      <c r="P104" s="38">
        <v>40257</v>
      </c>
      <c r="Q104" s="3">
        <v>0</v>
      </c>
      <c r="R104" s="3">
        <v>-10.021897369679934</v>
      </c>
      <c r="S104" s="3">
        <v>10.021897369679934</v>
      </c>
    </row>
    <row r="105" spans="2:19" x14ac:dyDescent="0.35">
      <c r="B105" s="38">
        <v>36605</v>
      </c>
      <c r="C105" s="3">
        <v>1</v>
      </c>
      <c r="D105" s="3">
        <v>0</v>
      </c>
      <c r="E105" s="3">
        <f>C105 - D105</f>
        <v>1</v>
      </c>
      <c r="P105" s="38">
        <v>40258</v>
      </c>
      <c r="Q105" s="3">
        <v>0</v>
      </c>
      <c r="R105" s="3">
        <v>-10.085127633334929</v>
      </c>
      <c r="S105" s="3">
        <v>10.085127633334929</v>
      </c>
    </row>
    <row r="106" spans="2:19" x14ac:dyDescent="0.35">
      <c r="B106" s="38">
        <v>36606</v>
      </c>
      <c r="C106" s="3">
        <v>0</v>
      </c>
      <c r="D106" s="3">
        <v>1</v>
      </c>
      <c r="E106" s="3">
        <f>C106 - D106</f>
        <v>-1</v>
      </c>
      <c r="P106" s="38">
        <v>40259</v>
      </c>
      <c r="Q106" s="3">
        <v>0</v>
      </c>
      <c r="R106" s="3">
        <v>-10.147963927454315</v>
      </c>
      <c r="S106" s="3">
        <v>10.147963927454315</v>
      </c>
    </row>
    <row r="107" spans="2:19" x14ac:dyDescent="0.35">
      <c r="B107" s="38">
        <v>36607</v>
      </c>
      <c r="C107" s="3">
        <v>0</v>
      </c>
      <c r="D107" s="3">
        <v>0</v>
      </c>
      <c r="E107" s="3">
        <f>C107 - D107</f>
        <v>0</v>
      </c>
      <c r="P107" s="38">
        <v>40260</v>
      </c>
      <c r="Q107" s="3">
        <v>0</v>
      </c>
      <c r="R107" s="3">
        <v>-10.210413525669379</v>
      </c>
      <c r="S107" s="3">
        <v>10.210413525669379</v>
      </c>
    </row>
    <row r="108" spans="2:19" x14ac:dyDescent="0.35">
      <c r="B108" s="38">
        <v>36608</v>
      </c>
      <c r="C108" s="3">
        <v>1</v>
      </c>
      <c r="D108" s="3">
        <v>0</v>
      </c>
      <c r="E108" s="3">
        <f>C108 - D108</f>
        <v>1</v>
      </c>
      <c r="P108" s="38">
        <v>40261</v>
      </c>
      <c r="Q108" s="3">
        <v>0</v>
      </c>
      <c r="R108" s="3">
        <v>-10.272483480513872</v>
      </c>
      <c r="S108" s="3">
        <v>10.272483480513872</v>
      </c>
    </row>
    <row r="109" spans="2:19" x14ac:dyDescent="0.35">
      <c r="B109" s="38">
        <v>36609</v>
      </c>
      <c r="C109" s="3">
        <v>0</v>
      </c>
      <c r="D109" s="3">
        <v>1</v>
      </c>
      <c r="E109" s="3">
        <f>C109 - D109</f>
        <v>-1</v>
      </c>
      <c r="P109" s="38">
        <v>40262</v>
      </c>
      <c r="Q109" s="3">
        <v>0</v>
      </c>
      <c r="R109" s="3">
        <v>-10.334180632720166</v>
      </c>
      <c r="S109" s="3">
        <v>10.334180632720166</v>
      </c>
    </row>
    <row r="110" spans="2:19" x14ac:dyDescent="0.35">
      <c r="B110" s="38">
        <v>36610</v>
      </c>
      <c r="C110" s="3">
        <v>0</v>
      </c>
      <c r="D110" s="3">
        <v>0</v>
      </c>
      <c r="E110" s="3">
        <f>C110 - D110</f>
        <v>0</v>
      </c>
      <c r="P110" s="38">
        <v>40263</v>
      </c>
      <c r="Q110" s="3">
        <v>0</v>
      </c>
      <c r="R110" s="3">
        <v>-10.395511620018842</v>
      </c>
      <c r="S110" s="3">
        <v>10.395511620018842</v>
      </c>
    </row>
    <row r="111" spans="2:19" x14ac:dyDescent="0.35">
      <c r="B111" s="38">
        <v>36611</v>
      </c>
      <c r="C111" s="3">
        <v>0</v>
      </c>
      <c r="D111" s="3">
        <v>0</v>
      </c>
      <c r="E111" s="3">
        <f>C111 - D111</f>
        <v>0</v>
      </c>
      <c r="P111" s="38">
        <v>40264</v>
      </c>
      <c r="Q111" s="3">
        <v>0</v>
      </c>
      <c r="R111" s="3">
        <v>-10.456482885473728</v>
      </c>
      <c r="S111" s="3">
        <v>10.456482885473728</v>
      </c>
    </row>
    <row r="112" spans="2:19" x14ac:dyDescent="0.35">
      <c r="B112" s="38">
        <v>36612</v>
      </c>
      <c r="C112" s="3">
        <v>0</v>
      </c>
      <c r="D112" s="3">
        <v>0</v>
      </c>
      <c r="E112" s="3">
        <f>C112 - D112</f>
        <v>0</v>
      </c>
      <c r="P112" s="38">
        <v>40265</v>
      </c>
      <c r="Q112" s="3">
        <v>0</v>
      </c>
      <c r="R112" s="3">
        <v>-10.517100685382029</v>
      </c>
      <c r="S112" s="3">
        <v>10.517100685382029</v>
      </c>
    </row>
    <row r="113" spans="2:19" x14ac:dyDescent="0.35">
      <c r="B113" s="38">
        <v>36613</v>
      </c>
      <c r="C113" s="3">
        <v>0</v>
      </c>
      <c r="D113" s="3">
        <v>0</v>
      </c>
      <c r="E113" s="3">
        <f>C113 - D113</f>
        <v>0</v>
      </c>
      <c r="P113" s="38">
        <v>40266</v>
      </c>
      <c r="Q113" s="3">
        <v>0</v>
      </c>
      <c r="R113" s="3">
        <v>-10.577371096766973</v>
      </c>
      <c r="S113" s="3">
        <v>10.577371096766973</v>
      </c>
    </row>
    <row r="114" spans="2:19" x14ac:dyDescent="0.35">
      <c r="B114" s="38">
        <v>36614</v>
      </c>
      <c r="C114" s="3">
        <v>1</v>
      </c>
      <c r="D114" s="3">
        <v>0</v>
      </c>
      <c r="E114" s="3">
        <f>C114 - D114</f>
        <v>1</v>
      </c>
      <c r="P114" s="38">
        <v>40267</v>
      </c>
      <c r="Q114" s="3">
        <v>0</v>
      </c>
      <c r="R114" s="3">
        <v>-10.637300024488336</v>
      </c>
      <c r="S114" s="3">
        <v>10.637300024488336</v>
      </c>
    </row>
    <row r="115" spans="2:19" x14ac:dyDescent="0.35">
      <c r="B115" s="38">
        <v>36615</v>
      </c>
      <c r="C115" s="3">
        <v>0</v>
      </c>
      <c r="D115" s="3">
        <v>1</v>
      </c>
      <c r="E115" s="3">
        <f>C115 - D115</f>
        <v>-1</v>
      </c>
      <c r="P115" s="38">
        <v>40268</v>
      </c>
      <c r="Q115" s="3">
        <v>0</v>
      </c>
      <c r="R115" s="3">
        <v>-10.696893207994448</v>
      </c>
      <c r="S115" s="3">
        <v>10.696893207994448</v>
      </c>
    </row>
    <row r="116" spans="2:19" x14ac:dyDescent="0.35">
      <c r="B116" s="38">
        <v>36616</v>
      </c>
      <c r="C116" s="3">
        <v>0</v>
      </c>
      <c r="D116" s="3">
        <v>0</v>
      </c>
      <c r="E116" s="3">
        <f>C116 - D116</f>
        <v>0</v>
      </c>
      <c r="P116" s="38">
        <v>40269</v>
      </c>
      <c r="Q116" s="3">
        <v>0</v>
      </c>
      <c r="R116" s="3">
        <v>-10.75615622773749</v>
      </c>
      <c r="S116" s="3">
        <v>10.75615622773749</v>
      </c>
    </row>
    <row r="117" spans="2:19" x14ac:dyDescent="0.35">
      <c r="B117" s="38">
        <v>36617</v>
      </c>
      <c r="C117" s="3">
        <v>1</v>
      </c>
      <c r="D117" s="3">
        <v>0</v>
      </c>
      <c r="E117" s="3">
        <f>C117 - D117</f>
        <v>1</v>
      </c>
      <c r="P117" s="38">
        <v>40270</v>
      </c>
      <c r="Q117" s="3">
        <v>0</v>
      </c>
      <c r="R117" s="3">
        <v>-10.81509451127239</v>
      </c>
      <c r="S117" s="3">
        <v>10.81509451127239</v>
      </c>
    </row>
    <row r="118" spans="2:19" x14ac:dyDescent="0.35">
      <c r="B118" s="38">
        <v>36618</v>
      </c>
      <c r="C118" s="3">
        <v>0</v>
      </c>
      <c r="D118" s="3">
        <v>1</v>
      </c>
      <c r="E118" s="3">
        <f>C118 - D118</f>
        <v>-1</v>
      </c>
      <c r="P118" s="38">
        <v>40271</v>
      </c>
      <c r="Q118" s="3">
        <v>0</v>
      </c>
      <c r="R118" s="3">
        <v>-10.873713339058206</v>
      </c>
      <c r="S118" s="3">
        <v>10.873713339058206</v>
      </c>
    </row>
    <row r="119" spans="2:19" x14ac:dyDescent="0.35">
      <c r="B119" s="38">
        <v>36619</v>
      </c>
      <c r="C119" s="3">
        <v>0</v>
      </c>
      <c r="D119" s="3">
        <v>0</v>
      </c>
      <c r="E119" s="3">
        <f>C119 - D119</f>
        <v>0</v>
      </c>
      <c r="P119" s="38">
        <v>40272</v>
      </c>
      <c r="Q119" s="3">
        <v>0</v>
      </c>
      <c r="R119" s="3">
        <v>-10.932017849979506</v>
      </c>
      <c r="S119" s="3">
        <v>10.932017849979506</v>
      </c>
    </row>
    <row r="120" spans="2:19" x14ac:dyDescent="0.35">
      <c r="B120" s="38">
        <v>36620</v>
      </c>
      <c r="C120" s="3">
        <v>0</v>
      </c>
      <c r="D120" s="3">
        <v>0</v>
      </c>
      <c r="E120" s="3">
        <f>C120 - D120</f>
        <v>0</v>
      </c>
      <c r="P120" s="38">
        <v>40273</v>
      </c>
      <c r="Q120" s="3">
        <v>0</v>
      </c>
      <c r="R120" s="3">
        <v>-10.990013046604119</v>
      </c>
      <c r="S120" s="3">
        <v>10.990013046604119</v>
      </c>
    </row>
    <row r="121" spans="2:19" x14ac:dyDescent="0.35">
      <c r="B121" s="38">
        <v>36621</v>
      </c>
      <c r="C121" s="3">
        <v>1</v>
      </c>
      <c r="D121" s="3">
        <v>0</v>
      </c>
      <c r="E121" s="3">
        <f>C121 - D121</f>
        <v>1</v>
      </c>
      <c r="P121" s="38">
        <v>40274</v>
      </c>
      <c r="Q121" s="3">
        <v>0</v>
      </c>
      <c r="R121" s="3">
        <v>-11.047703800192462</v>
      </c>
      <c r="S121" s="3">
        <v>11.047703800192462</v>
      </c>
    </row>
    <row r="122" spans="2:19" x14ac:dyDescent="0.35">
      <c r="B122" s="38">
        <v>36622</v>
      </c>
      <c r="C122" s="3">
        <v>0</v>
      </c>
      <c r="D122" s="3">
        <v>1</v>
      </c>
      <c r="E122" s="3">
        <f>C122 - D122</f>
        <v>-1</v>
      </c>
      <c r="P122" s="38">
        <v>40275</v>
      </c>
      <c r="Q122" s="3">
        <v>0</v>
      </c>
      <c r="R122" s="3">
        <v>-11.105094855472652</v>
      </c>
      <c r="S122" s="3">
        <v>11.105094855472652</v>
      </c>
    </row>
    <row r="123" spans="2:19" x14ac:dyDescent="0.35">
      <c r="B123" s="38">
        <v>36623</v>
      </c>
      <c r="C123" s="3">
        <v>0</v>
      </c>
      <c r="D123" s="3">
        <v>0</v>
      </c>
      <c r="E123" s="3">
        <f>C123 - D123</f>
        <v>0</v>
      </c>
      <c r="P123" s="38">
        <v>40276</v>
      </c>
      <c r="Q123" s="3">
        <v>0</v>
      </c>
      <c r="R123" s="3">
        <v>-11.162190835194647</v>
      </c>
      <c r="S123" s="3">
        <v>11.162190835194647</v>
      </c>
    </row>
    <row r="124" spans="2:19" x14ac:dyDescent="0.35">
      <c r="B124" s="38">
        <v>36624</v>
      </c>
      <c r="C124" s="3">
        <v>0</v>
      </c>
      <c r="D124" s="3">
        <v>0</v>
      </c>
      <c r="E124" s="3">
        <f>C124 - D124</f>
        <v>0</v>
      </c>
      <c r="P124" s="38">
        <v>40277</v>
      </c>
      <c r="Q124" s="3">
        <v>0</v>
      </c>
      <c r="R124" s="3">
        <v>-11.218996244475775</v>
      </c>
      <c r="S124" s="3">
        <v>11.218996244475775</v>
      </c>
    </row>
    <row r="125" spans="2:19" x14ac:dyDescent="0.35">
      <c r="B125" s="38">
        <v>36625</v>
      </c>
      <c r="C125" s="3">
        <v>0</v>
      </c>
      <c r="D125" s="3">
        <v>0</v>
      </c>
      <c r="E125" s="3">
        <f>C125 - D125</f>
        <v>0</v>
      </c>
      <c r="P125" s="38">
        <v>40278</v>
      </c>
      <c r="Q125" s="3">
        <v>0</v>
      </c>
      <c r="R125" s="3">
        <v>-11.275515474949238</v>
      </c>
      <c r="S125" s="3">
        <v>11.275515474949238</v>
      </c>
    </row>
    <row r="126" spans="2:19" x14ac:dyDescent="0.35">
      <c r="B126" s="38">
        <v>36626</v>
      </c>
      <c r="C126" s="3">
        <v>0</v>
      </c>
      <c r="D126" s="3">
        <v>0</v>
      </c>
      <c r="E126" s="3">
        <f>C126 - D126</f>
        <v>0</v>
      </c>
      <c r="P126" s="38">
        <v>40279</v>
      </c>
    </row>
    <row r="127" spans="2:19" x14ac:dyDescent="0.35">
      <c r="B127" s="38">
        <v>36627</v>
      </c>
      <c r="C127" s="3">
        <v>0</v>
      </c>
      <c r="D127" s="3">
        <v>0</v>
      </c>
      <c r="E127" s="3">
        <f>C127 - D127</f>
        <v>0</v>
      </c>
      <c r="P127" s="38">
        <v>40280</v>
      </c>
    </row>
    <row r="128" spans="2:19" x14ac:dyDescent="0.35">
      <c r="B128" s="38">
        <v>36628</v>
      </c>
      <c r="C128" s="3">
        <v>0</v>
      </c>
      <c r="D128" s="3">
        <v>0</v>
      </c>
      <c r="E128" s="3">
        <f>C128 - D128</f>
        <v>0</v>
      </c>
      <c r="P128" s="38">
        <v>40281</v>
      </c>
    </row>
    <row r="129" spans="2:16" x14ac:dyDescent="0.35">
      <c r="B129" s="38">
        <v>36629</v>
      </c>
      <c r="C129" s="3">
        <v>0</v>
      </c>
      <c r="D129" s="3">
        <v>0</v>
      </c>
      <c r="E129" s="3">
        <f>C129 - D129</f>
        <v>0</v>
      </c>
      <c r="P129" s="38">
        <v>40282</v>
      </c>
    </row>
    <row r="130" spans="2:16" x14ac:dyDescent="0.35">
      <c r="B130" s="38">
        <v>36630</v>
      </c>
      <c r="C130" s="3">
        <v>1</v>
      </c>
      <c r="D130" s="3">
        <v>0</v>
      </c>
      <c r="E130" s="3">
        <f>C130 - D130</f>
        <v>1</v>
      </c>
      <c r="P130" s="38">
        <v>40283</v>
      </c>
    </row>
    <row r="131" spans="2:16" x14ac:dyDescent="0.35">
      <c r="B131" s="38">
        <v>36631</v>
      </c>
      <c r="C131" s="3">
        <v>1</v>
      </c>
      <c r="D131" s="3">
        <v>1</v>
      </c>
      <c r="E131" s="3">
        <f>C131 - D131</f>
        <v>0</v>
      </c>
      <c r="P131" s="38">
        <v>40284</v>
      </c>
    </row>
    <row r="132" spans="2:16" x14ac:dyDescent="0.35">
      <c r="B132" s="38">
        <v>36632</v>
      </c>
      <c r="C132" s="3">
        <v>1</v>
      </c>
      <c r="D132" s="3">
        <v>1</v>
      </c>
      <c r="E132" s="3">
        <f>C132 - D132</f>
        <v>0</v>
      </c>
      <c r="P132" s="38">
        <v>40285</v>
      </c>
    </row>
    <row r="133" spans="2:16" x14ac:dyDescent="0.35">
      <c r="B133" s="38">
        <v>36633</v>
      </c>
      <c r="C133" s="3">
        <v>1</v>
      </c>
      <c r="D133" s="3">
        <v>1</v>
      </c>
      <c r="E133" s="3">
        <f>C133 - D133</f>
        <v>0</v>
      </c>
      <c r="P133" s="38">
        <v>40286</v>
      </c>
    </row>
    <row r="134" spans="2:16" x14ac:dyDescent="0.35">
      <c r="B134" s="38">
        <v>36634</v>
      </c>
      <c r="C134" s="3">
        <v>0</v>
      </c>
      <c r="D134" s="3">
        <v>1</v>
      </c>
      <c r="E134" s="3">
        <f>C134 - D134</f>
        <v>-1</v>
      </c>
      <c r="P134" s="38">
        <v>40287</v>
      </c>
    </row>
    <row r="135" spans="2:16" x14ac:dyDescent="0.35">
      <c r="B135" s="38">
        <v>36635</v>
      </c>
      <c r="C135" s="3">
        <v>0</v>
      </c>
      <c r="D135" s="3">
        <v>0</v>
      </c>
      <c r="E135" s="3">
        <f>C135 - D135</f>
        <v>0</v>
      </c>
      <c r="P135" s="38">
        <v>40288</v>
      </c>
    </row>
    <row r="136" spans="2:16" x14ac:dyDescent="0.35">
      <c r="B136" s="38">
        <v>36636</v>
      </c>
      <c r="C136" s="3">
        <v>0</v>
      </c>
      <c r="D136" s="3">
        <v>0</v>
      </c>
      <c r="E136" s="3">
        <f>C136 - D136</f>
        <v>0</v>
      </c>
      <c r="P136" s="38">
        <v>40289</v>
      </c>
    </row>
    <row r="137" spans="2:16" x14ac:dyDescent="0.35">
      <c r="B137" s="38">
        <v>36637</v>
      </c>
      <c r="C137" s="3">
        <v>0</v>
      </c>
      <c r="D137" s="3">
        <v>0</v>
      </c>
      <c r="E137" s="3">
        <f>C137 - D137</f>
        <v>0</v>
      </c>
      <c r="P137" s="38">
        <v>40290</v>
      </c>
    </row>
    <row r="138" spans="2:16" x14ac:dyDescent="0.35">
      <c r="B138" s="38">
        <v>36638</v>
      </c>
      <c r="C138" s="3">
        <v>1</v>
      </c>
      <c r="D138" s="3">
        <v>0</v>
      </c>
      <c r="E138" s="3">
        <f>C138 - D138</f>
        <v>1</v>
      </c>
      <c r="P138" s="38">
        <v>40291</v>
      </c>
    </row>
    <row r="139" spans="2:16" x14ac:dyDescent="0.35">
      <c r="B139" s="38">
        <v>36639</v>
      </c>
      <c r="C139" s="3">
        <v>0</v>
      </c>
      <c r="D139" s="3">
        <v>1</v>
      </c>
      <c r="E139" s="3">
        <f>C139 - D139</f>
        <v>-1</v>
      </c>
      <c r="P139" s="38">
        <v>40292</v>
      </c>
    </row>
    <row r="140" spans="2:16" x14ac:dyDescent="0.35">
      <c r="B140" s="38">
        <v>36640</v>
      </c>
      <c r="C140" s="3">
        <v>0</v>
      </c>
      <c r="D140" s="3">
        <v>0</v>
      </c>
      <c r="E140" s="3">
        <f>C140 - D140</f>
        <v>0</v>
      </c>
      <c r="P140" s="38">
        <v>40293</v>
      </c>
    </row>
    <row r="141" spans="2:16" x14ac:dyDescent="0.35">
      <c r="B141" s="38">
        <v>36641</v>
      </c>
      <c r="C141" s="3">
        <v>0</v>
      </c>
      <c r="D141" s="3">
        <v>0</v>
      </c>
      <c r="E141" s="3">
        <f>C141 - D141</f>
        <v>0</v>
      </c>
      <c r="P141" s="38">
        <v>40294</v>
      </c>
    </row>
    <row r="142" spans="2:16" x14ac:dyDescent="0.35">
      <c r="B142" s="38">
        <v>36642</v>
      </c>
      <c r="C142" s="3">
        <v>0</v>
      </c>
      <c r="D142" s="3">
        <v>0</v>
      </c>
      <c r="E142" s="3">
        <f>C142 - D142</f>
        <v>0</v>
      </c>
      <c r="P142" s="38">
        <v>40295</v>
      </c>
    </row>
    <row r="143" spans="2:16" x14ac:dyDescent="0.35">
      <c r="B143" s="38">
        <v>36643</v>
      </c>
      <c r="C143" s="3">
        <v>0</v>
      </c>
      <c r="D143" s="3">
        <v>0</v>
      </c>
      <c r="E143" s="3">
        <f>C143 - D143</f>
        <v>0</v>
      </c>
      <c r="P143" s="38">
        <v>40296</v>
      </c>
    </row>
    <row r="144" spans="2:16" x14ac:dyDescent="0.35">
      <c r="B144" s="38">
        <v>36644</v>
      </c>
      <c r="C144" s="3">
        <v>0</v>
      </c>
      <c r="D144" s="3">
        <v>0</v>
      </c>
      <c r="E144" s="3">
        <f>C144 - D144</f>
        <v>0</v>
      </c>
      <c r="P144" s="38">
        <v>40297</v>
      </c>
    </row>
    <row r="145" spans="2:16" x14ac:dyDescent="0.35">
      <c r="B145" s="38">
        <v>36645</v>
      </c>
      <c r="C145" s="3">
        <v>0</v>
      </c>
      <c r="D145" s="3">
        <v>0</v>
      </c>
      <c r="E145" s="3">
        <f>C145 - D145</f>
        <v>0</v>
      </c>
      <c r="P145" s="38">
        <v>40298</v>
      </c>
    </row>
    <row r="146" spans="2:16" x14ac:dyDescent="0.35">
      <c r="B146" s="38">
        <v>36646</v>
      </c>
      <c r="C146" s="3">
        <v>1</v>
      </c>
      <c r="D146" s="3">
        <v>0</v>
      </c>
      <c r="E146" s="3">
        <f>C146 - D146</f>
        <v>1</v>
      </c>
      <c r="P146" s="38">
        <v>40299</v>
      </c>
    </row>
    <row r="147" spans="2:16" x14ac:dyDescent="0.35">
      <c r="B147" s="38">
        <v>36647</v>
      </c>
      <c r="C147" s="3">
        <v>1</v>
      </c>
      <c r="D147" s="3">
        <v>1</v>
      </c>
      <c r="E147" s="3">
        <f>C147 - D147</f>
        <v>0</v>
      </c>
      <c r="P147" s="38">
        <v>40300</v>
      </c>
    </row>
    <row r="148" spans="2:16" x14ac:dyDescent="0.35">
      <c r="B148" s="38">
        <v>36648</v>
      </c>
      <c r="C148" s="3">
        <v>0</v>
      </c>
      <c r="D148" s="3">
        <v>1</v>
      </c>
      <c r="E148" s="3">
        <f>C148 - D148</f>
        <v>-1</v>
      </c>
      <c r="P148" s="38">
        <v>40301</v>
      </c>
    </row>
    <row r="149" spans="2:16" x14ac:dyDescent="0.35">
      <c r="B149" s="38">
        <v>36649</v>
      </c>
      <c r="C149" s="3">
        <v>0</v>
      </c>
      <c r="D149" s="3">
        <v>0</v>
      </c>
      <c r="E149" s="3">
        <f>C149 - D149</f>
        <v>0</v>
      </c>
      <c r="P149" s="38">
        <v>40302</v>
      </c>
    </row>
    <row r="150" spans="2:16" x14ac:dyDescent="0.35">
      <c r="B150" s="38">
        <v>36650</v>
      </c>
      <c r="C150" s="3">
        <v>1</v>
      </c>
      <c r="D150" s="3">
        <v>0</v>
      </c>
      <c r="E150" s="3">
        <f>C150 - D150</f>
        <v>1</v>
      </c>
      <c r="P150" s="38">
        <v>40303</v>
      </c>
    </row>
    <row r="151" spans="2:16" x14ac:dyDescent="0.35">
      <c r="B151" s="38">
        <v>36651</v>
      </c>
      <c r="C151" s="3">
        <v>1</v>
      </c>
      <c r="D151" s="3">
        <v>1</v>
      </c>
      <c r="E151" s="3">
        <f>C151 - D151</f>
        <v>0</v>
      </c>
      <c r="P151" s="38">
        <v>40304</v>
      </c>
    </row>
    <row r="152" spans="2:16" x14ac:dyDescent="0.35">
      <c r="B152" s="38">
        <v>36652</v>
      </c>
      <c r="C152" s="3">
        <v>1</v>
      </c>
      <c r="D152" s="3">
        <v>1</v>
      </c>
      <c r="E152" s="3">
        <f>C152 - D152</f>
        <v>0</v>
      </c>
      <c r="P152" s="38">
        <v>40305</v>
      </c>
    </row>
    <row r="153" spans="2:16" x14ac:dyDescent="0.35">
      <c r="B153" s="38">
        <v>36653</v>
      </c>
      <c r="C153" s="3">
        <v>0</v>
      </c>
      <c r="D153" s="3">
        <v>1</v>
      </c>
      <c r="E153" s="3">
        <f>C153 - D153</f>
        <v>-1</v>
      </c>
      <c r="P153" s="38">
        <v>40306</v>
      </c>
    </row>
    <row r="154" spans="2:16" x14ac:dyDescent="0.35">
      <c r="B154" s="38">
        <v>36654</v>
      </c>
      <c r="C154" s="3">
        <v>0</v>
      </c>
      <c r="D154" s="3">
        <v>0</v>
      </c>
      <c r="E154" s="3">
        <f>C154 - D154</f>
        <v>0</v>
      </c>
      <c r="P154" s="38">
        <v>40307</v>
      </c>
    </row>
    <row r="155" spans="2:16" x14ac:dyDescent="0.35">
      <c r="B155" s="38">
        <v>36655</v>
      </c>
      <c r="C155" s="3">
        <v>0</v>
      </c>
      <c r="D155" s="3">
        <v>0</v>
      </c>
      <c r="E155" s="3">
        <f>C155 - D155</f>
        <v>0</v>
      </c>
      <c r="P155" s="38">
        <v>40308</v>
      </c>
    </row>
    <row r="156" spans="2:16" x14ac:dyDescent="0.35">
      <c r="B156" s="38">
        <v>36656</v>
      </c>
      <c r="C156" s="3">
        <v>0</v>
      </c>
      <c r="D156" s="3">
        <v>0</v>
      </c>
      <c r="E156" s="3">
        <f>C156 - D156</f>
        <v>0</v>
      </c>
      <c r="P156" s="38">
        <v>40309</v>
      </c>
    </row>
    <row r="157" spans="2:16" x14ac:dyDescent="0.35">
      <c r="B157" s="38">
        <v>36657</v>
      </c>
      <c r="C157" s="3">
        <v>0</v>
      </c>
      <c r="D157" s="3">
        <v>0</v>
      </c>
      <c r="E157" s="3">
        <f>C157 - D157</f>
        <v>0</v>
      </c>
      <c r="P157" s="38">
        <v>40310</v>
      </c>
    </row>
    <row r="158" spans="2:16" x14ac:dyDescent="0.35">
      <c r="B158" s="38">
        <v>36658</v>
      </c>
      <c r="C158" s="3">
        <v>0</v>
      </c>
      <c r="D158" s="3">
        <v>0</v>
      </c>
      <c r="E158" s="3">
        <f>C158 - D158</f>
        <v>0</v>
      </c>
      <c r="P158" s="38">
        <v>40311</v>
      </c>
    </row>
    <row r="159" spans="2:16" x14ac:dyDescent="0.35">
      <c r="B159" s="38">
        <v>36659</v>
      </c>
      <c r="C159" s="3">
        <v>1</v>
      </c>
      <c r="D159" s="3">
        <v>0</v>
      </c>
      <c r="E159" s="3">
        <f>C159 - D159</f>
        <v>1</v>
      </c>
      <c r="P159" s="38">
        <v>40312</v>
      </c>
    </row>
    <row r="160" spans="2:16" x14ac:dyDescent="0.35">
      <c r="B160" s="38">
        <v>36660</v>
      </c>
      <c r="C160" s="3">
        <v>0</v>
      </c>
      <c r="D160" s="3">
        <v>1</v>
      </c>
      <c r="E160" s="3">
        <f>C160 - D160</f>
        <v>-1</v>
      </c>
      <c r="P160" s="38">
        <v>40313</v>
      </c>
    </row>
    <row r="161" spans="2:16" x14ac:dyDescent="0.35">
      <c r="B161" s="38">
        <v>36661</v>
      </c>
      <c r="C161" s="3">
        <v>0</v>
      </c>
      <c r="D161" s="3">
        <v>0</v>
      </c>
      <c r="E161" s="3">
        <f>C161 - D161</f>
        <v>0</v>
      </c>
      <c r="P161" s="38">
        <v>40314</v>
      </c>
    </row>
    <row r="162" spans="2:16" x14ac:dyDescent="0.35">
      <c r="B162" s="38">
        <v>36662</v>
      </c>
      <c r="C162" s="3">
        <v>1</v>
      </c>
      <c r="D162" s="3">
        <v>0</v>
      </c>
      <c r="E162" s="3">
        <f>C162 - D162</f>
        <v>1</v>
      </c>
      <c r="P162" s="38">
        <v>40315</v>
      </c>
    </row>
    <row r="163" spans="2:16" x14ac:dyDescent="0.35">
      <c r="B163" s="38">
        <v>36663</v>
      </c>
      <c r="C163" s="3">
        <v>1</v>
      </c>
      <c r="D163" s="3">
        <v>1</v>
      </c>
      <c r="E163" s="3">
        <f>C163 - D163</f>
        <v>0</v>
      </c>
      <c r="P163" s="38">
        <v>40316</v>
      </c>
    </row>
    <row r="164" spans="2:16" x14ac:dyDescent="0.35">
      <c r="B164" s="38">
        <v>36664</v>
      </c>
      <c r="C164" s="3">
        <v>0</v>
      </c>
      <c r="D164" s="3">
        <v>1</v>
      </c>
      <c r="E164" s="3">
        <f>C164 - D164</f>
        <v>-1</v>
      </c>
      <c r="P164" s="38">
        <v>40317</v>
      </c>
    </row>
    <row r="165" spans="2:16" x14ac:dyDescent="0.35">
      <c r="B165" s="38">
        <v>36665</v>
      </c>
      <c r="C165" s="3">
        <v>0</v>
      </c>
      <c r="D165" s="3">
        <v>0</v>
      </c>
      <c r="E165" s="3">
        <f>C165 - D165</f>
        <v>0</v>
      </c>
      <c r="P165" s="38">
        <v>40318</v>
      </c>
    </row>
    <row r="166" spans="2:16" x14ac:dyDescent="0.35">
      <c r="B166" s="38">
        <v>36666</v>
      </c>
      <c r="C166" s="3">
        <v>0</v>
      </c>
      <c r="D166" s="3">
        <v>0</v>
      </c>
      <c r="E166" s="3">
        <f>C166 - D166</f>
        <v>0</v>
      </c>
      <c r="P166" s="38">
        <v>40319</v>
      </c>
    </row>
    <row r="167" spans="2:16" x14ac:dyDescent="0.35">
      <c r="B167" s="38">
        <v>36667</v>
      </c>
      <c r="C167" s="3">
        <v>0</v>
      </c>
      <c r="D167" s="3">
        <v>0</v>
      </c>
      <c r="E167" s="3">
        <f>C167 - D167</f>
        <v>0</v>
      </c>
      <c r="P167" s="38">
        <v>40320</v>
      </c>
    </row>
    <row r="168" spans="2:16" x14ac:dyDescent="0.35">
      <c r="B168" s="38">
        <v>36668</v>
      </c>
      <c r="C168" s="3">
        <v>0</v>
      </c>
      <c r="D168" s="3">
        <v>0</v>
      </c>
      <c r="E168" s="3">
        <f>C168 - D168</f>
        <v>0</v>
      </c>
      <c r="P168" s="38">
        <v>40321</v>
      </c>
    </row>
    <row r="169" spans="2:16" x14ac:dyDescent="0.35">
      <c r="B169" s="38">
        <v>36669</v>
      </c>
      <c r="C169" s="3">
        <v>0</v>
      </c>
      <c r="D169" s="3">
        <v>0</v>
      </c>
      <c r="E169" s="3">
        <f>C169 - D169</f>
        <v>0</v>
      </c>
      <c r="P169" s="38">
        <v>40322</v>
      </c>
    </row>
    <row r="170" spans="2:16" x14ac:dyDescent="0.35">
      <c r="B170" s="38">
        <v>36670</v>
      </c>
      <c r="C170" s="3">
        <v>0</v>
      </c>
      <c r="D170" s="3">
        <v>0</v>
      </c>
      <c r="E170" s="3">
        <f>C170 - D170</f>
        <v>0</v>
      </c>
      <c r="P170" s="38">
        <v>40323</v>
      </c>
    </row>
    <row r="171" spans="2:16" x14ac:dyDescent="0.35">
      <c r="B171" s="38">
        <v>36671</v>
      </c>
      <c r="C171" s="3">
        <v>0</v>
      </c>
      <c r="D171" s="3">
        <v>0</v>
      </c>
      <c r="E171" s="3">
        <f>C171 - D171</f>
        <v>0</v>
      </c>
      <c r="P171" s="38">
        <v>40324</v>
      </c>
    </row>
    <row r="172" spans="2:16" x14ac:dyDescent="0.35">
      <c r="B172" s="38">
        <v>36672</v>
      </c>
      <c r="C172" s="3">
        <v>0</v>
      </c>
      <c r="D172" s="3">
        <v>0</v>
      </c>
      <c r="E172" s="3">
        <f>C172 - D172</f>
        <v>0</v>
      </c>
      <c r="P172" s="38">
        <v>40325</v>
      </c>
    </row>
    <row r="173" spans="2:16" x14ac:dyDescent="0.35">
      <c r="B173" s="38">
        <v>36673</v>
      </c>
      <c r="C173" s="3">
        <v>1</v>
      </c>
      <c r="D173" s="3">
        <v>0</v>
      </c>
      <c r="E173" s="3">
        <f>C173 - D173</f>
        <v>1</v>
      </c>
      <c r="P173" s="38">
        <v>40326</v>
      </c>
    </row>
    <row r="174" spans="2:16" x14ac:dyDescent="0.35">
      <c r="B174" s="38">
        <v>36674</v>
      </c>
      <c r="C174" s="3">
        <v>1</v>
      </c>
      <c r="D174" s="3">
        <v>1</v>
      </c>
      <c r="E174" s="3">
        <f>C174 - D174</f>
        <v>0</v>
      </c>
      <c r="P174" s="38">
        <v>40327</v>
      </c>
    </row>
    <row r="175" spans="2:16" x14ac:dyDescent="0.35">
      <c r="B175" s="38">
        <v>36675</v>
      </c>
      <c r="C175" s="3">
        <v>1</v>
      </c>
      <c r="D175" s="3">
        <v>1</v>
      </c>
      <c r="E175" s="3">
        <f>C175 - D175</f>
        <v>0</v>
      </c>
      <c r="P175" s="38">
        <v>40328</v>
      </c>
    </row>
    <row r="176" spans="2:16" x14ac:dyDescent="0.35">
      <c r="B176" s="38">
        <v>36676</v>
      </c>
      <c r="C176" s="3">
        <v>1</v>
      </c>
      <c r="D176" s="3">
        <v>1</v>
      </c>
      <c r="E176" s="3">
        <f>C176 - D176</f>
        <v>0</v>
      </c>
      <c r="P176" s="38">
        <v>40329</v>
      </c>
    </row>
    <row r="177" spans="2:16" x14ac:dyDescent="0.35">
      <c r="B177" s="38">
        <v>36677</v>
      </c>
      <c r="C177" s="3">
        <v>1</v>
      </c>
      <c r="D177" s="3">
        <v>1</v>
      </c>
      <c r="E177" s="3">
        <f>C177 - D177</f>
        <v>0</v>
      </c>
      <c r="P177" s="38">
        <v>40330</v>
      </c>
    </row>
    <row r="178" spans="2:16" x14ac:dyDescent="0.35">
      <c r="B178" s="38">
        <v>36678</v>
      </c>
      <c r="C178" s="3">
        <v>1</v>
      </c>
      <c r="D178" s="3">
        <v>1</v>
      </c>
      <c r="E178" s="3">
        <f>C178 - D178</f>
        <v>0</v>
      </c>
      <c r="P178" s="38">
        <v>40331</v>
      </c>
    </row>
    <row r="179" spans="2:16" x14ac:dyDescent="0.35">
      <c r="B179" s="38">
        <v>36679</v>
      </c>
      <c r="C179" s="3">
        <v>1</v>
      </c>
      <c r="D179" s="3">
        <v>1</v>
      </c>
      <c r="E179" s="3">
        <f>C179 - D179</f>
        <v>0</v>
      </c>
      <c r="P179" s="38">
        <v>40332</v>
      </c>
    </row>
    <row r="180" spans="2:16" x14ac:dyDescent="0.35">
      <c r="B180" s="38">
        <v>36680</v>
      </c>
      <c r="C180" s="3">
        <v>0</v>
      </c>
      <c r="D180" s="3">
        <v>1</v>
      </c>
      <c r="E180" s="3">
        <f>C180 - D180</f>
        <v>-1</v>
      </c>
      <c r="P180" s="38">
        <v>40333</v>
      </c>
    </row>
    <row r="181" spans="2:16" x14ac:dyDescent="0.35">
      <c r="B181" s="38">
        <v>36681</v>
      </c>
      <c r="C181" s="3">
        <v>1</v>
      </c>
      <c r="D181" s="3">
        <v>0</v>
      </c>
      <c r="E181" s="3">
        <f>C181 - D181</f>
        <v>1</v>
      </c>
      <c r="P181" s="38">
        <v>40334</v>
      </c>
    </row>
    <row r="182" spans="2:16" x14ac:dyDescent="0.35">
      <c r="B182" s="38">
        <v>36682</v>
      </c>
      <c r="C182" s="3">
        <v>1</v>
      </c>
      <c r="D182" s="3">
        <v>1</v>
      </c>
      <c r="E182" s="3">
        <f>C182 - D182</f>
        <v>0</v>
      </c>
      <c r="P182" s="38">
        <v>40335</v>
      </c>
    </row>
    <row r="183" spans="2:16" x14ac:dyDescent="0.35">
      <c r="B183" s="38">
        <v>36683</v>
      </c>
      <c r="C183" s="3">
        <v>1</v>
      </c>
      <c r="D183" s="3">
        <v>1</v>
      </c>
      <c r="E183" s="3">
        <f>C183 - D183</f>
        <v>0</v>
      </c>
      <c r="P183" s="38">
        <v>40336</v>
      </c>
    </row>
    <row r="184" spans="2:16" x14ac:dyDescent="0.35">
      <c r="B184" s="38">
        <v>36684</v>
      </c>
      <c r="C184" s="3">
        <v>1</v>
      </c>
      <c r="D184" s="3">
        <v>1</v>
      </c>
      <c r="E184" s="3">
        <f>C184 - D184</f>
        <v>0</v>
      </c>
      <c r="P184" s="38">
        <v>40337</v>
      </c>
    </row>
    <row r="185" spans="2:16" x14ac:dyDescent="0.35">
      <c r="B185" s="38">
        <v>36685</v>
      </c>
      <c r="C185" s="3">
        <v>0</v>
      </c>
      <c r="D185" s="3">
        <v>1</v>
      </c>
      <c r="E185" s="3">
        <f>C185 - D185</f>
        <v>-1</v>
      </c>
      <c r="P185" s="38">
        <v>40338</v>
      </c>
    </row>
    <row r="186" spans="2:16" x14ac:dyDescent="0.35">
      <c r="B186" s="38">
        <v>36686</v>
      </c>
      <c r="C186" s="3">
        <v>0</v>
      </c>
      <c r="D186" s="3">
        <v>0</v>
      </c>
      <c r="E186" s="3">
        <f>C186 - D186</f>
        <v>0</v>
      </c>
      <c r="P186" s="38">
        <v>40339</v>
      </c>
    </row>
    <row r="187" spans="2:16" x14ac:dyDescent="0.35">
      <c r="B187" s="38">
        <v>36687</v>
      </c>
      <c r="C187" s="3">
        <v>1</v>
      </c>
      <c r="D187" s="3">
        <v>0</v>
      </c>
      <c r="E187" s="3">
        <f>C187 - D187</f>
        <v>1</v>
      </c>
      <c r="P187" s="38">
        <v>40340</v>
      </c>
    </row>
    <row r="188" spans="2:16" x14ac:dyDescent="0.35">
      <c r="B188" s="38">
        <v>36688</v>
      </c>
      <c r="C188" s="3">
        <v>1</v>
      </c>
      <c r="D188" s="3">
        <v>1</v>
      </c>
      <c r="E188" s="3">
        <f>C188 - D188</f>
        <v>0</v>
      </c>
      <c r="P188" s="38">
        <v>40341</v>
      </c>
    </row>
    <row r="189" spans="2:16" x14ac:dyDescent="0.35">
      <c r="B189" s="38">
        <v>36689</v>
      </c>
      <c r="C189" s="3">
        <v>0</v>
      </c>
      <c r="D189" s="3">
        <v>1</v>
      </c>
      <c r="E189" s="3">
        <f>C189 - D189</f>
        <v>-1</v>
      </c>
      <c r="P189" s="38">
        <v>40342</v>
      </c>
    </row>
    <row r="190" spans="2:16" x14ac:dyDescent="0.35">
      <c r="B190" s="38">
        <v>36690</v>
      </c>
      <c r="C190" s="3">
        <v>0</v>
      </c>
      <c r="D190" s="3">
        <v>0</v>
      </c>
      <c r="E190" s="3">
        <f>C190 - D190</f>
        <v>0</v>
      </c>
      <c r="P190" s="38">
        <v>40343</v>
      </c>
    </row>
    <row r="191" spans="2:16" x14ac:dyDescent="0.35">
      <c r="B191" s="38">
        <v>36691</v>
      </c>
      <c r="C191" s="3">
        <v>0</v>
      </c>
      <c r="D191" s="3">
        <v>0</v>
      </c>
      <c r="E191" s="3">
        <f>C191 - D191</f>
        <v>0</v>
      </c>
      <c r="P191" s="38">
        <v>40344</v>
      </c>
    </row>
    <row r="192" spans="2:16" x14ac:dyDescent="0.35">
      <c r="B192" s="38">
        <v>36692</v>
      </c>
      <c r="C192" s="3">
        <v>0</v>
      </c>
      <c r="D192" s="3">
        <v>0</v>
      </c>
      <c r="E192" s="3">
        <f>C192 - D192</f>
        <v>0</v>
      </c>
      <c r="P192" s="38">
        <v>40345</v>
      </c>
    </row>
    <row r="193" spans="2:16" x14ac:dyDescent="0.35">
      <c r="B193" s="38">
        <v>36693</v>
      </c>
      <c r="C193" s="3">
        <v>0</v>
      </c>
      <c r="D193" s="3">
        <v>0</v>
      </c>
      <c r="E193" s="3">
        <f>C193 - D193</f>
        <v>0</v>
      </c>
      <c r="P193" s="38">
        <v>40346</v>
      </c>
    </row>
    <row r="194" spans="2:16" x14ac:dyDescent="0.35">
      <c r="B194" s="38">
        <v>36694</v>
      </c>
      <c r="C194" s="3">
        <v>0</v>
      </c>
      <c r="D194" s="3">
        <v>0</v>
      </c>
      <c r="E194" s="3">
        <f>C194 - D194</f>
        <v>0</v>
      </c>
      <c r="P194" s="38">
        <v>40347</v>
      </c>
    </row>
    <row r="195" spans="2:16" x14ac:dyDescent="0.35">
      <c r="B195" s="38">
        <v>36695</v>
      </c>
      <c r="C195" s="3">
        <v>0</v>
      </c>
      <c r="D195" s="3">
        <v>0</v>
      </c>
      <c r="E195" s="3">
        <f>C195 - D195</f>
        <v>0</v>
      </c>
      <c r="P195" s="38">
        <v>40348</v>
      </c>
    </row>
    <row r="196" spans="2:16" x14ac:dyDescent="0.35">
      <c r="B196" s="38">
        <v>36696</v>
      </c>
      <c r="C196" s="3">
        <v>0</v>
      </c>
      <c r="D196" s="3">
        <v>0</v>
      </c>
      <c r="E196" s="3">
        <f>C196 - D196</f>
        <v>0</v>
      </c>
      <c r="P196" s="38">
        <v>40349</v>
      </c>
    </row>
    <row r="197" spans="2:16" x14ac:dyDescent="0.35">
      <c r="B197" s="38">
        <v>36697</v>
      </c>
      <c r="C197" s="3">
        <v>0</v>
      </c>
      <c r="D197" s="3">
        <v>0</v>
      </c>
      <c r="E197" s="3">
        <f>C197 - D197</f>
        <v>0</v>
      </c>
      <c r="P197" s="38">
        <v>40350</v>
      </c>
    </row>
    <row r="198" spans="2:16" x14ac:dyDescent="0.35">
      <c r="B198" s="38">
        <v>36698</v>
      </c>
      <c r="C198" s="3">
        <v>1</v>
      </c>
      <c r="D198" s="3">
        <v>0</v>
      </c>
      <c r="E198" s="3">
        <f>C198 - D198</f>
        <v>1</v>
      </c>
      <c r="P198" s="38">
        <v>40351</v>
      </c>
    </row>
    <row r="199" spans="2:16" x14ac:dyDescent="0.35">
      <c r="B199" s="38">
        <v>36699</v>
      </c>
      <c r="C199" s="3">
        <v>1</v>
      </c>
      <c r="D199" s="3">
        <v>1</v>
      </c>
      <c r="E199" s="3">
        <f>C199 - D199</f>
        <v>0</v>
      </c>
      <c r="P199" s="38">
        <v>40352</v>
      </c>
    </row>
    <row r="200" spans="2:16" x14ac:dyDescent="0.35">
      <c r="B200" s="38">
        <v>36700</v>
      </c>
      <c r="C200" s="3">
        <v>1</v>
      </c>
      <c r="D200" s="3">
        <v>1</v>
      </c>
      <c r="E200" s="3">
        <f>C200 - D200</f>
        <v>0</v>
      </c>
      <c r="P200" s="38">
        <v>40353</v>
      </c>
    </row>
    <row r="201" spans="2:16" x14ac:dyDescent="0.35">
      <c r="B201" s="38">
        <v>36701</v>
      </c>
      <c r="C201" s="3">
        <v>0</v>
      </c>
      <c r="D201" s="3">
        <v>1</v>
      </c>
      <c r="E201" s="3">
        <f>C201 - D201</f>
        <v>-1</v>
      </c>
      <c r="P201" s="38">
        <v>40354</v>
      </c>
    </row>
    <row r="202" spans="2:16" x14ac:dyDescent="0.35">
      <c r="B202" s="38">
        <v>36702</v>
      </c>
      <c r="C202" s="3">
        <v>0</v>
      </c>
      <c r="D202" s="3">
        <v>0</v>
      </c>
      <c r="E202" s="3">
        <f>C202 - D202</f>
        <v>0</v>
      </c>
      <c r="P202" s="38">
        <v>40355</v>
      </c>
    </row>
    <row r="203" spans="2:16" x14ac:dyDescent="0.35">
      <c r="B203" s="38">
        <v>36703</v>
      </c>
      <c r="C203" s="3">
        <v>0</v>
      </c>
      <c r="D203" s="3">
        <v>0</v>
      </c>
      <c r="E203" s="3">
        <f>C203 - D203</f>
        <v>0</v>
      </c>
      <c r="P203" s="38">
        <v>40356</v>
      </c>
    </row>
    <row r="204" spans="2:16" x14ac:dyDescent="0.35">
      <c r="B204" s="38">
        <v>36704</v>
      </c>
      <c r="C204" s="3">
        <v>0</v>
      </c>
      <c r="D204" s="3">
        <v>0</v>
      </c>
      <c r="E204" s="3">
        <f>C204 - D204</f>
        <v>0</v>
      </c>
      <c r="P204" s="38">
        <v>40357</v>
      </c>
    </row>
    <row r="205" spans="2:16" x14ac:dyDescent="0.35">
      <c r="B205" s="38">
        <v>36705</v>
      </c>
      <c r="C205" s="3">
        <v>0</v>
      </c>
      <c r="D205" s="3">
        <v>0</v>
      </c>
      <c r="E205" s="3">
        <f>C205 - D205</f>
        <v>0</v>
      </c>
      <c r="P205" s="38">
        <v>40358</v>
      </c>
    </row>
    <row r="206" spans="2:16" x14ac:dyDescent="0.35">
      <c r="B206" s="38">
        <v>36706</v>
      </c>
      <c r="C206" s="3">
        <v>1</v>
      </c>
      <c r="D206" s="3">
        <v>0</v>
      </c>
      <c r="E206" s="3">
        <f>C206 - D206</f>
        <v>1</v>
      </c>
      <c r="P206" s="38">
        <v>40359</v>
      </c>
    </row>
    <row r="207" spans="2:16" x14ac:dyDescent="0.35">
      <c r="B207" s="38">
        <v>36707</v>
      </c>
      <c r="C207" s="3">
        <v>1</v>
      </c>
      <c r="D207" s="3">
        <v>1</v>
      </c>
      <c r="E207" s="3">
        <f>C207 - D207</f>
        <v>0</v>
      </c>
      <c r="P207" s="38">
        <v>40360</v>
      </c>
    </row>
    <row r="208" spans="2:16" x14ac:dyDescent="0.35">
      <c r="B208" s="38">
        <v>36708</v>
      </c>
      <c r="C208" s="3">
        <v>1</v>
      </c>
      <c r="D208" s="3">
        <v>1</v>
      </c>
      <c r="E208" s="3">
        <f>C208 - D208</f>
        <v>0</v>
      </c>
      <c r="P208" s="38">
        <v>40361</v>
      </c>
    </row>
    <row r="209" spans="2:16" x14ac:dyDescent="0.35">
      <c r="B209" s="38">
        <v>36709</v>
      </c>
      <c r="C209" s="3">
        <v>0</v>
      </c>
      <c r="D209" s="3">
        <v>1</v>
      </c>
      <c r="E209" s="3">
        <f>C209 - D209</f>
        <v>-1</v>
      </c>
      <c r="P209" s="38">
        <v>40362</v>
      </c>
    </row>
    <row r="210" spans="2:16" x14ac:dyDescent="0.35">
      <c r="B210" s="38">
        <v>36710</v>
      </c>
      <c r="C210" s="3">
        <v>0</v>
      </c>
      <c r="D210" s="3">
        <v>0</v>
      </c>
      <c r="E210" s="3">
        <f>C210 - D210</f>
        <v>0</v>
      </c>
      <c r="P210" s="38">
        <v>40363</v>
      </c>
    </row>
    <row r="211" spans="2:16" x14ac:dyDescent="0.35">
      <c r="B211" s="38">
        <v>36711</v>
      </c>
      <c r="C211" s="3">
        <v>0</v>
      </c>
      <c r="D211" s="3">
        <v>0</v>
      </c>
      <c r="E211" s="3">
        <f>C211 - D211</f>
        <v>0</v>
      </c>
      <c r="P211" s="38">
        <v>40364</v>
      </c>
    </row>
    <row r="212" spans="2:16" x14ac:dyDescent="0.35">
      <c r="B212" s="38">
        <v>36712</v>
      </c>
      <c r="C212" s="3">
        <v>0</v>
      </c>
      <c r="D212" s="3">
        <v>0</v>
      </c>
      <c r="E212" s="3">
        <f>C212 - D212</f>
        <v>0</v>
      </c>
      <c r="P212" s="38">
        <v>40365</v>
      </c>
    </row>
    <row r="213" spans="2:16" x14ac:dyDescent="0.35">
      <c r="B213" s="38">
        <v>36713</v>
      </c>
      <c r="C213" s="3">
        <v>1</v>
      </c>
      <c r="D213" s="3">
        <v>0</v>
      </c>
      <c r="E213" s="3">
        <f>C213 - D213</f>
        <v>1</v>
      </c>
      <c r="P213" s="38">
        <v>40366</v>
      </c>
    </row>
    <row r="214" spans="2:16" x14ac:dyDescent="0.35">
      <c r="B214" s="38">
        <v>36714</v>
      </c>
      <c r="C214" s="3">
        <v>0</v>
      </c>
      <c r="D214" s="3">
        <v>1</v>
      </c>
      <c r="E214" s="3">
        <f>C214 - D214</f>
        <v>-1</v>
      </c>
      <c r="P214" s="38">
        <v>40367</v>
      </c>
    </row>
    <row r="215" spans="2:16" x14ac:dyDescent="0.35">
      <c r="B215" s="38">
        <v>36715</v>
      </c>
      <c r="C215" s="3">
        <v>0</v>
      </c>
      <c r="D215" s="3">
        <v>0</v>
      </c>
      <c r="E215" s="3">
        <f>C215 - D215</f>
        <v>0</v>
      </c>
      <c r="P215" s="38">
        <v>40368</v>
      </c>
    </row>
    <row r="216" spans="2:16" x14ac:dyDescent="0.35">
      <c r="B216" s="38">
        <v>36716</v>
      </c>
      <c r="C216" s="3">
        <v>0</v>
      </c>
      <c r="D216" s="3">
        <v>0</v>
      </c>
      <c r="E216" s="3">
        <f>C216 - D216</f>
        <v>0</v>
      </c>
      <c r="P216" s="38">
        <v>40369</v>
      </c>
    </row>
    <row r="217" spans="2:16" x14ac:dyDescent="0.35">
      <c r="B217" s="38">
        <v>36717</v>
      </c>
      <c r="C217" s="3">
        <v>1</v>
      </c>
      <c r="D217" s="3">
        <v>0</v>
      </c>
      <c r="E217" s="3">
        <f>C217 - D217</f>
        <v>1</v>
      </c>
      <c r="P217" s="38">
        <v>40370</v>
      </c>
    </row>
    <row r="218" spans="2:16" x14ac:dyDescent="0.35">
      <c r="B218" s="38">
        <v>36718</v>
      </c>
      <c r="C218" s="3">
        <v>1</v>
      </c>
      <c r="D218" s="3">
        <v>1</v>
      </c>
      <c r="E218" s="3">
        <f>C218 - D218</f>
        <v>0</v>
      </c>
      <c r="P218" s="38">
        <v>40371</v>
      </c>
    </row>
    <row r="219" spans="2:16" x14ac:dyDescent="0.35">
      <c r="B219" s="38">
        <v>36719</v>
      </c>
      <c r="C219" s="3">
        <v>0</v>
      </c>
      <c r="D219" s="3">
        <v>1</v>
      </c>
      <c r="E219" s="3">
        <f>C219 - D219</f>
        <v>-1</v>
      </c>
      <c r="P219" s="38">
        <v>40372</v>
      </c>
    </row>
    <row r="220" spans="2:16" x14ac:dyDescent="0.35">
      <c r="B220" s="38">
        <v>36720</v>
      </c>
      <c r="C220" s="3">
        <v>1</v>
      </c>
      <c r="D220" s="3">
        <v>0</v>
      </c>
      <c r="E220" s="3">
        <f>C220 - D220</f>
        <v>1</v>
      </c>
      <c r="P220" s="38">
        <v>40373</v>
      </c>
    </row>
    <row r="221" spans="2:16" x14ac:dyDescent="0.35">
      <c r="B221" s="38">
        <v>36721</v>
      </c>
      <c r="C221" s="3">
        <v>1</v>
      </c>
      <c r="D221" s="3">
        <v>1</v>
      </c>
      <c r="E221" s="3">
        <f>C221 - D221</f>
        <v>0</v>
      </c>
      <c r="P221" s="38">
        <v>40374</v>
      </c>
    </row>
    <row r="222" spans="2:16" x14ac:dyDescent="0.35">
      <c r="B222" s="38">
        <v>36722</v>
      </c>
      <c r="C222" s="3">
        <v>1</v>
      </c>
      <c r="D222" s="3">
        <v>1</v>
      </c>
      <c r="E222" s="3">
        <f>C222 - D222</f>
        <v>0</v>
      </c>
      <c r="P222" s="38">
        <v>40375</v>
      </c>
    </row>
    <row r="223" spans="2:16" x14ac:dyDescent="0.35">
      <c r="B223" s="38">
        <v>36723</v>
      </c>
      <c r="C223" s="3">
        <v>0</v>
      </c>
      <c r="D223" s="3">
        <v>1</v>
      </c>
      <c r="E223" s="3">
        <f>C223 - D223</f>
        <v>-1</v>
      </c>
      <c r="P223" s="38">
        <v>40376</v>
      </c>
    </row>
    <row r="224" spans="2:16" x14ac:dyDescent="0.35">
      <c r="B224" s="38">
        <v>36724</v>
      </c>
      <c r="C224" s="3">
        <v>0</v>
      </c>
      <c r="D224" s="3">
        <v>0</v>
      </c>
      <c r="E224" s="3">
        <f>C224 - D224</f>
        <v>0</v>
      </c>
      <c r="P224" s="38">
        <v>40377</v>
      </c>
    </row>
    <row r="225" spans="2:16" x14ac:dyDescent="0.35">
      <c r="B225" s="38">
        <v>36725</v>
      </c>
      <c r="C225" s="3">
        <v>0</v>
      </c>
      <c r="D225" s="3">
        <v>0</v>
      </c>
      <c r="E225" s="3">
        <f>C225 - D225</f>
        <v>0</v>
      </c>
      <c r="P225" s="38">
        <v>40378</v>
      </c>
    </row>
    <row r="226" spans="2:16" x14ac:dyDescent="0.35">
      <c r="B226" s="38">
        <v>36726</v>
      </c>
      <c r="C226" s="3">
        <v>1</v>
      </c>
      <c r="D226" s="3">
        <v>0</v>
      </c>
      <c r="E226" s="3">
        <f>C226 - D226</f>
        <v>1</v>
      </c>
      <c r="P226" s="38">
        <v>40379</v>
      </c>
    </row>
    <row r="227" spans="2:16" x14ac:dyDescent="0.35">
      <c r="B227" s="38">
        <v>36727</v>
      </c>
      <c r="C227" s="3">
        <v>1</v>
      </c>
      <c r="D227" s="3">
        <v>1</v>
      </c>
      <c r="E227" s="3">
        <f>C227 - D227</f>
        <v>0</v>
      </c>
      <c r="P227" s="38">
        <v>40380</v>
      </c>
    </row>
    <row r="228" spans="2:16" x14ac:dyDescent="0.35">
      <c r="B228" s="38">
        <v>36728</v>
      </c>
      <c r="C228" s="3">
        <v>0</v>
      </c>
      <c r="D228" s="3">
        <v>1</v>
      </c>
      <c r="E228" s="3">
        <f>C228 - D228</f>
        <v>-1</v>
      </c>
      <c r="P228" s="38">
        <v>40381</v>
      </c>
    </row>
    <row r="229" spans="2:16" x14ac:dyDescent="0.35">
      <c r="B229" s="38">
        <v>36729</v>
      </c>
      <c r="C229" s="3">
        <v>0</v>
      </c>
      <c r="D229" s="3">
        <v>0</v>
      </c>
      <c r="E229" s="3">
        <f>C229 - D229</f>
        <v>0</v>
      </c>
      <c r="P229" s="38">
        <v>40382</v>
      </c>
    </row>
    <row r="230" spans="2:16" x14ac:dyDescent="0.35">
      <c r="B230" s="38">
        <v>36730</v>
      </c>
      <c r="C230" s="3">
        <v>0</v>
      </c>
      <c r="D230" s="3">
        <v>0</v>
      </c>
      <c r="E230" s="3">
        <f>C230 - D230</f>
        <v>0</v>
      </c>
      <c r="P230" s="38">
        <v>40383</v>
      </c>
    </row>
    <row r="231" spans="2:16" x14ac:dyDescent="0.35">
      <c r="B231" s="38">
        <v>36731</v>
      </c>
      <c r="C231" s="3">
        <v>0</v>
      </c>
      <c r="D231" s="3">
        <v>0</v>
      </c>
      <c r="E231" s="3">
        <f>C231 - D231</f>
        <v>0</v>
      </c>
      <c r="P231" s="38">
        <v>40384</v>
      </c>
    </row>
    <row r="232" spans="2:16" x14ac:dyDescent="0.35">
      <c r="B232" s="38">
        <v>36732</v>
      </c>
      <c r="C232" s="3">
        <v>1</v>
      </c>
      <c r="D232" s="3">
        <v>0</v>
      </c>
      <c r="E232" s="3">
        <f>C232 - D232</f>
        <v>1</v>
      </c>
      <c r="P232" s="38">
        <v>40385</v>
      </c>
    </row>
    <row r="233" spans="2:16" x14ac:dyDescent="0.35">
      <c r="B233" s="38">
        <v>36733</v>
      </c>
      <c r="C233" s="3">
        <v>1</v>
      </c>
      <c r="D233" s="3">
        <v>1</v>
      </c>
      <c r="E233" s="3">
        <f>C233 - D233</f>
        <v>0</v>
      </c>
      <c r="P233" s="38">
        <v>40386</v>
      </c>
    </row>
    <row r="234" spans="2:16" x14ac:dyDescent="0.35">
      <c r="B234" s="38">
        <v>36734</v>
      </c>
      <c r="C234" s="3">
        <v>1</v>
      </c>
      <c r="D234" s="3">
        <v>1</v>
      </c>
      <c r="E234" s="3">
        <f>C234 - D234</f>
        <v>0</v>
      </c>
      <c r="P234" s="38">
        <v>40387</v>
      </c>
    </row>
    <row r="235" spans="2:16" x14ac:dyDescent="0.35">
      <c r="B235" s="38">
        <v>36735</v>
      </c>
      <c r="C235" s="3">
        <v>1</v>
      </c>
      <c r="D235" s="3">
        <v>1</v>
      </c>
      <c r="E235" s="3">
        <f>C235 - D235</f>
        <v>0</v>
      </c>
      <c r="P235" s="38">
        <v>40388</v>
      </c>
    </row>
    <row r="236" spans="2:16" x14ac:dyDescent="0.35">
      <c r="B236" s="38">
        <v>36736</v>
      </c>
      <c r="C236" s="3">
        <v>0</v>
      </c>
      <c r="D236" s="3">
        <v>1</v>
      </c>
      <c r="E236" s="3">
        <f>C236 - D236</f>
        <v>-1</v>
      </c>
      <c r="P236" s="38">
        <v>40389</v>
      </c>
    </row>
    <row r="237" spans="2:16" x14ac:dyDescent="0.35">
      <c r="B237" s="38">
        <v>36737</v>
      </c>
      <c r="C237" s="3">
        <v>0</v>
      </c>
      <c r="D237" s="3">
        <v>0</v>
      </c>
      <c r="E237" s="3">
        <f>C237 - D237</f>
        <v>0</v>
      </c>
      <c r="P237" s="38">
        <v>40390</v>
      </c>
    </row>
    <row r="238" spans="2:16" x14ac:dyDescent="0.35">
      <c r="B238" s="38">
        <v>36738</v>
      </c>
      <c r="C238" s="3">
        <v>0</v>
      </c>
      <c r="D238" s="3">
        <v>0</v>
      </c>
      <c r="E238" s="3">
        <f>C238 - D238</f>
        <v>0</v>
      </c>
      <c r="P238" s="38">
        <v>40391</v>
      </c>
    </row>
    <row r="239" spans="2:16" x14ac:dyDescent="0.35">
      <c r="B239" s="38">
        <v>36739</v>
      </c>
      <c r="C239" s="3">
        <v>0</v>
      </c>
      <c r="D239" s="3">
        <v>0</v>
      </c>
      <c r="E239" s="3">
        <f>C239 - D239</f>
        <v>0</v>
      </c>
      <c r="P239" s="38">
        <v>40392</v>
      </c>
    </row>
    <row r="240" spans="2:16" x14ac:dyDescent="0.35">
      <c r="B240" s="38">
        <v>36740</v>
      </c>
      <c r="C240" s="3">
        <v>0</v>
      </c>
      <c r="D240" s="3">
        <v>0</v>
      </c>
      <c r="E240" s="3">
        <f>C240 - D240</f>
        <v>0</v>
      </c>
      <c r="P240" s="38">
        <v>40393</v>
      </c>
    </row>
    <row r="241" spans="2:16" x14ac:dyDescent="0.35">
      <c r="B241" s="38">
        <v>36741</v>
      </c>
      <c r="C241" s="3">
        <v>0</v>
      </c>
      <c r="D241" s="3">
        <v>0</v>
      </c>
      <c r="E241" s="3">
        <f>C241 - D241</f>
        <v>0</v>
      </c>
      <c r="P241" s="38">
        <v>40394</v>
      </c>
    </row>
    <row r="242" spans="2:16" x14ac:dyDescent="0.35">
      <c r="B242" s="38">
        <v>36742</v>
      </c>
      <c r="C242" s="3">
        <v>0</v>
      </c>
      <c r="D242" s="3">
        <v>0</v>
      </c>
      <c r="E242" s="3">
        <f>C242 - D242</f>
        <v>0</v>
      </c>
      <c r="P242" s="38">
        <v>40395</v>
      </c>
    </row>
    <row r="243" spans="2:16" x14ac:dyDescent="0.35">
      <c r="B243" s="38">
        <v>36743</v>
      </c>
      <c r="C243" s="3">
        <v>0</v>
      </c>
      <c r="D243" s="3">
        <v>0</v>
      </c>
      <c r="E243" s="3">
        <f>C243 - D243</f>
        <v>0</v>
      </c>
      <c r="P243" s="38">
        <v>40396</v>
      </c>
    </row>
    <row r="244" spans="2:16" x14ac:dyDescent="0.35">
      <c r="B244" s="38">
        <v>36744</v>
      </c>
      <c r="C244" s="3">
        <v>0</v>
      </c>
      <c r="D244" s="3">
        <v>0</v>
      </c>
      <c r="E244" s="3">
        <f>C244 - D244</f>
        <v>0</v>
      </c>
      <c r="P244" s="38">
        <v>40397</v>
      </c>
    </row>
    <row r="245" spans="2:16" x14ac:dyDescent="0.35">
      <c r="B245" s="38">
        <v>36745</v>
      </c>
      <c r="C245" s="3">
        <v>0</v>
      </c>
      <c r="D245" s="3">
        <v>0</v>
      </c>
      <c r="E245" s="3">
        <f>C245 - D245</f>
        <v>0</v>
      </c>
      <c r="P245" s="38">
        <v>40398</v>
      </c>
    </row>
    <row r="246" spans="2:16" x14ac:dyDescent="0.35">
      <c r="B246" s="38">
        <v>36746</v>
      </c>
      <c r="C246" s="3">
        <v>0</v>
      </c>
      <c r="D246" s="3">
        <v>0</v>
      </c>
      <c r="E246" s="3">
        <f>C246 - D246</f>
        <v>0</v>
      </c>
      <c r="P246" s="38">
        <v>40399</v>
      </c>
    </row>
    <row r="247" spans="2:16" x14ac:dyDescent="0.35">
      <c r="B247" s="38">
        <v>36747</v>
      </c>
      <c r="C247" s="3">
        <v>1</v>
      </c>
      <c r="D247" s="3">
        <v>0</v>
      </c>
      <c r="E247" s="3">
        <f>C247 - D247</f>
        <v>1</v>
      </c>
      <c r="P247" s="38">
        <v>40400</v>
      </c>
    </row>
    <row r="248" spans="2:16" x14ac:dyDescent="0.35">
      <c r="B248" s="38">
        <v>36748</v>
      </c>
      <c r="C248" s="3">
        <v>1</v>
      </c>
      <c r="D248" s="3">
        <v>1</v>
      </c>
      <c r="E248" s="3">
        <f>C248 - D248</f>
        <v>0</v>
      </c>
      <c r="P248" s="38">
        <v>40401</v>
      </c>
    </row>
    <row r="249" spans="2:16" x14ac:dyDescent="0.35">
      <c r="B249" s="38">
        <v>36749</v>
      </c>
      <c r="C249" s="3">
        <v>0</v>
      </c>
      <c r="D249" s="3">
        <v>1</v>
      </c>
      <c r="E249" s="3">
        <f>C249 - D249</f>
        <v>-1</v>
      </c>
      <c r="P249" s="38">
        <v>40402</v>
      </c>
    </row>
    <row r="250" spans="2:16" x14ac:dyDescent="0.35">
      <c r="B250" s="38">
        <v>36750</v>
      </c>
      <c r="C250" s="3">
        <v>1</v>
      </c>
      <c r="D250" s="3">
        <v>0</v>
      </c>
      <c r="E250" s="3">
        <f>C250 - D250</f>
        <v>1</v>
      </c>
      <c r="P250" s="38">
        <v>40403</v>
      </c>
    </row>
    <row r="251" spans="2:16" x14ac:dyDescent="0.35">
      <c r="B251" s="38">
        <v>36751</v>
      </c>
      <c r="C251" s="3">
        <v>0</v>
      </c>
      <c r="D251" s="3">
        <v>1</v>
      </c>
      <c r="E251" s="3">
        <f>C251 - D251</f>
        <v>-1</v>
      </c>
      <c r="P251" s="38">
        <v>40404</v>
      </c>
    </row>
    <row r="252" spans="2:16" x14ac:dyDescent="0.35">
      <c r="B252" s="38">
        <v>36752</v>
      </c>
      <c r="C252" s="3">
        <v>0</v>
      </c>
      <c r="D252" s="3">
        <v>0</v>
      </c>
      <c r="E252" s="3">
        <f>C252 - D252</f>
        <v>0</v>
      </c>
      <c r="P252" s="38">
        <v>40405</v>
      </c>
    </row>
    <row r="253" spans="2:16" x14ac:dyDescent="0.35">
      <c r="B253" s="38">
        <v>36753</v>
      </c>
      <c r="C253" s="3">
        <v>1</v>
      </c>
      <c r="D253" s="3">
        <v>0</v>
      </c>
      <c r="E253" s="3">
        <f>C253 - D253</f>
        <v>1</v>
      </c>
      <c r="P253" s="38">
        <v>40406</v>
      </c>
    </row>
    <row r="254" spans="2:16" x14ac:dyDescent="0.35">
      <c r="B254" s="38">
        <v>36754</v>
      </c>
      <c r="C254" s="3">
        <v>1</v>
      </c>
      <c r="D254" s="3">
        <v>1</v>
      </c>
      <c r="E254" s="3">
        <f>C254 - D254</f>
        <v>0</v>
      </c>
      <c r="P254" s="38">
        <v>40407</v>
      </c>
    </row>
    <row r="255" spans="2:16" x14ac:dyDescent="0.35">
      <c r="B255" s="38">
        <v>36755</v>
      </c>
      <c r="C255" s="3">
        <v>0</v>
      </c>
      <c r="D255" s="3">
        <v>1</v>
      </c>
      <c r="E255" s="3">
        <f>C255 - D255</f>
        <v>-1</v>
      </c>
      <c r="P255" s="38">
        <v>40408</v>
      </c>
    </row>
    <row r="256" spans="2:16" x14ac:dyDescent="0.35">
      <c r="B256" s="38">
        <v>36756</v>
      </c>
      <c r="C256" s="3">
        <v>0</v>
      </c>
      <c r="D256" s="3">
        <v>0</v>
      </c>
      <c r="E256" s="3">
        <f>C256 - D256</f>
        <v>0</v>
      </c>
      <c r="P256" s="38">
        <v>40409</v>
      </c>
    </row>
    <row r="257" spans="2:16" x14ac:dyDescent="0.35">
      <c r="B257" s="38">
        <v>36757</v>
      </c>
      <c r="C257" s="3">
        <v>0</v>
      </c>
      <c r="D257" s="3">
        <v>0</v>
      </c>
      <c r="E257" s="3">
        <f>C257 - D257</f>
        <v>0</v>
      </c>
      <c r="P257" s="38">
        <v>40410</v>
      </c>
    </row>
    <row r="258" spans="2:16" x14ac:dyDescent="0.35">
      <c r="B258" s="38">
        <v>36758</v>
      </c>
      <c r="C258" s="3">
        <v>0</v>
      </c>
      <c r="D258" s="3">
        <v>0</v>
      </c>
      <c r="E258" s="3">
        <f>C258 - D258</f>
        <v>0</v>
      </c>
      <c r="P258" s="38">
        <v>40411</v>
      </c>
    </row>
    <row r="259" spans="2:16" x14ac:dyDescent="0.35">
      <c r="B259" s="38">
        <v>36759</v>
      </c>
      <c r="C259" s="3">
        <v>0</v>
      </c>
      <c r="D259" s="3">
        <v>0</v>
      </c>
      <c r="E259" s="3">
        <f>C259 - D259</f>
        <v>0</v>
      </c>
      <c r="P259" s="38">
        <v>40412</v>
      </c>
    </row>
    <row r="260" spans="2:16" x14ac:dyDescent="0.35">
      <c r="B260" s="38">
        <v>36760</v>
      </c>
      <c r="C260" s="3">
        <v>1</v>
      </c>
      <c r="D260" s="3">
        <v>0</v>
      </c>
      <c r="E260" s="3">
        <f>C260 - D260</f>
        <v>1</v>
      </c>
      <c r="P260" s="38">
        <v>40413</v>
      </c>
    </row>
    <row r="261" spans="2:16" x14ac:dyDescent="0.35">
      <c r="B261" s="38">
        <v>36761</v>
      </c>
      <c r="C261" s="3">
        <v>0</v>
      </c>
      <c r="D261" s="3">
        <v>1</v>
      </c>
      <c r="E261" s="3">
        <f>C261 - D261</f>
        <v>-1</v>
      </c>
      <c r="P261" s="38">
        <v>40414</v>
      </c>
    </row>
    <row r="262" spans="2:16" x14ac:dyDescent="0.35">
      <c r="B262" s="38">
        <v>36762</v>
      </c>
      <c r="C262" s="3">
        <v>0</v>
      </c>
      <c r="D262" s="3">
        <v>0</v>
      </c>
      <c r="E262" s="3">
        <f>C262 - D262</f>
        <v>0</v>
      </c>
      <c r="P262" s="38">
        <v>40415</v>
      </c>
    </row>
    <row r="263" spans="2:16" x14ac:dyDescent="0.35">
      <c r="B263" s="38">
        <v>36763</v>
      </c>
      <c r="C263" s="3">
        <v>1</v>
      </c>
      <c r="D263" s="3">
        <v>0</v>
      </c>
      <c r="E263" s="3">
        <f>C263 - D263</f>
        <v>1</v>
      </c>
      <c r="P263" s="38">
        <v>40416</v>
      </c>
    </row>
    <row r="264" spans="2:16" x14ac:dyDescent="0.35">
      <c r="B264" s="38">
        <v>36764</v>
      </c>
      <c r="C264" s="3">
        <v>1</v>
      </c>
      <c r="D264" s="3">
        <v>1</v>
      </c>
      <c r="E264" s="3">
        <f>C264 - D264</f>
        <v>0</v>
      </c>
      <c r="P264" s="38">
        <v>40417</v>
      </c>
    </row>
    <row r="265" spans="2:16" x14ac:dyDescent="0.35">
      <c r="B265" s="38">
        <v>36765</v>
      </c>
      <c r="C265" s="3">
        <v>0</v>
      </c>
      <c r="D265" s="3">
        <v>1</v>
      </c>
      <c r="E265" s="3">
        <f>C265 - D265</f>
        <v>-1</v>
      </c>
      <c r="P265" s="38">
        <v>40418</v>
      </c>
    </row>
    <row r="266" spans="2:16" x14ac:dyDescent="0.35">
      <c r="B266" s="38">
        <v>36766</v>
      </c>
      <c r="C266" s="3">
        <v>1</v>
      </c>
      <c r="D266" s="3">
        <v>0</v>
      </c>
      <c r="E266" s="3">
        <f>C266 - D266</f>
        <v>1</v>
      </c>
      <c r="P266" s="38">
        <v>40419</v>
      </c>
    </row>
    <row r="267" spans="2:16" x14ac:dyDescent="0.35">
      <c r="B267" s="38">
        <v>36767</v>
      </c>
      <c r="C267" s="3">
        <v>1</v>
      </c>
      <c r="D267" s="3">
        <v>1</v>
      </c>
      <c r="E267" s="3">
        <f>C267 - D267</f>
        <v>0</v>
      </c>
      <c r="P267" s="38">
        <v>40420</v>
      </c>
    </row>
    <row r="268" spans="2:16" x14ac:dyDescent="0.35">
      <c r="B268" s="38">
        <v>36768</v>
      </c>
      <c r="C268" s="3">
        <v>1</v>
      </c>
      <c r="D268" s="3">
        <v>1</v>
      </c>
      <c r="E268" s="3">
        <f>C268 - D268</f>
        <v>0</v>
      </c>
      <c r="P268" s="38">
        <v>40421</v>
      </c>
    </row>
    <row r="269" spans="2:16" x14ac:dyDescent="0.35">
      <c r="B269" s="38">
        <v>36769</v>
      </c>
      <c r="C269" s="3">
        <v>1</v>
      </c>
      <c r="D269" s="3">
        <v>1</v>
      </c>
      <c r="E269" s="3">
        <f>C269 - D269</f>
        <v>0</v>
      </c>
      <c r="P269" s="38">
        <v>40422</v>
      </c>
    </row>
    <row r="270" spans="2:16" x14ac:dyDescent="0.35">
      <c r="B270" s="38">
        <v>36770</v>
      </c>
      <c r="C270" s="3">
        <v>0</v>
      </c>
      <c r="D270" s="3">
        <v>1</v>
      </c>
      <c r="E270" s="3">
        <f>C270 - D270</f>
        <v>-1</v>
      </c>
      <c r="P270" s="38">
        <v>40423</v>
      </c>
    </row>
    <row r="271" spans="2:16" x14ac:dyDescent="0.35">
      <c r="B271" s="38">
        <v>36771</v>
      </c>
      <c r="C271" s="3">
        <v>1</v>
      </c>
      <c r="D271" s="3">
        <v>0</v>
      </c>
      <c r="E271" s="3">
        <f>C271 - D271</f>
        <v>1</v>
      </c>
      <c r="P271" s="38">
        <v>40424</v>
      </c>
    </row>
    <row r="272" spans="2:16" x14ac:dyDescent="0.35">
      <c r="B272" s="38">
        <v>36772</v>
      </c>
      <c r="C272" s="3">
        <v>1</v>
      </c>
      <c r="D272" s="3">
        <v>1</v>
      </c>
      <c r="E272" s="3">
        <f>C272 - D272</f>
        <v>0</v>
      </c>
      <c r="P272" s="38">
        <v>40425</v>
      </c>
    </row>
    <row r="273" spans="2:16" x14ac:dyDescent="0.35">
      <c r="B273" s="38">
        <v>36773</v>
      </c>
      <c r="C273" s="3">
        <v>0</v>
      </c>
      <c r="D273" s="3">
        <v>1</v>
      </c>
      <c r="E273" s="3">
        <f>C273 - D273</f>
        <v>-1</v>
      </c>
      <c r="P273" s="38">
        <v>40426</v>
      </c>
    </row>
    <row r="274" spans="2:16" x14ac:dyDescent="0.35">
      <c r="B274" s="38">
        <v>36774</v>
      </c>
      <c r="C274" s="3">
        <v>1</v>
      </c>
      <c r="D274" s="3">
        <v>0</v>
      </c>
      <c r="E274" s="3">
        <f>C274 - D274</f>
        <v>1</v>
      </c>
      <c r="P274" s="38">
        <v>40427</v>
      </c>
    </row>
    <row r="275" spans="2:16" x14ac:dyDescent="0.35">
      <c r="B275" s="38">
        <v>36775</v>
      </c>
      <c r="C275" s="3">
        <v>1</v>
      </c>
      <c r="D275" s="3">
        <v>1</v>
      </c>
      <c r="E275" s="3">
        <f>C275 - D275</f>
        <v>0</v>
      </c>
      <c r="P275" s="38">
        <v>40428</v>
      </c>
    </row>
    <row r="276" spans="2:16" x14ac:dyDescent="0.35">
      <c r="B276" s="38">
        <v>36776</v>
      </c>
      <c r="C276" s="3">
        <v>1</v>
      </c>
      <c r="D276" s="3">
        <v>1</v>
      </c>
      <c r="E276" s="3">
        <f>C276 - D276</f>
        <v>0</v>
      </c>
      <c r="P276" s="38">
        <v>40429</v>
      </c>
    </row>
    <row r="277" spans="2:16" x14ac:dyDescent="0.35">
      <c r="B277" s="38">
        <v>36777</v>
      </c>
      <c r="C277" s="3">
        <v>1</v>
      </c>
      <c r="D277" s="3">
        <v>1</v>
      </c>
      <c r="E277" s="3">
        <f>C277 - D277</f>
        <v>0</v>
      </c>
      <c r="P277" s="38">
        <v>40430</v>
      </c>
    </row>
    <row r="278" spans="2:16" x14ac:dyDescent="0.35">
      <c r="B278" s="38">
        <v>36778</v>
      </c>
      <c r="C278" s="3">
        <v>1</v>
      </c>
      <c r="D278" s="3">
        <v>1</v>
      </c>
      <c r="E278" s="3">
        <f>C278 - D278</f>
        <v>0</v>
      </c>
      <c r="P278" s="38">
        <v>40431</v>
      </c>
    </row>
    <row r="279" spans="2:16" x14ac:dyDescent="0.35">
      <c r="B279" s="38">
        <v>36779</v>
      </c>
      <c r="C279" s="3">
        <v>1</v>
      </c>
      <c r="D279" s="3">
        <v>1</v>
      </c>
      <c r="E279" s="3">
        <f>C279 - D279</f>
        <v>0</v>
      </c>
      <c r="P279" s="38">
        <v>40432</v>
      </c>
    </row>
    <row r="280" spans="2:16" x14ac:dyDescent="0.35">
      <c r="B280" s="38">
        <v>36780</v>
      </c>
      <c r="C280" s="3">
        <v>1</v>
      </c>
      <c r="D280" s="3">
        <v>1</v>
      </c>
      <c r="E280" s="3">
        <f>C280 - D280</f>
        <v>0</v>
      </c>
      <c r="P280" s="38">
        <v>40433</v>
      </c>
    </row>
    <row r="281" spans="2:16" x14ac:dyDescent="0.35">
      <c r="B281" s="38">
        <v>36781</v>
      </c>
      <c r="C281" s="3">
        <v>1</v>
      </c>
      <c r="D281" s="3">
        <v>1</v>
      </c>
      <c r="E281" s="3">
        <f>C281 - D281</f>
        <v>0</v>
      </c>
      <c r="P281" s="38">
        <v>40434</v>
      </c>
    </row>
    <row r="282" spans="2:16" x14ac:dyDescent="0.35">
      <c r="B282" s="38">
        <v>36782</v>
      </c>
      <c r="C282" s="3">
        <v>0</v>
      </c>
      <c r="D282" s="3">
        <v>1</v>
      </c>
      <c r="E282" s="3">
        <f>C282 - D282</f>
        <v>-1</v>
      </c>
      <c r="P282" s="38">
        <v>40435</v>
      </c>
    </row>
    <row r="283" spans="2:16" x14ac:dyDescent="0.35">
      <c r="B283" s="38">
        <v>36783</v>
      </c>
      <c r="C283" s="3">
        <v>0</v>
      </c>
      <c r="D283" s="3">
        <v>0</v>
      </c>
      <c r="E283" s="3">
        <f>C283 - D283</f>
        <v>0</v>
      </c>
      <c r="P283" s="38">
        <v>40436</v>
      </c>
    </row>
    <row r="284" spans="2:16" x14ac:dyDescent="0.35">
      <c r="B284" s="38">
        <v>36784</v>
      </c>
      <c r="C284" s="3">
        <v>1</v>
      </c>
      <c r="D284" s="3">
        <v>0</v>
      </c>
      <c r="E284" s="3">
        <f>C284 - D284</f>
        <v>1</v>
      </c>
      <c r="P284" s="38">
        <v>40437</v>
      </c>
    </row>
    <row r="285" spans="2:16" x14ac:dyDescent="0.35">
      <c r="B285" s="38">
        <v>36785</v>
      </c>
      <c r="C285" s="3">
        <v>0</v>
      </c>
      <c r="D285" s="3">
        <v>1</v>
      </c>
      <c r="E285" s="3">
        <f>C285 - D285</f>
        <v>-1</v>
      </c>
      <c r="P285" s="38">
        <v>40438</v>
      </c>
    </row>
    <row r="286" spans="2:16" x14ac:dyDescent="0.35">
      <c r="B286" s="38">
        <v>36786</v>
      </c>
      <c r="C286" s="3">
        <v>0</v>
      </c>
      <c r="D286" s="3">
        <v>0</v>
      </c>
      <c r="E286" s="3">
        <f>C286 - D286</f>
        <v>0</v>
      </c>
      <c r="P286" s="38">
        <v>40439</v>
      </c>
    </row>
    <row r="287" spans="2:16" x14ac:dyDescent="0.35">
      <c r="B287" s="38">
        <v>36787</v>
      </c>
      <c r="C287" s="3">
        <v>0</v>
      </c>
      <c r="D287" s="3">
        <v>0</v>
      </c>
      <c r="E287" s="3">
        <f>C287 - D287</f>
        <v>0</v>
      </c>
      <c r="P287" s="38">
        <v>40440</v>
      </c>
    </row>
    <row r="288" spans="2:16" x14ac:dyDescent="0.35">
      <c r="B288" s="38">
        <v>36788</v>
      </c>
      <c r="C288" s="3">
        <v>0</v>
      </c>
      <c r="D288" s="3">
        <v>0</v>
      </c>
      <c r="E288" s="3">
        <f>C288 - D288</f>
        <v>0</v>
      </c>
      <c r="P288" s="38">
        <v>40441</v>
      </c>
    </row>
    <row r="289" spans="2:16" x14ac:dyDescent="0.35">
      <c r="B289" s="38">
        <v>36789</v>
      </c>
      <c r="C289" s="3">
        <v>1</v>
      </c>
      <c r="D289" s="3">
        <v>0</v>
      </c>
      <c r="E289" s="3">
        <f>C289 - D289</f>
        <v>1</v>
      </c>
      <c r="P289" s="38">
        <v>40442</v>
      </c>
    </row>
    <row r="290" spans="2:16" x14ac:dyDescent="0.35">
      <c r="B290" s="38">
        <v>36790</v>
      </c>
      <c r="C290" s="3">
        <v>0</v>
      </c>
      <c r="D290" s="3">
        <v>1</v>
      </c>
      <c r="E290" s="3">
        <f>C290 - D290</f>
        <v>-1</v>
      </c>
      <c r="P290" s="38">
        <v>40443</v>
      </c>
    </row>
    <row r="291" spans="2:16" x14ac:dyDescent="0.35">
      <c r="B291" s="38">
        <v>36791</v>
      </c>
      <c r="C291" s="3">
        <v>0</v>
      </c>
      <c r="D291" s="3">
        <v>0</v>
      </c>
      <c r="E291" s="3">
        <f>C291 - D291</f>
        <v>0</v>
      </c>
      <c r="P291" s="38">
        <v>40444</v>
      </c>
    </row>
    <row r="292" spans="2:16" x14ac:dyDescent="0.35">
      <c r="B292" s="38">
        <v>36792</v>
      </c>
      <c r="C292" s="3">
        <v>0</v>
      </c>
      <c r="D292" s="3">
        <v>0</v>
      </c>
      <c r="E292" s="3">
        <f>C292 - D292</f>
        <v>0</v>
      </c>
      <c r="P292" s="38">
        <v>40445</v>
      </c>
    </row>
    <row r="293" spans="2:16" x14ac:dyDescent="0.35">
      <c r="B293" s="38">
        <v>36793</v>
      </c>
      <c r="C293" s="3">
        <v>0</v>
      </c>
      <c r="D293" s="3">
        <v>0</v>
      </c>
      <c r="E293" s="3">
        <f>C293 - D293</f>
        <v>0</v>
      </c>
      <c r="P293" s="38">
        <v>40446</v>
      </c>
    </row>
    <row r="294" spans="2:16" x14ac:dyDescent="0.35">
      <c r="B294" s="38">
        <v>36794</v>
      </c>
      <c r="C294" s="3">
        <v>1</v>
      </c>
      <c r="D294" s="3">
        <v>0</v>
      </c>
      <c r="E294" s="3">
        <f>C294 - D294</f>
        <v>1</v>
      </c>
      <c r="P294" s="38">
        <v>40447</v>
      </c>
    </row>
    <row r="295" spans="2:16" x14ac:dyDescent="0.35">
      <c r="B295" s="38">
        <v>36795</v>
      </c>
      <c r="C295" s="3">
        <v>1</v>
      </c>
      <c r="D295" s="3">
        <v>1</v>
      </c>
      <c r="E295" s="3">
        <f>C295 - D295</f>
        <v>0</v>
      </c>
      <c r="P295" s="38">
        <v>40448</v>
      </c>
    </row>
    <row r="296" spans="2:16" x14ac:dyDescent="0.35">
      <c r="B296" s="38">
        <v>36796</v>
      </c>
      <c r="C296" s="3">
        <v>1</v>
      </c>
      <c r="D296" s="3">
        <v>1</v>
      </c>
      <c r="E296" s="3">
        <f>C296 - D296</f>
        <v>0</v>
      </c>
      <c r="P296" s="38">
        <v>40449</v>
      </c>
    </row>
    <row r="297" spans="2:16" x14ac:dyDescent="0.35">
      <c r="B297" s="38">
        <v>36797</v>
      </c>
      <c r="C297" s="3">
        <v>0</v>
      </c>
      <c r="D297" s="3">
        <v>1</v>
      </c>
      <c r="E297" s="3">
        <f>C297 - D297</f>
        <v>-1</v>
      </c>
      <c r="P297" s="38">
        <v>40450</v>
      </c>
    </row>
    <row r="298" spans="2:16" x14ac:dyDescent="0.35">
      <c r="B298" s="38">
        <v>36798</v>
      </c>
      <c r="C298" s="3">
        <v>1</v>
      </c>
      <c r="D298" s="3">
        <v>0</v>
      </c>
      <c r="E298" s="3">
        <f>C298 - D298</f>
        <v>1</v>
      </c>
      <c r="P298" s="38">
        <v>40451</v>
      </c>
    </row>
    <row r="299" spans="2:16" x14ac:dyDescent="0.35">
      <c r="B299" s="38">
        <v>36799</v>
      </c>
      <c r="C299" s="3">
        <v>0</v>
      </c>
      <c r="D299" s="3">
        <v>1</v>
      </c>
      <c r="E299" s="3">
        <f>C299 - D299</f>
        <v>-1</v>
      </c>
      <c r="P299" s="38">
        <v>40452</v>
      </c>
    </row>
    <row r="300" spans="2:16" x14ac:dyDescent="0.35">
      <c r="B300" s="38">
        <v>36800</v>
      </c>
      <c r="C300" s="3">
        <v>1</v>
      </c>
      <c r="D300" s="3">
        <v>0</v>
      </c>
      <c r="E300" s="3">
        <f>C300 - D300</f>
        <v>1</v>
      </c>
      <c r="P300" s="38">
        <v>40453</v>
      </c>
    </row>
    <row r="301" spans="2:16" x14ac:dyDescent="0.35">
      <c r="B301" s="38">
        <v>36801</v>
      </c>
      <c r="C301" s="3">
        <v>1</v>
      </c>
      <c r="D301" s="3">
        <v>1</v>
      </c>
      <c r="E301" s="3">
        <f>C301 - D301</f>
        <v>0</v>
      </c>
      <c r="P301" s="38">
        <v>40454</v>
      </c>
    </row>
    <row r="302" spans="2:16" x14ac:dyDescent="0.35">
      <c r="B302" s="38">
        <v>36802</v>
      </c>
      <c r="C302" s="3">
        <v>0</v>
      </c>
      <c r="D302" s="3">
        <v>1</v>
      </c>
      <c r="E302" s="3">
        <f>C302 - D302</f>
        <v>-1</v>
      </c>
      <c r="P302" s="38">
        <v>40455</v>
      </c>
    </row>
    <row r="303" spans="2:16" x14ac:dyDescent="0.35">
      <c r="B303" s="38">
        <v>36803</v>
      </c>
      <c r="C303" s="3">
        <v>0</v>
      </c>
      <c r="D303" s="3">
        <v>0</v>
      </c>
      <c r="E303" s="3">
        <f>C303 - D303</f>
        <v>0</v>
      </c>
      <c r="P303" s="38">
        <v>40456</v>
      </c>
    </row>
    <row r="304" spans="2:16" x14ac:dyDescent="0.35">
      <c r="B304" s="38">
        <v>36804</v>
      </c>
      <c r="C304" s="3">
        <v>0</v>
      </c>
      <c r="D304" s="3">
        <v>0</v>
      </c>
      <c r="E304" s="3">
        <f>C304 - D304</f>
        <v>0</v>
      </c>
      <c r="P304" s="38">
        <v>40457</v>
      </c>
    </row>
    <row r="305" spans="2:16" x14ac:dyDescent="0.35">
      <c r="B305" s="38">
        <v>36805</v>
      </c>
      <c r="C305" s="3">
        <v>0</v>
      </c>
      <c r="D305" s="3">
        <v>0</v>
      </c>
      <c r="E305" s="3">
        <f>C305 - D305</f>
        <v>0</v>
      </c>
      <c r="P305" s="38">
        <v>40458</v>
      </c>
    </row>
    <row r="306" spans="2:16" x14ac:dyDescent="0.35">
      <c r="B306" s="38">
        <v>36806</v>
      </c>
      <c r="C306" s="3">
        <v>1</v>
      </c>
      <c r="D306" s="3">
        <v>0</v>
      </c>
      <c r="E306" s="3">
        <f>C306 - D306</f>
        <v>1</v>
      </c>
      <c r="P306" s="38">
        <v>40459</v>
      </c>
    </row>
    <row r="307" spans="2:16" x14ac:dyDescent="0.35">
      <c r="B307" s="38">
        <v>36807</v>
      </c>
      <c r="C307" s="3">
        <v>1</v>
      </c>
      <c r="D307" s="3">
        <v>1</v>
      </c>
      <c r="E307" s="3">
        <f>C307 - D307</f>
        <v>0</v>
      </c>
      <c r="P307" s="38">
        <v>40460</v>
      </c>
    </row>
    <row r="308" spans="2:16" x14ac:dyDescent="0.35">
      <c r="B308" s="38">
        <v>36808</v>
      </c>
      <c r="C308" s="3">
        <v>1</v>
      </c>
      <c r="D308" s="3">
        <v>1</v>
      </c>
      <c r="E308" s="3">
        <f>C308 - D308</f>
        <v>0</v>
      </c>
      <c r="P308" s="38">
        <v>40461</v>
      </c>
    </row>
    <row r="309" spans="2:16" x14ac:dyDescent="0.35">
      <c r="B309" s="38">
        <v>36809</v>
      </c>
      <c r="C309" s="3">
        <v>0</v>
      </c>
      <c r="D309" s="3">
        <v>1</v>
      </c>
      <c r="E309" s="3">
        <f>C309 - D309</f>
        <v>-1</v>
      </c>
      <c r="P309" s="38">
        <v>40462</v>
      </c>
    </row>
    <row r="310" spans="2:16" x14ac:dyDescent="0.35">
      <c r="B310" s="38">
        <v>36810</v>
      </c>
      <c r="C310" s="3">
        <v>1</v>
      </c>
      <c r="D310" s="3">
        <v>0</v>
      </c>
      <c r="E310" s="3">
        <f>C310 - D310</f>
        <v>1</v>
      </c>
      <c r="P310" s="38">
        <v>40463</v>
      </c>
    </row>
    <row r="311" spans="2:16" x14ac:dyDescent="0.35">
      <c r="B311" s="38">
        <v>36811</v>
      </c>
      <c r="C311" s="3">
        <v>0</v>
      </c>
      <c r="D311" s="3">
        <v>1</v>
      </c>
      <c r="E311" s="3">
        <f>C311 - D311</f>
        <v>-1</v>
      </c>
      <c r="P311" s="38">
        <v>40464</v>
      </c>
    </row>
    <row r="312" spans="2:16" x14ac:dyDescent="0.35">
      <c r="B312" s="38">
        <v>36812</v>
      </c>
      <c r="C312" s="3">
        <v>0</v>
      </c>
      <c r="D312" s="3">
        <v>0</v>
      </c>
      <c r="E312" s="3">
        <f>C312 - D312</f>
        <v>0</v>
      </c>
      <c r="P312" s="38">
        <v>40465</v>
      </c>
    </row>
    <row r="313" spans="2:16" x14ac:dyDescent="0.35">
      <c r="B313" s="38">
        <v>36813</v>
      </c>
      <c r="C313" s="3">
        <v>0</v>
      </c>
      <c r="D313" s="3">
        <v>0</v>
      </c>
      <c r="E313" s="3">
        <f>C313 - D313</f>
        <v>0</v>
      </c>
      <c r="P313" s="38">
        <v>40466</v>
      </c>
    </row>
    <row r="314" spans="2:16" x14ac:dyDescent="0.35">
      <c r="B314" s="38">
        <v>36814</v>
      </c>
      <c r="C314" s="3">
        <v>1</v>
      </c>
      <c r="D314" s="3">
        <v>0</v>
      </c>
      <c r="E314" s="3">
        <f>C314 - D314</f>
        <v>1</v>
      </c>
      <c r="P314" s="38">
        <v>40467</v>
      </c>
    </row>
    <row r="315" spans="2:16" x14ac:dyDescent="0.35">
      <c r="B315" s="38">
        <v>36815</v>
      </c>
      <c r="C315" s="3">
        <v>1</v>
      </c>
      <c r="D315" s="3">
        <v>1</v>
      </c>
      <c r="E315" s="3">
        <f>C315 - D315</f>
        <v>0</v>
      </c>
      <c r="P315" s="38">
        <v>40468</v>
      </c>
    </row>
    <row r="316" spans="2:16" x14ac:dyDescent="0.35">
      <c r="B316" s="38">
        <v>36816</v>
      </c>
      <c r="C316" s="3">
        <v>1</v>
      </c>
      <c r="D316" s="3">
        <v>1</v>
      </c>
      <c r="E316" s="3">
        <f>C316 - D316</f>
        <v>0</v>
      </c>
      <c r="P316" s="38">
        <v>40469</v>
      </c>
    </row>
    <row r="317" spans="2:16" x14ac:dyDescent="0.35">
      <c r="B317" s="38">
        <v>36817</v>
      </c>
      <c r="C317" s="3">
        <v>0</v>
      </c>
      <c r="D317" s="3">
        <v>1</v>
      </c>
      <c r="E317" s="3">
        <f>C317 - D317</f>
        <v>-1</v>
      </c>
      <c r="P317" s="38">
        <v>40470</v>
      </c>
    </row>
    <row r="318" spans="2:16" x14ac:dyDescent="0.35">
      <c r="B318" s="38">
        <v>36818</v>
      </c>
      <c r="C318" s="3">
        <v>1</v>
      </c>
      <c r="D318" s="3">
        <v>0</v>
      </c>
      <c r="E318" s="3">
        <f>C318 - D318</f>
        <v>1</v>
      </c>
      <c r="P318" s="38">
        <v>40471</v>
      </c>
    </row>
    <row r="319" spans="2:16" x14ac:dyDescent="0.35">
      <c r="B319" s="38">
        <v>36819</v>
      </c>
      <c r="C319" s="3">
        <v>1</v>
      </c>
      <c r="D319" s="3">
        <v>1</v>
      </c>
      <c r="E319" s="3">
        <f>C319 - D319</f>
        <v>0</v>
      </c>
      <c r="P319" s="38">
        <v>40472</v>
      </c>
    </row>
    <row r="320" spans="2:16" x14ac:dyDescent="0.35">
      <c r="B320" s="38">
        <v>36820</v>
      </c>
      <c r="C320" s="3">
        <v>1</v>
      </c>
      <c r="D320" s="3">
        <v>1</v>
      </c>
      <c r="E320" s="3">
        <f>C320 - D320</f>
        <v>0</v>
      </c>
      <c r="P320" s="38">
        <v>40473</v>
      </c>
    </row>
    <row r="321" spans="2:16" x14ac:dyDescent="0.35">
      <c r="B321" s="38">
        <v>36821</v>
      </c>
      <c r="C321" s="3">
        <v>0</v>
      </c>
      <c r="D321" s="3">
        <v>1</v>
      </c>
      <c r="E321" s="3">
        <f>C321 - D321</f>
        <v>-1</v>
      </c>
      <c r="P321" s="38">
        <v>40474</v>
      </c>
    </row>
    <row r="322" spans="2:16" x14ac:dyDescent="0.35">
      <c r="B322" s="38">
        <v>36822</v>
      </c>
      <c r="C322" s="3">
        <v>0</v>
      </c>
      <c r="D322" s="3">
        <v>0</v>
      </c>
      <c r="E322" s="3">
        <f>C322 - D322</f>
        <v>0</v>
      </c>
      <c r="P322" s="38">
        <v>40475</v>
      </c>
    </row>
    <row r="323" spans="2:16" x14ac:dyDescent="0.35">
      <c r="B323" s="38">
        <v>36823</v>
      </c>
      <c r="C323" s="3">
        <v>1</v>
      </c>
      <c r="D323" s="3">
        <v>0</v>
      </c>
      <c r="E323" s="3">
        <f>C323 - D323</f>
        <v>1</v>
      </c>
      <c r="P323" s="38">
        <v>40476</v>
      </c>
    </row>
    <row r="324" spans="2:16" x14ac:dyDescent="0.35">
      <c r="B324" s="38">
        <v>36824</v>
      </c>
      <c r="C324" s="3">
        <v>1</v>
      </c>
      <c r="D324" s="3">
        <v>1</v>
      </c>
      <c r="E324" s="3">
        <f>C324 - D324</f>
        <v>0</v>
      </c>
      <c r="P324" s="38">
        <v>40477</v>
      </c>
    </row>
    <row r="325" spans="2:16" x14ac:dyDescent="0.35">
      <c r="B325" s="38">
        <v>36825</v>
      </c>
      <c r="C325" s="3">
        <v>1</v>
      </c>
      <c r="D325" s="3">
        <v>1</v>
      </c>
      <c r="E325" s="3">
        <f>C325 - D325</f>
        <v>0</v>
      </c>
      <c r="P325" s="38">
        <v>40478</v>
      </c>
    </row>
    <row r="326" spans="2:16" x14ac:dyDescent="0.35">
      <c r="B326" s="38">
        <v>36826</v>
      </c>
      <c r="C326" s="3">
        <v>1</v>
      </c>
      <c r="D326" s="3">
        <v>1</v>
      </c>
      <c r="E326" s="3">
        <f>C326 - D326</f>
        <v>0</v>
      </c>
      <c r="P326" s="38">
        <v>40479</v>
      </c>
    </row>
    <row r="327" spans="2:16" x14ac:dyDescent="0.35">
      <c r="B327" s="38">
        <v>36827</v>
      </c>
      <c r="C327" s="3">
        <v>1</v>
      </c>
      <c r="D327" s="3">
        <v>1</v>
      </c>
      <c r="E327" s="3">
        <f>C327 - D327</f>
        <v>0</v>
      </c>
      <c r="P327" s="38">
        <v>40480</v>
      </c>
    </row>
    <row r="328" spans="2:16" x14ac:dyDescent="0.35">
      <c r="B328" s="38">
        <v>36828</v>
      </c>
      <c r="C328" s="3">
        <v>1</v>
      </c>
      <c r="D328" s="3">
        <v>1</v>
      </c>
      <c r="E328" s="3">
        <f>C328 - D328</f>
        <v>0</v>
      </c>
      <c r="P328" s="38">
        <v>40481</v>
      </c>
    </row>
    <row r="329" spans="2:16" x14ac:dyDescent="0.35">
      <c r="B329" s="38">
        <v>36829</v>
      </c>
      <c r="C329" s="3">
        <v>0</v>
      </c>
      <c r="D329" s="3">
        <v>1</v>
      </c>
      <c r="E329" s="3">
        <f>C329 - D329</f>
        <v>-1</v>
      </c>
      <c r="P329" s="38">
        <v>40482</v>
      </c>
    </row>
    <row r="330" spans="2:16" x14ac:dyDescent="0.35">
      <c r="B330" s="38">
        <v>36830</v>
      </c>
      <c r="C330" s="3">
        <v>0</v>
      </c>
      <c r="D330" s="3">
        <v>0</v>
      </c>
      <c r="E330" s="3">
        <f>C330 - D330</f>
        <v>0</v>
      </c>
      <c r="P330" s="38">
        <v>40483</v>
      </c>
    </row>
    <row r="331" spans="2:16" x14ac:dyDescent="0.35">
      <c r="B331" s="38">
        <v>36831</v>
      </c>
      <c r="C331" s="3">
        <v>0</v>
      </c>
      <c r="D331" s="3">
        <v>0</v>
      </c>
      <c r="E331" s="3">
        <f>C331 - D331</f>
        <v>0</v>
      </c>
      <c r="P331" s="38">
        <v>40484</v>
      </c>
    </row>
    <row r="332" spans="2:16" x14ac:dyDescent="0.35">
      <c r="B332" s="38">
        <v>36832</v>
      </c>
      <c r="C332" s="3">
        <v>1</v>
      </c>
      <c r="D332" s="3">
        <v>0</v>
      </c>
      <c r="E332" s="3">
        <f>C332 - D332</f>
        <v>1</v>
      </c>
      <c r="P332" s="38">
        <v>40485</v>
      </c>
    </row>
    <row r="333" spans="2:16" x14ac:dyDescent="0.35">
      <c r="B333" s="38">
        <v>36833</v>
      </c>
      <c r="C333" s="3">
        <v>1</v>
      </c>
      <c r="D333" s="3">
        <v>1</v>
      </c>
      <c r="E333" s="3">
        <f>C333 - D333</f>
        <v>0</v>
      </c>
      <c r="P333" s="38">
        <v>40486</v>
      </c>
    </row>
    <row r="334" spans="2:16" x14ac:dyDescent="0.35">
      <c r="B334" s="38">
        <v>36834</v>
      </c>
      <c r="C334" s="3">
        <v>0</v>
      </c>
      <c r="D334" s="3">
        <v>1</v>
      </c>
      <c r="E334" s="3">
        <f>C334 - D334</f>
        <v>-1</v>
      </c>
      <c r="P334" s="38">
        <v>40487</v>
      </c>
    </row>
    <row r="335" spans="2:16" x14ac:dyDescent="0.35">
      <c r="B335" s="38">
        <v>36835</v>
      </c>
      <c r="C335" s="3">
        <v>0</v>
      </c>
      <c r="D335" s="3">
        <v>0</v>
      </c>
      <c r="E335" s="3">
        <f>C335 - D335</f>
        <v>0</v>
      </c>
      <c r="P335" s="38">
        <v>40488</v>
      </c>
    </row>
    <row r="336" spans="2:16" x14ac:dyDescent="0.35">
      <c r="B336" s="38">
        <v>36836</v>
      </c>
      <c r="C336" s="3">
        <v>1</v>
      </c>
      <c r="D336" s="3">
        <v>0</v>
      </c>
      <c r="E336" s="3">
        <f>C336 - D336</f>
        <v>1</v>
      </c>
      <c r="P336" s="38">
        <v>40489</v>
      </c>
    </row>
    <row r="337" spans="2:16" x14ac:dyDescent="0.35">
      <c r="B337" s="38">
        <v>36837</v>
      </c>
      <c r="C337" s="3">
        <v>0</v>
      </c>
      <c r="D337" s="3">
        <v>1</v>
      </c>
      <c r="E337" s="3">
        <f>C337 - D337</f>
        <v>-1</v>
      </c>
      <c r="P337" s="38">
        <v>40490</v>
      </c>
    </row>
    <row r="338" spans="2:16" x14ac:dyDescent="0.35">
      <c r="B338" s="38">
        <v>36838</v>
      </c>
      <c r="C338" s="3">
        <v>0</v>
      </c>
      <c r="D338" s="3">
        <v>0</v>
      </c>
      <c r="E338" s="3">
        <f>C338 - D338</f>
        <v>0</v>
      </c>
      <c r="P338" s="38">
        <v>40491</v>
      </c>
    </row>
    <row r="339" spans="2:16" x14ac:dyDescent="0.35">
      <c r="B339" s="38">
        <v>36839</v>
      </c>
      <c r="C339" s="3">
        <v>0</v>
      </c>
      <c r="D339" s="3">
        <v>0</v>
      </c>
      <c r="E339" s="3">
        <f>C339 - D339</f>
        <v>0</v>
      </c>
      <c r="P339" s="38">
        <v>40492</v>
      </c>
    </row>
    <row r="340" spans="2:16" x14ac:dyDescent="0.35">
      <c r="B340" s="38">
        <v>36840</v>
      </c>
      <c r="C340" s="3">
        <v>1</v>
      </c>
      <c r="D340" s="3">
        <v>0</v>
      </c>
      <c r="E340" s="3">
        <f>C340 - D340</f>
        <v>1</v>
      </c>
      <c r="P340" s="38">
        <v>40493</v>
      </c>
    </row>
    <row r="341" spans="2:16" x14ac:dyDescent="0.35">
      <c r="B341" s="38">
        <v>36841</v>
      </c>
      <c r="C341" s="3">
        <v>1</v>
      </c>
      <c r="D341" s="3">
        <v>1</v>
      </c>
      <c r="E341" s="3">
        <f>C341 - D341</f>
        <v>0</v>
      </c>
      <c r="P341" s="38">
        <v>40494</v>
      </c>
    </row>
    <row r="342" spans="2:16" x14ac:dyDescent="0.35">
      <c r="B342" s="38">
        <v>36842</v>
      </c>
      <c r="C342" s="3">
        <v>1</v>
      </c>
      <c r="D342" s="3">
        <v>1</v>
      </c>
      <c r="E342" s="3">
        <f>C342 - D342</f>
        <v>0</v>
      </c>
      <c r="P342" s="38">
        <v>40495</v>
      </c>
    </row>
    <row r="343" spans="2:16" x14ac:dyDescent="0.35">
      <c r="B343" s="38">
        <v>36843</v>
      </c>
      <c r="C343" s="3">
        <v>0</v>
      </c>
      <c r="D343" s="3">
        <v>1</v>
      </c>
      <c r="E343" s="3">
        <f>C343 - D343</f>
        <v>-1</v>
      </c>
      <c r="P343" s="38">
        <v>40496</v>
      </c>
    </row>
    <row r="344" spans="2:16" x14ac:dyDescent="0.35">
      <c r="B344" s="38">
        <v>36844</v>
      </c>
      <c r="C344" s="3">
        <v>0</v>
      </c>
      <c r="D344" s="3">
        <v>0</v>
      </c>
      <c r="E344" s="3">
        <f>C344 - D344</f>
        <v>0</v>
      </c>
      <c r="P344" s="38">
        <v>40497</v>
      </c>
    </row>
    <row r="345" spans="2:16" x14ac:dyDescent="0.35">
      <c r="B345" s="38">
        <v>36845</v>
      </c>
      <c r="C345" s="3">
        <v>0</v>
      </c>
      <c r="D345" s="3">
        <v>0</v>
      </c>
      <c r="E345" s="3">
        <f>C345 - D345</f>
        <v>0</v>
      </c>
      <c r="P345" s="38">
        <v>40498</v>
      </c>
    </row>
    <row r="346" spans="2:16" x14ac:dyDescent="0.35">
      <c r="B346" s="38">
        <v>36846</v>
      </c>
      <c r="C346" s="3">
        <v>1</v>
      </c>
      <c r="D346" s="3">
        <v>0</v>
      </c>
      <c r="E346" s="3">
        <f>C346 - D346</f>
        <v>1</v>
      </c>
      <c r="P346" s="38">
        <v>40499</v>
      </c>
    </row>
    <row r="347" spans="2:16" x14ac:dyDescent="0.35">
      <c r="B347" s="38">
        <v>36847</v>
      </c>
      <c r="C347" s="3">
        <v>1</v>
      </c>
      <c r="D347" s="3">
        <v>1</v>
      </c>
      <c r="E347" s="3">
        <f>C347 - D347</f>
        <v>0</v>
      </c>
      <c r="P347" s="38">
        <v>40500</v>
      </c>
    </row>
    <row r="348" spans="2:16" x14ac:dyDescent="0.35">
      <c r="B348" s="38">
        <v>36848</v>
      </c>
      <c r="C348" s="3">
        <v>0</v>
      </c>
      <c r="D348" s="3">
        <v>1</v>
      </c>
      <c r="E348" s="3">
        <f>C348 - D348</f>
        <v>-1</v>
      </c>
      <c r="P348" s="38">
        <v>40501</v>
      </c>
    </row>
    <row r="349" spans="2:16" x14ac:dyDescent="0.35">
      <c r="B349" s="38">
        <v>36849</v>
      </c>
      <c r="C349" s="3">
        <v>0</v>
      </c>
      <c r="D349" s="3">
        <v>0</v>
      </c>
      <c r="E349" s="3">
        <f>C349 - D349</f>
        <v>0</v>
      </c>
      <c r="P349" s="38">
        <v>40502</v>
      </c>
    </row>
    <row r="350" spans="2:16" x14ac:dyDescent="0.35">
      <c r="B350" s="38">
        <v>36850</v>
      </c>
      <c r="C350" s="3">
        <v>0</v>
      </c>
      <c r="D350" s="3">
        <v>0</v>
      </c>
      <c r="E350" s="3">
        <f>C350 - D350</f>
        <v>0</v>
      </c>
      <c r="P350" s="38">
        <v>40503</v>
      </c>
    </row>
    <row r="351" spans="2:16" x14ac:dyDescent="0.35">
      <c r="B351" s="38">
        <v>36851</v>
      </c>
      <c r="C351" s="3">
        <v>1</v>
      </c>
      <c r="D351" s="3">
        <v>0</v>
      </c>
      <c r="E351" s="3">
        <f>C351 - D351</f>
        <v>1</v>
      </c>
      <c r="P351" s="38">
        <v>40504</v>
      </c>
    </row>
    <row r="352" spans="2:16" x14ac:dyDescent="0.35">
      <c r="B352" s="38">
        <v>36852</v>
      </c>
      <c r="C352" s="3">
        <v>0</v>
      </c>
      <c r="D352" s="3">
        <v>1</v>
      </c>
      <c r="E352" s="3">
        <f>C352 - D352</f>
        <v>-1</v>
      </c>
      <c r="P352" s="38">
        <v>40505</v>
      </c>
    </row>
    <row r="353" spans="2:16" x14ac:dyDescent="0.35">
      <c r="B353" s="38">
        <v>36853</v>
      </c>
      <c r="C353" s="3">
        <v>0</v>
      </c>
      <c r="D353" s="3">
        <v>0</v>
      </c>
      <c r="E353" s="3">
        <f>C353 - D353</f>
        <v>0</v>
      </c>
      <c r="P353" s="38">
        <v>40506</v>
      </c>
    </row>
    <row r="354" spans="2:16" x14ac:dyDescent="0.35">
      <c r="B354" s="38">
        <v>36854</v>
      </c>
      <c r="C354" s="3">
        <v>0</v>
      </c>
      <c r="D354" s="3">
        <v>0</v>
      </c>
      <c r="E354" s="3">
        <f>C354 - D354</f>
        <v>0</v>
      </c>
      <c r="P354" s="38">
        <v>40507</v>
      </c>
    </row>
    <row r="355" spans="2:16" x14ac:dyDescent="0.35">
      <c r="B355" s="38">
        <v>36855</v>
      </c>
      <c r="C355" s="3">
        <v>0</v>
      </c>
      <c r="D355" s="3">
        <v>0</v>
      </c>
      <c r="E355" s="3">
        <f>C355 - D355</f>
        <v>0</v>
      </c>
      <c r="P355" s="38">
        <v>40508</v>
      </c>
    </row>
    <row r="356" spans="2:16" x14ac:dyDescent="0.35">
      <c r="B356" s="38">
        <v>36856</v>
      </c>
      <c r="C356" s="3">
        <v>0</v>
      </c>
      <c r="D356" s="3">
        <v>0</v>
      </c>
      <c r="E356" s="3">
        <f>C356 - D356</f>
        <v>0</v>
      </c>
      <c r="P356" s="38">
        <v>40509</v>
      </c>
    </row>
    <row r="357" spans="2:16" x14ac:dyDescent="0.35">
      <c r="B357" s="38">
        <v>36857</v>
      </c>
      <c r="C357" s="3">
        <v>0</v>
      </c>
      <c r="D357" s="3">
        <v>0</v>
      </c>
      <c r="E357" s="3">
        <f>C357 - D357</f>
        <v>0</v>
      </c>
      <c r="P357" s="38">
        <v>40510</v>
      </c>
    </row>
    <row r="358" spans="2:16" x14ac:dyDescent="0.35">
      <c r="B358" s="38">
        <v>36858</v>
      </c>
      <c r="C358" s="3">
        <v>0</v>
      </c>
      <c r="D358" s="3">
        <v>0</v>
      </c>
      <c r="E358" s="3">
        <f>C358 - D358</f>
        <v>0</v>
      </c>
      <c r="P358" s="38">
        <v>40511</v>
      </c>
    </row>
    <row r="359" spans="2:16" x14ac:dyDescent="0.35">
      <c r="B359" s="38">
        <v>36859</v>
      </c>
      <c r="C359" s="3">
        <v>1</v>
      </c>
      <c r="D359" s="3">
        <v>0</v>
      </c>
      <c r="E359" s="3">
        <f>C359 - D359</f>
        <v>1</v>
      </c>
      <c r="P359" s="38">
        <v>40512</v>
      </c>
    </row>
    <row r="360" spans="2:16" x14ac:dyDescent="0.35">
      <c r="B360" s="38">
        <v>36860</v>
      </c>
      <c r="C360" s="3">
        <v>0</v>
      </c>
      <c r="D360" s="3">
        <v>1</v>
      </c>
      <c r="E360" s="3">
        <f>C360 - D360</f>
        <v>-1</v>
      </c>
      <c r="P360" s="38">
        <v>40513</v>
      </c>
    </row>
    <row r="361" spans="2:16" x14ac:dyDescent="0.35">
      <c r="B361" s="38">
        <v>36861</v>
      </c>
      <c r="C361" s="3">
        <v>1</v>
      </c>
      <c r="D361" s="3">
        <v>0</v>
      </c>
      <c r="E361" s="3">
        <f>C361 - D361</f>
        <v>1</v>
      </c>
      <c r="P361" s="38">
        <v>40514</v>
      </c>
    </row>
    <row r="362" spans="2:16" x14ac:dyDescent="0.35">
      <c r="B362" s="38">
        <v>36862</v>
      </c>
      <c r="C362" s="3">
        <v>0</v>
      </c>
      <c r="D362" s="3">
        <v>1</v>
      </c>
      <c r="E362" s="3">
        <f>C362 - D362</f>
        <v>-1</v>
      </c>
      <c r="P362" s="38">
        <v>40515</v>
      </c>
    </row>
    <row r="363" spans="2:16" x14ac:dyDescent="0.35">
      <c r="B363" s="38">
        <v>36863</v>
      </c>
      <c r="C363" s="3">
        <v>0</v>
      </c>
      <c r="D363" s="3">
        <v>0</v>
      </c>
      <c r="E363" s="3">
        <f>C363 - D363</f>
        <v>0</v>
      </c>
      <c r="P363" s="38">
        <v>40516</v>
      </c>
    </row>
    <row r="364" spans="2:16" x14ac:dyDescent="0.35">
      <c r="B364" s="38">
        <v>36864</v>
      </c>
      <c r="C364" s="3">
        <v>1</v>
      </c>
      <c r="D364" s="3">
        <v>0</v>
      </c>
      <c r="E364" s="3">
        <f>C364 - D364</f>
        <v>1</v>
      </c>
      <c r="P364" s="38">
        <v>40517</v>
      </c>
    </row>
    <row r="365" spans="2:16" x14ac:dyDescent="0.35">
      <c r="B365" s="38">
        <v>36865</v>
      </c>
      <c r="C365" s="3">
        <v>0</v>
      </c>
      <c r="D365" s="3">
        <v>1</v>
      </c>
      <c r="E365" s="3">
        <f>C365 - D365</f>
        <v>-1</v>
      </c>
      <c r="P365" s="38">
        <v>40518</v>
      </c>
    </row>
    <row r="366" spans="2:16" x14ac:dyDescent="0.35">
      <c r="B366" s="38">
        <v>36866</v>
      </c>
      <c r="C366" s="3">
        <v>0</v>
      </c>
      <c r="D366" s="3">
        <v>0</v>
      </c>
      <c r="E366" s="3">
        <f>C366 - D366</f>
        <v>0</v>
      </c>
      <c r="P366" s="38">
        <v>40519</v>
      </c>
    </row>
    <row r="367" spans="2:16" x14ac:dyDescent="0.35">
      <c r="B367" s="38">
        <v>36867</v>
      </c>
      <c r="C367" s="3">
        <v>0</v>
      </c>
      <c r="D367" s="3">
        <v>0</v>
      </c>
      <c r="E367" s="3">
        <f>C367 - D367</f>
        <v>0</v>
      </c>
      <c r="P367" s="38">
        <v>40520</v>
      </c>
    </row>
    <row r="368" spans="2:16" x14ac:dyDescent="0.35">
      <c r="B368" s="38">
        <v>36868</v>
      </c>
      <c r="C368" s="3">
        <v>0</v>
      </c>
      <c r="D368" s="3">
        <v>0</v>
      </c>
      <c r="E368" s="3">
        <f>C368 - D368</f>
        <v>0</v>
      </c>
      <c r="P368" s="38">
        <v>40521</v>
      </c>
    </row>
    <row r="369" spans="2:16" x14ac:dyDescent="0.35">
      <c r="B369" s="38">
        <v>36869</v>
      </c>
      <c r="C369" s="3">
        <v>0</v>
      </c>
      <c r="D369" s="3">
        <v>0</v>
      </c>
      <c r="E369" s="3">
        <f>C369 - D369</f>
        <v>0</v>
      </c>
      <c r="P369" s="38">
        <v>40522</v>
      </c>
    </row>
    <row r="370" spans="2:16" x14ac:dyDescent="0.35">
      <c r="B370" s="38">
        <v>36870</v>
      </c>
      <c r="C370" s="3">
        <v>0</v>
      </c>
      <c r="D370" s="3">
        <v>0</v>
      </c>
      <c r="E370" s="3">
        <f>C370 - D370</f>
        <v>0</v>
      </c>
      <c r="P370" s="38">
        <v>40523</v>
      </c>
    </row>
    <row r="371" spans="2:16" x14ac:dyDescent="0.35">
      <c r="B371" s="38">
        <v>36871</v>
      </c>
      <c r="C371" s="3">
        <v>1</v>
      </c>
      <c r="D371" s="3">
        <v>0</v>
      </c>
      <c r="E371" s="3">
        <f>C371 - D371</f>
        <v>1</v>
      </c>
      <c r="P371" s="38">
        <v>40524</v>
      </c>
    </row>
    <row r="372" spans="2:16" x14ac:dyDescent="0.35">
      <c r="B372" s="38">
        <v>36872</v>
      </c>
      <c r="C372" s="3">
        <v>0</v>
      </c>
      <c r="D372" s="3">
        <v>1</v>
      </c>
      <c r="E372" s="3">
        <f>C372 - D372</f>
        <v>-1</v>
      </c>
      <c r="P372" s="38">
        <v>40525</v>
      </c>
    </row>
    <row r="373" spans="2:16" x14ac:dyDescent="0.35">
      <c r="B373" s="38">
        <v>36873</v>
      </c>
      <c r="C373" s="3">
        <v>0</v>
      </c>
      <c r="D373" s="3">
        <v>0</v>
      </c>
      <c r="E373" s="3">
        <f>C373 - D373</f>
        <v>0</v>
      </c>
      <c r="P373" s="38">
        <v>40526</v>
      </c>
    </row>
    <row r="374" spans="2:16" x14ac:dyDescent="0.35">
      <c r="B374" s="38">
        <v>36874</v>
      </c>
      <c r="C374" s="3">
        <v>0</v>
      </c>
      <c r="D374" s="3">
        <v>0</v>
      </c>
      <c r="E374" s="3">
        <f>C374 - D374</f>
        <v>0</v>
      </c>
      <c r="P374" s="38">
        <v>40527</v>
      </c>
    </row>
    <row r="375" spans="2:16" x14ac:dyDescent="0.35">
      <c r="B375" s="38">
        <v>36875</v>
      </c>
      <c r="C375" s="3">
        <v>0</v>
      </c>
      <c r="D375" s="3">
        <v>0</v>
      </c>
      <c r="E375" s="3">
        <f>C375 - D375</f>
        <v>0</v>
      </c>
      <c r="P375" s="38">
        <v>40528</v>
      </c>
    </row>
    <row r="376" spans="2:16" x14ac:dyDescent="0.35">
      <c r="B376" s="38">
        <v>36876</v>
      </c>
      <c r="C376" s="3">
        <v>0</v>
      </c>
      <c r="D376" s="3">
        <v>0</v>
      </c>
      <c r="E376" s="3">
        <f>C376 - D376</f>
        <v>0</v>
      </c>
      <c r="P376" s="38">
        <v>40529</v>
      </c>
    </row>
    <row r="377" spans="2:16" x14ac:dyDescent="0.35">
      <c r="B377" s="38">
        <v>36877</v>
      </c>
      <c r="C377" s="3">
        <v>0</v>
      </c>
      <c r="D377" s="3">
        <v>0</v>
      </c>
      <c r="E377" s="3">
        <f>C377 - D377</f>
        <v>0</v>
      </c>
      <c r="P377" s="38">
        <v>40530</v>
      </c>
    </row>
    <row r="378" spans="2:16" x14ac:dyDescent="0.35">
      <c r="B378" s="38">
        <v>36878</v>
      </c>
      <c r="C378" s="3">
        <v>0</v>
      </c>
      <c r="D378" s="3">
        <v>0</v>
      </c>
      <c r="E378" s="3">
        <f>C378 - D378</f>
        <v>0</v>
      </c>
      <c r="P378" s="38">
        <v>40531</v>
      </c>
    </row>
    <row r="379" spans="2:16" x14ac:dyDescent="0.35">
      <c r="B379" s="38">
        <v>36879</v>
      </c>
      <c r="C379" s="3">
        <v>0</v>
      </c>
      <c r="D379" s="3">
        <v>0</v>
      </c>
      <c r="E379" s="3">
        <f>C379 - D379</f>
        <v>0</v>
      </c>
      <c r="P379" s="38">
        <v>40532</v>
      </c>
    </row>
    <row r="380" spans="2:16" x14ac:dyDescent="0.35">
      <c r="B380" s="38">
        <v>36880</v>
      </c>
      <c r="C380" s="3">
        <v>0</v>
      </c>
      <c r="D380" s="3">
        <v>0</v>
      </c>
      <c r="E380" s="3">
        <f>C380 - D380</f>
        <v>0</v>
      </c>
      <c r="P380" s="38">
        <v>40533</v>
      </c>
    </row>
    <row r="381" spans="2:16" x14ac:dyDescent="0.35">
      <c r="B381" s="38">
        <v>36881</v>
      </c>
      <c r="C381" s="3">
        <v>0</v>
      </c>
      <c r="D381" s="3">
        <v>0</v>
      </c>
      <c r="E381" s="3">
        <f>C381 - D381</f>
        <v>0</v>
      </c>
      <c r="P381" s="38">
        <v>40534</v>
      </c>
    </row>
    <row r="382" spans="2:16" x14ac:dyDescent="0.35">
      <c r="B382" s="38">
        <v>36882</v>
      </c>
      <c r="C382" s="3">
        <v>1</v>
      </c>
      <c r="D382" s="3">
        <v>0</v>
      </c>
      <c r="E382" s="3">
        <f>C382 - D382</f>
        <v>1</v>
      </c>
      <c r="P382" s="38">
        <v>40535</v>
      </c>
    </row>
    <row r="383" spans="2:16" x14ac:dyDescent="0.35">
      <c r="B383" s="38">
        <v>36883</v>
      </c>
      <c r="C383" s="3">
        <v>1</v>
      </c>
      <c r="D383" s="3">
        <v>1</v>
      </c>
      <c r="E383" s="3">
        <f>C383 - D383</f>
        <v>0</v>
      </c>
      <c r="P383" s="38">
        <v>40536</v>
      </c>
    </row>
    <row r="384" spans="2:16" x14ac:dyDescent="0.35">
      <c r="B384" s="38">
        <v>36884</v>
      </c>
      <c r="C384" s="3">
        <v>0</v>
      </c>
      <c r="D384" s="3">
        <v>1</v>
      </c>
      <c r="E384" s="3">
        <f>C384 - D384</f>
        <v>-1</v>
      </c>
      <c r="P384" s="38">
        <v>40537</v>
      </c>
    </row>
    <row r="385" spans="2:16" x14ac:dyDescent="0.35">
      <c r="B385" s="38">
        <v>36885</v>
      </c>
      <c r="C385" s="3">
        <v>0</v>
      </c>
      <c r="D385" s="3">
        <v>0</v>
      </c>
      <c r="E385" s="3">
        <f>C385 - D385</f>
        <v>0</v>
      </c>
      <c r="P385" s="38">
        <v>40538</v>
      </c>
    </row>
    <row r="386" spans="2:16" x14ac:dyDescent="0.35">
      <c r="B386" s="38">
        <v>36886</v>
      </c>
      <c r="C386" s="3">
        <v>0</v>
      </c>
      <c r="D386" s="3">
        <v>0</v>
      </c>
      <c r="E386" s="3">
        <f>C386 - D386</f>
        <v>0</v>
      </c>
      <c r="P386" s="38">
        <v>40539</v>
      </c>
    </row>
    <row r="387" spans="2:16" x14ac:dyDescent="0.35">
      <c r="B387" s="38">
        <v>36887</v>
      </c>
      <c r="C387" s="3">
        <v>0</v>
      </c>
      <c r="D387" s="3">
        <v>0</v>
      </c>
      <c r="E387" s="3">
        <f>C387 - D387</f>
        <v>0</v>
      </c>
      <c r="P387" s="38">
        <v>40540</v>
      </c>
    </row>
    <row r="388" spans="2:16" x14ac:dyDescent="0.35">
      <c r="B388" s="38">
        <v>36888</v>
      </c>
      <c r="C388" s="3">
        <v>1</v>
      </c>
      <c r="D388" s="3">
        <v>0</v>
      </c>
      <c r="E388" s="3">
        <f>C388 - D388</f>
        <v>1</v>
      </c>
      <c r="P388" s="38">
        <v>40541</v>
      </c>
    </row>
    <row r="389" spans="2:16" x14ac:dyDescent="0.35">
      <c r="B389" s="38">
        <v>36889</v>
      </c>
      <c r="C389" s="3">
        <v>1</v>
      </c>
      <c r="D389" s="3">
        <v>1</v>
      </c>
      <c r="E389" s="3">
        <f>C389 - D389</f>
        <v>0</v>
      </c>
      <c r="P389" s="38">
        <v>40542</v>
      </c>
    </row>
    <row r="390" spans="2:16" x14ac:dyDescent="0.35">
      <c r="B390" s="38">
        <v>36890</v>
      </c>
      <c r="C390" s="3">
        <v>0</v>
      </c>
      <c r="D390" s="3">
        <v>1</v>
      </c>
      <c r="E390" s="3">
        <f>C390 - D390</f>
        <v>-1</v>
      </c>
      <c r="P390" s="38">
        <v>40543</v>
      </c>
    </row>
    <row r="391" spans="2:16" x14ac:dyDescent="0.35">
      <c r="B391" s="38">
        <v>36891</v>
      </c>
      <c r="C391" s="3">
        <v>0</v>
      </c>
      <c r="D391" s="3">
        <v>0</v>
      </c>
      <c r="E391" s="3">
        <f>C391 - D391</f>
        <v>0</v>
      </c>
      <c r="P391" s="38">
        <v>40544</v>
      </c>
    </row>
    <row r="392" spans="2:16" x14ac:dyDescent="0.35">
      <c r="B392" s="38">
        <v>36892</v>
      </c>
      <c r="C392" s="3">
        <v>0</v>
      </c>
      <c r="D392" s="3">
        <v>0</v>
      </c>
      <c r="E392" s="3">
        <f>C392 - D392</f>
        <v>0</v>
      </c>
      <c r="P392" s="38">
        <v>40545</v>
      </c>
    </row>
    <row r="393" spans="2:16" x14ac:dyDescent="0.35">
      <c r="B393" s="38">
        <v>36893</v>
      </c>
      <c r="C393" s="3">
        <v>0</v>
      </c>
      <c r="D393" s="3">
        <v>0</v>
      </c>
      <c r="E393" s="3">
        <f>C393 - D393</f>
        <v>0</v>
      </c>
      <c r="P393" s="38">
        <v>40546</v>
      </c>
    </row>
    <row r="394" spans="2:16" x14ac:dyDescent="0.35">
      <c r="B394" s="38">
        <v>36894</v>
      </c>
      <c r="C394" s="3">
        <v>1</v>
      </c>
      <c r="D394" s="3">
        <v>0</v>
      </c>
      <c r="E394" s="3">
        <f>C394 - D394</f>
        <v>1</v>
      </c>
      <c r="P394" s="38">
        <v>40547</v>
      </c>
    </row>
    <row r="395" spans="2:16" x14ac:dyDescent="0.35">
      <c r="B395" s="38">
        <v>36895</v>
      </c>
      <c r="C395" s="3">
        <v>0</v>
      </c>
      <c r="D395" s="3">
        <v>1</v>
      </c>
      <c r="E395" s="3">
        <f>C395 - D395</f>
        <v>-1</v>
      </c>
      <c r="P395" s="38">
        <v>40548</v>
      </c>
    </row>
    <row r="396" spans="2:16" x14ac:dyDescent="0.35">
      <c r="B396" s="38">
        <v>36896</v>
      </c>
      <c r="C396" s="3">
        <v>1</v>
      </c>
      <c r="D396" s="3">
        <v>0</v>
      </c>
      <c r="E396" s="3">
        <f>C396 - D396</f>
        <v>1</v>
      </c>
      <c r="P396" s="38">
        <v>40549</v>
      </c>
    </row>
    <row r="397" spans="2:16" x14ac:dyDescent="0.35">
      <c r="B397" s="38">
        <v>36897</v>
      </c>
      <c r="C397" s="3">
        <v>0</v>
      </c>
      <c r="D397" s="3">
        <v>1</v>
      </c>
      <c r="E397" s="3">
        <f>C397 - D397</f>
        <v>-1</v>
      </c>
      <c r="P397" s="38">
        <v>40550</v>
      </c>
    </row>
    <row r="398" spans="2:16" x14ac:dyDescent="0.35">
      <c r="B398" s="38">
        <v>36898</v>
      </c>
      <c r="C398" s="3">
        <v>0</v>
      </c>
      <c r="D398" s="3">
        <v>0</v>
      </c>
      <c r="E398" s="3">
        <f>C398 - D398</f>
        <v>0</v>
      </c>
      <c r="P398" s="38">
        <v>40551</v>
      </c>
    </row>
    <row r="399" spans="2:16" x14ac:dyDescent="0.35">
      <c r="B399" s="38">
        <v>36899</v>
      </c>
      <c r="C399" s="3">
        <v>0</v>
      </c>
      <c r="D399" s="3">
        <v>0</v>
      </c>
      <c r="E399" s="3">
        <f>C399 - D399</f>
        <v>0</v>
      </c>
      <c r="P399" s="38">
        <v>40552</v>
      </c>
    </row>
    <row r="400" spans="2:16" x14ac:dyDescent="0.35">
      <c r="B400" s="38">
        <v>36900</v>
      </c>
      <c r="C400" s="3">
        <v>0</v>
      </c>
      <c r="D400" s="3">
        <v>0</v>
      </c>
      <c r="E400" s="3">
        <f>C400 - D400</f>
        <v>0</v>
      </c>
      <c r="P400" s="38">
        <v>40553</v>
      </c>
    </row>
    <row r="401" spans="2:16" x14ac:dyDescent="0.35">
      <c r="B401" s="38">
        <v>36901</v>
      </c>
      <c r="C401" s="3">
        <v>0</v>
      </c>
      <c r="D401" s="3">
        <v>0</v>
      </c>
      <c r="E401" s="3">
        <f>C401 - D401</f>
        <v>0</v>
      </c>
      <c r="P401" s="38">
        <v>40554</v>
      </c>
    </row>
    <row r="402" spans="2:16" x14ac:dyDescent="0.35">
      <c r="B402" s="38">
        <v>36902</v>
      </c>
      <c r="C402" s="3">
        <v>0</v>
      </c>
      <c r="D402" s="3">
        <v>0</v>
      </c>
      <c r="E402" s="3">
        <f>C402 - D402</f>
        <v>0</v>
      </c>
      <c r="P402" s="38">
        <v>40555</v>
      </c>
    </row>
    <row r="403" spans="2:16" x14ac:dyDescent="0.35">
      <c r="B403" s="38">
        <v>36903</v>
      </c>
      <c r="C403" s="3">
        <v>0</v>
      </c>
      <c r="D403" s="3">
        <v>0</v>
      </c>
      <c r="E403" s="3">
        <f>C403 - D403</f>
        <v>0</v>
      </c>
      <c r="P403" s="38">
        <v>40556</v>
      </c>
    </row>
    <row r="404" spans="2:16" x14ac:dyDescent="0.35">
      <c r="B404" s="38">
        <v>36904</v>
      </c>
      <c r="C404" s="3">
        <v>0</v>
      </c>
      <c r="D404" s="3">
        <v>0</v>
      </c>
      <c r="E404" s="3">
        <f>C404 - D404</f>
        <v>0</v>
      </c>
      <c r="P404" s="38">
        <v>40557</v>
      </c>
    </row>
    <row r="405" spans="2:16" x14ac:dyDescent="0.35">
      <c r="B405" s="38">
        <v>36905</v>
      </c>
      <c r="C405" s="3">
        <v>0</v>
      </c>
      <c r="D405" s="3">
        <v>0</v>
      </c>
      <c r="E405" s="3">
        <f>C405 - D405</f>
        <v>0</v>
      </c>
      <c r="P405" s="38">
        <v>40558</v>
      </c>
    </row>
    <row r="406" spans="2:16" x14ac:dyDescent="0.35">
      <c r="B406" s="38">
        <v>36906</v>
      </c>
      <c r="C406" s="3">
        <v>0</v>
      </c>
      <c r="D406" s="3">
        <v>0</v>
      </c>
      <c r="E406" s="3">
        <f>C406 - D406</f>
        <v>0</v>
      </c>
      <c r="P406" s="38">
        <v>40559</v>
      </c>
    </row>
    <row r="407" spans="2:16" x14ac:dyDescent="0.35">
      <c r="B407" s="38">
        <v>36907</v>
      </c>
      <c r="C407" s="3">
        <v>0</v>
      </c>
      <c r="D407" s="3">
        <v>0</v>
      </c>
      <c r="E407" s="3">
        <f>C407 - D407</f>
        <v>0</v>
      </c>
      <c r="P407" s="38">
        <v>40560</v>
      </c>
    </row>
    <row r="408" spans="2:16" x14ac:dyDescent="0.35">
      <c r="B408" s="38">
        <v>36908</v>
      </c>
      <c r="C408" s="3">
        <v>0</v>
      </c>
      <c r="D408" s="3">
        <v>0</v>
      </c>
      <c r="E408" s="3">
        <f>C408 - D408</f>
        <v>0</v>
      </c>
      <c r="P408" s="38">
        <v>40561</v>
      </c>
    </row>
    <row r="409" spans="2:16" x14ac:dyDescent="0.35">
      <c r="B409" s="38">
        <v>36909</v>
      </c>
      <c r="C409" s="3">
        <v>1</v>
      </c>
      <c r="D409" s="3">
        <v>0</v>
      </c>
      <c r="E409" s="3">
        <f>C409 - D409</f>
        <v>1</v>
      </c>
      <c r="P409" s="38">
        <v>40562</v>
      </c>
    </row>
    <row r="410" spans="2:16" x14ac:dyDescent="0.35">
      <c r="B410" s="38">
        <v>36910</v>
      </c>
      <c r="C410" s="3">
        <v>0</v>
      </c>
      <c r="D410" s="3">
        <v>1</v>
      </c>
      <c r="E410" s="3">
        <f>C410 - D410</f>
        <v>-1</v>
      </c>
      <c r="P410" s="38">
        <v>40563</v>
      </c>
    </row>
    <row r="411" spans="2:16" x14ac:dyDescent="0.35">
      <c r="B411" s="38">
        <v>36911</v>
      </c>
      <c r="C411" s="3">
        <v>0</v>
      </c>
      <c r="D411" s="3">
        <v>0</v>
      </c>
      <c r="E411" s="3">
        <f>C411 - D411</f>
        <v>0</v>
      </c>
      <c r="P411" s="38">
        <v>40564</v>
      </c>
    </row>
    <row r="412" spans="2:16" x14ac:dyDescent="0.35">
      <c r="B412" s="38">
        <v>36912</v>
      </c>
      <c r="C412" s="3">
        <v>0</v>
      </c>
      <c r="D412" s="3">
        <v>0</v>
      </c>
      <c r="E412" s="3">
        <f>C412 - D412</f>
        <v>0</v>
      </c>
      <c r="P412" s="38">
        <v>40565</v>
      </c>
    </row>
    <row r="413" spans="2:16" x14ac:dyDescent="0.35">
      <c r="B413" s="38">
        <v>36913</v>
      </c>
      <c r="C413" s="3">
        <v>0</v>
      </c>
      <c r="D413" s="3">
        <v>0</v>
      </c>
      <c r="E413" s="3">
        <f>C413 - D413</f>
        <v>0</v>
      </c>
      <c r="P413" s="38">
        <v>40566</v>
      </c>
    </row>
    <row r="414" spans="2:16" x14ac:dyDescent="0.35">
      <c r="B414" s="38">
        <v>36914</v>
      </c>
      <c r="C414" s="3">
        <v>1</v>
      </c>
      <c r="D414" s="3">
        <v>0</v>
      </c>
      <c r="E414" s="3">
        <f>C414 - D414</f>
        <v>1</v>
      </c>
      <c r="P414" s="38">
        <v>40567</v>
      </c>
    </row>
    <row r="415" spans="2:16" x14ac:dyDescent="0.35">
      <c r="B415" s="38">
        <v>36915</v>
      </c>
      <c r="C415" s="3">
        <v>1</v>
      </c>
      <c r="D415" s="3">
        <v>1</v>
      </c>
      <c r="E415" s="3">
        <f>C415 - D415</f>
        <v>0</v>
      </c>
      <c r="P415" s="38">
        <v>40568</v>
      </c>
    </row>
    <row r="416" spans="2:16" x14ac:dyDescent="0.35">
      <c r="B416" s="38">
        <v>36916</v>
      </c>
      <c r="C416" s="3">
        <v>1</v>
      </c>
      <c r="D416" s="3">
        <v>1</v>
      </c>
      <c r="E416" s="3">
        <f>C416 - D416</f>
        <v>0</v>
      </c>
      <c r="P416" s="38">
        <v>40569</v>
      </c>
    </row>
    <row r="417" spans="2:16" x14ac:dyDescent="0.35">
      <c r="B417" s="38">
        <v>36917</v>
      </c>
      <c r="C417" s="3">
        <v>0</v>
      </c>
      <c r="D417" s="3">
        <v>1</v>
      </c>
      <c r="E417" s="3">
        <f>C417 - D417</f>
        <v>-1</v>
      </c>
      <c r="P417" s="38">
        <v>40570</v>
      </c>
    </row>
    <row r="418" spans="2:16" x14ac:dyDescent="0.35">
      <c r="B418" s="38">
        <v>36918</v>
      </c>
      <c r="C418" s="3">
        <v>1</v>
      </c>
      <c r="D418" s="3">
        <v>0</v>
      </c>
      <c r="E418" s="3">
        <f>C418 - D418</f>
        <v>1</v>
      </c>
      <c r="P418" s="38">
        <v>40571</v>
      </c>
    </row>
    <row r="419" spans="2:16" x14ac:dyDescent="0.35">
      <c r="B419" s="38">
        <v>36919</v>
      </c>
      <c r="C419" s="3">
        <v>0</v>
      </c>
      <c r="D419" s="3">
        <v>1</v>
      </c>
      <c r="E419" s="3">
        <f>C419 - D419</f>
        <v>-1</v>
      </c>
      <c r="P419" s="38">
        <v>40572</v>
      </c>
    </row>
    <row r="420" spans="2:16" x14ac:dyDescent="0.35">
      <c r="B420" s="38">
        <v>36920</v>
      </c>
      <c r="C420" s="3">
        <v>0</v>
      </c>
      <c r="D420" s="3">
        <v>0</v>
      </c>
      <c r="E420" s="3">
        <f>C420 - D420</f>
        <v>0</v>
      </c>
      <c r="P420" s="38">
        <v>40573</v>
      </c>
    </row>
    <row r="421" spans="2:16" x14ac:dyDescent="0.35">
      <c r="B421" s="38">
        <v>36921</v>
      </c>
      <c r="C421" s="3">
        <v>0</v>
      </c>
      <c r="D421" s="3">
        <v>0</v>
      </c>
      <c r="E421" s="3">
        <f>C421 - D421</f>
        <v>0</v>
      </c>
      <c r="P421" s="38">
        <v>40574</v>
      </c>
    </row>
    <row r="422" spans="2:16" x14ac:dyDescent="0.35">
      <c r="B422" s="38">
        <v>36922</v>
      </c>
      <c r="C422" s="3">
        <v>0</v>
      </c>
      <c r="D422" s="3">
        <v>0</v>
      </c>
      <c r="E422" s="3">
        <f>C422 - D422</f>
        <v>0</v>
      </c>
      <c r="P422" s="38">
        <v>40575</v>
      </c>
    </row>
    <row r="423" spans="2:16" x14ac:dyDescent="0.35">
      <c r="B423" s="38">
        <v>36923</v>
      </c>
      <c r="C423" s="3">
        <v>0</v>
      </c>
      <c r="D423" s="3">
        <v>0</v>
      </c>
      <c r="E423" s="3">
        <f>C423 - D423</f>
        <v>0</v>
      </c>
      <c r="P423" s="38">
        <v>40576</v>
      </c>
    </row>
    <row r="424" spans="2:16" x14ac:dyDescent="0.35">
      <c r="B424" s="38">
        <v>36924</v>
      </c>
      <c r="C424" s="3">
        <v>0</v>
      </c>
      <c r="D424" s="3">
        <v>0</v>
      </c>
      <c r="E424" s="3">
        <f>C424 - D424</f>
        <v>0</v>
      </c>
      <c r="P424" s="38">
        <v>40577</v>
      </c>
    </row>
    <row r="425" spans="2:16" x14ac:dyDescent="0.35">
      <c r="B425" s="38">
        <v>36925</v>
      </c>
      <c r="C425" s="3">
        <v>0</v>
      </c>
      <c r="D425" s="3">
        <v>0</v>
      </c>
      <c r="E425" s="3">
        <f>C425 - D425</f>
        <v>0</v>
      </c>
      <c r="P425" s="38">
        <v>40578</v>
      </c>
    </row>
    <row r="426" spans="2:16" x14ac:dyDescent="0.35">
      <c r="B426" s="38">
        <v>36926</v>
      </c>
      <c r="C426" s="3">
        <v>0</v>
      </c>
      <c r="D426" s="3">
        <v>0</v>
      </c>
      <c r="E426" s="3">
        <f>C426 - D426</f>
        <v>0</v>
      </c>
      <c r="P426" s="38">
        <v>40579</v>
      </c>
    </row>
    <row r="427" spans="2:16" x14ac:dyDescent="0.35">
      <c r="B427" s="38">
        <v>36927</v>
      </c>
      <c r="C427" s="3">
        <v>1</v>
      </c>
      <c r="D427" s="3">
        <v>0</v>
      </c>
      <c r="E427" s="3">
        <f>C427 - D427</f>
        <v>1</v>
      </c>
      <c r="P427" s="38">
        <v>40580</v>
      </c>
    </row>
    <row r="428" spans="2:16" x14ac:dyDescent="0.35">
      <c r="B428" s="38">
        <v>36928</v>
      </c>
      <c r="C428" s="3">
        <v>0</v>
      </c>
      <c r="D428" s="3">
        <v>1</v>
      </c>
      <c r="E428" s="3">
        <f>C428 - D428</f>
        <v>-1</v>
      </c>
      <c r="P428" s="38">
        <v>40581</v>
      </c>
    </row>
    <row r="429" spans="2:16" x14ac:dyDescent="0.35">
      <c r="B429" s="38">
        <v>36929</v>
      </c>
      <c r="C429" s="3">
        <v>0</v>
      </c>
      <c r="D429" s="3">
        <v>0</v>
      </c>
      <c r="E429" s="3">
        <f>C429 - D429</f>
        <v>0</v>
      </c>
      <c r="P429" s="38">
        <v>40582</v>
      </c>
    </row>
    <row r="430" spans="2:16" x14ac:dyDescent="0.35">
      <c r="B430" s="38">
        <v>36930</v>
      </c>
      <c r="C430" s="3">
        <v>0</v>
      </c>
      <c r="D430" s="3">
        <v>0</v>
      </c>
      <c r="E430" s="3">
        <f>C430 - D430</f>
        <v>0</v>
      </c>
      <c r="P430" s="38">
        <v>40583</v>
      </c>
    </row>
    <row r="431" spans="2:16" x14ac:dyDescent="0.35">
      <c r="B431" s="38">
        <v>36931</v>
      </c>
      <c r="C431" s="3">
        <v>0</v>
      </c>
      <c r="D431" s="3">
        <v>0</v>
      </c>
      <c r="E431" s="3">
        <f>C431 - D431</f>
        <v>0</v>
      </c>
      <c r="P431" s="38">
        <v>40584</v>
      </c>
    </row>
    <row r="432" spans="2:16" x14ac:dyDescent="0.35">
      <c r="B432" s="38">
        <v>36932</v>
      </c>
      <c r="C432" s="3">
        <v>1</v>
      </c>
      <c r="D432" s="3">
        <v>0</v>
      </c>
      <c r="E432" s="3">
        <f>C432 - D432</f>
        <v>1</v>
      </c>
      <c r="P432" s="38">
        <v>40585</v>
      </c>
    </row>
    <row r="433" spans="2:16" x14ac:dyDescent="0.35">
      <c r="B433" s="38">
        <v>36933</v>
      </c>
      <c r="C433" s="3">
        <v>0</v>
      </c>
      <c r="D433" s="3">
        <v>1</v>
      </c>
      <c r="E433" s="3">
        <f>C433 - D433</f>
        <v>-1</v>
      </c>
      <c r="P433" s="38">
        <v>40586</v>
      </c>
    </row>
    <row r="434" spans="2:16" x14ac:dyDescent="0.35">
      <c r="B434" s="38">
        <v>36934</v>
      </c>
      <c r="C434" s="3">
        <v>0</v>
      </c>
      <c r="D434" s="3">
        <v>0</v>
      </c>
      <c r="E434" s="3">
        <f>C434 - D434</f>
        <v>0</v>
      </c>
      <c r="P434" s="38">
        <v>40587</v>
      </c>
    </row>
    <row r="435" spans="2:16" x14ac:dyDescent="0.35">
      <c r="B435" s="38">
        <v>36935</v>
      </c>
      <c r="C435" s="3">
        <v>1</v>
      </c>
      <c r="D435" s="3">
        <v>0</v>
      </c>
      <c r="E435" s="3">
        <f>C435 - D435</f>
        <v>1</v>
      </c>
      <c r="P435" s="38">
        <v>40588</v>
      </c>
    </row>
    <row r="436" spans="2:16" x14ac:dyDescent="0.35">
      <c r="B436" s="38">
        <v>36936</v>
      </c>
      <c r="C436" s="3">
        <v>0</v>
      </c>
      <c r="D436" s="3">
        <v>1</v>
      </c>
      <c r="E436" s="3">
        <f>C436 - D436</f>
        <v>-1</v>
      </c>
      <c r="P436" s="38">
        <v>40589</v>
      </c>
    </row>
    <row r="437" spans="2:16" x14ac:dyDescent="0.35">
      <c r="B437" s="38">
        <v>36937</v>
      </c>
      <c r="C437" s="3">
        <v>1</v>
      </c>
      <c r="D437" s="3">
        <v>0</v>
      </c>
      <c r="E437" s="3">
        <f>C437 - D437</f>
        <v>1</v>
      </c>
      <c r="P437" s="38">
        <v>40590</v>
      </c>
    </row>
    <row r="438" spans="2:16" x14ac:dyDescent="0.35">
      <c r="B438" s="38">
        <v>36938</v>
      </c>
      <c r="C438" s="3">
        <v>1</v>
      </c>
      <c r="D438" s="3">
        <v>1</v>
      </c>
      <c r="E438" s="3">
        <f>C438 - D438</f>
        <v>0</v>
      </c>
      <c r="P438" s="38">
        <v>40591</v>
      </c>
    </row>
    <row r="439" spans="2:16" x14ac:dyDescent="0.35">
      <c r="B439" s="38">
        <v>36939</v>
      </c>
      <c r="C439" s="3">
        <v>0</v>
      </c>
      <c r="D439" s="3">
        <v>1</v>
      </c>
      <c r="E439" s="3">
        <f>C439 - D439</f>
        <v>-1</v>
      </c>
      <c r="P439" s="38">
        <v>40592</v>
      </c>
    </row>
    <row r="440" spans="2:16" x14ac:dyDescent="0.35">
      <c r="B440" s="38">
        <v>36940</v>
      </c>
      <c r="C440" s="3">
        <v>0</v>
      </c>
      <c r="D440" s="3">
        <v>0</v>
      </c>
      <c r="E440" s="3">
        <f>C440 - D440</f>
        <v>0</v>
      </c>
      <c r="P440" s="38">
        <v>40593</v>
      </c>
    </row>
    <row r="441" spans="2:16" x14ac:dyDescent="0.35">
      <c r="B441" s="38">
        <v>36941</v>
      </c>
      <c r="C441" s="3">
        <v>0</v>
      </c>
      <c r="D441" s="3">
        <v>0</v>
      </c>
      <c r="E441" s="3">
        <f>C441 - D441</f>
        <v>0</v>
      </c>
      <c r="P441" s="38">
        <v>40594</v>
      </c>
    </row>
    <row r="442" spans="2:16" x14ac:dyDescent="0.35">
      <c r="B442" s="38">
        <v>36942</v>
      </c>
      <c r="C442" s="3">
        <v>0</v>
      </c>
      <c r="D442" s="3">
        <v>0</v>
      </c>
      <c r="E442" s="3">
        <f>C442 - D442</f>
        <v>0</v>
      </c>
      <c r="P442" s="38">
        <v>40595</v>
      </c>
    </row>
    <row r="443" spans="2:16" x14ac:dyDescent="0.35">
      <c r="B443" s="38">
        <v>36943</v>
      </c>
      <c r="C443" s="3">
        <v>0</v>
      </c>
      <c r="D443" s="3">
        <v>0</v>
      </c>
      <c r="E443" s="3">
        <f>C443 - D443</f>
        <v>0</v>
      </c>
      <c r="P443" s="38">
        <v>40596</v>
      </c>
    </row>
    <row r="444" spans="2:16" x14ac:dyDescent="0.35">
      <c r="B444" s="38">
        <v>36944</v>
      </c>
      <c r="C444" s="3">
        <v>0</v>
      </c>
      <c r="D444" s="3">
        <v>0</v>
      </c>
      <c r="E444" s="3">
        <f>C444 - D444</f>
        <v>0</v>
      </c>
      <c r="P444" s="38">
        <v>40597</v>
      </c>
    </row>
    <row r="445" spans="2:16" x14ac:dyDescent="0.35">
      <c r="B445" s="38">
        <v>36945</v>
      </c>
      <c r="C445" s="3">
        <v>0</v>
      </c>
      <c r="D445" s="3">
        <v>0</v>
      </c>
      <c r="E445" s="3">
        <f>C445 - D445</f>
        <v>0</v>
      </c>
      <c r="P445" s="38">
        <v>40598</v>
      </c>
    </row>
    <row r="446" spans="2:16" x14ac:dyDescent="0.35">
      <c r="B446" s="38">
        <v>36946</v>
      </c>
      <c r="C446" s="3">
        <v>0</v>
      </c>
      <c r="D446" s="3">
        <v>0</v>
      </c>
      <c r="E446" s="3">
        <f>C446 - D446</f>
        <v>0</v>
      </c>
      <c r="P446" s="38">
        <v>40599</v>
      </c>
    </row>
    <row r="447" spans="2:16" x14ac:dyDescent="0.35">
      <c r="B447" s="38">
        <v>36947</v>
      </c>
      <c r="C447" s="3">
        <v>0</v>
      </c>
      <c r="D447" s="3">
        <v>0</v>
      </c>
      <c r="E447" s="3">
        <f>C447 - D447</f>
        <v>0</v>
      </c>
      <c r="P447" s="38">
        <v>40600</v>
      </c>
    </row>
    <row r="448" spans="2:16" x14ac:dyDescent="0.35">
      <c r="B448" s="38">
        <v>36948</v>
      </c>
      <c r="C448" s="3">
        <v>0</v>
      </c>
      <c r="D448" s="3">
        <v>0</v>
      </c>
      <c r="E448" s="3">
        <f>C448 - D448</f>
        <v>0</v>
      </c>
      <c r="P448" s="38">
        <v>40601</v>
      </c>
    </row>
    <row r="449" spans="2:16" x14ac:dyDescent="0.35">
      <c r="B449" s="38">
        <v>36949</v>
      </c>
      <c r="C449" s="3">
        <v>0</v>
      </c>
      <c r="D449" s="3">
        <v>0</v>
      </c>
      <c r="E449" s="3">
        <f>C449 - D449</f>
        <v>0</v>
      </c>
      <c r="P449" s="38">
        <v>40602</v>
      </c>
    </row>
    <row r="450" spans="2:16" x14ac:dyDescent="0.35">
      <c r="B450" s="38">
        <v>36950</v>
      </c>
      <c r="C450" s="3">
        <v>0</v>
      </c>
      <c r="D450" s="3">
        <v>0</v>
      </c>
      <c r="E450" s="3">
        <f>C450 - D450</f>
        <v>0</v>
      </c>
      <c r="P450" s="38">
        <v>40603</v>
      </c>
    </row>
    <row r="451" spans="2:16" x14ac:dyDescent="0.35">
      <c r="B451" s="38">
        <v>36951</v>
      </c>
      <c r="C451" s="3">
        <v>0</v>
      </c>
      <c r="D451" s="3">
        <v>0</v>
      </c>
      <c r="E451" s="3">
        <f>C451 - D451</f>
        <v>0</v>
      </c>
      <c r="P451" s="38">
        <v>40604</v>
      </c>
    </row>
    <row r="452" spans="2:16" x14ac:dyDescent="0.35">
      <c r="B452" s="38">
        <v>36952</v>
      </c>
      <c r="C452" s="3">
        <v>0</v>
      </c>
      <c r="D452" s="3">
        <v>0</v>
      </c>
      <c r="E452" s="3">
        <f>C452 - D452</f>
        <v>0</v>
      </c>
      <c r="P452" s="38">
        <v>40605</v>
      </c>
    </row>
    <row r="453" spans="2:16" x14ac:dyDescent="0.35">
      <c r="B453" s="38">
        <v>36953</v>
      </c>
      <c r="C453" s="3">
        <v>0</v>
      </c>
      <c r="D453" s="3">
        <v>0</v>
      </c>
      <c r="E453" s="3">
        <f>C453 - D453</f>
        <v>0</v>
      </c>
      <c r="P453" s="38">
        <v>40606</v>
      </c>
    </row>
    <row r="454" spans="2:16" x14ac:dyDescent="0.35">
      <c r="B454" s="38">
        <v>36954</v>
      </c>
      <c r="C454" s="3">
        <v>0</v>
      </c>
      <c r="D454" s="3">
        <v>0</v>
      </c>
      <c r="E454" s="3">
        <f>C454 - D454</f>
        <v>0</v>
      </c>
      <c r="P454" s="38">
        <v>40607</v>
      </c>
    </row>
    <row r="455" spans="2:16" x14ac:dyDescent="0.35">
      <c r="B455" s="38">
        <v>36955</v>
      </c>
      <c r="C455" s="3">
        <v>0</v>
      </c>
      <c r="D455" s="3">
        <v>0</v>
      </c>
      <c r="E455" s="3">
        <f>C455 - D455</f>
        <v>0</v>
      </c>
      <c r="P455" s="38">
        <v>40608</v>
      </c>
    </row>
    <row r="456" spans="2:16" x14ac:dyDescent="0.35">
      <c r="B456" s="38">
        <v>36956</v>
      </c>
      <c r="C456" s="3">
        <v>0</v>
      </c>
      <c r="D456" s="3">
        <v>0</v>
      </c>
      <c r="E456" s="3">
        <f>C456 - D456</f>
        <v>0</v>
      </c>
      <c r="P456" s="38">
        <v>40609</v>
      </c>
    </row>
    <row r="457" spans="2:16" x14ac:dyDescent="0.35">
      <c r="B457" s="38">
        <v>36957</v>
      </c>
      <c r="C457" s="3">
        <v>0</v>
      </c>
      <c r="D457" s="3">
        <v>0</v>
      </c>
      <c r="E457" s="3">
        <f>C457 - D457</f>
        <v>0</v>
      </c>
      <c r="P457" s="38">
        <v>40610</v>
      </c>
    </row>
    <row r="458" spans="2:16" x14ac:dyDescent="0.35">
      <c r="B458" s="38">
        <v>36958</v>
      </c>
      <c r="C458" s="3">
        <v>0</v>
      </c>
      <c r="D458" s="3">
        <v>0</v>
      </c>
      <c r="E458" s="3">
        <f>C458 - D458</f>
        <v>0</v>
      </c>
      <c r="P458" s="38">
        <v>40611</v>
      </c>
    </row>
    <row r="459" spans="2:16" x14ac:dyDescent="0.35">
      <c r="B459" s="38">
        <v>36959</v>
      </c>
      <c r="C459" s="3">
        <v>0</v>
      </c>
      <c r="D459" s="3">
        <v>0</v>
      </c>
      <c r="E459" s="3">
        <f>C459 - D459</f>
        <v>0</v>
      </c>
      <c r="P459" s="38">
        <v>40612</v>
      </c>
    </row>
    <row r="460" spans="2:16" x14ac:dyDescent="0.35">
      <c r="B460" s="38">
        <v>36960</v>
      </c>
      <c r="C460" s="3">
        <v>0</v>
      </c>
      <c r="D460" s="3">
        <v>0</v>
      </c>
      <c r="E460" s="3">
        <f>C460 - D460</f>
        <v>0</v>
      </c>
      <c r="P460" s="38">
        <v>40613</v>
      </c>
    </row>
    <row r="461" spans="2:16" x14ac:dyDescent="0.35">
      <c r="B461" s="38">
        <v>36961</v>
      </c>
      <c r="C461" s="3">
        <v>1</v>
      </c>
      <c r="D461" s="3">
        <v>0</v>
      </c>
      <c r="E461" s="3">
        <f>C461 - D461</f>
        <v>1</v>
      </c>
      <c r="P461" s="38">
        <v>40614</v>
      </c>
    </row>
    <row r="462" spans="2:16" x14ac:dyDescent="0.35">
      <c r="B462" s="38">
        <v>36962</v>
      </c>
      <c r="C462" s="3">
        <v>0</v>
      </c>
      <c r="D462" s="3">
        <v>1</v>
      </c>
      <c r="E462" s="3">
        <f>C462 - D462</f>
        <v>-1</v>
      </c>
      <c r="P462" s="38">
        <v>40615</v>
      </c>
    </row>
    <row r="463" spans="2:16" x14ac:dyDescent="0.35">
      <c r="B463" s="38">
        <v>36963</v>
      </c>
      <c r="C463" s="3">
        <v>0</v>
      </c>
      <c r="D463" s="3">
        <v>0</v>
      </c>
      <c r="E463" s="3">
        <f>C463 - D463</f>
        <v>0</v>
      </c>
      <c r="P463" s="38">
        <v>40616</v>
      </c>
    </row>
    <row r="464" spans="2:16" x14ac:dyDescent="0.35">
      <c r="B464" s="38">
        <v>36964</v>
      </c>
      <c r="C464" s="3">
        <v>0</v>
      </c>
      <c r="D464" s="3">
        <v>0</v>
      </c>
      <c r="E464" s="3">
        <f>C464 - D464</f>
        <v>0</v>
      </c>
      <c r="P464" s="38">
        <v>40617</v>
      </c>
    </row>
    <row r="465" spans="2:16" x14ac:dyDescent="0.35">
      <c r="B465" s="38">
        <v>36965</v>
      </c>
      <c r="C465" s="3">
        <v>0</v>
      </c>
      <c r="D465" s="3">
        <v>0</v>
      </c>
      <c r="E465" s="3">
        <f>C465 - D465</f>
        <v>0</v>
      </c>
      <c r="P465" s="38">
        <v>40618</v>
      </c>
    </row>
    <row r="466" spans="2:16" x14ac:dyDescent="0.35">
      <c r="B466" s="38">
        <v>36966</v>
      </c>
      <c r="C466" s="3">
        <v>0</v>
      </c>
      <c r="D466" s="3">
        <v>0</v>
      </c>
      <c r="E466" s="3">
        <f>C466 - D466</f>
        <v>0</v>
      </c>
      <c r="P466" s="38">
        <v>40619</v>
      </c>
    </row>
    <row r="467" spans="2:16" x14ac:dyDescent="0.35">
      <c r="B467" s="38">
        <v>36967</v>
      </c>
      <c r="C467" s="3">
        <v>1</v>
      </c>
      <c r="D467" s="3">
        <v>0</v>
      </c>
      <c r="E467" s="3">
        <f>C467 - D467</f>
        <v>1</v>
      </c>
      <c r="P467" s="38">
        <v>40620</v>
      </c>
    </row>
    <row r="468" spans="2:16" x14ac:dyDescent="0.35">
      <c r="B468" s="38">
        <v>36968</v>
      </c>
      <c r="C468" s="3">
        <v>1</v>
      </c>
      <c r="D468" s="3">
        <v>1</v>
      </c>
      <c r="E468" s="3">
        <f>C468 - D468</f>
        <v>0</v>
      </c>
      <c r="P468" s="38">
        <v>40621</v>
      </c>
    </row>
    <row r="469" spans="2:16" x14ac:dyDescent="0.35">
      <c r="B469" s="38">
        <v>36969</v>
      </c>
      <c r="C469" s="3">
        <v>1</v>
      </c>
      <c r="D469" s="3">
        <v>1</v>
      </c>
      <c r="E469" s="3">
        <f>C469 - D469</f>
        <v>0</v>
      </c>
      <c r="P469" s="38">
        <v>40622</v>
      </c>
    </row>
    <row r="470" spans="2:16" x14ac:dyDescent="0.35">
      <c r="B470" s="38">
        <v>36970</v>
      </c>
      <c r="C470" s="3">
        <v>0</v>
      </c>
      <c r="D470" s="3">
        <v>1</v>
      </c>
      <c r="E470" s="3">
        <f>C470 - D470</f>
        <v>-1</v>
      </c>
      <c r="P470" s="38">
        <v>40623</v>
      </c>
    </row>
    <row r="471" spans="2:16" x14ac:dyDescent="0.35">
      <c r="B471" s="38">
        <v>36971</v>
      </c>
      <c r="C471" s="3">
        <v>1</v>
      </c>
      <c r="D471" s="3">
        <v>0</v>
      </c>
      <c r="E471" s="3">
        <f>C471 - D471</f>
        <v>1</v>
      </c>
      <c r="P471" s="38">
        <v>40624</v>
      </c>
    </row>
    <row r="472" spans="2:16" x14ac:dyDescent="0.35">
      <c r="B472" s="38">
        <v>36972</v>
      </c>
      <c r="C472" s="3">
        <v>1</v>
      </c>
      <c r="D472" s="3">
        <v>1</v>
      </c>
      <c r="E472" s="3">
        <f>C472 - D472</f>
        <v>0</v>
      </c>
      <c r="P472" s="38">
        <v>40625</v>
      </c>
    </row>
    <row r="473" spans="2:16" x14ac:dyDescent="0.35">
      <c r="B473" s="38">
        <v>36973</v>
      </c>
      <c r="C473" s="3">
        <v>1</v>
      </c>
      <c r="D473" s="3">
        <v>1</v>
      </c>
      <c r="E473" s="3">
        <f>C473 - D473</f>
        <v>0</v>
      </c>
      <c r="P473" s="38">
        <v>40626</v>
      </c>
    </row>
    <row r="474" spans="2:16" x14ac:dyDescent="0.35">
      <c r="B474" s="38">
        <v>36974</v>
      </c>
      <c r="C474" s="3">
        <v>0</v>
      </c>
      <c r="D474" s="3">
        <v>1</v>
      </c>
      <c r="E474" s="3">
        <f>C474 - D474</f>
        <v>-1</v>
      </c>
      <c r="P474" s="38">
        <v>40627</v>
      </c>
    </row>
    <row r="475" spans="2:16" x14ac:dyDescent="0.35">
      <c r="B475" s="38">
        <v>36975</v>
      </c>
      <c r="C475" s="3">
        <v>1</v>
      </c>
      <c r="D475" s="3">
        <v>0</v>
      </c>
      <c r="E475" s="3">
        <f>C475 - D475</f>
        <v>1</v>
      </c>
      <c r="P475" s="38">
        <v>40628</v>
      </c>
    </row>
    <row r="476" spans="2:16" x14ac:dyDescent="0.35">
      <c r="B476" s="38">
        <v>36976</v>
      </c>
      <c r="C476" s="3">
        <v>0</v>
      </c>
      <c r="D476" s="3">
        <v>1</v>
      </c>
      <c r="E476" s="3">
        <f>C476 - D476</f>
        <v>-1</v>
      </c>
      <c r="P476" s="38">
        <v>40629</v>
      </c>
    </row>
    <row r="477" spans="2:16" x14ac:dyDescent="0.35">
      <c r="B477" s="38">
        <v>36977</v>
      </c>
      <c r="C477" s="3">
        <v>1</v>
      </c>
      <c r="D477" s="3">
        <v>0</v>
      </c>
      <c r="E477" s="3">
        <f>C477 - D477</f>
        <v>1</v>
      </c>
      <c r="P477" s="38">
        <v>40630</v>
      </c>
    </row>
    <row r="478" spans="2:16" x14ac:dyDescent="0.35">
      <c r="B478" s="38">
        <v>36978</v>
      </c>
      <c r="C478" s="3">
        <v>1</v>
      </c>
      <c r="D478" s="3">
        <v>1</v>
      </c>
      <c r="E478" s="3">
        <f>C478 - D478</f>
        <v>0</v>
      </c>
      <c r="P478" s="38">
        <v>40631</v>
      </c>
    </row>
    <row r="479" spans="2:16" x14ac:dyDescent="0.35">
      <c r="B479" s="38">
        <v>36979</v>
      </c>
      <c r="C479" s="3">
        <v>0</v>
      </c>
      <c r="D479" s="3">
        <v>1</v>
      </c>
      <c r="E479" s="3">
        <f>C479 - D479</f>
        <v>-1</v>
      </c>
      <c r="P479" s="38">
        <v>40632</v>
      </c>
    </row>
    <row r="480" spans="2:16" x14ac:dyDescent="0.35">
      <c r="B480" s="38">
        <v>36980</v>
      </c>
      <c r="C480" s="3">
        <v>0</v>
      </c>
      <c r="D480" s="3">
        <v>0</v>
      </c>
      <c r="E480" s="3">
        <f>C480 - D480</f>
        <v>0</v>
      </c>
      <c r="P480" s="38">
        <v>40633</v>
      </c>
    </row>
    <row r="481" spans="2:16" x14ac:dyDescent="0.35">
      <c r="B481" s="38">
        <v>36981</v>
      </c>
      <c r="C481" s="3">
        <v>0</v>
      </c>
      <c r="D481" s="3">
        <v>0</v>
      </c>
      <c r="E481" s="3">
        <f>C481 - D481</f>
        <v>0</v>
      </c>
      <c r="P481" s="38">
        <v>40634</v>
      </c>
    </row>
    <row r="482" spans="2:16" x14ac:dyDescent="0.35">
      <c r="B482" s="38">
        <v>36982</v>
      </c>
      <c r="C482" s="3">
        <v>0</v>
      </c>
      <c r="D482" s="3">
        <v>0</v>
      </c>
      <c r="E482" s="3">
        <f>C482 - D482</f>
        <v>0</v>
      </c>
      <c r="P482" s="38">
        <v>40635</v>
      </c>
    </row>
    <row r="483" spans="2:16" x14ac:dyDescent="0.35">
      <c r="B483" s="38">
        <v>36983</v>
      </c>
      <c r="C483" s="3">
        <v>1</v>
      </c>
      <c r="D483" s="3">
        <v>0</v>
      </c>
      <c r="E483" s="3">
        <f>C483 - D483</f>
        <v>1</v>
      </c>
      <c r="P483" s="38">
        <v>40636</v>
      </c>
    </row>
    <row r="484" spans="2:16" x14ac:dyDescent="0.35">
      <c r="B484" s="38">
        <v>36984</v>
      </c>
      <c r="C484" s="3">
        <v>0</v>
      </c>
      <c r="D484" s="3">
        <v>1</v>
      </c>
      <c r="E484" s="3">
        <f>C484 - D484</f>
        <v>-1</v>
      </c>
      <c r="P484" s="38">
        <v>40637</v>
      </c>
    </row>
    <row r="485" spans="2:16" x14ac:dyDescent="0.35">
      <c r="B485" s="38">
        <v>36985</v>
      </c>
      <c r="C485" s="3">
        <v>0</v>
      </c>
      <c r="D485" s="3">
        <v>0</v>
      </c>
      <c r="E485" s="3">
        <f>C485 - D485</f>
        <v>0</v>
      </c>
      <c r="P485" s="38">
        <v>40638</v>
      </c>
    </row>
    <row r="486" spans="2:16" x14ac:dyDescent="0.35">
      <c r="B486" s="38">
        <v>36986</v>
      </c>
      <c r="C486" s="3">
        <v>0</v>
      </c>
      <c r="D486" s="3">
        <v>0</v>
      </c>
      <c r="E486" s="3">
        <f>C486 - D486</f>
        <v>0</v>
      </c>
      <c r="P486" s="38">
        <v>40639</v>
      </c>
    </row>
    <row r="487" spans="2:16" x14ac:dyDescent="0.35">
      <c r="B487" s="38">
        <v>36987</v>
      </c>
      <c r="C487" s="3">
        <v>0</v>
      </c>
      <c r="D487" s="3">
        <v>0</v>
      </c>
      <c r="E487" s="3">
        <f>C487 - D487</f>
        <v>0</v>
      </c>
      <c r="P487" s="38">
        <v>40640</v>
      </c>
    </row>
    <row r="488" spans="2:16" x14ac:dyDescent="0.35">
      <c r="B488" s="38">
        <v>36988</v>
      </c>
      <c r="C488" s="3">
        <v>0</v>
      </c>
      <c r="D488" s="3">
        <v>0</v>
      </c>
      <c r="E488" s="3">
        <f>C488 - D488</f>
        <v>0</v>
      </c>
      <c r="P488" s="38">
        <v>40641</v>
      </c>
    </row>
    <row r="489" spans="2:16" x14ac:dyDescent="0.35">
      <c r="B489" s="38">
        <v>36989</v>
      </c>
      <c r="C489" s="3">
        <v>0</v>
      </c>
      <c r="D489" s="3">
        <v>0</v>
      </c>
      <c r="E489" s="3">
        <f>C489 - D489</f>
        <v>0</v>
      </c>
      <c r="P489" s="38">
        <v>40642</v>
      </c>
    </row>
    <row r="490" spans="2:16" x14ac:dyDescent="0.35">
      <c r="B490" s="38">
        <v>36990</v>
      </c>
      <c r="C490" s="3">
        <v>1</v>
      </c>
      <c r="D490" s="3">
        <v>0</v>
      </c>
      <c r="E490" s="3">
        <f>C490 - D490</f>
        <v>1</v>
      </c>
      <c r="P490" s="38">
        <v>40643</v>
      </c>
    </row>
    <row r="491" spans="2:16" x14ac:dyDescent="0.35">
      <c r="B491" s="38">
        <v>36991</v>
      </c>
      <c r="C491" s="3">
        <v>1</v>
      </c>
      <c r="D491" s="3">
        <v>1</v>
      </c>
      <c r="E491" s="3">
        <f>C491 - D491</f>
        <v>0</v>
      </c>
      <c r="P491" s="38">
        <v>40644</v>
      </c>
    </row>
    <row r="492" spans="2:16" x14ac:dyDescent="0.35">
      <c r="B492" s="38">
        <v>36992</v>
      </c>
      <c r="C492" s="3">
        <v>1</v>
      </c>
      <c r="D492" s="3">
        <v>1</v>
      </c>
      <c r="E492" s="3">
        <f>C492 - D492</f>
        <v>0</v>
      </c>
      <c r="P492" s="38">
        <v>40645</v>
      </c>
    </row>
    <row r="493" spans="2:16" x14ac:dyDescent="0.35">
      <c r="B493" s="38">
        <v>36993</v>
      </c>
      <c r="C493" s="3">
        <v>1</v>
      </c>
      <c r="D493" s="3">
        <v>1</v>
      </c>
      <c r="E493" s="3">
        <f>C493 - D493</f>
        <v>0</v>
      </c>
      <c r="P493" s="38">
        <v>40646</v>
      </c>
    </row>
    <row r="494" spans="2:16" x14ac:dyDescent="0.35">
      <c r="B494" s="38">
        <v>36994</v>
      </c>
      <c r="C494" s="3">
        <v>0</v>
      </c>
      <c r="D494" s="3">
        <v>1</v>
      </c>
      <c r="E494" s="3">
        <f>C494 - D494</f>
        <v>-1</v>
      </c>
      <c r="P494" s="38">
        <v>40647</v>
      </c>
    </row>
    <row r="495" spans="2:16" x14ac:dyDescent="0.35">
      <c r="B495" s="38">
        <v>36995</v>
      </c>
      <c r="C495" s="3">
        <v>0</v>
      </c>
      <c r="D495" s="3">
        <v>0</v>
      </c>
      <c r="E495" s="3">
        <f>C495 - D495</f>
        <v>0</v>
      </c>
      <c r="P495" s="38">
        <v>40648</v>
      </c>
    </row>
    <row r="496" spans="2:16" x14ac:dyDescent="0.35">
      <c r="B496" s="38">
        <v>36996</v>
      </c>
      <c r="C496" s="3">
        <v>0</v>
      </c>
      <c r="D496" s="3">
        <v>0</v>
      </c>
      <c r="E496" s="3">
        <f>C496 - D496</f>
        <v>0</v>
      </c>
      <c r="P496" s="38">
        <v>40649</v>
      </c>
    </row>
    <row r="497" spans="2:16" x14ac:dyDescent="0.35">
      <c r="B497" s="38">
        <v>36997</v>
      </c>
      <c r="C497" s="3">
        <v>0</v>
      </c>
      <c r="D497" s="3">
        <v>0</v>
      </c>
      <c r="E497" s="3">
        <f>C497 - D497</f>
        <v>0</v>
      </c>
      <c r="P497" s="38">
        <v>40650</v>
      </c>
    </row>
    <row r="498" spans="2:16" x14ac:dyDescent="0.35">
      <c r="B498" s="38">
        <v>36998</v>
      </c>
      <c r="C498" s="3">
        <v>0</v>
      </c>
      <c r="D498" s="3">
        <v>0</v>
      </c>
      <c r="E498" s="3">
        <f>C498 - D498</f>
        <v>0</v>
      </c>
      <c r="P498" s="38">
        <v>40651</v>
      </c>
    </row>
    <row r="499" spans="2:16" x14ac:dyDescent="0.35">
      <c r="B499" s="38">
        <v>36999</v>
      </c>
      <c r="C499" s="3">
        <v>0</v>
      </c>
      <c r="D499" s="3">
        <v>0</v>
      </c>
      <c r="E499" s="3">
        <f>C499 - D499</f>
        <v>0</v>
      </c>
      <c r="P499" s="38">
        <v>40652</v>
      </c>
    </row>
    <row r="500" spans="2:16" x14ac:dyDescent="0.35">
      <c r="B500" s="38">
        <v>37000</v>
      </c>
      <c r="C500" s="3">
        <v>1</v>
      </c>
      <c r="D500" s="3">
        <v>0</v>
      </c>
      <c r="E500" s="3">
        <f>C500 - D500</f>
        <v>1</v>
      </c>
      <c r="P500" s="38">
        <v>40653</v>
      </c>
    </row>
    <row r="501" spans="2:16" x14ac:dyDescent="0.35">
      <c r="B501" s="38">
        <v>37001</v>
      </c>
      <c r="C501" s="3">
        <v>0</v>
      </c>
      <c r="D501" s="3">
        <v>1</v>
      </c>
      <c r="E501" s="3">
        <f>C501 - D501</f>
        <v>-1</v>
      </c>
      <c r="P501" s="38">
        <v>40654</v>
      </c>
    </row>
    <row r="502" spans="2:16" x14ac:dyDescent="0.35">
      <c r="B502" s="38">
        <v>37002</v>
      </c>
      <c r="C502" s="3">
        <v>0</v>
      </c>
      <c r="D502" s="3">
        <v>0</v>
      </c>
      <c r="E502" s="3">
        <f>C502 - D502</f>
        <v>0</v>
      </c>
      <c r="P502" s="38">
        <v>40655</v>
      </c>
    </row>
    <row r="503" spans="2:16" x14ac:dyDescent="0.35">
      <c r="B503" s="38">
        <v>37003</v>
      </c>
      <c r="C503" s="3">
        <v>1</v>
      </c>
      <c r="D503" s="3">
        <v>0</v>
      </c>
      <c r="E503" s="3">
        <f>C503 - D503</f>
        <v>1</v>
      </c>
      <c r="P503" s="38">
        <v>40656</v>
      </c>
    </row>
    <row r="504" spans="2:16" x14ac:dyDescent="0.35">
      <c r="B504" s="38">
        <v>37004</v>
      </c>
      <c r="C504" s="3">
        <v>1</v>
      </c>
      <c r="D504" s="3">
        <v>1</v>
      </c>
      <c r="E504" s="3">
        <f>C504 - D504</f>
        <v>0</v>
      </c>
      <c r="P504" s="38">
        <v>40657</v>
      </c>
    </row>
    <row r="505" spans="2:16" x14ac:dyDescent="0.35">
      <c r="B505" s="38">
        <v>37005</v>
      </c>
      <c r="C505" s="3">
        <v>1</v>
      </c>
      <c r="D505" s="3">
        <v>1</v>
      </c>
      <c r="E505" s="3">
        <f>C505 - D505</f>
        <v>0</v>
      </c>
      <c r="P505" s="38">
        <v>40658</v>
      </c>
    </row>
    <row r="506" spans="2:16" x14ac:dyDescent="0.35">
      <c r="B506" s="38">
        <v>37006</v>
      </c>
      <c r="C506" s="3">
        <v>1</v>
      </c>
      <c r="D506" s="3">
        <v>1</v>
      </c>
      <c r="E506" s="3">
        <f>C506 - D506</f>
        <v>0</v>
      </c>
      <c r="P506" s="38">
        <v>40659</v>
      </c>
    </row>
    <row r="507" spans="2:16" x14ac:dyDescent="0.35">
      <c r="B507" s="38">
        <v>37007</v>
      </c>
      <c r="C507" s="3">
        <v>0</v>
      </c>
      <c r="D507" s="3">
        <v>1</v>
      </c>
      <c r="E507" s="3">
        <f>C507 - D507</f>
        <v>-1</v>
      </c>
      <c r="P507" s="38">
        <v>40660</v>
      </c>
    </row>
    <row r="508" spans="2:16" x14ac:dyDescent="0.35">
      <c r="B508" s="38">
        <v>37008</v>
      </c>
      <c r="C508" s="3">
        <v>0</v>
      </c>
      <c r="D508" s="3">
        <v>0</v>
      </c>
      <c r="E508" s="3">
        <f>C508 - D508</f>
        <v>0</v>
      </c>
      <c r="P508" s="38">
        <v>40661</v>
      </c>
    </row>
    <row r="509" spans="2:16" x14ac:dyDescent="0.35">
      <c r="B509" s="38">
        <v>37009</v>
      </c>
      <c r="C509" s="3">
        <v>1</v>
      </c>
      <c r="D509" s="3">
        <v>0</v>
      </c>
      <c r="E509" s="3">
        <f>C509 - D509</f>
        <v>1</v>
      </c>
      <c r="P509" s="38">
        <v>40662</v>
      </c>
    </row>
    <row r="510" spans="2:16" x14ac:dyDescent="0.35">
      <c r="B510" s="38">
        <v>37010</v>
      </c>
      <c r="C510" s="3">
        <v>1</v>
      </c>
      <c r="D510" s="3">
        <v>1</v>
      </c>
      <c r="E510" s="3">
        <f>C510 - D510</f>
        <v>0</v>
      </c>
      <c r="P510" s="38">
        <v>40663</v>
      </c>
    </row>
    <row r="511" spans="2:16" x14ac:dyDescent="0.35">
      <c r="B511" s="38">
        <v>37011</v>
      </c>
      <c r="C511" s="3">
        <v>0</v>
      </c>
      <c r="D511" s="3">
        <v>1</v>
      </c>
      <c r="E511" s="3">
        <f>C511 - D511</f>
        <v>-1</v>
      </c>
      <c r="P511" s="38">
        <v>40664</v>
      </c>
    </row>
    <row r="512" spans="2:16" x14ac:dyDescent="0.35">
      <c r="B512" s="38">
        <v>37012</v>
      </c>
      <c r="C512" s="3">
        <v>0</v>
      </c>
      <c r="D512" s="3">
        <v>0</v>
      </c>
      <c r="E512" s="3">
        <f>C512 - D512</f>
        <v>0</v>
      </c>
      <c r="P512" s="38">
        <v>40665</v>
      </c>
    </row>
    <row r="513" spans="2:16" x14ac:dyDescent="0.35">
      <c r="B513" s="38">
        <v>37013</v>
      </c>
      <c r="C513" s="3">
        <v>0</v>
      </c>
      <c r="D513" s="3">
        <v>0</v>
      </c>
      <c r="E513" s="3">
        <f>C513 - D513</f>
        <v>0</v>
      </c>
      <c r="P513" s="38">
        <v>40666</v>
      </c>
    </row>
    <row r="514" spans="2:16" x14ac:dyDescent="0.35">
      <c r="B514" s="38">
        <v>37014</v>
      </c>
      <c r="C514" s="3">
        <v>0</v>
      </c>
      <c r="D514" s="3">
        <v>0</v>
      </c>
      <c r="E514" s="3">
        <f>C514 - D514</f>
        <v>0</v>
      </c>
      <c r="P514" s="38">
        <v>40667</v>
      </c>
    </row>
    <row r="515" spans="2:16" x14ac:dyDescent="0.35">
      <c r="B515" s="38">
        <v>37015</v>
      </c>
      <c r="C515" s="3">
        <v>0</v>
      </c>
      <c r="D515" s="3">
        <v>0</v>
      </c>
      <c r="E515" s="3">
        <f>C515 - D515</f>
        <v>0</v>
      </c>
      <c r="P515" s="38">
        <v>40668</v>
      </c>
    </row>
    <row r="516" spans="2:16" x14ac:dyDescent="0.35">
      <c r="B516" s="38">
        <v>37016</v>
      </c>
      <c r="C516" s="3">
        <v>0</v>
      </c>
      <c r="D516" s="3">
        <v>0</v>
      </c>
      <c r="E516" s="3">
        <f>C516 - D516</f>
        <v>0</v>
      </c>
      <c r="P516" s="38">
        <v>40669</v>
      </c>
    </row>
    <row r="517" spans="2:16" x14ac:dyDescent="0.35">
      <c r="B517" s="38">
        <v>37017</v>
      </c>
      <c r="C517" s="3">
        <v>0</v>
      </c>
      <c r="D517" s="3">
        <v>0</v>
      </c>
      <c r="E517" s="3">
        <f>C517 - D517</f>
        <v>0</v>
      </c>
      <c r="P517" s="38">
        <v>40670</v>
      </c>
    </row>
    <row r="518" spans="2:16" x14ac:dyDescent="0.35">
      <c r="B518" s="38">
        <v>37018</v>
      </c>
      <c r="C518" s="3">
        <v>0</v>
      </c>
      <c r="D518" s="3">
        <v>0</v>
      </c>
      <c r="E518" s="3">
        <f>C518 - D518</f>
        <v>0</v>
      </c>
      <c r="P518" s="38">
        <v>40671</v>
      </c>
    </row>
    <row r="519" spans="2:16" x14ac:dyDescent="0.35">
      <c r="B519" s="38">
        <v>37019</v>
      </c>
      <c r="C519" s="3">
        <v>0</v>
      </c>
      <c r="D519" s="3">
        <v>0</v>
      </c>
      <c r="E519" s="3">
        <f>C519 - D519</f>
        <v>0</v>
      </c>
      <c r="P519" s="38">
        <v>40672</v>
      </c>
    </row>
    <row r="520" spans="2:16" x14ac:dyDescent="0.35">
      <c r="B520" s="38">
        <v>37020</v>
      </c>
      <c r="C520" s="3">
        <v>0</v>
      </c>
      <c r="D520" s="3">
        <v>0</v>
      </c>
      <c r="E520" s="3">
        <f>C520 - D520</f>
        <v>0</v>
      </c>
      <c r="P520" s="38">
        <v>40673</v>
      </c>
    </row>
    <row r="521" spans="2:16" x14ac:dyDescent="0.35">
      <c r="B521" s="38">
        <v>37021</v>
      </c>
      <c r="C521" s="3">
        <v>1</v>
      </c>
      <c r="D521" s="3">
        <v>0</v>
      </c>
      <c r="E521" s="3">
        <f>C521 - D521</f>
        <v>1</v>
      </c>
      <c r="P521" s="38">
        <v>40674</v>
      </c>
    </row>
    <row r="522" spans="2:16" x14ac:dyDescent="0.35">
      <c r="B522" s="38">
        <v>37022</v>
      </c>
      <c r="C522" s="3">
        <v>0</v>
      </c>
      <c r="D522" s="3">
        <v>1</v>
      </c>
      <c r="E522" s="3">
        <f>C522 - D522</f>
        <v>-1</v>
      </c>
      <c r="P522" s="38">
        <v>40675</v>
      </c>
    </row>
    <row r="523" spans="2:16" x14ac:dyDescent="0.35">
      <c r="B523" s="38">
        <v>37023</v>
      </c>
      <c r="C523" s="3">
        <v>0</v>
      </c>
      <c r="D523" s="3">
        <v>0</v>
      </c>
      <c r="E523" s="3">
        <f>C523 - D523</f>
        <v>0</v>
      </c>
      <c r="P523" s="38">
        <v>40676</v>
      </c>
    </row>
    <row r="524" spans="2:16" x14ac:dyDescent="0.35">
      <c r="B524" s="38">
        <v>37024</v>
      </c>
      <c r="C524" s="3">
        <v>0</v>
      </c>
      <c r="D524" s="3">
        <v>0</v>
      </c>
      <c r="E524" s="3">
        <f>C524 - D524</f>
        <v>0</v>
      </c>
      <c r="P524" s="38">
        <v>40677</v>
      </c>
    </row>
    <row r="525" spans="2:16" x14ac:dyDescent="0.35">
      <c r="B525" s="38">
        <v>37025</v>
      </c>
      <c r="C525" s="3">
        <v>0</v>
      </c>
      <c r="D525" s="3">
        <v>0</v>
      </c>
      <c r="E525" s="3">
        <f>C525 - D525</f>
        <v>0</v>
      </c>
      <c r="P525" s="38">
        <v>40678</v>
      </c>
    </row>
    <row r="526" spans="2:16" x14ac:dyDescent="0.35">
      <c r="B526" s="38">
        <v>37026</v>
      </c>
      <c r="C526" s="3">
        <v>0</v>
      </c>
      <c r="D526" s="3">
        <v>0</v>
      </c>
      <c r="E526" s="3">
        <f>C526 - D526</f>
        <v>0</v>
      </c>
      <c r="P526" s="38">
        <v>40679</v>
      </c>
    </row>
    <row r="527" spans="2:16" x14ac:dyDescent="0.35">
      <c r="B527" s="38">
        <v>37027</v>
      </c>
      <c r="C527" s="3">
        <v>0</v>
      </c>
      <c r="D527" s="3">
        <v>0</v>
      </c>
      <c r="E527" s="3">
        <f>C527 - D527</f>
        <v>0</v>
      </c>
      <c r="P527" s="38">
        <v>40680</v>
      </c>
    </row>
    <row r="528" spans="2:16" x14ac:dyDescent="0.35">
      <c r="B528" s="38">
        <v>37028</v>
      </c>
      <c r="C528" s="3">
        <v>1</v>
      </c>
      <c r="D528" s="3">
        <v>0</v>
      </c>
      <c r="E528" s="3">
        <f>C528 - D528</f>
        <v>1</v>
      </c>
      <c r="P528" s="38">
        <v>40681</v>
      </c>
    </row>
    <row r="529" spans="2:16" x14ac:dyDescent="0.35">
      <c r="B529" s="38">
        <v>37029</v>
      </c>
      <c r="C529" s="3">
        <v>1</v>
      </c>
      <c r="D529" s="3">
        <v>1</v>
      </c>
      <c r="E529" s="3">
        <f>C529 - D529</f>
        <v>0</v>
      </c>
      <c r="P529" s="38">
        <v>40682</v>
      </c>
    </row>
    <row r="530" spans="2:16" x14ac:dyDescent="0.35">
      <c r="B530" s="38">
        <v>37030</v>
      </c>
      <c r="C530" s="3">
        <v>0</v>
      </c>
      <c r="D530" s="3">
        <v>1</v>
      </c>
      <c r="E530" s="3">
        <f>C530 - D530</f>
        <v>-1</v>
      </c>
      <c r="P530" s="38">
        <v>40683</v>
      </c>
    </row>
    <row r="531" spans="2:16" x14ac:dyDescent="0.35">
      <c r="B531" s="38">
        <v>37031</v>
      </c>
      <c r="C531" s="3">
        <v>0</v>
      </c>
      <c r="D531" s="3">
        <v>0</v>
      </c>
      <c r="E531" s="3">
        <f>C531 - D531</f>
        <v>0</v>
      </c>
      <c r="P531" s="38">
        <v>40684</v>
      </c>
    </row>
    <row r="532" spans="2:16" x14ac:dyDescent="0.35">
      <c r="B532" s="38">
        <v>37032</v>
      </c>
      <c r="C532" s="3">
        <v>1</v>
      </c>
      <c r="D532" s="3">
        <v>0</v>
      </c>
      <c r="E532" s="3">
        <f>C532 - D532</f>
        <v>1</v>
      </c>
      <c r="P532" s="38">
        <v>40685</v>
      </c>
    </row>
    <row r="533" spans="2:16" x14ac:dyDescent="0.35">
      <c r="B533" s="38">
        <v>37033</v>
      </c>
      <c r="C533" s="3">
        <v>1</v>
      </c>
      <c r="D533" s="3">
        <v>1</v>
      </c>
      <c r="E533" s="3">
        <f>C533 - D533</f>
        <v>0</v>
      </c>
      <c r="P533" s="38">
        <v>40686</v>
      </c>
    </row>
    <row r="534" spans="2:16" x14ac:dyDescent="0.35">
      <c r="B534" s="38">
        <v>37034</v>
      </c>
      <c r="C534" s="3">
        <v>0</v>
      </c>
      <c r="D534" s="3">
        <v>1</v>
      </c>
      <c r="E534" s="3">
        <f>C534 - D534</f>
        <v>-1</v>
      </c>
      <c r="P534" s="38">
        <v>40687</v>
      </c>
    </row>
    <row r="535" spans="2:16" x14ac:dyDescent="0.35">
      <c r="B535" s="38">
        <v>37035</v>
      </c>
      <c r="C535" s="3">
        <v>1</v>
      </c>
      <c r="D535" s="3">
        <v>0</v>
      </c>
      <c r="E535" s="3">
        <f>C535 - D535</f>
        <v>1</v>
      </c>
      <c r="P535" s="38">
        <v>40688</v>
      </c>
    </row>
    <row r="536" spans="2:16" x14ac:dyDescent="0.35">
      <c r="B536" s="38">
        <v>37036</v>
      </c>
      <c r="C536" s="3">
        <v>0</v>
      </c>
      <c r="D536" s="3">
        <v>1</v>
      </c>
      <c r="E536" s="3">
        <f>C536 - D536</f>
        <v>-1</v>
      </c>
      <c r="P536" s="38">
        <v>40689</v>
      </c>
    </row>
    <row r="537" spans="2:16" x14ac:dyDescent="0.35">
      <c r="B537" s="38">
        <v>37037</v>
      </c>
      <c r="C537" s="3">
        <v>1</v>
      </c>
      <c r="D537" s="3">
        <v>0</v>
      </c>
      <c r="E537" s="3">
        <f>C537 - D537</f>
        <v>1</v>
      </c>
      <c r="P537" s="38">
        <v>40690</v>
      </c>
    </row>
    <row r="538" spans="2:16" x14ac:dyDescent="0.35">
      <c r="B538" s="38">
        <v>37038</v>
      </c>
      <c r="C538" s="3">
        <v>0</v>
      </c>
      <c r="D538" s="3">
        <v>1</v>
      </c>
      <c r="E538" s="3">
        <f>C538 - D538</f>
        <v>-1</v>
      </c>
      <c r="P538" s="38">
        <v>40691</v>
      </c>
    </row>
    <row r="539" spans="2:16" x14ac:dyDescent="0.35">
      <c r="B539" s="38">
        <v>37039</v>
      </c>
      <c r="C539" s="3">
        <v>1</v>
      </c>
      <c r="D539" s="3">
        <v>0</v>
      </c>
      <c r="E539" s="3">
        <f>C539 - D539</f>
        <v>1</v>
      </c>
      <c r="P539" s="38">
        <v>40692</v>
      </c>
    </row>
    <row r="540" spans="2:16" x14ac:dyDescent="0.35">
      <c r="B540" s="38">
        <v>37040</v>
      </c>
      <c r="C540" s="3">
        <v>1</v>
      </c>
      <c r="D540" s="3">
        <v>1</v>
      </c>
      <c r="E540" s="3">
        <f>C540 - D540</f>
        <v>0</v>
      </c>
      <c r="P540" s="38">
        <v>40693</v>
      </c>
    </row>
    <row r="541" spans="2:16" x14ac:dyDescent="0.35">
      <c r="B541" s="38">
        <v>37041</v>
      </c>
      <c r="C541" s="3">
        <v>1</v>
      </c>
      <c r="D541" s="3">
        <v>1</v>
      </c>
      <c r="E541" s="3">
        <f>C541 - D541</f>
        <v>0</v>
      </c>
      <c r="P541" s="38">
        <v>40694</v>
      </c>
    </row>
    <row r="542" spans="2:16" x14ac:dyDescent="0.35">
      <c r="B542" s="38">
        <v>37042</v>
      </c>
      <c r="C542" s="3">
        <v>1</v>
      </c>
      <c r="D542" s="3">
        <v>1</v>
      </c>
      <c r="E542" s="3">
        <f>C542 - D542</f>
        <v>0</v>
      </c>
      <c r="P542" s="38">
        <v>40695</v>
      </c>
    </row>
    <row r="543" spans="2:16" x14ac:dyDescent="0.35">
      <c r="B543" s="38">
        <v>37043</v>
      </c>
      <c r="C543" s="3">
        <v>0</v>
      </c>
      <c r="D543" s="3">
        <v>1</v>
      </c>
      <c r="E543" s="3">
        <f>C543 - D543</f>
        <v>-1</v>
      </c>
      <c r="P543" s="38">
        <v>40696</v>
      </c>
    </row>
    <row r="544" spans="2:16" x14ac:dyDescent="0.35">
      <c r="B544" s="38">
        <v>37044</v>
      </c>
      <c r="C544" s="3">
        <v>0</v>
      </c>
      <c r="D544" s="3">
        <v>0</v>
      </c>
      <c r="E544" s="3">
        <f>C544 - D544</f>
        <v>0</v>
      </c>
      <c r="P544" s="38">
        <v>40697</v>
      </c>
    </row>
    <row r="545" spans="2:16" x14ac:dyDescent="0.35">
      <c r="B545" s="38">
        <v>37045</v>
      </c>
      <c r="C545" s="3">
        <v>0</v>
      </c>
      <c r="D545" s="3">
        <v>0</v>
      </c>
      <c r="E545" s="3">
        <f>C545 - D545</f>
        <v>0</v>
      </c>
      <c r="P545" s="38">
        <v>40698</v>
      </c>
    </row>
    <row r="546" spans="2:16" x14ac:dyDescent="0.35">
      <c r="B546" s="38">
        <v>37046</v>
      </c>
      <c r="C546" s="3">
        <v>1</v>
      </c>
      <c r="D546" s="3">
        <v>0</v>
      </c>
      <c r="E546" s="3">
        <f>C546 - D546</f>
        <v>1</v>
      </c>
      <c r="P546" s="38">
        <v>40699</v>
      </c>
    </row>
    <row r="547" spans="2:16" x14ac:dyDescent="0.35">
      <c r="B547" s="38">
        <v>37047</v>
      </c>
      <c r="C547" s="3">
        <v>0</v>
      </c>
      <c r="D547" s="3">
        <v>1</v>
      </c>
      <c r="E547" s="3">
        <f>C547 - D547</f>
        <v>-1</v>
      </c>
      <c r="P547" s="38">
        <v>40700</v>
      </c>
    </row>
    <row r="548" spans="2:16" x14ac:dyDescent="0.35">
      <c r="B548" s="38">
        <v>37048</v>
      </c>
      <c r="C548" s="3">
        <v>1</v>
      </c>
      <c r="D548" s="3">
        <v>0</v>
      </c>
      <c r="E548" s="3">
        <f>C548 - D548</f>
        <v>1</v>
      </c>
      <c r="P548" s="38">
        <v>40701</v>
      </c>
    </row>
    <row r="549" spans="2:16" x14ac:dyDescent="0.35">
      <c r="B549" s="38">
        <v>37049</v>
      </c>
      <c r="C549" s="3">
        <v>1</v>
      </c>
      <c r="D549" s="3">
        <v>1</v>
      </c>
      <c r="E549" s="3">
        <f>C549 - D549</f>
        <v>0</v>
      </c>
      <c r="P549" s="38">
        <v>40702</v>
      </c>
    </row>
    <row r="550" spans="2:16" x14ac:dyDescent="0.35">
      <c r="B550" s="38">
        <v>37050</v>
      </c>
      <c r="C550" s="3">
        <v>0</v>
      </c>
      <c r="D550" s="3">
        <v>1</v>
      </c>
      <c r="E550" s="3">
        <f>C550 - D550</f>
        <v>-1</v>
      </c>
      <c r="P550" s="38">
        <v>40703</v>
      </c>
    </row>
    <row r="551" spans="2:16" x14ac:dyDescent="0.35">
      <c r="B551" s="38">
        <v>37051</v>
      </c>
      <c r="C551" s="3">
        <v>1</v>
      </c>
      <c r="D551" s="3">
        <v>0</v>
      </c>
      <c r="E551" s="3">
        <f>C551 - D551</f>
        <v>1</v>
      </c>
      <c r="P551" s="38">
        <v>40704</v>
      </c>
    </row>
    <row r="552" spans="2:16" x14ac:dyDescent="0.35">
      <c r="B552" s="38">
        <v>37052</v>
      </c>
      <c r="C552" s="3">
        <v>1</v>
      </c>
      <c r="D552" s="3">
        <v>1</v>
      </c>
      <c r="E552" s="3">
        <f>C552 - D552</f>
        <v>0</v>
      </c>
      <c r="P552" s="38">
        <v>40705</v>
      </c>
    </row>
    <row r="553" spans="2:16" x14ac:dyDescent="0.35">
      <c r="B553" s="38">
        <v>37053</v>
      </c>
      <c r="C553" s="3">
        <v>0</v>
      </c>
      <c r="D553" s="3">
        <v>1</v>
      </c>
      <c r="E553" s="3">
        <f>C553 - D553</f>
        <v>-1</v>
      </c>
      <c r="P553" s="38">
        <v>40706</v>
      </c>
    </row>
    <row r="554" spans="2:16" x14ac:dyDescent="0.35">
      <c r="B554" s="38">
        <v>37054</v>
      </c>
      <c r="C554" s="3">
        <v>0</v>
      </c>
      <c r="D554" s="3">
        <v>0</v>
      </c>
      <c r="E554" s="3">
        <f>C554 - D554</f>
        <v>0</v>
      </c>
      <c r="P554" s="38">
        <v>40707</v>
      </c>
    </row>
    <row r="555" spans="2:16" x14ac:dyDescent="0.35">
      <c r="B555" s="38">
        <v>37055</v>
      </c>
      <c r="C555" s="3">
        <v>1</v>
      </c>
      <c r="D555" s="3">
        <v>0</v>
      </c>
      <c r="E555" s="3">
        <f>C555 - D555</f>
        <v>1</v>
      </c>
      <c r="P555" s="38">
        <v>40708</v>
      </c>
    </row>
    <row r="556" spans="2:16" x14ac:dyDescent="0.35">
      <c r="B556" s="38">
        <v>37056</v>
      </c>
      <c r="C556" s="3">
        <v>1</v>
      </c>
      <c r="D556" s="3">
        <v>1</v>
      </c>
      <c r="E556" s="3">
        <f>C556 - D556</f>
        <v>0</v>
      </c>
      <c r="P556" s="38">
        <v>40709</v>
      </c>
    </row>
    <row r="557" spans="2:16" x14ac:dyDescent="0.35">
      <c r="B557" s="38">
        <v>37057</v>
      </c>
      <c r="C557" s="3">
        <v>1</v>
      </c>
      <c r="D557" s="3">
        <v>1</v>
      </c>
      <c r="E557" s="3">
        <f>C557 - D557</f>
        <v>0</v>
      </c>
      <c r="P557" s="38">
        <v>40710</v>
      </c>
    </row>
    <row r="558" spans="2:16" x14ac:dyDescent="0.35">
      <c r="B558" s="38">
        <v>37058</v>
      </c>
      <c r="C558" s="3">
        <v>1</v>
      </c>
      <c r="D558" s="3">
        <v>1</v>
      </c>
      <c r="E558" s="3">
        <f>C558 - D558</f>
        <v>0</v>
      </c>
      <c r="P558" s="38">
        <v>40711</v>
      </c>
    </row>
    <row r="559" spans="2:16" x14ac:dyDescent="0.35">
      <c r="B559" s="38">
        <v>37059</v>
      </c>
      <c r="C559" s="3">
        <v>1</v>
      </c>
      <c r="D559" s="3">
        <v>1</v>
      </c>
      <c r="E559" s="3">
        <f>C559 - D559</f>
        <v>0</v>
      </c>
      <c r="P559" s="38">
        <v>40712</v>
      </c>
    </row>
    <row r="560" spans="2:16" x14ac:dyDescent="0.35">
      <c r="B560" s="38">
        <v>37060</v>
      </c>
      <c r="C560" s="3">
        <v>1</v>
      </c>
      <c r="D560" s="3">
        <v>1</v>
      </c>
      <c r="E560" s="3">
        <f>C560 - D560</f>
        <v>0</v>
      </c>
      <c r="P560" s="38">
        <v>40713</v>
      </c>
    </row>
    <row r="561" spans="2:16" x14ac:dyDescent="0.35">
      <c r="B561" s="38">
        <v>37061</v>
      </c>
      <c r="C561" s="3">
        <v>0</v>
      </c>
      <c r="D561" s="3">
        <v>1</v>
      </c>
      <c r="E561" s="3">
        <f>C561 - D561</f>
        <v>-1</v>
      </c>
      <c r="P561" s="38">
        <v>40714</v>
      </c>
    </row>
    <row r="562" spans="2:16" x14ac:dyDescent="0.35">
      <c r="B562" s="38">
        <v>37062</v>
      </c>
      <c r="C562" s="3">
        <v>0</v>
      </c>
      <c r="D562" s="3">
        <v>0</v>
      </c>
      <c r="E562" s="3">
        <f>C562 - D562</f>
        <v>0</v>
      </c>
      <c r="P562" s="38">
        <v>40715</v>
      </c>
    </row>
    <row r="563" spans="2:16" x14ac:dyDescent="0.35">
      <c r="B563" s="38">
        <v>37063</v>
      </c>
      <c r="C563" s="3">
        <v>1</v>
      </c>
      <c r="D563" s="3">
        <v>0</v>
      </c>
      <c r="E563" s="3">
        <f>C563 - D563</f>
        <v>1</v>
      </c>
      <c r="P563" s="38">
        <v>40716</v>
      </c>
    </row>
    <row r="564" spans="2:16" x14ac:dyDescent="0.35">
      <c r="B564" s="38">
        <v>37064</v>
      </c>
      <c r="C564" s="3">
        <v>1</v>
      </c>
      <c r="D564" s="3">
        <v>1</v>
      </c>
      <c r="E564" s="3">
        <f>C564 - D564</f>
        <v>0</v>
      </c>
      <c r="P564" s="38">
        <v>40717</v>
      </c>
    </row>
    <row r="565" spans="2:16" x14ac:dyDescent="0.35">
      <c r="B565" s="38">
        <v>37065</v>
      </c>
      <c r="C565" s="3">
        <v>0</v>
      </c>
      <c r="D565" s="3">
        <v>1</v>
      </c>
      <c r="E565" s="3">
        <f>C565 - D565</f>
        <v>-1</v>
      </c>
      <c r="P565" s="38">
        <v>40718</v>
      </c>
    </row>
    <row r="566" spans="2:16" x14ac:dyDescent="0.35">
      <c r="B566" s="38">
        <v>37066</v>
      </c>
      <c r="C566" s="3">
        <v>0</v>
      </c>
      <c r="D566" s="3">
        <v>0</v>
      </c>
      <c r="E566" s="3">
        <f>C566 - D566</f>
        <v>0</v>
      </c>
      <c r="P566" s="38">
        <v>40719</v>
      </c>
    </row>
    <row r="567" spans="2:16" x14ac:dyDescent="0.35">
      <c r="B567" s="38">
        <v>37067</v>
      </c>
      <c r="C567" s="3">
        <v>0</v>
      </c>
      <c r="D567" s="3">
        <v>0</v>
      </c>
      <c r="E567" s="3">
        <f>C567 - D567</f>
        <v>0</v>
      </c>
      <c r="P567" s="38">
        <v>40720</v>
      </c>
    </row>
    <row r="568" spans="2:16" x14ac:dyDescent="0.35">
      <c r="B568" s="38">
        <v>37068</v>
      </c>
      <c r="C568" s="3">
        <v>1</v>
      </c>
      <c r="D568" s="3">
        <v>0</v>
      </c>
      <c r="E568" s="3">
        <f>C568 - D568</f>
        <v>1</v>
      </c>
      <c r="P568" s="38">
        <v>40721</v>
      </c>
    </row>
    <row r="569" spans="2:16" x14ac:dyDescent="0.35">
      <c r="B569" s="38">
        <v>37069</v>
      </c>
      <c r="C569" s="3">
        <v>0</v>
      </c>
      <c r="D569" s="3">
        <v>1</v>
      </c>
      <c r="E569" s="3">
        <f>C569 - D569</f>
        <v>-1</v>
      </c>
      <c r="P569" s="38">
        <v>40722</v>
      </c>
    </row>
    <row r="570" spans="2:16" x14ac:dyDescent="0.35">
      <c r="B570" s="38">
        <v>37070</v>
      </c>
      <c r="C570" s="3">
        <v>0</v>
      </c>
      <c r="D570" s="3">
        <v>0</v>
      </c>
      <c r="E570" s="3">
        <f>C570 - D570</f>
        <v>0</v>
      </c>
      <c r="P570" s="38">
        <v>40723</v>
      </c>
    </row>
    <row r="571" spans="2:16" x14ac:dyDescent="0.35">
      <c r="B571" s="38">
        <v>37071</v>
      </c>
      <c r="C571" s="3">
        <v>0</v>
      </c>
      <c r="D571" s="3">
        <v>0</v>
      </c>
      <c r="E571" s="3">
        <f>C571 - D571</f>
        <v>0</v>
      </c>
      <c r="P571" s="38">
        <v>40724</v>
      </c>
    </row>
    <row r="572" spans="2:16" x14ac:dyDescent="0.35">
      <c r="B572" s="38">
        <v>37072</v>
      </c>
      <c r="C572" s="3">
        <v>0</v>
      </c>
      <c r="D572" s="3">
        <v>0</v>
      </c>
      <c r="E572" s="3">
        <f>C572 - D572</f>
        <v>0</v>
      </c>
      <c r="P572" s="38">
        <v>40725</v>
      </c>
    </row>
    <row r="573" spans="2:16" x14ac:dyDescent="0.35">
      <c r="B573" s="38">
        <v>37073</v>
      </c>
      <c r="C573" s="3">
        <v>0</v>
      </c>
      <c r="D573" s="3">
        <v>0</v>
      </c>
      <c r="E573" s="3">
        <f>C573 - D573</f>
        <v>0</v>
      </c>
      <c r="P573" s="38">
        <v>40726</v>
      </c>
    </row>
    <row r="574" spans="2:16" x14ac:dyDescent="0.35">
      <c r="B574" s="38">
        <v>37074</v>
      </c>
      <c r="C574" s="3">
        <v>0</v>
      </c>
      <c r="D574" s="3">
        <v>0</v>
      </c>
      <c r="E574" s="3">
        <f>C574 - D574</f>
        <v>0</v>
      </c>
      <c r="P574" s="38">
        <v>40727</v>
      </c>
    </row>
    <row r="575" spans="2:16" x14ac:dyDescent="0.35">
      <c r="B575" s="38">
        <v>37075</v>
      </c>
      <c r="C575" s="3">
        <v>0</v>
      </c>
      <c r="D575" s="3">
        <v>0</v>
      </c>
      <c r="E575" s="3">
        <f>C575 - D575</f>
        <v>0</v>
      </c>
      <c r="P575" s="38">
        <v>40728</v>
      </c>
    </row>
    <row r="576" spans="2:16" x14ac:dyDescent="0.35">
      <c r="B576" s="38">
        <v>37076</v>
      </c>
      <c r="C576" s="3">
        <v>0</v>
      </c>
      <c r="D576" s="3">
        <v>0</v>
      </c>
      <c r="E576" s="3">
        <f>C576 - D576</f>
        <v>0</v>
      </c>
      <c r="P576" s="38">
        <v>40729</v>
      </c>
    </row>
    <row r="577" spans="2:16" x14ac:dyDescent="0.35">
      <c r="B577" s="38">
        <v>37077</v>
      </c>
      <c r="C577" s="3">
        <v>0</v>
      </c>
      <c r="D577" s="3">
        <v>0</v>
      </c>
      <c r="E577" s="3">
        <f>C577 - D577</f>
        <v>0</v>
      </c>
      <c r="P577" s="38">
        <v>40730</v>
      </c>
    </row>
    <row r="578" spans="2:16" x14ac:dyDescent="0.35">
      <c r="B578" s="38">
        <v>37078</v>
      </c>
      <c r="C578" s="3">
        <v>1</v>
      </c>
      <c r="D578" s="3">
        <v>0</v>
      </c>
      <c r="E578" s="3">
        <f>C578 - D578</f>
        <v>1</v>
      </c>
      <c r="P578" s="38">
        <v>40731</v>
      </c>
    </row>
    <row r="579" spans="2:16" x14ac:dyDescent="0.35">
      <c r="B579" s="38">
        <v>37079</v>
      </c>
      <c r="C579" s="3">
        <v>1</v>
      </c>
      <c r="D579" s="3">
        <v>1</v>
      </c>
      <c r="E579" s="3">
        <f>C579 - D579</f>
        <v>0</v>
      </c>
      <c r="P579" s="38">
        <v>40732</v>
      </c>
    </row>
    <row r="580" spans="2:16" x14ac:dyDescent="0.35">
      <c r="B580" s="38">
        <v>37080</v>
      </c>
      <c r="C580" s="3">
        <v>1</v>
      </c>
      <c r="D580" s="3">
        <v>1</v>
      </c>
      <c r="E580" s="3">
        <f>C580 - D580</f>
        <v>0</v>
      </c>
      <c r="P580" s="38">
        <v>40733</v>
      </c>
    </row>
    <row r="581" spans="2:16" x14ac:dyDescent="0.35">
      <c r="B581" s="38">
        <v>37081</v>
      </c>
      <c r="C581" s="3">
        <v>1</v>
      </c>
      <c r="D581" s="3">
        <v>1</v>
      </c>
      <c r="E581" s="3">
        <f>C581 - D581</f>
        <v>0</v>
      </c>
      <c r="P581" s="38">
        <v>40734</v>
      </c>
    </row>
    <row r="582" spans="2:16" x14ac:dyDescent="0.35">
      <c r="B582" s="38">
        <v>37082</v>
      </c>
      <c r="C582" s="3">
        <v>0</v>
      </c>
      <c r="D582" s="3">
        <v>1</v>
      </c>
      <c r="E582" s="3">
        <f>C582 - D582</f>
        <v>-1</v>
      </c>
      <c r="P582" s="38">
        <v>40735</v>
      </c>
    </row>
    <row r="583" spans="2:16" x14ac:dyDescent="0.35">
      <c r="B583" s="38">
        <v>37083</v>
      </c>
      <c r="C583" s="3">
        <v>0</v>
      </c>
      <c r="D583" s="3">
        <v>0</v>
      </c>
      <c r="E583" s="3">
        <f>C583 - D583</f>
        <v>0</v>
      </c>
      <c r="P583" s="38">
        <v>40736</v>
      </c>
    </row>
    <row r="584" spans="2:16" x14ac:dyDescent="0.35">
      <c r="B584" s="38">
        <v>37084</v>
      </c>
      <c r="C584" s="3">
        <v>1</v>
      </c>
      <c r="D584" s="3">
        <v>0</v>
      </c>
      <c r="E584" s="3">
        <f>C584 - D584</f>
        <v>1</v>
      </c>
      <c r="P584" s="38">
        <v>40737</v>
      </c>
    </row>
    <row r="585" spans="2:16" x14ac:dyDescent="0.35">
      <c r="B585" s="38">
        <v>37085</v>
      </c>
      <c r="C585" s="3">
        <v>1</v>
      </c>
      <c r="D585" s="3">
        <v>1</v>
      </c>
      <c r="E585" s="3">
        <f>C585 - D585</f>
        <v>0</v>
      </c>
      <c r="P585" s="38">
        <v>40738</v>
      </c>
    </row>
    <row r="586" spans="2:16" x14ac:dyDescent="0.35">
      <c r="B586" s="38">
        <v>37086</v>
      </c>
      <c r="C586" s="3">
        <v>1</v>
      </c>
      <c r="D586" s="3">
        <v>1</v>
      </c>
      <c r="E586" s="3">
        <f>C586 - D586</f>
        <v>0</v>
      </c>
      <c r="P586" s="38">
        <v>40739</v>
      </c>
    </row>
    <row r="587" spans="2:16" x14ac:dyDescent="0.35">
      <c r="B587" s="38">
        <v>37087</v>
      </c>
      <c r="C587" s="3">
        <v>1</v>
      </c>
      <c r="D587" s="3">
        <v>1</v>
      </c>
      <c r="E587" s="3">
        <f>C587 - D587</f>
        <v>0</v>
      </c>
      <c r="P587" s="38">
        <v>40740</v>
      </c>
    </row>
    <row r="588" spans="2:16" x14ac:dyDescent="0.35">
      <c r="B588" s="38">
        <v>37088</v>
      </c>
      <c r="C588" s="3">
        <v>1</v>
      </c>
      <c r="D588" s="3">
        <v>1</v>
      </c>
      <c r="E588" s="3">
        <f>C588 - D588</f>
        <v>0</v>
      </c>
      <c r="P588" s="38">
        <v>40741</v>
      </c>
    </row>
    <row r="589" spans="2:16" x14ac:dyDescent="0.35">
      <c r="B589" s="38">
        <v>37089</v>
      </c>
      <c r="C589" s="3">
        <v>1</v>
      </c>
      <c r="D589" s="3">
        <v>1</v>
      </c>
      <c r="E589" s="3">
        <f>C589 - D589</f>
        <v>0</v>
      </c>
      <c r="P589" s="38">
        <v>40742</v>
      </c>
    </row>
    <row r="590" spans="2:16" x14ac:dyDescent="0.35">
      <c r="B590" s="38">
        <v>37090</v>
      </c>
      <c r="C590" s="3">
        <v>1</v>
      </c>
      <c r="D590" s="3">
        <v>1</v>
      </c>
      <c r="E590" s="3">
        <f>C590 - D590</f>
        <v>0</v>
      </c>
      <c r="P590" s="38">
        <v>40743</v>
      </c>
    </row>
    <row r="591" spans="2:16" x14ac:dyDescent="0.35">
      <c r="B591" s="38">
        <v>37091</v>
      </c>
      <c r="C591" s="3">
        <v>1</v>
      </c>
      <c r="D591" s="3">
        <v>1</v>
      </c>
      <c r="E591" s="3">
        <f>C591 - D591</f>
        <v>0</v>
      </c>
      <c r="P591" s="38">
        <v>40744</v>
      </c>
    </row>
    <row r="592" spans="2:16" x14ac:dyDescent="0.35">
      <c r="B592" s="38">
        <v>37092</v>
      </c>
      <c r="C592" s="3">
        <v>1</v>
      </c>
      <c r="D592" s="3">
        <v>1</v>
      </c>
      <c r="E592" s="3">
        <f>C592 - D592</f>
        <v>0</v>
      </c>
      <c r="P592" s="38">
        <v>40745</v>
      </c>
    </row>
    <row r="593" spans="2:16" x14ac:dyDescent="0.35">
      <c r="B593" s="38">
        <v>37093</v>
      </c>
      <c r="C593" s="3">
        <v>0</v>
      </c>
      <c r="D593" s="3">
        <v>1</v>
      </c>
      <c r="E593" s="3">
        <f>C593 - D593</f>
        <v>-1</v>
      </c>
      <c r="P593" s="38">
        <v>40746</v>
      </c>
    </row>
    <row r="594" spans="2:16" x14ac:dyDescent="0.35">
      <c r="B594" s="38">
        <v>37094</v>
      </c>
      <c r="C594" s="3">
        <v>0</v>
      </c>
      <c r="D594" s="3">
        <v>0</v>
      </c>
      <c r="E594" s="3">
        <f>C594 - D594</f>
        <v>0</v>
      </c>
      <c r="P594" s="38">
        <v>40747</v>
      </c>
    </row>
    <row r="595" spans="2:16" x14ac:dyDescent="0.35">
      <c r="B595" s="38">
        <v>37095</v>
      </c>
      <c r="C595" s="3">
        <v>0</v>
      </c>
      <c r="D595" s="3">
        <v>0</v>
      </c>
      <c r="E595" s="3">
        <f>C595 - D595</f>
        <v>0</v>
      </c>
      <c r="P595" s="38">
        <v>40748</v>
      </c>
    </row>
    <row r="596" spans="2:16" x14ac:dyDescent="0.35">
      <c r="B596" s="38">
        <v>37096</v>
      </c>
      <c r="C596" s="3">
        <v>0</v>
      </c>
      <c r="D596" s="3">
        <v>0</v>
      </c>
      <c r="E596" s="3">
        <f>C596 - D596</f>
        <v>0</v>
      </c>
      <c r="P596" s="38">
        <v>40749</v>
      </c>
    </row>
    <row r="597" spans="2:16" x14ac:dyDescent="0.35">
      <c r="B597" s="38">
        <v>37097</v>
      </c>
      <c r="C597" s="3">
        <v>0</v>
      </c>
      <c r="D597" s="3">
        <v>0</v>
      </c>
      <c r="E597" s="3">
        <f>C597 - D597</f>
        <v>0</v>
      </c>
      <c r="P597" s="38">
        <v>40750</v>
      </c>
    </row>
    <row r="598" spans="2:16" x14ac:dyDescent="0.35">
      <c r="B598" s="38">
        <v>37098</v>
      </c>
      <c r="C598" s="3">
        <v>1</v>
      </c>
      <c r="D598" s="3">
        <v>0</v>
      </c>
      <c r="E598" s="3">
        <f>C598 - D598</f>
        <v>1</v>
      </c>
      <c r="P598" s="38">
        <v>40751</v>
      </c>
    </row>
    <row r="599" spans="2:16" x14ac:dyDescent="0.35">
      <c r="B599" s="38">
        <v>37099</v>
      </c>
      <c r="C599" s="3">
        <v>0</v>
      </c>
      <c r="D599" s="3">
        <v>1</v>
      </c>
      <c r="E599" s="3">
        <f>C599 - D599</f>
        <v>-1</v>
      </c>
      <c r="P599" s="38">
        <v>40752</v>
      </c>
    </row>
    <row r="600" spans="2:16" x14ac:dyDescent="0.35">
      <c r="B600" s="38">
        <v>37100</v>
      </c>
      <c r="C600" s="3">
        <v>1</v>
      </c>
      <c r="D600" s="3">
        <v>0</v>
      </c>
      <c r="E600" s="3">
        <f>C600 - D600</f>
        <v>1</v>
      </c>
      <c r="P600" s="38">
        <v>40753</v>
      </c>
    </row>
    <row r="601" spans="2:16" x14ac:dyDescent="0.35">
      <c r="B601" s="38">
        <v>37101</v>
      </c>
      <c r="C601" s="3">
        <v>1</v>
      </c>
      <c r="D601" s="3">
        <v>1</v>
      </c>
      <c r="E601" s="3">
        <f>C601 - D601</f>
        <v>0</v>
      </c>
      <c r="P601" s="38">
        <v>40754</v>
      </c>
    </row>
    <row r="602" spans="2:16" x14ac:dyDescent="0.35">
      <c r="B602" s="38">
        <v>37102</v>
      </c>
      <c r="C602" s="3">
        <v>0</v>
      </c>
      <c r="D602" s="3">
        <v>1</v>
      </c>
      <c r="E602" s="3">
        <f>C602 - D602</f>
        <v>-1</v>
      </c>
      <c r="P602" s="38">
        <v>40755</v>
      </c>
    </row>
    <row r="603" spans="2:16" x14ac:dyDescent="0.35">
      <c r="B603" s="38">
        <v>37103</v>
      </c>
      <c r="C603" s="3">
        <v>0</v>
      </c>
      <c r="D603" s="3">
        <v>0</v>
      </c>
      <c r="E603" s="3">
        <f>C603 - D603</f>
        <v>0</v>
      </c>
      <c r="P603" s="38">
        <v>40756</v>
      </c>
    </row>
    <row r="604" spans="2:16" x14ac:dyDescent="0.35">
      <c r="B604" s="38">
        <v>37104</v>
      </c>
      <c r="C604" s="3">
        <v>1</v>
      </c>
      <c r="D604" s="3">
        <v>0</v>
      </c>
      <c r="E604" s="3">
        <f>C604 - D604</f>
        <v>1</v>
      </c>
      <c r="P604" s="38">
        <v>40757</v>
      </c>
    </row>
    <row r="605" spans="2:16" x14ac:dyDescent="0.35">
      <c r="B605" s="38">
        <v>37105</v>
      </c>
      <c r="C605" s="3">
        <v>1</v>
      </c>
      <c r="D605" s="3">
        <v>1</v>
      </c>
      <c r="E605" s="3">
        <f>C605 - D605</f>
        <v>0</v>
      </c>
      <c r="P605" s="38">
        <v>40758</v>
      </c>
    </row>
    <row r="606" spans="2:16" x14ac:dyDescent="0.35">
      <c r="B606" s="38">
        <v>37106</v>
      </c>
      <c r="C606" s="3">
        <v>0</v>
      </c>
      <c r="D606" s="3">
        <v>1</v>
      </c>
      <c r="E606" s="3">
        <f>C606 - D606</f>
        <v>-1</v>
      </c>
      <c r="P606" s="38">
        <v>40759</v>
      </c>
    </row>
    <row r="607" spans="2:16" x14ac:dyDescent="0.35">
      <c r="B607" s="38">
        <v>37107</v>
      </c>
      <c r="C607" s="3">
        <v>0</v>
      </c>
      <c r="D607" s="3">
        <v>0</v>
      </c>
      <c r="E607" s="3">
        <f>C607 - D607</f>
        <v>0</v>
      </c>
      <c r="P607" s="38">
        <v>40760</v>
      </c>
    </row>
    <row r="608" spans="2:16" x14ac:dyDescent="0.35">
      <c r="B608" s="38">
        <v>37108</v>
      </c>
      <c r="C608" s="3">
        <v>1</v>
      </c>
      <c r="D608" s="3">
        <v>0</v>
      </c>
      <c r="E608" s="3">
        <f>C608 - D608</f>
        <v>1</v>
      </c>
      <c r="P608" s="38">
        <v>40761</v>
      </c>
    </row>
    <row r="609" spans="2:16" x14ac:dyDescent="0.35">
      <c r="B609" s="38">
        <v>37109</v>
      </c>
      <c r="C609" s="3">
        <v>1</v>
      </c>
      <c r="D609" s="3">
        <v>1</v>
      </c>
      <c r="E609" s="3">
        <f>C609 - D609</f>
        <v>0</v>
      </c>
      <c r="P609" s="38">
        <v>40762</v>
      </c>
    </row>
    <row r="610" spans="2:16" x14ac:dyDescent="0.35">
      <c r="B610" s="38">
        <v>37110</v>
      </c>
      <c r="C610" s="3">
        <v>1</v>
      </c>
      <c r="D610" s="3">
        <v>1</v>
      </c>
      <c r="E610" s="3">
        <f>C610 - D610</f>
        <v>0</v>
      </c>
      <c r="P610" s="38">
        <v>40763</v>
      </c>
    </row>
    <row r="611" spans="2:16" x14ac:dyDescent="0.35">
      <c r="B611" s="38">
        <v>37111</v>
      </c>
      <c r="C611" s="3">
        <v>1</v>
      </c>
      <c r="D611" s="3">
        <v>1</v>
      </c>
      <c r="E611" s="3">
        <f>C611 - D611</f>
        <v>0</v>
      </c>
      <c r="P611" s="38">
        <v>40764</v>
      </c>
    </row>
    <row r="612" spans="2:16" x14ac:dyDescent="0.35">
      <c r="B612" s="38">
        <v>37112</v>
      </c>
      <c r="C612" s="3">
        <v>1</v>
      </c>
      <c r="D612" s="3">
        <v>1</v>
      </c>
      <c r="E612" s="3">
        <f>C612 - D612</f>
        <v>0</v>
      </c>
      <c r="P612" s="38">
        <v>40765</v>
      </c>
    </row>
    <row r="613" spans="2:16" x14ac:dyDescent="0.35">
      <c r="B613" s="38">
        <v>37113</v>
      </c>
      <c r="C613" s="3">
        <v>0</v>
      </c>
      <c r="D613" s="3">
        <v>1</v>
      </c>
      <c r="E613" s="3">
        <f>C613 - D613</f>
        <v>-1</v>
      </c>
      <c r="P613" s="38">
        <v>40766</v>
      </c>
    </row>
    <row r="614" spans="2:16" x14ac:dyDescent="0.35">
      <c r="B614" s="38">
        <v>37114</v>
      </c>
      <c r="C614" s="3">
        <v>0</v>
      </c>
      <c r="D614" s="3">
        <v>0</v>
      </c>
      <c r="E614" s="3">
        <f>C614 - D614</f>
        <v>0</v>
      </c>
      <c r="P614" s="38">
        <v>40767</v>
      </c>
    </row>
    <row r="615" spans="2:16" x14ac:dyDescent="0.35">
      <c r="B615" s="38">
        <v>37115</v>
      </c>
      <c r="C615" s="3">
        <v>0</v>
      </c>
      <c r="D615" s="3">
        <v>0</v>
      </c>
      <c r="E615" s="3">
        <f>C615 - D615</f>
        <v>0</v>
      </c>
      <c r="P615" s="38">
        <v>40768</v>
      </c>
    </row>
    <row r="616" spans="2:16" x14ac:dyDescent="0.35">
      <c r="B616" s="38">
        <v>37116</v>
      </c>
      <c r="C616" s="3">
        <v>0</v>
      </c>
      <c r="D616" s="3">
        <v>0</v>
      </c>
      <c r="E616" s="3">
        <f>C616 - D616</f>
        <v>0</v>
      </c>
      <c r="P616" s="38">
        <v>40769</v>
      </c>
    </row>
    <row r="617" spans="2:16" x14ac:dyDescent="0.35">
      <c r="B617" s="38">
        <v>37117</v>
      </c>
      <c r="C617" s="3">
        <v>0</v>
      </c>
      <c r="D617" s="3">
        <v>0</v>
      </c>
      <c r="E617" s="3">
        <f>C617 - D617</f>
        <v>0</v>
      </c>
      <c r="P617" s="38">
        <v>40770</v>
      </c>
    </row>
    <row r="618" spans="2:16" x14ac:dyDescent="0.35">
      <c r="B618" s="38">
        <v>37118</v>
      </c>
      <c r="C618" s="3">
        <v>0</v>
      </c>
      <c r="D618" s="3">
        <v>0</v>
      </c>
      <c r="E618" s="3">
        <f>C618 - D618</f>
        <v>0</v>
      </c>
      <c r="P618" s="38">
        <v>40771</v>
      </c>
    </row>
    <row r="619" spans="2:16" x14ac:dyDescent="0.35">
      <c r="B619" s="38">
        <v>37119</v>
      </c>
      <c r="C619" s="3">
        <v>0</v>
      </c>
      <c r="D619" s="3">
        <v>0</v>
      </c>
      <c r="E619" s="3">
        <f>C619 - D619</f>
        <v>0</v>
      </c>
      <c r="P619" s="38">
        <v>40772</v>
      </c>
    </row>
    <row r="620" spans="2:16" x14ac:dyDescent="0.35">
      <c r="B620" s="38">
        <v>37120</v>
      </c>
      <c r="C620" s="3">
        <v>1</v>
      </c>
      <c r="D620" s="3">
        <v>0</v>
      </c>
      <c r="E620" s="3">
        <f>C620 - D620</f>
        <v>1</v>
      </c>
      <c r="P620" s="38">
        <v>40773</v>
      </c>
    </row>
    <row r="621" spans="2:16" x14ac:dyDescent="0.35">
      <c r="B621" s="38">
        <v>37121</v>
      </c>
      <c r="C621" s="3">
        <v>1</v>
      </c>
      <c r="D621" s="3">
        <v>1</v>
      </c>
      <c r="E621" s="3">
        <f>C621 - D621</f>
        <v>0</v>
      </c>
      <c r="P621" s="38">
        <v>40774</v>
      </c>
    </row>
    <row r="622" spans="2:16" x14ac:dyDescent="0.35">
      <c r="B622" s="38">
        <v>37122</v>
      </c>
      <c r="C622" s="3">
        <v>0</v>
      </c>
      <c r="D622" s="3">
        <v>1</v>
      </c>
      <c r="E622" s="3">
        <f>C622 - D622</f>
        <v>-1</v>
      </c>
      <c r="P622" s="38">
        <v>40775</v>
      </c>
    </row>
    <row r="623" spans="2:16" x14ac:dyDescent="0.35">
      <c r="B623" s="38">
        <v>37123</v>
      </c>
      <c r="C623" s="3">
        <v>1</v>
      </c>
      <c r="D623" s="3">
        <v>0</v>
      </c>
      <c r="E623" s="3">
        <f>C623 - D623</f>
        <v>1</v>
      </c>
      <c r="P623" s="38">
        <v>40776</v>
      </c>
    </row>
    <row r="624" spans="2:16" x14ac:dyDescent="0.35">
      <c r="B624" s="38">
        <v>37124</v>
      </c>
      <c r="C624" s="3">
        <v>1</v>
      </c>
      <c r="D624" s="3">
        <v>1</v>
      </c>
      <c r="E624" s="3">
        <f>C624 - D624</f>
        <v>0</v>
      </c>
      <c r="P624" s="38">
        <v>40777</v>
      </c>
    </row>
    <row r="625" spans="2:16" x14ac:dyDescent="0.35">
      <c r="B625" s="38">
        <v>37125</v>
      </c>
      <c r="C625" s="3">
        <v>1</v>
      </c>
      <c r="D625" s="3">
        <v>1</v>
      </c>
      <c r="E625" s="3">
        <f>C625 - D625</f>
        <v>0</v>
      </c>
      <c r="P625" s="38">
        <v>40778</v>
      </c>
    </row>
    <row r="626" spans="2:16" x14ac:dyDescent="0.35">
      <c r="B626" s="38">
        <v>37126</v>
      </c>
      <c r="C626" s="3">
        <v>1</v>
      </c>
      <c r="D626" s="3">
        <v>1</v>
      </c>
      <c r="E626" s="3">
        <f>C626 - D626</f>
        <v>0</v>
      </c>
      <c r="P626" s="38">
        <v>40779</v>
      </c>
    </row>
    <row r="627" spans="2:16" x14ac:dyDescent="0.35">
      <c r="B627" s="38">
        <v>37127</v>
      </c>
      <c r="C627" s="3">
        <v>1</v>
      </c>
      <c r="D627" s="3">
        <v>1</v>
      </c>
      <c r="E627" s="3">
        <f>C627 - D627</f>
        <v>0</v>
      </c>
      <c r="P627" s="38">
        <v>40780</v>
      </c>
    </row>
    <row r="628" spans="2:16" x14ac:dyDescent="0.35">
      <c r="B628" s="38">
        <v>37128</v>
      </c>
      <c r="C628" s="3">
        <v>0</v>
      </c>
      <c r="D628" s="3">
        <v>1</v>
      </c>
      <c r="E628" s="3">
        <f>C628 - D628</f>
        <v>-1</v>
      </c>
      <c r="P628" s="38">
        <v>40781</v>
      </c>
    </row>
    <row r="629" spans="2:16" x14ac:dyDescent="0.35">
      <c r="B629" s="38">
        <v>37129</v>
      </c>
      <c r="C629" s="3">
        <v>1</v>
      </c>
      <c r="D629" s="3">
        <v>0</v>
      </c>
      <c r="E629" s="3">
        <f>C629 - D629</f>
        <v>1</v>
      </c>
      <c r="P629" s="38">
        <v>40782</v>
      </c>
    </row>
    <row r="630" spans="2:16" x14ac:dyDescent="0.35">
      <c r="B630" s="38">
        <v>37130</v>
      </c>
      <c r="C630" s="3">
        <v>1</v>
      </c>
      <c r="D630" s="3">
        <v>1</v>
      </c>
      <c r="E630" s="3">
        <f>C630 - D630</f>
        <v>0</v>
      </c>
      <c r="P630" s="38">
        <v>40783</v>
      </c>
    </row>
    <row r="631" spans="2:16" x14ac:dyDescent="0.35">
      <c r="B631" s="38">
        <v>37131</v>
      </c>
      <c r="C631" s="3">
        <v>1</v>
      </c>
      <c r="D631" s="3">
        <v>1</v>
      </c>
      <c r="E631" s="3">
        <f>C631 - D631</f>
        <v>0</v>
      </c>
      <c r="P631" s="38">
        <v>40784</v>
      </c>
    </row>
    <row r="632" spans="2:16" x14ac:dyDescent="0.35">
      <c r="B632" s="38">
        <v>37132</v>
      </c>
      <c r="C632" s="3">
        <v>0</v>
      </c>
      <c r="D632" s="3">
        <v>1</v>
      </c>
      <c r="E632" s="3">
        <f>C632 - D632</f>
        <v>-1</v>
      </c>
      <c r="P632" s="38">
        <v>40785</v>
      </c>
    </row>
    <row r="633" spans="2:16" x14ac:dyDescent="0.35">
      <c r="B633" s="38">
        <v>37133</v>
      </c>
      <c r="C633" s="3">
        <v>0</v>
      </c>
      <c r="D633" s="3">
        <v>0</v>
      </c>
      <c r="E633" s="3">
        <f>C633 - D633</f>
        <v>0</v>
      </c>
      <c r="P633" s="38">
        <v>40786</v>
      </c>
    </row>
    <row r="634" spans="2:16" x14ac:dyDescent="0.35">
      <c r="B634" s="38">
        <v>37134</v>
      </c>
      <c r="C634" s="3">
        <v>0</v>
      </c>
      <c r="D634" s="3">
        <v>0</v>
      </c>
      <c r="E634" s="3">
        <f>C634 - D634</f>
        <v>0</v>
      </c>
      <c r="P634" s="38">
        <v>40787</v>
      </c>
    </row>
    <row r="635" spans="2:16" x14ac:dyDescent="0.35">
      <c r="B635" s="38">
        <v>37135</v>
      </c>
      <c r="C635" s="3">
        <v>1</v>
      </c>
      <c r="D635" s="3">
        <v>0</v>
      </c>
      <c r="E635" s="3">
        <f>C635 - D635</f>
        <v>1</v>
      </c>
      <c r="P635" s="38">
        <v>40788</v>
      </c>
    </row>
    <row r="636" spans="2:16" x14ac:dyDescent="0.35">
      <c r="B636" s="38">
        <v>37136</v>
      </c>
      <c r="C636" s="3">
        <v>1</v>
      </c>
      <c r="D636" s="3">
        <v>1</v>
      </c>
      <c r="E636" s="3">
        <f>C636 - D636</f>
        <v>0</v>
      </c>
      <c r="P636" s="38">
        <v>40789</v>
      </c>
    </row>
    <row r="637" spans="2:16" x14ac:dyDescent="0.35">
      <c r="B637" s="38">
        <v>37137</v>
      </c>
      <c r="C637" s="3">
        <v>0</v>
      </c>
      <c r="D637" s="3">
        <v>1</v>
      </c>
      <c r="E637" s="3">
        <f>C637 - D637</f>
        <v>-1</v>
      </c>
      <c r="P637" s="38">
        <v>40790</v>
      </c>
    </row>
    <row r="638" spans="2:16" x14ac:dyDescent="0.35">
      <c r="B638" s="38">
        <v>37138</v>
      </c>
      <c r="C638" s="3">
        <v>1</v>
      </c>
      <c r="D638" s="3">
        <v>0</v>
      </c>
      <c r="E638" s="3">
        <f>C638 - D638</f>
        <v>1</v>
      </c>
      <c r="P638" s="38">
        <v>40791</v>
      </c>
    </row>
    <row r="639" spans="2:16" x14ac:dyDescent="0.35">
      <c r="B639" s="38">
        <v>37139</v>
      </c>
      <c r="C639" s="3">
        <v>1</v>
      </c>
      <c r="D639" s="3">
        <v>1</v>
      </c>
      <c r="E639" s="3">
        <f>C639 - D639</f>
        <v>0</v>
      </c>
      <c r="P639" s="38">
        <v>40792</v>
      </c>
    </row>
    <row r="640" spans="2:16" x14ac:dyDescent="0.35">
      <c r="B640" s="38">
        <v>37140</v>
      </c>
      <c r="C640" s="3">
        <v>0</v>
      </c>
      <c r="D640" s="3">
        <v>1</v>
      </c>
      <c r="E640" s="3">
        <f>C640 - D640</f>
        <v>-1</v>
      </c>
      <c r="P640" s="38">
        <v>40793</v>
      </c>
    </row>
    <row r="641" spans="2:16" x14ac:dyDescent="0.35">
      <c r="B641" s="38">
        <v>37141</v>
      </c>
      <c r="C641" s="3">
        <v>0</v>
      </c>
      <c r="D641" s="3">
        <v>0</v>
      </c>
      <c r="E641" s="3">
        <f>C641 - D641</f>
        <v>0</v>
      </c>
      <c r="P641" s="38">
        <v>40794</v>
      </c>
    </row>
    <row r="642" spans="2:16" x14ac:dyDescent="0.35">
      <c r="B642" s="38">
        <v>37142</v>
      </c>
      <c r="C642" s="3">
        <v>1</v>
      </c>
      <c r="D642" s="3">
        <v>0</v>
      </c>
      <c r="E642" s="3">
        <f>C642 - D642</f>
        <v>1</v>
      </c>
      <c r="P642" s="38">
        <v>40795</v>
      </c>
    </row>
    <row r="643" spans="2:16" x14ac:dyDescent="0.35">
      <c r="B643" s="38">
        <v>37143</v>
      </c>
      <c r="C643" s="3">
        <v>1</v>
      </c>
      <c r="D643" s="3">
        <v>1</v>
      </c>
      <c r="E643" s="3">
        <f>C643 - D643</f>
        <v>0</v>
      </c>
      <c r="P643" s="38">
        <v>40796</v>
      </c>
    </row>
    <row r="644" spans="2:16" x14ac:dyDescent="0.35">
      <c r="B644" s="38">
        <v>37144</v>
      </c>
      <c r="C644" s="3">
        <v>0</v>
      </c>
      <c r="D644" s="3">
        <v>1</v>
      </c>
      <c r="E644" s="3">
        <f>C644 - D644</f>
        <v>-1</v>
      </c>
      <c r="P644" s="38">
        <v>40797</v>
      </c>
    </row>
    <row r="645" spans="2:16" x14ac:dyDescent="0.35">
      <c r="B645" s="38">
        <v>37145</v>
      </c>
      <c r="C645" s="3">
        <v>0</v>
      </c>
      <c r="D645" s="3">
        <v>0</v>
      </c>
      <c r="E645" s="3">
        <f>C645 - D645</f>
        <v>0</v>
      </c>
      <c r="P645" s="38">
        <v>40798</v>
      </c>
    </row>
    <row r="646" spans="2:16" x14ac:dyDescent="0.35">
      <c r="B646" s="38">
        <v>37146</v>
      </c>
      <c r="C646" s="3">
        <v>0</v>
      </c>
      <c r="D646" s="3">
        <v>0</v>
      </c>
      <c r="E646" s="3">
        <f>C646 - D646</f>
        <v>0</v>
      </c>
      <c r="P646" s="38">
        <v>40799</v>
      </c>
    </row>
    <row r="647" spans="2:16" x14ac:dyDescent="0.35">
      <c r="B647" s="38">
        <v>37147</v>
      </c>
      <c r="C647" s="3">
        <v>0</v>
      </c>
      <c r="D647" s="3">
        <v>0</v>
      </c>
      <c r="E647" s="3">
        <f>C647 - D647</f>
        <v>0</v>
      </c>
      <c r="P647" s="38">
        <v>40800</v>
      </c>
    </row>
    <row r="648" spans="2:16" x14ac:dyDescent="0.35">
      <c r="B648" s="38">
        <v>37148</v>
      </c>
      <c r="C648" s="3">
        <v>0</v>
      </c>
      <c r="D648" s="3">
        <v>0</v>
      </c>
      <c r="E648" s="3">
        <f>C648 - D648</f>
        <v>0</v>
      </c>
      <c r="P648" s="38">
        <v>40801</v>
      </c>
    </row>
    <row r="649" spans="2:16" x14ac:dyDescent="0.35">
      <c r="B649" s="38">
        <v>37149</v>
      </c>
      <c r="C649" s="3">
        <v>0</v>
      </c>
      <c r="D649" s="3">
        <v>0</v>
      </c>
      <c r="E649" s="3">
        <f>C649 - D649</f>
        <v>0</v>
      </c>
      <c r="P649" s="38">
        <v>40802</v>
      </c>
    </row>
    <row r="650" spans="2:16" x14ac:dyDescent="0.35">
      <c r="B650" s="38">
        <v>37150</v>
      </c>
      <c r="C650" s="3">
        <v>0</v>
      </c>
      <c r="D650" s="3">
        <v>0</v>
      </c>
      <c r="E650" s="3">
        <f>C650 - D650</f>
        <v>0</v>
      </c>
      <c r="P650" s="38">
        <v>40803</v>
      </c>
    </row>
    <row r="651" spans="2:16" x14ac:dyDescent="0.35">
      <c r="B651" s="38">
        <v>37151</v>
      </c>
      <c r="C651" s="3">
        <v>0</v>
      </c>
      <c r="D651" s="3">
        <v>0</v>
      </c>
      <c r="E651" s="3">
        <f>C651 - D651</f>
        <v>0</v>
      </c>
      <c r="P651" s="38">
        <v>40804</v>
      </c>
    </row>
    <row r="652" spans="2:16" x14ac:dyDescent="0.35">
      <c r="B652" s="38">
        <v>37152</v>
      </c>
      <c r="C652" s="3">
        <v>0</v>
      </c>
      <c r="D652" s="3">
        <v>0</v>
      </c>
      <c r="E652" s="3">
        <f>C652 - D652</f>
        <v>0</v>
      </c>
      <c r="P652" s="38">
        <v>40805</v>
      </c>
    </row>
    <row r="653" spans="2:16" x14ac:dyDescent="0.35">
      <c r="B653" s="38">
        <v>37153</v>
      </c>
      <c r="C653" s="3">
        <v>0</v>
      </c>
      <c r="D653" s="3">
        <v>0</v>
      </c>
      <c r="E653" s="3">
        <f>C653 - D653</f>
        <v>0</v>
      </c>
      <c r="P653" s="38">
        <v>40806</v>
      </c>
    </row>
    <row r="654" spans="2:16" x14ac:dyDescent="0.35">
      <c r="B654" s="38">
        <v>37154</v>
      </c>
      <c r="C654" s="3">
        <v>0</v>
      </c>
      <c r="D654" s="3">
        <v>0</v>
      </c>
      <c r="E654" s="3">
        <f>C654 - D654</f>
        <v>0</v>
      </c>
      <c r="P654" s="38">
        <v>40807</v>
      </c>
    </row>
    <row r="655" spans="2:16" x14ac:dyDescent="0.35">
      <c r="B655" s="38">
        <v>37155</v>
      </c>
      <c r="C655" s="3">
        <v>0</v>
      </c>
      <c r="D655" s="3">
        <v>0</v>
      </c>
      <c r="E655" s="3">
        <f>C655 - D655</f>
        <v>0</v>
      </c>
      <c r="P655" s="38">
        <v>40808</v>
      </c>
    </row>
    <row r="656" spans="2:16" x14ac:dyDescent="0.35">
      <c r="B656" s="38">
        <v>37156</v>
      </c>
      <c r="C656" s="3">
        <v>0</v>
      </c>
      <c r="D656" s="3">
        <v>0</v>
      </c>
      <c r="E656" s="3">
        <f>C656 - D656</f>
        <v>0</v>
      </c>
      <c r="P656" s="38">
        <v>40809</v>
      </c>
    </row>
    <row r="657" spans="2:16" x14ac:dyDescent="0.35">
      <c r="B657" s="38">
        <v>37157</v>
      </c>
      <c r="C657" s="3">
        <v>1</v>
      </c>
      <c r="D657" s="3">
        <v>0</v>
      </c>
      <c r="E657" s="3">
        <f>C657 - D657</f>
        <v>1</v>
      </c>
      <c r="P657" s="38">
        <v>40810</v>
      </c>
    </row>
    <row r="658" spans="2:16" x14ac:dyDescent="0.35">
      <c r="B658" s="38">
        <v>37158</v>
      </c>
      <c r="C658" s="3">
        <v>0</v>
      </c>
      <c r="D658" s="3">
        <v>1</v>
      </c>
      <c r="E658" s="3">
        <f>C658 - D658</f>
        <v>-1</v>
      </c>
      <c r="P658" s="38">
        <v>40811</v>
      </c>
    </row>
    <row r="659" spans="2:16" x14ac:dyDescent="0.35">
      <c r="B659" s="38">
        <v>37159</v>
      </c>
      <c r="C659" s="3">
        <v>1</v>
      </c>
      <c r="D659" s="3">
        <v>0</v>
      </c>
      <c r="E659" s="3">
        <f>C659 - D659</f>
        <v>1</v>
      </c>
      <c r="P659" s="38">
        <v>40812</v>
      </c>
    </row>
    <row r="660" spans="2:16" x14ac:dyDescent="0.35">
      <c r="B660" s="38">
        <v>37160</v>
      </c>
      <c r="C660" s="3">
        <v>1</v>
      </c>
      <c r="D660" s="3">
        <v>1</v>
      </c>
      <c r="E660" s="3">
        <f>C660 - D660</f>
        <v>0</v>
      </c>
      <c r="P660" s="38">
        <v>40813</v>
      </c>
    </row>
    <row r="661" spans="2:16" x14ac:dyDescent="0.35">
      <c r="B661" s="38">
        <v>37161</v>
      </c>
      <c r="C661" s="3">
        <v>0</v>
      </c>
      <c r="D661" s="3">
        <v>1</v>
      </c>
      <c r="E661" s="3">
        <f>C661 - D661</f>
        <v>-1</v>
      </c>
      <c r="P661" s="38">
        <v>40814</v>
      </c>
    </row>
    <row r="662" spans="2:16" x14ac:dyDescent="0.35">
      <c r="B662" s="38">
        <v>37162</v>
      </c>
      <c r="C662" s="3">
        <v>0</v>
      </c>
      <c r="D662" s="3">
        <v>0</v>
      </c>
      <c r="E662" s="3">
        <f>C662 - D662</f>
        <v>0</v>
      </c>
      <c r="P662" s="38">
        <v>40815</v>
      </c>
    </row>
    <row r="663" spans="2:16" x14ac:dyDescent="0.35">
      <c r="B663" s="38">
        <v>37163</v>
      </c>
      <c r="C663" s="3">
        <v>0</v>
      </c>
      <c r="D663" s="3">
        <v>0</v>
      </c>
      <c r="E663" s="3">
        <f>C663 - D663</f>
        <v>0</v>
      </c>
      <c r="P663" s="38">
        <v>40816</v>
      </c>
    </row>
    <row r="664" spans="2:16" x14ac:dyDescent="0.35">
      <c r="B664" s="38">
        <v>37164</v>
      </c>
      <c r="C664" s="3">
        <v>0</v>
      </c>
      <c r="D664" s="3">
        <v>0</v>
      </c>
      <c r="E664" s="3">
        <f>C664 - D664</f>
        <v>0</v>
      </c>
      <c r="P664" s="38">
        <v>40817</v>
      </c>
    </row>
    <row r="665" spans="2:16" x14ac:dyDescent="0.35">
      <c r="B665" s="38">
        <v>37165</v>
      </c>
      <c r="C665" s="3">
        <v>1</v>
      </c>
      <c r="D665" s="3">
        <v>0</v>
      </c>
      <c r="E665" s="3">
        <f>C665 - D665</f>
        <v>1</v>
      </c>
      <c r="P665" s="38">
        <v>40818</v>
      </c>
    </row>
    <row r="666" spans="2:16" x14ac:dyDescent="0.35">
      <c r="B666" s="38">
        <v>37166</v>
      </c>
      <c r="C666" s="3">
        <v>0</v>
      </c>
      <c r="D666" s="3">
        <v>1</v>
      </c>
      <c r="E666" s="3">
        <f>C666 - D666</f>
        <v>-1</v>
      </c>
      <c r="P666" s="38">
        <v>40819</v>
      </c>
    </row>
    <row r="667" spans="2:16" x14ac:dyDescent="0.35">
      <c r="B667" s="38">
        <v>37167</v>
      </c>
      <c r="C667" s="3">
        <v>1</v>
      </c>
      <c r="D667" s="3">
        <v>0</v>
      </c>
      <c r="E667" s="3">
        <f>C667 - D667</f>
        <v>1</v>
      </c>
      <c r="P667" s="38">
        <v>40820</v>
      </c>
    </row>
    <row r="668" spans="2:16" x14ac:dyDescent="0.35">
      <c r="B668" s="38">
        <v>37168</v>
      </c>
      <c r="C668" s="3">
        <v>1</v>
      </c>
      <c r="D668" s="3">
        <v>1</v>
      </c>
      <c r="E668" s="3">
        <f>C668 - D668</f>
        <v>0</v>
      </c>
      <c r="P668" s="38">
        <v>40821</v>
      </c>
    </row>
    <row r="669" spans="2:16" x14ac:dyDescent="0.35">
      <c r="B669" s="38">
        <v>37169</v>
      </c>
      <c r="C669" s="3">
        <v>1</v>
      </c>
      <c r="D669" s="3">
        <v>1</v>
      </c>
      <c r="E669" s="3">
        <f>C669 - D669</f>
        <v>0</v>
      </c>
      <c r="P669" s="38">
        <v>40822</v>
      </c>
    </row>
    <row r="670" spans="2:16" x14ac:dyDescent="0.35">
      <c r="B670" s="38">
        <v>37170</v>
      </c>
      <c r="C670" s="3">
        <v>1</v>
      </c>
      <c r="D670" s="3">
        <v>1</v>
      </c>
      <c r="E670" s="3">
        <f>C670 - D670</f>
        <v>0</v>
      </c>
      <c r="P670" s="38">
        <v>40823</v>
      </c>
    </row>
    <row r="671" spans="2:16" x14ac:dyDescent="0.35">
      <c r="B671" s="38">
        <v>37171</v>
      </c>
      <c r="C671" s="3">
        <v>1</v>
      </c>
      <c r="D671" s="3">
        <v>1</v>
      </c>
      <c r="E671" s="3">
        <f>C671 - D671</f>
        <v>0</v>
      </c>
      <c r="P671" s="38">
        <v>40824</v>
      </c>
    </row>
    <row r="672" spans="2:16" x14ac:dyDescent="0.35">
      <c r="B672" s="38">
        <v>37172</v>
      </c>
      <c r="C672" s="3">
        <v>1</v>
      </c>
      <c r="D672" s="3">
        <v>1</v>
      </c>
      <c r="E672" s="3">
        <f>C672 - D672</f>
        <v>0</v>
      </c>
      <c r="P672" s="38">
        <v>40825</v>
      </c>
    </row>
    <row r="673" spans="2:16" x14ac:dyDescent="0.35">
      <c r="B673" s="38">
        <v>37173</v>
      </c>
      <c r="C673" s="3">
        <v>0</v>
      </c>
      <c r="D673" s="3">
        <v>1</v>
      </c>
      <c r="E673" s="3">
        <f>C673 - D673</f>
        <v>-1</v>
      </c>
      <c r="P673" s="38">
        <v>40826</v>
      </c>
    </row>
    <row r="674" spans="2:16" x14ac:dyDescent="0.35">
      <c r="B674" s="38">
        <v>37174</v>
      </c>
      <c r="C674" s="3">
        <v>0</v>
      </c>
      <c r="D674" s="3">
        <v>0</v>
      </c>
      <c r="E674" s="3">
        <f>C674 - D674</f>
        <v>0</v>
      </c>
      <c r="P674" s="38">
        <v>40827</v>
      </c>
    </row>
    <row r="675" spans="2:16" x14ac:dyDescent="0.35">
      <c r="B675" s="38">
        <v>37175</v>
      </c>
      <c r="C675" s="3">
        <v>0</v>
      </c>
      <c r="D675" s="3">
        <v>0</v>
      </c>
      <c r="E675" s="3">
        <f>C675 - D675</f>
        <v>0</v>
      </c>
      <c r="P675" s="38">
        <v>40828</v>
      </c>
    </row>
    <row r="676" spans="2:16" x14ac:dyDescent="0.35">
      <c r="B676" s="38">
        <v>37176</v>
      </c>
      <c r="C676" s="3">
        <v>1</v>
      </c>
      <c r="D676" s="3">
        <v>0</v>
      </c>
      <c r="E676" s="3">
        <f>C676 - D676</f>
        <v>1</v>
      </c>
      <c r="P676" s="38">
        <v>40829</v>
      </c>
    </row>
    <row r="677" spans="2:16" x14ac:dyDescent="0.35">
      <c r="B677" s="38">
        <v>37177</v>
      </c>
      <c r="C677" s="3">
        <v>1</v>
      </c>
      <c r="D677" s="3">
        <v>1</v>
      </c>
      <c r="E677" s="3">
        <f>C677 - D677</f>
        <v>0</v>
      </c>
      <c r="P677" s="38">
        <v>40830</v>
      </c>
    </row>
    <row r="678" spans="2:16" x14ac:dyDescent="0.35">
      <c r="B678" s="38">
        <v>37178</v>
      </c>
      <c r="C678" s="3">
        <v>1</v>
      </c>
      <c r="D678" s="3">
        <v>1</v>
      </c>
      <c r="E678" s="3">
        <f>C678 - D678</f>
        <v>0</v>
      </c>
      <c r="P678" s="38">
        <v>40831</v>
      </c>
    </row>
    <row r="679" spans="2:16" x14ac:dyDescent="0.35">
      <c r="B679" s="38">
        <v>37179</v>
      </c>
      <c r="C679" s="3">
        <v>0</v>
      </c>
      <c r="D679" s="3">
        <v>1</v>
      </c>
      <c r="E679" s="3">
        <f>C679 - D679</f>
        <v>-1</v>
      </c>
      <c r="P679" s="38">
        <v>40832</v>
      </c>
    </row>
    <row r="680" spans="2:16" x14ac:dyDescent="0.35">
      <c r="B680" s="38">
        <v>37180</v>
      </c>
      <c r="C680" s="3">
        <v>1</v>
      </c>
      <c r="D680" s="3">
        <v>0</v>
      </c>
      <c r="E680" s="3">
        <f>C680 - D680</f>
        <v>1</v>
      </c>
      <c r="P680" s="38">
        <v>40833</v>
      </c>
    </row>
    <row r="681" spans="2:16" x14ac:dyDescent="0.35">
      <c r="B681" s="38">
        <v>37181</v>
      </c>
      <c r="C681" s="3">
        <v>0</v>
      </c>
      <c r="D681" s="3">
        <v>1</v>
      </c>
      <c r="E681" s="3">
        <f>C681 - D681</f>
        <v>-1</v>
      </c>
      <c r="P681" s="38">
        <v>40834</v>
      </c>
    </row>
    <row r="682" spans="2:16" x14ac:dyDescent="0.35">
      <c r="B682" s="38">
        <v>37182</v>
      </c>
      <c r="C682" s="3">
        <v>1</v>
      </c>
      <c r="D682" s="3">
        <v>0</v>
      </c>
      <c r="E682" s="3">
        <f>C682 - D682</f>
        <v>1</v>
      </c>
      <c r="P682" s="38">
        <v>40835</v>
      </c>
    </row>
    <row r="683" spans="2:16" x14ac:dyDescent="0.35">
      <c r="B683" s="38">
        <v>37183</v>
      </c>
      <c r="C683" s="3">
        <v>1</v>
      </c>
      <c r="D683" s="3">
        <v>1</v>
      </c>
      <c r="E683" s="3">
        <f>C683 - D683</f>
        <v>0</v>
      </c>
      <c r="P683" s="38">
        <v>40836</v>
      </c>
    </row>
    <row r="684" spans="2:16" x14ac:dyDescent="0.35">
      <c r="B684" s="38">
        <v>37184</v>
      </c>
      <c r="C684" s="3">
        <v>1</v>
      </c>
      <c r="D684" s="3">
        <v>1</v>
      </c>
      <c r="E684" s="3">
        <f>C684 - D684</f>
        <v>0</v>
      </c>
      <c r="P684" s="38">
        <v>40837</v>
      </c>
    </row>
    <row r="685" spans="2:16" x14ac:dyDescent="0.35">
      <c r="B685" s="38">
        <v>37185</v>
      </c>
      <c r="C685" s="3">
        <v>0</v>
      </c>
      <c r="D685" s="3">
        <v>1</v>
      </c>
      <c r="E685" s="3">
        <f>C685 - D685</f>
        <v>-1</v>
      </c>
      <c r="P685" s="38">
        <v>40838</v>
      </c>
    </row>
    <row r="686" spans="2:16" x14ac:dyDescent="0.35">
      <c r="B686" s="38">
        <v>37186</v>
      </c>
      <c r="C686" s="3">
        <v>0</v>
      </c>
      <c r="D686" s="3">
        <v>0</v>
      </c>
      <c r="E686" s="3">
        <f>C686 - D686</f>
        <v>0</v>
      </c>
      <c r="P686" s="38">
        <v>40839</v>
      </c>
    </row>
    <row r="687" spans="2:16" x14ac:dyDescent="0.35">
      <c r="B687" s="38">
        <v>37187</v>
      </c>
      <c r="C687" s="3">
        <v>0</v>
      </c>
      <c r="D687" s="3">
        <v>0</v>
      </c>
      <c r="E687" s="3">
        <f>C687 - D687</f>
        <v>0</v>
      </c>
      <c r="P687" s="38">
        <v>40840</v>
      </c>
    </row>
    <row r="688" spans="2:16" x14ac:dyDescent="0.35">
      <c r="B688" s="38">
        <v>37188</v>
      </c>
      <c r="C688" s="3">
        <v>1</v>
      </c>
      <c r="D688" s="3">
        <v>0</v>
      </c>
      <c r="E688" s="3">
        <f>C688 - D688</f>
        <v>1</v>
      </c>
      <c r="P688" s="38">
        <v>40841</v>
      </c>
    </row>
    <row r="689" spans="2:16" x14ac:dyDescent="0.35">
      <c r="B689" s="38">
        <v>37189</v>
      </c>
      <c r="C689" s="3">
        <v>0</v>
      </c>
      <c r="D689" s="3">
        <v>1</v>
      </c>
      <c r="E689" s="3">
        <f>C689 - D689</f>
        <v>-1</v>
      </c>
      <c r="P689" s="38">
        <v>40842</v>
      </c>
    </row>
    <row r="690" spans="2:16" x14ac:dyDescent="0.35">
      <c r="B690" s="38">
        <v>37190</v>
      </c>
      <c r="C690" s="3">
        <v>1</v>
      </c>
      <c r="D690" s="3">
        <v>0</v>
      </c>
      <c r="E690" s="3">
        <f>C690 - D690</f>
        <v>1</v>
      </c>
      <c r="P690" s="38">
        <v>40843</v>
      </c>
    </row>
    <row r="691" spans="2:16" x14ac:dyDescent="0.35">
      <c r="B691" s="38">
        <v>37191</v>
      </c>
      <c r="C691" s="3">
        <v>1</v>
      </c>
      <c r="D691" s="3">
        <v>1</v>
      </c>
      <c r="E691" s="3">
        <f>C691 - D691</f>
        <v>0</v>
      </c>
      <c r="P691" s="38">
        <v>40844</v>
      </c>
    </row>
    <row r="692" spans="2:16" x14ac:dyDescent="0.35">
      <c r="B692" s="38">
        <v>37192</v>
      </c>
      <c r="C692" s="3">
        <v>1</v>
      </c>
      <c r="D692" s="3">
        <v>1</v>
      </c>
      <c r="E692" s="3">
        <f>C692 - D692</f>
        <v>0</v>
      </c>
      <c r="P692" s="38">
        <v>40845</v>
      </c>
    </row>
    <row r="693" spans="2:16" x14ac:dyDescent="0.35">
      <c r="B693" s="38">
        <v>37193</v>
      </c>
      <c r="C693" s="3">
        <v>0</v>
      </c>
      <c r="D693" s="3">
        <v>1</v>
      </c>
      <c r="E693" s="3">
        <f>C693 - D693</f>
        <v>-1</v>
      </c>
      <c r="P693" s="38">
        <v>40846</v>
      </c>
    </row>
    <row r="694" spans="2:16" x14ac:dyDescent="0.35">
      <c r="B694" s="38">
        <v>37194</v>
      </c>
      <c r="C694" s="3">
        <v>1</v>
      </c>
      <c r="D694" s="3">
        <v>0</v>
      </c>
      <c r="E694" s="3">
        <f>C694 - D694</f>
        <v>1</v>
      </c>
      <c r="P694" s="38">
        <v>40847</v>
      </c>
    </row>
    <row r="695" spans="2:16" x14ac:dyDescent="0.35">
      <c r="B695" s="38">
        <v>37195</v>
      </c>
      <c r="C695" s="3">
        <v>1</v>
      </c>
      <c r="D695" s="3">
        <v>1</v>
      </c>
      <c r="E695" s="3">
        <f>C695 - D695</f>
        <v>0</v>
      </c>
    </row>
    <row r="696" spans="2:16" x14ac:dyDescent="0.35">
      <c r="B696" s="38">
        <v>37196</v>
      </c>
      <c r="C696" s="3">
        <v>1</v>
      </c>
      <c r="D696" s="3">
        <v>1</v>
      </c>
      <c r="E696" s="3">
        <f>C696 - D696</f>
        <v>0</v>
      </c>
    </row>
    <row r="697" spans="2:16" x14ac:dyDescent="0.35">
      <c r="B697" s="38">
        <v>37197</v>
      </c>
      <c r="C697" s="3">
        <v>0</v>
      </c>
      <c r="D697" s="3">
        <v>1</v>
      </c>
      <c r="E697" s="3">
        <f>C697 - D697</f>
        <v>-1</v>
      </c>
    </row>
    <row r="698" spans="2:16" x14ac:dyDescent="0.35">
      <c r="B698" s="38">
        <v>37198</v>
      </c>
      <c r="C698" s="3">
        <v>0</v>
      </c>
      <c r="D698" s="3">
        <v>0</v>
      </c>
      <c r="E698" s="3">
        <f>C698 - D698</f>
        <v>0</v>
      </c>
    </row>
    <row r="699" spans="2:16" x14ac:dyDescent="0.35">
      <c r="B699" s="38">
        <v>37199</v>
      </c>
      <c r="C699" s="3">
        <v>0</v>
      </c>
      <c r="D699" s="3">
        <v>0</v>
      </c>
      <c r="E699" s="3">
        <f>C699 - D699</f>
        <v>0</v>
      </c>
    </row>
    <row r="700" spans="2:16" x14ac:dyDescent="0.35">
      <c r="B700" s="38">
        <v>37200</v>
      </c>
      <c r="C700" s="3">
        <v>0</v>
      </c>
      <c r="D700" s="3">
        <v>0</v>
      </c>
      <c r="E700" s="3">
        <f>C700 - D700</f>
        <v>0</v>
      </c>
    </row>
    <row r="701" spans="2:16" x14ac:dyDescent="0.35">
      <c r="B701" s="38">
        <v>37201</v>
      </c>
      <c r="C701" s="3">
        <v>1</v>
      </c>
      <c r="D701" s="3">
        <v>0</v>
      </c>
      <c r="E701" s="3">
        <f>C701 - D701</f>
        <v>1</v>
      </c>
    </row>
    <row r="702" spans="2:16" x14ac:dyDescent="0.35">
      <c r="B702" s="38">
        <v>37202</v>
      </c>
      <c r="C702" s="3">
        <v>1</v>
      </c>
      <c r="D702" s="3">
        <v>1</v>
      </c>
      <c r="E702" s="3">
        <f>C702 - D702</f>
        <v>0</v>
      </c>
    </row>
    <row r="703" spans="2:16" x14ac:dyDescent="0.35">
      <c r="B703" s="38">
        <v>37203</v>
      </c>
      <c r="C703" s="3">
        <v>1</v>
      </c>
      <c r="D703" s="3">
        <v>1</v>
      </c>
      <c r="E703" s="3">
        <f>C703 - D703</f>
        <v>0</v>
      </c>
    </row>
    <row r="704" spans="2:16" x14ac:dyDescent="0.35">
      <c r="B704" s="38">
        <v>37204</v>
      </c>
      <c r="C704" s="3">
        <v>1</v>
      </c>
      <c r="D704" s="3">
        <v>1</v>
      </c>
      <c r="E704" s="3">
        <f>C704 - D704</f>
        <v>0</v>
      </c>
    </row>
    <row r="705" spans="2:5" x14ac:dyDescent="0.35">
      <c r="B705" s="38">
        <v>37205</v>
      </c>
      <c r="C705" s="3">
        <v>0</v>
      </c>
      <c r="D705" s="3">
        <v>1</v>
      </c>
      <c r="E705" s="3">
        <f>C705 - D705</f>
        <v>-1</v>
      </c>
    </row>
    <row r="706" spans="2:5" x14ac:dyDescent="0.35">
      <c r="B706" s="38">
        <v>37206</v>
      </c>
      <c r="C706" s="3">
        <v>1</v>
      </c>
      <c r="D706" s="3">
        <v>0</v>
      </c>
      <c r="E706" s="3">
        <f>C706 - D706</f>
        <v>1</v>
      </c>
    </row>
    <row r="707" spans="2:5" x14ac:dyDescent="0.35">
      <c r="B707" s="38">
        <v>37207</v>
      </c>
      <c r="C707" s="3">
        <v>1</v>
      </c>
      <c r="D707" s="3">
        <v>1</v>
      </c>
      <c r="E707" s="3">
        <f>C707 - D707</f>
        <v>0</v>
      </c>
    </row>
    <row r="708" spans="2:5" x14ac:dyDescent="0.35">
      <c r="B708" s="38">
        <v>37208</v>
      </c>
      <c r="C708" s="3">
        <v>1</v>
      </c>
      <c r="D708" s="3">
        <v>1</v>
      </c>
      <c r="E708" s="3">
        <f>C708 - D708</f>
        <v>0</v>
      </c>
    </row>
    <row r="709" spans="2:5" x14ac:dyDescent="0.35">
      <c r="B709" s="38">
        <v>37209</v>
      </c>
      <c r="C709" s="3">
        <v>0</v>
      </c>
      <c r="D709" s="3">
        <v>1</v>
      </c>
      <c r="E709" s="3">
        <f>C709 - D709</f>
        <v>-1</v>
      </c>
    </row>
    <row r="710" spans="2:5" x14ac:dyDescent="0.35">
      <c r="B710" s="38">
        <v>37210</v>
      </c>
      <c r="C710" s="3">
        <v>0</v>
      </c>
      <c r="D710" s="3">
        <v>0</v>
      </c>
      <c r="E710" s="3">
        <f>C710 - D710</f>
        <v>0</v>
      </c>
    </row>
    <row r="711" spans="2:5" x14ac:dyDescent="0.35">
      <c r="B711" s="38">
        <v>37211</v>
      </c>
      <c r="C711" s="3">
        <v>0</v>
      </c>
      <c r="D711" s="3">
        <v>0</v>
      </c>
      <c r="E711" s="3">
        <f>C711 - D711</f>
        <v>0</v>
      </c>
    </row>
    <row r="712" spans="2:5" x14ac:dyDescent="0.35">
      <c r="B712" s="38">
        <v>37212</v>
      </c>
      <c r="C712" s="3">
        <v>0</v>
      </c>
      <c r="D712" s="3">
        <v>0</v>
      </c>
      <c r="E712" s="3">
        <f>C712 - D712</f>
        <v>0</v>
      </c>
    </row>
    <row r="713" spans="2:5" x14ac:dyDescent="0.35">
      <c r="B713" s="38">
        <v>37213</v>
      </c>
      <c r="C713" s="3">
        <v>1</v>
      </c>
      <c r="D713" s="3">
        <v>0</v>
      </c>
      <c r="E713" s="3">
        <f>C713 - D713</f>
        <v>1</v>
      </c>
    </row>
    <row r="714" spans="2:5" x14ac:dyDescent="0.35">
      <c r="B714" s="38">
        <v>37214</v>
      </c>
      <c r="C714" s="3">
        <v>1</v>
      </c>
      <c r="D714" s="3">
        <v>1</v>
      </c>
      <c r="E714" s="3">
        <f>C714 - D714</f>
        <v>0</v>
      </c>
    </row>
    <row r="715" spans="2:5" x14ac:dyDescent="0.35">
      <c r="B715" s="38">
        <v>37215</v>
      </c>
      <c r="C715" s="3">
        <v>0</v>
      </c>
      <c r="D715" s="3">
        <v>1</v>
      </c>
      <c r="E715" s="3">
        <f>C715 - D715</f>
        <v>-1</v>
      </c>
    </row>
    <row r="716" spans="2:5" x14ac:dyDescent="0.35">
      <c r="B716" s="38">
        <v>37216</v>
      </c>
      <c r="C716" s="3">
        <v>0</v>
      </c>
      <c r="D716" s="3">
        <v>0</v>
      </c>
      <c r="E716" s="3">
        <f>C716 - D716</f>
        <v>0</v>
      </c>
    </row>
    <row r="717" spans="2:5" x14ac:dyDescent="0.35">
      <c r="B717" s="38">
        <v>37217</v>
      </c>
      <c r="C717" s="3">
        <v>0</v>
      </c>
      <c r="D717" s="3">
        <v>0</v>
      </c>
      <c r="E717" s="3">
        <f>C717 - D717</f>
        <v>0</v>
      </c>
    </row>
    <row r="718" spans="2:5" x14ac:dyDescent="0.35">
      <c r="B718" s="38">
        <v>37218</v>
      </c>
      <c r="C718" s="3">
        <v>0</v>
      </c>
      <c r="D718" s="3">
        <v>0</v>
      </c>
      <c r="E718" s="3">
        <f>C718 - D718</f>
        <v>0</v>
      </c>
    </row>
    <row r="719" spans="2:5" x14ac:dyDescent="0.35">
      <c r="B719" s="38">
        <v>37219</v>
      </c>
      <c r="C719" s="3">
        <v>1</v>
      </c>
      <c r="D719" s="3">
        <v>0</v>
      </c>
      <c r="E719" s="3">
        <f>C719 - D719</f>
        <v>1</v>
      </c>
    </row>
    <row r="720" spans="2:5" x14ac:dyDescent="0.35">
      <c r="B720" s="38">
        <v>37220</v>
      </c>
      <c r="C720" s="3">
        <v>1</v>
      </c>
      <c r="D720" s="3">
        <v>1</v>
      </c>
      <c r="E720" s="3">
        <f>C720 - D720</f>
        <v>0</v>
      </c>
    </row>
    <row r="721" spans="2:5" x14ac:dyDescent="0.35">
      <c r="B721" s="38">
        <v>37221</v>
      </c>
      <c r="C721" s="3">
        <v>1</v>
      </c>
      <c r="D721" s="3">
        <v>1</v>
      </c>
      <c r="E721" s="3">
        <f>C721 - D721</f>
        <v>0</v>
      </c>
    </row>
    <row r="722" spans="2:5" x14ac:dyDescent="0.35">
      <c r="B722" s="38">
        <v>37222</v>
      </c>
      <c r="C722" s="3">
        <v>1</v>
      </c>
      <c r="D722" s="3">
        <v>1</v>
      </c>
      <c r="E722" s="3">
        <f>C722 - D722</f>
        <v>0</v>
      </c>
    </row>
    <row r="723" spans="2:5" x14ac:dyDescent="0.35">
      <c r="B723" s="38">
        <v>37223</v>
      </c>
      <c r="C723" s="3">
        <v>0</v>
      </c>
      <c r="D723" s="3">
        <v>1</v>
      </c>
      <c r="E723" s="3">
        <f>C723 - D723</f>
        <v>-1</v>
      </c>
    </row>
    <row r="724" spans="2:5" x14ac:dyDescent="0.35">
      <c r="B724" s="38">
        <v>37224</v>
      </c>
      <c r="C724" s="3">
        <v>0</v>
      </c>
      <c r="D724" s="3">
        <v>0</v>
      </c>
      <c r="E724" s="3">
        <f>C724 - D724</f>
        <v>0</v>
      </c>
    </row>
    <row r="725" spans="2:5" x14ac:dyDescent="0.35">
      <c r="B725" s="38">
        <v>37225</v>
      </c>
      <c r="C725" s="3">
        <v>1</v>
      </c>
      <c r="D725" s="3">
        <v>0</v>
      </c>
      <c r="E725" s="3">
        <f>C725 - D725</f>
        <v>1</v>
      </c>
    </row>
    <row r="726" spans="2:5" x14ac:dyDescent="0.35">
      <c r="B726" s="38">
        <v>37226</v>
      </c>
      <c r="C726" s="3">
        <v>1</v>
      </c>
      <c r="D726" s="3">
        <v>1</v>
      </c>
      <c r="E726" s="3">
        <f>C726 - D726</f>
        <v>0</v>
      </c>
    </row>
    <row r="727" spans="2:5" x14ac:dyDescent="0.35">
      <c r="B727" s="38">
        <v>37227</v>
      </c>
      <c r="C727" s="3">
        <v>0</v>
      </c>
      <c r="D727" s="3">
        <v>1</v>
      </c>
      <c r="E727" s="3">
        <f>C727 - D727</f>
        <v>-1</v>
      </c>
    </row>
    <row r="728" spans="2:5" x14ac:dyDescent="0.35">
      <c r="B728" s="38">
        <v>37228</v>
      </c>
      <c r="C728" s="3">
        <v>1</v>
      </c>
      <c r="D728" s="3">
        <v>0</v>
      </c>
      <c r="E728" s="3">
        <f>C728 - D728</f>
        <v>1</v>
      </c>
    </row>
    <row r="729" spans="2:5" x14ac:dyDescent="0.35">
      <c r="B729" s="38">
        <v>37229</v>
      </c>
      <c r="C729" s="3">
        <v>1</v>
      </c>
      <c r="D729" s="3">
        <v>1</v>
      </c>
      <c r="E729" s="3">
        <f>C729 - D729</f>
        <v>0</v>
      </c>
    </row>
    <row r="730" spans="2:5" x14ac:dyDescent="0.35">
      <c r="B730" s="38">
        <v>37230</v>
      </c>
      <c r="C730" s="3">
        <v>0</v>
      </c>
      <c r="D730" s="3">
        <v>1</v>
      </c>
      <c r="E730" s="3">
        <f>C730 - D730</f>
        <v>-1</v>
      </c>
    </row>
    <row r="731" spans="2:5" x14ac:dyDescent="0.35">
      <c r="B731" s="38">
        <v>37231</v>
      </c>
      <c r="C731" s="3">
        <v>0</v>
      </c>
      <c r="D731" s="3">
        <v>0</v>
      </c>
      <c r="E731" s="3">
        <f>C731 - D731</f>
        <v>0</v>
      </c>
    </row>
    <row r="732" spans="2:5" x14ac:dyDescent="0.35">
      <c r="B732" s="38">
        <v>37232</v>
      </c>
      <c r="C732" s="3">
        <v>1</v>
      </c>
      <c r="D732" s="3">
        <v>0</v>
      </c>
      <c r="E732" s="3">
        <f>C732 - D732</f>
        <v>1</v>
      </c>
    </row>
    <row r="733" spans="2:5" x14ac:dyDescent="0.35">
      <c r="B733" s="38">
        <v>37233</v>
      </c>
      <c r="C733" s="3">
        <v>1</v>
      </c>
      <c r="D733" s="3">
        <v>1</v>
      </c>
      <c r="E733" s="3">
        <f>C733 - D733</f>
        <v>0</v>
      </c>
    </row>
    <row r="734" spans="2:5" x14ac:dyDescent="0.35">
      <c r="B734" s="38">
        <v>37234</v>
      </c>
      <c r="C734" s="3">
        <v>0</v>
      </c>
      <c r="D734" s="3">
        <v>1</v>
      </c>
      <c r="E734" s="3">
        <f>C734 - D734</f>
        <v>-1</v>
      </c>
    </row>
    <row r="735" spans="2:5" x14ac:dyDescent="0.35">
      <c r="B735" s="38">
        <v>37235</v>
      </c>
      <c r="C735" s="3">
        <v>0</v>
      </c>
      <c r="D735" s="3">
        <v>0</v>
      </c>
      <c r="E735" s="3">
        <f>C735 - D735</f>
        <v>0</v>
      </c>
    </row>
    <row r="736" spans="2:5" x14ac:dyDescent="0.35">
      <c r="B736" s="38">
        <v>37236</v>
      </c>
      <c r="C736" s="3">
        <v>1</v>
      </c>
      <c r="D736" s="3">
        <v>0</v>
      </c>
      <c r="E736" s="3">
        <f>C736 - D736</f>
        <v>1</v>
      </c>
    </row>
    <row r="737" spans="2:5" x14ac:dyDescent="0.35">
      <c r="B737" s="38">
        <v>37237</v>
      </c>
      <c r="C737" s="3">
        <v>1</v>
      </c>
      <c r="D737" s="3">
        <v>1</v>
      </c>
      <c r="E737" s="3">
        <f>C737 - D737</f>
        <v>0</v>
      </c>
    </row>
    <row r="738" spans="2:5" x14ac:dyDescent="0.35">
      <c r="B738" s="38">
        <v>37238</v>
      </c>
      <c r="C738" s="3">
        <v>1</v>
      </c>
      <c r="D738" s="3">
        <v>1</v>
      </c>
      <c r="E738" s="3">
        <f>C738 - D738</f>
        <v>0</v>
      </c>
    </row>
    <row r="739" spans="2:5" x14ac:dyDescent="0.35">
      <c r="B739" s="38">
        <v>37239</v>
      </c>
      <c r="C739" s="3">
        <v>0</v>
      </c>
      <c r="D739" s="3">
        <v>1</v>
      </c>
      <c r="E739" s="3">
        <f>C739 - D739</f>
        <v>-1</v>
      </c>
    </row>
    <row r="740" spans="2:5" x14ac:dyDescent="0.35">
      <c r="B740" s="38">
        <v>37240</v>
      </c>
      <c r="C740" s="3">
        <v>0</v>
      </c>
      <c r="D740" s="3">
        <v>0</v>
      </c>
      <c r="E740" s="3">
        <f>C740 - D740</f>
        <v>0</v>
      </c>
    </row>
    <row r="741" spans="2:5" x14ac:dyDescent="0.35">
      <c r="B741" s="38">
        <v>37241</v>
      </c>
      <c r="C741" s="3">
        <v>0</v>
      </c>
      <c r="D741" s="3">
        <v>0</v>
      </c>
      <c r="E741" s="3">
        <f>C741 - D741</f>
        <v>0</v>
      </c>
    </row>
    <row r="742" spans="2:5" x14ac:dyDescent="0.35">
      <c r="B742" s="38">
        <v>37242</v>
      </c>
      <c r="C742" s="3">
        <v>0</v>
      </c>
      <c r="D742" s="3">
        <v>0</v>
      </c>
      <c r="E742" s="3">
        <f>C742 - D742</f>
        <v>0</v>
      </c>
    </row>
    <row r="743" spans="2:5" x14ac:dyDescent="0.35">
      <c r="B743" s="38">
        <v>37243</v>
      </c>
      <c r="C743" s="3">
        <v>0</v>
      </c>
      <c r="D743" s="3">
        <v>0</v>
      </c>
      <c r="E743" s="3">
        <f>C743 - D743</f>
        <v>0</v>
      </c>
    </row>
    <row r="744" spans="2:5" x14ac:dyDescent="0.35">
      <c r="B744" s="38">
        <v>37244</v>
      </c>
      <c r="C744" s="3">
        <v>0</v>
      </c>
      <c r="D744" s="3">
        <v>0</v>
      </c>
      <c r="E744" s="3">
        <f>C744 - D744</f>
        <v>0</v>
      </c>
    </row>
    <row r="745" spans="2:5" x14ac:dyDescent="0.35">
      <c r="B745" s="38">
        <v>37245</v>
      </c>
      <c r="C745" s="3">
        <v>0</v>
      </c>
      <c r="D745" s="3">
        <v>0</v>
      </c>
      <c r="E745" s="3">
        <f>C745 - D745</f>
        <v>0</v>
      </c>
    </row>
    <row r="746" spans="2:5" x14ac:dyDescent="0.35">
      <c r="B746" s="38">
        <v>37246</v>
      </c>
      <c r="C746" s="3">
        <v>0</v>
      </c>
      <c r="D746" s="3">
        <v>0</v>
      </c>
      <c r="E746" s="3">
        <f>C746 - D746</f>
        <v>0</v>
      </c>
    </row>
    <row r="747" spans="2:5" x14ac:dyDescent="0.35">
      <c r="B747" s="38">
        <v>37247</v>
      </c>
      <c r="C747" s="3">
        <v>0</v>
      </c>
      <c r="D747" s="3">
        <v>0</v>
      </c>
      <c r="E747" s="3">
        <f>C747 - D747</f>
        <v>0</v>
      </c>
    </row>
    <row r="748" spans="2:5" x14ac:dyDescent="0.35">
      <c r="B748" s="38">
        <v>37248</v>
      </c>
      <c r="C748" s="3">
        <v>0</v>
      </c>
      <c r="D748" s="3">
        <v>0</v>
      </c>
      <c r="E748" s="3">
        <f>C748 - D748</f>
        <v>0</v>
      </c>
    </row>
    <row r="749" spans="2:5" x14ac:dyDescent="0.35">
      <c r="B749" s="38">
        <v>37249</v>
      </c>
      <c r="C749" s="3">
        <v>1</v>
      </c>
      <c r="D749" s="3">
        <v>0</v>
      </c>
      <c r="E749" s="3">
        <f>C749 - D749</f>
        <v>1</v>
      </c>
    </row>
    <row r="750" spans="2:5" x14ac:dyDescent="0.35">
      <c r="B750" s="38">
        <v>37250</v>
      </c>
      <c r="C750" s="3">
        <v>0</v>
      </c>
      <c r="D750" s="3">
        <v>1</v>
      </c>
      <c r="E750" s="3">
        <f>C750 - D750</f>
        <v>-1</v>
      </c>
    </row>
    <row r="751" spans="2:5" x14ac:dyDescent="0.35">
      <c r="B751" s="38">
        <v>37251</v>
      </c>
      <c r="C751" s="3">
        <v>1</v>
      </c>
      <c r="D751" s="3">
        <v>0</v>
      </c>
      <c r="E751" s="3">
        <f>C751 - D751</f>
        <v>1</v>
      </c>
    </row>
    <row r="752" spans="2:5" x14ac:dyDescent="0.35">
      <c r="B752" s="38">
        <v>37252</v>
      </c>
      <c r="C752" s="3">
        <v>1</v>
      </c>
      <c r="D752" s="3">
        <v>1</v>
      </c>
      <c r="E752" s="3">
        <f>C752 - D752</f>
        <v>0</v>
      </c>
    </row>
    <row r="753" spans="2:5" x14ac:dyDescent="0.35">
      <c r="B753" s="38">
        <v>37253</v>
      </c>
      <c r="C753" s="3">
        <v>1</v>
      </c>
      <c r="D753" s="3">
        <v>1</v>
      </c>
      <c r="E753" s="3">
        <f>C753 - D753</f>
        <v>0</v>
      </c>
    </row>
    <row r="754" spans="2:5" x14ac:dyDescent="0.35">
      <c r="B754" s="38">
        <v>37254</v>
      </c>
      <c r="C754" s="3">
        <v>0</v>
      </c>
      <c r="D754" s="3">
        <v>1</v>
      </c>
      <c r="E754" s="3">
        <f>C754 - D754</f>
        <v>-1</v>
      </c>
    </row>
    <row r="755" spans="2:5" x14ac:dyDescent="0.35">
      <c r="B755" s="38">
        <v>37255</v>
      </c>
      <c r="C755" s="3">
        <v>0</v>
      </c>
      <c r="D755" s="3">
        <v>0</v>
      </c>
      <c r="E755" s="3">
        <f>C755 - D755</f>
        <v>0</v>
      </c>
    </row>
    <row r="756" spans="2:5" x14ac:dyDescent="0.35">
      <c r="B756" s="38">
        <v>37256</v>
      </c>
      <c r="C756" s="3">
        <v>0</v>
      </c>
      <c r="D756" s="3">
        <v>0</v>
      </c>
      <c r="E756" s="3">
        <f>C756 - D756</f>
        <v>0</v>
      </c>
    </row>
    <row r="757" spans="2:5" x14ac:dyDescent="0.35">
      <c r="B757" s="38">
        <v>37257</v>
      </c>
      <c r="C757" s="3">
        <v>1</v>
      </c>
      <c r="D757" s="3">
        <v>0</v>
      </c>
      <c r="E757" s="3">
        <f>C757 - D757</f>
        <v>1</v>
      </c>
    </row>
    <row r="758" spans="2:5" x14ac:dyDescent="0.35">
      <c r="B758" s="38">
        <v>37258</v>
      </c>
      <c r="C758" s="3">
        <v>1</v>
      </c>
      <c r="D758" s="3">
        <v>1</v>
      </c>
      <c r="E758" s="3">
        <f>C758 - D758</f>
        <v>0</v>
      </c>
    </row>
    <row r="759" spans="2:5" x14ac:dyDescent="0.35">
      <c r="B759" s="38">
        <v>37259</v>
      </c>
      <c r="C759" s="3">
        <v>1</v>
      </c>
      <c r="D759" s="3">
        <v>1</v>
      </c>
      <c r="E759" s="3">
        <f>C759 - D759</f>
        <v>0</v>
      </c>
    </row>
    <row r="760" spans="2:5" x14ac:dyDescent="0.35">
      <c r="B760" s="38">
        <v>37260</v>
      </c>
      <c r="C760" s="3">
        <v>0</v>
      </c>
      <c r="D760" s="3">
        <v>1</v>
      </c>
      <c r="E760" s="3">
        <f>C760 - D760</f>
        <v>-1</v>
      </c>
    </row>
    <row r="761" spans="2:5" x14ac:dyDescent="0.35">
      <c r="B761" s="38">
        <v>37261</v>
      </c>
      <c r="C761" s="3">
        <v>0</v>
      </c>
      <c r="D761" s="3">
        <v>0</v>
      </c>
      <c r="E761" s="3">
        <f>C761 - D761</f>
        <v>0</v>
      </c>
    </row>
    <row r="762" spans="2:5" x14ac:dyDescent="0.35">
      <c r="B762" s="38">
        <v>37262</v>
      </c>
      <c r="C762" s="3">
        <v>0</v>
      </c>
      <c r="D762" s="3">
        <v>0</v>
      </c>
      <c r="E762" s="3">
        <f>C762 - D762</f>
        <v>0</v>
      </c>
    </row>
    <row r="763" spans="2:5" x14ac:dyDescent="0.35">
      <c r="B763" s="38">
        <v>37263</v>
      </c>
      <c r="C763" s="3">
        <v>1</v>
      </c>
      <c r="D763" s="3">
        <v>0</v>
      </c>
      <c r="E763" s="3">
        <f>C763 - D763</f>
        <v>1</v>
      </c>
    </row>
    <row r="764" spans="2:5" x14ac:dyDescent="0.35">
      <c r="B764" s="38">
        <v>37264</v>
      </c>
      <c r="C764" s="3">
        <v>0</v>
      </c>
      <c r="D764" s="3">
        <v>1</v>
      </c>
      <c r="E764" s="3">
        <f>C764 - D764</f>
        <v>-1</v>
      </c>
    </row>
    <row r="765" spans="2:5" x14ac:dyDescent="0.35">
      <c r="B765" s="38">
        <v>37265</v>
      </c>
      <c r="C765" s="3">
        <v>0</v>
      </c>
      <c r="D765" s="3">
        <v>0</v>
      </c>
      <c r="E765" s="3">
        <f>C765 - D765</f>
        <v>0</v>
      </c>
    </row>
    <row r="766" spans="2:5" x14ac:dyDescent="0.35">
      <c r="B766" s="38">
        <v>37266</v>
      </c>
      <c r="C766" s="3">
        <v>0</v>
      </c>
      <c r="D766" s="3">
        <v>0</v>
      </c>
      <c r="E766" s="3">
        <f>C766 - D766</f>
        <v>0</v>
      </c>
    </row>
    <row r="767" spans="2:5" x14ac:dyDescent="0.35">
      <c r="B767" s="38">
        <v>37267</v>
      </c>
      <c r="C767" s="3">
        <v>0</v>
      </c>
      <c r="D767" s="3">
        <v>0</v>
      </c>
      <c r="E767" s="3">
        <f>C767 - D767</f>
        <v>0</v>
      </c>
    </row>
    <row r="768" spans="2:5" x14ac:dyDescent="0.35">
      <c r="B768" s="38">
        <v>37268</v>
      </c>
      <c r="C768" s="3">
        <v>0</v>
      </c>
      <c r="D768" s="3">
        <v>0</v>
      </c>
      <c r="E768" s="3">
        <f>C768 - D768</f>
        <v>0</v>
      </c>
    </row>
    <row r="769" spans="2:5" x14ac:dyDescent="0.35">
      <c r="B769" s="38">
        <v>37269</v>
      </c>
      <c r="C769" s="3">
        <v>1</v>
      </c>
      <c r="D769" s="3">
        <v>0</v>
      </c>
      <c r="E769" s="3">
        <f>C769 - D769</f>
        <v>1</v>
      </c>
    </row>
    <row r="770" spans="2:5" x14ac:dyDescent="0.35">
      <c r="B770" s="38">
        <v>37270</v>
      </c>
      <c r="C770" s="3">
        <v>1</v>
      </c>
      <c r="D770" s="3">
        <v>1</v>
      </c>
      <c r="E770" s="3">
        <f>C770 - D770</f>
        <v>0</v>
      </c>
    </row>
    <row r="771" spans="2:5" x14ac:dyDescent="0.35">
      <c r="B771" s="38">
        <v>37271</v>
      </c>
      <c r="C771" s="3">
        <v>0</v>
      </c>
      <c r="D771" s="3">
        <v>1</v>
      </c>
      <c r="E771" s="3">
        <f>C771 - D771</f>
        <v>-1</v>
      </c>
    </row>
    <row r="772" spans="2:5" x14ac:dyDescent="0.35">
      <c r="B772" s="38">
        <v>37272</v>
      </c>
      <c r="C772" s="3">
        <v>0</v>
      </c>
      <c r="D772" s="3">
        <v>0</v>
      </c>
      <c r="E772" s="3">
        <f>C772 - D772</f>
        <v>0</v>
      </c>
    </row>
    <row r="773" spans="2:5" x14ac:dyDescent="0.35">
      <c r="B773" s="38">
        <v>37273</v>
      </c>
      <c r="C773" s="3">
        <v>0</v>
      </c>
      <c r="D773" s="3">
        <v>0</v>
      </c>
      <c r="E773" s="3">
        <f>C773 - D773</f>
        <v>0</v>
      </c>
    </row>
    <row r="774" spans="2:5" x14ac:dyDescent="0.35">
      <c r="B774" s="38">
        <v>37274</v>
      </c>
      <c r="C774" s="3">
        <v>0</v>
      </c>
      <c r="D774" s="3">
        <v>0</v>
      </c>
      <c r="E774" s="3">
        <f>C774 - D774</f>
        <v>0</v>
      </c>
    </row>
    <row r="775" spans="2:5" x14ac:dyDescent="0.35">
      <c r="B775" s="38">
        <v>37275</v>
      </c>
      <c r="C775" s="3">
        <v>0</v>
      </c>
      <c r="D775" s="3">
        <v>0</v>
      </c>
      <c r="E775" s="3">
        <f>C775 - D775</f>
        <v>0</v>
      </c>
    </row>
    <row r="776" spans="2:5" x14ac:dyDescent="0.35">
      <c r="B776" s="38">
        <v>37276</v>
      </c>
      <c r="C776" s="3">
        <v>0</v>
      </c>
      <c r="D776" s="3">
        <v>0</v>
      </c>
      <c r="E776" s="3">
        <f>C776 - D776</f>
        <v>0</v>
      </c>
    </row>
    <row r="777" spans="2:5" x14ac:dyDescent="0.35">
      <c r="B777" s="38">
        <v>37277</v>
      </c>
      <c r="C777" s="3">
        <v>1</v>
      </c>
      <c r="D777" s="3">
        <v>0</v>
      </c>
      <c r="E777" s="3">
        <f>C777 - D777</f>
        <v>1</v>
      </c>
    </row>
    <row r="778" spans="2:5" x14ac:dyDescent="0.35">
      <c r="B778" s="38">
        <v>37278</v>
      </c>
      <c r="C778" s="3">
        <v>1</v>
      </c>
      <c r="D778" s="3">
        <v>1</v>
      </c>
      <c r="E778" s="3">
        <f>C778 - D778</f>
        <v>0</v>
      </c>
    </row>
    <row r="779" spans="2:5" x14ac:dyDescent="0.35">
      <c r="B779" s="38">
        <v>37279</v>
      </c>
      <c r="C779" s="3">
        <v>1</v>
      </c>
      <c r="D779" s="3">
        <v>1</v>
      </c>
      <c r="E779" s="3">
        <f>C779 - D779</f>
        <v>0</v>
      </c>
    </row>
    <row r="780" spans="2:5" x14ac:dyDescent="0.35">
      <c r="B780" s="38">
        <v>37280</v>
      </c>
      <c r="C780" s="3">
        <v>0</v>
      </c>
      <c r="D780" s="3">
        <v>1</v>
      </c>
      <c r="E780" s="3">
        <f>C780 - D780</f>
        <v>-1</v>
      </c>
    </row>
    <row r="781" spans="2:5" x14ac:dyDescent="0.35">
      <c r="B781" s="38">
        <v>37281</v>
      </c>
      <c r="C781" s="3">
        <v>0</v>
      </c>
      <c r="D781" s="3">
        <v>0</v>
      </c>
      <c r="E781" s="3">
        <f>C781 - D781</f>
        <v>0</v>
      </c>
    </row>
    <row r="782" spans="2:5" x14ac:dyDescent="0.35">
      <c r="B782" s="38">
        <v>37282</v>
      </c>
      <c r="C782" s="3">
        <v>1</v>
      </c>
      <c r="D782" s="3">
        <v>0</v>
      </c>
      <c r="E782" s="3">
        <f>C782 - D782</f>
        <v>1</v>
      </c>
    </row>
    <row r="783" spans="2:5" x14ac:dyDescent="0.35">
      <c r="B783" s="38">
        <v>37283</v>
      </c>
      <c r="C783" s="3">
        <v>1</v>
      </c>
      <c r="D783" s="3">
        <v>1</v>
      </c>
      <c r="E783" s="3">
        <f>C783 - D783</f>
        <v>0</v>
      </c>
    </row>
    <row r="784" spans="2:5" x14ac:dyDescent="0.35">
      <c r="B784" s="38">
        <v>37284</v>
      </c>
      <c r="C784" s="3">
        <v>1</v>
      </c>
      <c r="D784" s="3">
        <v>1</v>
      </c>
      <c r="E784" s="3">
        <f>C784 - D784</f>
        <v>0</v>
      </c>
    </row>
    <row r="785" spans="2:5" x14ac:dyDescent="0.35">
      <c r="B785" s="38">
        <v>37285</v>
      </c>
      <c r="C785" s="3">
        <v>1</v>
      </c>
      <c r="D785" s="3">
        <v>1</v>
      </c>
      <c r="E785" s="3">
        <f>C785 - D785</f>
        <v>0</v>
      </c>
    </row>
    <row r="786" spans="2:5" x14ac:dyDescent="0.35">
      <c r="B786" s="38">
        <v>37286</v>
      </c>
      <c r="C786" s="3">
        <v>1</v>
      </c>
      <c r="D786" s="3">
        <v>1</v>
      </c>
      <c r="E786" s="3">
        <f>C786 - D786</f>
        <v>0</v>
      </c>
    </row>
    <row r="787" spans="2:5" x14ac:dyDescent="0.35">
      <c r="B787" s="38">
        <v>37287</v>
      </c>
      <c r="C787" s="3">
        <v>0</v>
      </c>
      <c r="D787" s="3">
        <v>1</v>
      </c>
      <c r="E787" s="3">
        <f>C787 - D787</f>
        <v>-1</v>
      </c>
    </row>
    <row r="788" spans="2:5" x14ac:dyDescent="0.35">
      <c r="B788" s="38">
        <v>37288</v>
      </c>
      <c r="C788" s="3">
        <v>0</v>
      </c>
      <c r="D788" s="3">
        <v>0</v>
      </c>
      <c r="E788" s="3">
        <f>C788 - D788</f>
        <v>0</v>
      </c>
    </row>
    <row r="789" spans="2:5" x14ac:dyDescent="0.35">
      <c r="B789" s="38">
        <v>37289</v>
      </c>
      <c r="C789" s="3">
        <v>1</v>
      </c>
      <c r="D789" s="3">
        <v>0</v>
      </c>
      <c r="E789" s="3">
        <f>C789 - D789</f>
        <v>1</v>
      </c>
    </row>
    <row r="790" spans="2:5" x14ac:dyDescent="0.35">
      <c r="B790" s="38">
        <v>37290</v>
      </c>
      <c r="C790" s="3">
        <v>1</v>
      </c>
      <c r="D790" s="3">
        <v>1</v>
      </c>
      <c r="E790" s="3">
        <f>C790 - D790</f>
        <v>0</v>
      </c>
    </row>
    <row r="791" spans="2:5" x14ac:dyDescent="0.35">
      <c r="B791" s="38">
        <v>37291</v>
      </c>
      <c r="C791" s="3">
        <v>0</v>
      </c>
      <c r="D791" s="3">
        <v>1</v>
      </c>
      <c r="E791" s="3">
        <f>C791 - D791</f>
        <v>-1</v>
      </c>
    </row>
    <row r="792" spans="2:5" x14ac:dyDescent="0.35">
      <c r="B792" s="38">
        <v>37292</v>
      </c>
      <c r="C792" s="3">
        <v>0</v>
      </c>
      <c r="D792" s="3">
        <v>0</v>
      </c>
      <c r="E792" s="3">
        <f>C792 - D792</f>
        <v>0</v>
      </c>
    </row>
    <row r="793" spans="2:5" x14ac:dyDescent="0.35">
      <c r="B793" s="38">
        <v>37293</v>
      </c>
      <c r="C793" s="3">
        <v>0</v>
      </c>
      <c r="D793" s="3">
        <v>0</v>
      </c>
      <c r="E793" s="3">
        <f>C793 - D793</f>
        <v>0</v>
      </c>
    </row>
    <row r="794" spans="2:5" x14ac:dyDescent="0.35">
      <c r="B794" s="38">
        <v>37294</v>
      </c>
      <c r="C794" s="3">
        <v>0</v>
      </c>
      <c r="D794" s="3">
        <v>0</v>
      </c>
      <c r="E794" s="3">
        <f>C794 - D794</f>
        <v>0</v>
      </c>
    </row>
    <row r="795" spans="2:5" x14ac:dyDescent="0.35">
      <c r="B795" s="38">
        <v>37295</v>
      </c>
      <c r="C795" s="3">
        <v>1</v>
      </c>
      <c r="D795" s="3">
        <v>0</v>
      </c>
      <c r="E795" s="3">
        <f>C795 - D795</f>
        <v>1</v>
      </c>
    </row>
    <row r="796" spans="2:5" x14ac:dyDescent="0.35">
      <c r="B796" s="38">
        <v>37296</v>
      </c>
      <c r="C796" s="3">
        <v>1</v>
      </c>
      <c r="D796" s="3">
        <v>1</v>
      </c>
      <c r="E796" s="3">
        <f>C796 - D796</f>
        <v>0</v>
      </c>
    </row>
    <row r="797" spans="2:5" x14ac:dyDescent="0.35">
      <c r="B797" s="38">
        <v>37297</v>
      </c>
      <c r="C797" s="3">
        <v>1</v>
      </c>
      <c r="D797" s="3">
        <v>1</v>
      </c>
      <c r="E797" s="3">
        <f>C797 - D797</f>
        <v>0</v>
      </c>
    </row>
    <row r="798" spans="2:5" x14ac:dyDescent="0.35">
      <c r="B798" s="38">
        <v>37298</v>
      </c>
      <c r="C798" s="3">
        <v>1</v>
      </c>
      <c r="D798" s="3">
        <v>1</v>
      </c>
      <c r="E798" s="3">
        <f>C798 - D798</f>
        <v>0</v>
      </c>
    </row>
    <row r="799" spans="2:5" x14ac:dyDescent="0.35">
      <c r="B799" s="38">
        <v>37299</v>
      </c>
      <c r="C799" s="3">
        <v>0</v>
      </c>
      <c r="D799" s="3">
        <v>1</v>
      </c>
      <c r="E799" s="3">
        <f>C799 - D799</f>
        <v>-1</v>
      </c>
    </row>
    <row r="800" spans="2:5" x14ac:dyDescent="0.35">
      <c r="B800" s="38">
        <v>37300</v>
      </c>
      <c r="C800" s="3">
        <v>0</v>
      </c>
      <c r="D800" s="3">
        <v>0</v>
      </c>
      <c r="E800" s="3">
        <f>C800 - D800</f>
        <v>0</v>
      </c>
    </row>
    <row r="801" spans="2:5" x14ac:dyDescent="0.35">
      <c r="B801" s="38">
        <v>37301</v>
      </c>
      <c r="C801" s="3">
        <v>0</v>
      </c>
      <c r="D801" s="3">
        <v>0</v>
      </c>
      <c r="E801" s="3">
        <f>C801 - D801</f>
        <v>0</v>
      </c>
    </row>
    <row r="802" spans="2:5" x14ac:dyDescent="0.35">
      <c r="B802" s="38">
        <v>37302</v>
      </c>
      <c r="C802" s="3">
        <v>0</v>
      </c>
      <c r="D802" s="3">
        <v>0</v>
      </c>
      <c r="E802" s="3">
        <f>C802 - D802</f>
        <v>0</v>
      </c>
    </row>
    <row r="803" spans="2:5" x14ac:dyDescent="0.35">
      <c r="B803" s="38">
        <v>37303</v>
      </c>
      <c r="C803" s="3">
        <v>1</v>
      </c>
      <c r="D803" s="3">
        <v>0</v>
      </c>
      <c r="E803" s="3">
        <f>C803 - D803</f>
        <v>1</v>
      </c>
    </row>
    <row r="804" spans="2:5" x14ac:dyDescent="0.35">
      <c r="B804" s="38">
        <v>37304</v>
      </c>
      <c r="C804" s="3">
        <v>0</v>
      </c>
      <c r="D804" s="3">
        <v>1</v>
      </c>
      <c r="E804" s="3">
        <f>C804 - D804</f>
        <v>-1</v>
      </c>
    </row>
    <row r="805" spans="2:5" x14ac:dyDescent="0.35">
      <c r="B805" s="38">
        <v>37305</v>
      </c>
      <c r="C805" s="3">
        <v>0</v>
      </c>
      <c r="D805" s="3">
        <v>0</v>
      </c>
      <c r="E805" s="3">
        <f>C805 - D805</f>
        <v>0</v>
      </c>
    </row>
    <row r="806" spans="2:5" x14ac:dyDescent="0.35">
      <c r="B806" s="38">
        <v>37306</v>
      </c>
      <c r="C806" s="3">
        <v>0</v>
      </c>
      <c r="D806" s="3">
        <v>0</v>
      </c>
      <c r="E806" s="3">
        <f>C806 - D806</f>
        <v>0</v>
      </c>
    </row>
    <row r="807" spans="2:5" x14ac:dyDescent="0.35">
      <c r="B807" s="38">
        <v>37307</v>
      </c>
      <c r="C807" s="3">
        <v>0</v>
      </c>
      <c r="D807" s="3">
        <v>0</v>
      </c>
      <c r="E807" s="3">
        <f>C807 - D807</f>
        <v>0</v>
      </c>
    </row>
    <row r="808" spans="2:5" x14ac:dyDescent="0.35">
      <c r="B808" s="38">
        <v>37308</v>
      </c>
      <c r="C808" s="3">
        <v>1</v>
      </c>
      <c r="D808" s="3">
        <v>0</v>
      </c>
      <c r="E808" s="3">
        <f>C808 - D808</f>
        <v>1</v>
      </c>
    </row>
    <row r="809" spans="2:5" x14ac:dyDescent="0.35">
      <c r="B809" s="38">
        <v>37309</v>
      </c>
      <c r="C809" s="3">
        <v>0</v>
      </c>
      <c r="D809" s="3">
        <v>1</v>
      </c>
      <c r="E809" s="3">
        <f>C809 - D809</f>
        <v>-1</v>
      </c>
    </row>
    <row r="810" spans="2:5" x14ac:dyDescent="0.35">
      <c r="B810" s="38">
        <v>37310</v>
      </c>
      <c r="C810" s="3">
        <v>0</v>
      </c>
      <c r="D810" s="3">
        <v>0</v>
      </c>
      <c r="E810" s="3">
        <f>C810 - D810</f>
        <v>0</v>
      </c>
    </row>
    <row r="811" spans="2:5" x14ac:dyDescent="0.35">
      <c r="B811" s="38">
        <v>37311</v>
      </c>
      <c r="C811" s="3">
        <v>0</v>
      </c>
      <c r="D811" s="3">
        <v>0</v>
      </c>
      <c r="E811" s="3">
        <f>C811 - D811</f>
        <v>0</v>
      </c>
    </row>
    <row r="812" spans="2:5" x14ac:dyDescent="0.35">
      <c r="B812" s="38">
        <v>37312</v>
      </c>
      <c r="C812" s="3">
        <v>0</v>
      </c>
      <c r="D812" s="3">
        <v>0</v>
      </c>
      <c r="E812" s="3">
        <f>C812 - D812</f>
        <v>0</v>
      </c>
    </row>
    <row r="813" spans="2:5" x14ac:dyDescent="0.35">
      <c r="B813" s="38">
        <v>37313</v>
      </c>
      <c r="C813" s="3">
        <v>1</v>
      </c>
      <c r="D813" s="3">
        <v>0</v>
      </c>
      <c r="E813" s="3">
        <f>C813 - D813</f>
        <v>1</v>
      </c>
    </row>
    <row r="814" spans="2:5" x14ac:dyDescent="0.35">
      <c r="B814" s="38">
        <v>37314</v>
      </c>
      <c r="C814" s="3">
        <v>0</v>
      </c>
      <c r="D814" s="3">
        <v>1</v>
      </c>
      <c r="E814" s="3">
        <f>C814 - D814</f>
        <v>-1</v>
      </c>
    </row>
    <row r="815" spans="2:5" x14ac:dyDescent="0.35">
      <c r="B815" s="38">
        <v>37315</v>
      </c>
      <c r="C815" s="3">
        <v>0</v>
      </c>
      <c r="D815" s="3">
        <v>0</v>
      </c>
      <c r="E815" s="3">
        <f>C815 - D815</f>
        <v>0</v>
      </c>
    </row>
    <row r="816" spans="2:5" x14ac:dyDescent="0.35">
      <c r="B816" s="38">
        <v>37316</v>
      </c>
      <c r="C816" s="3">
        <v>0</v>
      </c>
      <c r="D816" s="3">
        <v>0</v>
      </c>
      <c r="E816" s="3">
        <f>C816 - D816</f>
        <v>0</v>
      </c>
    </row>
    <row r="817" spans="2:5" x14ac:dyDescent="0.35">
      <c r="B817" s="38">
        <v>37317</v>
      </c>
      <c r="C817" s="3">
        <v>0</v>
      </c>
      <c r="D817" s="3">
        <v>0</v>
      </c>
      <c r="E817" s="3">
        <f>C817 - D817</f>
        <v>0</v>
      </c>
    </row>
    <row r="818" spans="2:5" x14ac:dyDescent="0.35">
      <c r="B818" s="38">
        <v>37318</v>
      </c>
      <c r="C818" s="3">
        <v>1</v>
      </c>
      <c r="D818" s="3">
        <v>0</v>
      </c>
      <c r="E818" s="3">
        <f>C818 - D818</f>
        <v>1</v>
      </c>
    </row>
    <row r="819" spans="2:5" x14ac:dyDescent="0.35">
      <c r="B819" s="38">
        <v>37319</v>
      </c>
      <c r="C819" s="3">
        <v>1</v>
      </c>
      <c r="D819" s="3">
        <v>1</v>
      </c>
      <c r="E819" s="3">
        <f>C819 - D819</f>
        <v>0</v>
      </c>
    </row>
    <row r="820" spans="2:5" x14ac:dyDescent="0.35">
      <c r="B820" s="38">
        <v>37320</v>
      </c>
      <c r="C820" s="3">
        <v>0</v>
      </c>
      <c r="D820" s="3">
        <v>1</v>
      </c>
      <c r="E820" s="3">
        <f>C820 - D820</f>
        <v>-1</v>
      </c>
    </row>
    <row r="821" spans="2:5" x14ac:dyDescent="0.35">
      <c r="B821" s="38">
        <v>37321</v>
      </c>
      <c r="C821" s="3">
        <v>0</v>
      </c>
      <c r="D821" s="3">
        <v>0</v>
      </c>
      <c r="E821" s="3">
        <f>C821 - D821</f>
        <v>0</v>
      </c>
    </row>
    <row r="822" spans="2:5" x14ac:dyDescent="0.35">
      <c r="B822" s="38">
        <v>37322</v>
      </c>
      <c r="C822" s="3">
        <v>1</v>
      </c>
      <c r="D822" s="3">
        <v>0</v>
      </c>
      <c r="E822" s="3">
        <f>C822 - D822</f>
        <v>1</v>
      </c>
    </row>
    <row r="823" spans="2:5" x14ac:dyDescent="0.35">
      <c r="B823" s="38">
        <v>37323</v>
      </c>
      <c r="C823" s="3">
        <v>0</v>
      </c>
      <c r="D823" s="3">
        <v>1</v>
      </c>
      <c r="E823" s="3">
        <f>C823 - D823</f>
        <v>-1</v>
      </c>
    </row>
    <row r="824" spans="2:5" x14ac:dyDescent="0.35">
      <c r="B824" s="38">
        <v>37324</v>
      </c>
      <c r="C824" s="3">
        <v>0</v>
      </c>
      <c r="D824" s="3">
        <v>0</v>
      </c>
      <c r="E824" s="3">
        <f>C824 - D824</f>
        <v>0</v>
      </c>
    </row>
    <row r="825" spans="2:5" x14ac:dyDescent="0.35">
      <c r="B825" s="38">
        <v>37325</v>
      </c>
      <c r="C825" s="3">
        <v>0</v>
      </c>
      <c r="D825" s="3">
        <v>0</v>
      </c>
      <c r="E825" s="3">
        <f>C825 - D825</f>
        <v>0</v>
      </c>
    </row>
    <row r="826" spans="2:5" x14ac:dyDescent="0.35">
      <c r="B826" s="38">
        <v>37326</v>
      </c>
      <c r="C826" s="3">
        <v>0</v>
      </c>
      <c r="D826" s="3">
        <v>0</v>
      </c>
      <c r="E826" s="3">
        <f>C826 - D826</f>
        <v>0</v>
      </c>
    </row>
    <row r="827" spans="2:5" x14ac:dyDescent="0.35">
      <c r="B827" s="38">
        <v>37327</v>
      </c>
      <c r="C827" s="3">
        <v>1</v>
      </c>
      <c r="D827" s="3">
        <v>0</v>
      </c>
      <c r="E827" s="3">
        <f>C827 - D827</f>
        <v>1</v>
      </c>
    </row>
    <row r="828" spans="2:5" x14ac:dyDescent="0.35">
      <c r="B828" s="38">
        <v>37328</v>
      </c>
      <c r="C828" s="3">
        <v>0</v>
      </c>
      <c r="D828" s="3">
        <v>1</v>
      </c>
      <c r="E828" s="3">
        <f>C828 - D828</f>
        <v>-1</v>
      </c>
    </row>
    <row r="829" spans="2:5" x14ac:dyDescent="0.35">
      <c r="B829" s="38">
        <v>37329</v>
      </c>
      <c r="C829" s="3">
        <v>0</v>
      </c>
      <c r="D829" s="3">
        <v>0</v>
      </c>
      <c r="E829" s="3">
        <f>C829 - D829</f>
        <v>0</v>
      </c>
    </row>
    <row r="830" spans="2:5" x14ac:dyDescent="0.35">
      <c r="B830" s="38">
        <v>37330</v>
      </c>
      <c r="C830" s="3">
        <v>0</v>
      </c>
      <c r="D830" s="3">
        <v>0</v>
      </c>
      <c r="E830" s="3">
        <f>C830 - D830</f>
        <v>0</v>
      </c>
    </row>
    <row r="831" spans="2:5" x14ac:dyDescent="0.35">
      <c r="B831" s="38">
        <v>37331</v>
      </c>
      <c r="C831" s="3">
        <v>0</v>
      </c>
      <c r="D831" s="3">
        <v>0</v>
      </c>
      <c r="E831" s="3">
        <f>C831 - D831</f>
        <v>0</v>
      </c>
    </row>
    <row r="832" spans="2:5" x14ac:dyDescent="0.35">
      <c r="B832" s="38">
        <v>37332</v>
      </c>
      <c r="C832" s="3">
        <v>0</v>
      </c>
      <c r="D832" s="3">
        <v>0</v>
      </c>
      <c r="E832" s="3">
        <f>C832 - D832</f>
        <v>0</v>
      </c>
    </row>
    <row r="833" spans="2:5" x14ac:dyDescent="0.35">
      <c r="B833" s="38">
        <v>37333</v>
      </c>
      <c r="C833" s="3">
        <v>0</v>
      </c>
      <c r="D833" s="3">
        <v>0</v>
      </c>
      <c r="E833" s="3">
        <f>C833 - D833</f>
        <v>0</v>
      </c>
    </row>
    <row r="834" spans="2:5" x14ac:dyDescent="0.35">
      <c r="B834" s="38">
        <v>37334</v>
      </c>
      <c r="C834" s="3">
        <v>0</v>
      </c>
      <c r="D834" s="3">
        <v>0</v>
      </c>
      <c r="E834" s="3">
        <f>C834 - D834</f>
        <v>0</v>
      </c>
    </row>
    <row r="835" spans="2:5" x14ac:dyDescent="0.35">
      <c r="B835" s="38">
        <v>37335</v>
      </c>
      <c r="C835" s="3">
        <v>0</v>
      </c>
      <c r="D835" s="3">
        <v>0</v>
      </c>
      <c r="E835" s="3">
        <f>C835 - D835</f>
        <v>0</v>
      </c>
    </row>
    <row r="836" spans="2:5" x14ac:dyDescent="0.35">
      <c r="B836" s="38">
        <v>37336</v>
      </c>
      <c r="C836" s="3">
        <v>1</v>
      </c>
      <c r="D836" s="3">
        <v>0</v>
      </c>
      <c r="E836" s="3">
        <f>C836 - D836</f>
        <v>1</v>
      </c>
    </row>
    <row r="837" spans="2:5" x14ac:dyDescent="0.35">
      <c r="B837" s="38">
        <v>37337</v>
      </c>
      <c r="C837" s="3">
        <v>1</v>
      </c>
      <c r="D837" s="3">
        <v>1</v>
      </c>
      <c r="E837" s="3">
        <f>C837 - D837</f>
        <v>0</v>
      </c>
    </row>
    <row r="838" spans="2:5" x14ac:dyDescent="0.35">
      <c r="B838" s="38">
        <v>37338</v>
      </c>
      <c r="C838" s="3">
        <v>0</v>
      </c>
      <c r="D838" s="3">
        <v>1</v>
      </c>
      <c r="E838" s="3">
        <f>C838 - D838</f>
        <v>-1</v>
      </c>
    </row>
    <row r="839" spans="2:5" x14ac:dyDescent="0.35">
      <c r="B839" s="38">
        <v>37339</v>
      </c>
      <c r="C839" s="3">
        <v>0</v>
      </c>
      <c r="D839" s="3">
        <v>0</v>
      </c>
      <c r="E839" s="3">
        <f>C839 - D839</f>
        <v>0</v>
      </c>
    </row>
    <row r="840" spans="2:5" x14ac:dyDescent="0.35">
      <c r="B840" s="38">
        <v>37340</v>
      </c>
      <c r="C840" s="3">
        <v>1</v>
      </c>
      <c r="D840" s="3">
        <v>0</v>
      </c>
      <c r="E840" s="3">
        <f>C840 - D840</f>
        <v>1</v>
      </c>
    </row>
    <row r="841" spans="2:5" x14ac:dyDescent="0.35">
      <c r="B841" s="38">
        <v>37341</v>
      </c>
      <c r="C841" s="3">
        <v>1</v>
      </c>
      <c r="D841" s="3">
        <v>1</v>
      </c>
      <c r="E841" s="3">
        <f>C841 - D841</f>
        <v>0</v>
      </c>
    </row>
    <row r="842" spans="2:5" x14ac:dyDescent="0.35">
      <c r="B842" s="38">
        <v>37342</v>
      </c>
      <c r="C842" s="3">
        <v>1</v>
      </c>
      <c r="D842" s="3">
        <v>1</v>
      </c>
      <c r="E842" s="3">
        <f>C842 - D842</f>
        <v>0</v>
      </c>
    </row>
    <row r="843" spans="2:5" x14ac:dyDescent="0.35">
      <c r="B843" s="38">
        <v>37343</v>
      </c>
      <c r="C843" s="3">
        <v>1</v>
      </c>
      <c r="D843" s="3">
        <v>1</v>
      </c>
      <c r="E843" s="3">
        <f>C843 - D843</f>
        <v>0</v>
      </c>
    </row>
    <row r="844" spans="2:5" x14ac:dyDescent="0.35">
      <c r="B844" s="38">
        <v>37344</v>
      </c>
      <c r="C844" s="3">
        <v>1</v>
      </c>
      <c r="D844" s="3">
        <v>1</v>
      </c>
      <c r="E844" s="3">
        <f>C844 - D844</f>
        <v>0</v>
      </c>
    </row>
    <row r="845" spans="2:5" x14ac:dyDescent="0.35">
      <c r="B845" s="38">
        <v>37345</v>
      </c>
      <c r="C845" s="3">
        <v>1</v>
      </c>
      <c r="D845" s="3">
        <v>1</v>
      </c>
      <c r="E845" s="3">
        <f>C845 - D845</f>
        <v>0</v>
      </c>
    </row>
    <row r="846" spans="2:5" x14ac:dyDescent="0.35">
      <c r="B846" s="38">
        <v>37346</v>
      </c>
      <c r="C846" s="3">
        <v>0</v>
      </c>
      <c r="D846" s="3">
        <v>1</v>
      </c>
      <c r="E846" s="3">
        <f>C846 - D846</f>
        <v>-1</v>
      </c>
    </row>
    <row r="847" spans="2:5" x14ac:dyDescent="0.35">
      <c r="B847" s="38">
        <v>37347</v>
      </c>
      <c r="C847" s="3">
        <v>0</v>
      </c>
      <c r="D847" s="3">
        <v>0</v>
      </c>
      <c r="E847" s="3">
        <f>C847 - D847</f>
        <v>0</v>
      </c>
    </row>
    <row r="848" spans="2:5" x14ac:dyDescent="0.35">
      <c r="B848" s="38">
        <v>37348</v>
      </c>
      <c r="C848" s="3">
        <v>0</v>
      </c>
      <c r="D848" s="3">
        <v>0</v>
      </c>
      <c r="E848" s="3">
        <f>C848 - D848</f>
        <v>0</v>
      </c>
    </row>
    <row r="849" spans="2:5" x14ac:dyDescent="0.35">
      <c r="B849" s="38">
        <v>37349</v>
      </c>
      <c r="C849" s="3">
        <v>0</v>
      </c>
      <c r="D849" s="3">
        <v>0</v>
      </c>
      <c r="E849" s="3">
        <f>C849 - D849</f>
        <v>0</v>
      </c>
    </row>
    <row r="850" spans="2:5" x14ac:dyDescent="0.35">
      <c r="B850" s="38">
        <v>37350</v>
      </c>
      <c r="C850" s="3">
        <v>1</v>
      </c>
      <c r="D850" s="3">
        <v>0</v>
      </c>
      <c r="E850" s="3">
        <f>C850 - D850</f>
        <v>1</v>
      </c>
    </row>
    <row r="851" spans="2:5" x14ac:dyDescent="0.35">
      <c r="B851" s="38">
        <v>37351</v>
      </c>
      <c r="C851" s="3">
        <v>0</v>
      </c>
      <c r="D851" s="3">
        <v>1</v>
      </c>
      <c r="E851" s="3">
        <f>C851 - D851</f>
        <v>-1</v>
      </c>
    </row>
    <row r="852" spans="2:5" x14ac:dyDescent="0.35">
      <c r="B852" s="38">
        <v>37352</v>
      </c>
      <c r="C852" s="3">
        <v>0</v>
      </c>
      <c r="D852" s="3">
        <v>0</v>
      </c>
      <c r="E852" s="3">
        <f>C852 - D852</f>
        <v>0</v>
      </c>
    </row>
    <row r="853" spans="2:5" x14ac:dyDescent="0.35">
      <c r="B853" s="38">
        <v>37353</v>
      </c>
      <c r="C853" s="3">
        <v>0</v>
      </c>
      <c r="D853" s="3">
        <v>0</v>
      </c>
      <c r="E853" s="3">
        <f>C853 - D853</f>
        <v>0</v>
      </c>
    </row>
    <row r="854" spans="2:5" x14ac:dyDescent="0.35">
      <c r="B854" s="38">
        <v>37354</v>
      </c>
      <c r="C854" s="3">
        <v>0</v>
      </c>
      <c r="D854" s="3">
        <v>0</v>
      </c>
      <c r="E854" s="3">
        <f>C854 - D854</f>
        <v>0</v>
      </c>
    </row>
    <row r="855" spans="2:5" x14ac:dyDescent="0.35">
      <c r="B855" s="38">
        <v>37355</v>
      </c>
      <c r="C855" s="3">
        <v>0</v>
      </c>
      <c r="D855" s="3">
        <v>0</v>
      </c>
      <c r="E855" s="3">
        <f>C855 - D855</f>
        <v>0</v>
      </c>
    </row>
    <row r="856" spans="2:5" x14ac:dyDescent="0.35">
      <c r="B856" s="38">
        <v>37356</v>
      </c>
      <c r="C856" s="3">
        <v>1</v>
      </c>
      <c r="D856" s="3">
        <v>0</v>
      </c>
      <c r="E856" s="3">
        <f>C856 - D856</f>
        <v>1</v>
      </c>
    </row>
    <row r="857" spans="2:5" x14ac:dyDescent="0.35">
      <c r="B857" s="38">
        <v>37357</v>
      </c>
      <c r="C857" s="3">
        <v>0</v>
      </c>
      <c r="D857" s="3">
        <v>1</v>
      </c>
      <c r="E857" s="3">
        <f>C857 - D857</f>
        <v>-1</v>
      </c>
    </row>
    <row r="858" spans="2:5" x14ac:dyDescent="0.35">
      <c r="B858" s="38">
        <v>37358</v>
      </c>
      <c r="C858" s="3">
        <v>0</v>
      </c>
      <c r="D858" s="3">
        <v>0</v>
      </c>
      <c r="E858" s="3">
        <f>C858 - D858</f>
        <v>0</v>
      </c>
    </row>
    <row r="859" spans="2:5" x14ac:dyDescent="0.35">
      <c r="B859" s="38">
        <v>37359</v>
      </c>
      <c r="C859" s="3">
        <v>1</v>
      </c>
      <c r="D859" s="3">
        <v>0</v>
      </c>
      <c r="E859" s="3">
        <f>C859 - D859</f>
        <v>1</v>
      </c>
    </row>
    <row r="860" spans="2:5" x14ac:dyDescent="0.35">
      <c r="B860" s="38">
        <v>37360</v>
      </c>
      <c r="C860" s="3">
        <v>1</v>
      </c>
      <c r="D860" s="3">
        <v>1</v>
      </c>
      <c r="E860" s="3">
        <f>C860 - D860</f>
        <v>0</v>
      </c>
    </row>
    <row r="861" spans="2:5" x14ac:dyDescent="0.35">
      <c r="B861" s="38">
        <v>37361</v>
      </c>
      <c r="C861" s="3">
        <v>0</v>
      </c>
      <c r="D861" s="3">
        <v>1</v>
      </c>
      <c r="E861" s="3">
        <f>C861 - D861</f>
        <v>-1</v>
      </c>
    </row>
    <row r="862" spans="2:5" x14ac:dyDescent="0.35">
      <c r="B862" s="38">
        <v>37362</v>
      </c>
      <c r="C862" s="3">
        <v>1</v>
      </c>
      <c r="D862" s="3">
        <v>0</v>
      </c>
      <c r="E862" s="3">
        <f>C862 - D862</f>
        <v>1</v>
      </c>
    </row>
    <row r="863" spans="2:5" x14ac:dyDescent="0.35">
      <c r="B863" s="38">
        <v>37363</v>
      </c>
      <c r="C863" s="3">
        <v>0</v>
      </c>
      <c r="D863" s="3">
        <v>1</v>
      </c>
      <c r="E863" s="3">
        <f>C863 - D863</f>
        <v>-1</v>
      </c>
    </row>
    <row r="864" spans="2:5" x14ac:dyDescent="0.35">
      <c r="B864" s="38">
        <v>37364</v>
      </c>
      <c r="C864" s="3">
        <v>0</v>
      </c>
      <c r="D864" s="3">
        <v>0</v>
      </c>
      <c r="E864" s="3">
        <f>C864 - D864</f>
        <v>0</v>
      </c>
    </row>
    <row r="865" spans="2:5" x14ac:dyDescent="0.35">
      <c r="B865" s="38">
        <v>37365</v>
      </c>
      <c r="C865" s="3">
        <v>0</v>
      </c>
      <c r="D865" s="3">
        <v>0</v>
      </c>
      <c r="E865" s="3">
        <f>C865 - D865</f>
        <v>0</v>
      </c>
    </row>
    <row r="866" spans="2:5" x14ac:dyDescent="0.35">
      <c r="B866" s="38">
        <v>37366</v>
      </c>
      <c r="C866" s="3">
        <v>1</v>
      </c>
      <c r="D866" s="3">
        <v>0</v>
      </c>
      <c r="E866" s="3">
        <f>C866 - D866</f>
        <v>1</v>
      </c>
    </row>
    <row r="867" spans="2:5" x14ac:dyDescent="0.35">
      <c r="B867" s="38">
        <v>37367</v>
      </c>
      <c r="C867" s="3">
        <v>1</v>
      </c>
      <c r="D867" s="3">
        <v>1</v>
      </c>
      <c r="E867" s="3">
        <f>C867 - D867</f>
        <v>0</v>
      </c>
    </row>
    <row r="868" spans="2:5" x14ac:dyDescent="0.35">
      <c r="B868" s="38">
        <v>37368</v>
      </c>
      <c r="C868" s="3">
        <v>0</v>
      </c>
      <c r="D868" s="3">
        <v>1</v>
      </c>
      <c r="E868" s="3">
        <f>C868 - D868</f>
        <v>-1</v>
      </c>
    </row>
    <row r="869" spans="2:5" x14ac:dyDescent="0.35">
      <c r="B869" s="38">
        <v>37369</v>
      </c>
      <c r="C869" s="3">
        <v>0</v>
      </c>
      <c r="D869" s="3">
        <v>0</v>
      </c>
      <c r="E869" s="3">
        <f>C869 - D869</f>
        <v>0</v>
      </c>
    </row>
    <row r="870" spans="2:5" x14ac:dyDescent="0.35">
      <c r="B870" s="38">
        <v>37370</v>
      </c>
      <c r="C870" s="3">
        <v>1</v>
      </c>
      <c r="D870" s="3">
        <v>0</v>
      </c>
      <c r="E870" s="3">
        <f>C870 - D870</f>
        <v>1</v>
      </c>
    </row>
    <row r="871" spans="2:5" x14ac:dyDescent="0.35">
      <c r="B871" s="38">
        <v>37371</v>
      </c>
      <c r="C871" s="3">
        <v>1</v>
      </c>
      <c r="D871" s="3">
        <v>1</v>
      </c>
      <c r="E871" s="3">
        <f>C871 - D871</f>
        <v>0</v>
      </c>
    </row>
    <row r="872" spans="2:5" x14ac:dyDescent="0.35">
      <c r="B872" s="38">
        <v>37372</v>
      </c>
      <c r="C872" s="3">
        <v>1</v>
      </c>
      <c r="D872" s="3">
        <v>1</v>
      </c>
      <c r="E872" s="3">
        <f>C872 - D872</f>
        <v>0</v>
      </c>
    </row>
    <row r="873" spans="2:5" x14ac:dyDescent="0.35">
      <c r="B873" s="38">
        <v>37373</v>
      </c>
      <c r="C873" s="3">
        <v>1</v>
      </c>
      <c r="D873" s="3">
        <v>1</v>
      </c>
      <c r="E873" s="3">
        <f>C873 - D873</f>
        <v>0</v>
      </c>
    </row>
    <row r="874" spans="2:5" x14ac:dyDescent="0.35">
      <c r="B874" s="38">
        <v>37374</v>
      </c>
      <c r="C874" s="3">
        <v>0</v>
      </c>
      <c r="D874" s="3">
        <v>1</v>
      </c>
      <c r="E874" s="3">
        <f>C874 - D874</f>
        <v>-1</v>
      </c>
    </row>
    <row r="875" spans="2:5" x14ac:dyDescent="0.35">
      <c r="B875" s="38">
        <v>37375</v>
      </c>
      <c r="C875" s="3">
        <v>0</v>
      </c>
      <c r="D875" s="3">
        <v>0</v>
      </c>
      <c r="E875" s="3">
        <f>C875 - D875</f>
        <v>0</v>
      </c>
    </row>
    <row r="876" spans="2:5" x14ac:dyDescent="0.35">
      <c r="B876" s="38">
        <v>37376</v>
      </c>
      <c r="C876" s="3">
        <v>0</v>
      </c>
      <c r="D876" s="3">
        <v>0</v>
      </c>
      <c r="E876" s="3">
        <f>C876 - D876</f>
        <v>0</v>
      </c>
    </row>
    <row r="877" spans="2:5" x14ac:dyDescent="0.35">
      <c r="B877" s="38">
        <v>37377</v>
      </c>
      <c r="C877" s="3">
        <v>0</v>
      </c>
      <c r="D877" s="3">
        <v>0</v>
      </c>
      <c r="E877" s="3">
        <f>C877 - D877</f>
        <v>0</v>
      </c>
    </row>
    <row r="878" spans="2:5" x14ac:dyDescent="0.35">
      <c r="B878" s="38">
        <v>37378</v>
      </c>
      <c r="C878" s="3">
        <v>0</v>
      </c>
      <c r="D878" s="3">
        <v>0</v>
      </c>
      <c r="E878" s="3">
        <f>C878 - D878</f>
        <v>0</v>
      </c>
    </row>
    <row r="879" spans="2:5" x14ac:dyDescent="0.35">
      <c r="B879" s="38">
        <v>37379</v>
      </c>
      <c r="C879" s="3">
        <v>0</v>
      </c>
      <c r="D879" s="3">
        <v>0</v>
      </c>
      <c r="E879" s="3">
        <f>C879 - D879</f>
        <v>0</v>
      </c>
    </row>
    <row r="880" spans="2:5" x14ac:dyDescent="0.35">
      <c r="B880" s="38">
        <v>37380</v>
      </c>
      <c r="C880" s="3">
        <v>0</v>
      </c>
      <c r="D880" s="3">
        <v>0</v>
      </c>
      <c r="E880" s="3">
        <f>C880 - D880</f>
        <v>0</v>
      </c>
    </row>
    <row r="881" spans="2:5" x14ac:dyDescent="0.35">
      <c r="B881" s="38">
        <v>37381</v>
      </c>
      <c r="C881" s="3">
        <v>0</v>
      </c>
      <c r="D881" s="3">
        <v>0</v>
      </c>
      <c r="E881" s="3">
        <f>C881 - D881</f>
        <v>0</v>
      </c>
    </row>
    <row r="882" spans="2:5" x14ac:dyDescent="0.35">
      <c r="B882" s="38">
        <v>37382</v>
      </c>
      <c r="C882" s="3">
        <v>1</v>
      </c>
      <c r="D882" s="3">
        <v>0</v>
      </c>
      <c r="E882" s="3">
        <f>C882 - D882</f>
        <v>1</v>
      </c>
    </row>
    <row r="883" spans="2:5" x14ac:dyDescent="0.35">
      <c r="B883" s="38">
        <v>37383</v>
      </c>
      <c r="C883" s="3">
        <v>0</v>
      </c>
      <c r="D883" s="3">
        <v>1</v>
      </c>
      <c r="E883" s="3">
        <f>C883 - D883</f>
        <v>-1</v>
      </c>
    </row>
    <row r="884" spans="2:5" x14ac:dyDescent="0.35">
      <c r="B884" s="38">
        <v>37384</v>
      </c>
      <c r="C884" s="3">
        <v>0</v>
      </c>
      <c r="D884" s="3">
        <v>0</v>
      </c>
      <c r="E884" s="3">
        <f>C884 - D884</f>
        <v>0</v>
      </c>
    </row>
    <row r="885" spans="2:5" x14ac:dyDescent="0.35">
      <c r="B885" s="38">
        <v>37385</v>
      </c>
      <c r="C885" s="3">
        <v>0</v>
      </c>
      <c r="D885" s="3">
        <v>0</v>
      </c>
      <c r="E885" s="3">
        <f>C885 - D885</f>
        <v>0</v>
      </c>
    </row>
    <row r="886" spans="2:5" x14ac:dyDescent="0.35">
      <c r="B886" s="38">
        <v>37386</v>
      </c>
      <c r="C886" s="3">
        <v>1</v>
      </c>
      <c r="D886" s="3">
        <v>0</v>
      </c>
      <c r="E886" s="3">
        <f>C886 - D886</f>
        <v>1</v>
      </c>
    </row>
    <row r="887" spans="2:5" x14ac:dyDescent="0.35">
      <c r="B887" s="38">
        <v>37387</v>
      </c>
      <c r="C887" s="3">
        <v>0</v>
      </c>
      <c r="D887" s="3">
        <v>1</v>
      </c>
      <c r="E887" s="3">
        <f>C887 - D887</f>
        <v>-1</v>
      </c>
    </row>
    <row r="888" spans="2:5" x14ac:dyDescent="0.35">
      <c r="B888" s="38">
        <v>37388</v>
      </c>
      <c r="C888" s="3">
        <v>0</v>
      </c>
      <c r="D888" s="3">
        <v>0</v>
      </c>
      <c r="E888" s="3">
        <f>C888 - D888</f>
        <v>0</v>
      </c>
    </row>
    <row r="889" spans="2:5" x14ac:dyDescent="0.35">
      <c r="B889" s="38">
        <v>37389</v>
      </c>
      <c r="C889" s="3">
        <v>1</v>
      </c>
      <c r="D889" s="3">
        <v>0</v>
      </c>
      <c r="E889" s="3">
        <f>C889 - D889</f>
        <v>1</v>
      </c>
    </row>
    <row r="890" spans="2:5" x14ac:dyDescent="0.35">
      <c r="B890" s="38">
        <v>37390</v>
      </c>
      <c r="C890" s="3">
        <v>0</v>
      </c>
      <c r="D890" s="3">
        <v>1</v>
      </c>
      <c r="E890" s="3">
        <f>C890 - D890</f>
        <v>-1</v>
      </c>
    </row>
    <row r="891" spans="2:5" x14ac:dyDescent="0.35">
      <c r="B891" s="38">
        <v>37391</v>
      </c>
      <c r="C891" s="3">
        <v>0</v>
      </c>
      <c r="D891" s="3">
        <v>0</v>
      </c>
      <c r="E891" s="3">
        <f>C891 - D891</f>
        <v>0</v>
      </c>
    </row>
    <row r="892" spans="2:5" x14ac:dyDescent="0.35">
      <c r="B892" s="38">
        <v>37392</v>
      </c>
      <c r="C892" s="3">
        <v>1</v>
      </c>
      <c r="D892" s="3">
        <v>0</v>
      </c>
      <c r="E892" s="3">
        <f>C892 - D892</f>
        <v>1</v>
      </c>
    </row>
    <row r="893" spans="2:5" x14ac:dyDescent="0.35">
      <c r="B893" s="38">
        <v>37393</v>
      </c>
      <c r="C893" s="3">
        <v>1</v>
      </c>
      <c r="D893" s="3">
        <v>1</v>
      </c>
      <c r="E893" s="3">
        <f>C893 - D893</f>
        <v>0</v>
      </c>
    </row>
    <row r="894" spans="2:5" x14ac:dyDescent="0.35">
      <c r="B894" s="38">
        <v>37394</v>
      </c>
      <c r="C894" s="3">
        <v>0</v>
      </c>
      <c r="D894" s="3">
        <v>1</v>
      </c>
      <c r="E894" s="3">
        <f>C894 - D894</f>
        <v>-1</v>
      </c>
    </row>
    <row r="895" spans="2:5" x14ac:dyDescent="0.35">
      <c r="B895" s="38">
        <v>37395</v>
      </c>
      <c r="C895" s="3">
        <v>1</v>
      </c>
      <c r="D895" s="3">
        <v>0</v>
      </c>
      <c r="E895" s="3">
        <f>C895 - D895</f>
        <v>1</v>
      </c>
    </row>
    <row r="896" spans="2:5" x14ac:dyDescent="0.35">
      <c r="B896" s="38">
        <v>37396</v>
      </c>
      <c r="C896" s="3">
        <v>1</v>
      </c>
      <c r="D896" s="3">
        <v>1</v>
      </c>
      <c r="E896" s="3">
        <f>C896 - D896</f>
        <v>0</v>
      </c>
    </row>
    <row r="897" spans="2:5" x14ac:dyDescent="0.35">
      <c r="B897" s="38">
        <v>37397</v>
      </c>
      <c r="C897" s="3">
        <v>1</v>
      </c>
      <c r="D897" s="3">
        <v>1</v>
      </c>
      <c r="E897" s="3">
        <f>C897 - D897</f>
        <v>0</v>
      </c>
    </row>
    <row r="898" spans="2:5" x14ac:dyDescent="0.35">
      <c r="B898" s="38">
        <v>37398</v>
      </c>
      <c r="C898" s="3">
        <v>1</v>
      </c>
      <c r="D898" s="3">
        <v>1</v>
      </c>
      <c r="E898" s="3">
        <f>C898 - D898</f>
        <v>0</v>
      </c>
    </row>
    <row r="899" spans="2:5" x14ac:dyDescent="0.35">
      <c r="B899" s="38">
        <v>37399</v>
      </c>
      <c r="C899" s="3">
        <v>1</v>
      </c>
      <c r="D899" s="3">
        <v>1</v>
      </c>
      <c r="E899" s="3">
        <f>C899 - D899</f>
        <v>0</v>
      </c>
    </row>
    <row r="900" spans="2:5" x14ac:dyDescent="0.35">
      <c r="B900" s="38">
        <v>37400</v>
      </c>
      <c r="C900" s="3">
        <v>0</v>
      </c>
      <c r="D900" s="3">
        <v>1</v>
      </c>
      <c r="E900" s="3">
        <f>C900 - D900</f>
        <v>-1</v>
      </c>
    </row>
    <row r="901" spans="2:5" x14ac:dyDescent="0.35">
      <c r="B901" s="38">
        <v>37401</v>
      </c>
      <c r="C901" s="3">
        <v>0</v>
      </c>
      <c r="D901" s="3">
        <v>0</v>
      </c>
      <c r="E901" s="3">
        <f>C901 - D901</f>
        <v>0</v>
      </c>
    </row>
    <row r="902" spans="2:5" x14ac:dyDescent="0.35">
      <c r="B902" s="38">
        <v>37402</v>
      </c>
      <c r="C902" s="3">
        <v>0</v>
      </c>
      <c r="D902" s="3">
        <v>0</v>
      </c>
      <c r="E902" s="3">
        <f>C902 - D902</f>
        <v>0</v>
      </c>
    </row>
    <row r="903" spans="2:5" x14ac:dyDescent="0.35">
      <c r="B903" s="38">
        <v>37403</v>
      </c>
      <c r="C903" s="3">
        <v>0</v>
      </c>
      <c r="D903" s="3">
        <v>0</v>
      </c>
      <c r="E903" s="3">
        <f>C903 - D903</f>
        <v>0</v>
      </c>
    </row>
    <row r="904" spans="2:5" x14ac:dyDescent="0.35">
      <c r="B904" s="38">
        <v>37404</v>
      </c>
      <c r="C904" s="3">
        <v>0</v>
      </c>
      <c r="D904" s="3">
        <v>0</v>
      </c>
      <c r="E904" s="3">
        <f>C904 - D904</f>
        <v>0</v>
      </c>
    </row>
    <row r="905" spans="2:5" x14ac:dyDescent="0.35">
      <c r="B905" s="38">
        <v>37405</v>
      </c>
      <c r="C905" s="3">
        <v>0</v>
      </c>
      <c r="D905" s="3">
        <v>0</v>
      </c>
      <c r="E905" s="3">
        <f>C905 - D905</f>
        <v>0</v>
      </c>
    </row>
    <row r="906" spans="2:5" x14ac:dyDescent="0.35">
      <c r="B906" s="38">
        <v>37406</v>
      </c>
      <c r="C906" s="3">
        <v>0</v>
      </c>
      <c r="D906" s="3">
        <v>0</v>
      </c>
      <c r="E906" s="3">
        <f>C906 - D906</f>
        <v>0</v>
      </c>
    </row>
    <row r="907" spans="2:5" x14ac:dyDescent="0.35">
      <c r="B907" s="38">
        <v>37407</v>
      </c>
      <c r="C907" s="3">
        <v>0</v>
      </c>
      <c r="D907" s="3">
        <v>0</v>
      </c>
      <c r="E907" s="3">
        <f>C907 - D907</f>
        <v>0</v>
      </c>
    </row>
    <row r="908" spans="2:5" x14ac:dyDescent="0.35">
      <c r="B908" s="38">
        <v>37408</v>
      </c>
      <c r="C908" s="3">
        <v>1</v>
      </c>
      <c r="D908" s="3">
        <v>0</v>
      </c>
      <c r="E908" s="3">
        <f>C908 - D908</f>
        <v>1</v>
      </c>
    </row>
    <row r="909" spans="2:5" x14ac:dyDescent="0.35">
      <c r="B909" s="38">
        <v>37409</v>
      </c>
      <c r="C909" s="3">
        <v>0</v>
      </c>
      <c r="D909" s="3">
        <v>1</v>
      </c>
      <c r="E909" s="3">
        <f>C909 - D909</f>
        <v>-1</v>
      </c>
    </row>
    <row r="910" spans="2:5" x14ac:dyDescent="0.35">
      <c r="B910" s="38">
        <v>37410</v>
      </c>
      <c r="C910" s="3">
        <v>0</v>
      </c>
      <c r="D910" s="3">
        <v>0</v>
      </c>
      <c r="E910" s="3">
        <f>C910 - D910</f>
        <v>0</v>
      </c>
    </row>
    <row r="911" spans="2:5" x14ac:dyDescent="0.35">
      <c r="B911" s="38">
        <v>37411</v>
      </c>
      <c r="C911" s="3">
        <v>0</v>
      </c>
      <c r="D911" s="3">
        <v>0</v>
      </c>
      <c r="E911" s="3">
        <f>C911 - D911</f>
        <v>0</v>
      </c>
    </row>
    <row r="912" spans="2:5" x14ac:dyDescent="0.35">
      <c r="B912" s="38">
        <v>37412</v>
      </c>
      <c r="C912" s="3">
        <v>0</v>
      </c>
      <c r="D912" s="3">
        <v>0</v>
      </c>
      <c r="E912" s="3">
        <f>C912 - D912</f>
        <v>0</v>
      </c>
    </row>
    <row r="913" spans="2:5" x14ac:dyDescent="0.35">
      <c r="B913" s="38">
        <v>37413</v>
      </c>
      <c r="C913" s="3">
        <v>0</v>
      </c>
      <c r="D913" s="3">
        <v>0</v>
      </c>
      <c r="E913" s="3">
        <f>C913 - D913</f>
        <v>0</v>
      </c>
    </row>
    <row r="914" spans="2:5" x14ac:dyDescent="0.35">
      <c r="B914" s="38">
        <v>37414</v>
      </c>
      <c r="C914" s="3">
        <v>0</v>
      </c>
      <c r="D914" s="3">
        <v>0</v>
      </c>
      <c r="E914" s="3">
        <f>C914 - D914</f>
        <v>0</v>
      </c>
    </row>
    <row r="915" spans="2:5" x14ac:dyDescent="0.35">
      <c r="B915" s="38">
        <v>37415</v>
      </c>
      <c r="C915" s="3">
        <v>0</v>
      </c>
      <c r="D915" s="3">
        <v>0</v>
      </c>
      <c r="E915" s="3">
        <f>C915 - D915</f>
        <v>0</v>
      </c>
    </row>
    <row r="916" spans="2:5" x14ac:dyDescent="0.35">
      <c r="B916" s="38">
        <v>37416</v>
      </c>
      <c r="C916" s="3">
        <v>0</v>
      </c>
      <c r="D916" s="3">
        <v>0</v>
      </c>
      <c r="E916" s="3">
        <f>C916 - D916</f>
        <v>0</v>
      </c>
    </row>
    <row r="917" spans="2:5" x14ac:dyDescent="0.35">
      <c r="B917" s="38">
        <v>37417</v>
      </c>
      <c r="C917" s="3">
        <v>0</v>
      </c>
      <c r="D917" s="3">
        <v>0</v>
      </c>
      <c r="E917" s="3">
        <f>C917 - D917</f>
        <v>0</v>
      </c>
    </row>
    <row r="918" spans="2:5" x14ac:dyDescent="0.35">
      <c r="B918" s="38">
        <v>37418</v>
      </c>
      <c r="C918" s="3">
        <v>0</v>
      </c>
      <c r="D918" s="3">
        <v>0</v>
      </c>
      <c r="E918" s="3">
        <f>C918 - D918</f>
        <v>0</v>
      </c>
    </row>
    <row r="919" spans="2:5" x14ac:dyDescent="0.35">
      <c r="B919" s="38">
        <v>37419</v>
      </c>
      <c r="C919" s="3">
        <v>0</v>
      </c>
      <c r="D919" s="3">
        <v>0</v>
      </c>
      <c r="E919" s="3">
        <f>C919 - D919</f>
        <v>0</v>
      </c>
    </row>
    <row r="920" spans="2:5" x14ac:dyDescent="0.35">
      <c r="B920" s="38">
        <v>37420</v>
      </c>
      <c r="C920" s="3">
        <v>1</v>
      </c>
      <c r="D920" s="3">
        <v>0</v>
      </c>
      <c r="E920" s="3">
        <f>C920 - D920</f>
        <v>1</v>
      </c>
    </row>
    <row r="921" spans="2:5" x14ac:dyDescent="0.35">
      <c r="B921" s="38">
        <v>37421</v>
      </c>
      <c r="C921" s="3">
        <v>1</v>
      </c>
      <c r="D921" s="3">
        <v>1</v>
      </c>
      <c r="E921" s="3">
        <f>C921 - D921</f>
        <v>0</v>
      </c>
    </row>
    <row r="922" spans="2:5" x14ac:dyDescent="0.35">
      <c r="B922" s="38">
        <v>37422</v>
      </c>
      <c r="C922" s="3">
        <v>1</v>
      </c>
      <c r="D922" s="3">
        <v>1</v>
      </c>
      <c r="E922" s="3">
        <f>C922 - D922</f>
        <v>0</v>
      </c>
    </row>
    <row r="923" spans="2:5" x14ac:dyDescent="0.35">
      <c r="B923" s="38">
        <v>37423</v>
      </c>
      <c r="C923" s="3">
        <v>1</v>
      </c>
      <c r="D923" s="3">
        <v>1</v>
      </c>
      <c r="E923" s="3">
        <f>C923 - D923</f>
        <v>0</v>
      </c>
    </row>
    <row r="924" spans="2:5" x14ac:dyDescent="0.35">
      <c r="B924" s="38">
        <v>37424</v>
      </c>
      <c r="C924" s="3">
        <v>0</v>
      </c>
      <c r="D924" s="3">
        <v>1</v>
      </c>
      <c r="E924" s="3">
        <f>C924 - D924</f>
        <v>-1</v>
      </c>
    </row>
    <row r="925" spans="2:5" x14ac:dyDescent="0.35">
      <c r="B925" s="38">
        <v>37425</v>
      </c>
      <c r="C925" s="3">
        <v>0</v>
      </c>
      <c r="D925" s="3">
        <v>0</v>
      </c>
      <c r="E925" s="3">
        <f>C925 - D925</f>
        <v>0</v>
      </c>
    </row>
    <row r="926" spans="2:5" x14ac:dyDescent="0.35">
      <c r="B926" s="38">
        <v>37426</v>
      </c>
      <c r="C926" s="3">
        <v>0</v>
      </c>
      <c r="D926" s="3">
        <v>0</v>
      </c>
      <c r="E926" s="3">
        <f>C926 - D926</f>
        <v>0</v>
      </c>
    </row>
    <row r="927" spans="2:5" x14ac:dyDescent="0.35">
      <c r="B927" s="38">
        <v>37427</v>
      </c>
      <c r="C927" s="3">
        <v>0</v>
      </c>
      <c r="D927" s="3">
        <v>0</v>
      </c>
      <c r="E927" s="3">
        <f>C927 - D927</f>
        <v>0</v>
      </c>
    </row>
    <row r="928" spans="2:5" x14ac:dyDescent="0.35">
      <c r="B928" s="38">
        <v>37428</v>
      </c>
      <c r="C928" s="3">
        <v>1</v>
      </c>
      <c r="D928" s="3">
        <v>0</v>
      </c>
      <c r="E928" s="3">
        <f>C928 - D928</f>
        <v>1</v>
      </c>
    </row>
    <row r="929" spans="2:5" x14ac:dyDescent="0.35">
      <c r="B929" s="38">
        <v>37429</v>
      </c>
      <c r="C929" s="3">
        <v>0</v>
      </c>
      <c r="D929" s="3">
        <v>1</v>
      </c>
      <c r="E929" s="3">
        <f>C929 - D929</f>
        <v>-1</v>
      </c>
    </row>
    <row r="930" spans="2:5" x14ac:dyDescent="0.35">
      <c r="B930" s="38">
        <v>37430</v>
      </c>
      <c r="C930" s="3">
        <v>0</v>
      </c>
      <c r="D930" s="3">
        <v>0</v>
      </c>
      <c r="E930" s="3">
        <f>C930 - D930</f>
        <v>0</v>
      </c>
    </row>
    <row r="931" spans="2:5" x14ac:dyDescent="0.35">
      <c r="B931" s="38">
        <v>37431</v>
      </c>
      <c r="C931" s="3">
        <v>0</v>
      </c>
      <c r="D931" s="3">
        <v>0</v>
      </c>
      <c r="E931" s="3">
        <f>C931 - D931</f>
        <v>0</v>
      </c>
    </row>
    <row r="932" spans="2:5" x14ac:dyDescent="0.35">
      <c r="B932" s="38">
        <v>37432</v>
      </c>
      <c r="C932" s="3">
        <v>0</v>
      </c>
      <c r="D932" s="3">
        <v>0</v>
      </c>
      <c r="E932" s="3">
        <f>C932 - D932</f>
        <v>0</v>
      </c>
    </row>
    <row r="933" spans="2:5" x14ac:dyDescent="0.35">
      <c r="B933" s="38">
        <v>37433</v>
      </c>
      <c r="C933" s="3">
        <v>1</v>
      </c>
      <c r="D933" s="3">
        <v>0</v>
      </c>
      <c r="E933" s="3">
        <f>C933 - D933</f>
        <v>1</v>
      </c>
    </row>
    <row r="934" spans="2:5" x14ac:dyDescent="0.35">
      <c r="B934" s="38">
        <v>37434</v>
      </c>
      <c r="C934" s="3">
        <v>0</v>
      </c>
      <c r="D934" s="3">
        <v>1</v>
      </c>
      <c r="E934" s="3">
        <f>C934 - D934</f>
        <v>-1</v>
      </c>
    </row>
    <row r="935" spans="2:5" x14ac:dyDescent="0.35">
      <c r="B935" s="38">
        <v>37435</v>
      </c>
      <c r="C935" s="3">
        <v>1</v>
      </c>
      <c r="D935" s="3">
        <v>0</v>
      </c>
      <c r="E935" s="3">
        <f>C935 - D935</f>
        <v>1</v>
      </c>
    </row>
    <row r="936" spans="2:5" x14ac:dyDescent="0.35">
      <c r="B936" s="38">
        <v>37436</v>
      </c>
      <c r="C936" s="3">
        <v>1</v>
      </c>
      <c r="D936" s="3">
        <v>1</v>
      </c>
      <c r="E936" s="3">
        <f>C936 - D936</f>
        <v>0</v>
      </c>
    </row>
    <row r="937" spans="2:5" x14ac:dyDescent="0.35">
      <c r="B937" s="38">
        <v>37437</v>
      </c>
      <c r="C937" s="3">
        <v>1</v>
      </c>
      <c r="D937" s="3">
        <v>1</v>
      </c>
      <c r="E937" s="3">
        <f>C937 - D937</f>
        <v>0</v>
      </c>
    </row>
    <row r="938" spans="2:5" x14ac:dyDescent="0.35">
      <c r="B938" s="38">
        <v>37438</v>
      </c>
      <c r="C938" s="3">
        <v>0</v>
      </c>
      <c r="D938" s="3">
        <v>1</v>
      </c>
      <c r="E938" s="3">
        <f>C938 - D938</f>
        <v>-1</v>
      </c>
    </row>
    <row r="939" spans="2:5" x14ac:dyDescent="0.35">
      <c r="B939" s="38">
        <v>37439</v>
      </c>
      <c r="C939" s="3">
        <v>0</v>
      </c>
      <c r="D939" s="3">
        <v>0</v>
      </c>
      <c r="E939" s="3">
        <f>C939 - D939</f>
        <v>0</v>
      </c>
    </row>
    <row r="940" spans="2:5" x14ac:dyDescent="0.35">
      <c r="B940" s="38">
        <v>37440</v>
      </c>
      <c r="C940" s="3">
        <v>1</v>
      </c>
      <c r="D940" s="3">
        <v>0</v>
      </c>
      <c r="E940" s="3">
        <f>C940 - D940</f>
        <v>1</v>
      </c>
    </row>
    <row r="941" spans="2:5" x14ac:dyDescent="0.35">
      <c r="B941" s="38">
        <v>37441</v>
      </c>
      <c r="C941" s="3">
        <v>1</v>
      </c>
      <c r="D941" s="3">
        <v>1</v>
      </c>
      <c r="E941" s="3">
        <f>C941 - D941</f>
        <v>0</v>
      </c>
    </row>
    <row r="942" spans="2:5" x14ac:dyDescent="0.35">
      <c r="B942" s="38">
        <v>37442</v>
      </c>
      <c r="C942" s="3">
        <v>1</v>
      </c>
      <c r="D942" s="3">
        <v>1</v>
      </c>
      <c r="E942" s="3">
        <f>C942 - D942</f>
        <v>0</v>
      </c>
    </row>
    <row r="943" spans="2:5" x14ac:dyDescent="0.35">
      <c r="B943" s="38">
        <v>37443</v>
      </c>
      <c r="C943" s="3">
        <v>0</v>
      </c>
      <c r="D943" s="3">
        <v>1</v>
      </c>
      <c r="E943" s="3">
        <f>C943 - D943</f>
        <v>-1</v>
      </c>
    </row>
    <row r="944" spans="2:5" x14ac:dyDescent="0.35">
      <c r="B944" s="38">
        <v>37444</v>
      </c>
      <c r="C944" s="3">
        <v>1</v>
      </c>
      <c r="D944" s="3">
        <v>0</v>
      </c>
      <c r="E944" s="3">
        <f>C944 - D944</f>
        <v>1</v>
      </c>
    </row>
    <row r="945" spans="2:5" x14ac:dyDescent="0.35">
      <c r="B945" s="38">
        <v>37445</v>
      </c>
      <c r="C945" s="3">
        <v>0</v>
      </c>
      <c r="D945" s="3">
        <v>1</v>
      </c>
      <c r="E945" s="3">
        <f>C945 - D945</f>
        <v>-1</v>
      </c>
    </row>
    <row r="946" spans="2:5" x14ac:dyDescent="0.35">
      <c r="B946" s="38">
        <v>37446</v>
      </c>
      <c r="C946" s="3">
        <v>0</v>
      </c>
      <c r="D946" s="3">
        <v>0</v>
      </c>
      <c r="E946" s="3">
        <f>C946 - D946</f>
        <v>0</v>
      </c>
    </row>
    <row r="947" spans="2:5" x14ac:dyDescent="0.35">
      <c r="B947" s="38">
        <v>37447</v>
      </c>
      <c r="C947" s="3">
        <v>1</v>
      </c>
      <c r="D947" s="3">
        <v>0</v>
      </c>
      <c r="E947" s="3">
        <f>C947 - D947</f>
        <v>1</v>
      </c>
    </row>
    <row r="948" spans="2:5" x14ac:dyDescent="0.35">
      <c r="B948" s="38">
        <v>37448</v>
      </c>
      <c r="C948" s="3">
        <v>0</v>
      </c>
      <c r="D948" s="3">
        <v>1</v>
      </c>
      <c r="E948" s="3">
        <f>C948 - D948</f>
        <v>-1</v>
      </c>
    </row>
    <row r="949" spans="2:5" x14ac:dyDescent="0.35">
      <c r="B949" s="38">
        <v>37449</v>
      </c>
      <c r="C949" s="3">
        <v>0</v>
      </c>
      <c r="D949" s="3">
        <v>0</v>
      </c>
      <c r="E949" s="3">
        <f>C949 - D949</f>
        <v>0</v>
      </c>
    </row>
    <row r="950" spans="2:5" x14ac:dyDescent="0.35">
      <c r="B950" s="38">
        <v>37450</v>
      </c>
      <c r="C950" s="3">
        <v>0</v>
      </c>
      <c r="D950" s="3">
        <v>0</v>
      </c>
      <c r="E950" s="3">
        <f>C950 - D950</f>
        <v>0</v>
      </c>
    </row>
    <row r="951" spans="2:5" x14ac:dyDescent="0.35">
      <c r="B951" s="38">
        <v>37451</v>
      </c>
      <c r="C951" s="3">
        <v>1</v>
      </c>
      <c r="D951" s="3">
        <v>0</v>
      </c>
      <c r="E951" s="3">
        <f>C951 - D951</f>
        <v>1</v>
      </c>
    </row>
    <row r="952" spans="2:5" x14ac:dyDescent="0.35">
      <c r="B952" s="38">
        <v>37452</v>
      </c>
      <c r="C952" s="3">
        <v>0</v>
      </c>
      <c r="D952" s="3">
        <v>1</v>
      </c>
      <c r="E952" s="3">
        <f>C952 - D952</f>
        <v>-1</v>
      </c>
    </row>
    <row r="953" spans="2:5" x14ac:dyDescent="0.35">
      <c r="B953" s="38">
        <v>37453</v>
      </c>
      <c r="C953" s="3">
        <v>0</v>
      </c>
      <c r="D953" s="3">
        <v>0</v>
      </c>
      <c r="E953" s="3">
        <f>C953 - D953</f>
        <v>0</v>
      </c>
    </row>
    <row r="954" spans="2:5" x14ac:dyDescent="0.35">
      <c r="B954" s="38">
        <v>37454</v>
      </c>
      <c r="C954" s="3">
        <v>1</v>
      </c>
      <c r="D954" s="3">
        <v>0</v>
      </c>
      <c r="E954" s="3">
        <f>C954 - D954</f>
        <v>1</v>
      </c>
    </row>
    <row r="955" spans="2:5" x14ac:dyDescent="0.35">
      <c r="B955" s="38">
        <v>37455</v>
      </c>
      <c r="C955" s="3">
        <v>1</v>
      </c>
      <c r="D955" s="3">
        <v>1</v>
      </c>
      <c r="E955" s="3">
        <f>C955 - D955</f>
        <v>0</v>
      </c>
    </row>
    <row r="956" spans="2:5" x14ac:dyDescent="0.35">
      <c r="B956" s="38">
        <v>37456</v>
      </c>
      <c r="C956" s="3">
        <v>0</v>
      </c>
      <c r="D956" s="3">
        <v>1</v>
      </c>
      <c r="E956" s="3">
        <f>C956 - D956</f>
        <v>-1</v>
      </c>
    </row>
    <row r="957" spans="2:5" x14ac:dyDescent="0.35">
      <c r="B957" s="38">
        <v>37457</v>
      </c>
      <c r="C957" s="3">
        <v>1</v>
      </c>
      <c r="D957" s="3">
        <v>0</v>
      </c>
      <c r="E957" s="3">
        <f>C957 - D957</f>
        <v>1</v>
      </c>
    </row>
    <row r="958" spans="2:5" x14ac:dyDescent="0.35">
      <c r="B958" s="38">
        <v>37458</v>
      </c>
      <c r="C958" s="3">
        <v>1</v>
      </c>
      <c r="D958" s="3">
        <v>1</v>
      </c>
      <c r="E958" s="3">
        <f>C958 - D958</f>
        <v>0</v>
      </c>
    </row>
    <row r="959" spans="2:5" x14ac:dyDescent="0.35">
      <c r="B959" s="38">
        <v>37459</v>
      </c>
      <c r="C959" s="3">
        <v>0</v>
      </c>
      <c r="D959" s="3">
        <v>1</v>
      </c>
      <c r="E959" s="3">
        <f>C959 - D959</f>
        <v>-1</v>
      </c>
    </row>
    <row r="960" spans="2:5" x14ac:dyDescent="0.35">
      <c r="B960" s="38">
        <v>37460</v>
      </c>
      <c r="C960" s="3">
        <v>1</v>
      </c>
      <c r="D960" s="3">
        <v>0</v>
      </c>
      <c r="E960" s="3">
        <f>C960 - D960</f>
        <v>1</v>
      </c>
    </row>
    <row r="961" spans="2:5" x14ac:dyDescent="0.35">
      <c r="B961" s="38">
        <v>37461</v>
      </c>
      <c r="C961" s="3">
        <v>1</v>
      </c>
      <c r="D961" s="3">
        <v>1</v>
      </c>
      <c r="E961" s="3">
        <f>C961 - D961</f>
        <v>0</v>
      </c>
    </row>
    <row r="962" spans="2:5" x14ac:dyDescent="0.35">
      <c r="B962" s="38">
        <v>37462</v>
      </c>
      <c r="C962" s="3">
        <v>0</v>
      </c>
      <c r="D962" s="3">
        <v>1</v>
      </c>
      <c r="E962" s="3">
        <f>C962 - D962</f>
        <v>-1</v>
      </c>
    </row>
    <row r="963" spans="2:5" x14ac:dyDescent="0.35">
      <c r="B963" s="38">
        <v>37463</v>
      </c>
      <c r="C963" s="3">
        <v>0</v>
      </c>
      <c r="D963" s="3">
        <v>0</v>
      </c>
      <c r="E963" s="3">
        <f>C963 - D963</f>
        <v>0</v>
      </c>
    </row>
    <row r="964" spans="2:5" x14ac:dyDescent="0.35">
      <c r="B964" s="38">
        <v>37464</v>
      </c>
      <c r="C964" s="3">
        <v>0</v>
      </c>
      <c r="D964" s="3">
        <v>0</v>
      </c>
      <c r="E964" s="3">
        <f>C964 - D964</f>
        <v>0</v>
      </c>
    </row>
    <row r="965" spans="2:5" x14ac:dyDescent="0.35">
      <c r="B965" s="38">
        <v>37465</v>
      </c>
      <c r="C965" s="3">
        <v>0</v>
      </c>
      <c r="D965" s="3">
        <v>0</v>
      </c>
      <c r="E965" s="3">
        <f>C965 - D965</f>
        <v>0</v>
      </c>
    </row>
    <row r="966" spans="2:5" x14ac:dyDescent="0.35">
      <c r="B966" s="38">
        <v>37466</v>
      </c>
      <c r="C966" s="3">
        <v>1</v>
      </c>
      <c r="D966" s="3">
        <v>0</v>
      </c>
      <c r="E966" s="3">
        <f>C966 - D966</f>
        <v>1</v>
      </c>
    </row>
    <row r="967" spans="2:5" x14ac:dyDescent="0.35">
      <c r="B967" s="38">
        <v>37467</v>
      </c>
      <c r="C967" s="3">
        <v>0</v>
      </c>
      <c r="D967" s="3">
        <v>1</v>
      </c>
      <c r="E967" s="3">
        <f>C967 - D967</f>
        <v>-1</v>
      </c>
    </row>
    <row r="968" spans="2:5" x14ac:dyDescent="0.35">
      <c r="B968" s="38">
        <v>37468</v>
      </c>
      <c r="C968" s="3">
        <v>0</v>
      </c>
      <c r="D968" s="3">
        <v>0</v>
      </c>
      <c r="E968" s="3">
        <f>C968 - D968</f>
        <v>0</v>
      </c>
    </row>
    <row r="969" spans="2:5" x14ac:dyDescent="0.35">
      <c r="B969" s="38">
        <v>37469</v>
      </c>
      <c r="C969" s="3">
        <v>0</v>
      </c>
      <c r="D969" s="3">
        <v>0</v>
      </c>
      <c r="E969" s="3">
        <f>C969 - D969</f>
        <v>0</v>
      </c>
    </row>
    <row r="970" spans="2:5" x14ac:dyDescent="0.35">
      <c r="B970" s="38">
        <v>37470</v>
      </c>
      <c r="C970" s="3">
        <v>1</v>
      </c>
      <c r="D970" s="3">
        <v>0</v>
      </c>
      <c r="E970" s="3">
        <f>C970 - D970</f>
        <v>1</v>
      </c>
    </row>
    <row r="971" spans="2:5" x14ac:dyDescent="0.35">
      <c r="B971" s="38">
        <v>37471</v>
      </c>
      <c r="C971" s="3">
        <v>1</v>
      </c>
      <c r="D971" s="3">
        <v>1</v>
      </c>
      <c r="E971" s="3">
        <f>C971 - D971</f>
        <v>0</v>
      </c>
    </row>
    <row r="972" spans="2:5" x14ac:dyDescent="0.35">
      <c r="B972" s="38">
        <v>37472</v>
      </c>
      <c r="C972" s="3">
        <v>1</v>
      </c>
      <c r="D972" s="3">
        <v>1</v>
      </c>
      <c r="E972" s="3">
        <f>C972 - D972</f>
        <v>0</v>
      </c>
    </row>
    <row r="973" spans="2:5" x14ac:dyDescent="0.35">
      <c r="B973" s="38">
        <v>37473</v>
      </c>
      <c r="C973" s="3">
        <v>0</v>
      </c>
      <c r="D973" s="3">
        <v>1</v>
      </c>
      <c r="E973" s="3">
        <f>C973 - D973</f>
        <v>-1</v>
      </c>
    </row>
    <row r="974" spans="2:5" x14ac:dyDescent="0.35">
      <c r="B974" s="38">
        <v>37474</v>
      </c>
      <c r="C974" s="3">
        <v>1</v>
      </c>
      <c r="D974" s="3">
        <v>0</v>
      </c>
      <c r="E974" s="3">
        <f>C974 - D974</f>
        <v>1</v>
      </c>
    </row>
    <row r="975" spans="2:5" x14ac:dyDescent="0.35">
      <c r="B975" s="38">
        <v>37475</v>
      </c>
      <c r="C975" s="3">
        <v>1</v>
      </c>
      <c r="D975" s="3">
        <v>1</v>
      </c>
      <c r="E975" s="3">
        <f>C975 - D975</f>
        <v>0</v>
      </c>
    </row>
    <row r="976" spans="2:5" x14ac:dyDescent="0.35">
      <c r="B976" s="38">
        <v>37476</v>
      </c>
      <c r="C976" s="3">
        <v>1</v>
      </c>
      <c r="D976" s="3">
        <v>1</v>
      </c>
      <c r="E976" s="3">
        <f>C976 - D976</f>
        <v>0</v>
      </c>
    </row>
    <row r="977" spans="2:5" x14ac:dyDescent="0.35">
      <c r="B977" s="38">
        <v>37477</v>
      </c>
      <c r="C977" s="3">
        <v>0</v>
      </c>
      <c r="D977" s="3">
        <v>1</v>
      </c>
      <c r="E977" s="3">
        <f>C977 - D977</f>
        <v>-1</v>
      </c>
    </row>
    <row r="978" spans="2:5" x14ac:dyDescent="0.35">
      <c r="B978" s="38">
        <v>37478</v>
      </c>
      <c r="C978" s="3">
        <v>0</v>
      </c>
      <c r="D978" s="3">
        <v>0</v>
      </c>
      <c r="E978" s="3">
        <f>C978 - D978</f>
        <v>0</v>
      </c>
    </row>
    <row r="979" spans="2:5" x14ac:dyDescent="0.35">
      <c r="B979" s="38">
        <v>37479</v>
      </c>
      <c r="C979" s="3">
        <v>0</v>
      </c>
      <c r="D979" s="3">
        <v>0</v>
      </c>
      <c r="E979" s="3">
        <f>C979 - D979</f>
        <v>0</v>
      </c>
    </row>
    <row r="980" spans="2:5" x14ac:dyDescent="0.35">
      <c r="B980" s="38">
        <v>37480</v>
      </c>
      <c r="C980" s="3">
        <v>1</v>
      </c>
      <c r="D980" s="3">
        <v>0</v>
      </c>
      <c r="E980" s="3">
        <f>C980 - D980</f>
        <v>1</v>
      </c>
    </row>
    <row r="981" spans="2:5" x14ac:dyDescent="0.35">
      <c r="B981" s="38">
        <v>37481</v>
      </c>
      <c r="C981" s="3">
        <v>1</v>
      </c>
      <c r="D981" s="3">
        <v>1</v>
      </c>
      <c r="E981" s="3">
        <f>C981 - D981</f>
        <v>0</v>
      </c>
    </row>
    <row r="982" spans="2:5" x14ac:dyDescent="0.35">
      <c r="B982" s="38">
        <v>37482</v>
      </c>
      <c r="C982" s="3">
        <v>1</v>
      </c>
      <c r="D982" s="3">
        <v>1</v>
      </c>
      <c r="E982" s="3">
        <f>C982 - D982</f>
        <v>0</v>
      </c>
    </row>
    <row r="983" spans="2:5" x14ac:dyDescent="0.35">
      <c r="B983" s="38">
        <v>37483</v>
      </c>
      <c r="C983" s="3">
        <v>0</v>
      </c>
      <c r="D983" s="3">
        <v>1</v>
      </c>
      <c r="E983" s="3">
        <f>C983 - D983</f>
        <v>-1</v>
      </c>
    </row>
    <row r="984" spans="2:5" x14ac:dyDescent="0.35">
      <c r="B984" s="38">
        <v>37484</v>
      </c>
      <c r="C984" s="3">
        <v>0</v>
      </c>
      <c r="D984" s="3">
        <v>0</v>
      </c>
      <c r="E984" s="3">
        <f>C984 - D984</f>
        <v>0</v>
      </c>
    </row>
    <row r="985" spans="2:5" x14ac:dyDescent="0.35">
      <c r="B985" s="38">
        <v>37485</v>
      </c>
      <c r="C985" s="3">
        <v>0</v>
      </c>
      <c r="D985" s="3">
        <v>0</v>
      </c>
      <c r="E985" s="3">
        <f>C985 - D985</f>
        <v>0</v>
      </c>
    </row>
    <row r="986" spans="2:5" x14ac:dyDescent="0.35">
      <c r="B986" s="38">
        <v>37486</v>
      </c>
      <c r="C986" s="3">
        <v>0</v>
      </c>
      <c r="D986" s="3">
        <v>0</v>
      </c>
      <c r="E986" s="3">
        <f>C986 - D986</f>
        <v>0</v>
      </c>
    </row>
    <row r="987" spans="2:5" x14ac:dyDescent="0.35">
      <c r="B987" s="38">
        <v>37487</v>
      </c>
      <c r="C987" s="3">
        <v>0</v>
      </c>
      <c r="D987" s="3">
        <v>0</v>
      </c>
      <c r="E987" s="3">
        <f>C987 - D987</f>
        <v>0</v>
      </c>
    </row>
    <row r="988" spans="2:5" x14ac:dyDescent="0.35">
      <c r="B988" s="38">
        <v>37488</v>
      </c>
      <c r="C988" s="3">
        <v>0</v>
      </c>
      <c r="D988" s="3">
        <v>0</v>
      </c>
      <c r="E988" s="3">
        <f>C988 - D988</f>
        <v>0</v>
      </c>
    </row>
    <row r="989" spans="2:5" x14ac:dyDescent="0.35">
      <c r="B989" s="38">
        <v>37489</v>
      </c>
      <c r="C989" s="3">
        <v>0</v>
      </c>
      <c r="D989" s="3">
        <v>0</v>
      </c>
      <c r="E989" s="3">
        <f>C989 - D989</f>
        <v>0</v>
      </c>
    </row>
    <row r="990" spans="2:5" x14ac:dyDescent="0.35">
      <c r="B990" s="38">
        <v>37490</v>
      </c>
      <c r="C990" s="3">
        <v>0</v>
      </c>
      <c r="D990" s="3">
        <v>0</v>
      </c>
      <c r="E990" s="3">
        <f>C990 - D990</f>
        <v>0</v>
      </c>
    </row>
    <row r="991" spans="2:5" x14ac:dyDescent="0.35">
      <c r="B991" s="38">
        <v>37491</v>
      </c>
      <c r="C991" s="3">
        <v>1</v>
      </c>
      <c r="D991" s="3">
        <v>0</v>
      </c>
      <c r="E991" s="3">
        <f>C991 - D991</f>
        <v>1</v>
      </c>
    </row>
    <row r="992" spans="2:5" x14ac:dyDescent="0.35">
      <c r="B992" s="38">
        <v>37492</v>
      </c>
      <c r="C992" s="3">
        <v>0</v>
      </c>
      <c r="D992" s="3">
        <v>1</v>
      </c>
      <c r="E992" s="3">
        <f>C992 - D992</f>
        <v>-1</v>
      </c>
    </row>
    <row r="993" spans="2:5" x14ac:dyDescent="0.35">
      <c r="B993" s="38">
        <v>37493</v>
      </c>
      <c r="C993" s="3">
        <v>0</v>
      </c>
      <c r="D993" s="3">
        <v>0</v>
      </c>
      <c r="E993" s="3">
        <f>C993 - D993</f>
        <v>0</v>
      </c>
    </row>
    <row r="994" spans="2:5" x14ac:dyDescent="0.35">
      <c r="B994" s="38">
        <v>37494</v>
      </c>
      <c r="C994" s="3">
        <v>0</v>
      </c>
      <c r="D994" s="3">
        <v>0</v>
      </c>
      <c r="E994" s="3">
        <f>C994 - D994</f>
        <v>0</v>
      </c>
    </row>
    <row r="995" spans="2:5" x14ac:dyDescent="0.35">
      <c r="B995" s="38">
        <v>37495</v>
      </c>
      <c r="C995" s="3">
        <v>0</v>
      </c>
      <c r="D995" s="3">
        <v>0</v>
      </c>
      <c r="E995" s="3">
        <f>C995 - D995</f>
        <v>0</v>
      </c>
    </row>
    <row r="996" spans="2:5" x14ac:dyDescent="0.35">
      <c r="B996" s="38">
        <v>37496</v>
      </c>
      <c r="C996" s="3">
        <v>0</v>
      </c>
      <c r="D996" s="3">
        <v>0</v>
      </c>
      <c r="E996" s="3">
        <f>C996 - D996</f>
        <v>0</v>
      </c>
    </row>
    <row r="997" spans="2:5" x14ac:dyDescent="0.35">
      <c r="B997" s="38">
        <v>37497</v>
      </c>
      <c r="C997" s="3">
        <v>1</v>
      </c>
      <c r="D997" s="3">
        <v>0</v>
      </c>
      <c r="E997" s="3">
        <f>C997 - D997</f>
        <v>1</v>
      </c>
    </row>
    <row r="998" spans="2:5" x14ac:dyDescent="0.35">
      <c r="B998" s="38">
        <v>37498</v>
      </c>
      <c r="C998" s="3">
        <v>0</v>
      </c>
      <c r="D998" s="3">
        <v>1</v>
      </c>
      <c r="E998" s="3">
        <f>C998 - D998</f>
        <v>-1</v>
      </c>
    </row>
    <row r="999" spans="2:5" x14ac:dyDescent="0.35">
      <c r="B999" s="38">
        <v>37499</v>
      </c>
      <c r="C999" s="3">
        <v>1</v>
      </c>
      <c r="D999" s="3">
        <v>0</v>
      </c>
      <c r="E999" s="3">
        <f>C999 - D999</f>
        <v>1</v>
      </c>
    </row>
    <row r="1000" spans="2:5" x14ac:dyDescent="0.35">
      <c r="B1000" s="38">
        <v>37500</v>
      </c>
      <c r="C1000" s="3">
        <v>0</v>
      </c>
      <c r="D1000" s="3">
        <v>1</v>
      </c>
      <c r="E1000" s="3">
        <f>C1000 - D1000</f>
        <v>-1</v>
      </c>
    </row>
    <row r="1001" spans="2:5" x14ac:dyDescent="0.35">
      <c r="B1001" s="38">
        <v>37501</v>
      </c>
      <c r="C1001" s="3">
        <v>0</v>
      </c>
      <c r="D1001" s="3">
        <v>0</v>
      </c>
      <c r="E1001" s="3">
        <f>C1001 - D1001</f>
        <v>0</v>
      </c>
    </row>
    <row r="1002" spans="2:5" x14ac:dyDescent="0.35">
      <c r="B1002" s="38">
        <v>37502</v>
      </c>
      <c r="C1002" s="3">
        <v>0</v>
      </c>
      <c r="D1002" s="3">
        <v>0</v>
      </c>
      <c r="E1002" s="3">
        <f>C1002 - D1002</f>
        <v>0</v>
      </c>
    </row>
    <row r="1003" spans="2:5" x14ac:dyDescent="0.35">
      <c r="B1003" s="38">
        <v>37503</v>
      </c>
      <c r="C1003" s="3">
        <v>1</v>
      </c>
      <c r="D1003" s="3">
        <v>0</v>
      </c>
      <c r="E1003" s="3">
        <f>C1003 - D1003</f>
        <v>1</v>
      </c>
    </row>
    <row r="1004" spans="2:5" x14ac:dyDescent="0.35">
      <c r="B1004" s="38">
        <v>37504</v>
      </c>
      <c r="C1004" s="3">
        <v>0</v>
      </c>
      <c r="D1004" s="3">
        <v>1</v>
      </c>
      <c r="E1004" s="3">
        <f>C1004 - D1004</f>
        <v>-1</v>
      </c>
    </row>
    <row r="1005" spans="2:5" x14ac:dyDescent="0.35">
      <c r="B1005" s="38">
        <v>37505</v>
      </c>
      <c r="C1005" s="3">
        <v>0</v>
      </c>
      <c r="D1005" s="3">
        <v>0</v>
      </c>
      <c r="E1005" s="3">
        <f>C1005 - D1005</f>
        <v>0</v>
      </c>
    </row>
    <row r="1006" spans="2:5" x14ac:dyDescent="0.35">
      <c r="B1006" s="38">
        <v>37506</v>
      </c>
      <c r="C1006" s="3">
        <v>1</v>
      </c>
      <c r="D1006" s="3">
        <v>0</v>
      </c>
      <c r="E1006" s="3">
        <f>C1006 - D1006</f>
        <v>1</v>
      </c>
    </row>
    <row r="1007" spans="2:5" x14ac:dyDescent="0.35">
      <c r="B1007" s="38">
        <v>37507</v>
      </c>
      <c r="C1007" s="3">
        <v>1</v>
      </c>
      <c r="D1007" s="3">
        <v>1</v>
      </c>
      <c r="E1007" s="3">
        <f>C1007 - D1007</f>
        <v>0</v>
      </c>
    </row>
    <row r="1008" spans="2:5" x14ac:dyDescent="0.35">
      <c r="B1008" s="38">
        <v>37508</v>
      </c>
      <c r="C1008" s="3">
        <v>1</v>
      </c>
      <c r="D1008" s="3">
        <v>1</v>
      </c>
      <c r="E1008" s="3">
        <f>C1008 - D1008</f>
        <v>0</v>
      </c>
    </row>
    <row r="1009" spans="2:5" x14ac:dyDescent="0.35">
      <c r="B1009" s="38">
        <v>37509</v>
      </c>
      <c r="C1009" s="3">
        <v>0</v>
      </c>
      <c r="D1009" s="3">
        <v>1</v>
      </c>
      <c r="E1009" s="3">
        <f>C1009 - D1009</f>
        <v>-1</v>
      </c>
    </row>
    <row r="1010" spans="2:5" x14ac:dyDescent="0.35">
      <c r="B1010" s="38">
        <v>37510</v>
      </c>
      <c r="C1010" s="3">
        <v>1</v>
      </c>
      <c r="D1010" s="3">
        <v>0</v>
      </c>
      <c r="E1010" s="3">
        <f>C1010 - D1010</f>
        <v>1</v>
      </c>
    </row>
    <row r="1011" spans="2:5" x14ac:dyDescent="0.35">
      <c r="B1011" s="38">
        <v>37511</v>
      </c>
      <c r="C1011" s="3">
        <v>0</v>
      </c>
      <c r="D1011" s="3">
        <v>1</v>
      </c>
      <c r="E1011" s="3">
        <f>C1011 - D1011</f>
        <v>-1</v>
      </c>
    </row>
    <row r="1012" spans="2:5" x14ac:dyDescent="0.35">
      <c r="B1012" s="38">
        <v>37512</v>
      </c>
      <c r="C1012" s="3">
        <v>0</v>
      </c>
      <c r="D1012" s="3">
        <v>0</v>
      </c>
      <c r="E1012" s="3">
        <f>C1012 - D1012</f>
        <v>0</v>
      </c>
    </row>
    <row r="1013" spans="2:5" x14ac:dyDescent="0.35">
      <c r="B1013" s="38">
        <v>37513</v>
      </c>
      <c r="C1013" s="3">
        <v>0</v>
      </c>
      <c r="D1013" s="3">
        <v>0</v>
      </c>
      <c r="E1013" s="3">
        <f>C1013 - D1013</f>
        <v>0</v>
      </c>
    </row>
    <row r="1014" spans="2:5" x14ac:dyDescent="0.35">
      <c r="B1014" s="38">
        <v>37514</v>
      </c>
      <c r="C1014" s="3">
        <v>0</v>
      </c>
      <c r="D1014" s="3">
        <v>0</v>
      </c>
      <c r="E1014" s="3">
        <f>C1014 - D1014</f>
        <v>0</v>
      </c>
    </row>
    <row r="1015" spans="2:5" x14ac:dyDescent="0.35">
      <c r="B1015" s="38">
        <v>37515</v>
      </c>
      <c r="C1015" s="3">
        <v>1</v>
      </c>
      <c r="D1015" s="3">
        <v>0</v>
      </c>
      <c r="E1015" s="3">
        <f>C1015 - D1015</f>
        <v>1</v>
      </c>
    </row>
    <row r="1016" spans="2:5" x14ac:dyDescent="0.35">
      <c r="B1016" s="38">
        <v>37516</v>
      </c>
      <c r="C1016" s="3">
        <v>1</v>
      </c>
      <c r="D1016" s="3">
        <v>1</v>
      </c>
      <c r="E1016" s="3">
        <f>C1016 - D1016</f>
        <v>0</v>
      </c>
    </row>
    <row r="1017" spans="2:5" x14ac:dyDescent="0.35">
      <c r="B1017" s="38">
        <v>37517</v>
      </c>
      <c r="C1017" s="3">
        <v>0</v>
      </c>
      <c r="D1017" s="3">
        <v>1</v>
      </c>
      <c r="E1017" s="3">
        <f>C1017 - D1017</f>
        <v>-1</v>
      </c>
    </row>
    <row r="1018" spans="2:5" x14ac:dyDescent="0.35">
      <c r="B1018" s="38">
        <v>37518</v>
      </c>
      <c r="C1018" s="3">
        <v>1</v>
      </c>
      <c r="D1018" s="3">
        <v>0</v>
      </c>
      <c r="E1018" s="3">
        <f>C1018 - D1018</f>
        <v>1</v>
      </c>
    </row>
    <row r="1019" spans="2:5" x14ac:dyDescent="0.35">
      <c r="B1019" s="38">
        <v>37519</v>
      </c>
      <c r="C1019" s="3">
        <v>1</v>
      </c>
      <c r="D1019" s="3">
        <v>1</v>
      </c>
      <c r="E1019" s="3">
        <f>C1019 - D1019</f>
        <v>0</v>
      </c>
    </row>
    <row r="1020" spans="2:5" x14ac:dyDescent="0.35">
      <c r="B1020" s="38">
        <v>37520</v>
      </c>
      <c r="C1020" s="3">
        <v>0</v>
      </c>
      <c r="D1020" s="3">
        <v>1</v>
      </c>
      <c r="E1020" s="3">
        <f>C1020 - D1020</f>
        <v>-1</v>
      </c>
    </row>
    <row r="1021" spans="2:5" x14ac:dyDescent="0.35">
      <c r="B1021" s="38">
        <v>37521</v>
      </c>
      <c r="C1021" s="3">
        <v>0</v>
      </c>
      <c r="D1021" s="3">
        <v>0</v>
      </c>
      <c r="E1021" s="3">
        <f>C1021 - D1021</f>
        <v>0</v>
      </c>
    </row>
    <row r="1022" spans="2:5" x14ac:dyDescent="0.35">
      <c r="B1022" s="38">
        <v>37522</v>
      </c>
      <c r="C1022" s="3">
        <v>0</v>
      </c>
      <c r="D1022" s="3">
        <v>0</v>
      </c>
      <c r="E1022" s="3">
        <f>C1022 - D1022</f>
        <v>0</v>
      </c>
    </row>
    <row r="1023" spans="2:5" x14ac:dyDescent="0.35">
      <c r="B1023" s="38">
        <v>37523</v>
      </c>
      <c r="C1023" s="3">
        <v>0</v>
      </c>
      <c r="D1023" s="3">
        <v>0</v>
      </c>
      <c r="E1023" s="3">
        <f>C1023 - D1023</f>
        <v>0</v>
      </c>
    </row>
    <row r="1024" spans="2:5" x14ac:dyDescent="0.35">
      <c r="B1024" s="38">
        <v>37524</v>
      </c>
      <c r="C1024" s="3">
        <v>0</v>
      </c>
      <c r="D1024" s="3">
        <v>0</v>
      </c>
      <c r="E1024" s="3">
        <f>C1024 - D1024</f>
        <v>0</v>
      </c>
    </row>
    <row r="1025" spans="2:5" x14ac:dyDescent="0.35">
      <c r="B1025" s="38">
        <v>37525</v>
      </c>
      <c r="C1025" s="3">
        <v>0</v>
      </c>
      <c r="D1025" s="3">
        <v>0</v>
      </c>
      <c r="E1025" s="3">
        <f>C1025 - D1025</f>
        <v>0</v>
      </c>
    </row>
    <row r="1026" spans="2:5" x14ac:dyDescent="0.35">
      <c r="B1026" s="38">
        <v>37526</v>
      </c>
      <c r="C1026" s="3">
        <v>0</v>
      </c>
      <c r="D1026" s="3">
        <v>0</v>
      </c>
      <c r="E1026" s="3">
        <f>C1026 - D1026</f>
        <v>0</v>
      </c>
    </row>
    <row r="1027" spans="2:5" x14ac:dyDescent="0.35">
      <c r="B1027" s="38">
        <v>37527</v>
      </c>
      <c r="C1027" s="3">
        <v>1</v>
      </c>
      <c r="D1027" s="3">
        <v>0</v>
      </c>
      <c r="E1027" s="3">
        <f>C1027 - D1027</f>
        <v>1</v>
      </c>
    </row>
    <row r="1028" spans="2:5" x14ac:dyDescent="0.35">
      <c r="B1028" s="38">
        <v>37528</v>
      </c>
      <c r="C1028" s="3">
        <v>1</v>
      </c>
      <c r="D1028" s="3">
        <v>1</v>
      </c>
      <c r="E1028" s="3">
        <f>C1028 - D1028</f>
        <v>0</v>
      </c>
    </row>
    <row r="1029" spans="2:5" x14ac:dyDescent="0.35">
      <c r="B1029" s="38">
        <v>37529</v>
      </c>
      <c r="C1029" s="3">
        <v>0</v>
      </c>
      <c r="D1029" s="3">
        <v>1</v>
      </c>
      <c r="E1029" s="3">
        <f>C1029 - D1029</f>
        <v>-1</v>
      </c>
    </row>
    <row r="1030" spans="2:5" x14ac:dyDescent="0.35">
      <c r="B1030" s="38">
        <v>37530</v>
      </c>
      <c r="C1030" s="3">
        <v>0</v>
      </c>
      <c r="D1030" s="3">
        <v>0</v>
      </c>
      <c r="E1030" s="3">
        <f>C1030 - D1030</f>
        <v>0</v>
      </c>
    </row>
    <row r="1031" spans="2:5" x14ac:dyDescent="0.35">
      <c r="B1031" s="38">
        <v>37531</v>
      </c>
      <c r="C1031" s="3">
        <v>0</v>
      </c>
      <c r="D1031" s="3">
        <v>0</v>
      </c>
      <c r="E1031" s="3">
        <f>C1031 - D1031</f>
        <v>0</v>
      </c>
    </row>
    <row r="1032" spans="2:5" x14ac:dyDescent="0.35">
      <c r="B1032" s="38">
        <v>37532</v>
      </c>
      <c r="C1032" s="3">
        <v>0</v>
      </c>
      <c r="D1032" s="3">
        <v>0</v>
      </c>
      <c r="E1032" s="3">
        <f>C1032 - D1032</f>
        <v>0</v>
      </c>
    </row>
    <row r="1033" spans="2:5" x14ac:dyDescent="0.35">
      <c r="B1033" s="38">
        <v>37533</v>
      </c>
      <c r="C1033" s="3">
        <v>1</v>
      </c>
      <c r="D1033" s="3">
        <v>0</v>
      </c>
      <c r="E1033" s="3">
        <f>C1033 - D1033</f>
        <v>1</v>
      </c>
    </row>
    <row r="1034" spans="2:5" x14ac:dyDescent="0.35">
      <c r="B1034" s="38">
        <v>37534</v>
      </c>
      <c r="C1034" s="3">
        <v>1</v>
      </c>
      <c r="D1034" s="3">
        <v>1</v>
      </c>
      <c r="E1034" s="3">
        <f>C1034 - D1034</f>
        <v>0</v>
      </c>
    </row>
    <row r="1035" spans="2:5" x14ac:dyDescent="0.35">
      <c r="B1035" s="38">
        <v>37535</v>
      </c>
      <c r="C1035" s="3">
        <v>0</v>
      </c>
      <c r="D1035" s="3">
        <v>1</v>
      </c>
      <c r="E1035" s="3">
        <f>C1035 - D1035</f>
        <v>-1</v>
      </c>
    </row>
    <row r="1036" spans="2:5" x14ac:dyDescent="0.35">
      <c r="B1036" s="38">
        <v>37536</v>
      </c>
      <c r="C1036" s="3">
        <v>0</v>
      </c>
      <c r="D1036" s="3">
        <v>0</v>
      </c>
      <c r="E1036" s="3">
        <f>C1036 - D1036</f>
        <v>0</v>
      </c>
    </row>
    <row r="1037" spans="2:5" x14ac:dyDescent="0.35">
      <c r="B1037" s="38">
        <v>37537</v>
      </c>
      <c r="C1037" s="3">
        <v>1</v>
      </c>
      <c r="D1037" s="3">
        <v>0</v>
      </c>
      <c r="E1037" s="3">
        <f>C1037 - D1037</f>
        <v>1</v>
      </c>
    </row>
    <row r="1038" spans="2:5" x14ac:dyDescent="0.35">
      <c r="B1038" s="38">
        <v>37538</v>
      </c>
      <c r="C1038" s="3">
        <v>1</v>
      </c>
      <c r="D1038" s="3">
        <v>1</v>
      </c>
      <c r="E1038" s="3">
        <f>C1038 - D1038</f>
        <v>0</v>
      </c>
    </row>
    <row r="1039" spans="2:5" x14ac:dyDescent="0.35">
      <c r="B1039" s="38">
        <v>37539</v>
      </c>
      <c r="C1039" s="3">
        <v>0</v>
      </c>
      <c r="D1039" s="3">
        <v>1</v>
      </c>
      <c r="E1039" s="3">
        <f>C1039 - D1039</f>
        <v>-1</v>
      </c>
    </row>
    <row r="1040" spans="2:5" x14ac:dyDescent="0.35">
      <c r="B1040" s="38">
        <v>37540</v>
      </c>
      <c r="C1040" s="3">
        <v>0</v>
      </c>
      <c r="D1040" s="3">
        <v>0</v>
      </c>
      <c r="E1040" s="3">
        <f>C1040 - D1040</f>
        <v>0</v>
      </c>
    </row>
    <row r="1041" spans="2:5" x14ac:dyDescent="0.35">
      <c r="B1041" s="38">
        <v>37541</v>
      </c>
      <c r="C1041" s="3">
        <v>0</v>
      </c>
      <c r="D1041" s="3">
        <v>0</v>
      </c>
      <c r="E1041" s="3">
        <f>C1041 - D1041</f>
        <v>0</v>
      </c>
    </row>
    <row r="1042" spans="2:5" x14ac:dyDescent="0.35">
      <c r="B1042" s="38">
        <v>37542</v>
      </c>
      <c r="C1042" s="3">
        <v>1</v>
      </c>
      <c r="D1042" s="3">
        <v>0</v>
      </c>
      <c r="E1042" s="3">
        <f>C1042 - D1042</f>
        <v>1</v>
      </c>
    </row>
    <row r="1043" spans="2:5" x14ac:dyDescent="0.35">
      <c r="B1043" s="38">
        <v>37543</v>
      </c>
      <c r="C1043" s="3">
        <v>1</v>
      </c>
      <c r="D1043" s="3">
        <v>1</v>
      </c>
      <c r="E1043" s="3">
        <f>C1043 - D1043</f>
        <v>0</v>
      </c>
    </row>
    <row r="1044" spans="2:5" x14ac:dyDescent="0.35">
      <c r="B1044" s="38">
        <v>37544</v>
      </c>
      <c r="C1044" s="3">
        <v>1</v>
      </c>
      <c r="D1044" s="3">
        <v>1</v>
      </c>
      <c r="E1044" s="3">
        <f>C1044 - D1044</f>
        <v>0</v>
      </c>
    </row>
    <row r="1045" spans="2:5" x14ac:dyDescent="0.35">
      <c r="B1045" s="38">
        <v>37545</v>
      </c>
      <c r="C1045" s="3">
        <v>1</v>
      </c>
      <c r="D1045" s="3">
        <v>1</v>
      </c>
      <c r="E1045" s="3">
        <f>C1045 - D1045</f>
        <v>0</v>
      </c>
    </row>
    <row r="1046" spans="2:5" x14ac:dyDescent="0.35">
      <c r="B1046" s="38">
        <v>37546</v>
      </c>
      <c r="C1046" s="3">
        <v>0</v>
      </c>
      <c r="D1046" s="3">
        <v>1</v>
      </c>
      <c r="E1046" s="3">
        <f>C1046 - D1046</f>
        <v>-1</v>
      </c>
    </row>
    <row r="1047" spans="2:5" x14ac:dyDescent="0.35">
      <c r="B1047" s="38">
        <v>37547</v>
      </c>
      <c r="C1047" s="3">
        <v>0</v>
      </c>
      <c r="D1047" s="3">
        <v>0</v>
      </c>
      <c r="E1047" s="3">
        <f>C1047 - D1047</f>
        <v>0</v>
      </c>
    </row>
    <row r="1048" spans="2:5" x14ac:dyDescent="0.35">
      <c r="B1048" s="38">
        <v>37548</v>
      </c>
      <c r="C1048" s="3">
        <v>0</v>
      </c>
      <c r="D1048" s="3">
        <v>0</v>
      </c>
      <c r="E1048" s="3">
        <f>C1048 - D1048</f>
        <v>0</v>
      </c>
    </row>
    <row r="1049" spans="2:5" x14ac:dyDescent="0.35">
      <c r="B1049" s="38">
        <v>37549</v>
      </c>
      <c r="C1049" s="3">
        <v>0</v>
      </c>
      <c r="D1049" s="3">
        <v>0</v>
      </c>
      <c r="E1049" s="3">
        <f>C1049 - D1049</f>
        <v>0</v>
      </c>
    </row>
    <row r="1050" spans="2:5" x14ac:dyDescent="0.35">
      <c r="B1050" s="38">
        <v>37550</v>
      </c>
      <c r="C1050" s="3">
        <v>0</v>
      </c>
      <c r="D1050" s="3">
        <v>0</v>
      </c>
      <c r="E1050" s="3">
        <f>C1050 - D1050</f>
        <v>0</v>
      </c>
    </row>
    <row r="1051" spans="2:5" x14ac:dyDescent="0.35">
      <c r="B1051" s="38">
        <v>37551</v>
      </c>
      <c r="C1051" s="3">
        <v>0</v>
      </c>
      <c r="D1051" s="3">
        <v>0</v>
      </c>
      <c r="E1051" s="3">
        <f>C1051 - D1051</f>
        <v>0</v>
      </c>
    </row>
    <row r="1052" spans="2:5" x14ac:dyDescent="0.35">
      <c r="B1052" s="38">
        <v>37552</v>
      </c>
      <c r="C1052" s="3">
        <v>1</v>
      </c>
      <c r="D1052" s="3">
        <v>0</v>
      </c>
      <c r="E1052" s="3">
        <f>C1052 - D1052</f>
        <v>1</v>
      </c>
    </row>
    <row r="1053" spans="2:5" x14ac:dyDescent="0.35">
      <c r="B1053" s="38">
        <v>37553</v>
      </c>
      <c r="C1053" s="3">
        <v>1</v>
      </c>
      <c r="D1053" s="3">
        <v>1</v>
      </c>
      <c r="E1053" s="3">
        <f>C1053 - D1053</f>
        <v>0</v>
      </c>
    </row>
    <row r="1054" spans="2:5" x14ac:dyDescent="0.35">
      <c r="B1054" s="38">
        <v>37554</v>
      </c>
      <c r="C1054" s="3">
        <v>1</v>
      </c>
      <c r="D1054" s="3">
        <v>1</v>
      </c>
      <c r="E1054" s="3">
        <f>C1054 - D1054</f>
        <v>0</v>
      </c>
    </row>
    <row r="1055" spans="2:5" x14ac:dyDescent="0.35">
      <c r="B1055" s="38">
        <v>37555</v>
      </c>
      <c r="C1055" s="3">
        <v>0</v>
      </c>
      <c r="D1055" s="3">
        <v>1</v>
      </c>
      <c r="E1055" s="3">
        <f>C1055 - D1055</f>
        <v>-1</v>
      </c>
    </row>
    <row r="1056" spans="2:5" x14ac:dyDescent="0.35">
      <c r="B1056" s="38">
        <v>37556</v>
      </c>
      <c r="C1056" s="3">
        <v>1</v>
      </c>
      <c r="D1056" s="3">
        <v>0</v>
      </c>
      <c r="E1056" s="3">
        <f>C1056 - D1056</f>
        <v>1</v>
      </c>
    </row>
    <row r="1057" spans="2:5" x14ac:dyDescent="0.35">
      <c r="B1057" s="38">
        <v>37557</v>
      </c>
      <c r="C1057" s="3">
        <v>1</v>
      </c>
      <c r="D1057" s="3">
        <v>1</v>
      </c>
      <c r="E1057" s="3">
        <f>C1057 - D1057</f>
        <v>0</v>
      </c>
    </row>
    <row r="1058" spans="2:5" x14ac:dyDescent="0.35">
      <c r="B1058" s="38">
        <v>37558</v>
      </c>
      <c r="C1058" s="3">
        <v>0</v>
      </c>
      <c r="D1058" s="3">
        <v>1</v>
      </c>
      <c r="E1058" s="3">
        <f>C1058 - D1058</f>
        <v>-1</v>
      </c>
    </row>
    <row r="1059" spans="2:5" x14ac:dyDescent="0.35">
      <c r="B1059" s="38">
        <v>37559</v>
      </c>
      <c r="C1059" s="3">
        <v>0</v>
      </c>
      <c r="D1059" s="3">
        <v>0</v>
      </c>
      <c r="E1059" s="3">
        <f>C1059 - D1059</f>
        <v>0</v>
      </c>
    </row>
    <row r="1060" spans="2:5" x14ac:dyDescent="0.35">
      <c r="B1060" s="38">
        <v>37560</v>
      </c>
      <c r="C1060" s="3">
        <v>0</v>
      </c>
      <c r="D1060" s="3">
        <v>0</v>
      </c>
      <c r="E1060" s="3">
        <f>C1060 - D1060</f>
        <v>0</v>
      </c>
    </row>
    <row r="1061" spans="2:5" x14ac:dyDescent="0.35">
      <c r="B1061" s="38">
        <v>37561</v>
      </c>
      <c r="C1061" s="3">
        <v>0</v>
      </c>
      <c r="D1061" s="3">
        <v>0</v>
      </c>
      <c r="E1061" s="3">
        <f>C1061 - D1061</f>
        <v>0</v>
      </c>
    </row>
    <row r="1062" spans="2:5" x14ac:dyDescent="0.35">
      <c r="B1062" s="38">
        <v>37562</v>
      </c>
      <c r="C1062" s="3">
        <v>0</v>
      </c>
      <c r="D1062" s="3">
        <v>0</v>
      </c>
      <c r="E1062" s="3">
        <f>C1062 - D1062</f>
        <v>0</v>
      </c>
    </row>
    <row r="1063" spans="2:5" x14ac:dyDescent="0.35">
      <c r="B1063" s="38">
        <v>37563</v>
      </c>
      <c r="C1063" s="3">
        <v>1</v>
      </c>
      <c r="D1063" s="3">
        <v>0</v>
      </c>
      <c r="E1063" s="3">
        <f>C1063 - D1063</f>
        <v>1</v>
      </c>
    </row>
    <row r="1064" spans="2:5" x14ac:dyDescent="0.35">
      <c r="B1064" s="38">
        <v>37564</v>
      </c>
      <c r="C1064" s="3">
        <v>1</v>
      </c>
      <c r="D1064" s="3">
        <v>1</v>
      </c>
      <c r="E1064" s="3">
        <f>C1064 - D1064</f>
        <v>0</v>
      </c>
    </row>
    <row r="1065" spans="2:5" x14ac:dyDescent="0.35">
      <c r="B1065" s="38">
        <v>37565</v>
      </c>
      <c r="C1065" s="3">
        <v>1</v>
      </c>
      <c r="D1065" s="3">
        <v>1</v>
      </c>
      <c r="E1065" s="3">
        <f>C1065 - D1065</f>
        <v>0</v>
      </c>
    </row>
    <row r="1066" spans="2:5" x14ac:dyDescent="0.35">
      <c r="B1066" s="38">
        <v>37566</v>
      </c>
      <c r="C1066" s="3">
        <v>0</v>
      </c>
      <c r="D1066" s="3">
        <v>1</v>
      </c>
      <c r="E1066" s="3">
        <f>C1066 - D1066</f>
        <v>-1</v>
      </c>
    </row>
    <row r="1067" spans="2:5" x14ac:dyDescent="0.35">
      <c r="B1067" s="38">
        <v>37567</v>
      </c>
      <c r="C1067" s="3">
        <v>0</v>
      </c>
      <c r="D1067" s="3">
        <v>0</v>
      </c>
      <c r="E1067" s="3">
        <f>C1067 - D1067</f>
        <v>0</v>
      </c>
    </row>
    <row r="1068" spans="2:5" x14ac:dyDescent="0.35">
      <c r="B1068" s="38">
        <v>37568</v>
      </c>
      <c r="C1068" s="3">
        <v>0</v>
      </c>
      <c r="D1068" s="3">
        <v>0</v>
      </c>
      <c r="E1068" s="3">
        <f>C1068 - D1068</f>
        <v>0</v>
      </c>
    </row>
    <row r="1069" spans="2:5" x14ac:dyDescent="0.35">
      <c r="B1069" s="38">
        <v>37569</v>
      </c>
      <c r="C1069" s="3">
        <v>0</v>
      </c>
      <c r="D1069" s="3">
        <v>0</v>
      </c>
      <c r="E1069" s="3">
        <f>C1069 - D1069</f>
        <v>0</v>
      </c>
    </row>
    <row r="1070" spans="2:5" x14ac:dyDescent="0.35">
      <c r="B1070" s="38">
        <v>37570</v>
      </c>
      <c r="C1070" s="3">
        <v>0</v>
      </c>
      <c r="D1070" s="3">
        <v>0</v>
      </c>
      <c r="E1070" s="3">
        <f>C1070 - D1070</f>
        <v>0</v>
      </c>
    </row>
    <row r="1071" spans="2:5" x14ac:dyDescent="0.35">
      <c r="B1071" s="38">
        <v>37571</v>
      </c>
      <c r="C1071" s="3">
        <v>0</v>
      </c>
      <c r="D1071" s="3">
        <v>0</v>
      </c>
      <c r="E1071" s="3">
        <f>C1071 - D1071</f>
        <v>0</v>
      </c>
    </row>
    <row r="1072" spans="2:5" x14ac:dyDescent="0.35">
      <c r="B1072" s="38">
        <v>37572</v>
      </c>
      <c r="C1072" s="3">
        <v>0</v>
      </c>
      <c r="D1072" s="3">
        <v>0</v>
      </c>
      <c r="E1072" s="3">
        <f>C1072 - D1072</f>
        <v>0</v>
      </c>
    </row>
    <row r="1073" spans="2:5" x14ac:dyDescent="0.35">
      <c r="B1073" s="38">
        <v>37573</v>
      </c>
      <c r="C1073" s="3">
        <v>0</v>
      </c>
      <c r="D1073" s="3">
        <v>0</v>
      </c>
      <c r="E1073" s="3">
        <f>C1073 - D1073</f>
        <v>0</v>
      </c>
    </row>
    <row r="1074" spans="2:5" x14ac:dyDescent="0.35">
      <c r="B1074" s="38">
        <v>37574</v>
      </c>
      <c r="C1074" s="3">
        <v>0</v>
      </c>
      <c r="D1074" s="3">
        <v>0</v>
      </c>
      <c r="E1074" s="3">
        <f>C1074 - D1074</f>
        <v>0</v>
      </c>
    </row>
    <row r="1075" spans="2:5" x14ac:dyDescent="0.35">
      <c r="B1075" s="38">
        <v>37575</v>
      </c>
      <c r="C1075" s="3">
        <v>0</v>
      </c>
      <c r="D1075" s="3">
        <v>0</v>
      </c>
      <c r="E1075" s="3">
        <f>C1075 - D1075</f>
        <v>0</v>
      </c>
    </row>
    <row r="1076" spans="2:5" x14ac:dyDescent="0.35">
      <c r="B1076" s="38">
        <v>37576</v>
      </c>
      <c r="C1076" s="3">
        <v>0</v>
      </c>
      <c r="D1076" s="3">
        <v>0</v>
      </c>
      <c r="E1076" s="3">
        <f>C1076 - D1076</f>
        <v>0</v>
      </c>
    </row>
    <row r="1077" spans="2:5" x14ac:dyDescent="0.35">
      <c r="B1077" s="38">
        <v>37577</v>
      </c>
      <c r="C1077" s="3">
        <v>0</v>
      </c>
      <c r="D1077" s="3">
        <v>0</v>
      </c>
      <c r="E1077" s="3">
        <f>C1077 - D1077</f>
        <v>0</v>
      </c>
    </row>
    <row r="1078" spans="2:5" x14ac:dyDescent="0.35">
      <c r="B1078" s="38">
        <v>37578</v>
      </c>
      <c r="C1078" s="3">
        <v>0</v>
      </c>
      <c r="D1078" s="3">
        <v>0</v>
      </c>
      <c r="E1078" s="3">
        <f>C1078 - D1078</f>
        <v>0</v>
      </c>
    </row>
    <row r="1079" spans="2:5" x14ac:dyDescent="0.35">
      <c r="B1079" s="38">
        <v>37579</v>
      </c>
      <c r="C1079" s="3">
        <v>0</v>
      </c>
      <c r="D1079" s="3">
        <v>0</v>
      </c>
      <c r="E1079" s="3">
        <f>C1079 - D1079</f>
        <v>0</v>
      </c>
    </row>
    <row r="1080" spans="2:5" x14ac:dyDescent="0.35">
      <c r="B1080" s="38">
        <v>37580</v>
      </c>
      <c r="C1080" s="3">
        <v>1</v>
      </c>
      <c r="D1080" s="3">
        <v>0</v>
      </c>
      <c r="E1080" s="3">
        <f>C1080 - D1080</f>
        <v>1</v>
      </c>
    </row>
    <row r="1081" spans="2:5" x14ac:dyDescent="0.35">
      <c r="B1081" s="38">
        <v>37581</v>
      </c>
      <c r="C1081" s="3">
        <v>0</v>
      </c>
      <c r="D1081" s="3">
        <v>1</v>
      </c>
      <c r="E1081" s="3">
        <f>C1081 - D1081</f>
        <v>-1</v>
      </c>
    </row>
    <row r="1082" spans="2:5" x14ac:dyDescent="0.35">
      <c r="B1082" s="38">
        <v>37582</v>
      </c>
      <c r="C1082" s="3">
        <v>0</v>
      </c>
      <c r="D1082" s="3">
        <v>0</v>
      </c>
      <c r="E1082" s="3">
        <f>C1082 - D1082</f>
        <v>0</v>
      </c>
    </row>
    <row r="1083" spans="2:5" x14ac:dyDescent="0.35">
      <c r="B1083" s="38">
        <v>37583</v>
      </c>
      <c r="C1083" s="3">
        <v>0</v>
      </c>
      <c r="D1083" s="3">
        <v>0</v>
      </c>
      <c r="E1083" s="3">
        <f>C1083 - D1083</f>
        <v>0</v>
      </c>
    </row>
    <row r="1084" spans="2:5" x14ac:dyDescent="0.35">
      <c r="B1084" s="38">
        <v>37584</v>
      </c>
      <c r="C1084" s="3">
        <v>0</v>
      </c>
      <c r="D1084" s="3">
        <v>0</v>
      </c>
      <c r="E1084" s="3">
        <f>C1084 - D1084</f>
        <v>0</v>
      </c>
    </row>
    <row r="1085" spans="2:5" x14ac:dyDescent="0.35">
      <c r="B1085" s="38">
        <v>37585</v>
      </c>
      <c r="C1085" s="3">
        <v>1</v>
      </c>
      <c r="D1085" s="3">
        <v>0</v>
      </c>
      <c r="E1085" s="3">
        <f>C1085 - D1085</f>
        <v>1</v>
      </c>
    </row>
    <row r="1086" spans="2:5" x14ac:dyDescent="0.35">
      <c r="B1086" s="38">
        <v>37586</v>
      </c>
      <c r="C1086" s="3">
        <v>1</v>
      </c>
      <c r="D1086" s="3">
        <v>1</v>
      </c>
      <c r="E1086" s="3">
        <f>C1086 - D1086</f>
        <v>0</v>
      </c>
    </row>
    <row r="1087" spans="2:5" x14ac:dyDescent="0.35">
      <c r="B1087" s="38">
        <v>37587</v>
      </c>
      <c r="C1087" s="3">
        <v>1</v>
      </c>
      <c r="D1087" s="3">
        <v>1</v>
      </c>
      <c r="E1087" s="3">
        <f>C1087 - D1087</f>
        <v>0</v>
      </c>
    </row>
    <row r="1088" spans="2:5" x14ac:dyDescent="0.35">
      <c r="B1088" s="38">
        <v>37588</v>
      </c>
      <c r="C1088" s="3">
        <v>0</v>
      </c>
      <c r="D1088" s="3">
        <v>1</v>
      </c>
      <c r="E1088" s="3">
        <f>C1088 - D1088</f>
        <v>-1</v>
      </c>
    </row>
    <row r="1089" spans="2:5" x14ac:dyDescent="0.35">
      <c r="B1089" s="38">
        <v>37589</v>
      </c>
      <c r="C1089" s="3">
        <v>0</v>
      </c>
      <c r="D1089" s="3">
        <v>0</v>
      </c>
      <c r="E1089" s="3">
        <f>C1089 - D1089</f>
        <v>0</v>
      </c>
    </row>
    <row r="1090" spans="2:5" x14ac:dyDescent="0.35">
      <c r="B1090" s="38">
        <v>37590</v>
      </c>
      <c r="C1090" s="3">
        <v>1</v>
      </c>
      <c r="D1090" s="3">
        <v>0</v>
      </c>
      <c r="E1090" s="3">
        <f>C1090 - D1090</f>
        <v>1</v>
      </c>
    </row>
    <row r="1091" spans="2:5" x14ac:dyDescent="0.35">
      <c r="B1091" s="38">
        <v>37591</v>
      </c>
      <c r="C1091" s="3">
        <v>0</v>
      </c>
      <c r="D1091" s="3">
        <v>1</v>
      </c>
      <c r="E1091" s="3">
        <f>C1091 - D1091</f>
        <v>-1</v>
      </c>
    </row>
    <row r="1092" spans="2:5" x14ac:dyDescent="0.35">
      <c r="B1092" s="38">
        <v>37592</v>
      </c>
      <c r="C1092" s="3">
        <v>0</v>
      </c>
      <c r="D1092" s="3">
        <v>0</v>
      </c>
      <c r="E1092" s="3">
        <f>C1092 - D1092</f>
        <v>0</v>
      </c>
    </row>
    <row r="1093" spans="2:5" x14ac:dyDescent="0.35">
      <c r="B1093" s="38">
        <v>37593</v>
      </c>
      <c r="C1093" s="3">
        <v>0</v>
      </c>
      <c r="D1093" s="3">
        <v>0</v>
      </c>
      <c r="E1093" s="3">
        <f>C1093 - D1093</f>
        <v>0</v>
      </c>
    </row>
    <row r="1094" spans="2:5" x14ac:dyDescent="0.35">
      <c r="B1094" s="38">
        <v>37594</v>
      </c>
      <c r="C1094" s="3">
        <v>0</v>
      </c>
      <c r="D1094" s="3">
        <v>0</v>
      </c>
      <c r="E1094" s="3">
        <f>C1094 - D1094</f>
        <v>0</v>
      </c>
    </row>
    <row r="1095" spans="2:5" x14ac:dyDescent="0.35">
      <c r="B1095" s="38">
        <v>37595</v>
      </c>
      <c r="C1095" s="3">
        <v>1</v>
      </c>
      <c r="D1095" s="3">
        <v>0</v>
      </c>
      <c r="E1095" s="3">
        <f>C1095 - D1095</f>
        <v>1</v>
      </c>
    </row>
    <row r="1096" spans="2:5" x14ac:dyDescent="0.35">
      <c r="B1096" s="38">
        <v>37596</v>
      </c>
      <c r="C1096" s="3">
        <v>1</v>
      </c>
      <c r="D1096" s="3">
        <v>1</v>
      </c>
      <c r="E1096" s="3">
        <f>C1096 - D1096</f>
        <v>0</v>
      </c>
    </row>
    <row r="1097" spans="2:5" x14ac:dyDescent="0.35">
      <c r="B1097" s="38">
        <v>37597</v>
      </c>
      <c r="C1097" s="3">
        <v>1</v>
      </c>
      <c r="D1097" s="3">
        <v>1</v>
      </c>
      <c r="E1097" s="3">
        <f>C1097 - D1097</f>
        <v>0</v>
      </c>
    </row>
    <row r="1098" spans="2:5" x14ac:dyDescent="0.35">
      <c r="B1098" s="38">
        <v>37598</v>
      </c>
      <c r="C1098" s="3">
        <v>0</v>
      </c>
      <c r="D1098" s="3">
        <v>1</v>
      </c>
      <c r="E1098" s="3">
        <f>C1098 - D1098</f>
        <v>-1</v>
      </c>
    </row>
    <row r="1099" spans="2:5" x14ac:dyDescent="0.35">
      <c r="B1099" s="38">
        <v>37599</v>
      </c>
      <c r="C1099" s="3">
        <v>1</v>
      </c>
      <c r="D1099" s="3">
        <v>0</v>
      </c>
      <c r="E1099" s="3">
        <f>C1099 - D1099</f>
        <v>1</v>
      </c>
    </row>
    <row r="1100" spans="2:5" x14ac:dyDescent="0.35">
      <c r="B1100" s="38">
        <v>37600</v>
      </c>
      <c r="C1100" s="3">
        <v>0</v>
      </c>
      <c r="D1100" s="3">
        <v>1</v>
      </c>
      <c r="E1100" s="3">
        <f>C1100 - D1100</f>
        <v>-1</v>
      </c>
    </row>
    <row r="1101" spans="2:5" x14ac:dyDescent="0.35">
      <c r="B1101" s="38">
        <v>37601</v>
      </c>
      <c r="C1101" s="3">
        <v>0</v>
      </c>
      <c r="D1101" s="3">
        <v>0</v>
      </c>
      <c r="E1101" s="3">
        <f>C1101 - D1101</f>
        <v>0</v>
      </c>
    </row>
    <row r="1102" spans="2:5" x14ac:dyDescent="0.35">
      <c r="B1102" s="38">
        <v>37602</v>
      </c>
      <c r="C1102" s="3">
        <v>0</v>
      </c>
      <c r="D1102" s="3">
        <v>0</v>
      </c>
      <c r="E1102" s="3">
        <f>C1102 - D1102</f>
        <v>0</v>
      </c>
    </row>
    <row r="1103" spans="2:5" x14ac:dyDescent="0.35">
      <c r="B1103" s="38">
        <v>37603</v>
      </c>
      <c r="C1103" s="3">
        <v>0</v>
      </c>
      <c r="D1103" s="3">
        <v>0</v>
      </c>
      <c r="E1103" s="3">
        <f>C1103 - D1103</f>
        <v>0</v>
      </c>
    </row>
    <row r="1104" spans="2:5" x14ac:dyDescent="0.35">
      <c r="B1104" s="38">
        <v>37604</v>
      </c>
      <c r="C1104" s="3">
        <v>0</v>
      </c>
      <c r="D1104" s="3">
        <v>0</v>
      </c>
      <c r="E1104" s="3">
        <f>C1104 - D1104</f>
        <v>0</v>
      </c>
    </row>
    <row r="1105" spans="2:5" x14ac:dyDescent="0.35">
      <c r="B1105" s="38">
        <v>37605</v>
      </c>
      <c r="C1105" s="3">
        <v>0</v>
      </c>
      <c r="D1105" s="3">
        <v>0</v>
      </c>
      <c r="E1105" s="3">
        <f>C1105 - D1105</f>
        <v>0</v>
      </c>
    </row>
    <row r="1106" spans="2:5" x14ac:dyDescent="0.35">
      <c r="B1106" s="38">
        <v>37606</v>
      </c>
      <c r="C1106" s="3">
        <v>0</v>
      </c>
      <c r="D1106" s="3">
        <v>0</v>
      </c>
      <c r="E1106" s="3">
        <f>C1106 - D1106</f>
        <v>0</v>
      </c>
    </row>
    <row r="1107" spans="2:5" x14ac:dyDescent="0.35">
      <c r="B1107" s="38">
        <v>37607</v>
      </c>
      <c r="C1107" s="3">
        <v>0</v>
      </c>
      <c r="D1107" s="3">
        <v>0</v>
      </c>
      <c r="E1107" s="3">
        <f>C1107 - D1107</f>
        <v>0</v>
      </c>
    </row>
    <row r="1108" spans="2:5" x14ac:dyDescent="0.35">
      <c r="B1108" s="38">
        <v>37608</v>
      </c>
      <c r="C1108" s="3">
        <v>0</v>
      </c>
      <c r="D1108" s="3">
        <v>0</v>
      </c>
      <c r="E1108" s="3">
        <f>C1108 - D1108</f>
        <v>0</v>
      </c>
    </row>
    <row r="1109" spans="2:5" x14ac:dyDescent="0.35">
      <c r="B1109" s="38">
        <v>37609</v>
      </c>
      <c r="C1109" s="3">
        <v>0</v>
      </c>
      <c r="D1109" s="3">
        <v>0</v>
      </c>
      <c r="E1109" s="3">
        <f>C1109 - D1109</f>
        <v>0</v>
      </c>
    </row>
    <row r="1110" spans="2:5" x14ac:dyDescent="0.35">
      <c r="B1110" s="38">
        <v>37610</v>
      </c>
      <c r="C1110" s="3">
        <v>0</v>
      </c>
      <c r="D1110" s="3">
        <v>0</v>
      </c>
      <c r="E1110" s="3">
        <f>C1110 - D1110</f>
        <v>0</v>
      </c>
    </row>
    <row r="1111" spans="2:5" x14ac:dyDescent="0.35">
      <c r="B1111" s="38">
        <v>37611</v>
      </c>
      <c r="C1111" s="3">
        <v>0</v>
      </c>
      <c r="D1111" s="3">
        <v>0</v>
      </c>
      <c r="E1111" s="3">
        <f>C1111 - D1111</f>
        <v>0</v>
      </c>
    </row>
    <row r="1112" spans="2:5" x14ac:dyDescent="0.35">
      <c r="B1112" s="38">
        <v>37612</v>
      </c>
      <c r="C1112" s="3">
        <v>0</v>
      </c>
      <c r="D1112" s="3">
        <v>0</v>
      </c>
      <c r="E1112" s="3">
        <f>C1112 - D1112</f>
        <v>0</v>
      </c>
    </row>
    <row r="1113" spans="2:5" x14ac:dyDescent="0.35">
      <c r="B1113" s="38">
        <v>37613</v>
      </c>
      <c r="C1113" s="3">
        <v>0</v>
      </c>
      <c r="D1113" s="3">
        <v>0</v>
      </c>
      <c r="E1113" s="3">
        <f>C1113 - D1113</f>
        <v>0</v>
      </c>
    </row>
    <row r="1114" spans="2:5" x14ac:dyDescent="0.35">
      <c r="B1114" s="38">
        <v>37614</v>
      </c>
      <c r="C1114" s="3">
        <v>0</v>
      </c>
      <c r="D1114" s="3">
        <v>0</v>
      </c>
      <c r="E1114" s="3">
        <f>C1114 - D1114</f>
        <v>0</v>
      </c>
    </row>
    <row r="1115" spans="2:5" x14ac:dyDescent="0.35">
      <c r="B1115" s="38">
        <v>37615</v>
      </c>
      <c r="C1115" s="3">
        <v>1</v>
      </c>
      <c r="D1115" s="3">
        <v>0</v>
      </c>
      <c r="E1115" s="3">
        <f>C1115 - D1115</f>
        <v>1</v>
      </c>
    </row>
    <row r="1116" spans="2:5" x14ac:dyDescent="0.35">
      <c r="B1116" s="38">
        <v>37616</v>
      </c>
      <c r="C1116" s="3">
        <v>0</v>
      </c>
      <c r="D1116" s="3">
        <v>1</v>
      </c>
      <c r="E1116" s="3">
        <f>C1116 - D1116</f>
        <v>-1</v>
      </c>
    </row>
    <row r="1117" spans="2:5" x14ac:dyDescent="0.35">
      <c r="B1117" s="38">
        <v>37617</v>
      </c>
      <c r="C1117" s="3">
        <v>0</v>
      </c>
      <c r="D1117" s="3">
        <v>0</v>
      </c>
      <c r="E1117" s="3">
        <f>C1117 - D1117</f>
        <v>0</v>
      </c>
    </row>
    <row r="1118" spans="2:5" x14ac:dyDescent="0.35">
      <c r="B1118" s="38">
        <v>37618</v>
      </c>
      <c r="C1118" s="3">
        <v>0</v>
      </c>
      <c r="D1118" s="3">
        <v>0</v>
      </c>
      <c r="E1118" s="3">
        <f>C1118 - D1118</f>
        <v>0</v>
      </c>
    </row>
    <row r="1119" spans="2:5" x14ac:dyDescent="0.35">
      <c r="B1119" s="38">
        <v>37619</v>
      </c>
      <c r="C1119" s="3">
        <v>0</v>
      </c>
      <c r="D1119" s="3">
        <v>0</v>
      </c>
      <c r="E1119" s="3">
        <f>C1119 - D1119</f>
        <v>0</v>
      </c>
    </row>
    <row r="1120" spans="2:5" x14ac:dyDescent="0.35">
      <c r="B1120" s="38">
        <v>37620</v>
      </c>
      <c r="C1120" s="3">
        <v>1</v>
      </c>
      <c r="D1120" s="3">
        <v>0</v>
      </c>
      <c r="E1120" s="3">
        <f>C1120 - D1120</f>
        <v>1</v>
      </c>
    </row>
    <row r="1121" spans="2:5" x14ac:dyDescent="0.35">
      <c r="B1121" s="38">
        <v>37621</v>
      </c>
      <c r="C1121" s="3">
        <v>1</v>
      </c>
      <c r="D1121" s="3">
        <v>1</v>
      </c>
      <c r="E1121" s="3">
        <f>C1121 - D1121</f>
        <v>0</v>
      </c>
    </row>
    <row r="1122" spans="2:5" x14ac:dyDescent="0.35">
      <c r="B1122" s="38">
        <v>37622</v>
      </c>
      <c r="C1122" s="3">
        <v>1</v>
      </c>
      <c r="D1122" s="3">
        <v>1</v>
      </c>
      <c r="E1122" s="3">
        <f>C1122 - D1122</f>
        <v>0</v>
      </c>
    </row>
    <row r="1123" spans="2:5" x14ac:dyDescent="0.35">
      <c r="B1123" s="38">
        <v>37623</v>
      </c>
      <c r="C1123" s="3">
        <v>1</v>
      </c>
      <c r="D1123" s="3">
        <v>1</v>
      </c>
      <c r="E1123" s="3">
        <f>C1123 - D1123</f>
        <v>0</v>
      </c>
    </row>
    <row r="1124" spans="2:5" x14ac:dyDescent="0.35">
      <c r="B1124" s="38">
        <v>37624</v>
      </c>
      <c r="C1124" s="3">
        <v>0</v>
      </c>
      <c r="D1124" s="3">
        <v>1</v>
      </c>
      <c r="E1124" s="3">
        <f>C1124 - D1124</f>
        <v>-1</v>
      </c>
    </row>
    <row r="1125" spans="2:5" x14ac:dyDescent="0.35">
      <c r="B1125" s="38">
        <v>37625</v>
      </c>
      <c r="C1125" s="3">
        <v>0</v>
      </c>
      <c r="D1125" s="3">
        <v>0</v>
      </c>
      <c r="E1125" s="3">
        <f>C1125 - D1125</f>
        <v>0</v>
      </c>
    </row>
    <row r="1126" spans="2:5" x14ac:dyDescent="0.35">
      <c r="B1126" s="38">
        <v>37626</v>
      </c>
      <c r="C1126" s="3">
        <v>0</v>
      </c>
      <c r="D1126" s="3">
        <v>0</v>
      </c>
      <c r="E1126" s="3">
        <f>C1126 - D1126</f>
        <v>0</v>
      </c>
    </row>
    <row r="1127" spans="2:5" x14ac:dyDescent="0.35">
      <c r="B1127" s="38">
        <v>37627</v>
      </c>
      <c r="C1127" s="3">
        <v>0</v>
      </c>
      <c r="D1127" s="3">
        <v>0</v>
      </c>
      <c r="E1127" s="3">
        <f>C1127 - D1127</f>
        <v>0</v>
      </c>
    </row>
    <row r="1128" spans="2:5" x14ac:dyDescent="0.35">
      <c r="B1128" s="38">
        <v>37628</v>
      </c>
      <c r="C1128" s="3">
        <v>0</v>
      </c>
      <c r="D1128" s="3">
        <v>0</v>
      </c>
      <c r="E1128" s="3">
        <f>C1128 - D1128</f>
        <v>0</v>
      </c>
    </row>
    <row r="1129" spans="2:5" x14ac:dyDescent="0.35">
      <c r="B1129" s="38">
        <v>37629</v>
      </c>
      <c r="C1129" s="3">
        <v>1</v>
      </c>
      <c r="D1129" s="3">
        <v>0</v>
      </c>
      <c r="E1129" s="3">
        <f>C1129 - D1129</f>
        <v>1</v>
      </c>
    </row>
    <row r="1130" spans="2:5" x14ac:dyDescent="0.35">
      <c r="B1130" s="38">
        <v>37630</v>
      </c>
      <c r="C1130" s="3">
        <v>0</v>
      </c>
      <c r="D1130" s="3">
        <v>1</v>
      </c>
      <c r="E1130" s="3">
        <f>C1130 - D1130</f>
        <v>-1</v>
      </c>
    </row>
    <row r="1131" spans="2:5" x14ac:dyDescent="0.35">
      <c r="B1131" s="38">
        <v>37631</v>
      </c>
      <c r="C1131" s="3">
        <v>0</v>
      </c>
      <c r="D1131" s="3">
        <v>0</v>
      </c>
      <c r="E1131" s="3">
        <f>C1131 - D1131</f>
        <v>0</v>
      </c>
    </row>
    <row r="1132" spans="2:5" x14ac:dyDescent="0.35">
      <c r="B1132" s="38">
        <v>37632</v>
      </c>
      <c r="C1132" s="3">
        <v>0</v>
      </c>
      <c r="D1132" s="3">
        <v>0</v>
      </c>
      <c r="E1132" s="3">
        <f>C1132 - D1132</f>
        <v>0</v>
      </c>
    </row>
    <row r="1133" spans="2:5" x14ac:dyDescent="0.35">
      <c r="B1133" s="38">
        <v>37633</v>
      </c>
      <c r="C1133" s="3">
        <v>0</v>
      </c>
      <c r="D1133" s="3">
        <v>0</v>
      </c>
      <c r="E1133" s="3">
        <f>C1133 - D1133</f>
        <v>0</v>
      </c>
    </row>
    <row r="1134" spans="2:5" x14ac:dyDescent="0.35">
      <c r="B1134" s="38">
        <v>37634</v>
      </c>
      <c r="C1134" s="3">
        <v>0</v>
      </c>
      <c r="D1134" s="3">
        <v>0</v>
      </c>
      <c r="E1134" s="3">
        <f>C1134 - D1134</f>
        <v>0</v>
      </c>
    </row>
    <row r="1135" spans="2:5" x14ac:dyDescent="0.35">
      <c r="B1135" s="38">
        <v>37635</v>
      </c>
      <c r="C1135" s="3">
        <v>0</v>
      </c>
      <c r="D1135" s="3">
        <v>0</v>
      </c>
      <c r="E1135" s="3">
        <f>C1135 - D1135</f>
        <v>0</v>
      </c>
    </row>
    <row r="1136" spans="2:5" x14ac:dyDescent="0.35">
      <c r="B1136" s="38">
        <v>37636</v>
      </c>
      <c r="C1136" s="3">
        <v>0</v>
      </c>
      <c r="D1136" s="3">
        <v>0</v>
      </c>
      <c r="E1136" s="3">
        <f>C1136 - D1136</f>
        <v>0</v>
      </c>
    </row>
    <row r="1137" spans="2:5" x14ac:dyDescent="0.35">
      <c r="B1137" s="38">
        <v>37637</v>
      </c>
      <c r="C1137" s="3">
        <v>0</v>
      </c>
      <c r="D1137" s="3">
        <v>0</v>
      </c>
      <c r="E1137" s="3">
        <f>C1137 - D1137</f>
        <v>0</v>
      </c>
    </row>
    <row r="1138" spans="2:5" x14ac:dyDescent="0.35">
      <c r="B1138" s="38">
        <v>37638</v>
      </c>
      <c r="C1138" s="3">
        <v>0</v>
      </c>
      <c r="D1138" s="3">
        <v>0</v>
      </c>
      <c r="E1138" s="3">
        <f>C1138 - D1138</f>
        <v>0</v>
      </c>
    </row>
    <row r="1139" spans="2:5" x14ac:dyDescent="0.35">
      <c r="B1139" s="38">
        <v>37639</v>
      </c>
      <c r="C1139" s="3">
        <v>0</v>
      </c>
      <c r="D1139" s="3">
        <v>0</v>
      </c>
      <c r="E1139" s="3">
        <f>C1139 - D1139</f>
        <v>0</v>
      </c>
    </row>
    <row r="1140" spans="2:5" x14ac:dyDescent="0.35">
      <c r="B1140" s="38">
        <v>37640</v>
      </c>
      <c r="C1140" s="3">
        <v>0</v>
      </c>
      <c r="D1140" s="3">
        <v>0</v>
      </c>
      <c r="E1140" s="3">
        <f>C1140 - D1140</f>
        <v>0</v>
      </c>
    </row>
    <row r="1141" spans="2:5" x14ac:dyDescent="0.35">
      <c r="B1141" s="38">
        <v>37641</v>
      </c>
      <c r="C1141" s="3">
        <v>0</v>
      </c>
      <c r="D1141" s="3">
        <v>0</v>
      </c>
      <c r="E1141" s="3">
        <f>C1141 - D1141</f>
        <v>0</v>
      </c>
    </row>
    <row r="1142" spans="2:5" x14ac:dyDescent="0.35">
      <c r="B1142" s="38">
        <v>37642</v>
      </c>
      <c r="C1142" s="3">
        <v>0</v>
      </c>
      <c r="D1142" s="3">
        <v>0</v>
      </c>
      <c r="E1142" s="3">
        <f>C1142 - D1142</f>
        <v>0</v>
      </c>
    </row>
    <row r="1143" spans="2:5" x14ac:dyDescent="0.35">
      <c r="B1143" s="38">
        <v>37643</v>
      </c>
      <c r="C1143" s="3">
        <v>0</v>
      </c>
      <c r="D1143" s="3">
        <v>0</v>
      </c>
      <c r="E1143" s="3">
        <f>C1143 - D1143</f>
        <v>0</v>
      </c>
    </row>
    <row r="1144" spans="2:5" x14ac:dyDescent="0.35">
      <c r="B1144" s="38">
        <v>37644</v>
      </c>
      <c r="C1144" s="3">
        <v>0</v>
      </c>
      <c r="D1144" s="3">
        <v>0</v>
      </c>
      <c r="E1144" s="3">
        <f>C1144 - D1144</f>
        <v>0</v>
      </c>
    </row>
    <row r="1145" spans="2:5" x14ac:dyDescent="0.35">
      <c r="B1145" s="38">
        <v>37645</v>
      </c>
      <c r="C1145" s="3">
        <v>0</v>
      </c>
      <c r="D1145" s="3">
        <v>0</v>
      </c>
      <c r="E1145" s="3">
        <f>C1145 - D1145</f>
        <v>0</v>
      </c>
    </row>
    <row r="1146" spans="2:5" x14ac:dyDescent="0.35">
      <c r="B1146" s="38">
        <v>37646</v>
      </c>
      <c r="C1146" s="3">
        <v>0</v>
      </c>
      <c r="D1146" s="3">
        <v>0</v>
      </c>
      <c r="E1146" s="3">
        <f>C1146 - D1146</f>
        <v>0</v>
      </c>
    </row>
    <row r="1147" spans="2:5" x14ac:dyDescent="0.35">
      <c r="B1147" s="38">
        <v>37647</v>
      </c>
      <c r="C1147" s="3">
        <v>0</v>
      </c>
      <c r="D1147" s="3">
        <v>0</v>
      </c>
      <c r="E1147" s="3">
        <f>C1147 - D1147</f>
        <v>0</v>
      </c>
    </row>
    <row r="1148" spans="2:5" x14ac:dyDescent="0.35">
      <c r="B1148" s="38">
        <v>37648</v>
      </c>
      <c r="C1148" s="3">
        <v>1</v>
      </c>
      <c r="D1148" s="3">
        <v>0</v>
      </c>
      <c r="E1148" s="3">
        <f>C1148 - D1148</f>
        <v>1</v>
      </c>
    </row>
    <row r="1149" spans="2:5" x14ac:dyDescent="0.35">
      <c r="B1149" s="38">
        <v>37649</v>
      </c>
      <c r="C1149" s="3">
        <v>0</v>
      </c>
      <c r="D1149" s="3">
        <v>1</v>
      </c>
      <c r="E1149" s="3">
        <f>C1149 - D1149</f>
        <v>-1</v>
      </c>
    </row>
    <row r="1150" spans="2:5" x14ac:dyDescent="0.35">
      <c r="B1150" s="38">
        <v>37650</v>
      </c>
      <c r="C1150" s="3">
        <v>0</v>
      </c>
      <c r="D1150" s="3">
        <v>0</v>
      </c>
      <c r="E1150" s="3">
        <f>C1150 - D1150</f>
        <v>0</v>
      </c>
    </row>
    <row r="1151" spans="2:5" x14ac:dyDescent="0.35">
      <c r="B1151" s="38">
        <v>37651</v>
      </c>
      <c r="C1151" s="3">
        <v>0</v>
      </c>
      <c r="D1151" s="3">
        <v>0</v>
      </c>
      <c r="E1151" s="3">
        <f>C1151 - D1151</f>
        <v>0</v>
      </c>
    </row>
    <row r="1152" spans="2:5" x14ac:dyDescent="0.35">
      <c r="B1152" s="38">
        <v>37652</v>
      </c>
      <c r="C1152" s="3">
        <v>1</v>
      </c>
      <c r="D1152" s="3">
        <v>0</v>
      </c>
      <c r="E1152" s="3">
        <f>C1152 - D1152</f>
        <v>1</v>
      </c>
    </row>
    <row r="1153" spans="2:5" x14ac:dyDescent="0.35">
      <c r="B1153" s="38">
        <v>37653</v>
      </c>
      <c r="C1153" s="3">
        <v>0</v>
      </c>
      <c r="D1153" s="3">
        <v>1</v>
      </c>
      <c r="E1153" s="3">
        <f>C1153 - D1153</f>
        <v>-1</v>
      </c>
    </row>
    <row r="1154" spans="2:5" x14ac:dyDescent="0.35">
      <c r="B1154" s="38">
        <v>37654</v>
      </c>
      <c r="C1154" s="3">
        <v>0</v>
      </c>
      <c r="D1154" s="3">
        <v>0</v>
      </c>
      <c r="E1154" s="3">
        <f>C1154 - D1154</f>
        <v>0</v>
      </c>
    </row>
    <row r="1155" spans="2:5" x14ac:dyDescent="0.35">
      <c r="B1155" s="38">
        <v>37655</v>
      </c>
      <c r="C1155" s="3">
        <v>0</v>
      </c>
      <c r="D1155" s="3">
        <v>0</v>
      </c>
      <c r="E1155" s="3">
        <f>C1155 - D1155</f>
        <v>0</v>
      </c>
    </row>
    <row r="1156" spans="2:5" x14ac:dyDescent="0.35">
      <c r="B1156" s="38">
        <v>37656</v>
      </c>
      <c r="C1156" s="3">
        <v>0</v>
      </c>
      <c r="D1156" s="3">
        <v>0</v>
      </c>
      <c r="E1156" s="3">
        <f>C1156 - D1156</f>
        <v>0</v>
      </c>
    </row>
    <row r="1157" spans="2:5" x14ac:dyDescent="0.35">
      <c r="B1157" s="38">
        <v>37657</v>
      </c>
      <c r="C1157" s="3">
        <v>0</v>
      </c>
      <c r="D1157" s="3">
        <v>0</v>
      </c>
      <c r="E1157" s="3">
        <f>C1157 - D1157</f>
        <v>0</v>
      </c>
    </row>
    <row r="1158" spans="2:5" x14ac:dyDescent="0.35">
      <c r="B1158" s="38">
        <v>37658</v>
      </c>
      <c r="C1158" s="3">
        <v>1</v>
      </c>
      <c r="D1158" s="3">
        <v>0</v>
      </c>
      <c r="E1158" s="3">
        <f>C1158 - D1158</f>
        <v>1</v>
      </c>
    </row>
    <row r="1159" spans="2:5" x14ac:dyDescent="0.35">
      <c r="B1159" s="38">
        <v>37659</v>
      </c>
      <c r="C1159" s="3">
        <v>1</v>
      </c>
      <c r="D1159" s="3">
        <v>1</v>
      </c>
      <c r="E1159" s="3">
        <f>C1159 - D1159</f>
        <v>0</v>
      </c>
    </row>
    <row r="1160" spans="2:5" x14ac:dyDescent="0.35">
      <c r="B1160" s="38">
        <v>37660</v>
      </c>
      <c r="C1160" s="3">
        <v>0</v>
      </c>
      <c r="D1160" s="3">
        <v>1</v>
      </c>
      <c r="E1160" s="3">
        <f>C1160 - D1160</f>
        <v>-1</v>
      </c>
    </row>
    <row r="1161" spans="2:5" x14ac:dyDescent="0.35">
      <c r="B1161" s="38">
        <v>37661</v>
      </c>
      <c r="C1161" s="3">
        <v>0</v>
      </c>
      <c r="D1161" s="3">
        <v>0</v>
      </c>
      <c r="E1161" s="3">
        <f>C1161 - D1161</f>
        <v>0</v>
      </c>
    </row>
    <row r="1162" spans="2:5" x14ac:dyDescent="0.35">
      <c r="B1162" s="38">
        <v>37662</v>
      </c>
      <c r="C1162" s="3">
        <v>0</v>
      </c>
      <c r="D1162" s="3">
        <v>0</v>
      </c>
      <c r="E1162" s="3">
        <f>C1162 - D1162</f>
        <v>0</v>
      </c>
    </row>
    <row r="1163" spans="2:5" x14ac:dyDescent="0.35">
      <c r="B1163" s="38">
        <v>37663</v>
      </c>
      <c r="C1163" s="3">
        <v>0</v>
      </c>
      <c r="D1163" s="3">
        <v>0</v>
      </c>
      <c r="E1163" s="3">
        <f>C1163 - D1163</f>
        <v>0</v>
      </c>
    </row>
    <row r="1164" spans="2:5" x14ac:dyDescent="0.35">
      <c r="B1164" s="38">
        <v>37664</v>
      </c>
      <c r="C1164" s="3">
        <v>0</v>
      </c>
      <c r="D1164" s="3">
        <v>0</v>
      </c>
      <c r="E1164" s="3">
        <f>C1164 - D1164</f>
        <v>0</v>
      </c>
    </row>
    <row r="1165" spans="2:5" x14ac:dyDescent="0.35">
      <c r="B1165" s="38">
        <v>37665</v>
      </c>
      <c r="C1165" s="3">
        <v>0</v>
      </c>
      <c r="D1165" s="3">
        <v>0</v>
      </c>
      <c r="E1165" s="3">
        <f>C1165 - D1165</f>
        <v>0</v>
      </c>
    </row>
    <row r="1166" spans="2:5" x14ac:dyDescent="0.35">
      <c r="B1166" s="38">
        <v>37666</v>
      </c>
      <c r="C1166" s="3">
        <v>0</v>
      </c>
      <c r="D1166" s="3">
        <v>0</v>
      </c>
      <c r="E1166" s="3">
        <f>C1166 - D1166</f>
        <v>0</v>
      </c>
    </row>
    <row r="1167" spans="2:5" x14ac:dyDescent="0.35">
      <c r="B1167" s="38">
        <v>37667</v>
      </c>
      <c r="C1167" s="3">
        <v>0</v>
      </c>
      <c r="D1167" s="3">
        <v>0</v>
      </c>
      <c r="E1167" s="3">
        <f>C1167 - D1167</f>
        <v>0</v>
      </c>
    </row>
    <row r="1168" spans="2:5" x14ac:dyDescent="0.35">
      <c r="B1168" s="38">
        <v>37668</v>
      </c>
      <c r="C1168" s="3">
        <v>1</v>
      </c>
      <c r="D1168" s="3">
        <v>0</v>
      </c>
      <c r="E1168" s="3">
        <f>C1168 - D1168</f>
        <v>1</v>
      </c>
    </row>
    <row r="1169" spans="2:5" x14ac:dyDescent="0.35">
      <c r="B1169" s="38">
        <v>37669</v>
      </c>
      <c r="C1169" s="3">
        <v>0</v>
      </c>
      <c r="D1169" s="3">
        <v>1</v>
      </c>
      <c r="E1169" s="3">
        <f>C1169 - D1169</f>
        <v>-1</v>
      </c>
    </row>
    <row r="1170" spans="2:5" x14ac:dyDescent="0.35">
      <c r="B1170" s="38">
        <v>37670</v>
      </c>
      <c r="C1170" s="3">
        <v>0</v>
      </c>
      <c r="D1170" s="3">
        <v>0</v>
      </c>
      <c r="E1170" s="3">
        <f>C1170 - D1170</f>
        <v>0</v>
      </c>
    </row>
    <row r="1171" spans="2:5" x14ac:dyDescent="0.35">
      <c r="B1171" s="38">
        <v>37671</v>
      </c>
      <c r="C1171" s="3">
        <v>0</v>
      </c>
      <c r="D1171" s="3">
        <v>0</v>
      </c>
      <c r="E1171" s="3">
        <f>C1171 - D1171</f>
        <v>0</v>
      </c>
    </row>
    <row r="1172" spans="2:5" x14ac:dyDescent="0.35">
      <c r="B1172" s="38">
        <v>37672</v>
      </c>
      <c r="C1172" s="3">
        <v>0</v>
      </c>
      <c r="D1172" s="3">
        <v>0</v>
      </c>
      <c r="E1172" s="3">
        <f>C1172 - D1172</f>
        <v>0</v>
      </c>
    </row>
    <row r="1173" spans="2:5" x14ac:dyDescent="0.35">
      <c r="B1173" s="38">
        <v>37673</v>
      </c>
      <c r="C1173" s="3">
        <v>1</v>
      </c>
      <c r="D1173" s="3">
        <v>0</v>
      </c>
      <c r="E1173" s="3">
        <f>C1173 - D1173</f>
        <v>1</v>
      </c>
    </row>
    <row r="1174" spans="2:5" x14ac:dyDescent="0.35">
      <c r="B1174" s="38">
        <v>37674</v>
      </c>
      <c r="C1174" s="3">
        <v>1</v>
      </c>
      <c r="D1174" s="3">
        <v>1</v>
      </c>
      <c r="E1174" s="3">
        <f>C1174 - D1174</f>
        <v>0</v>
      </c>
    </row>
    <row r="1175" spans="2:5" x14ac:dyDescent="0.35">
      <c r="B1175" s="38">
        <v>37675</v>
      </c>
      <c r="C1175" s="3">
        <v>0</v>
      </c>
      <c r="D1175" s="3">
        <v>1</v>
      </c>
      <c r="E1175" s="3">
        <f>C1175 - D1175</f>
        <v>-1</v>
      </c>
    </row>
    <row r="1176" spans="2:5" x14ac:dyDescent="0.35">
      <c r="B1176" s="38">
        <v>37676</v>
      </c>
      <c r="C1176" s="3">
        <v>0</v>
      </c>
      <c r="D1176" s="3">
        <v>0</v>
      </c>
      <c r="E1176" s="3">
        <f>C1176 - D1176</f>
        <v>0</v>
      </c>
    </row>
    <row r="1177" spans="2:5" x14ac:dyDescent="0.35">
      <c r="B1177" s="38">
        <v>37677</v>
      </c>
      <c r="C1177" s="3">
        <v>0</v>
      </c>
      <c r="D1177" s="3">
        <v>0</v>
      </c>
      <c r="E1177" s="3">
        <f>C1177 - D1177</f>
        <v>0</v>
      </c>
    </row>
    <row r="1178" spans="2:5" x14ac:dyDescent="0.35">
      <c r="B1178" s="38">
        <v>37678</v>
      </c>
      <c r="C1178" s="3">
        <v>0</v>
      </c>
      <c r="D1178" s="3">
        <v>0</v>
      </c>
      <c r="E1178" s="3">
        <f>C1178 - D1178</f>
        <v>0</v>
      </c>
    </row>
    <row r="1179" spans="2:5" x14ac:dyDescent="0.35">
      <c r="B1179" s="38">
        <v>37679</v>
      </c>
      <c r="C1179" s="3">
        <v>0</v>
      </c>
      <c r="D1179" s="3">
        <v>0</v>
      </c>
      <c r="E1179" s="3">
        <f>C1179 - D1179</f>
        <v>0</v>
      </c>
    </row>
    <row r="1180" spans="2:5" x14ac:dyDescent="0.35">
      <c r="B1180" s="38">
        <v>37680</v>
      </c>
      <c r="C1180" s="3">
        <v>1</v>
      </c>
      <c r="D1180" s="3">
        <v>0</v>
      </c>
      <c r="E1180" s="3">
        <f>C1180 - D1180</f>
        <v>1</v>
      </c>
    </row>
    <row r="1181" spans="2:5" x14ac:dyDescent="0.35">
      <c r="B1181" s="38">
        <v>37681</v>
      </c>
      <c r="C1181" s="3">
        <v>1</v>
      </c>
      <c r="D1181" s="3">
        <v>1</v>
      </c>
      <c r="E1181" s="3">
        <f>C1181 - D1181</f>
        <v>0</v>
      </c>
    </row>
    <row r="1182" spans="2:5" x14ac:dyDescent="0.35">
      <c r="B1182" s="38">
        <v>37682</v>
      </c>
      <c r="C1182" s="3">
        <v>1</v>
      </c>
      <c r="D1182" s="3">
        <v>1</v>
      </c>
      <c r="E1182" s="3">
        <f>C1182 - D1182</f>
        <v>0</v>
      </c>
    </row>
    <row r="1183" spans="2:5" x14ac:dyDescent="0.35">
      <c r="B1183" s="38">
        <v>37683</v>
      </c>
      <c r="C1183" s="3">
        <v>1</v>
      </c>
      <c r="D1183" s="3">
        <v>1</v>
      </c>
      <c r="E1183" s="3">
        <f>C1183 - D1183</f>
        <v>0</v>
      </c>
    </row>
    <row r="1184" spans="2:5" x14ac:dyDescent="0.35">
      <c r="B1184" s="38">
        <v>37684</v>
      </c>
      <c r="C1184" s="3">
        <v>0</v>
      </c>
      <c r="D1184" s="3">
        <v>1</v>
      </c>
      <c r="E1184" s="3">
        <f>C1184 - D1184</f>
        <v>-1</v>
      </c>
    </row>
    <row r="1185" spans="2:5" x14ac:dyDescent="0.35">
      <c r="B1185" s="38">
        <v>37685</v>
      </c>
      <c r="C1185" s="3">
        <v>1</v>
      </c>
      <c r="D1185" s="3">
        <v>0</v>
      </c>
      <c r="E1185" s="3">
        <f>C1185 - D1185</f>
        <v>1</v>
      </c>
    </row>
    <row r="1186" spans="2:5" x14ac:dyDescent="0.35">
      <c r="B1186" s="38">
        <v>37686</v>
      </c>
      <c r="C1186" s="3">
        <v>0</v>
      </c>
      <c r="D1186" s="3">
        <v>1</v>
      </c>
      <c r="E1186" s="3">
        <f>C1186 - D1186</f>
        <v>-1</v>
      </c>
    </row>
    <row r="1187" spans="2:5" x14ac:dyDescent="0.35">
      <c r="B1187" s="38">
        <v>37687</v>
      </c>
      <c r="C1187" s="3">
        <v>0</v>
      </c>
      <c r="D1187" s="3">
        <v>0</v>
      </c>
      <c r="E1187" s="3">
        <f>C1187 - D1187</f>
        <v>0</v>
      </c>
    </row>
    <row r="1188" spans="2:5" x14ac:dyDescent="0.35">
      <c r="B1188" s="38">
        <v>37688</v>
      </c>
      <c r="C1188" s="3">
        <v>1</v>
      </c>
      <c r="D1188" s="3">
        <v>0</v>
      </c>
      <c r="E1188" s="3">
        <f>C1188 - D1188</f>
        <v>1</v>
      </c>
    </row>
    <row r="1189" spans="2:5" x14ac:dyDescent="0.35">
      <c r="B1189" s="38">
        <v>37689</v>
      </c>
      <c r="C1189" s="3">
        <v>1</v>
      </c>
      <c r="D1189" s="3">
        <v>1</v>
      </c>
      <c r="E1189" s="3">
        <f>C1189 - D1189</f>
        <v>0</v>
      </c>
    </row>
    <row r="1190" spans="2:5" x14ac:dyDescent="0.35">
      <c r="B1190" s="38">
        <v>37690</v>
      </c>
      <c r="C1190" s="3">
        <v>1</v>
      </c>
      <c r="D1190" s="3">
        <v>1</v>
      </c>
      <c r="E1190" s="3">
        <f>C1190 - D1190</f>
        <v>0</v>
      </c>
    </row>
    <row r="1191" spans="2:5" x14ac:dyDescent="0.35">
      <c r="B1191" s="38">
        <v>37691</v>
      </c>
      <c r="C1191" s="3">
        <v>0</v>
      </c>
      <c r="D1191" s="3">
        <v>1</v>
      </c>
      <c r="E1191" s="3">
        <f>C1191 - D1191</f>
        <v>-1</v>
      </c>
    </row>
    <row r="1192" spans="2:5" x14ac:dyDescent="0.35">
      <c r="B1192" s="38">
        <v>37692</v>
      </c>
      <c r="C1192" s="3">
        <v>0</v>
      </c>
      <c r="D1192" s="3">
        <v>0</v>
      </c>
      <c r="E1192" s="3">
        <f>C1192 - D1192</f>
        <v>0</v>
      </c>
    </row>
    <row r="1193" spans="2:5" x14ac:dyDescent="0.35">
      <c r="B1193" s="38">
        <v>37693</v>
      </c>
      <c r="C1193" s="3">
        <v>0</v>
      </c>
      <c r="D1193" s="3">
        <v>0</v>
      </c>
      <c r="E1193" s="3">
        <f>C1193 - D1193</f>
        <v>0</v>
      </c>
    </row>
    <row r="1194" spans="2:5" x14ac:dyDescent="0.35">
      <c r="B1194" s="38">
        <v>37694</v>
      </c>
      <c r="C1194" s="3">
        <v>0</v>
      </c>
      <c r="D1194" s="3">
        <v>0</v>
      </c>
      <c r="E1194" s="3">
        <f>C1194 - D1194</f>
        <v>0</v>
      </c>
    </row>
    <row r="1195" spans="2:5" x14ac:dyDescent="0.35">
      <c r="B1195" s="38">
        <v>37695</v>
      </c>
      <c r="C1195" s="3">
        <v>0</v>
      </c>
      <c r="D1195" s="3">
        <v>0</v>
      </c>
      <c r="E1195" s="3">
        <f>C1195 - D1195</f>
        <v>0</v>
      </c>
    </row>
    <row r="1196" spans="2:5" x14ac:dyDescent="0.35">
      <c r="B1196" s="38">
        <v>37696</v>
      </c>
      <c r="C1196" s="3">
        <v>0</v>
      </c>
      <c r="D1196" s="3">
        <v>0</v>
      </c>
      <c r="E1196" s="3">
        <f>C1196 - D1196</f>
        <v>0</v>
      </c>
    </row>
    <row r="1197" spans="2:5" x14ac:dyDescent="0.35">
      <c r="B1197" s="38">
        <v>37697</v>
      </c>
      <c r="C1197" s="3">
        <v>0</v>
      </c>
      <c r="D1197" s="3">
        <v>0</v>
      </c>
      <c r="E1197" s="3">
        <f>C1197 - D1197</f>
        <v>0</v>
      </c>
    </row>
    <row r="1198" spans="2:5" x14ac:dyDescent="0.35">
      <c r="B1198" s="38">
        <v>37698</v>
      </c>
      <c r="C1198" s="3">
        <v>0</v>
      </c>
      <c r="D1198" s="3">
        <v>0</v>
      </c>
      <c r="E1198" s="3">
        <f>C1198 - D1198</f>
        <v>0</v>
      </c>
    </row>
    <row r="1199" spans="2:5" x14ac:dyDescent="0.35">
      <c r="B1199" s="38">
        <v>37699</v>
      </c>
      <c r="C1199" s="3">
        <v>0</v>
      </c>
      <c r="D1199" s="3">
        <v>0</v>
      </c>
      <c r="E1199" s="3">
        <f>C1199 - D1199</f>
        <v>0</v>
      </c>
    </row>
    <row r="1200" spans="2:5" x14ac:dyDescent="0.35">
      <c r="B1200" s="38">
        <v>37700</v>
      </c>
      <c r="C1200" s="3">
        <v>1</v>
      </c>
      <c r="D1200" s="3">
        <v>0</v>
      </c>
      <c r="E1200" s="3">
        <f>C1200 - D1200</f>
        <v>1</v>
      </c>
    </row>
    <row r="1201" spans="2:5" x14ac:dyDescent="0.35">
      <c r="B1201" s="38">
        <v>37701</v>
      </c>
      <c r="C1201" s="3">
        <v>1</v>
      </c>
      <c r="D1201" s="3">
        <v>1</v>
      </c>
      <c r="E1201" s="3">
        <f>C1201 - D1201</f>
        <v>0</v>
      </c>
    </row>
    <row r="1202" spans="2:5" x14ac:dyDescent="0.35">
      <c r="B1202" s="38">
        <v>37702</v>
      </c>
      <c r="C1202" s="3">
        <v>1</v>
      </c>
      <c r="D1202" s="3">
        <v>1</v>
      </c>
      <c r="E1202" s="3">
        <f>C1202 - D1202</f>
        <v>0</v>
      </c>
    </row>
    <row r="1203" spans="2:5" x14ac:dyDescent="0.35">
      <c r="B1203" s="38">
        <v>37703</v>
      </c>
      <c r="C1203" s="3">
        <v>1</v>
      </c>
      <c r="D1203" s="3">
        <v>1</v>
      </c>
      <c r="E1203" s="3">
        <f>C1203 - D1203</f>
        <v>0</v>
      </c>
    </row>
    <row r="1204" spans="2:5" x14ac:dyDescent="0.35">
      <c r="B1204" s="38">
        <v>37704</v>
      </c>
      <c r="C1204" s="3">
        <v>0</v>
      </c>
      <c r="D1204" s="3">
        <v>1</v>
      </c>
      <c r="E1204" s="3">
        <f>C1204 - D1204</f>
        <v>-1</v>
      </c>
    </row>
    <row r="1205" spans="2:5" x14ac:dyDescent="0.35">
      <c r="B1205" s="38">
        <v>37705</v>
      </c>
      <c r="C1205" s="3">
        <v>0</v>
      </c>
      <c r="D1205" s="3">
        <v>0</v>
      </c>
      <c r="E1205" s="3">
        <f>C1205 - D1205</f>
        <v>0</v>
      </c>
    </row>
    <row r="1206" spans="2:5" x14ac:dyDescent="0.35">
      <c r="B1206" s="38">
        <v>37706</v>
      </c>
      <c r="C1206" s="3">
        <v>0</v>
      </c>
      <c r="D1206" s="3">
        <v>0</v>
      </c>
      <c r="E1206" s="3">
        <f>C1206 - D1206</f>
        <v>0</v>
      </c>
    </row>
    <row r="1207" spans="2:5" x14ac:dyDescent="0.35">
      <c r="B1207" s="38">
        <v>37707</v>
      </c>
      <c r="C1207" s="3">
        <v>0</v>
      </c>
      <c r="D1207" s="3">
        <v>0</v>
      </c>
      <c r="E1207" s="3">
        <f>C1207 - D1207</f>
        <v>0</v>
      </c>
    </row>
    <row r="1208" spans="2:5" x14ac:dyDescent="0.35">
      <c r="B1208" s="38">
        <v>37708</v>
      </c>
      <c r="C1208" s="3">
        <v>0</v>
      </c>
      <c r="D1208" s="3">
        <v>0</v>
      </c>
      <c r="E1208" s="3">
        <f>C1208 - D1208</f>
        <v>0</v>
      </c>
    </row>
    <row r="1209" spans="2:5" x14ac:dyDescent="0.35">
      <c r="B1209" s="38">
        <v>37709</v>
      </c>
      <c r="C1209" s="3">
        <v>0</v>
      </c>
      <c r="D1209" s="3">
        <v>0</v>
      </c>
      <c r="E1209" s="3">
        <f>C1209 - D1209</f>
        <v>0</v>
      </c>
    </row>
    <row r="1210" spans="2:5" x14ac:dyDescent="0.35">
      <c r="B1210" s="38">
        <v>37710</v>
      </c>
      <c r="C1210" s="3">
        <v>0</v>
      </c>
      <c r="D1210" s="3">
        <v>0</v>
      </c>
      <c r="E1210" s="3">
        <f>C1210 - D1210</f>
        <v>0</v>
      </c>
    </row>
    <row r="1211" spans="2:5" x14ac:dyDescent="0.35">
      <c r="B1211" s="38">
        <v>37711</v>
      </c>
      <c r="C1211" s="3">
        <v>0</v>
      </c>
      <c r="D1211" s="3">
        <v>0</v>
      </c>
      <c r="E1211" s="3">
        <f>C1211 - D1211</f>
        <v>0</v>
      </c>
    </row>
    <row r="1212" spans="2:5" x14ac:dyDescent="0.35">
      <c r="B1212" s="38">
        <v>37712</v>
      </c>
      <c r="C1212" s="3">
        <v>0</v>
      </c>
      <c r="D1212" s="3">
        <v>0</v>
      </c>
      <c r="E1212" s="3">
        <f>C1212 - D1212</f>
        <v>0</v>
      </c>
    </row>
    <row r="1213" spans="2:5" x14ac:dyDescent="0.35">
      <c r="B1213" s="38">
        <v>37713</v>
      </c>
      <c r="C1213" s="3">
        <v>1</v>
      </c>
      <c r="D1213" s="3">
        <v>0</v>
      </c>
      <c r="E1213" s="3">
        <f>C1213 - D1213</f>
        <v>1</v>
      </c>
    </row>
    <row r="1214" spans="2:5" x14ac:dyDescent="0.35">
      <c r="B1214" s="38">
        <v>37714</v>
      </c>
      <c r="C1214" s="3">
        <v>1</v>
      </c>
      <c r="D1214" s="3">
        <v>1</v>
      </c>
      <c r="E1214" s="3">
        <f>C1214 - D1214</f>
        <v>0</v>
      </c>
    </row>
    <row r="1215" spans="2:5" x14ac:dyDescent="0.35">
      <c r="B1215" s="38">
        <v>37715</v>
      </c>
      <c r="C1215" s="3">
        <v>0</v>
      </c>
      <c r="D1215" s="3">
        <v>1</v>
      </c>
      <c r="E1215" s="3">
        <f>C1215 - D1215</f>
        <v>-1</v>
      </c>
    </row>
    <row r="1216" spans="2:5" x14ac:dyDescent="0.35">
      <c r="B1216" s="38">
        <v>37716</v>
      </c>
      <c r="C1216" s="3">
        <v>0</v>
      </c>
      <c r="D1216" s="3">
        <v>0</v>
      </c>
      <c r="E1216" s="3">
        <f>C1216 - D1216</f>
        <v>0</v>
      </c>
    </row>
    <row r="1217" spans="2:5" x14ac:dyDescent="0.35">
      <c r="B1217" s="38">
        <v>37717</v>
      </c>
      <c r="C1217" s="3">
        <v>0</v>
      </c>
      <c r="D1217" s="3">
        <v>0</v>
      </c>
      <c r="E1217" s="3">
        <f>C1217 - D1217</f>
        <v>0</v>
      </c>
    </row>
    <row r="1218" spans="2:5" x14ac:dyDescent="0.35">
      <c r="B1218" s="38">
        <v>37718</v>
      </c>
      <c r="C1218" s="3">
        <v>0</v>
      </c>
      <c r="D1218" s="3">
        <v>0</v>
      </c>
      <c r="E1218" s="3">
        <f>C1218 - D1218</f>
        <v>0</v>
      </c>
    </row>
    <row r="1219" spans="2:5" x14ac:dyDescent="0.35">
      <c r="B1219" s="38">
        <v>37719</v>
      </c>
      <c r="C1219" s="3">
        <v>1</v>
      </c>
      <c r="D1219" s="3">
        <v>0</v>
      </c>
      <c r="E1219" s="3">
        <f>C1219 - D1219</f>
        <v>1</v>
      </c>
    </row>
    <row r="1220" spans="2:5" x14ac:dyDescent="0.35">
      <c r="B1220" s="38">
        <v>37720</v>
      </c>
      <c r="C1220" s="3">
        <v>1</v>
      </c>
      <c r="D1220" s="3">
        <v>1</v>
      </c>
      <c r="E1220" s="3">
        <f>C1220 - D1220</f>
        <v>0</v>
      </c>
    </row>
    <row r="1221" spans="2:5" x14ac:dyDescent="0.35">
      <c r="B1221" s="38">
        <v>37721</v>
      </c>
      <c r="C1221" s="3">
        <v>0</v>
      </c>
      <c r="D1221" s="3">
        <v>1</v>
      </c>
      <c r="E1221" s="3">
        <f>C1221 - D1221</f>
        <v>-1</v>
      </c>
    </row>
    <row r="1222" spans="2:5" x14ac:dyDescent="0.35">
      <c r="B1222" s="38">
        <v>37722</v>
      </c>
      <c r="C1222" s="3">
        <v>1</v>
      </c>
      <c r="D1222" s="3">
        <v>0</v>
      </c>
      <c r="E1222" s="3">
        <f>C1222 - D1222</f>
        <v>1</v>
      </c>
    </row>
    <row r="1223" spans="2:5" x14ac:dyDescent="0.35">
      <c r="B1223" s="38">
        <v>37723</v>
      </c>
      <c r="C1223" s="3">
        <v>1</v>
      </c>
      <c r="D1223" s="3">
        <v>1</v>
      </c>
      <c r="E1223" s="3">
        <f>C1223 - D1223</f>
        <v>0</v>
      </c>
    </row>
    <row r="1224" spans="2:5" x14ac:dyDescent="0.35">
      <c r="B1224" s="38">
        <v>37724</v>
      </c>
      <c r="C1224" s="3">
        <v>0</v>
      </c>
      <c r="D1224" s="3">
        <v>1</v>
      </c>
      <c r="E1224" s="3">
        <f>C1224 - D1224</f>
        <v>-1</v>
      </c>
    </row>
    <row r="1225" spans="2:5" x14ac:dyDescent="0.35">
      <c r="B1225" s="38">
        <v>37725</v>
      </c>
      <c r="C1225" s="3">
        <v>1</v>
      </c>
      <c r="D1225" s="3">
        <v>0</v>
      </c>
      <c r="E1225" s="3">
        <f>C1225 - D1225</f>
        <v>1</v>
      </c>
    </row>
    <row r="1226" spans="2:5" x14ac:dyDescent="0.35">
      <c r="B1226" s="38">
        <v>37726</v>
      </c>
      <c r="C1226" s="3">
        <v>0</v>
      </c>
      <c r="D1226" s="3">
        <v>1</v>
      </c>
      <c r="E1226" s="3">
        <f>C1226 - D1226</f>
        <v>-1</v>
      </c>
    </row>
    <row r="1227" spans="2:5" x14ac:dyDescent="0.35">
      <c r="B1227" s="38">
        <v>37727</v>
      </c>
      <c r="C1227" s="3">
        <v>1</v>
      </c>
      <c r="D1227" s="3">
        <v>0</v>
      </c>
      <c r="E1227" s="3">
        <f>C1227 - D1227</f>
        <v>1</v>
      </c>
    </row>
    <row r="1228" spans="2:5" x14ac:dyDescent="0.35">
      <c r="B1228" s="38">
        <v>37728</v>
      </c>
      <c r="C1228" s="3">
        <v>0</v>
      </c>
      <c r="D1228" s="3">
        <v>1</v>
      </c>
      <c r="E1228" s="3">
        <f>C1228 - D1228</f>
        <v>-1</v>
      </c>
    </row>
    <row r="1229" spans="2:5" x14ac:dyDescent="0.35">
      <c r="B1229" s="38">
        <v>37729</v>
      </c>
      <c r="C1229" s="3">
        <v>0</v>
      </c>
      <c r="D1229" s="3">
        <v>0</v>
      </c>
      <c r="E1229" s="3">
        <f>C1229 - D1229</f>
        <v>0</v>
      </c>
    </row>
    <row r="1230" spans="2:5" x14ac:dyDescent="0.35">
      <c r="B1230" s="38">
        <v>37730</v>
      </c>
      <c r="C1230" s="3">
        <v>0</v>
      </c>
      <c r="D1230" s="3">
        <v>0</v>
      </c>
      <c r="E1230" s="3">
        <f>C1230 - D1230</f>
        <v>0</v>
      </c>
    </row>
    <row r="1231" spans="2:5" x14ac:dyDescent="0.35">
      <c r="B1231" s="38">
        <v>37731</v>
      </c>
      <c r="C1231" s="3">
        <v>0</v>
      </c>
      <c r="D1231" s="3">
        <v>0</v>
      </c>
      <c r="E1231" s="3">
        <f>C1231 - D1231</f>
        <v>0</v>
      </c>
    </row>
    <row r="1232" spans="2:5" x14ac:dyDescent="0.35">
      <c r="B1232" s="38">
        <v>37732</v>
      </c>
      <c r="C1232" s="3">
        <v>0</v>
      </c>
      <c r="D1232" s="3">
        <v>0</v>
      </c>
      <c r="E1232" s="3">
        <f>C1232 - D1232</f>
        <v>0</v>
      </c>
    </row>
    <row r="1233" spans="2:5" x14ac:dyDescent="0.35">
      <c r="B1233" s="38">
        <v>37733</v>
      </c>
      <c r="C1233" s="3">
        <v>0</v>
      </c>
      <c r="D1233" s="3">
        <v>0</v>
      </c>
      <c r="E1233" s="3">
        <f>C1233 - D1233</f>
        <v>0</v>
      </c>
    </row>
    <row r="1234" spans="2:5" x14ac:dyDescent="0.35">
      <c r="B1234" s="38">
        <v>37734</v>
      </c>
      <c r="C1234" s="3">
        <v>0</v>
      </c>
      <c r="D1234" s="3">
        <v>0</v>
      </c>
      <c r="E1234" s="3">
        <f>C1234 - D1234</f>
        <v>0</v>
      </c>
    </row>
    <row r="1235" spans="2:5" x14ac:dyDescent="0.35">
      <c r="B1235" s="38">
        <v>37735</v>
      </c>
      <c r="C1235" s="3">
        <v>1</v>
      </c>
      <c r="D1235" s="3">
        <v>0</v>
      </c>
      <c r="E1235" s="3">
        <f>C1235 - D1235</f>
        <v>1</v>
      </c>
    </row>
    <row r="1236" spans="2:5" x14ac:dyDescent="0.35">
      <c r="B1236" s="38">
        <v>37736</v>
      </c>
      <c r="C1236" s="3">
        <v>1</v>
      </c>
      <c r="D1236" s="3">
        <v>1</v>
      </c>
      <c r="E1236" s="3">
        <f>C1236 - D1236</f>
        <v>0</v>
      </c>
    </row>
    <row r="1237" spans="2:5" x14ac:dyDescent="0.35">
      <c r="B1237" s="38">
        <v>37737</v>
      </c>
      <c r="C1237" s="3">
        <v>0</v>
      </c>
      <c r="D1237" s="3">
        <v>1</v>
      </c>
      <c r="E1237" s="3">
        <f>C1237 - D1237</f>
        <v>-1</v>
      </c>
    </row>
    <row r="1238" spans="2:5" x14ac:dyDescent="0.35">
      <c r="B1238" s="38">
        <v>37738</v>
      </c>
      <c r="C1238" s="3">
        <v>0</v>
      </c>
      <c r="D1238" s="3">
        <v>0</v>
      </c>
      <c r="E1238" s="3">
        <f>C1238 - D1238</f>
        <v>0</v>
      </c>
    </row>
    <row r="1239" spans="2:5" x14ac:dyDescent="0.35">
      <c r="B1239" s="38">
        <v>37739</v>
      </c>
      <c r="C1239" s="3">
        <v>1</v>
      </c>
      <c r="D1239" s="3">
        <v>0</v>
      </c>
      <c r="E1239" s="3">
        <f>C1239 - D1239</f>
        <v>1</v>
      </c>
    </row>
    <row r="1240" spans="2:5" x14ac:dyDescent="0.35">
      <c r="B1240" s="38">
        <v>37740</v>
      </c>
      <c r="C1240" s="3">
        <v>0</v>
      </c>
      <c r="D1240" s="3">
        <v>1</v>
      </c>
      <c r="E1240" s="3">
        <f>C1240 - D1240</f>
        <v>-1</v>
      </c>
    </row>
    <row r="1241" spans="2:5" x14ac:dyDescent="0.35">
      <c r="B1241" s="38">
        <v>37741</v>
      </c>
      <c r="C1241" s="3">
        <v>0</v>
      </c>
      <c r="D1241" s="3">
        <v>0</v>
      </c>
      <c r="E1241" s="3">
        <f>C1241 - D1241</f>
        <v>0</v>
      </c>
    </row>
    <row r="1242" spans="2:5" x14ac:dyDescent="0.35">
      <c r="B1242" s="38">
        <v>37742</v>
      </c>
      <c r="C1242" s="3">
        <v>1</v>
      </c>
      <c r="D1242" s="3">
        <v>0</v>
      </c>
      <c r="E1242" s="3">
        <f>C1242 - D1242</f>
        <v>1</v>
      </c>
    </row>
    <row r="1243" spans="2:5" x14ac:dyDescent="0.35">
      <c r="B1243" s="38">
        <v>37743</v>
      </c>
      <c r="C1243" s="3">
        <v>0</v>
      </c>
      <c r="D1243" s="3">
        <v>1</v>
      </c>
      <c r="E1243" s="3">
        <f>C1243 - D1243</f>
        <v>-1</v>
      </c>
    </row>
    <row r="1244" spans="2:5" x14ac:dyDescent="0.35">
      <c r="B1244" s="38">
        <v>37744</v>
      </c>
      <c r="C1244" s="3">
        <v>0</v>
      </c>
      <c r="D1244" s="3">
        <v>0</v>
      </c>
      <c r="E1244" s="3">
        <f>C1244 - D1244</f>
        <v>0</v>
      </c>
    </row>
    <row r="1245" spans="2:5" x14ac:dyDescent="0.35">
      <c r="B1245" s="38">
        <v>37745</v>
      </c>
      <c r="C1245" s="3">
        <v>1</v>
      </c>
      <c r="D1245" s="3">
        <v>0</v>
      </c>
      <c r="E1245" s="3">
        <f>C1245 - D1245</f>
        <v>1</v>
      </c>
    </row>
    <row r="1246" spans="2:5" x14ac:dyDescent="0.35">
      <c r="B1246" s="38">
        <v>37746</v>
      </c>
      <c r="C1246" s="3">
        <v>0</v>
      </c>
      <c r="D1246" s="3">
        <v>1</v>
      </c>
      <c r="E1246" s="3">
        <f>C1246 - D1246</f>
        <v>-1</v>
      </c>
    </row>
    <row r="1247" spans="2:5" x14ac:dyDescent="0.35">
      <c r="B1247" s="38">
        <v>37747</v>
      </c>
      <c r="C1247" s="3">
        <v>0</v>
      </c>
      <c r="D1247" s="3">
        <v>0</v>
      </c>
      <c r="E1247" s="3">
        <f>C1247 - D1247</f>
        <v>0</v>
      </c>
    </row>
    <row r="1248" spans="2:5" x14ac:dyDescent="0.35">
      <c r="B1248" s="38">
        <v>37748</v>
      </c>
      <c r="C1248" s="3">
        <v>0</v>
      </c>
      <c r="D1248" s="3">
        <v>0</v>
      </c>
      <c r="E1248" s="3">
        <f>C1248 - D1248</f>
        <v>0</v>
      </c>
    </row>
    <row r="1249" spans="2:5" x14ac:dyDescent="0.35">
      <c r="B1249" s="38">
        <v>37749</v>
      </c>
      <c r="C1249" s="3">
        <v>0</v>
      </c>
      <c r="D1249" s="3">
        <v>0</v>
      </c>
      <c r="E1249" s="3">
        <f>C1249 - D1249</f>
        <v>0</v>
      </c>
    </row>
    <row r="1250" spans="2:5" x14ac:dyDescent="0.35">
      <c r="B1250" s="38">
        <v>37750</v>
      </c>
      <c r="C1250" s="3">
        <v>1</v>
      </c>
      <c r="D1250" s="3">
        <v>0</v>
      </c>
      <c r="E1250" s="3">
        <f>C1250 - D1250</f>
        <v>1</v>
      </c>
    </row>
    <row r="1251" spans="2:5" x14ac:dyDescent="0.35">
      <c r="B1251" s="38">
        <v>37751</v>
      </c>
      <c r="C1251" s="3">
        <v>1</v>
      </c>
      <c r="D1251" s="3">
        <v>1</v>
      </c>
      <c r="E1251" s="3">
        <f>C1251 - D1251</f>
        <v>0</v>
      </c>
    </row>
    <row r="1252" spans="2:5" x14ac:dyDescent="0.35">
      <c r="B1252" s="38">
        <v>37752</v>
      </c>
      <c r="C1252" s="3">
        <v>0</v>
      </c>
      <c r="D1252" s="3">
        <v>1</v>
      </c>
      <c r="E1252" s="3">
        <f>C1252 - D1252</f>
        <v>-1</v>
      </c>
    </row>
    <row r="1253" spans="2:5" x14ac:dyDescent="0.35">
      <c r="B1253" s="38">
        <v>37753</v>
      </c>
      <c r="C1253" s="3">
        <v>0</v>
      </c>
      <c r="D1253" s="3">
        <v>0</v>
      </c>
      <c r="E1253" s="3">
        <f>C1253 - D1253</f>
        <v>0</v>
      </c>
    </row>
    <row r="1254" spans="2:5" x14ac:dyDescent="0.35">
      <c r="B1254" s="38">
        <v>37754</v>
      </c>
      <c r="C1254" s="3">
        <v>0</v>
      </c>
      <c r="D1254" s="3">
        <v>0</v>
      </c>
      <c r="E1254" s="3">
        <f>C1254 - D1254</f>
        <v>0</v>
      </c>
    </row>
    <row r="1255" spans="2:5" x14ac:dyDescent="0.35">
      <c r="B1255" s="38">
        <v>37755</v>
      </c>
      <c r="C1255" s="3">
        <v>0</v>
      </c>
      <c r="D1255" s="3">
        <v>0</v>
      </c>
      <c r="E1255" s="3">
        <f>C1255 - D1255</f>
        <v>0</v>
      </c>
    </row>
    <row r="1256" spans="2:5" x14ac:dyDescent="0.35">
      <c r="B1256" s="38">
        <v>37756</v>
      </c>
      <c r="C1256" s="3">
        <v>1</v>
      </c>
      <c r="D1256" s="3">
        <v>0</v>
      </c>
      <c r="E1256" s="3">
        <f>C1256 - D1256</f>
        <v>1</v>
      </c>
    </row>
    <row r="1257" spans="2:5" x14ac:dyDescent="0.35">
      <c r="B1257" s="38">
        <v>37757</v>
      </c>
      <c r="C1257" s="3">
        <v>1</v>
      </c>
      <c r="D1257" s="3">
        <v>1</v>
      </c>
      <c r="E1257" s="3">
        <f>C1257 - D1257</f>
        <v>0</v>
      </c>
    </row>
    <row r="1258" spans="2:5" x14ac:dyDescent="0.35">
      <c r="B1258" s="38">
        <v>37758</v>
      </c>
      <c r="C1258" s="3">
        <v>0</v>
      </c>
      <c r="D1258" s="3">
        <v>1</v>
      </c>
      <c r="E1258" s="3">
        <f>C1258 - D1258</f>
        <v>-1</v>
      </c>
    </row>
    <row r="1259" spans="2:5" x14ac:dyDescent="0.35">
      <c r="B1259" s="38">
        <v>37759</v>
      </c>
      <c r="C1259" s="3">
        <v>1</v>
      </c>
      <c r="D1259" s="3">
        <v>0</v>
      </c>
      <c r="E1259" s="3">
        <f>C1259 - D1259</f>
        <v>1</v>
      </c>
    </row>
    <row r="1260" spans="2:5" x14ac:dyDescent="0.35">
      <c r="B1260" s="38">
        <v>37760</v>
      </c>
      <c r="C1260" s="3">
        <v>1</v>
      </c>
      <c r="D1260" s="3">
        <v>1</v>
      </c>
      <c r="E1260" s="3">
        <f>C1260 - D1260</f>
        <v>0</v>
      </c>
    </row>
    <row r="1261" spans="2:5" x14ac:dyDescent="0.35">
      <c r="B1261" s="38">
        <v>37761</v>
      </c>
      <c r="C1261" s="3">
        <v>1</v>
      </c>
      <c r="D1261" s="3">
        <v>1</v>
      </c>
      <c r="E1261" s="3">
        <f>C1261 - D1261</f>
        <v>0</v>
      </c>
    </row>
    <row r="1262" spans="2:5" x14ac:dyDescent="0.35">
      <c r="B1262" s="38">
        <v>37762</v>
      </c>
      <c r="C1262" s="3">
        <v>1</v>
      </c>
      <c r="D1262" s="3">
        <v>1</v>
      </c>
      <c r="E1262" s="3">
        <f>C1262 - D1262</f>
        <v>0</v>
      </c>
    </row>
    <row r="1263" spans="2:5" x14ac:dyDescent="0.35">
      <c r="B1263" s="38">
        <v>37763</v>
      </c>
      <c r="C1263" s="3">
        <v>0</v>
      </c>
      <c r="D1263" s="3">
        <v>1</v>
      </c>
      <c r="E1263" s="3">
        <f>C1263 - D1263</f>
        <v>-1</v>
      </c>
    </row>
    <row r="1264" spans="2:5" x14ac:dyDescent="0.35">
      <c r="B1264" s="38">
        <v>37764</v>
      </c>
      <c r="C1264" s="3">
        <v>0</v>
      </c>
      <c r="D1264" s="3">
        <v>0</v>
      </c>
      <c r="E1264" s="3">
        <f>C1264 - D1264</f>
        <v>0</v>
      </c>
    </row>
    <row r="1265" spans="2:5" x14ac:dyDescent="0.35">
      <c r="B1265" s="38">
        <v>37765</v>
      </c>
      <c r="C1265" s="3">
        <v>0</v>
      </c>
      <c r="D1265" s="3">
        <v>0</v>
      </c>
      <c r="E1265" s="3">
        <f>C1265 - D1265</f>
        <v>0</v>
      </c>
    </row>
    <row r="1266" spans="2:5" x14ac:dyDescent="0.35">
      <c r="B1266" s="38">
        <v>37766</v>
      </c>
      <c r="C1266" s="3">
        <v>0</v>
      </c>
      <c r="D1266" s="3">
        <v>0</v>
      </c>
      <c r="E1266" s="3">
        <f>C1266 - D1266</f>
        <v>0</v>
      </c>
    </row>
    <row r="1267" spans="2:5" x14ac:dyDescent="0.35">
      <c r="B1267" s="38">
        <v>37767</v>
      </c>
      <c r="C1267" s="3">
        <v>0</v>
      </c>
      <c r="D1267" s="3">
        <v>0</v>
      </c>
      <c r="E1267" s="3">
        <f>C1267 - D1267</f>
        <v>0</v>
      </c>
    </row>
    <row r="1268" spans="2:5" x14ac:dyDescent="0.35">
      <c r="B1268" s="38">
        <v>37768</v>
      </c>
      <c r="C1268" s="3">
        <v>0</v>
      </c>
      <c r="D1268" s="3">
        <v>0</v>
      </c>
      <c r="E1268" s="3">
        <f>C1268 - D1268</f>
        <v>0</v>
      </c>
    </row>
    <row r="1269" spans="2:5" x14ac:dyDescent="0.35">
      <c r="B1269" s="38">
        <v>37769</v>
      </c>
      <c r="C1269" s="3">
        <v>0</v>
      </c>
      <c r="D1269" s="3">
        <v>0</v>
      </c>
      <c r="E1269" s="3">
        <f>C1269 - D1269</f>
        <v>0</v>
      </c>
    </row>
    <row r="1270" spans="2:5" x14ac:dyDescent="0.35">
      <c r="B1270" s="38">
        <v>37770</v>
      </c>
      <c r="C1270" s="3">
        <v>0</v>
      </c>
      <c r="D1270" s="3">
        <v>0</v>
      </c>
      <c r="E1270" s="3">
        <f>C1270 - D1270</f>
        <v>0</v>
      </c>
    </row>
    <row r="1271" spans="2:5" x14ac:dyDescent="0.35">
      <c r="B1271" s="38">
        <v>37771</v>
      </c>
      <c r="C1271" s="3">
        <v>0</v>
      </c>
      <c r="D1271" s="3">
        <v>0</v>
      </c>
      <c r="E1271" s="3">
        <f>C1271 - D1271</f>
        <v>0</v>
      </c>
    </row>
    <row r="1272" spans="2:5" x14ac:dyDescent="0.35">
      <c r="B1272" s="38">
        <v>37772</v>
      </c>
      <c r="C1272" s="3">
        <v>0</v>
      </c>
      <c r="D1272" s="3">
        <v>0</v>
      </c>
      <c r="E1272" s="3">
        <f>C1272 - D1272</f>
        <v>0</v>
      </c>
    </row>
    <row r="1273" spans="2:5" x14ac:dyDescent="0.35">
      <c r="B1273" s="38">
        <v>37773</v>
      </c>
      <c r="C1273" s="3">
        <v>1</v>
      </c>
      <c r="D1273" s="3">
        <v>0</v>
      </c>
      <c r="E1273" s="3">
        <f>C1273 - D1273</f>
        <v>1</v>
      </c>
    </row>
    <row r="1274" spans="2:5" x14ac:dyDescent="0.35">
      <c r="B1274" s="38">
        <v>37774</v>
      </c>
      <c r="C1274" s="3">
        <v>1</v>
      </c>
      <c r="D1274" s="3">
        <v>1</v>
      </c>
      <c r="E1274" s="3">
        <f>C1274 - D1274</f>
        <v>0</v>
      </c>
    </row>
    <row r="1275" spans="2:5" x14ac:dyDescent="0.35">
      <c r="B1275" s="38">
        <v>37775</v>
      </c>
      <c r="C1275" s="3">
        <v>0</v>
      </c>
      <c r="D1275" s="3">
        <v>1</v>
      </c>
      <c r="E1275" s="3">
        <f>C1275 - D1275</f>
        <v>-1</v>
      </c>
    </row>
    <row r="1276" spans="2:5" x14ac:dyDescent="0.35">
      <c r="B1276" s="38">
        <v>37776</v>
      </c>
      <c r="C1276" s="3">
        <v>0</v>
      </c>
      <c r="D1276" s="3">
        <v>0</v>
      </c>
      <c r="E1276" s="3">
        <f>C1276 - D1276</f>
        <v>0</v>
      </c>
    </row>
    <row r="1277" spans="2:5" x14ac:dyDescent="0.35">
      <c r="B1277" s="38">
        <v>37777</v>
      </c>
      <c r="C1277" s="3">
        <v>0</v>
      </c>
      <c r="D1277" s="3">
        <v>0</v>
      </c>
      <c r="E1277" s="3">
        <f>C1277 - D1277</f>
        <v>0</v>
      </c>
    </row>
    <row r="1278" spans="2:5" x14ac:dyDescent="0.35">
      <c r="B1278" s="38">
        <v>37778</v>
      </c>
      <c r="C1278" s="3">
        <v>0</v>
      </c>
      <c r="D1278" s="3">
        <v>0</v>
      </c>
      <c r="E1278" s="3">
        <f>C1278 - D1278</f>
        <v>0</v>
      </c>
    </row>
    <row r="1279" spans="2:5" x14ac:dyDescent="0.35">
      <c r="B1279" s="38">
        <v>37779</v>
      </c>
      <c r="C1279" s="3">
        <v>1</v>
      </c>
      <c r="D1279" s="3">
        <v>0</v>
      </c>
      <c r="E1279" s="3">
        <f>C1279 - D1279</f>
        <v>1</v>
      </c>
    </row>
    <row r="1280" spans="2:5" x14ac:dyDescent="0.35">
      <c r="B1280" s="38">
        <v>37780</v>
      </c>
      <c r="C1280" s="3">
        <v>0</v>
      </c>
      <c r="D1280" s="3">
        <v>1</v>
      </c>
      <c r="E1280" s="3">
        <f>C1280 - D1280</f>
        <v>-1</v>
      </c>
    </row>
    <row r="1281" spans="2:5" x14ac:dyDescent="0.35">
      <c r="B1281" s="38">
        <v>37781</v>
      </c>
      <c r="C1281" s="3">
        <v>1</v>
      </c>
      <c r="D1281" s="3">
        <v>0</v>
      </c>
      <c r="E1281" s="3">
        <f>C1281 - D1281</f>
        <v>1</v>
      </c>
    </row>
    <row r="1282" spans="2:5" x14ac:dyDescent="0.35">
      <c r="B1282" s="38">
        <v>37782</v>
      </c>
      <c r="C1282" s="3">
        <v>0</v>
      </c>
      <c r="D1282" s="3">
        <v>1</v>
      </c>
      <c r="E1282" s="3">
        <f>C1282 - D1282</f>
        <v>-1</v>
      </c>
    </row>
    <row r="1283" spans="2:5" x14ac:dyDescent="0.35">
      <c r="B1283" s="38">
        <v>37783</v>
      </c>
      <c r="C1283" s="3">
        <v>0</v>
      </c>
      <c r="D1283" s="3">
        <v>0</v>
      </c>
      <c r="E1283" s="3">
        <f>C1283 - D1283</f>
        <v>0</v>
      </c>
    </row>
    <row r="1284" spans="2:5" x14ac:dyDescent="0.35">
      <c r="B1284" s="38">
        <v>37784</v>
      </c>
      <c r="C1284" s="3">
        <v>0</v>
      </c>
      <c r="D1284" s="3">
        <v>0</v>
      </c>
      <c r="E1284" s="3">
        <f>C1284 - D1284</f>
        <v>0</v>
      </c>
    </row>
    <row r="1285" spans="2:5" x14ac:dyDescent="0.35">
      <c r="B1285" s="38">
        <v>37785</v>
      </c>
      <c r="C1285" s="3">
        <v>0</v>
      </c>
      <c r="D1285" s="3">
        <v>0</v>
      </c>
      <c r="E1285" s="3">
        <f>C1285 - D1285</f>
        <v>0</v>
      </c>
    </row>
    <row r="1286" spans="2:5" x14ac:dyDescent="0.35">
      <c r="B1286" s="38">
        <v>37786</v>
      </c>
      <c r="C1286" s="3">
        <v>1</v>
      </c>
      <c r="D1286" s="3">
        <v>0</v>
      </c>
      <c r="E1286" s="3">
        <f>C1286 - D1286</f>
        <v>1</v>
      </c>
    </row>
    <row r="1287" spans="2:5" x14ac:dyDescent="0.35">
      <c r="B1287" s="38">
        <v>37787</v>
      </c>
      <c r="C1287" s="3">
        <v>1</v>
      </c>
      <c r="D1287" s="3">
        <v>1</v>
      </c>
      <c r="E1287" s="3">
        <f>C1287 - D1287</f>
        <v>0</v>
      </c>
    </row>
    <row r="1288" spans="2:5" x14ac:dyDescent="0.35">
      <c r="B1288" s="38">
        <v>37788</v>
      </c>
      <c r="C1288" s="3">
        <v>1</v>
      </c>
      <c r="D1288" s="3">
        <v>1</v>
      </c>
      <c r="E1288" s="3">
        <f>C1288 - D1288</f>
        <v>0</v>
      </c>
    </row>
    <row r="1289" spans="2:5" x14ac:dyDescent="0.35">
      <c r="B1289" s="38">
        <v>37789</v>
      </c>
      <c r="C1289" s="3">
        <v>1</v>
      </c>
      <c r="D1289" s="3">
        <v>1</v>
      </c>
      <c r="E1289" s="3">
        <f>C1289 - D1289</f>
        <v>0</v>
      </c>
    </row>
    <row r="1290" spans="2:5" x14ac:dyDescent="0.35">
      <c r="B1290" s="38">
        <v>37790</v>
      </c>
      <c r="C1290" s="3">
        <v>0</v>
      </c>
      <c r="D1290" s="3">
        <v>1</v>
      </c>
      <c r="E1290" s="3">
        <f>C1290 - D1290</f>
        <v>-1</v>
      </c>
    </row>
    <row r="1291" spans="2:5" x14ac:dyDescent="0.35">
      <c r="B1291" s="38">
        <v>37791</v>
      </c>
      <c r="C1291" s="3">
        <v>1</v>
      </c>
      <c r="D1291" s="3">
        <v>0</v>
      </c>
      <c r="E1291" s="3">
        <f>C1291 - D1291</f>
        <v>1</v>
      </c>
    </row>
    <row r="1292" spans="2:5" x14ac:dyDescent="0.35">
      <c r="B1292" s="38">
        <v>37792</v>
      </c>
      <c r="C1292" s="3">
        <v>1</v>
      </c>
      <c r="D1292" s="3">
        <v>1</v>
      </c>
      <c r="E1292" s="3">
        <f>C1292 - D1292</f>
        <v>0</v>
      </c>
    </row>
    <row r="1293" spans="2:5" x14ac:dyDescent="0.35">
      <c r="B1293" s="38">
        <v>37793</v>
      </c>
      <c r="C1293" s="3">
        <v>0</v>
      </c>
      <c r="D1293" s="3">
        <v>1</v>
      </c>
      <c r="E1293" s="3">
        <f>C1293 - D1293</f>
        <v>-1</v>
      </c>
    </row>
    <row r="1294" spans="2:5" x14ac:dyDescent="0.35">
      <c r="B1294" s="38">
        <v>37794</v>
      </c>
      <c r="C1294" s="3">
        <v>1</v>
      </c>
      <c r="D1294" s="3">
        <v>0</v>
      </c>
      <c r="E1294" s="3">
        <f>C1294 - D1294</f>
        <v>1</v>
      </c>
    </row>
    <row r="1295" spans="2:5" x14ac:dyDescent="0.35">
      <c r="B1295" s="38">
        <v>37795</v>
      </c>
      <c r="C1295" s="3">
        <v>1</v>
      </c>
      <c r="D1295" s="3">
        <v>1</v>
      </c>
      <c r="E1295" s="3">
        <f>C1295 - D1295</f>
        <v>0</v>
      </c>
    </row>
    <row r="1296" spans="2:5" x14ac:dyDescent="0.35">
      <c r="B1296" s="38">
        <v>37796</v>
      </c>
      <c r="C1296" s="3">
        <v>1</v>
      </c>
      <c r="D1296" s="3">
        <v>1</v>
      </c>
      <c r="E1296" s="3">
        <f>C1296 - D1296</f>
        <v>0</v>
      </c>
    </row>
    <row r="1297" spans="2:5" x14ac:dyDescent="0.35">
      <c r="B1297" s="38">
        <v>37797</v>
      </c>
      <c r="C1297" s="3">
        <v>0</v>
      </c>
      <c r="D1297" s="3">
        <v>1</v>
      </c>
      <c r="E1297" s="3">
        <f>C1297 - D1297</f>
        <v>-1</v>
      </c>
    </row>
    <row r="1298" spans="2:5" x14ac:dyDescent="0.35">
      <c r="B1298" s="38">
        <v>37798</v>
      </c>
      <c r="C1298" s="3">
        <v>0</v>
      </c>
      <c r="D1298" s="3">
        <v>0</v>
      </c>
      <c r="E1298" s="3">
        <f>C1298 - D1298</f>
        <v>0</v>
      </c>
    </row>
    <row r="1299" spans="2:5" x14ac:dyDescent="0.35">
      <c r="B1299" s="38">
        <v>37799</v>
      </c>
      <c r="C1299" s="3">
        <v>0</v>
      </c>
      <c r="D1299" s="3">
        <v>0</v>
      </c>
      <c r="E1299" s="3">
        <f>C1299 - D1299</f>
        <v>0</v>
      </c>
    </row>
    <row r="1300" spans="2:5" x14ac:dyDescent="0.35">
      <c r="B1300" s="38">
        <v>37800</v>
      </c>
      <c r="C1300" s="3">
        <v>1</v>
      </c>
      <c r="D1300" s="3">
        <v>0</v>
      </c>
      <c r="E1300" s="3">
        <f>C1300 - D1300</f>
        <v>1</v>
      </c>
    </row>
    <row r="1301" spans="2:5" x14ac:dyDescent="0.35">
      <c r="B1301" s="38">
        <v>37801</v>
      </c>
      <c r="C1301" s="3">
        <v>1</v>
      </c>
      <c r="D1301" s="3">
        <v>1</v>
      </c>
      <c r="E1301" s="3">
        <f>C1301 - D1301</f>
        <v>0</v>
      </c>
    </row>
    <row r="1302" spans="2:5" x14ac:dyDescent="0.35">
      <c r="B1302" s="38">
        <v>37802</v>
      </c>
      <c r="C1302" s="3">
        <v>1</v>
      </c>
      <c r="D1302" s="3">
        <v>1</v>
      </c>
      <c r="E1302" s="3">
        <f>C1302 - D1302</f>
        <v>0</v>
      </c>
    </row>
    <row r="1303" spans="2:5" x14ac:dyDescent="0.35">
      <c r="B1303" s="38">
        <v>37803</v>
      </c>
      <c r="C1303" s="3">
        <v>1</v>
      </c>
      <c r="D1303" s="3">
        <v>1</v>
      </c>
      <c r="E1303" s="3">
        <f>C1303 - D1303</f>
        <v>0</v>
      </c>
    </row>
    <row r="1304" spans="2:5" x14ac:dyDescent="0.35">
      <c r="B1304" s="38">
        <v>37804</v>
      </c>
      <c r="C1304" s="3">
        <v>0</v>
      </c>
      <c r="D1304" s="3">
        <v>1</v>
      </c>
      <c r="E1304" s="3">
        <f>C1304 - D1304</f>
        <v>-1</v>
      </c>
    </row>
    <row r="1305" spans="2:5" x14ac:dyDescent="0.35">
      <c r="B1305" s="38">
        <v>37805</v>
      </c>
      <c r="C1305" s="3">
        <v>0</v>
      </c>
      <c r="D1305" s="3">
        <v>0</v>
      </c>
      <c r="E1305" s="3">
        <f>C1305 - D1305</f>
        <v>0</v>
      </c>
    </row>
    <row r="1306" spans="2:5" x14ac:dyDescent="0.35">
      <c r="B1306" s="38">
        <v>37806</v>
      </c>
      <c r="C1306" s="3">
        <v>0</v>
      </c>
      <c r="D1306" s="3">
        <v>0</v>
      </c>
      <c r="E1306" s="3">
        <f>C1306 - D1306</f>
        <v>0</v>
      </c>
    </row>
    <row r="1307" spans="2:5" x14ac:dyDescent="0.35">
      <c r="B1307" s="38">
        <v>37807</v>
      </c>
      <c r="C1307" s="3">
        <v>0</v>
      </c>
      <c r="D1307" s="3">
        <v>0</v>
      </c>
      <c r="E1307" s="3">
        <f>C1307 - D1307</f>
        <v>0</v>
      </c>
    </row>
    <row r="1308" spans="2:5" x14ac:dyDescent="0.35">
      <c r="B1308" s="38">
        <v>37808</v>
      </c>
      <c r="C1308" s="3">
        <v>0</v>
      </c>
      <c r="D1308" s="3">
        <v>0</v>
      </c>
      <c r="E1308" s="3">
        <f>C1308 - D1308</f>
        <v>0</v>
      </c>
    </row>
    <row r="1309" spans="2:5" x14ac:dyDescent="0.35">
      <c r="B1309" s="38">
        <v>37809</v>
      </c>
      <c r="C1309" s="3">
        <v>0</v>
      </c>
      <c r="D1309" s="3">
        <v>0</v>
      </c>
      <c r="E1309" s="3">
        <f>C1309 - D1309</f>
        <v>0</v>
      </c>
    </row>
    <row r="1310" spans="2:5" x14ac:dyDescent="0.35">
      <c r="B1310" s="38">
        <v>37810</v>
      </c>
      <c r="C1310" s="3">
        <v>1</v>
      </c>
      <c r="D1310" s="3">
        <v>0</v>
      </c>
      <c r="E1310" s="3">
        <f>C1310 - D1310</f>
        <v>1</v>
      </c>
    </row>
    <row r="1311" spans="2:5" x14ac:dyDescent="0.35">
      <c r="B1311" s="38">
        <v>37811</v>
      </c>
      <c r="C1311" s="3">
        <v>0</v>
      </c>
      <c r="D1311" s="3">
        <v>1</v>
      </c>
      <c r="E1311" s="3">
        <f>C1311 - D1311</f>
        <v>-1</v>
      </c>
    </row>
    <row r="1312" spans="2:5" x14ac:dyDescent="0.35">
      <c r="B1312" s="38">
        <v>37812</v>
      </c>
      <c r="C1312" s="3">
        <v>0</v>
      </c>
      <c r="D1312" s="3">
        <v>0</v>
      </c>
      <c r="E1312" s="3">
        <f>C1312 - D1312</f>
        <v>0</v>
      </c>
    </row>
    <row r="1313" spans="2:5" x14ac:dyDescent="0.35">
      <c r="B1313" s="38">
        <v>37813</v>
      </c>
      <c r="C1313" s="3">
        <v>0</v>
      </c>
      <c r="D1313" s="3">
        <v>0</v>
      </c>
      <c r="E1313" s="3">
        <f>C1313 - D1313</f>
        <v>0</v>
      </c>
    </row>
    <row r="1314" spans="2:5" x14ac:dyDescent="0.35">
      <c r="B1314" s="38">
        <v>37814</v>
      </c>
      <c r="C1314" s="3">
        <v>0</v>
      </c>
      <c r="D1314" s="3">
        <v>0</v>
      </c>
      <c r="E1314" s="3">
        <f>C1314 - D1314</f>
        <v>0</v>
      </c>
    </row>
    <row r="1315" spans="2:5" x14ac:dyDescent="0.35">
      <c r="B1315" s="38">
        <v>37815</v>
      </c>
      <c r="C1315" s="3">
        <v>0</v>
      </c>
      <c r="D1315" s="3">
        <v>0</v>
      </c>
      <c r="E1315" s="3">
        <f>C1315 - D1315</f>
        <v>0</v>
      </c>
    </row>
    <row r="1316" spans="2:5" x14ac:dyDescent="0.35">
      <c r="B1316" s="38">
        <v>37816</v>
      </c>
      <c r="C1316" s="3">
        <v>1</v>
      </c>
      <c r="D1316" s="3">
        <v>0</v>
      </c>
      <c r="E1316" s="3">
        <f>C1316 - D1316</f>
        <v>1</v>
      </c>
    </row>
    <row r="1317" spans="2:5" x14ac:dyDescent="0.35">
      <c r="B1317" s="38">
        <v>37817</v>
      </c>
      <c r="C1317" s="3">
        <v>0</v>
      </c>
      <c r="D1317" s="3">
        <v>1</v>
      </c>
      <c r="E1317" s="3">
        <f>C1317 - D1317</f>
        <v>-1</v>
      </c>
    </row>
    <row r="1318" spans="2:5" x14ac:dyDescent="0.35">
      <c r="B1318" s="38">
        <v>37818</v>
      </c>
      <c r="C1318" s="3">
        <v>1</v>
      </c>
      <c r="D1318" s="3">
        <v>0</v>
      </c>
      <c r="E1318" s="3">
        <f>C1318 - D1318</f>
        <v>1</v>
      </c>
    </row>
    <row r="1319" spans="2:5" x14ac:dyDescent="0.35">
      <c r="B1319" s="38">
        <v>37819</v>
      </c>
      <c r="C1319" s="3">
        <v>0</v>
      </c>
      <c r="D1319" s="3">
        <v>1</v>
      </c>
      <c r="E1319" s="3">
        <f>C1319 - D1319</f>
        <v>-1</v>
      </c>
    </row>
    <row r="1320" spans="2:5" x14ac:dyDescent="0.35">
      <c r="B1320" s="38">
        <v>37820</v>
      </c>
      <c r="C1320" s="3">
        <v>0</v>
      </c>
      <c r="D1320" s="3">
        <v>0</v>
      </c>
      <c r="E1320" s="3">
        <f>C1320 - D1320</f>
        <v>0</v>
      </c>
    </row>
    <row r="1321" spans="2:5" x14ac:dyDescent="0.35">
      <c r="B1321" s="38">
        <v>37821</v>
      </c>
      <c r="C1321" s="3">
        <v>0</v>
      </c>
      <c r="D1321" s="3">
        <v>0</v>
      </c>
      <c r="E1321" s="3">
        <f>C1321 - D1321</f>
        <v>0</v>
      </c>
    </row>
    <row r="1322" spans="2:5" x14ac:dyDescent="0.35">
      <c r="B1322" s="38">
        <v>37822</v>
      </c>
      <c r="C1322" s="3">
        <v>0</v>
      </c>
      <c r="D1322" s="3">
        <v>0</v>
      </c>
      <c r="E1322" s="3">
        <f>C1322 - D1322</f>
        <v>0</v>
      </c>
    </row>
    <row r="1323" spans="2:5" x14ac:dyDescent="0.35">
      <c r="B1323" s="38">
        <v>37823</v>
      </c>
      <c r="C1323" s="3">
        <v>0</v>
      </c>
      <c r="D1323" s="3">
        <v>0</v>
      </c>
      <c r="E1323" s="3">
        <f>C1323 - D1323</f>
        <v>0</v>
      </c>
    </row>
    <row r="1324" spans="2:5" x14ac:dyDescent="0.35">
      <c r="B1324" s="38">
        <v>37824</v>
      </c>
      <c r="C1324" s="3">
        <v>1</v>
      </c>
      <c r="D1324" s="3">
        <v>0</v>
      </c>
      <c r="E1324" s="3">
        <f>C1324 - D1324</f>
        <v>1</v>
      </c>
    </row>
    <row r="1325" spans="2:5" x14ac:dyDescent="0.35">
      <c r="B1325" s="38">
        <v>37825</v>
      </c>
      <c r="C1325" s="3">
        <v>1</v>
      </c>
      <c r="D1325" s="3">
        <v>1</v>
      </c>
      <c r="E1325" s="3">
        <f>C1325 - D1325</f>
        <v>0</v>
      </c>
    </row>
    <row r="1326" spans="2:5" x14ac:dyDescent="0.35">
      <c r="B1326" s="38">
        <v>37826</v>
      </c>
      <c r="C1326" s="3">
        <v>1</v>
      </c>
      <c r="D1326" s="3">
        <v>1</v>
      </c>
      <c r="E1326" s="3">
        <f>C1326 - D1326</f>
        <v>0</v>
      </c>
    </row>
    <row r="1327" spans="2:5" x14ac:dyDescent="0.35">
      <c r="B1327" s="38">
        <v>37827</v>
      </c>
      <c r="C1327" s="3">
        <v>1</v>
      </c>
      <c r="D1327" s="3">
        <v>1</v>
      </c>
      <c r="E1327" s="3">
        <f>C1327 - D1327</f>
        <v>0</v>
      </c>
    </row>
    <row r="1328" spans="2:5" x14ac:dyDescent="0.35">
      <c r="B1328" s="38">
        <v>37828</v>
      </c>
      <c r="C1328" s="3">
        <v>1</v>
      </c>
      <c r="D1328" s="3">
        <v>1</v>
      </c>
      <c r="E1328" s="3">
        <f>C1328 - D1328</f>
        <v>0</v>
      </c>
    </row>
    <row r="1329" spans="2:5" x14ac:dyDescent="0.35">
      <c r="B1329" s="38">
        <v>37829</v>
      </c>
      <c r="C1329" s="3">
        <v>1</v>
      </c>
      <c r="D1329" s="3">
        <v>1</v>
      </c>
      <c r="E1329" s="3">
        <f>C1329 - D1329</f>
        <v>0</v>
      </c>
    </row>
    <row r="1330" spans="2:5" x14ac:dyDescent="0.35">
      <c r="B1330" s="38">
        <v>37830</v>
      </c>
      <c r="C1330" s="3">
        <v>0</v>
      </c>
      <c r="D1330" s="3">
        <v>1</v>
      </c>
      <c r="E1330" s="3">
        <f>C1330 - D1330</f>
        <v>-1</v>
      </c>
    </row>
    <row r="1331" spans="2:5" x14ac:dyDescent="0.35">
      <c r="B1331" s="38">
        <v>37831</v>
      </c>
      <c r="C1331" s="3">
        <v>1</v>
      </c>
      <c r="D1331" s="3">
        <v>0</v>
      </c>
      <c r="E1331" s="3">
        <f>C1331 - D1331</f>
        <v>1</v>
      </c>
    </row>
    <row r="1332" spans="2:5" x14ac:dyDescent="0.35">
      <c r="B1332" s="38">
        <v>37832</v>
      </c>
      <c r="C1332" s="3">
        <v>1</v>
      </c>
      <c r="D1332" s="3">
        <v>1</v>
      </c>
      <c r="E1332" s="3">
        <f>C1332 - D1332</f>
        <v>0</v>
      </c>
    </row>
    <row r="1333" spans="2:5" x14ac:dyDescent="0.35">
      <c r="B1333" s="38">
        <v>37833</v>
      </c>
      <c r="C1333" s="3">
        <v>1</v>
      </c>
      <c r="D1333" s="3">
        <v>1</v>
      </c>
      <c r="E1333" s="3">
        <f>C1333 - D1333</f>
        <v>0</v>
      </c>
    </row>
    <row r="1334" spans="2:5" x14ac:dyDescent="0.35">
      <c r="B1334" s="38">
        <v>37834</v>
      </c>
      <c r="C1334" s="3">
        <v>0</v>
      </c>
      <c r="D1334" s="3">
        <v>1</v>
      </c>
      <c r="E1334" s="3">
        <f>C1334 - D1334</f>
        <v>-1</v>
      </c>
    </row>
    <row r="1335" spans="2:5" x14ac:dyDescent="0.35">
      <c r="B1335" s="38">
        <v>37835</v>
      </c>
      <c r="C1335" s="3">
        <v>0</v>
      </c>
      <c r="D1335" s="3">
        <v>0</v>
      </c>
      <c r="E1335" s="3">
        <f>C1335 - D1335</f>
        <v>0</v>
      </c>
    </row>
    <row r="1336" spans="2:5" x14ac:dyDescent="0.35">
      <c r="B1336" s="38">
        <v>37836</v>
      </c>
      <c r="C1336" s="3">
        <v>0</v>
      </c>
      <c r="D1336" s="3">
        <v>0</v>
      </c>
      <c r="E1336" s="3">
        <f>C1336 - D1336</f>
        <v>0</v>
      </c>
    </row>
    <row r="1337" spans="2:5" x14ac:dyDescent="0.35">
      <c r="B1337" s="38">
        <v>37837</v>
      </c>
      <c r="C1337" s="3">
        <v>0</v>
      </c>
      <c r="D1337" s="3">
        <v>0</v>
      </c>
      <c r="E1337" s="3">
        <f>C1337 - D1337</f>
        <v>0</v>
      </c>
    </row>
    <row r="1338" spans="2:5" x14ac:dyDescent="0.35">
      <c r="B1338" s="38">
        <v>37838</v>
      </c>
      <c r="C1338" s="3">
        <v>0</v>
      </c>
      <c r="D1338" s="3">
        <v>0</v>
      </c>
      <c r="E1338" s="3">
        <f>C1338 - D1338</f>
        <v>0</v>
      </c>
    </row>
    <row r="1339" spans="2:5" x14ac:dyDescent="0.35">
      <c r="B1339" s="38">
        <v>37839</v>
      </c>
      <c r="C1339" s="3">
        <v>1</v>
      </c>
      <c r="D1339" s="3">
        <v>0</v>
      </c>
      <c r="E1339" s="3">
        <f>C1339 - D1339</f>
        <v>1</v>
      </c>
    </row>
    <row r="1340" spans="2:5" x14ac:dyDescent="0.35">
      <c r="B1340" s="38">
        <v>37840</v>
      </c>
      <c r="C1340" s="3">
        <v>1</v>
      </c>
      <c r="D1340" s="3">
        <v>1</v>
      </c>
      <c r="E1340" s="3">
        <f>C1340 - D1340</f>
        <v>0</v>
      </c>
    </row>
    <row r="1341" spans="2:5" x14ac:dyDescent="0.35">
      <c r="B1341" s="38">
        <v>37841</v>
      </c>
      <c r="C1341" s="3">
        <v>0</v>
      </c>
      <c r="D1341" s="3">
        <v>1</v>
      </c>
      <c r="E1341" s="3">
        <f>C1341 - D1341</f>
        <v>-1</v>
      </c>
    </row>
    <row r="1342" spans="2:5" x14ac:dyDescent="0.35">
      <c r="B1342" s="38">
        <v>37842</v>
      </c>
      <c r="C1342" s="3">
        <v>1</v>
      </c>
      <c r="D1342" s="3">
        <v>0</v>
      </c>
      <c r="E1342" s="3">
        <f>C1342 - D1342</f>
        <v>1</v>
      </c>
    </row>
    <row r="1343" spans="2:5" x14ac:dyDescent="0.35">
      <c r="B1343" s="38">
        <v>37843</v>
      </c>
      <c r="C1343" s="3">
        <v>0</v>
      </c>
      <c r="D1343" s="3">
        <v>1</v>
      </c>
      <c r="E1343" s="3">
        <f>C1343 - D1343</f>
        <v>-1</v>
      </c>
    </row>
    <row r="1344" spans="2:5" x14ac:dyDescent="0.35">
      <c r="B1344" s="38">
        <v>37844</v>
      </c>
      <c r="C1344" s="3">
        <v>0</v>
      </c>
      <c r="D1344" s="3">
        <v>0</v>
      </c>
      <c r="E1344" s="3">
        <f>C1344 - D1344</f>
        <v>0</v>
      </c>
    </row>
    <row r="1345" spans="2:5" x14ac:dyDescent="0.35">
      <c r="B1345" s="38">
        <v>37845</v>
      </c>
      <c r="C1345" s="3">
        <v>0</v>
      </c>
      <c r="D1345" s="3">
        <v>0</v>
      </c>
      <c r="E1345" s="3">
        <f>C1345 - D1345</f>
        <v>0</v>
      </c>
    </row>
    <row r="1346" spans="2:5" x14ac:dyDescent="0.35">
      <c r="B1346" s="38">
        <v>37846</v>
      </c>
      <c r="C1346" s="3">
        <v>1</v>
      </c>
      <c r="D1346" s="3">
        <v>0</v>
      </c>
      <c r="E1346" s="3">
        <f>C1346 - D1346</f>
        <v>1</v>
      </c>
    </row>
    <row r="1347" spans="2:5" x14ac:dyDescent="0.35">
      <c r="B1347" s="38">
        <v>37847</v>
      </c>
      <c r="C1347" s="3">
        <v>1</v>
      </c>
      <c r="D1347" s="3">
        <v>1</v>
      </c>
      <c r="E1347" s="3">
        <f>C1347 - D1347</f>
        <v>0</v>
      </c>
    </row>
    <row r="1348" spans="2:5" x14ac:dyDescent="0.35">
      <c r="B1348" s="38">
        <v>37848</v>
      </c>
      <c r="C1348" s="3">
        <v>0</v>
      </c>
      <c r="D1348" s="3">
        <v>1</v>
      </c>
      <c r="E1348" s="3">
        <f>C1348 - D1348</f>
        <v>-1</v>
      </c>
    </row>
    <row r="1349" spans="2:5" x14ac:dyDescent="0.35">
      <c r="B1349" s="38">
        <v>37849</v>
      </c>
      <c r="C1349" s="3">
        <v>0</v>
      </c>
      <c r="D1349" s="3">
        <v>0</v>
      </c>
      <c r="E1349" s="3">
        <f>C1349 - D1349</f>
        <v>0</v>
      </c>
    </row>
    <row r="1350" spans="2:5" x14ac:dyDescent="0.35">
      <c r="B1350" s="38">
        <v>37850</v>
      </c>
      <c r="C1350" s="3">
        <v>0</v>
      </c>
      <c r="D1350" s="3">
        <v>0</v>
      </c>
      <c r="E1350" s="3">
        <f>C1350 - D1350</f>
        <v>0</v>
      </c>
    </row>
    <row r="1351" spans="2:5" x14ac:dyDescent="0.35">
      <c r="B1351" s="38">
        <v>37851</v>
      </c>
      <c r="C1351" s="3">
        <v>1</v>
      </c>
      <c r="D1351" s="3">
        <v>0</v>
      </c>
      <c r="E1351" s="3">
        <f>C1351 - D1351</f>
        <v>1</v>
      </c>
    </row>
    <row r="1352" spans="2:5" x14ac:dyDescent="0.35">
      <c r="B1352" s="38">
        <v>37852</v>
      </c>
      <c r="C1352" s="3">
        <v>1</v>
      </c>
      <c r="D1352" s="3">
        <v>1</v>
      </c>
      <c r="E1352" s="3">
        <f>C1352 - D1352</f>
        <v>0</v>
      </c>
    </row>
    <row r="1353" spans="2:5" x14ac:dyDescent="0.35">
      <c r="B1353" s="38">
        <v>37853</v>
      </c>
      <c r="C1353" s="3">
        <v>0</v>
      </c>
      <c r="D1353" s="3">
        <v>1</v>
      </c>
      <c r="E1353" s="3">
        <f>C1353 - D1353</f>
        <v>-1</v>
      </c>
    </row>
    <row r="1354" spans="2:5" x14ac:dyDescent="0.35">
      <c r="B1354" s="38">
        <v>37854</v>
      </c>
      <c r="C1354" s="3">
        <v>0</v>
      </c>
      <c r="D1354" s="3">
        <v>0</v>
      </c>
      <c r="E1354" s="3">
        <f>C1354 - D1354</f>
        <v>0</v>
      </c>
    </row>
    <row r="1355" spans="2:5" x14ac:dyDescent="0.35">
      <c r="B1355" s="38">
        <v>37855</v>
      </c>
      <c r="C1355" s="3">
        <v>0</v>
      </c>
      <c r="D1355" s="3">
        <v>0</v>
      </c>
      <c r="E1355" s="3">
        <f>C1355 - D1355</f>
        <v>0</v>
      </c>
    </row>
    <row r="1356" spans="2:5" x14ac:dyDescent="0.35">
      <c r="B1356" s="38">
        <v>37856</v>
      </c>
      <c r="C1356" s="3">
        <v>0</v>
      </c>
      <c r="D1356" s="3">
        <v>0</v>
      </c>
      <c r="E1356" s="3">
        <f>C1356 - D1356</f>
        <v>0</v>
      </c>
    </row>
    <row r="1357" spans="2:5" x14ac:dyDescent="0.35">
      <c r="B1357" s="38">
        <v>37857</v>
      </c>
      <c r="C1357" s="3">
        <v>1</v>
      </c>
      <c r="D1357" s="3">
        <v>0</v>
      </c>
      <c r="E1357" s="3">
        <f>C1357 - D1357</f>
        <v>1</v>
      </c>
    </row>
    <row r="1358" spans="2:5" x14ac:dyDescent="0.35">
      <c r="B1358" s="38">
        <v>37858</v>
      </c>
      <c r="C1358" s="3">
        <v>1</v>
      </c>
      <c r="D1358" s="3">
        <v>1</v>
      </c>
      <c r="E1358" s="3">
        <f>C1358 - D1358</f>
        <v>0</v>
      </c>
    </row>
    <row r="1359" spans="2:5" x14ac:dyDescent="0.35">
      <c r="B1359" s="38">
        <v>37859</v>
      </c>
      <c r="C1359" s="3">
        <v>1</v>
      </c>
      <c r="D1359" s="3">
        <v>1</v>
      </c>
      <c r="E1359" s="3">
        <f>C1359 - D1359</f>
        <v>0</v>
      </c>
    </row>
    <row r="1360" spans="2:5" x14ac:dyDescent="0.35">
      <c r="B1360" s="38">
        <v>37860</v>
      </c>
      <c r="C1360" s="3">
        <v>1</v>
      </c>
      <c r="D1360" s="3">
        <v>1</v>
      </c>
      <c r="E1360" s="3">
        <f>C1360 - D1360</f>
        <v>0</v>
      </c>
    </row>
    <row r="1361" spans="2:5" x14ac:dyDescent="0.35">
      <c r="B1361" s="38">
        <v>37861</v>
      </c>
      <c r="C1361" s="3">
        <v>0</v>
      </c>
      <c r="D1361" s="3">
        <v>1</v>
      </c>
      <c r="E1361" s="3">
        <f>C1361 - D1361</f>
        <v>-1</v>
      </c>
    </row>
    <row r="1362" spans="2:5" x14ac:dyDescent="0.35">
      <c r="B1362" s="38">
        <v>37862</v>
      </c>
      <c r="C1362" s="3">
        <v>0</v>
      </c>
      <c r="D1362" s="3">
        <v>0</v>
      </c>
      <c r="E1362" s="3">
        <f>C1362 - D1362</f>
        <v>0</v>
      </c>
    </row>
    <row r="1363" spans="2:5" x14ac:dyDescent="0.35">
      <c r="B1363" s="38">
        <v>37863</v>
      </c>
      <c r="C1363" s="3">
        <v>1</v>
      </c>
      <c r="D1363" s="3">
        <v>0</v>
      </c>
      <c r="E1363" s="3">
        <f>C1363 - D1363</f>
        <v>1</v>
      </c>
    </row>
    <row r="1364" spans="2:5" x14ac:dyDescent="0.35">
      <c r="B1364" s="38">
        <v>37864</v>
      </c>
      <c r="C1364" s="3">
        <v>0</v>
      </c>
      <c r="D1364" s="3">
        <v>1</v>
      </c>
      <c r="E1364" s="3">
        <f>C1364 - D1364</f>
        <v>-1</v>
      </c>
    </row>
    <row r="1365" spans="2:5" x14ac:dyDescent="0.35">
      <c r="B1365" s="38">
        <v>37865</v>
      </c>
      <c r="C1365" s="3">
        <v>1</v>
      </c>
      <c r="D1365" s="3">
        <v>0</v>
      </c>
      <c r="E1365" s="3">
        <f>C1365 - D1365</f>
        <v>1</v>
      </c>
    </row>
    <row r="1366" spans="2:5" x14ac:dyDescent="0.35">
      <c r="B1366" s="38">
        <v>37866</v>
      </c>
      <c r="C1366" s="3">
        <v>1</v>
      </c>
      <c r="D1366" s="3">
        <v>1</v>
      </c>
      <c r="E1366" s="3">
        <f>C1366 - D1366</f>
        <v>0</v>
      </c>
    </row>
    <row r="1367" spans="2:5" x14ac:dyDescent="0.35">
      <c r="B1367" s="38">
        <v>37867</v>
      </c>
      <c r="C1367" s="3">
        <v>0</v>
      </c>
      <c r="D1367" s="3">
        <v>1</v>
      </c>
      <c r="E1367" s="3">
        <f>C1367 - D1367</f>
        <v>-1</v>
      </c>
    </row>
    <row r="1368" spans="2:5" x14ac:dyDescent="0.35">
      <c r="B1368" s="38">
        <v>37868</v>
      </c>
      <c r="C1368" s="3">
        <v>0</v>
      </c>
      <c r="D1368" s="3">
        <v>0</v>
      </c>
      <c r="E1368" s="3">
        <f>C1368 - D1368</f>
        <v>0</v>
      </c>
    </row>
    <row r="1369" spans="2:5" x14ac:dyDescent="0.35">
      <c r="B1369" s="38">
        <v>37869</v>
      </c>
      <c r="C1369" s="3">
        <v>0</v>
      </c>
      <c r="D1369" s="3">
        <v>0</v>
      </c>
      <c r="E1369" s="3">
        <f>C1369 - D1369</f>
        <v>0</v>
      </c>
    </row>
    <row r="1370" spans="2:5" x14ac:dyDescent="0.35">
      <c r="B1370" s="38">
        <v>37870</v>
      </c>
      <c r="C1370" s="3">
        <v>0</v>
      </c>
      <c r="D1370" s="3">
        <v>0</v>
      </c>
      <c r="E1370" s="3">
        <f>C1370 - D1370</f>
        <v>0</v>
      </c>
    </row>
    <row r="1371" spans="2:5" x14ac:dyDescent="0.35">
      <c r="B1371" s="38">
        <v>37871</v>
      </c>
      <c r="C1371" s="3">
        <v>0</v>
      </c>
      <c r="D1371" s="3">
        <v>0</v>
      </c>
      <c r="E1371" s="3">
        <f>C1371 - D1371</f>
        <v>0</v>
      </c>
    </row>
    <row r="1372" spans="2:5" x14ac:dyDescent="0.35">
      <c r="B1372" s="38">
        <v>37872</v>
      </c>
      <c r="C1372" s="3">
        <v>0</v>
      </c>
      <c r="D1372" s="3">
        <v>0</v>
      </c>
      <c r="E1372" s="3">
        <f>C1372 - D1372</f>
        <v>0</v>
      </c>
    </row>
    <row r="1373" spans="2:5" x14ac:dyDescent="0.35">
      <c r="B1373" s="38">
        <v>37873</v>
      </c>
      <c r="C1373" s="3">
        <v>0</v>
      </c>
      <c r="D1373" s="3">
        <v>0</v>
      </c>
      <c r="E1373" s="3">
        <f>C1373 - D1373</f>
        <v>0</v>
      </c>
    </row>
    <row r="1374" spans="2:5" x14ac:dyDescent="0.35">
      <c r="B1374" s="38">
        <v>37874</v>
      </c>
      <c r="C1374" s="3">
        <v>1</v>
      </c>
      <c r="D1374" s="3">
        <v>0</v>
      </c>
      <c r="E1374" s="3">
        <f>C1374 - D1374</f>
        <v>1</v>
      </c>
    </row>
    <row r="1375" spans="2:5" x14ac:dyDescent="0.35">
      <c r="B1375" s="38">
        <v>37875</v>
      </c>
      <c r="C1375" s="3">
        <v>1</v>
      </c>
      <c r="D1375" s="3">
        <v>1</v>
      </c>
      <c r="E1375" s="3">
        <f>C1375 - D1375</f>
        <v>0</v>
      </c>
    </row>
    <row r="1376" spans="2:5" x14ac:dyDescent="0.35">
      <c r="B1376" s="38">
        <v>37876</v>
      </c>
      <c r="C1376" s="3">
        <v>0</v>
      </c>
      <c r="D1376" s="3">
        <v>1</v>
      </c>
      <c r="E1376" s="3">
        <f>C1376 - D1376</f>
        <v>-1</v>
      </c>
    </row>
    <row r="1377" spans="2:5" x14ac:dyDescent="0.35">
      <c r="B1377" s="38">
        <v>37877</v>
      </c>
      <c r="C1377" s="3">
        <v>0</v>
      </c>
      <c r="D1377" s="3">
        <v>0</v>
      </c>
      <c r="E1377" s="3">
        <f>C1377 - D1377</f>
        <v>0</v>
      </c>
    </row>
    <row r="1378" spans="2:5" x14ac:dyDescent="0.35">
      <c r="B1378" s="38">
        <v>37878</v>
      </c>
      <c r="C1378" s="3">
        <v>1</v>
      </c>
      <c r="D1378" s="3">
        <v>0</v>
      </c>
      <c r="E1378" s="3">
        <f>C1378 - D1378</f>
        <v>1</v>
      </c>
    </row>
    <row r="1379" spans="2:5" x14ac:dyDescent="0.35">
      <c r="B1379" s="38">
        <v>37879</v>
      </c>
      <c r="C1379" s="3">
        <v>1</v>
      </c>
      <c r="D1379" s="3">
        <v>1</v>
      </c>
      <c r="E1379" s="3">
        <f>C1379 - D1379</f>
        <v>0</v>
      </c>
    </row>
    <row r="1380" spans="2:5" x14ac:dyDescent="0.35">
      <c r="B1380" s="38">
        <v>37880</v>
      </c>
      <c r="C1380" s="3">
        <v>1</v>
      </c>
      <c r="D1380" s="3">
        <v>1</v>
      </c>
      <c r="E1380" s="3">
        <f>C1380 - D1380</f>
        <v>0</v>
      </c>
    </row>
    <row r="1381" spans="2:5" x14ac:dyDescent="0.35">
      <c r="B1381" s="38">
        <v>37881</v>
      </c>
      <c r="C1381" s="3">
        <v>1</v>
      </c>
      <c r="D1381" s="3">
        <v>1</v>
      </c>
      <c r="E1381" s="3">
        <f>C1381 - D1381</f>
        <v>0</v>
      </c>
    </row>
    <row r="1382" spans="2:5" x14ac:dyDescent="0.35">
      <c r="B1382" s="38">
        <v>37882</v>
      </c>
      <c r="C1382" s="3">
        <v>1</v>
      </c>
      <c r="D1382" s="3">
        <v>1</v>
      </c>
      <c r="E1382" s="3">
        <f>C1382 - D1382</f>
        <v>0</v>
      </c>
    </row>
    <row r="1383" spans="2:5" x14ac:dyDescent="0.35">
      <c r="B1383" s="38">
        <v>37883</v>
      </c>
      <c r="C1383" s="3">
        <v>0</v>
      </c>
      <c r="D1383" s="3">
        <v>1</v>
      </c>
      <c r="E1383" s="3">
        <f>C1383 - D1383</f>
        <v>-1</v>
      </c>
    </row>
    <row r="1384" spans="2:5" x14ac:dyDescent="0.35">
      <c r="B1384" s="38">
        <v>37884</v>
      </c>
      <c r="C1384" s="3">
        <v>1</v>
      </c>
      <c r="D1384" s="3">
        <v>0</v>
      </c>
      <c r="E1384" s="3">
        <f>C1384 - D1384</f>
        <v>1</v>
      </c>
    </row>
    <row r="1385" spans="2:5" x14ac:dyDescent="0.35">
      <c r="B1385" s="38">
        <v>37885</v>
      </c>
      <c r="C1385" s="3">
        <v>0</v>
      </c>
      <c r="D1385" s="3">
        <v>1</v>
      </c>
      <c r="E1385" s="3">
        <f>C1385 - D1385</f>
        <v>-1</v>
      </c>
    </row>
    <row r="1386" spans="2:5" x14ac:dyDescent="0.35">
      <c r="B1386" s="38">
        <v>37886</v>
      </c>
      <c r="C1386" s="3">
        <v>0</v>
      </c>
      <c r="D1386" s="3">
        <v>0</v>
      </c>
      <c r="E1386" s="3">
        <f>C1386 - D1386</f>
        <v>0</v>
      </c>
    </row>
    <row r="1387" spans="2:5" x14ac:dyDescent="0.35">
      <c r="B1387" s="38">
        <v>37887</v>
      </c>
      <c r="C1387" s="3">
        <v>1</v>
      </c>
      <c r="D1387" s="3">
        <v>0</v>
      </c>
      <c r="E1387" s="3">
        <f>C1387 - D1387</f>
        <v>1</v>
      </c>
    </row>
    <row r="1388" spans="2:5" x14ac:dyDescent="0.35">
      <c r="B1388" s="38">
        <v>37888</v>
      </c>
      <c r="C1388" s="3">
        <v>1</v>
      </c>
      <c r="D1388" s="3">
        <v>1</v>
      </c>
      <c r="E1388" s="3">
        <f>C1388 - D1388</f>
        <v>0</v>
      </c>
    </row>
    <row r="1389" spans="2:5" x14ac:dyDescent="0.35">
      <c r="B1389" s="38">
        <v>37889</v>
      </c>
      <c r="C1389" s="3">
        <v>0</v>
      </c>
      <c r="D1389" s="3">
        <v>1</v>
      </c>
      <c r="E1389" s="3">
        <f>C1389 - D1389</f>
        <v>-1</v>
      </c>
    </row>
    <row r="1390" spans="2:5" x14ac:dyDescent="0.35">
      <c r="B1390" s="38">
        <v>37890</v>
      </c>
      <c r="C1390" s="3">
        <v>1</v>
      </c>
      <c r="D1390" s="3">
        <v>0</v>
      </c>
      <c r="E1390" s="3">
        <f>C1390 - D1390</f>
        <v>1</v>
      </c>
    </row>
    <row r="1391" spans="2:5" x14ac:dyDescent="0.35">
      <c r="B1391" s="38">
        <v>37891</v>
      </c>
      <c r="C1391" s="3">
        <v>1</v>
      </c>
      <c r="D1391" s="3">
        <v>1</v>
      </c>
      <c r="E1391" s="3">
        <f>C1391 - D1391</f>
        <v>0</v>
      </c>
    </row>
    <row r="1392" spans="2:5" x14ac:dyDescent="0.35">
      <c r="B1392" s="38">
        <v>37892</v>
      </c>
      <c r="C1392" s="3">
        <v>1</v>
      </c>
      <c r="D1392" s="3">
        <v>1</v>
      </c>
      <c r="E1392" s="3">
        <f>C1392 - D1392</f>
        <v>0</v>
      </c>
    </row>
    <row r="1393" spans="2:5" x14ac:dyDescent="0.35">
      <c r="B1393" s="38">
        <v>37893</v>
      </c>
      <c r="C1393" s="3">
        <v>1</v>
      </c>
      <c r="D1393" s="3">
        <v>1</v>
      </c>
      <c r="E1393" s="3">
        <f>C1393 - D1393</f>
        <v>0</v>
      </c>
    </row>
    <row r="1394" spans="2:5" x14ac:dyDescent="0.35">
      <c r="B1394" s="38">
        <v>37894</v>
      </c>
      <c r="C1394" s="3">
        <v>1</v>
      </c>
      <c r="D1394" s="3">
        <v>1</v>
      </c>
      <c r="E1394" s="3">
        <f>C1394 - D1394</f>
        <v>0</v>
      </c>
    </row>
    <row r="1395" spans="2:5" x14ac:dyDescent="0.35">
      <c r="B1395" s="38">
        <v>37895</v>
      </c>
      <c r="C1395" s="3">
        <v>0</v>
      </c>
      <c r="D1395" s="3">
        <v>1</v>
      </c>
      <c r="E1395" s="3">
        <f>C1395 - D1395</f>
        <v>-1</v>
      </c>
    </row>
    <row r="1396" spans="2:5" x14ac:dyDescent="0.35">
      <c r="B1396" s="38">
        <v>37896</v>
      </c>
      <c r="C1396" s="3">
        <v>1</v>
      </c>
      <c r="D1396" s="3">
        <v>0</v>
      </c>
      <c r="E1396" s="3">
        <f>C1396 - D1396</f>
        <v>1</v>
      </c>
    </row>
    <row r="1397" spans="2:5" x14ac:dyDescent="0.35">
      <c r="B1397" s="38">
        <v>37897</v>
      </c>
      <c r="C1397" s="3">
        <v>1</v>
      </c>
      <c r="D1397" s="3">
        <v>1</v>
      </c>
      <c r="E1397" s="3">
        <f>C1397 - D1397</f>
        <v>0</v>
      </c>
    </row>
    <row r="1398" spans="2:5" x14ac:dyDescent="0.35">
      <c r="B1398" s="38">
        <v>37898</v>
      </c>
      <c r="C1398" s="3">
        <v>0</v>
      </c>
      <c r="D1398" s="3">
        <v>1</v>
      </c>
      <c r="E1398" s="3">
        <f>C1398 - D1398</f>
        <v>-1</v>
      </c>
    </row>
    <row r="1399" spans="2:5" x14ac:dyDescent="0.35">
      <c r="B1399" s="38">
        <v>37899</v>
      </c>
      <c r="C1399" s="3">
        <v>0</v>
      </c>
      <c r="D1399" s="3">
        <v>0</v>
      </c>
      <c r="E1399" s="3">
        <f>C1399 - D1399</f>
        <v>0</v>
      </c>
    </row>
    <row r="1400" spans="2:5" x14ac:dyDescent="0.35">
      <c r="B1400" s="38">
        <v>37900</v>
      </c>
      <c r="C1400" s="3">
        <v>0</v>
      </c>
      <c r="D1400" s="3">
        <v>0</v>
      </c>
      <c r="E1400" s="3">
        <f>C1400 - D1400</f>
        <v>0</v>
      </c>
    </row>
    <row r="1401" spans="2:5" x14ac:dyDescent="0.35">
      <c r="B1401" s="38">
        <v>37901</v>
      </c>
      <c r="C1401" s="3">
        <v>0</v>
      </c>
      <c r="D1401" s="3">
        <v>0</v>
      </c>
      <c r="E1401" s="3">
        <f>C1401 - D1401</f>
        <v>0</v>
      </c>
    </row>
    <row r="1402" spans="2:5" x14ac:dyDescent="0.35">
      <c r="B1402" s="38">
        <v>37902</v>
      </c>
      <c r="C1402" s="3">
        <v>1</v>
      </c>
      <c r="D1402" s="3">
        <v>0</v>
      </c>
      <c r="E1402" s="3">
        <f>C1402 - D1402</f>
        <v>1</v>
      </c>
    </row>
    <row r="1403" spans="2:5" x14ac:dyDescent="0.35">
      <c r="B1403" s="38">
        <v>37903</v>
      </c>
      <c r="C1403" s="3">
        <v>1</v>
      </c>
      <c r="D1403" s="3">
        <v>1</v>
      </c>
      <c r="E1403" s="3">
        <f>C1403 - D1403</f>
        <v>0</v>
      </c>
    </row>
    <row r="1404" spans="2:5" x14ac:dyDescent="0.35">
      <c r="B1404" s="38">
        <v>37904</v>
      </c>
      <c r="C1404" s="3">
        <v>1</v>
      </c>
      <c r="D1404" s="3">
        <v>1</v>
      </c>
      <c r="E1404" s="3">
        <f>C1404 - D1404</f>
        <v>0</v>
      </c>
    </row>
    <row r="1405" spans="2:5" x14ac:dyDescent="0.35">
      <c r="B1405" s="38">
        <v>37905</v>
      </c>
      <c r="C1405" s="3">
        <v>1</v>
      </c>
      <c r="D1405" s="3">
        <v>1</v>
      </c>
      <c r="E1405" s="3">
        <f>C1405 - D1405</f>
        <v>0</v>
      </c>
    </row>
    <row r="1406" spans="2:5" x14ac:dyDescent="0.35">
      <c r="B1406" s="38">
        <v>37906</v>
      </c>
      <c r="C1406" s="3">
        <v>1</v>
      </c>
      <c r="D1406" s="3">
        <v>1</v>
      </c>
      <c r="E1406" s="3">
        <f>C1406 - D1406</f>
        <v>0</v>
      </c>
    </row>
    <row r="1407" spans="2:5" x14ac:dyDescent="0.35">
      <c r="B1407" s="38">
        <v>37907</v>
      </c>
      <c r="C1407" s="3">
        <v>0</v>
      </c>
      <c r="D1407" s="3">
        <v>1</v>
      </c>
      <c r="E1407" s="3">
        <f>C1407 - D1407</f>
        <v>-1</v>
      </c>
    </row>
    <row r="1408" spans="2:5" x14ac:dyDescent="0.35">
      <c r="B1408" s="38">
        <v>37908</v>
      </c>
      <c r="C1408" s="3">
        <v>0</v>
      </c>
      <c r="D1408" s="3">
        <v>0</v>
      </c>
      <c r="E1408" s="3">
        <f>C1408 - D1408</f>
        <v>0</v>
      </c>
    </row>
    <row r="1409" spans="2:5" x14ac:dyDescent="0.35">
      <c r="B1409" s="38">
        <v>37909</v>
      </c>
      <c r="C1409" s="3">
        <v>0</v>
      </c>
      <c r="D1409" s="3">
        <v>0</v>
      </c>
      <c r="E1409" s="3">
        <f>C1409 - D1409</f>
        <v>0</v>
      </c>
    </row>
    <row r="1410" spans="2:5" x14ac:dyDescent="0.35">
      <c r="B1410" s="38">
        <v>37910</v>
      </c>
      <c r="C1410" s="3">
        <v>1</v>
      </c>
      <c r="D1410" s="3">
        <v>0</v>
      </c>
      <c r="E1410" s="3">
        <f>C1410 - D1410</f>
        <v>1</v>
      </c>
    </row>
    <row r="1411" spans="2:5" x14ac:dyDescent="0.35">
      <c r="B1411" s="38">
        <v>37911</v>
      </c>
      <c r="C1411" s="3">
        <v>0</v>
      </c>
      <c r="D1411" s="3">
        <v>1</v>
      </c>
      <c r="E1411" s="3">
        <f>C1411 - D1411</f>
        <v>-1</v>
      </c>
    </row>
    <row r="1412" spans="2:5" x14ac:dyDescent="0.35">
      <c r="B1412" s="38">
        <v>37912</v>
      </c>
      <c r="C1412" s="3">
        <v>0</v>
      </c>
      <c r="D1412" s="3">
        <v>0</v>
      </c>
      <c r="E1412" s="3">
        <f>C1412 - D1412</f>
        <v>0</v>
      </c>
    </row>
    <row r="1413" spans="2:5" x14ac:dyDescent="0.35">
      <c r="B1413" s="38">
        <v>37913</v>
      </c>
      <c r="C1413" s="3">
        <v>1</v>
      </c>
      <c r="D1413" s="3">
        <v>0</v>
      </c>
      <c r="E1413" s="3">
        <f>C1413 - D1413</f>
        <v>1</v>
      </c>
    </row>
    <row r="1414" spans="2:5" x14ac:dyDescent="0.35">
      <c r="B1414" s="38">
        <v>37914</v>
      </c>
      <c r="C1414" s="3">
        <v>1</v>
      </c>
      <c r="D1414" s="3">
        <v>1</v>
      </c>
      <c r="E1414" s="3">
        <f>C1414 - D1414</f>
        <v>0</v>
      </c>
    </row>
    <row r="1415" spans="2:5" x14ac:dyDescent="0.35">
      <c r="B1415" s="38">
        <v>37915</v>
      </c>
      <c r="C1415" s="3">
        <v>0</v>
      </c>
      <c r="D1415" s="3">
        <v>1</v>
      </c>
      <c r="E1415" s="3">
        <f>C1415 - D1415</f>
        <v>-1</v>
      </c>
    </row>
    <row r="1416" spans="2:5" x14ac:dyDescent="0.35">
      <c r="B1416" s="38">
        <v>37916</v>
      </c>
      <c r="C1416" s="3">
        <v>1</v>
      </c>
      <c r="D1416" s="3">
        <v>0</v>
      </c>
      <c r="E1416" s="3">
        <f>C1416 - D1416</f>
        <v>1</v>
      </c>
    </row>
    <row r="1417" spans="2:5" x14ac:dyDescent="0.35">
      <c r="B1417" s="38">
        <v>37917</v>
      </c>
      <c r="C1417" s="3">
        <v>1</v>
      </c>
      <c r="D1417" s="3">
        <v>1</v>
      </c>
      <c r="E1417" s="3">
        <f>C1417 - D1417</f>
        <v>0</v>
      </c>
    </row>
    <row r="1418" spans="2:5" x14ac:dyDescent="0.35">
      <c r="B1418" s="38">
        <v>37918</v>
      </c>
      <c r="C1418" s="3">
        <v>1</v>
      </c>
      <c r="D1418" s="3">
        <v>1</v>
      </c>
      <c r="E1418" s="3">
        <f>C1418 - D1418</f>
        <v>0</v>
      </c>
    </row>
    <row r="1419" spans="2:5" x14ac:dyDescent="0.35">
      <c r="B1419" s="38">
        <v>37919</v>
      </c>
      <c r="C1419" s="3">
        <v>0</v>
      </c>
      <c r="D1419" s="3">
        <v>1</v>
      </c>
      <c r="E1419" s="3">
        <f>C1419 - D1419</f>
        <v>-1</v>
      </c>
    </row>
    <row r="1420" spans="2:5" x14ac:dyDescent="0.35">
      <c r="B1420" s="38">
        <v>37920</v>
      </c>
      <c r="C1420" s="3">
        <v>1</v>
      </c>
      <c r="D1420" s="3">
        <v>0</v>
      </c>
      <c r="E1420" s="3">
        <f>C1420 - D1420</f>
        <v>1</v>
      </c>
    </row>
    <row r="1421" spans="2:5" x14ac:dyDescent="0.35">
      <c r="B1421" s="38">
        <v>37921</v>
      </c>
      <c r="C1421" s="3">
        <v>0</v>
      </c>
      <c r="D1421" s="3">
        <v>1</v>
      </c>
      <c r="E1421" s="3">
        <f>C1421 - D1421</f>
        <v>-1</v>
      </c>
    </row>
    <row r="1422" spans="2:5" x14ac:dyDescent="0.35">
      <c r="B1422" s="38">
        <v>37922</v>
      </c>
      <c r="C1422" s="3">
        <v>0</v>
      </c>
      <c r="D1422" s="3">
        <v>0</v>
      </c>
      <c r="E1422" s="3">
        <f>C1422 - D1422</f>
        <v>0</v>
      </c>
    </row>
    <row r="1423" spans="2:5" x14ac:dyDescent="0.35">
      <c r="B1423" s="38">
        <v>37923</v>
      </c>
      <c r="C1423" s="3">
        <v>1</v>
      </c>
      <c r="D1423" s="3">
        <v>0</v>
      </c>
      <c r="E1423" s="3">
        <f>C1423 - D1423</f>
        <v>1</v>
      </c>
    </row>
    <row r="1424" spans="2:5" x14ac:dyDescent="0.35">
      <c r="B1424" s="38">
        <v>37924</v>
      </c>
      <c r="C1424" s="3">
        <v>1</v>
      </c>
      <c r="D1424" s="3">
        <v>1</v>
      </c>
      <c r="E1424" s="3">
        <f>C1424 - D1424</f>
        <v>0</v>
      </c>
    </row>
    <row r="1425" spans="2:5" x14ac:dyDescent="0.35">
      <c r="B1425" s="38">
        <v>37925</v>
      </c>
      <c r="C1425" s="3">
        <v>1</v>
      </c>
      <c r="D1425" s="3">
        <v>1</v>
      </c>
      <c r="E1425" s="3">
        <f>C1425 - D1425</f>
        <v>0</v>
      </c>
    </row>
    <row r="1426" spans="2:5" x14ac:dyDescent="0.35">
      <c r="B1426" s="38">
        <v>37926</v>
      </c>
      <c r="C1426" s="3">
        <v>1</v>
      </c>
      <c r="D1426" s="3">
        <v>1</v>
      </c>
      <c r="E1426" s="3">
        <f>C1426 - D1426</f>
        <v>0</v>
      </c>
    </row>
    <row r="1427" spans="2:5" x14ac:dyDescent="0.35">
      <c r="B1427" s="38">
        <v>37927</v>
      </c>
      <c r="C1427" s="3">
        <v>1</v>
      </c>
      <c r="D1427" s="3">
        <v>1</v>
      </c>
      <c r="E1427" s="3">
        <f>C1427 - D1427</f>
        <v>0</v>
      </c>
    </row>
    <row r="1428" spans="2:5" x14ac:dyDescent="0.35">
      <c r="B1428" s="38">
        <v>37928</v>
      </c>
      <c r="C1428" s="3">
        <v>1</v>
      </c>
      <c r="D1428" s="3">
        <v>1</v>
      </c>
      <c r="E1428" s="3">
        <f>C1428 - D1428</f>
        <v>0</v>
      </c>
    </row>
    <row r="1429" spans="2:5" x14ac:dyDescent="0.35">
      <c r="B1429" s="38">
        <v>37929</v>
      </c>
      <c r="C1429" s="3">
        <v>0</v>
      </c>
      <c r="D1429" s="3">
        <v>1</v>
      </c>
      <c r="E1429" s="3">
        <f>C1429 - D1429</f>
        <v>-1</v>
      </c>
    </row>
    <row r="1430" spans="2:5" x14ac:dyDescent="0.35">
      <c r="B1430" s="38">
        <v>37930</v>
      </c>
      <c r="C1430" s="3">
        <v>0</v>
      </c>
      <c r="D1430" s="3">
        <v>0</v>
      </c>
      <c r="E1430" s="3">
        <f>C1430 - D1430</f>
        <v>0</v>
      </c>
    </row>
    <row r="1431" spans="2:5" x14ac:dyDescent="0.35">
      <c r="B1431" s="38">
        <v>37931</v>
      </c>
      <c r="C1431" s="3">
        <v>0</v>
      </c>
      <c r="D1431" s="3">
        <v>0</v>
      </c>
      <c r="E1431" s="3">
        <f>C1431 - D1431</f>
        <v>0</v>
      </c>
    </row>
    <row r="1432" spans="2:5" x14ac:dyDescent="0.35">
      <c r="B1432" s="38">
        <v>37932</v>
      </c>
      <c r="C1432" s="3">
        <v>0</v>
      </c>
      <c r="D1432" s="3">
        <v>0</v>
      </c>
      <c r="E1432" s="3">
        <f>C1432 - D1432</f>
        <v>0</v>
      </c>
    </row>
    <row r="1433" spans="2:5" x14ac:dyDescent="0.35">
      <c r="B1433" s="38">
        <v>37933</v>
      </c>
      <c r="C1433" s="3">
        <v>0</v>
      </c>
      <c r="D1433" s="3">
        <v>0</v>
      </c>
      <c r="E1433" s="3">
        <f>C1433 - D1433</f>
        <v>0</v>
      </c>
    </row>
    <row r="1434" spans="2:5" x14ac:dyDescent="0.35">
      <c r="B1434" s="38">
        <v>37934</v>
      </c>
      <c r="C1434" s="3">
        <v>0</v>
      </c>
      <c r="D1434" s="3">
        <v>0</v>
      </c>
      <c r="E1434" s="3">
        <f>C1434 - D1434</f>
        <v>0</v>
      </c>
    </row>
    <row r="1435" spans="2:5" x14ac:dyDescent="0.35">
      <c r="B1435" s="38">
        <v>37935</v>
      </c>
      <c r="C1435" s="3">
        <v>0</v>
      </c>
      <c r="D1435" s="3">
        <v>0</v>
      </c>
      <c r="E1435" s="3">
        <f>C1435 - D1435</f>
        <v>0</v>
      </c>
    </row>
    <row r="1436" spans="2:5" x14ac:dyDescent="0.35">
      <c r="B1436" s="38">
        <v>37936</v>
      </c>
      <c r="C1436" s="3">
        <v>0</v>
      </c>
      <c r="D1436" s="3">
        <v>0</v>
      </c>
      <c r="E1436" s="3">
        <f>C1436 - D1436</f>
        <v>0</v>
      </c>
    </row>
    <row r="1437" spans="2:5" x14ac:dyDescent="0.35">
      <c r="B1437" s="38">
        <v>37937</v>
      </c>
      <c r="C1437" s="3">
        <v>0</v>
      </c>
      <c r="D1437" s="3">
        <v>0</v>
      </c>
      <c r="E1437" s="3">
        <f>C1437 - D1437</f>
        <v>0</v>
      </c>
    </row>
    <row r="1438" spans="2:5" x14ac:dyDescent="0.35">
      <c r="B1438" s="38">
        <v>37938</v>
      </c>
      <c r="C1438" s="3">
        <v>0</v>
      </c>
      <c r="D1438" s="3">
        <v>0</v>
      </c>
      <c r="E1438" s="3">
        <f>C1438 - D1438</f>
        <v>0</v>
      </c>
    </row>
    <row r="1439" spans="2:5" x14ac:dyDescent="0.35">
      <c r="B1439" s="38">
        <v>37939</v>
      </c>
      <c r="C1439" s="3">
        <v>0</v>
      </c>
      <c r="D1439" s="3">
        <v>0</v>
      </c>
      <c r="E1439" s="3">
        <f>C1439 - D1439</f>
        <v>0</v>
      </c>
    </row>
    <row r="1440" spans="2:5" x14ac:dyDescent="0.35">
      <c r="B1440" s="38">
        <v>37940</v>
      </c>
      <c r="C1440" s="3">
        <v>0</v>
      </c>
      <c r="D1440" s="3">
        <v>0</v>
      </c>
      <c r="E1440" s="3">
        <f>C1440 - D1440</f>
        <v>0</v>
      </c>
    </row>
    <row r="1441" spans="2:5" x14ac:dyDescent="0.35">
      <c r="B1441" s="38">
        <v>37941</v>
      </c>
      <c r="C1441" s="3">
        <v>0</v>
      </c>
      <c r="D1441" s="3">
        <v>0</v>
      </c>
      <c r="E1441" s="3">
        <f>C1441 - D1441</f>
        <v>0</v>
      </c>
    </row>
    <row r="1442" spans="2:5" x14ac:dyDescent="0.35">
      <c r="B1442" s="38">
        <v>37942</v>
      </c>
      <c r="C1442" s="3">
        <v>0</v>
      </c>
      <c r="D1442" s="3">
        <v>0</v>
      </c>
      <c r="E1442" s="3">
        <f>C1442 - D1442</f>
        <v>0</v>
      </c>
    </row>
    <row r="1443" spans="2:5" x14ac:dyDescent="0.35">
      <c r="B1443" s="38">
        <v>37943</v>
      </c>
      <c r="C1443" s="3">
        <v>0</v>
      </c>
      <c r="D1443" s="3">
        <v>0</v>
      </c>
      <c r="E1443" s="3">
        <f>C1443 - D1443</f>
        <v>0</v>
      </c>
    </row>
    <row r="1444" spans="2:5" x14ac:dyDescent="0.35">
      <c r="B1444" s="38">
        <v>37944</v>
      </c>
      <c r="C1444" s="3">
        <v>0</v>
      </c>
      <c r="D1444" s="3">
        <v>0</v>
      </c>
      <c r="E1444" s="3">
        <f>C1444 - D1444</f>
        <v>0</v>
      </c>
    </row>
    <row r="1445" spans="2:5" x14ac:dyDescent="0.35">
      <c r="B1445" s="38">
        <v>37945</v>
      </c>
      <c r="C1445" s="3">
        <v>1</v>
      </c>
      <c r="D1445" s="3">
        <v>0</v>
      </c>
      <c r="E1445" s="3">
        <f>C1445 - D1445</f>
        <v>1</v>
      </c>
    </row>
    <row r="1446" spans="2:5" x14ac:dyDescent="0.35">
      <c r="B1446" s="38">
        <v>37946</v>
      </c>
      <c r="C1446" s="3">
        <v>1</v>
      </c>
      <c r="D1446" s="3">
        <v>1</v>
      </c>
      <c r="E1446" s="3">
        <f>C1446 - D1446</f>
        <v>0</v>
      </c>
    </row>
    <row r="1447" spans="2:5" x14ac:dyDescent="0.35">
      <c r="B1447" s="38">
        <v>37947</v>
      </c>
      <c r="C1447" s="3">
        <v>1</v>
      </c>
      <c r="D1447" s="3">
        <v>1</v>
      </c>
      <c r="E1447" s="3">
        <f>C1447 - D1447</f>
        <v>0</v>
      </c>
    </row>
    <row r="1448" spans="2:5" x14ac:dyDescent="0.35">
      <c r="B1448" s="38">
        <v>37948</v>
      </c>
      <c r="C1448" s="3">
        <v>1</v>
      </c>
      <c r="D1448" s="3">
        <v>1</v>
      </c>
      <c r="E1448" s="3">
        <f>C1448 - D1448</f>
        <v>0</v>
      </c>
    </row>
    <row r="1449" spans="2:5" x14ac:dyDescent="0.35">
      <c r="B1449" s="38">
        <v>37949</v>
      </c>
      <c r="C1449" s="3">
        <v>0</v>
      </c>
      <c r="D1449" s="3">
        <v>1</v>
      </c>
      <c r="E1449" s="3">
        <f>C1449 - D1449</f>
        <v>-1</v>
      </c>
    </row>
    <row r="1450" spans="2:5" x14ac:dyDescent="0.35">
      <c r="B1450" s="38">
        <v>37950</v>
      </c>
      <c r="C1450" s="3">
        <v>1</v>
      </c>
      <c r="D1450" s="3">
        <v>0</v>
      </c>
      <c r="E1450" s="3">
        <f>C1450 - D1450</f>
        <v>1</v>
      </c>
    </row>
    <row r="1451" spans="2:5" x14ac:dyDescent="0.35">
      <c r="B1451" s="38">
        <v>37951</v>
      </c>
      <c r="C1451" s="3">
        <v>0</v>
      </c>
      <c r="D1451" s="3">
        <v>1</v>
      </c>
      <c r="E1451" s="3">
        <f>C1451 - D1451</f>
        <v>-1</v>
      </c>
    </row>
    <row r="1452" spans="2:5" x14ac:dyDescent="0.35">
      <c r="B1452" s="38">
        <v>37952</v>
      </c>
      <c r="C1452" s="3">
        <v>0</v>
      </c>
      <c r="D1452" s="3">
        <v>0</v>
      </c>
      <c r="E1452" s="3">
        <f>C1452 - D1452</f>
        <v>0</v>
      </c>
    </row>
    <row r="1453" spans="2:5" x14ac:dyDescent="0.35">
      <c r="B1453" s="38">
        <v>37953</v>
      </c>
      <c r="C1453" s="3">
        <v>0</v>
      </c>
      <c r="D1453" s="3">
        <v>0</v>
      </c>
      <c r="E1453" s="3">
        <f>C1453 - D1453</f>
        <v>0</v>
      </c>
    </row>
    <row r="1454" spans="2:5" x14ac:dyDescent="0.35">
      <c r="B1454" s="38">
        <v>37954</v>
      </c>
      <c r="C1454" s="3">
        <v>0</v>
      </c>
      <c r="D1454" s="3">
        <v>0</v>
      </c>
      <c r="E1454" s="3">
        <f>C1454 - D1454</f>
        <v>0</v>
      </c>
    </row>
    <row r="1455" spans="2:5" x14ac:dyDescent="0.35">
      <c r="B1455" s="38">
        <v>37955</v>
      </c>
      <c r="C1455" s="3">
        <v>0</v>
      </c>
      <c r="D1455" s="3">
        <v>0</v>
      </c>
      <c r="E1455" s="3">
        <f>C1455 - D1455</f>
        <v>0</v>
      </c>
    </row>
    <row r="1456" spans="2:5" x14ac:dyDescent="0.35">
      <c r="B1456" s="38">
        <v>37956</v>
      </c>
      <c r="C1456" s="3">
        <v>1</v>
      </c>
      <c r="D1456" s="3">
        <v>0</v>
      </c>
      <c r="E1456" s="3">
        <f>C1456 - D1456</f>
        <v>1</v>
      </c>
    </row>
    <row r="1457" spans="2:5" x14ac:dyDescent="0.35">
      <c r="B1457" s="38">
        <v>37957</v>
      </c>
      <c r="C1457" s="3">
        <v>0</v>
      </c>
      <c r="D1457" s="3">
        <v>1</v>
      </c>
      <c r="E1457" s="3">
        <f>C1457 - D1457</f>
        <v>-1</v>
      </c>
    </row>
    <row r="1458" spans="2:5" x14ac:dyDescent="0.35">
      <c r="B1458" s="38">
        <v>37958</v>
      </c>
      <c r="C1458" s="3">
        <v>1</v>
      </c>
      <c r="D1458" s="3">
        <v>0</v>
      </c>
      <c r="E1458" s="3">
        <f>C1458 - D1458</f>
        <v>1</v>
      </c>
    </row>
    <row r="1459" spans="2:5" x14ac:dyDescent="0.35">
      <c r="B1459" s="38">
        <v>37959</v>
      </c>
      <c r="C1459" s="3">
        <v>0</v>
      </c>
      <c r="D1459" s="3">
        <v>1</v>
      </c>
      <c r="E1459" s="3">
        <f>C1459 - D1459</f>
        <v>-1</v>
      </c>
    </row>
    <row r="1460" spans="2:5" x14ac:dyDescent="0.35">
      <c r="B1460" s="38">
        <v>37960</v>
      </c>
      <c r="C1460" s="3">
        <v>1</v>
      </c>
      <c r="D1460" s="3">
        <v>0</v>
      </c>
      <c r="E1460" s="3">
        <f>C1460 - D1460</f>
        <v>1</v>
      </c>
    </row>
    <row r="1461" spans="2:5" x14ac:dyDescent="0.35">
      <c r="B1461" s="38">
        <v>37961</v>
      </c>
      <c r="C1461" s="3">
        <v>0</v>
      </c>
      <c r="D1461" s="3">
        <v>1</v>
      </c>
      <c r="E1461" s="3">
        <f>C1461 - D1461</f>
        <v>-1</v>
      </c>
    </row>
    <row r="1462" spans="2:5" x14ac:dyDescent="0.35">
      <c r="B1462" s="38">
        <v>37962</v>
      </c>
      <c r="C1462" s="3">
        <v>0</v>
      </c>
      <c r="D1462" s="3">
        <v>0</v>
      </c>
      <c r="E1462" s="3">
        <f>C1462 - D1462</f>
        <v>0</v>
      </c>
    </row>
    <row r="1463" spans="2:5" x14ac:dyDescent="0.35">
      <c r="B1463" s="38">
        <v>37963</v>
      </c>
      <c r="C1463" s="3">
        <v>0</v>
      </c>
      <c r="D1463" s="3">
        <v>0</v>
      </c>
      <c r="E1463" s="3">
        <f>C1463 - D1463</f>
        <v>0</v>
      </c>
    </row>
    <row r="1464" spans="2:5" x14ac:dyDescent="0.35">
      <c r="B1464" s="38">
        <v>37964</v>
      </c>
      <c r="C1464" s="3">
        <v>0</v>
      </c>
      <c r="D1464" s="3">
        <v>0</v>
      </c>
      <c r="E1464" s="3">
        <f>C1464 - D1464</f>
        <v>0</v>
      </c>
    </row>
    <row r="1465" spans="2:5" x14ac:dyDescent="0.35">
      <c r="B1465" s="38">
        <v>37965</v>
      </c>
      <c r="C1465" s="3">
        <v>0</v>
      </c>
      <c r="D1465" s="3">
        <v>0</v>
      </c>
      <c r="E1465" s="3">
        <f>C1465 - D1465</f>
        <v>0</v>
      </c>
    </row>
    <row r="1466" spans="2:5" x14ac:dyDescent="0.35">
      <c r="B1466" s="38">
        <v>37966</v>
      </c>
      <c r="C1466" s="3">
        <v>1</v>
      </c>
      <c r="D1466" s="3">
        <v>0</v>
      </c>
      <c r="E1466" s="3">
        <f>C1466 - D1466</f>
        <v>1</v>
      </c>
    </row>
    <row r="1467" spans="2:5" x14ac:dyDescent="0.35">
      <c r="B1467" s="38">
        <v>37967</v>
      </c>
      <c r="C1467" s="3">
        <v>0</v>
      </c>
      <c r="D1467" s="3">
        <v>1</v>
      </c>
      <c r="E1467" s="3">
        <f>C1467 - D1467</f>
        <v>-1</v>
      </c>
    </row>
    <row r="1468" spans="2:5" x14ac:dyDescent="0.35">
      <c r="B1468" s="38">
        <v>37968</v>
      </c>
      <c r="C1468" s="3">
        <v>1</v>
      </c>
      <c r="D1468" s="3">
        <v>0</v>
      </c>
      <c r="E1468" s="3">
        <f>C1468 - D1468</f>
        <v>1</v>
      </c>
    </row>
    <row r="1469" spans="2:5" x14ac:dyDescent="0.35">
      <c r="B1469" s="38">
        <v>37969</v>
      </c>
      <c r="C1469" s="3">
        <v>0</v>
      </c>
      <c r="D1469" s="3">
        <v>1</v>
      </c>
      <c r="E1469" s="3">
        <f>C1469 - D1469</f>
        <v>-1</v>
      </c>
    </row>
    <row r="1470" spans="2:5" x14ac:dyDescent="0.35">
      <c r="B1470" s="38">
        <v>37970</v>
      </c>
      <c r="C1470" s="3">
        <v>0</v>
      </c>
      <c r="D1470" s="3">
        <v>0</v>
      </c>
      <c r="E1470" s="3">
        <f>C1470 - D1470</f>
        <v>0</v>
      </c>
    </row>
    <row r="1471" spans="2:5" x14ac:dyDescent="0.35">
      <c r="B1471" s="38">
        <v>37971</v>
      </c>
      <c r="C1471" s="3">
        <v>0</v>
      </c>
      <c r="D1471" s="3">
        <v>0</v>
      </c>
      <c r="E1471" s="3">
        <f>C1471 - D1471</f>
        <v>0</v>
      </c>
    </row>
    <row r="1472" spans="2:5" x14ac:dyDescent="0.35">
      <c r="B1472" s="38">
        <v>37972</v>
      </c>
      <c r="C1472" s="3">
        <v>0</v>
      </c>
      <c r="D1472" s="3">
        <v>0</v>
      </c>
      <c r="E1472" s="3">
        <f>C1472 - D1472</f>
        <v>0</v>
      </c>
    </row>
    <row r="1473" spans="2:5" x14ac:dyDescent="0.35">
      <c r="B1473" s="38">
        <v>37973</v>
      </c>
      <c r="C1473" s="3">
        <v>0</v>
      </c>
      <c r="D1473" s="3">
        <v>0</v>
      </c>
      <c r="E1473" s="3">
        <f>C1473 - D1473</f>
        <v>0</v>
      </c>
    </row>
    <row r="1474" spans="2:5" x14ac:dyDescent="0.35">
      <c r="B1474" s="38">
        <v>37974</v>
      </c>
      <c r="C1474" s="3">
        <v>1</v>
      </c>
      <c r="D1474" s="3">
        <v>0</v>
      </c>
      <c r="E1474" s="3">
        <f>C1474 - D1474</f>
        <v>1</v>
      </c>
    </row>
    <row r="1475" spans="2:5" x14ac:dyDescent="0.35">
      <c r="B1475" s="38">
        <v>37975</v>
      </c>
      <c r="C1475" s="3">
        <v>0</v>
      </c>
      <c r="D1475" s="3">
        <v>1</v>
      </c>
      <c r="E1475" s="3">
        <f>C1475 - D1475</f>
        <v>-1</v>
      </c>
    </row>
    <row r="1476" spans="2:5" x14ac:dyDescent="0.35">
      <c r="B1476" s="38">
        <v>37976</v>
      </c>
      <c r="C1476" s="3">
        <v>1</v>
      </c>
      <c r="D1476" s="3">
        <v>0</v>
      </c>
      <c r="E1476" s="3">
        <f>C1476 - D1476</f>
        <v>1</v>
      </c>
    </row>
    <row r="1477" spans="2:5" x14ac:dyDescent="0.35">
      <c r="B1477" s="38">
        <v>37977</v>
      </c>
      <c r="C1477" s="3">
        <v>1</v>
      </c>
      <c r="D1477" s="3">
        <v>1</v>
      </c>
      <c r="E1477" s="3">
        <f>C1477 - D1477</f>
        <v>0</v>
      </c>
    </row>
    <row r="1478" spans="2:5" x14ac:dyDescent="0.35">
      <c r="B1478" s="38">
        <v>37978</v>
      </c>
      <c r="C1478" s="3">
        <v>1</v>
      </c>
      <c r="D1478" s="3">
        <v>1</v>
      </c>
      <c r="E1478" s="3">
        <f>C1478 - D1478</f>
        <v>0</v>
      </c>
    </row>
    <row r="1479" spans="2:5" x14ac:dyDescent="0.35">
      <c r="B1479" s="38">
        <v>37979</v>
      </c>
      <c r="C1479" s="3">
        <v>0</v>
      </c>
      <c r="D1479" s="3">
        <v>1</v>
      </c>
      <c r="E1479" s="3">
        <f>C1479 - D1479</f>
        <v>-1</v>
      </c>
    </row>
    <row r="1480" spans="2:5" x14ac:dyDescent="0.35">
      <c r="B1480" s="38">
        <v>37980</v>
      </c>
      <c r="C1480" s="3">
        <v>0</v>
      </c>
      <c r="D1480" s="3">
        <v>0</v>
      </c>
      <c r="E1480" s="3">
        <f>C1480 - D1480</f>
        <v>0</v>
      </c>
    </row>
    <row r="1481" spans="2:5" x14ac:dyDescent="0.35">
      <c r="B1481" s="38">
        <v>37981</v>
      </c>
      <c r="C1481" s="3">
        <v>0</v>
      </c>
      <c r="D1481" s="3">
        <v>0</v>
      </c>
      <c r="E1481" s="3">
        <f>C1481 - D1481</f>
        <v>0</v>
      </c>
    </row>
    <row r="1482" spans="2:5" x14ac:dyDescent="0.35">
      <c r="B1482" s="38">
        <v>37982</v>
      </c>
      <c r="C1482" s="3">
        <v>0</v>
      </c>
      <c r="D1482" s="3">
        <v>0</v>
      </c>
      <c r="E1482" s="3">
        <f>C1482 - D1482</f>
        <v>0</v>
      </c>
    </row>
    <row r="1483" spans="2:5" x14ac:dyDescent="0.35">
      <c r="B1483" s="38">
        <v>37983</v>
      </c>
      <c r="C1483" s="3">
        <v>0</v>
      </c>
      <c r="D1483" s="3">
        <v>0</v>
      </c>
      <c r="E1483" s="3">
        <f>C1483 - D1483</f>
        <v>0</v>
      </c>
    </row>
    <row r="1484" spans="2:5" x14ac:dyDescent="0.35">
      <c r="B1484" s="38">
        <v>37984</v>
      </c>
      <c r="C1484" s="3">
        <v>0</v>
      </c>
      <c r="D1484" s="3">
        <v>0</v>
      </c>
      <c r="E1484" s="3">
        <f>C1484 - D1484</f>
        <v>0</v>
      </c>
    </row>
    <row r="1485" spans="2:5" x14ac:dyDescent="0.35">
      <c r="B1485" s="38">
        <v>37985</v>
      </c>
      <c r="C1485" s="3">
        <v>0</v>
      </c>
      <c r="D1485" s="3">
        <v>0</v>
      </c>
      <c r="E1485" s="3">
        <f>C1485 - D1485</f>
        <v>0</v>
      </c>
    </row>
    <row r="1486" spans="2:5" x14ac:dyDescent="0.35">
      <c r="B1486" s="38">
        <v>37986</v>
      </c>
      <c r="C1486" s="3">
        <v>0</v>
      </c>
      <c r="D1486" s="3">
        <v>0</v>
      </c>
      <c r="E1486" s="3">
        <f>C1486 - D1486</f>
        <v>0</v>
      </c>
    </row>
    <row r="1487" spans="2:5" x14ac:dyDescent="0.35">
      <c r="B1487" s="38">
        <v>37987</v>
      </c>
      <c r="C1487" s="3">
        <v>0</v>
      </c>
      <c r="D1487" s="3">
        <v>0</v>
      </c>
      <c r="E1487" s="3">
        <f>C1487 - D1487</f>
        <v>0</v>
      </c>
    </row>
    <row r="1488" spans="2:5" x14ac:dyDescent="0.35">
      <c r="B1488" s="38">
        <v>37988</v>
      </c>
      <c r="C1488" s="3">
        <v>0</v>
      </c>
      <c r="D1488" s="3">
        <v>0</v>
      </c>
      <c r="E1488" s="3">
        <f>C1488 - D1488</f>
        <v>0</v>
      </c>
    </row>
    <row r="1489" spans="2:5" x14ac:dyDescent="0.35">
      <c r="B1489" s="38">
        <v>37989</v>
      </c>
      <c r="C1489" s="3">
        <v>0</v>
      </c>
      <c r="D1489" s="3">
        <v>0</v>
      </c>
      <c r="E1489" s="3">
        <f>C1489 - D1489</f>
        <v>0</v>
      </c>
    </row>
    <row r="1490" spans="2:5" x14ac:dyDescent="0.35">
      <c r="B1490" s="38">
        <v>37990</v>
      </c>
      <c r="C1490" s="3">
        <v>0</v>
      </c>
      <c r="D1490" s="3">
        <v>0</v>
      </c>
      <c r="E1490" s="3">
        <f>C1490 - D1490</f>
        <v>0</v>
      </c>
    </row>
    <row r="1491" spans="2:5" x14ac:dyDescent="0.35">
      <c r="B1491" s="38">
        <v>37991</v>
      </c>
      <c r="C1491" s="3">
        <v>1</v>
      </c>
      <c r="D1491" s="3">
        <v>0</v>
      </c>
      <c r="E1491" s="3">
        <f>C1491 - D1491</f>
        <v>1</v>
      </c>
    </row>
    <row r="1492" spans="2:5" x14ac:dyDescent="0.35">
      <c r="B1492" s="38">
        <v>37992</v>
      </c>
      <c r="C1492" s="3">
        <v>0</v>
      </c>
      <c r="D1492" s="3">
        <v>1</v>
      </c>
      <c r="E1492" s="3">
        <f>C1492 - D1492</f>
        <v>-1</v>
      </c>
    </row>
    <row r="1493" spans="2:5" x14ac:dyDescent="0.35">
      <c r="B1493" s="38">
        <v>37993</v>
      </c>
      <c r="C1493" s="3">
        <v>0</v>
      </c>
      <c r="D1493" s="3">
        <v>0</v>
      </c>
      <c r="E1493" s="3">
        <f>C1493 - D1493</f>
        <v>0</v>
      </c>
    </row>
    <row r="1494" spans="2:5" x14ac:dyDescent="0.35">
      <c r="B1494" s="38">
        <v>37994</v>
      </c>
      <c r="C1494" s="3">
        <v>1</v>
      </c>
      <c r="D1494" s="3">
        <v>0</v>
      </c>
      <c r="E1494" s="3">
        <f>C1494 - D1494</f>
        <v>1</v>
      </c>
    </row>
    <row r="1495" spans="2:5" x14ac:dyDescent="0.35">
      <c r="B1495" s="38">
        <v>37995</v>
      </c>
      <c r="C1495" s="3">
        <v>1</v>
      </c>
      <c r="D1495" s="3">
        <v>1</v>
      </c>
      <c r="E1495" s="3">
        <f>C1495 - D1495</f>
        <v>0</v>
      </c>
    </row>
    <row r="1496" spans="2:5" x14ac:dyDescent="0.35">
      <c r="B1496" s="38">
        <v>37996</v>
      </c>
      <c r="C1496" s="3">
        <v>0</v>
      </c>
      <c r="D1496" s="3">
        <v>1</v>
      </c>
      <c r="E1496" s="3">
        <f>C1496 - D1496</f>
        <v>-1</v>
      </c>
    </row>
    <row r="1497" spans="2:5" x14ac:dyDescent="0.35">
      <c r="B1497" s="38">
        <v>37997</v>
      </c>
      <c r="C1497" s="3">
        <v>0</v>
      </c>
      <c r="D1497" s="3">
        <v>0</v>
      </c>
      <c r="E1497" s="3">
        <f>C1497 - D1497</f>
        <v>0</v>
      </c>
    </row>
    <row r="1498" spans="2:5" x14ac:dyDescent="0.35">
      <c r="B1498" s="38">
        <v>37998</v>
      </c>
      <c r="C1498" s="3">
        <v>0</v>
      </c>
      <c r="D1498" s="3">
        <v>0</v>
      </c>
      <c r="E1498" s="3">
        <f>C1498 - D1498</f>
        <v>0</v>
      </c>
    </row>
    <row r="1499" spans="2:5" x14ac:dyDescent="0.35">
      <c r="B1499" s="38">
        <v>37999</v>
      </c>
      <c r="C1499" s="3">
        <v>0</v>
      </c>
      <c r="D1499" s="3">
        <v>0</v>
      </c>
      <c r="E1499" s="3">
        <f>C1499 - D1499</f>
        <v>0</v>
      </c>
    </row>
    <row r="1500" spans="2:5" x14ac:dyDescent="0.35">
      <c r="B1500" s="38">
        <v>38000</v>
      </c>
      <c r="C1500" s="3">
        <v>0</v>
      </c>
      <c r="D1500" s="3">
        <v>0</v>
      </c>
      <c r="E1500" s="3">
        <f>C1500 - D1500</f>
        <v>0</v>
      </c>
    </row>
    <row r="1501" spans="2:5" x14ac:dyDescent="0.35">
      <c r="B1501" s="38">
        <v>38001</v>
      </c>
      <c r="C1501" s="3">
        <v>0</v>
      </c>
      <c r="D1501" s="3">
        <v>0</v>
      </c>
      <c r="E1501" s="3">
        <f>C1501 - D1501</f>
        <v>0</v>
      </c>
    </row>
    <row r="1502" spans="2:5" x14ac:dyDescent="0.35">
      <c r="B1502" s="38">
        <v>38002</v>
      </c>
      <c r="C1502" s="3">
        <v>0</v>
      </c>
      <c r="D1502" s="3">
        <v>0</v>
      </c>
      <c r="E1502" s="3">
        <f>C1502 - D1502</f>
        <v>0</v>
      </c>
    </row>
    <row r="1503" spans="2:5" x14ac:dyDescent="0.35">
      <c r="B1503" s="38">
        <v>38003</v>
      </c>
      <c r="C1503" s="3">
        <v>1</v>
      </c>
      <c r="D1503" s="3">
        <v>0</v>
      </c>
      <c r="E1503" s="3">
        <f>C1503 - D1503</f>
        <v>1</v>
      </c>
    </row>
    <row r="1504" spans="2:5" x14ac:dyDescent="0.35">
      <c r="B1504" s="38">
        <v>38004</v>
      </c>
      <c r="C1504" s="3">
        <v>0</v>
      </c>
      <c r="D1504" s="3">
        <v>1</v>
      </c>
      <c r="E1504" s="3">
        <f>C1504 - D1504</f>
        <v>-1</v>
      </c>
    </row>
    <row r="1505" spans="2:5" x14ac:dyDescent="0.35">
      <c r="B1505" s="38">
        <v>38005</v>
      </c>
      <c r="C1505" s="3">
        <v>0</v>
      </c>
      <c r="D1505" s="3">
        <v>0</v>
      </c>
      <c r="E1505" s="3">
        <f>C1505 - D1505</f>
        <v>0</v>
      </c>
    </row>
    <row r="1506" spans="2:5" x14ac:dyDescent="0.35">
      <c r="B1506" s="38">
        <v>38006</v>
      </c>
      <c r="C1506" s="3">
        <v>0</v>
      </c>
      <c r="D1506" s="3">
        <v>0</v>
      </c>
      <c r="E1506" s="3">
        <f>C1506 - D1506</f>
        <v>0</v>
      </c>
    </row>
    <row r="1507" spans="2:5" x14ac:dyDescent="0.35">
      <c r="B1507" s="38">
        <v>38007</v>
      </c>
      <c r="C1507" s="3">
        <v>0</v>
      </c>
      <c r="D1507" s="3">
        <v>0</v>
      </c>
      <c r="E1507" s="3">
        <f>C1507 - D1507</f>
        <v>0</v>
      </c>
    </row>
    <row r="1508" spans="2:5" x14ac:dyDescent="0.35">
      <c r="B1508" s="38">
        <v>38008</v>
      </c>
      <c r="C1508" s="3">
        <v>0</v>
      </c>
      <c r="D1508" s="3">
        <v>0</v>
      </c>
      <c r="E1508" s="3">
        <f>C1508 - D1508</f>
        <v>0</v>
      </c>
    </row>
    <row r="1509" spans="2:5" x14ac:dyDescent="0.35">
      <c r="B1509" s="38">
        <v>38009</v>
      </c>
      <c r="C1509" s="3">
        <v>0</v>
      </c>
      <c r="D1509" s="3">
        <v>0</v>
      </c>
      <c r="E1509" s="3">
        <f>C1509 - D1509</f>
        <v>0</v>
      </c>
    </row>
    <row r="1510" spans="2:5" x14ac:dyDescent="0.35">
      <c r="B1510" s="38">
        <v>38010</v>
      </c>
      <c r="C1510" s="3">
        <v>0</v>
      </c>
      <c r="D1510" s="3">
        <v>0</v>
      </c>
      <c r="E1510" s="3">
        <f>C1510 - D1510</f>
        <v>0</v>
      </c>
    </row>
    <row r="1511" spans="2:5" x14ac:dyDescent="0.35">
      <c r="B1511" s="38">
        <v>38011</v>
      </c>
      <c r="C1511" s="3">
        <v>0</v>
      </c>
      <c r="D1511" s="3">
        <v>0</v>
      </c>
      <c r="E1511" s="3">
        <f>C1511 - D1511</f>
        <v>0</v>
      </c>
    </row>
    <row r="1512" spans="2:5" x14ac:dyDescent="0.35">
      <c r="B1512" s="38">
        <v>38012</v>
      </c>
      <c r="C1512" s="3">
        <v>0</v>
      </c>
      <c r="D1512" s="3">
        <v>0</v>
      </c>
      <c r="E1512" s="3">
        <f>C1512 - D1512</f>
        <v>0</v>
      </c>
    </row>
    <row r="1513" spans="2:5" x14ac:dyDescent="0.35">
      <c r="B1513" s="38">
        <v>38013</v>
      </c>
      <c r="C1513" s="3">
        <v>0</v>
      </c>
      <c r="D1513" s="3">
        <v>0</v>
      </c>
      <c r="E1513" s="3">
        <f>C1513 - D1513</f>
        <v>0</v>
      </c>
    </row>
    <row r="1514" spans="2:5" x14ac:dyDescent="0.35">
      <c r="B1514" s="38">
        <v>38014</v>
      </c>
      <c r="C1514" s="3">
        <v>0</v>
      </c>
      <c r="D1514" s="3">
        <v>0</v>
      </c>
      <c r="E1514" s="3">
        <f>C1514 - D1514</f>
        <v>0</v>
      </c>
    </row>
    <row r="1515" spans="2:5" x14ac:dyDescent="0.35">
      <c r="B1515" s="38">
        <v>38015</v>
      </c>
      <c r="C1515" s="3">
        <v>1</v>
      </c>
      <c r="D1515" s="3">
        <v>0</v>
      </c>
      <c r="E1515" s="3">
        <f>C1515 - D1515</f>
        <v>1</v>
      </c>
    </row>
    <row r="1516" spans="2:5" x14ac:dyDescent="0.35">
      <c r="B1516" s="38">
        <v>38016</v>
      </c>
      <c r="C1516" s="3">
        <v>1</v>
      </c>
      <c r="D1516" s="3">
        <v>1</v>
      </c>
      <c r="E1516" s="3">
        <f>C1516 - D1516</f>
        <v>0</v>
      </c>
    </row>
    <row r="1517" spans="2:5" x14ac:dyDescent="0.35">
      <c r="B1517" s="38">
        <v>38017</v>
      </c>
      <c r="C1517" s="3">
        <v>1</v>
      </c>
      <c r="D1517" s="3">
        <v>1</v>
      </c>
      <c r="E1517" s="3">
        <f>C1517 - D1517</f>
        <v>0</v>
      </c>
    </row>
    <row r="1518" spans="2:5" x14ac:dyDescent="0.35">
      <c r="B1518" s="38">
        <v>38018</v>
      </c>
      <c r="C1518" s="3">
        <v>1</v>
      </c>
      <c r="D1518" s="3">
        <v>1</v>
      </c>
      <c r="E1518" s="3">
        <f>C1518 - D1518</f>
        <v>0</v>
      </c>
    </row>
    <row r="1519" spans="2:5" x14ac:dyDescent="0.35">
      <c r="B1519" s="38">
        <v>38019</v>
      </c>
      <c r="C1519" s="3">
        <v>1</v>
      </c>
      <c r="D1519" s="3">
        <v>1</v>
      </c>
      <c r="E1519" s="3">
        <f>C1519 - D1519</f>
        <v>0</v>
      </c>
    </row>
    <row r="1520" spans="2:5" x14ac:dyDescent="0.35">
      <c r="B1520" s="38">
        <v>38020</v>
      </c>
      <c r="C1520" s="3">
        <v>0</v>
      </c>
      <c r="D1520" s="3">
        <v>1</v>
      </c>
      <c r="E1520" s="3">
        <f>C1520 - D1520</f>
        <v>-1</v>
      </c>
    </row>
    <row r="1521" spans="2:5" x14ac:dyDescent="0.35">
      <c r="B1521" s="38">
        <v>38021</v>
      </c>
      <c r="C1521" s="3">
        <v>0</v>
      </c>
      <c r="D1521" s="3">
        <v>0</v>
      </c>
      <c r="E1521" s="3">
        <f>C1521 - D1521</f>
        <v>0</v>
      </c>
    </row>
    <row r="1522" spans="2:5" x14ac:dyDescent="0.35">
      <c r="B1522" s="38">
        <v>38022</v>
      </c>
      <c r="C1522" s="3">
        <v>0</v>
      </c>
      <c r="D1522" s="3">
        <v>0</v>
      </c>
      <c r="E1522" s="3">
        <f>C1522 - D1522</f>
        <v>0</v>
      </c>
    </row>
    <row r="1523" spans="2:5" x14ac:dyDescent="0.35">
      <c r="B1523" s="38">
        <v>38023</v>
      </c>
      <c r="C1523" s="3">
        <v>0</v>
      </c>
      <c r="D1523" s="3">
        <v>0</v>
      </c>
      <c r="E1523" s="3">
        <f>C1523 - D1523</f>
        <v>0</v>
      </c>
    </row>
    <row r="1524" spans="2:5" x14ac:dyDescent="0.35">
      <c r="B1524" s="38">
        <v>38024</v>
      </c>
      <c r="C1524" s="3">
        <v>0</v>
      </c>
      <c r="D1524" s="3">
        <v>0</v>
      </c>
      <c r="E1524" s="3">
        <f>C1524 - D1524</f>
        <v>0</v>
      </c>
    </row>
    <row r="1525" spans="2:5" x14ac:dyDescent="0.35">
      <c r="B1525" s="38">
        <v>38025</v>
      </c>
      <c r="C1525" s="3">
        <v>0</v>
      </c>
      <c r="D1525" s="3">
        <v>0</v>
      </c>
      <c r="E1525" s="3">
        <f>C1525 - D1525</f>
        <v>0</v>
      </c>
    </row>
    <row r="1526" spans="2:5" x14ac:dyDescent="0.35">
      <c r="B1526" s="38">
        <v>38026</v>
      </c>
      <c r="C1526" s="3">
        <v>0</v>
      </c>
      <c r="D1526" s="3">
        <v>0</v>
      </c>
      <c r="E1526" s="3">
        <f>C1526 - D1526</f>
        <v>0</v>
      </c>
    </row>
    <row r="1527" spans="2:5" x14ac:dyDescent="0.35">
      <c r="B1527" s="38">
        <v>38027</v>
      </c>
      <c r="C1527" s="3">
        <v>0</v>
      </c>
      <c r="D1527" s="3">
        <v>0</v>
      </c>
      <c r="E1527" s="3">
        <f>C1527 - D1527</f>
        <v>0</v>
      </c>
    </row>
    <row r="1528" spans="2:5" x14ac:dyDescent="0.35">
      <c r="B1528" s="38">
        <v>38028</v>
      </c>
      <c r="C1528" s="3">
        <v>1</v>
      </c>
      <c r="D1528" s="3">
        <v>0</v>
      </c>
      <c r="E1528" s="3">
        <f>C1528 - D1528</f>
        <v>1</v>
      </c>
    </row>
    <row r="1529" spans="2:5" x14ac:dyDescent="0.35">
      <c r="B1529" s="38">
        <v>38029</v>
      </c>
      <c r="C1529" s="3">
        <v>1</v>
      </c>
      <c r="D1529" s="3">
        <v>1</v>
      </c>
      <c r="E1529" s="3">
        <f>C1529 - D1529</f>
        <v>0</v>
      </c>
    </row>
    <row r="1530" spans="2:5" x14ac:dyDescent="0.35">
      <c r="B1530" s="38">
        <v>38030</v>
      </c>
      <c r="C1530" s="3">
        <v>0</v>
      </c>
      <c r="D1530" s="3">
        <v>1</v>
      </c>
      <c r="E1530" s="3">
        <f>C1530 - D1530</f>
        <v>-1</v>
      </c>
    </row>
    <row r="1531" spans="2:5" x14ac:dyDescent="0.35">
      <c r="B1531" s="38">
        <v>38031</v>
      </c>
      <c r="C1531" s="3">
        <v>0</v>
      </c>
      <c r="D1531" s="3">
        <v>0</v>
      </c>
      <c r="E1531" s="3">
        <f>C1531 - D1531</f>
        <v>0</v>
      </c>
    </row>
    <row r="1532" spans="2:5" x14ac:dyDescent="0.35">
      <c r="B1532" s="38">
        <v>38032</v>
      </c>
      <c r="C1532" s="3">
        <v>1</v>
      </c>
      <c r="D1532" s="3">
        <v>0</v>
      </c>
      <c r="E1532" s="3">
        <f>C1532 - D1532</f>
        <v>1</v>
      </c>
    </row>
    <row r="1533" spans="2:5" x14ac:dyDescent="0.35">
      <c r="B1533" s="38">
        <v>38033</v>
      </c>
      <c r="C1533" s="3">
        <v>0</v>
      </c>
      <c r="D1533" s="3">
        <v>1</v>
      </c>
      <c r="E1533" s="3">
        <f>C1533 - D1533</f>
        <v>-1</v>
      </c>
    </row>
    <row r="1534" spans="2:5" x14ac:dyDescent="0.35">
      <c r="B1534" s="38">
        <v>38034</v>
      </c>
      <c r="C1534" s="3">
        <v>0</v>
      </c>
      <c r="D1534" s="3">
        <v>0</v>
      </c>
      <c r="E1534" s="3">
        <f>C1534 - D1534</f>
        <v>0</v>
      </c>
    </row>
    <row r="1535" spans="2:5" x14ac:dyDescent="0.35">
      <c r="B1535" s="38">
        <v>38035</v>
      </c>
      <c r="C1535" s="3">
        <v>0</v>
      </c>
      <c r="D1535" s="3">
        <v>0</v>
      </c>
      <c r="E1535" s="3">
        <f>C1535 - D1535</f>
        <v>0</v>
      </c>
    </row>
    <row r="1536" spans="2:5" x14ac:dyDescent="0.35">
      <c r="B1536" s="38">
        <v>38036</v>
      </c>
      <c r="C1536" s="3">
        <v>0</v>
      </c>
      <c r="D1536" s="3">
        <v>0</v>
      </c>
      <c r="E1536" s="3">
        <f>C1536 - D1536</f>
        <v>0</v>
      </c>
    </row>
    <row r="1537" spans="2:5" x14ac:dyDescent="0.35">
      <c r="B1537" s="38">
        <v>38037</v>
      </c>
      <c r="C1537" s="3">
        <v>0</v>
      </c>
      <c r="D1537" s="3">
        <v>0</v>
      </c>
      <c r="E1537" s="3">
        <f>C1537 - D1537</f>
        <v>0</v>
      </c>
    </row>
    <row r="1538" spans="2:5" x14ac:dyDescent="0.35">
      <c r="B1538" s="38">
        <v>38038</v>
      </c>
      <c r="C1538" s="3">
        <v>0</v>
      </c>
      <c r="D1538" s="3">
        <v>0</v>
      </c>
      <c r="E1538" s="3">
        <f>C1538 - D1538</f>
        <v>0</v>
      </c>
    </row>
    <row r="1539" spans="2:5" x14ac:dyDescent="0.35">
      <c r="B1539" s="38">
        <v>38039</v>
      </c>
      <c r="C1539" s="3">
        <v>1</v>
      </c>
      <c r="D1539" s="3">
        <v>0</v>
      </c>
      <c r="E1539" s="3">
        <f>C1539 - D1539</f>
        <v>1</v>
      </c>
    </row>
    <row r="1540" spans="2:5" x14ac:dyDescent="0.35">
      <c r="B1540" s="38">
        <v>38040</v>
      </c>
      <c r="C1540" s="3">
        <v>0</v>
      </c>
      <c r="D1540" s="3">
        <v>1</v>
      </c>
      <c r="E1540" s="3">
        <f>C1540 - D1540</f>
        <v>-1</v>
      </c>
    </row>
    <row r="1541" spans="2:5" x14ac:dyDescent="0.35">
      <c r="B1541" s="38">
        <v>38041</v>
      </c>
      <c r="C1541" s="3">
        <v>0</v>
      </c>
      <c r="D1541" s="3">
        <v>0</v>
      </c>
      <c r="E1541" s="3">
        <f>C1541 - D1541</f>
        <v>0</v>
      </c>
    </row>
    <row r="1542" spans="2:5" x14ac:dyDescent="0.35">
      <c r="B1542" s="38">
        <v>38042</v>
      </c>
      <c r="C1542" s="3">
        <v>0</v>
      </c>
      <c r="D1542" s="3">
        <v>0</v>
      </c>
      <c r="E1542" s="3">
        <f>C1542 - D1542</f>
        <v>0</v>
      </c>
    </row>
    <row r="1543" spans="2:5" x14ac:dyDescent="0.35">
      <c r="B1543" s="38">
        <v>38043</v>
      </c>
      <c r="C1543" s="3">
        <v>0</v>
      </c>
      <c r="D1543" s="3">
        <v>0</v>
      </c>
      <c r="E1543" s="3">
        <f>C1543 - D1543</f>
        <v>0</v>
      </c>
    </row>
    <row r="1544" spans="2:5" x14ac:dyDescent="0.35">
      <c r="B1544" s="38">
        <v>38044</v>
      </c>
      <c r="C1544" s="3">
        <v>0</v>
      </c>
      <c r="D1544" s="3">
        <v>0</v>
      </c>
      <c r="E1544" s="3">
        <f>C1544 - D1544</f>
        <v>0</v>
      </c>
    </row>
    <row r="1545" spans="2:5" x14ac:dyDescent="0.35">
      <c r="B1545" s="38">
        <v>38045</v>
      </c>
      <c r="C1545" s="3">
        <v>0</v>
      </c>
      <c r="D1545" s="3">
        <v>0</v>
      </c>
      <c r="E1545" s="3">
        <f>C1545 - D1545</f>
        <v>0</v>
      </c>
    </row>
    <row r="1546" spans="2:5" x14ac:dyDescent="0.35">
      <c r="B1546" s="38">
        <v>38046</v>
      </c>
      <c r="C1546" s="3">
        <v>0</v>
      </c>
      <c r="D1546" s="3">
        <v>0</v>
      </c>
      <c r="E1546" s="3">
        <f>C1546 - D1546</f>
        <v>0</v>
      </c>
    </row>
    <row r="1547" spans="2:5" x14ac:dyDescent="0.35">
      <c r="B1547" s="38">
        <v>38047</v>
      </c>
      <c r="C1547" s="3">
        <v>0</v>
      </c>
      <c r="D1547" s="3">
        <v>0</v>
      </c>
      <c r="E1547" s="3">
        <f>C1547 - D1547</f>
        <v>0</v>
      </c>
    </row>
    <row r="1548" spans="2:5" x14ac:dyDescent="0.35">
      <c r="B1548" s="38">
        <v>38048</v>
      </c>
      <c r="C1548" s="3">
        <v>0</v>
      </c>
      <c r="D1548" s="3">
        <v>0</v>
      </c>
      <c r="E1548" s="3">
        <f>C1548 - D1548</f>
        <v>0</v>
      </c>
    </row>
    <row r="1549" spans="2:5" x14ac:dyDescent="0.35">
      <c r="B1549" s="38">
        <v>38049</v>
      </c>
      <c r="C1549" s="3">
        <v>0</v>
      </c>
      <c r="D1549" s="3">
        <v>0</v>
      </c>
      <c r="E1549" s="3">
        <f>C1549 - D1549</f>
        <v>0</v>
      </c>
    </row>
    <row r="1550" spans="2:5" x14ac:dyDescent="0.35">
      <c r="B1550" s="38">
        <v>38050</v>
      </c>
      <c r="C1550" s="3">
        <v>0</v>
      </c>
      <c r="D1550" s="3">
        <v>0</v>
      </c>
      <c r="E1550" s="3">
        <f>C1550 - D1550</f>
        <v>0</v>
      </c>
    </row>
    <row r="1551" spans="2:5" x14ac:dyDescent="0.35">
      <c r="B1551" s="38">
        <v>38051</v>
      </c>
      <c r="C1551" s="3">
        <v>0</v>
      </c>
      <c r="D1551" s="3">
        <v>0</v>
      </c>
      <c r="E1551" s="3">
        <f>C1551 - D1551</f>
        <v>0</v>
      </c>
    </row>
    <row r="1552" spans="2:5" x14ac:dyDescent="0.35">
      <c r="B1552" s="38">
        <v>38052</v>
      </c>
      <c r="C1552" s="3">
        <v>0</v>
      </c>
      <c r="D1552" s="3">
        <v>0</v>
      </c>
      <c r="E1552" s="3">
        <f>C1552 - D1552</f>
        <v>0</v>
      </c>
    </row>
    <row r="1553" spans="2:5" x14ac:dyDescent="0.35">
      <c r="B1553" s="38">
        <v>38053</v>
      </c>
      <c r="C1553" s="3">
        <v>1</v>
      </c>
      <c r="D1553" s="3">
        <v>0</v>
      </c>
      <c r="E1553" s="3">
        <f>C1553 - D1553</f>
        <v>1</v>
      </c>
    </row>
    <row r="1554" spans="2:5" x14ac:dyDescent="0.35">
      <c r="B1554" s="38">
        <v>38054</v>
      </c>
      <c r="C1554" s="3">
        <v>1</v>
      </c>
      <c r="D1554" s="3">
        <v>1</v>
      </c>
      <c r="E1554" s="3">
        <f>C1554 - D1554</f>
        <v>0</v>
      </c>
    </row>
    <row r="1555" spans="2:5" x14ac:dyDescent="0.35">
      <c r="B1555" s="38">
        <v>38055</v>
      </c>
      <c r="C1555" s="3">
        <v>1</v>
      </c>
      <c r="D1555" s="3">
        <v>1</v>
      </c>
      <c r="E1555" s="3">
        <f>C1555 - D1555</f>
        <v>0</v>
      </c>
    </row>
    <row r="1556" spans="2:5" x14ac:dyDescent="0.35">
      <c r="B1556" s="38">
        <v>38056</v>
      </c>
      <c r="C1556" s="3">
        <v>1</v>
      </c>
      <c r="D1556" s="3">
        <v>1</v>
      </c>
      <c r="E1556" s="3">
        <f>C1556 - D1556</f>
        <v>0</v>
      </c>
    </row>
    <row r="1557" spans="2:5" x14ac:dyDescent="0.35">
      <c r="B1557" s="38">
        <v>38057</v>
      </c>
      <c r="C1557" s="3">
        <v>0</v>
      </c>
      <c r="D1557" s="3">
        <v>1</v>
      </c>
      <c r="E1557" s="3">
        <f>C1557 - D1557</f>
        <v>-1</v>
      </c>
    </row>
    <row r="1558" spans="2:5" x14ac:dyDescent="0.35">
      <c r="B1558" s="38">
        <v>38058</v>
      </c>
      <c r="C1558" s="3">
        <v>0</v>
      </c>
      <c r="D1558" s="3">
        <v>0</v>
      </c>
      <c r="E1558" s="3">
        <f>C1558 - D1558</f>
        <v>0</v>
      </c>
    </row>
    <row r="1559" spans="2:5" x14ac:dyDescent="0.35">
      <c r="B1559" s="38">
        <v>38059</v>
      </c>
      <c r="C1559" s="3">
        <v>0</v>
      </c>
      <c r="D1559" s="3">
        <v>0</v>
      </c>
      <c r="E1559" s="3">
        <f>C1559 - D1559</f>
        <v>0</v>
      </c>
    </row>
    <row r="1560" spans="2:5" x14ac:dyDescent="0.35">
      <c r="B1560" s="38">
        <v>38060</v>
      </c>
      <c r="C1560" s="3">
        <v>0</v>
      </c>
      <c r="D1560" s="3">
        <v>0</v>
      </c>
      <c r="E1560" s="3">
        <f>C1560 - D1560</f>
        <v>0</v>
      </c>
    </row>
    <row r="1561" spans="2:5" x14ac:dyDescent="0.35">
      <c r="B1561" s="38">
        <v>38061</v>
      </c>
      <c r="C1561" s="3">
        <v>0</v>
      </c>
      <c r="D1561" s="3">
        <v>0</v>
      </c>
      <c r="E1561" s="3">
        <f>C1561 - D1561</f>
        <v>0</v>
      </c>
    </row>
    <row r="1562" spans="2:5" x14ac:dyDescent="0.35">
      <c r="B1562" s="38">
        <v>38062</v>
      </c>
      <c r="C1562" s="3">
        <v>0</v>
      </c>
      <c r="D1562" s="3">
        <v>0</v>
      </c>
      <c r="E1562" s="3">
        <f>C1562 - D1562</f>
        <v>0</v>
      </c>
    </row>
    <row r="1563" spans="2:5" x14ac:dyDescent="0.35">
      <c r="B1563" s="38">
        <v>38063</v>
      </c>
      <c r="C1563" s="3">
        <v>0</v>
      </c>
      <c r="D1563" s="3">
        <v>0</v>
      </c>
      <c r="E1563" s="3">
        <f>C1563 - D1563</f>
        <v>0</v>
      </c>
    </row>
    <row r="1564" spans="2:5" x14ac:dyDescent="0.35">
      <c r="B1564" s="38">
        <v>38064</v>
      </c>
      <c r="C1564" s="3">
        <v>0</v>
      </c>
      <c r="D1564" s="3">
        <v>0</v>
      </c>
      <c r="E1564" s="3">
        <f>C1564 - D1564</f>
        <v>0</v>
      </c>
    </row>
    <row r="1565" spans="2:5" x14ac:dyDescent="0.35">
      <c r="B1565" s="38">
        <v>38065</v>
      </c>
      <c r="C1565" s="3">
        <v>0</v>
      </c>
      <c r="D1565" s="3">
        <v>0</v>
      </c>
      <c r="E1565" s="3">
        <f>C1565 - D1565</f>
        <v>0</v>
      </c>
    </row>
    <row r="1566" spans="2:5" x14ac:dyDescent="0.35">
      <c r="B1566" s="38">
        <v>38066</v>
      </c>
      <c r="C1566" s="3">
        <v>0</v>
      </c>
      <c r="D1566" s="3">
        <v>0</v>
      </c>
      <c r="E1566" s="3">
        <f>C1566 - D1566</f>
        <v>0</v>
      </c>
    </row>
    <row r="1567" spans="2:5" x14ac:dyDescent="0.35">
      <c r="B1567" s="38">
        <v>38067</v>
      </c>
      <c r="C1567" s="3">
        <v>0</v>
      </c>
      <c r="D1567" s="3">
        <v>0</v>
      </c>
      <c r="E1567" s="3">
        <f>C1567 - D1567</f>
        <v>0</v>
      </c>
    </row>
    <row r="1568" spans="2:5" x14ac:dyDescent="0.35">
      <c r="B1568" s="38">
        <v>38068</v>
      </c>
      <c r="C1568" s="3">
        <v>0</v>
      </c>
      <c r="D1568" s="3">
        <v>0</v>
      </c>
      <c r="E1568" s="3">
        <f>C1568 - D1568</f>
        <v>0</v>
      </c>
    </row>
    <row r="1569" spans="2:5" x14ac:dyDescent="0.35">
      <c r="B1569" s="38">
        <v>38069</v>
      </c>
      <c r="C1569" s="3">
        <v>0</v>
      </c>
      <c r="D1569" s="3">
        <v>0</v>
      </c>
      <c r="E1569" s="3">
        <f>C1569 - D1569</f>
        <v>0</v>
      </c>
    </row>
    <row r="1570" spans="2:5" x14ac:dyDescent="0.35">
      <c r="B1570" s="38">
        <v>38070</v>
      </c>
      <c r="C1570" s="3">
        <v>0</v>
      </c>
      <c r="D1570" s="3">
        <v>0</v>
      </c>
      <c r="E1570" s="3">
        <f>C1570 - D1570</f>
        <v>0</v>
      </c>
    </row>
    <row r="1571" spans="2:5" x14ac:dyDescent="0.35">
      <c r="B1571" s="38">
        <v>38071</v>
      </c>
      <c r="C1571" s="3">
        <v>0</v>
      </c>
      <c r="D1571" s="3">
        <v>0</v>
      </c>
      <c r="E1571" s="3">
        <f>C1571 - D1571</f>
        <v>0</v>
      </c>
    </row>
    <row r="1572" spans="2:5" x14ac:dyDescent="0.35">
      <c r="B1572" s="38">
        <v>38072</v>
      </c>
      <c r="C1572" s="3">
        <v>0</v>
      </c>
      <c r="D1572" s="3">
        <v>0</v>
      </c>
      <c r="E1572" s="3">
        <f>C1572 - D1572</f>
        <v>0</v>
      </c>
    </row>
    <row r="1573" spans="2:5" x14ac:dyDescent="0.35">
      <c r="B1573" s="38">
        <v>38073</v>
      </c>
      <c r="C1573" s="3">
        <v>0</v>
      </c>
      <c r="D1573" s="3">
        <v>0</v>
      </c>
      <c r="E1573" s="3">
        <f>C1573 - D1573</f>
        <v>0</v>
      </c>
    </row>
    <row r="1574" spans="2:5" x14ac:dyDescent="0.35">
      <c r="B1574" s="38">
        <v>38074</v>
      </c>
      <c r="C1574" s="3">
        <v>0</v>
      </c>
      <c r="D1574" s="3">
        <v>0</v>
      </c>
      <c r="E1574" s="3">
        <f>C1574 - D1574</f>
        <v>0</v>
      </c>
    </row>
    <row r="1575" spans="2:5" x14ac:dyDescent="0.35">
      <c r="B1575" s="38">
        <v>38075</v>
      </c>
      <c r="C1575" s="3">
        <v>1</v>
      </c>
      <c r="D1575" s="3">
        <v>0</v>
      </c>
      <c r="E1575" s="3">
        <f>C1575 - D1575</f>
        <v>1</v>
      </c>
    </row>
    <row r="1576" spans="2:5" x14ac:dyDescent="0.35">
      <c r="B1576" s="38">
        <v>38076</v>
      </c>
      <c r="C1576" s="3">
        <v>1</v>
      </c>
      <c r="D1576" s="3">
        <v>1</v>
      </c>
      <c r="E1576" s="3">
        <f>C1576 - D1576</f>
        <v>0</v>
      </c>
    </row>
    <row r="1577" spans="2:5" x14ac:dyDescent="0.35">
      <c r="B1577" s="38">
        <v>38077</v>
      </c>
      <c r="C1577" s="3">
        <v>1</v>
      </c>
      <c r="D1577" s="3">
        <v>1</v>
      </c>
      <c r="E1577" s="3">
        <f>C1577 - D1577</f>
        <v>0</v>
      </c>
    </row>
    <row r="1578" spans="2:5" x14ac:dyDescent="0.35">
      <c r="B1578" s="38">
        <v>38078</v>
      </c>
      <c r="C1578" s="3">
        <v>0</v>
      </c>
      <c r="D1578" s="3">
        <v>1</v>
      </c>
      <c r="E1578" s="3">
        <f>C1578 - D1578</f>
        <v>-1</v>
      </c>
    </row>
    <row r="1579" spans="2:5" x14ac:dyDescent="0.35">
      <c r="B1579" s="38">
        <v>38079</v>
      </c>
      <c r="C1579" s="3">
        <v>1</v>
      </c>
      <c r="D1579" s="3">
        <v>0</v>
      </c>
      <c r="E1579" s="3">
        <f>C1579 - D1579</f>
        <v>1</v>
      </c>
    </row>
    <row r="1580" spans="2:5" x14ac:dyDescent="0.35">
      <c r="B1580" s="38">
        <v>38080</v>
      </c>
      <c r="C1580" s="3">
        <v>0</v>
      </c>
      <c r="D1580" s="3">
        <v>1</v>
      </c>
      <c r="E1580" s="3">
        <f>C1580 - D1580</f>
        <v>-1</v>
      </c>
    </row>
    <row r="1581" spans="2:5" x14ac:dyDescent="0.35">
      <c r="B1581" s="38">
        <v>38081</v>
      </c>
      <c r="C1581" s="3">
        <v>0</v>
      </c>
      <c r="D1581" s="3">
        <v>0</v>
      </c>
      <c r="E1581" s="3">
        <f>C1581 - D1581</f>
        <v>0</v>
      </c>
    </row>
    <row r="1582" spans="2:5" x14ac:dyDescent="0.35">
      <c r="B1582" s="38">
        <v>38082</v>
      </c>
      <c r="C1582" s="3">
        <v>0</v>
      </c>
      <c r="D1582" s="3">
        <v>0</v>
      </c>
      <c r="E1582" s="3">
        <f>C1582 - D1582</f>
        <v>0</v>
      </c>
    </row>
    <row r="1583" spans="2:5" x14ac:dyDescent="0.35">
      <c r="B1583" s="38">
        <v>38083</v>
      </c>
      <c r="C1583" s="3">
        <v>0</v>
      </c>
      <c r="D1583" s="3">
        <v>0</v>
      </c>
      <c r="E1583" s="3">
        <f>C1583 - D1583</f>
        <v>0</v>
      </c>
    </row>
    <row r="1584" spans="2:5" x14ac:dyDescent="0.35">
      <c r="B1584" s="38">
        <v>38084</v>
      </c>
      <c r="C1584" s="3">
        <v>0</v>
      </c>
      <c r="D1584" s="3">
        <v>0</v>
      </c>
      <c r="E1584" s="3">
        <f>C1584 - D1584</f>
        <v>0</v>
      </c>
    </row>
    <row r="1585" spans="2:5" x14ac:dyDescent="0.35">
      <c r="B1585" s="38">
        <v>38085</v>
      </c>
      <c r="C1585" s="3">
        <v>0</v>
      </c>
      <c r="D1585" s="3">
        <v>0</v>
      </c>
      <c r="E1585" s="3">
        <f>C1585 - D1585</f>
        <v>0</v>
      </c>
    </row>
    <row r="1586" spans="2:5" x14ac:dyDescent="0.35">
      <c r="B1586" s="38">
        <v>38086</v>
      </c>
      <c r="C1586" s="3">
        <v>0</v>
      </c>
      <c r="D1586" s="3">
        <v>0</v>
      </c>
      <c r="E1586" s="3">
        <f>C1586 - D1586</f>
        <v>0</v>
      </c>
    </row>
    <row r="1587" spans="2:5" x14ac:dyDescent="0.35">
      <c r="B1587" s="38">
        <v>38087</v>
      </c>
      <c r="C1587" s="3">
        <v>0</v>
      </c>
      <c r="D1587" s="3">
        <v>0</v>
      </c>
      <c r="E1587" s="3">
        <f>C1587 - D1587</f>
        <v>0</v>
      </c>
    </row>
    <row r="1588" spans="2:5" x14ac:dyDescent="0.35">
      <c r="B1588" s="38">
        <v>38088</v>
      </c>
      <c r="C1588" s="3">
        <v>1</v>
      </c>
      <c r="D1588" s="3">
        <v>0</v>
      </c>
      <c r="E1588" s="3">
        <f>C1588 - D1588</f>
        <v>1</v>
      </c>
    </row>
    <row r="1589" spans="2:5" x14ac:dyDescent="0.35">
      <c r="B1589" s="38">
        <v>38089</v>
      </c>
      <c r="C1589" s="3">
        <v>0</v>
      </c>
      <c r="D1589" s="3">
        <v>1</v>
      </c>
      <c r="E1589" s="3">
        <f>C1589 - D1589</f>
        <v>-1</v>
      </c>
    </row>
    <row r="1590" spans="2:5" x14ac:dyDescent="0.35">
      <c r="B1590" s="38">
        <v>38090</v>
      </c>
      <c r="C1590" s="3">
        <v>0</v>
      </c>
      <c r="D1590" s="3">
        <v>0</v>
      </c>
      <c r="E1590" s="3">
        <f>C1590 - D1590</f>
        <v>0</v>
      </c>
    </row>
    <row r="1591" spans="2:5" x14ac:dyDescent="0.35">
      <c r="B1591" s="38">
        <v>38091</v>
      </c>
      <c r="C1591" s="3">
        <v>0</v>
      </c>
      <c r="D1591" s="3">
        <v>0</v>
      </c>
      <c r="E1591" s="3">
        <f>C1591 - D1591</f>
        <v>0</v>
      </c>
    </row>
    <row r="1592" spans="2:5" x14ac:dyDescent="0.35">
      <c r="B1592" s="38">
        <v>38092</v>
      </c>
      <c r="C1592" s="3">
        <v>0</v>
      </c>
      <c r="D1592" s="3">
        <v>0</v>
      </c>
      <c r="E1592" s="3">
        <f>C1592 - D1592</f>
        <v>0</v>
      </c>
    </row>
    <row r="1593" spans="2:5" x14ac:dyDescent="0.35">
      <c r="B1593" s="38">
        <v>38093</v>
      </c>
      <c r="C1593" s="3">
        <v>0</v>
      </c>
      <c r="D1593" s="3">
        <v>0</v>
      </c>
      <c r="E1593" s="3">
        <f>C1593 - D1593</f>
        <v>0</v>
      </c>
    </row>
    <row r="1594" spans="2:5" x14ac:dyDescent="0.35">
      <c r="B1594" s="38">
        <v>38094</v>
      </c>
      <c r="C1594" s="3">
        <v>0</v>
      </c>
      <c r="D1594" s="3">
        <v>0</v>
      </c>
      <c r="E1594" s="3">
        <f>C1594 - D1594</f>
        <v>0</v>
      </c>
    </row>
    <row r="1595" spans="2:5" x14ac:dyDescent="0.35">
      <c r="B1595" s="38">
        <v>38095</v>
      </c>
      <c r="C1595" s="3">
        <v>1</v>
      </c>
      <c r="D1595" s="3">
        <v>0</v>
      </c>
      <c r="E1595" s="3">
        <f>C1595 - D1595</f>
        <v>1</v>
      </c>
    </row>
    <row r="1596" spans="2:5" x14ac:dyDescent="0.35">
      <c r="B1596" s="38">
        <v>38096</v>
      </c>
      <c r="C1596" s="3">
        <v>0</v>
      </c>
      <c r="D1596" s="3">
        <v>1</v>
      </c>
      <c r="E1596" s="3">
        <f>C1596 - D1596</f>
        <v>-1</v>
      </c>
    </row>
    <row r="1597" spans="2:5" x14ac:dyDescent="0.35">
      <c r="B1597" s="38">
        <v>38097</v>
      </c>
      <c r="C1597" s="3">
        <v>0</v>
      </c>
      <c r="D1597" s="3">
        <v>0</v>
      </c>
      <c r="E1597" s="3">
        <f>C1597 - D1597</f>
        <v>0</v>
      </c>
    </row>
    <row r="1598" spans="2:5" x14ac:dyDescent="0.35">
      <c r="B1598" s="38">
        <v>38098</v>
      </c>
      <c r="C1598" s="3">
        <v>0</v>
      </c>
      <c r="D1598" s="3">
        <v>0</v>
      </c>
      <c r="E1598" s="3">
        <f>C1598 - D1598</f>
        <v>0</v>
      </c>
    </row>
    <row r="1599" spans="2:5" x14ac:dyDescent="0.35">
      <c r="B1599" s="38">
        <v>38099</v>
      </c>
      <c r="C1599" s="3">
        <v>0</v>
      </c>
      <c r="D1599" s="3">
        <v>0</v>
      </c>
      <c r="E1599" s="3">
        <f>C1599 - D1599</f>
        <v>0</v>
      </c>
    </row>
    <row r="1600" spans="2:5" x14ac:dyDescent="0.35">
      <c r="B1600" s="38">
        <v>38100</v>
      </c>
      <c r="C1600" s="3">
        <v>1</v>
      </c>
      <c r="D1600" s="3">
        <v>0</v>
      </c>
      <c r="E1600" s="3">
        <f>C1600 - D1600</f>
        <v>1</v>
      </c>
    </row>
    <row r="1601" spans="2:5" x14ac:dyDescent="0.35">
      <c r="B1601" s="38">
        <v>38101</v>
      </c>
      <c r="C1601" s="3">
        <v>1</v>
      </c>
      <c r="D1601" s="3">
        <v>1</v>
      </c>
      <c r="E1601" s="3">
        <f>C1601 - D1601</f>
        <v>0</v>
      </c>
    </row>
    <row r="1602" spans="2:5" x14ac:dyDescent="0.35">
      <c r="B1602" s="38">
        <v>38102</v>
      </c>
      <c r="C1602" s="3">
        <v>0</v>
      </c>
      <c r="D1602" s="3">
        <v>1</v>
      </c>
      <c r="E1602" s="3">
        <f>C1602 - D1602</f>
        <v>-1</v>
      </c>
    </row>
    <row r="1603" spans="2:5" x14ac:dyDescent="0.35">
      <c r="B1603" s="38">
        <v>38103</v>
      </c>
      <c r="C1603" s="3">
        <v>0</v>
      </c>
      <c r="D1603" s="3">
        <v>0</v>
      </c>
      <c r="E1603" s="3">
        <f>C1603 - D1603</f>
        <v>0</v>
      </c>
    </row>
    <row r="1604" spans="2:5" x14ac:dyDescent="0.35">
      <c r="B1604" s="38">
        <v>38104</v>
      </c>
      <c r="C1604" s="3">
        <v>1</v>
      </c>
      <c r="D1604" s="3">
        <v>0</v>
      </c>
      <c r="E1604" s="3">
        <f>C1604 - D1604</f>
        <v>1</v>
      </c>
    </row>
    <row r="1605" spans="2:5" x14ac:dyDescent="0.35">
      <c r="B1605" s="38">
        <v>38105</v>
      </c>
      <c r="C1605" s="3">
        <v>0</v>
      </c>
      <c r="D1605" s="3">
        <v>1</v>
      </c>
      <c r="E1605" s="3">
        <f>C1605 - D1605</f>
        <v>-1</v>
      </c>
    </row>
    <row r="1606" spans="2:5" x14ac:dyDescent="0.35">
      <c r="B1606" s="38">
        <v>38106</v>
      </c>
      <c r="C1606" s="3">
        <v>0</v>
      </c>
      <c r="D1606" s="3">
        <v>0</v>
      </c>
      <c r="E1606" s="3">
        <f>C1606 - D1606</f>
        <v>0</v>
      </c>
    </row>
    <row r="1607" spans="2:5" x14ac:dyDescent="0.35">
      <c r="B1607" s="38">
        <v>38107</v>
      </c>
      <c r="C1607" s="3">
        <v>0</v>
      </c>
      <c r="D1607" s="3">
        <v>0</v>
      </c>
      <c r="E1607" s="3">
        <f>C1607 - D1607</f>
        <v>0</v>
      </c>
    </row>
    <row r="1608" spans="2:5" x14ac:dyDescent="0.35">
      <c r="B1608" s="38">
        <v>38108</v>
      </c>
      <c r="C1608" s="3">
        <v>1</v>
      </c>
      <c r="D1608" s="3">
        <v>0</v>
      </c>
      <c r="E1608" s="3">
        <f>C1608 - D1608</f>
        <v>1</v>
      </c>
    </row>
    <row r="1609" spans="2:5" x14ac:dyDescent="0.35">
      <c r="B1609" s="38">
        <v>38109</v>
      </c>
      <c r="C1609" s="3">
        <v>1</v>
      </c>
      <c r="D1609" s="3">
        <v>1</v>
      </c>
      <c r="E1609" s="3">
        <f>C1609 - D1609</f>
        <v>0</v>
      </c>
    </row>
    <row r="1610" spans="2:5" x14ac:dyDescent="0.35">
      <c r="B1610" s="38">
        <v>38110</v>
      </c>
      <c r="C1610" s="3">
        <v>1</v>
      </c>
      <c r="D1610" s="3">
        <v>1</v>
      </c>
      <c r="E1610" s="3">
        <f>C1610 - D1610</f>
        <v>0</v>
      </c>
    </row>
    <row r="1611" spans="2:5" x14ac:dyDescent="0.35">
      <c r="B1611" s="38">
        <v>38111</v>
      </c>
      <c r="C1611" s="3">
        <v>0</v>
      </c>
      <c r="D1611" s="3">
        <v>1</v>
      </c>
      <c r="E1611" s="3">
        <f>C1611 - D1611</f>
        <v>-1</v>
      </c>
    </row>
    <row r="1612" spans="2:5" x14ac:dyDescent="0.35">
      <c r="B1612" s="38">
        <v>38112</v>
      </c>
      <c r="C1612" s="3">
        <v>1</v>
      </c>
      <c r="D1612" s="3">
        <v>0</v>
      </c>
      <c r="E1612" s="3">
        <f>C1612 - D1612</f>
        <v>1</v>
      </c>
    </row>
    <row r="1613" spans="2:5" x14ac:dyDescent="0.35">
      <c r="B1613" s="38">
        <v>38113</v>
      </c>
      <c r="C1613" s="3">
        <v>0</v>
      </c>
      <c r="D1613" s="3">
        <v>1</v>
      </c>
      <c r="E1613" s="3">
        <f>C1613 - D1613</f>
        <v>-1</v>
      </c>
    </row>
    <row r="1614" spans="2:5" x14ac:dyDescent="0.35">
      <c r="B1614" s="38">
        <v>38114</v>
      </c>
      <c r="C1614" s="3">
        <v>0</v>
      </c>
      <c r="D1614" s="3">
        <v>0</v>
      </c>
      <c r="E1614" s="3">
        <f>C1614 - D1614</f>
        <v>0</v>
      </c>
    </row>
    <row r="1615" spans="2:5" x14ac:dyDescent="0.35">
      <c r="B1615" s="38">
        <v>38115</v>
      </c>
      <c r="C1615" s="3">
        <v>1</v>
      </c>
      <c r="D1615" s="3">
        <v>0</v>
      </c>
      <c r="E1615" s="3">
        <f>C1615 - D1615</f>
        <v>1</v>
      </c>
    </row>
    <row r="1616" spans="2:5" x14ac:dyDescent="0.35">
      <c r="B1616" s="38">
        <v>38116</v>
      </c>
      <c r="C1616" s="3">
        <v>0</v>
      </c>
      <c r="D1616" s="3">
        <v>1</v>
      </c>
      <c r="E1616" s="3">
        <f>C1616 - D1616</f>
        <v>-1</v>
      </c>
    </row>
    <row r="1617" spans="2:5" x14ac:dyDescent="0.35">
      <c r="B1617" s="38">
        <v>38117</v>
      </c>
      <c r="C1617" s="3">
        <v>0</v>
      </c>
      <c r="D1617" s="3">
        <v>0</v>
      </c>
      <c r="E1617" s="3">
        <f>C1617 - D1617</f>
        <v>0</v>
      </c>
    </row>
    <row r="1618" spans="2:5" x14ac:dyDescent="0.35">
      <c r="B1618" s="38">
        <v>38118</v>
      </c>
      <c r="C1618" s="3">
        <v>0</v>
      </c>
      <c r="D1618" s="3">
        <v>0</v>
      </c>
      <c r="E1618" s="3">
        <f>C1618 - D1618</f>
        <v>0</v>
      </c>
    </row>
    <row r="1619" spans="2:5" x14ac:dyDescent="0.35">
      <c r="B1619" s="38">
        <v>38119</v>
      </c>
      <c r="C1619" s="3">
        <v>0</v>
      </c>
      <c r="D1619" s="3">
        <v>0</v>
      </c>
      <c r="E1619" s="3">
        <f>C1619 - D1619</f>
        <v>0</v>
      </c>
    </row>
    <row r="1620" spans="2:5" x14ac:dyDescent="0.35">
      <c r="B1620" s="38">
        <v>38120</v>
      </c>
      <c r="C1620" s="3">
        <v>0</v>
      </c>
      <c r="D1620" s="3">
        <v>0</v>
      </c>
      <c r="E1620" s="3">
        <f>C1620 - D1620</f>
        <v>0</v>
      </c>
    </row>
    <row r="1621" spans="2:5" x14ac:dyDescent="0.35">
      <c r="B1621" s="38">
        <v>38121</v>
      </c>
      <c r="C1621" s="3">
        <v>0</v>
      </c>
      <c r="D1621" s="3">
        <v>0</v>
      </c>
      <c r="E1621" s="3">
        <f>C1621 - D1621</f>
        <v>0</v>
      </c>
    </row>
    <row r="1622" spans="2:5" x14ac:dyDescent="0.35">
      <c r="B1622" s="38">
        <v>38122</v>
      </c>
      <c r="C1622" s="3">
        <v>0</v>
      </c>
      <c r="D1622" s="3">
        <v>0</v>
      </c>
      <c r="E1622" s="3">
        <f>C1622 - D1622</f>
        <v>0</v>
      </c>
    </row>
    <row r="1623" spans="2:5" x14ac:dyDescent="0.35">
      <c r="B1623" s="38">
        <v>38123</v>
      </c>
      <c r="C1623" s="3">
        <v>0</v>
      </c>
      <c r="D1623" s="3">
        <v>0</v>
      </c>
      <c r="E1623" s="3">
        <f>C1623 - D1623</f>
        <v>0</v>
      </c>
    </row>
    <row r="1624" spans="2:5" x14ac:dyDescent="0.35">
      <c r="B1624" s="38">
        <v>38124</v>
      </c>
      <c r="C1624" s="3">
        <v>0</v>
      </c>
      <c r="D1624" s="3">
        <v>0</v>
      </c>
      <c r="E1624" s="3">
        <f>C1624 - D1624</f>
        <v>0</v>
      </c>
    </row>
    <row r="1625" spans="2:5" x14ac:dyDescent="0.35">
      <c r="B1625" s="38">
        <v>38125</v>
      </c>
      <c r="C1625" s="3">
        <v>1</v>
      </c>
      <c r="D1625" s="3">
        <v>0</v>
      </c>
      <c r="E1625" s="3">
        <f>C1625 - D1625</f>
        <v>1</v>
      </c>
    </row>
    <row r="1626" spans="2:5" x14ac:dyDescent="0.35">
      <c r="B1626" s="38">
        <v>38126</v>
      </c>
      <c r="C1626" s="3">
        <v>1</v>
      </c>
      <c r="D1626" s="3">
        <v>1</v>
      </c>
      <c r="E1626" s="3">
        <f>C1626 - D1626</f>
        <v>0</v>
      </c>
    </row>
    <row r="1627" spans="2:5" x14ac:dyDescent="0.35">
      <c r="B1627" s="38">
        <v>38127</v>
      </c>
      <c r="C1627" s="3">
        <v>0</v>
      </c>
      <c r="D1627" s="3">
        <v>1</v>
      </c>
      <c r="E1627" s="3">
        <f>C1627 - D1627</f>
        <v>-1</v>
      </c>
    </row>
    <row r="1628" spans="2:5" x14ac:dyDescent="0.35">
      <c r="B1628" s="38">
        <v>38128</v>
      </c>
      <c r="C1628" s="3">
        <v>1</v>
      </c>
      <c r="D1628" s="3">
        <v>0</v>
      </c>
      <c r="E1628" s="3">
        <f>C1628 - D1628</f>
        <v>1</v>
      </c>
    </row>
    <row r="1629" spans="2:5" x14ac:dyDescent="0.35">
      <c r="B1629" s="38">
        <v>38129</v>
      </c>
      <c r="C1629" s="3">
        <v>0</v>
      </c>
      <c r="D1629" s="3">
        <v>1</v>
      </c>
      <c r="E1629" s="3">
        <f>C1629 - D1629</f>
        <v>-1</v>
      </c>
    </row>
    <row r="1630" spans="2:5" x14ac:dyDescent="0.35">
      <c r="B1630" s="38">
        <v>38130</v>
      </c>
      <c r="C1630" s="3">
        <v>0</v>
      </c>
      <c r="D1630" s="3">
        <v>0</v>
      </c>
      <c r="E1630" s="3">
        <f>C1630 - D1630</f>
        <v>0</v>
      </c>
    </row>
    <row r="1631" spans="2:5" x14ac:dyDescent="0.35">
      <c r="B1631" s="38">
        <v>38131</v>
      </c>
      <c r="C1631" s="3">
        <v>0</v>
      </c>
      <c r="D1631" s="3">
        <v>0</v>
      </c>
      <c r="E1631" s="3">
        <f>C1631 - D1631</f>
        <v>0</v>
      </c>
    </row>
    <row r="1632" spans="2:5" x14ac:dyDescent="0.35">
      <c r="B1632" s="38">
        <v>38132</v>
      </c>
      <c r="C1632" s="3">
        <v>0</v>
      </c>
      <c r="D1632" s="3">
        <v>0</v>
      </c>
      <c r="E1632" s="3">
        <f>C1632 - D1632</f>
        <v>0</v>
      </c>
    </row>
    <row r="1633" spans="2:5" x14ac:dyDescent="0.35">
      <c r="B1633" s="38">
        <v>38133</v>
      </c>
      <c r="C1633" s="3">
        <v>1</v>
      </c>
      <c r="D1633" s="3">
        <v>0</v>
      </c>
      <c r="E1633" s="3">
        <f>C1633 - D1633</f>
        <v>1</v>
      </c>
    </row>
    <row r="1634" spans="2:5" x14ac:dyDescent="0.35">
      <c r="B1634" s="38">
        <v>38134</v>
      </c>
      <c r="C1634" s="3">
        <v>1</v>
      </c>
      <c r="D1634" s="3">
        <v>1</v>
      </c>
      <c r="E1634" s="3">
        <f>C1634 - D1634</f>
        <v>0</v>
      </c>
    </row>
    <row r="1635" spans="2:5" x14ac:dyDescent="0.35">
      <c r="B1635" s="38">
        <v>38135</v>
      </c>
      <c r="C1635" s="3">
        <v>1</v>
      </c>
      <c r="D1635" s="3">
        <v>1</v>
      </c>
      <c r="E1635" s="3">
        <f>C1635 - D1635</f>
        <v>0</v>
      </c>
    </row>
    <row r="1636" spans="2:5" x14ac:dyDescent="0.35">
      <c r="B1636" s="38">
        <v>38136</v>
      </c>
      <c r="C1636" s="3">
        <v>1</v>
      </c>
      <c r="D1636" s="3">
        <v>1</v>
      </c>
      <c r="E1636" s="3">
        <f>C1636 - D1636</f>
        <v>0</v>
      </c>
    </row>
    <row r="1637" spans="2:5" x14ac:dyDescent="0.35">
      <c r="B1637" s="38">
        <v>38137</v>
      </c>
      <c r="C1637" s="3">
        <v>0</v>
      </c>
      <c r="D1637" s="3">
        <v>1</v>
      </c>
      <c r="E1637" s="3">
        <f>C1637 - D1637</f>
        <v>-1</v>
      </c>
    </row>
    <row r="1638" spans="2:5" x14ac:dyDescent="0.35">
      <c r="B1638" s="38">
        <v>38138</v>
      </c>
      <c r="C1638" s="3">
        <v>0</v>
      </c>
      <c r="D1638" s="3">
        <v>0</v>
      </c>
      <c r="E1638" s="3">
        <f>C1638 - D1638</f>
        <v>0</v>
      </c>
    </row>
    <row r="1639" spans="2:5" x14ac:dyDescent="0.35">
      <c r="B1639" s="38">
        <v>38139</v>
      </c>
      <c r="C1639" s="3">
        <v>0</v>
      </c>
      <c r="D1639" s="3">
        <v>0</v>
      </c>
      <c r="E1639" s="3">
        <f>C1639 - D1639</f>
        <v>0</v>
      </c>
    </row>
    <row r="1640" spans="2:5" x14ac:dyDescent="0.35">
      <c r="B1640" s="38">
        <v>38140</v>
      </c>
      <c r="C1640" s="3">
        <v>1</v>
      </c>
      <c r="D1640" s="3">
        <v>0</v>
      </c>
      <c r="E1640" s="3">
        <f>C1640 - D1640</f>
        <v>1</v>
      </c>
    </row>
    <row r="1641" spans="2:5" x14ac:dyDescent="0.35">
      <c r="B1641" s="38">
        <v>38141</v>
      </c>
      <c r="C1641" s="3">
        <v>0</v>
      </c>
      <c r="D1641" s="3">
        <v>1</v>
      </c>
      <c r="E1641" s="3">
        <f>C1641 - D1641</f>
        <v>-1</v>
      </c>
    </row>
    <row r="1642" spans="2:5" x14ac:dyDescent="0.35">
      <c r="B1642" s="38">
        <v>38142</v>
      </c>
      <c r="C1642" s="3">
        <v>1</v>
      </c>
      <c r="D1642" s="3">
        <v>0</v>
      </c>
      <c r="E1642" s="3">
        <f>C1642 - D1642</f>
        <v>1</v>
      </c>
    </row>
    <row r="1643" spans="2:5" x14ac:dyDescent="0.35">
      <c r="B1643" s="38">
        <v>38143</v>
      </c>
      <c r="C1643" s="3">
        <v>0</v>
      </c>
      <c r="D1643" s="3">
        <v>1</v>
      </c>
      <c r="E1643" s="3">
        <f>C1643 - D1643</f>
        <v>-1</v>
      </c>
    </row>
    <row r="1644" spans="2:5" x14ac:dyDescent="0.35">
      <c r="B1644" s="38">
        <v>38144</v>
      </c>
      <c r="C1644" s="3">
        <v>0</v>
      </c>
      <c r="D1644" s="3">
        <v>0</v>
      </c>
      <c r="E1644" s="3">
        <f>C1644 - D1644</f>
        <v>0</v>
      </c>
    </row>
    <row r="1645" spans="2:5" x14ac:dyDescent="0.35">
      <c r="B1645" s="38">
        <v>38145</v>
      </c>
      <c r="C1645" s="3">
        <v>0</v>
      </c>
      <c r="D1645" s="3">
        <v>0</v>
      </c>
      <c r="E1645" s="3">
        <f>C1645 - D1645</f>
        <v>0</v>
      </c>
    </row>
    <row r="1646" spans="2:5" x14ac:dyDescent="0.35">
      <c r="B1646" s="38">
        <v>38146</v>
      </c>
      <c r="C1646" s="3">
        <v>0</v>
      </c>
      <c r="D1646" s="3">
        <v>0</v>
      </c>
      <c r="E1646" s="3">
        <f>C1646 - D1646</f>
        <v>0</v>
      </c>
    </row>
    <row r="1647" spans="2:5" x14ac:dyDescent="0.35">
      <c r="B1647" s="38">
        <v>38147</v>
      </c>
      <c r="C1647" s="3">
        <v>1</v>
      </c>
      <c r="D1647" s="3">
        <v>0</v>
      </c>
      <c r="E1647" s="3">
        <f>C1647 - D1647</f>
        <v>1</v>
      </c>
    </row>
    <row r="1648" spans="2:5" x14ac:dyDescent="0.35">
      <c r="B1648" s="38">
        <v>38148</v>
      </c>
      <c r="C1648" s="3">
        <v>1</v>
      </c>
      <c r="D1648" s="3">
        <v>1</v>
      </c>
      <c r="E1648" s="3">
        <f>C1648 - D1648</f>
        <v>0</v>
      </c>
    </row>
    <row r="1649" spans="2:5" x14ac:dyDescent="0.35">
      <c r="B1649" s="38">
        <v>38149</v>
      </c>
      <c r="C1649" s="3">
        <v>0</v>
      </c>
      <c r="D1649" s="3">
        <v>1</v>
      </c>
      <c r="E1649" s="3">
        <f>C1649 - D1649</f>
        <v>-1</v>
      </c>
    </row>
    <row r="1650" spans="2:5" x14ac:dyDescent="0.35">
      <c r="B1650" s="38">
        <v>38150</v>
      </c>
      <c r="C1650" s="3">
        <v>0</v>
      </c>
      <c r="D1650" s="3">
        <v>0</v>
      </c>
      <c r="E1650" s="3">
        <f>C1650 - D1650</f>
        <v>0</v>
      </c>
    </row>
    <row r="1651" spans="2:5" x14ac:dyDescent="0.35">
      <c r="B1651" s="38">
        <v>38151</v>
      </c>
      <c r="C1651" s="3">
        <v>0</v>
      </c>
      <c r="D1651" s="3">
        <v>0</v>
      </c>
      <c r="E1651" s="3">
        <f>C1651 - D1651</f>
        <v>0</v>
      </c>
    </row>
    <row r="1652" spans="2:5" x14ac:dyDescent="0.35">
      <c r="B1652" s="38">
        <v>38152</v>
      </c>
      <c r="C1652" s="3">
        <v>0</v>
      </c>
      <c r="D1652" s="3">
        <v>0</v>
      </c>
      <c r="E1652" s="3">
        <f>C1652 - D1652</f>
        <v>0</v>
      </c>
    </row>
    <row r="1653" spans="2:5" x14ac:dyDescent="0.35">
      <c r="B1653" s="38">
        <v>38153</v>
      </c>
      <c r="C1653" s="3">
        <v>1</v>
      </c>
      <c r="D1653" s="3">
        <v>0</v>
      </c>
      <c r="E1653" s="3">
        <f>C1653 - D1653</f>
        <v>1</v>
      </c>
    </row>
    <row r="1654" spans="2:5" x14ac:dyDescent="0.35">
      <c r="B1654" s="38">
        <v>38154</v>
      </c>
      <c r="C1654" s="3">
        <v>1</v>
      </c>
      <c r="D1654" s="3">
        <v>1</v>
      </c>
      <c r="E1654" s="3">
        <f>C1654 - D1654</f>
        <v>0</v>
      </c>
    </row>
    <row r="1655" spans="2:5" x14ac:dyDescent="0.35">
      <c r="B1655" s="38">
        <v>38155</v>
      </c>
      <c r="C1655" s="3">
        <v>0</v>
      </c>
      <c r="D1655" s="3">
        <v>1</v>
      </c>
      <c r="E1655" s="3">
        <f>C1655 - D1655</f>
        <v>-1</v>
      </c>
    </row>
    <row r="1656" spans="2:5" x14ac:dyDescent="0.35">
      <c r="B1656" s="38">
        <v>38156</v>
      </c>
      <c r="C1656" s="3">
        <v>1</v>
      </c>
      <c r="D1656" s="3">
        <v>0</v>
      </c>
      <c r="E1656" s="3">
        <f>C1656 - D1656</f>
        <v>1</v>
      </c>
    </row>
    <row r="1657" spans="2:5" x14ac:dyDescent="0.35">
      <c r="B1657" s="38">
        <v>38157</v>
      </c>
      <c r="C1657" s="3">
        <v>1</v>
      </c>
      <c r="D1657" s="3">
        <v>1</v>
      </c>
      <c r="E1657" s="3">
        <f>C1657 - D1657</f>
        <v>0</v>
      </c>
    </row>
    <row r="1658" spans="2:5" x14ac:dyDescent="0.35">
      <c r="B1658" s="38">
        <v>38158</v>
      </c>
      <c r="C1658" s="3">
        <v>1</v>
      </c>
      <c r="D1658" s="3">
        <v>1</v>
      </c>
      <c r="E1658" s="3">
        <f>C1658 - D1658</f>
        <v>0</v>
      </c>
    </row>
    <row r="1659" spans="2:5" x14ac:dyDescent="0.35">
      <c r="B1659" s="38">
        <v>38159</v>
      </c>
      <c r="C1659" s="3">
        <v>1</v>
      </c>
      <c r="D1659" s="3">
        <v>1</v>
      </c>
      <c r="E1659" s="3">
        <f>C1659 - D1659</f>
        <v>0</v>
      </c>
    </row>
    <row r="1660" spans="2:5" x14ac:dyDescent="0.35">
      <c r="B1660" s="38">
        <v>38160</v>
      </c>
      <c r="C1660" s="3">
        <v>0</v>
      </c>
      <c r="D1660" s="3">
        <v>1</v>
      </c>
      <c r="E1660" s="3">
        <f>C1660 - D1660</f>
        <v>-1</v>
      </c>
    </row>
    <row r="1661" spans="2:5" x14ac:dyDescent="0.35">
      <c r="B1661" s="38">
        <v>38161</v>
      </c>
      <c r="C1661" s="3">
        <v>0</v>
      </c>
      <c r="D1661" s="3">
        <v>0</v>
      </c>
      <c r="E1661" s="3">
        <f>C1661 - D1661</f>
        <v>0</v>
      </c>
    </row>
    <row r="1662" spans="2:5" x14ac:dyDescent="0.35">
      <c r="B1662" s="38">
        <v>38162</v>
      </c>
      <c r="C1662" s="3">
        <v>0</v>
      </c>
      <c r="D1662" s="3">
        <v>0</v>
      </c>
      <c r="E1662" s="3">
        <f>C1662 - D1662</f>
        <v>0</v>
      </c>
    </row>
    <row r="1663" spans="2:5" x14ac:dyDescent="0.35">
      <c r="B1663" s="38">
        <v>38163</v>
      </c>
      <c r="C1663" s="3">
        <v>1</v>
      </c>
      <c r="D1663" s="3">
        <v>0</v>
      </c>
      <c r="E1663" s="3">
        <f>C1663 - D1663</f>
        <v>1</v>
      </c>
    </row>
    <row r="1664" spans="2:5" x14ac:dyDescent="0.35">
      <c r="B1664" s="38">
        <v>38164</v>
      </c>
      <c r="C1664" s="3">
        <v>1</v>
      </c>
      <c r="D1664" s="3">
        <v>1</v>
      </c>
      <c r="E1664" s="3">
        <f>C1664 - D1664</f>
        <v>0</v>
      </c>
    </row>
    <row r="1665" spans="2:5" x14ac:dyDescent="0.35">
      <c r="B1665" s="38">
        <v>38165</v>
      </c>
      <c r="C1665" s="3">
        <v>0</v>
      </c>
      <c r="D1665" s="3">
        <v>1</v>
      </c>
      <c r="E1665" s="3">
        <f>C1665 - D1665</f>
        <v>-1</v>
      </c>
    </row>
    <row r="1666" spans="2:5" x14ac:dyDescent="0.35">
      <c r="B1666" s="38">
        <v>38166</v>
      </c>
      <c r="C1666" s="3">
        <v>0</v>
      </c>
      <c r="D1666" s="3">
        <v>0</v>
      </c>
      <c r="E1666" s="3">
        <f>C1666 - D1666</f>
        <v>0</v>
      </c>
    </row>
    <row r="1667" spans="2:5" x14ac:dyDescent="0.35">
      <c r="B1667" s="38">
        <v>38167</v>
      </c>
      <c r="C1667" s="3">
        <v>0</v>
      </c>
      <c r="D1667" s="3">
        <v>0</v>
      </c>
      <c r="E1667" s="3">
        <f>C1667 - D1667</f>
        <v>0</v>
      </c>
    </row>
    <row r="1668" spans="2:5" x14ac:dyDescent="0.35">
      <c r="B1668" s="38">
        <v>38168</v>
      </c>
      <c r="C1668" s="3">
        <v>0</v>
      </c>
      <c r="D1668" s="3">
        <v>0</v>
      </c>
      <c r="E1668" s="3">
        <f>C1668 - D1668</f>
        <v>0</v>
      </c>
    </row>
    <row r="1669" spans="2:5" x14ac:dyDescent="0.35">
      <c r="B1669" s="38">
        <v>38169</v>
      </c>
      <c r="C1669" s="3">
        <v>1</v>
      </c>
      <c r="D1669" s="3">
        <v>0</v>
      </c>
      <c r="E1669" s="3">
        <f>C1669 - D1669</f>
        <v>1</v>
      </c>
    </row>
    <row r="1670" spans="2:5" x14ac:dyDescent="0.35">
      <c r="B1670" s="38">
        <v>38170</v>
      </c>
      <c r="C1670" s="3">
        <v>0</v>
      </c>
      <c r="D1670" s="3">
        <v>1</v>
      </c>
      <c r="E1670" s="3">
        <f>C1670 - D1670</f>
        <v>-1</v>
      </c>
    </row>
    <row r="1671" spans="2:5" x14ac:dyDescent="0.35">
      <c r="B1671" s="38">
        <v>38171</v>
      </c>
      <c r="C1671" s="3">
        <v>0</v>
      </c>
      <c r="D1671" s="3">
        <v>0</v>
      </c>
      <c r="E1671" s="3">
        <f>C1671 - D1671</f>
        <v>0</v>
      </c>
    </row>
    <row r="1672" spans="2:5" x14ac:dyDescent="0.35">
      <c r="B1672" s="38">
        <v>38172</v>
      </c>
      <c r="C1672" s="3">
        <v>0</v>
      </c>
      <c r="D1672" s="3">
        <v>0</v>
      </c>
      <c r="E1672" s="3">
        <f>C1672 - D1672</f>
        <v>0</v>
      </c>
    </row>
    <row r="1673" spans="2:5" x14ac:dyDescent="0.35">
      <c r="B1673" s="38">
        <v>38173</v>
      </c>
      <c r="C1673" s="3">
        <v>0</v>
      </c>
      <c r="D1673" s="3">
        <v>0</v>
      </c>
      <c r="E1673" s="3">
        <f>C1673 - D1673</f>
        <v>0</v>
      </c>
    </row>
    <row r="1674" spans="2:5" x14ac:dyDescent="0.35">
      <c r="B1674" s="38">
        <v>38174</v>
      </c>
      <c r="C1674" s="3">
        <v>1</v>
      </c>
      <c r="D1674" s="3">
        <v>0</v>
      </c>
      <c r="E1674" s="3">
        <f>C1674 - D1674</f>
        <v>1</v>
      </c>
    </row>
    <row r="1675" spans="2:5" x14ac:dyDescent="0.35">
      <c r="B1675" s="38">
        <v>38175</v>
      </c>
      <c r="C1675" s="3">
        <v>1</v>
      </c>
      <c r="D1675" s="3">
        <v>1</v>
      </c>
      <c r="E1675" s="3">
        <f>C1675 - D1675</f>
        <v>0</v>
      </c>
    </row>
    <row r="1676" spans="2:5" x14ac:dyDescent="0.35">
      <c r="B1676" s="38">
        <v>38176</v>
      </c>
      <c r="C1676" s="3">
        <v>1</v>
      </c>
      <c r="D1676" s="3">
        <v>1</v>
      </c>
      <c r="E1676" s="3">
        <f>C1676 - D1676</f>
        <v>0</v>
      </c>
    </row>
    <row r="1677" spans="2:5" x14ac:dyDescent="0.35">
      <c r="B1677" s="38">
        <v>38177</v>
      </c>
      <c r="C1677" s="3">
        <v>0</v>
      </c>
      <c r="D1677" s="3">
        <v>1</v>
      </c>
      <c r="E1677" s="3">
        <f>C1677 - D1677</f>
        <v>-1</v>
      </c>
    </row>
    <row r="1678" spans="2:5" x14ac:dyDescent="0.35">
      <c r="B1678" s="38">
        <v>38178</v>
      </c>
      <c r="C1678" s="3">
        <v>0</v>
      </c>
      <c r="D1678" s="3">
        <v>0</v>
      </c>
      <c r="E1678" s="3">
        <f>C1678 - D1678</f>
        <v>0</v>
      </c>
    </row>
    <row r="1679" spans="2:5" x14ac:dyDescent="0.35">
      <c r="B1679" s="38">
        <v>38179</v>
      </c>
      <c r="C1679" s="3">
        <v>0</v>
      </c>
      <c r="D1679" s="3">
        <v>0</v>
      </c>
      <c r="E1679" s="3">
        <f>C1679 - D1679</f>
        <v>0</v>
      </c>
    </row>
    <row r="1680" spans="2:5" x14ac:dyDescent="0.35">
      <c r="B1680" s="38">
        <v>38180</v>
      </c>
      <c r="C1680" s="3">
        <v>1</v>
      </c>
      <c r="D1680" s="3">
        <v>0</v>
      </c>
      <c r="E1680" s="3">
        <f>C1680 - D1680</f>
        <v>1</v>
      </c>
    </row>
    <row r="1681" spans="2:5" x14ac:dyDescent="0.35">
      <c r="B1681" s="38">
        <v>38181</v>
      </c>
      <c r="C1681" s="3">
        <v>1</v>
      </c>
      <c r="D1681" s="3">
        <v>1</v>
      </c>
      <c r="E1681" s="3">
        <f>C1681 - D1681</f>
        <v>0</v>
      </c>
    </row>
    <row r="1682" spans="2:5" x14ac:dyDescent="0.35">
      <c r="B1682" s="38">
        <v>38182</v>
      </c>
      <c r="C1682" s="3">
        <v>0</v>
      </c>
      <c r="D1682" s="3">
        <v>1</v>
      </c>
      <c r="E1682" s="3">
        <f>C1682 - D1682</f>
        <v>-1</v>
      </c>
    </row>
    <row r="1683" spans="2:5" x14ac:dyDescent="0.35">
      <c r="B1683" s="38">
        <v>38183</v>
      </c>
      <c r="C1683" s="3">
        <v>1</v>
      </c>
      <c r="D1683" s="3">
        <v>0</v>
      </c>
      <c r="E1683" s="3">
        <f>C1683 - D1683</f>
        <v>1</v>
      </c>
    </row>
    <row r="1684" spans="2:5" x14ac:dyDescent="0.35">
      <c r="B1684" s="38">
        <v>38184</v>
      </c>
      <c r="C1684" s="3">
        <v>0</v>
      </c>
      <c r="D1684" s="3">
        <v>1</v>
      </c>
      <c r="E1684" s="3">
        <f>C1684 - D1684</f>
        <v>-1</v>
      </c>
    </row>
    <row r="1685" spans="2:5" x14ac:dyDescent="0.35">
      <c r="B1685" s="38">
        <v>38185</v>
      </c>
      <c r="C1685" s="3">
        <v>1</v>
      </c>
      <c r="D1685" s="3">
        <v>0</v>
      </c>
      <c r="E1685" s="3">
        <f>C1685 - D1685</f>
        <v>1</v>
      </c>
    </row>
    <row r="1686" spans="2:5" x14ac:dyDescent="0.35">
      <c r="B1686" s="38">
        <v>38186</v>
      </c>
      <c r="C1686" s="3">
        <v>1</v>
      </c>
      <c r="D1686" s="3">
        <v>1</v>
      </c>
      <c r="E1686" s="3">
        <f>C1686 - D1686</f>
        <v>0</v>
      </c>
    </row>
    <row r="1687" spans="2:5" x14ac:dyDescent="0.35">
      <c r="B1687" s="38">
        <v>38187</v>
      </c>
      <c r="C1687" s="3">
        <v>0</v>
      </c>
      <c r="D1687" s="3">
        <v>1</v>
      </c>
      <c r="E1687" s="3">
        <f>C1687 - D1687</f>
        <v>-1</v>
      </c>
    </row>
    <row r="1688" spans="2:5" x14ac:dyDescent="0.35">
      <c r="B1688" s="38">
        <v>38188</v>
      </c>
      <c r="C1688" s="3">
        <v>0</v>
      </c>
      <c r="D1688" s="3">
        <v>0</v>
      </c>
      <c r="E1688" s="3">
        <f>C1688 - D1688</f>
        <v>0</v>
      </c>
    </row>
    <row r="1689" spans="2:5" x14ac:dyDescent="0.35">
      <c r="B1689" s="38">
        <v>38189</v>
      </c>
      <c r="C1689" s="3">
        <v>0</v>
      </c>
      <c r="D1689" s="3">
        <v>0</v>
      </c>
      <c r="E1689" s="3">
        <f>C1689 - D1689</f>
        <v>0</v>
      </c>
    </row>
    <row r="1690" spans="2:5" x14ac:dyDescent="0.35">
      <c r="B1690" s="38">
        <v>38190</v>
      </c>
      <c r="C1690" s="3">
        <v>0</v>
      </c>
      <c r="D1690" s="3">
        <v>0</v>
      </c>
      <c r="E1690" s="3">
        <f>C1690 - D1690</f>
        <v>0</v>
      </c>
    </row>
    <row r="1691" spans="2:5" x14ac:dyDescent="0.35">
      <c r="B1691" s="38">
        <v>38191</v>
      </c>
      <c r="C1691" s="3">
        <v>0</v>
      </c>
      <c r="D1691" s="3">
        <v>0</v>
      </c>
      <c r="E1691" s="3">
        <f>C1691 - D1691</f>
        <v>0</v>
      </c>
    </row>
    <row r="1692" spans="2:5" x14ac:dyDescent="0.35">
      <c r="B1692" s="38">
        <v>38192</v>
      </c>
      <c r="C1692" s="3">
        <v>1</v>
      </c>
      <c r="D1692" s="3">
        <v>0</v>
      </c>
      <c r="E1692" s="3">
        <f>C1692 - D1692</f>
        <v>1</v>
      </c>
    </row>
    <row r="1693" spans="2:5" x14ac:dyDescent="0.35">
      <c r="B1693" s="38">
        <v>38193</v>
      </c>
      <c r="C1693" s="3">
        <v>1</v>
      </c>
      <c r="D1693" s="3">
        <v>1</v>
      </c>
      <c r="E1693" s="3">
        <f>C1693 - D1693</f>
        <v>0</v>
      </c>
    </row>
    <row r="1694" spans="2:5" x14ac:dyDescent="0.35">
      <c r="B1694" s="38">
        <v>38194</v>
      </c>
      <c r="C1694" s="3">
        <v>0</v>
      </c>
      <c r="D1694" s="3">
        <v>1</v>
      </c>
      <c r="E1694" s="3">
        <f>C1694 - D1694</f>
        <v>-1</v>
      </c>
    </row>
    <row r="1695" spans="2:5" x14ac:dyDescent="0.35">
      <c r="B1695" s="38">
        <v>38195</v>
      </c>
      <c r="C1695" s="3">
        <v>1</v>
      </c>
      <c r="D1695" s="3">
        <v>0</v>
      </c>
      <c r="E1695" s="3">
        <f>C1695 - D1695</f>
        <v>1</v>
      </c>
    </row>
    <row r="1696" spans="2:5" x14ac:dyDescent="0.35">
      <c r="B1696" s="38">
        <v>38196</v>
      </c>
      <c r="C1696" s="3">
        <v>0</v>
      </c>
      <c r="D1696" s="3">
        <v>1</v>
      </c>
      <c r="E1696" s="3">
        <f>C1696 - D1696</f>
        <v>-1</v>
      </c>
    </row>
    <row r="1697" spans="2:5" x14ac:dyDescent="0.35">
      <c r="B1697" s="38">
        <v>38197</v>
      </c>
      <c r="C1697" s="3">
        <v>1</v>
      </c>
      <c r="D1697" s="3">
        <v>0</v>
      </c>
      <c r="E1697" s="3">
        <f>C1697 - D1697</f>
        <v>1</v>
      </c>
    </row>
    <row r="1698" spans="2:5" x14ac:dyDescent="0.35">
      <c r="B1698" s="38">
        <v>38198</v>
      </c>
      <c r="C1698" s="3">
        <v>0</v>
      </c>
      <c r="D1698" s="3">
        <v>1</v>
      </c>
      <c r="E1698" s="3">
        <f>C1698 - D1698</f>
        <v>-1</v>
      </c>
    </row>
    <row r="1699" spans="2:5" x14ac:dyDescent="0.35">
      <c r="B1699" s="38">
        <v>38199</v>
      </c>
      <c r="C1699" s="3">
        <v>0</v>
      </c>
      <c r="D1699" s="3">
        <v>0</v>
      </c>
      <c r="E1699" s="3">
        <f>C1699 - D1699</f>
        <v>0</v>
      </c>
    </row>
    <row r="1700" spans="2:5" x14ac:dyDescent="0.35">
      <c r="B1700" s="38">
        <v>38200</v>
      </c>
      <c r="C1700" s="3">
        <v>0</v>
      </c>
      <c r="D1700" s="3">
        <v>0</v>
      </c>
      <c r="E1700" s="3">
        <f>C1700 - D1700</f>
        <v>0</v>
      </c>
    </row>
    <row r="1701" spans="2:5" x14ac:dyDescent="0.35">
      <c r="B1701" s="38">
        <v>38201</v>
      </c>
      <c r="C1701" s="3">
        <v>1</v>
      </c>
      <c r="D1701" s="3">
        <v>0</v>
      </c>
      <c r="E1701" s="3">
        <f>C1701 - D1701</f>
        <v>1</v>
      </c>
    </row>
    <row r="1702" spans="2:5" x14ac:dyDescent="0.35">
      <c r="B1702" s="38">
        <v>38202</v>
      </c>
      <c r="C1702" s="3">
        <v>1</v>
      </c>
      <c r="D1702" s="3">
        <v>1</v>
      </c>
      <c r="E1702" s="3">
        <f>C1702 - D1702</f>
        <v>0</v>
      </c>
    </row>
    <row r="1703" spans="2:5" x14ac:dyDescent="0.35">
      <c r="B1703" s="38">
        <v>38203</v>
      </c>
      <c r="C1703" s="3">
        <v>1</v>
      </c>
      <c r="D1703" s="3">
        <v>1</v>
      </c>
      <c r="E1703" s="3">
        <f>C1703 - D1703</f>
        <v>0</v>
      </c>
    </row>
    <row r="1704" spans="2:5" x14ac:dyDescent="0.35">
      <c r="B1704" s="38">
        <v>38204</v>
      </c>
      <c r="C1704" s="3">
        <v>1</v>
      </c>
      <c r="D1704" s="3">
        <v>1</v>
      </c>
      <c r="E1704" s="3">
        <f>C1704 - D1704</f>
        <v>0</v>
      </c>
    </row>
    <row r="1705" spans="2:5" x14ac:dyDescent="0.35">
      <c r="B1705" s="38">
        <v>38205</v>
      </c>
      <c r="C1705" s="3">
        <v>1</v>
      </c>
      <c r="D1705" s="3">
        <v>1</v>
      </c>
      <c r="E1705" s="3">
        <f>C1705 - D1705</f>
        <v>0</v>
      </c>
    </row>
    <row r="1706" spans="2:5" x14ac:dyDescent="0.35">
      <c r="B1706" s="38">
        <v>38206</v>
      </c>
      <c r="C1706" s="3">
        <v>1</v>
      </c>
      <c r="D1706" s="3">
        <v>1</v>
      </c>
      <c r="E1706" s="3">
        <f>C1706 - D1706</f>
        <v>0</v>
      </c>
    </row>
    <row r="1707" spans="2:5" x14ac:dyDescent="0.35">
      <c r="B1707" s="38">
        <v>38207</v>
      </c>
      <c r="C1707" s="3">
        <v>1</v>
      </c>
      <c r="D1707" s="3">
        <v>1</v>
      </c>
      <c r="E1707" s="3">
        <f>C1707 - D1707</f>
        <v>0</v>
      </c>
    </row>
    <row r="1708" spans="2:5" x14ac:dyDescent="0.35">
      <c r="B1708" s="38">
        <v>38208</v>
      </c>
      <c r="C1708" s="3">
        <v>1</v>
      </c>
      <c r="D1708" s="3">
        <v>1</v>
      </c>
      <c r="E1708" s="3">
        <f>C1708 - D1708</f>
        <v>0</v>
      </c>
    </row>
    <row r="1709" spans="2:5" x14ac:dyDescent="0.35">
      <c r="B1709" s="38">
        <v>38209</v>
      </c>
      <c r="C1709" s="3">
        <v>1</v>
      </c>
      <c r="D1709" s="3">
        <v>1</v>
      </c>
      <c r="E1709" s="3">
        <f>C1709 - D1709</f>
        <v>0</v>
      </c>
    </row>
    <row r="1710" spans="2:5" x14ac:dyDescent="0.35">
      <c r="B1710" s="38">
        <v>38210</v>
      </c>
      <c r="C1710" s="3">
        <v>1</v>
      </c>
      <c r="D1710" s="3">
        <v>1</v>
      </c>
      <c r="E1710" s="3">
        <f>C1710 - D1710</f>
        <v>0</v>
      </c>
    </row>
    <row r="1711" spans="2:5" x14ac:dyDescent="0.35">
      <c r="B1711" s="38">
        <v>38211</v>
      </c>
      <c r="C1711" s="3">
        <v>0</v>
      </c>
      <c r="D1711" s="3">
        <v>1</v>
      </c>
      <c r="E1711" s="3">
        <f>C1711 - D1711</f>
        <v>-1</v>
      </c>
    </row>
    <row r="1712" spans="2:5" x14ac:dyDescent="0.35">
      <c r="B1712" s="38">
        <v>38212</v>
      </c>
      <c r="C1712" s="3">
        <v>0</v>
      </c>
      <c r="D1712" s="3">
        <v>0</v>
      </c>
      <c r="E1712" s="3">
        <f>C1712 - D1712</f>
        <v>0</v>
      </c>
    </row>
    <row r="1713" spans="2:5" x14ac:dyDescent="0.35">
      <c r="B1713" s="38">
        <v>38213</v>
      </c>
      <c r="C1713" s="3">
        <v>1</v>
      </c>
      <c r="D1713" s="3">
        <v>0</v>
      </c>
      <c r="E1713" s="3">
        <f>C1713 - D1713</f>
        <v>1</v>
      </c>
    </row>
    <row r="1714" spans="2:5" x14ac:dyDescent="0.35">
      <c r="B1714" s="38">
        <v>38214</v>
      </c>
      <c r="C1714" s="3">
        <v>1</v>
      </c>
      <c r="D1714" s="3">
        <v>1</v>
      </c>
      <c r="E1714" s="3">
        <f>C1714 - D1714</f>
        <v>0</v>
      </c>
    </row>
    <row r="1715" spans="2:5" x14ac:dyDescent="0.35">
      <c r="B1715" s="38">
        <v>38215</v>
      </c>
      <c r="C1715" s="3">
        <v>0</v>
      </c>
      <c r="D1715" s="3">
        <v>1</v>
      </c>
      <c r="E1715" s="3">
        <f>C1715 - D1715</f>
        <v>-1</v>
      </c>
    </row>
    <row r="1716" spans="2:5" x14ac:dyDescent="0.35">
      <c r="B1716" s="38">
        <v>38216</v>
      </c>
      <c r="C1716" s="3">
        <v>0</v>
      </c>
      <c r="D1716" s="3">
        <v>0</v>
      </c>
      <c r="E1716" s="3">
        <f>C1716 - D1716</f>
        <v>0</v>
      </c>
    </row>
    <row r="1717" spans="2:5" x14ac:dyDescent="0.35">
      <c r="B1717" s="38">
        <v>38217</v>
      </c>
      <c r="C1717" s="3">
        <v>0</v>
      </c>
      <c r="D1717" s="3">
        <v>0</v>
      </c>
      <c r="E1717" s="3">
        <f>C1717 - D1717</f>
        <v>0</v>
      </c>
    </row>
    <row r="1718" spans="2:5" x14ac:dyDescent="0.35">
      <c r="B1718" s="38">
        <v>38218</v>
      </c>
      <c r="C1718" s="3">
        <v>0</v>
      </c>
      <c r="D1718" s="3">
        <v>0</v>
      </c>
      <c r="E1718" s="3">
        <f>C1718 - D1718</f>
        <v>0</v>
      </c>
    </row>
    <row r="1719" spans="2:5" x14ac:dyDescent="0.35">
      <c r="B1719" s="38">
        <v>38219</v>
      </c>
      <c r="C1719" s="3">
        <v>0</v>
      </c>
      <c r="D1719" s="3">
        <v>0</v>
      </c>
      <c r="E1719" s="3">
        <f>C1719 - D1719</f>
        <v>0</v>
      </c>
    </row>
    <row r="1720" spans="2:5" x14ac:dyDescent="0.35">
      <c r="B1720" s="38">
        <v>38220</v>
      </c>
      <c r="C1720" s="3">
        <v>0</v>
      </c>
      <c r="D1720" s="3">
        <v>0</v>
      </c>
      <c r="E1720" s="3">
        <f>C1720 - D1720</f>
        <v>0</v>
      </c>
    </row>
    <row r="1721" spans="2:5" x14ac:dyDescent="0.35">
      <c r="B1721" s="38">
        <v>38221</v>
      </c>
      <c r="C1721" s="3">
        <v>0</v>
      </c>
      <c r="D1721" s="3">
        <v>0</v>
      </c>
      <c r="E1721" s="3">
        <f>C1721 - D1721</f>
        <v>0</v>
      </c>
    </row>
    <row r="1722" spans="2:5" x14ac:dyDescent="0.35">
      <c r="B1722" s="38">
        <v>38222</v>
      </c>
      <c r="C1722" s="3">
        <v>1</v>
      </c>
      <c r="D1722" s="3">
        <v>0</v>
      </c>
      <c r="E1722" s="3">
        <f>C1722 - D1722</f>
        <v>1</v>
      </c>
    </row>
    <row r="1723" spans="2:5" x14ac:dyDescent="0.35">
      <c r="B1723" s="38">
        <v>38223</v>
      </c>
      <c r="C1723" s="3">
        <v>0</v>
      </c>
      <c r="D1723" s="3">
        <v>1</v>
      </c>
      <c r="E1723" s="3">
        <f>C1723 - D1723</f>
        <v>-1</v>
      </c>
    </row>
    <row r="1724" spans="2:5" x14ac:dyDescent="0.35">
      <c r="B1724" s="38">
        <v>38224</v>
      </c>
      <c r="C1724" s="3">
        <v>0</v>
      </c>
      <c r="D1724" s="3">
        <v>0</v>
      </c>
      <c r="E1724" s="3">
        <f>C1724 - D1724</f>
        <v>0</v>
      </c>
    </row>
    <row r="1725" spans="2:5" x14ac:dyDescent="0.35">
      <c r="B1725" s="38">
        <v>38225</v>
      </c>
      <c r="C1725" s="3">
        <v>0</v>
      </c>
      <c r="D1725" s="3">
        <v>0</v>
      </c>
      <c r="E1725" s="3">
        <f>C1725 - D1725</f>
        <v>0</v>
      </c>
    </row>
    <row r="1726" spans="2:5" x14ac:dyDescent="0.35">
      <c r="B1726" s="38">
        <v>38226</v>
      </c>
      <c r="C1726" s="3">
        <v>1</v>
      </c>
      <c r="D1726" s="3">
        <v>0</v>
      </c>
      <c r="E1726" s="3">
        <f>C1726 - D1726</f>
        <v>1</v>
      </c>
    </row>
    <row r="1727" spans="2:5" x14ac:dyDescent="0.35">
      <c r="B1727" s="38">
        <v>38227</v>
      </c>
      <c r="C1727" s="3">
        <v>0</v>
      </c>
      <c r="D1727" s="3">
        <v>1</v>
      </c>
      <c r="E1727" s="3">
        <f>C1727 - D1727</f>
        <v>-1</v>
      </c>
    </row>
    <row r="1728" spans="2:5" x14ac:dyDescent="0.35">
      <c r="B1728" s="38">
        <v>38228</v>
      </c>
      <c r="C1728" s="3">
        <v>0</v>
      </c>
      <c r="D1728" s="3">
        <v>0</v>
      </c>
      <c r="E1728" s="3">
        <f>C1728 - D1728</f>
        <v>0</v>
      </c>
    </row>
    <row r="1729" spans="2:5" x14ac:dyDescent="0.35">
      <c r="B1729" s="38">
        <v>38229</v>
      </c>
      <c r="C1729" s="3">
        <v>1</v>
      </c>
      <c r="D1729" s="3">
        <v>0</v>
      </c>
      <c r="E1729" s="3">
        <f>C1729 - D1729</f>
        <v>1</v>
      </c>
    </row>
    <row r="1730" spans="2:5" x14ac:dyDescent="0.35">
      <c r="B1730" s="38">
        <v>38230</v>
      </c>
      <c r="C1730" s="3">
        <v>1</v>
      </c>
      <c r="D1730" s="3">
        <v>1</v>
      </c>
      <c r="E1730" s="3">
        <f>C1730 - D1730</f>
        <v>0</v>
      </c>
    </row>
    <row r="1731" spans="2:5" x14ac:dyDescent="0.35">
      <c r="B1731" s="38">
        <v>38231</v>
      </c>
      <c r="C1731" s="3">
        <v>1</v>
      </c>
      <c r="D1731" s="3">
        <v>1</v>
      </c>
      <c r="E1731" s="3">
        <f>C1731 - D1731</f>
        <v>0</v>
      </c>
    </row>
    <row r="1732" spans="2:5" x14ac:dyDescent="0.35">
      <c r="B1732" s="38">
        <v>38232</v>
      </c>
      <c r="C1732" s="3">
        <v>0</v>
      </c>
      <c r="D1732" s="3">
        <v>1</v>
      </c>
      <c r="E1732" s="3">
        <f>C1732 - D1732</f>
        <v>-1</v>
      </c>
    </row>
    <row r="1733" spans="2:5" x14ac:dyDescent="0.35">
      <c r="B1733" s="38">
        <v>38233</v>
      </c>
      <c r="C1733" s="3">
        <v>0</v>
      </c>
      <c r="D1733" s="3">
        <v>0</v>
      </c>
      <c r="E1733" s="3">
        <f>C1733 - D1733</f>
        <v>0</v>
      </c>
    </row>
    <row r="1734" spans="2:5" x14ac:dyDescent="0.35">
      <c r="B1734" s="38">
        <v>38234</v>
      </c>
      <c r="C1734" s="3">
        <v>1</v>
      </c>
      <c r="D1734" s="3">
        <v>0</v>
      </c>
      <c r="E1734" s="3">
        <f>C1734 - D1734</f>
        <v>1</v>
      </c>
    </row>
    <row r="1735" spans="2:5" x14ac:dyDescent="0.35">
      <c r="B1735" s="38">
        <v>38235</v>
      </c>
      <c r="C1735" s="3">
        <v>0</v>
      </c>
      <c r="D1735" s="3">
        <v>1</v>
      </c>
      <c r="E1735" s="3">
        <f>C1735 - D1735</f>
        <v>-1</v>
      </c>
    </row>
    <row r="1736" spans="2:5" x14ac:dyDescent="0.35">
      <c r="B1736" s="38">
        <v>38236</v>
      </c>
      <c r="C1736" s="3">
        <v>0</v>
      </c>
      <c r="D1736" s="3">
        <v>0</v>
      </c>
      <c r="E1736" s="3">
        <f>C1736 - D1736</f>
        <v>0</v>
      </c>
    </row>
    <row r="1737" spans="2:5" x14ac:dyDescent="0.35">
      <c r="B1737" s="38">
        <v>38237</v>
      </c>
      <c r="C1737" s="3">
        <v>0</v>
      </c>
      <c r="D1737" s="3">
        <v>0</v>
      </c>
      <c r="E1737" s="3">
        <f>C1737 - D1737</f>
        <v>0</v>
      </c>
    </row>
    <row r="1738" spans="2:5" x14ac:dyDescent="0.35">
      <c r="B1738" s="38">
        <v>38238</v>
      </c>
      <c r="C1738" s="3">
        <v>1</v>
      </c>
      <c r="D1738" s="3">
        <v>0</v>
      </c>
      <c r="E1738" s="3">
        <f>C1738 - D1738</f>
        <v>1</v>
      </c>
    </row>
    <row r="1739" spans="2:5" x14ac:dyDescent="0.35">
      <c r="B1739" s="38">
        <v>38239</v>
      </c>
      <c r="C1739" s="3">
        <v>1</v>
      </c>
      <c r="D1739" s="3">
        <v>1</v>
      </c>
      <c r="E1739" s="3">
        <f>C1739 - D1739</f>
        <v>0</v>
      </c>
    </row>
    <row r="1740" spans="2:5" x14ac:dyDescent="0.35">
      <c r="B1740" s="38">
        <v>38240</v>
      </c>
      <c r="C1740" s="3">
        <v>0</v>
      </c>
      <c r="D1740" s="3">
        <v>1</v>
      </c>
      <c r="E1740" s="3">
        <f>C1740 - D1740</f>
        <v>-1</v>
      </c>
    </row>
    <row r="1741" spans="2:5" x14ac:dyDescent="0.35">
      <c r="B1741" s="38">
        <v>38241</v>
      </c>
      <c r="C1741" s="3">
        <v>1</v>
      </c>
      <c r="D1741" s="3">
        <v>0</v>
      </c>
      <c r="E1741" s="3">
        <f>C1741 - D1741</f>
        <v>1</v>
      </c>
    </row>
    <row r="1742" spans="2:5" x14ac:dyDescent="0.35">
      <c r="B1742" s="38">
        <v>38242</v>
      </c>
      <c r="C1742" s="3">
        <v>1</v>
      </c>
      <c r="D1742" s="3">
        <v>1</v>
      </c>
      <c r="E1742" s="3">
        <f>C1742 - D1742</f>
        <v>0</v>
      </c>
    </row>
    <row r="1743" spans="2:5" x14ac:dyDescent="0.35">
      <c r="B1743" s="38">
        <v>38243</v>
      </c>
      <c r="C1743" s="3">
        <v>1</v>
      </c>
      <c r="D1743" s="3">
        <v>1</v>
      </c>
      <c r="E1743" s="3">
        <f>C1743 - D1743</f>
        <v>0</v>
      </c>
    </row>
    <row r="1744" spans="2:5" x14ac:dyDescent="0.35">
      <c r="B1744" s="38">
        <v>38244</v>
      </c>
      <c r="C1744" s="3">
        <v>1</v>
      </c>
      <c r="D1744" s="3">
        <v>1</v>
      </c>
      <c r="E1744" s="3">
        <f>C1744 - D1744</f>
        <v>0</v>
      </c>
    </row>
    <row r="1745" spans="2:5" x14ac:dyDescent="0.35">
      <c r="B1745" s="38">
        <v>38245</v>
      </c>
      <c r="C1745" s="3">
        <v>1</v>
      </c>
      <c r="D1745" s="3">
        <v>1</v>
      </c>
      <c r="E1745" s="3">
        <f>C1745 - D1745</f>
        <v>0</v>
      </c>
    </row>
    <row r="1746" spans="2:5" x14ac:dyDescent="0.35">
      <c r="B1746" s="38">
        <v>38246</v>
      </c>
      <c r="C1746" s="3">
        <v>1</v>
      </c>
      <c r="D1746" s="3">
        <v>1</v>
      </c>
      <c r="E1746" s="3">
        <f>C1746 - D1746</f>
        <v>0</v>
      </c>
    </row>
    <row r="1747" spans="2:5" x14ac:dyDescent="0.35">
      <c r="B1747" s="38">
        <v>38247</v>
      </c>
      <c r="C1747" s="3">
        <v>0</v>
      </c>
      <c r="D1747" s="3">
        <v>1</v>
      </c>
      <c r="E1747" s="3">
        <f>C1747 - D1747</f>
        <v>-1</v>
      </c>
    </row>
    <row r="1748" spans="2:5" x14ac:dyDescent="0.35">
      <c r="B1748" s="38">
        <v>38248</v>
      </c>
      <c r="C1748" s="3">
        <v>0</v>
      </c>
      <c r="D1748" s="3">
        <v>0</v>
      </c>
      <c r="E1748" s="3">
        <f>C1748 - D1748</f>
        <v>0</v>
      </c>
    </row>
    <row r="1749" spans="2:5" x14ac:dyDescent="0.35">
      <c r="B1749" s="38">
        <v>38249</v>
      </c>
      <c r="C1749" s="3">
        <v>0</v>
      </c>
      <c r="D1749" s="3">
        <v>0</v>
      </c>
      <c r="E1749" s="3">
        <f>C1749 - D1749</f>
        <v>0</v>
      </c>
    </row>
    <row r="1750" spans="2:5" x14ac:dyDescent="0.35">
      <c r="B1750" s="38">
        <v>38250</v>
      </c>
      <c r="C1750" s="3">
        <v>0</v>
      </c>
      <c r="D1750" s="3">
        <v>0</v>
      </c>
      <c r="E1750" s="3">
        <f>C1750 - D1750</f>
        <v>0</v>
      </c>
    </row>
    <row r="1751" spans="2:5" x14ac:dyDescent="0.35">
      <c r="B1751" s="38">
        <v>38251</v>
      </c>
      <c r="C1751" s="3">
        <v>0</v>
      </c>
      <c r="D1751" s="3">
        <v>0</v>
      </c>
      <c r="E1751" s="3">
        <f>C1751 - D1751</f>
        <v>0</v>
      </c>
    </row>
    <row r="1752" spans="2:5" x14ac:dyDescent="0.35">
      <c r="B1752" s="38">
        <v>38252</v>
      </c>
      <c r="C1752" s="3">
        <v>0</v>
      </c>
      <c r="D1752" s="3">
        <v>0</v>
      </c>
      <c r="E1752" s="3">
        <f>C1752 - D1752</f>
        <v>0</v>
      </c>
    </row>
    <row r="1753" spans="2:5" x14ac:dyDescent="0.35">
      <c r="B1753" s="38">
        <v>38253</v>
      </c>
      <c r="C1753" s="3">
        <v>1</v>
      </c>
      <c r="D1753" s="3">
        <v>0</v>
      </c>
      <c r="E1753" s="3">
        <f>C1753 - D1753</f>
        <v>1</v>
      </c>
    </row>
    <row r="1754" spans="2:5" x14ac:dyDescent="0.35">
      <c r="B1754" s="38">
        <v>38254</v>
      </c>
      <c r="C1754" s="3">
        <v>0</v>
      </c>
      <c r="D1754" s="3">
        <v>1</v>
      </c>
      <c r="E1754" s="3">
        <f>C1754 - D1754</f>
        <v>-1</v>
      </c>
    </row>
    <row r="1755" spans="2:5" x14ac:dyDescent="0.35">
      <c r="B1755" s="38">
        <v>38255</v>
      </c>
      <c r="C1755" s="3">
        <v>0</v>
      </c>
      <c r="D1755" s="3">
        <v>0</v>
      </c>
      <c r="E1755" s="3">
        <f>C1755 - D1755</f>
        <v>0</v>
      </c>
    </row>
    <row r="1756" spans="2:5" x14ac:dyDescent="0.35">
      <c r="B1756" s="38">
        <v>38256</v>
      </c>
      <c r="C1756" s="3">
        <v>0</v>
      </c>
      <c r="D1756" s="3">
        <v>0</v>
      </c>
      <c r="E1756" s="3">
        <f>C1756 - D1756</f>
        <v>0</v>
      </c>
    </row>
    <row r="1757" spans="2:5" x14ac:dyDescent="0.35">
      <c r="B1757" s="38">
        <v>38257</v>
      </c>
      <c r="C1757" s="3">
        <v>0</v>
      </c>
      <c r="D1757" s="3">
        <v>0</v>
      </c>
      <c r="E1757" s="3">
        <f>C1757 - D1757</f>
        <v>0</v>
      </c>
    </row>
    <row r="1758" spans="2:5" x14ac:dyDescent="0.35">
      <c r="B1758" s="38">
        <v>38258</v>
      </c>
      <c r="C1758" s="3">
        <v>0</v>
      </c>
      <c r="D1758" s="3">
        <v>0</v>
      </c>
      <c r="E1758" s="3">
        <f>C1758 - D1758</f>
        <v>0</v>
      </c>
    </row>
    <row r="1759" spans="2:5" x14ac:dyDescent="0.35">
      <c r="B1759" s="38">
        <v>38259</v>
      </c>
      <c r="C1759" s="3">
        <v>1</v>
      </c>
      <c r="D1759" s="3">
        <v>0</v>
      </c>
      <c r="E1759" s="3">
        <f>C1759 - D1759</f>
        <v>1</v>
      </c>
    </row>
    <row r="1760" spans="2:5" x14ac:dyDescent="0.35">
      <c r="B1760" s="38">
        <v>38260</v>
      </c>
      <c r="C1760" s="3">
        <v>1</v>
      </c>
      <c r="D1760" s="3">
        <v>1</v>
      </c>
      <c r="E1760" s="3">
        <f>C1760 - D1760</f>
        <v>0</v>
      </c>
    </row>
    <row r="1761" spans="2:5" x14ac:dyDescent="0.35">
      <c r="B1761" s="38">
        <v>38261</v>
      </c>
      <c r="C1761" s="3">
        <v>0</v>
      </c>
      <c r="D1761" s="3">
        <v>1</v>
      </c>
      <c r="E1761" s="3">
        <f>C1761 - D1761</f>
        <v>-1</v>
      </c>
    </row>
    <row r="1762" spans="2:5" x14ac:dyDescent="0.35">
      <c r="B1762" s="38">
        <v>38262</v>
      </c>
      <c r="C1762" s="3">
        <v>0</v>
      </c>
      <c r="D1762" s="3">
        <v>0</v>
      </c>
      <c r="E1762" s="3">
        <f>C1762 - D1762</f>
        <v>0</v>
      </c>
    </row>
    <row r="1763" spans="2:5" x14ac:dyDescent="0.35">
      <c r="B1763" s="38">
        <v>38263</v>
      </c>
      <c r="C1763" s="3">
        <v>0</v>
      </c>
      <c r="D1763" s="3">
        <v>0</v>
      </c>
      <c r="E1763" s="3">
        <f>C1763 - D1763</f>
        <v>0</v>
      </c>
    </row>
    <row r="1764" spans="2:5" x14ac:dyDescent="0.35">
      <c r="B1764" s="38">
        <v>38264</v>
      </c>
      <c r="C1764" s="3">
        <v>1</v>
      </c>
      <c r="D1764" s="3">
        <v>0</v>
      </c>
      <c r="E1764" s="3">
        <f>C1764 - D1764</f>
        <v>1</v>
      </c>
    </row>
    <row r="1765" spans="2:5" x14ac:dyDescent="0.35">
      <c r="B1765" s="38">
        <v>38265</v>
      </c>
      <c r="C1765" s="3">
        <v>1</v>
      </c>
      <c r="D1765" s="3">
        <v>1</v>
      </c>
      <c r="E1765" s="3">
        <f>C1765 - D1765</f>
        <v>0</v>
      </c>
    </row>
    <row r="1766" spans="2:5" x14ac:dyDescent="0.35">
      <c r="B1766" s="38">
        <v>38266</v>
      </c>
      <c r="C1766" s="3">
        <v>1</v>
      </c>
      <c r="D1766" s="3">
        <v>1</v>
      </c>
      <c r="E1766" s="3">
        <f>C1766 - D1766</f>
        <v>0</v>
      </c>
    </row>
    <row r="1767" spans="2:5" x14ac:dyDescent="0.35">
      <c r="B1767" s="38">
        <v>38267</v>
      </c>
      <c r="C1767" s="3">
        <v>0</v>
      </c>
      <c r="D1767" s="3">
        <v>1</v>
      </c>
      <c r="E1767" s="3">
        <f>C1767 - D1767</f>
        <v>-1</v>
      </c>
    </row>
    <row r="1768" spans="2:5" x14ac:dyDescent="0.35">
      <c r="B1768" s="38">
        <v>38268</v>
      </c>
      <c r="C1768" s="3">
        <v>1</v>
      </c>
      <c r="D1768" s="3">
        <v>0</v>
      </c>
      <c r="E1768" s="3">
        <f>C1768 - D1768</f>
        <v>1</v>
      </c>
    </row>
    <row r="1769" spans="2:5" x14ac:dyDescent="0.35">
      <c r="B1769" s="38">
        <v>38269</v>
      </c>
      <c r="C1769" s="3">
        <v>0</v>
      </c>
      <c r="D1769" s="3">
        <v>1</v>
      </c>
      <c r="E1769" s="3">
        <f>C1769 - D1769</f>
        <v>-1</v>
      </c>
    </row>
    <row r="1770" spans="2:5" x14ac:dyDescent="0.35">
      <c r="B1770" s="38">
        <v>38270</v>
      </c>
      <c r="C1770" s="3">
        <v>0</v>
      </c>
      <c r="D1770" s="3">
        <v>0</v>
      </c>
      <c r="E1770" s="3">
        <f>C1770 - D1770</f>
        <v>0</v>
      </c>
    </row>
    <row r="1771" spans="2:5" x14ac:dyDescent="0.35">
      <c r="B1771" s="38">
        <v>38271</v>
      </c>
      <c r="C1771" s="3">
        <v>0</v>
      </c>
      <c r="D1771" s="3">
        <v>0</v>
      </c>
      <c r="E1771" s="3">
        <f>C1771 - D1771</f>
        <v>0</v>
      </c>
    </row>
    <row r="1772" spans="2:5" x14ac:dyDescent="0.35">
      <c r="B1772" s="38">
        <v>38272</v>
      </c>
      <c r="C1772" s="3">
        <v>0</v>
      </c>
      <c r="D1772" s="3">
        <v>0</v>
      </c>
      <c r="E1772" s="3">
        <f>C1772 - D1772</f>
        <v>0</v>
      </c>
    </row>
    <row r="1773" spans="2:5" x14ac:dyDescent="0.35">
      <c r="B1773" s="38">
        <v>38273</v>
      </c>
      <c r="C1773" s="3">
        <v>0</v>
      </c>
      <c r="D1773" s="3">
        <v>0</v>
      </c>
      <c r="E1773" s="3">
        <f>C1773 - D1773</f>
        <v>0</v>
      </c>
    </row>
    <row r="1774" spans="2:5" x14ac:dyDescent="0.35">
      <c r="B1774" s="38">
        <v>38274</v>
      </c>
      <c r="C1774" s="3">
        <v>1</v>
      </c>
      <c r="D1774" s="3">
        <v>0</v>
      </c>
      <c r="E1774" s="3">
        <f>C1774 - D1774</f>
        <v>1</v>
      </c>
    </row>
    <row r="1775" spans="2:5" x14ac:dyDescent="0.35">
      <c r="B1775" s="38">
        <v>38275</v>
      </c>
      <c r="C1775" s="3">
        <v>1</v>
      </c>
      <c r="D1775" s="3">
        <v>1</v>
      </c>
      <c r="E1775" s="3">
        <f>C1775 - D1775</f>
        <v>0</v>
      </c>
    </row>
    <row r="1776" spans="2:5" x14ac:dyDescent="0.35">
      <c r="B1776" s="38">
        <v>38276</v>
      </c>
      <c r="C1776" s="3">
        <v>1</v>
      </c>
      <c r="D1776" s="3">
        <v>1</v>
      </c>
      <c r="E1776" s="3">
        <f>C1776 - D1776</f>
        <v>0</v>
      </c>
    </row>
    <row r="1777" spans="2:5" x14ac:dyDescent="0.35">
      <c r="B1777" s="38">
        <v>38277</v>
      </c>
      <c r="C1777" s="3">
        <v>0</v>
      </c>
      <c r="D1777" s="3">
        <v>1</v>
      </c>
      <c r="E1777" s="3">
        <f>C1777 - D1777</f>
        <v>-1</v>
      </c>
    </row>
    <row r="1778" spans="2:5" x14ac:dyDescent="0.35">
      <c r="B1778" s="38">
        <v>38278</v>
      </c>
      <c r="C1778" s="3">
        <v>0</v>
      </c>
      <c r="D1778" s="3">
        <v>0</v>
      </c>
      <c r="E1778" s="3">
        <f>C1778 - D1778</f>
        <v>0</v>
      </c>
    </row>
    <row r="1779" spans="2:5" x14ac:dyDescent="0.35">
      <c r="B1779" s="38">
        <v>38279</v>
      </c>
      <c r="C1779" s="3">
        <v>0</v>
      </c>
      <c r="D1779" s="3">
        <v>0</v>
      </c>
      <c r="E1779" s="3">
        <f>C1779 - D1779</f>
        <v>0</v>
      </c>
    </row>
    <row r="1780" spans="2:5" x14ac:dyDescent="0.35">
      <c r="B1780" s="38">
        <v>38280</v>
      </c>
      <c r="C1780" s="3">
        <v>0</v>
      </c>
      <c r="D1780" s="3">
        <v>0</v>
      </c>
      <c r="E1780" s="3">
        <f>C1780 - D1780</f>
        <v>0</v>
      </c>
    </row>
    <row r="1781" spans="2:5" x14ac:dyDescent="0.35">
      <c r="B1781" s="38">
        <v>38281</v>
      </c>
      <c r="C1781" s="3">
        <v>0</v>
      </c>
      <c r="D1781" s="3">
        <v>0</v>
      </c>
      <c r="E1781" s="3">
        <f>C1781 - D1781</f>
        <v>0</v>
      </c>
    </row>
    <row r="1782" spans="2:5" x14ac:dyDescent="0.35">
      <c r="B1782" s="38">
        <v>38282</v>
      </c>
      <c r="C1782" s="3">
        <v>0</v>
      </c>
      <c r="D1782" s="3">
        <v>0</v>
      </c>
      <c r="E1782" s="3">
        <f>C1782 - D1782</f>
        <v>0</v>
      </c>
    </row>
    <row r="1783" spans="2:5" x14ac:dyDescent="0.35">
      <c r="B1783" s="38">
        <v>38283</v>
      </c>
      <c r="C1783" s="3">
        <v>0</v>
      </c>
      <c r="D1783" s="3">
        <v>0</v>
      </c>
      <c r="E1783" s="3">
        <f>C1783 - D1783</f>
        <v>0</v>
      </c>
    </row>
    <row r="1784" spans="2:5" x14ac:dyDescent="0.35">
      <c r="B1784" s="38">
        <v>38284</v>
      </c>
      <c r="C1784" s="3">
        <v>0</v>
      </c>
      <c r="D1784" s="3">
        <v>0</v>
      </c>
      <c r="E1784" s="3">
        <f>C1784 - D1784</f>
        <v>0</v>
      </c>
    </row>
    <row r="1785" spans="2:5" x14ac:dyDescent="0.35">
      <c r="B1785" s="38">
        <v>38285</v>
      </c>
      <c r="C1785" s="3">
        <v>0</v>
      </c>
      <c r="D1785" s="3">
        <v>0</v>
      </c>
      <c r="E1785" s="3">
        <f>C1785 - D1785</f>
        <v>0</v>
      </c>
    </row>
    <row r="1786" spans="2:5" x14ac:dyDescent="0.35">
      <c r="B1786" s="38">
        <v>38286</v>
      </c>
      <c r="C1786" s="3">
        <v>0</v>
      </c>
      <c r="D1786" s="3">
        <v>0</v>
      </c>
      <c r="E1786" s="3">
        <f>C1786 - D1786</f>
        <v>0</v>
      </c>
    </row>
    <row r="1787" spans="2:5" x14ac:dyDescent="0.35">
      <c r="B1787" s="38">
        <v>38287</v>
      </c>
      <c r="C1787" s="3">
        <v>1</v>
      </c>
      <c r="D1787" s="3">
        <v>0</v>
      </c>
      <c r="E1787" s="3">
        <f>C1787 - D1787</f>
        <v>1</v>
      </c>
    </row>
    <row r="1788" spans="2:5" x14ac:dyDescent="0.35">
      <c r="B1788" s="38">
        <v>38288</v>
      </c>
      <c r="C1788" s="3">
        <v>1</v>
      </c>
      <c r="D1788" s="3">
        <v>1</v>
      </c>
      <c r="E1788" s="3">
        <f>C1788 - D1788</f>
        <v>0</v>
      </c>
    </row>
    <row r="1789" spans="2:5" x14ac:dyDescent="0.35">
      <c r="B1789" s="38">
        <v>38289</v>
      </c>
      <c r="C1789" s="3">
        <v>0</v>
      </c>
      <c r="D1789" s="3">
        <v>1</v>
      </c>
      <c r="E1789" s="3">
        <f>C1789 - D1789</f>
        <v>-1</v>
      </c>
    </row>
    <row r="1790" spans="2:5" x14ac:dyDescent="0.35">
      <c r="B1790" s="38">
        <v>38290</v>
      </c>
      <c r="C1790" s="3">
        <v>0</v>
      </c>
      <c r="D1790" s="3">
        <v>0</v>
      </c>
      <c r="E1790" s="3">
        <f>C1790 - D1790</f>
        <v>0</v>
      </c>
    </row>
    <row r="1791" spans="2:5" x14ac:dyDescent="0.35">
      <c r="B1791" s="38">
        <v>38291</v>
      </c>
      <c r="C1791" s="3">
        <v>0</v>
      </c>
      <c r="D1791" s="3">
        <v>0</v>
      </c>
      <c r="E1791" s="3">
        <f>C1791 - D1791</f>
        <v>0</v>
      </c>
    </row>
    <row r="1792" spans="2:5" x14ac:dyDescent="0.35">
      <c r="B1792" s="38">
        <v>38292</v>
      </c>
      <c r="C1792" s="3">
        <v>0</v>
      </c>
      <c r="D1792" s="3">
        <v>0</v>
      </c>
      <c r="E1792" s="3">
        <f>C1792 - D1792</f>
        <v>0</v>
      </c>
    </row>
    <row r="1793" spans="2:5" x14ac:dyDescent="0.35">
      <c r="B1793" s="38">
        <v>38293</v>
      </c>
      <c r="C1793" s="3">
        <v>0</v>
      </c>
      <c r="D1793" s="3">
        <v>0</v>
      </c>
      <c r="E1793" s="3">
        <f>C1793 - D1793</f>
        <v>0</v>
      </c>
    </row>
    <row r="1794" spans="2:5" x14ac:dyDescent="0.35">
      <c r="B1794" s="38">
        <v>38294</v>
      </c>
      <c r="C1794" s="3">
        <v>1</v>
      </c>
      <c r="D1794" s="3">
        <v>0</v>
      </c>
      <c r="E1794" s="3">
        <f>C1794 - D1794</f>
        <v>1</v>
      </c>
    </row>
    <row r="1795" spans="2:5" x14ac:dyDescent="0.35">
      <c r="B1795" s="38">
        <v>38295</v>
      </c>
      <c r="C1795" s="3">
        <v>0</v>
      </c>
      <c r="D1795" s="3">
        <v>1</v>
      </c>
      <c r="E1795" s="3">
        <f>C1795 - D1795</f>
        <v>-1</v>
      </c>
    </row>
    <row r="1796" spans="2:5" x14ac:dyDescent="0.35">
      <c r="B1796" s="38">
        <v>38296</v>
      </c>
      <c r="C1796" s="3">
        <v>1</v>
      </c>
      <c r="D1796" s="3">
        <v>0</v>
      </c>
      <c r="E1796" s="3">
        <f>C1796 - D1796</f>
        <v>1</v>
      </c>
    </row>
    <row r="1797" spans="2:5" x14ac:dyDescent="0.35">
      <c r="B1797" s="38">
        <v>38297</v>
      </c>
      <c r="C1797" s="3">
        <v>1</v>
      </c>
      <c r="D1797" s="3">
        <v>1</v>
      </c>
      <c r="E1797" s="3">
        <f>C1797 - D1797</f>
        <v>0</v>
      </c>
    </row>
    <row r="1798" spans="2:5" x14ac:dyDescent="0.35">
      <c r="B1798" s="38">
        <v>38298</v>
      </c>
      <c r="C1798" s="3">
        <v>1</v>
      </c>
      <c r="D1798" s="3">
        <v>1</v>
      </c>
      <c r="E1798" s="3">
        <f>C1798 - D1798</f>
        <v>0</v>
      </c>
    </row>
    <row r="1799" spans="2:5" x14ac:dyDescent="0.35">
      <c r="B1799" s="38">
        <v>38299</v>
      </c>
      <c r="C1799" s="3">
        <v>1</v>
      </c>
      <c r="D1799" s="3">
        <v>1</v>
      </c>
      <c r="E1799" s="3">
        <f>C1799 - D1799</f>
        <v>0</v>
      </c>
    </row>
    <row r="1800" spans="2:5" x14ac:dyDescent="0.35">
      <c r="B1800" s="38">
        <v>38300</v>
      </c>
      <c r="C1800" s="3">
        <v>0</v>
      </c>
      <c r="D1800" s="3">
        <v>1</v>
      </c>
      <c r="E1800" s="3">
        <f>C1800 - D1800</f>
        <v>-1</v>
      </c>
    </row>
    <row r="1801" spans="2:5" x14ac:dyDescent="0.35">
      <c r="B1801" s="38">
        <v>38301</v>
      </c>
      <c r="C1801" s="3">
        <v>0</v>
      </c>
      <c r="D1801" s="3">
        <v>0</v>
      </c>
      <c r="E1801" s="3">
        <f>C1801 - D1801</f>
        <v>0</v>
      </c>
    </row>
    <row r="1802" spans="2:5" x14ac:dyDescent="0.35">
      <c r="B1802" s="38">
        <v>38302</v>
      </c>
      <c r="C1802" s="3">
        <v>0</v>
      </c>
      <c r="D1802" s="3">
        <v>0</v>
      </c>
      <c r="E1802" s="3">
        <f>C1802 - D1802</f>
        <v>0</v>
      </c>
    </row>
    <row r="1803" spans="2:5" x14ac:dyDescent="0.35">
      <c r="B1803" s="38">
        <v>38303</v>
      </c>
      <c r="C1803" s="3">
        <v>1</v>
      </c>
      <c r="D1803" s="3">
        <v>0</v>
      </c>
      <c r="E1803" s="3">
        <f>C1803 - D1803</f>
        <v>1</v>
      </c>
    </row>
    <row r="1804" spans="2:5" x14ac:dyDescent="0.35">
      <c r="B1804" s="38">
        <v>38304</v>
      </c>
      <c r="C1804" s="3">
        <v>1</v>
      </c>
      <c r="D1804" s="3">
        <v>1</v>
      </c>
      <c r="E1804" s="3">
        <f>C1804 - D1804</f>
        <v>0</v>
      </c>
    </row>
    <row r="1805" spans="2:5" x14ac:dyDescent="0.35">
      <c r="B1805" s="38">
        <v>38305</v>
      </c>
      <c r="C1805" s="3">
        <v>1</v>
      </c>
      <c r="D1805" s="3">
        <v>1</v>
      </c>
      <c r="E1805" s="3">
        <f>C1805 - D1805</f>
        <v>0</v>
      </c>
    </row>
    <row r="1806" spans="2:5" x14ac:dyDescent="0.35">
      <c r="B1806" s="38">
        <v>38306</v>
      </c>
      <c r="C1806" s="3">
        <v>0</v>
      </c>
      <c r="D1806" s="3">
        <v>1</v>
      </c>
      <c r="E1806" s="3">
        <f>C1806 - D1806</f>
        <v>-1</v>
      </c>
    </row>
    <row r="1807" spans="2:5" x14ac:dyDescent="0.35">
      <c r="B1807" s="38">
        <v>38307</v>
      </c>
      <c r="C1807" s="3">
        <v>0</v>
      </c>
      <c r="D1807" s="3">
        <v>0</v>
      </c>
      <c r="E1807" s="3">
        <f>C1807 - D1807</f>
        <v>0</v>
      </c>
    </row>
    <row r="1808" spans="2:5" x14ac:dyDescent="0.35">
      <c r="B1808" s="38">
        <v>38308</v>
      </c>
      <c r="C1808" s="3">
        <v>0</v>
      </c>
      <c r="D1808" s="3">
        <v>0</v>
      </c>
      <c r="E1808" s="3">
        <f>C1808 - D1808</f>
        <v>0</v>
      </c>
    </row>
    <row r="1809" spans="2:5" x14ac:dyDescent="0.35">
      <c r="B1809" s="38">
        <v>38309</v>
      </c>
      <c r="C1809" s="3">
        <v>0</v>
      </c>
      <c r="D1809" s="3">
        <v>0</v>
      </c>
      <c r="E1809" s="3">
        <f>C1809 - D1809</f>
        <v>0</v>
      </c>
    </row>
    <row r="1810" spans="2:5" x14ac:dyDescent="0.35">
      <c r="B1810" s="38">
        <v>38310</v>
      </c>
      <c r="C1810" s="3">
        <v>1</v>
      </c>
      <c r="D1810" s="3">
        <v>0</v>
      </c>
      <c r="E1810" s="3">
        <f>C1810 - D1810</f>
        <v>1</v>
      </c>
    </row>
    <row r="1811" spans="2:5" x14ac:dyDescent="0.35">
      <c r="B1811" s="38">
        <v>38311</v>
      </c>
      <c r="C1811" s="3">
        <v>0</v>
      </c>
      <c r="D1811" s="3">
        <v>1</v>
      </c>
      <c r="E1811" s="3">
        <f>C1811 - D1811</f>
        <v>-1</v>
      </c>
    </row>
    <row r="1812" spans="2:5" x14ac:dyDescent="0.35">
      <c r="B1812" s="38">
        <v>38312</v>
      </c>
      <c r="C1812" s="3">
        <v>0</v>
      </c>
      <c r="D1812" s="3">
        <v>0</v>
      </c>
      <c r="E1812" s="3">
        <f>C1812 - D1812</f>
        <v>0</v>
      </c>
    </row>
    <row r="1813" spans="2:5" x14ac:dyDescent="0.35">
      <c r="B1813" s="38">
        <v>38313</v>
      </c>
      <c r="C1813" s="3">
        <v>1</v>
      </c>
      <c r="D1813" s="3">
        <v>0</v>
      </c>
      <c r="E1813" s="3">
        <f>C1813 - D1813</f>
        <v>1</v>
      </c>
    </row>
    <row r="1814" spans="2:5" x14ac:dyDescent="0.35">
      <c r="B1814" s="38">
        <v>38314</v>
      </c>
      <c r="C1814" s="3">
        <v>0</v>
      </c>
      <c r="D1814" s="3">
        <v>1</v>
      </c>
      <c r="E1814" s="3">
        <f>C1814 - D1814</f>
        <v>-1</v>
      </c>
    </row>
    <row r="1815" spans="2:5" x14ac:dyDescent="0.35">
      <c r="B1815" s="38">
        <v>38315</v>
      </c>
      <c r="C1815" s="3">
        <v>0</v>
      </c>
      <c r="D1815" s="3">
        <v>0</v>
      </c>
      <c r="E1815" s="3">
        <f>C1815 - D1815</f>
        <v>0</v>
      </c>
    </row>
    <row r="1816" spans="2:5" x14ac:dyDescent="0.35">
      <c r="B1816" s="38">
        <v>38316</v>
      </c>
      <c r="C1816" s="3">
        <v>0</v>
      </c>
      <c r="D1816" s="3">
        <v>0</v>
      </c>
      <c r="E1816" s="3">
        <f>C1816 - D1816</f>
        <v>0</v>
      </c>
    </row>
    <row r="1817" spans="2:5" x14ac:dyDescent="0.35">
      <c r="B1817" s="38">
        <v>38317</v>
      </c>
      <c r="C1817" s="3">
        <v>0</v>
      </c>
      <c r="D1817" s="3">
        <v>0</v>
      </c>
      <c r="E1817" s="3">
        <f>C1817 - D1817</f>
        <v>0</v>
      </c>
    </row>
    <row r="1818" spans="2:5" x14ac:dyDescent="0.35">
      <c r="B1818" s="38">
        <v>38318</v>
      </c>
      <c r="C1818" s="3">
        <v>0</v>
      </c>
      <c r="D1818" s="3">
        <v>0</v>
      </c>
      <c r="E1818" s="3">
        <f>C1818 - D1818</f>
        <v>0</v>
      </c>
    </row>
    <row r="1819" spans="2:5" x14ac:dyDescent="0.35">
      <c r="B1819" s="38">
        <v>38319</v>
      </c>
      <c r="C1819" s="3">
        <v>0</v>
      </c>
      <c r="D1819" s="3">
        <v>0</v>
      </c>
      <c r="E1819" s="3">
        <f>C1819 - D1819</f>
        <v>0</v>
      </c>
    </row>
    <row r="1820" spans="2:5" x14ac:dyDescent="0.35">
      <c r="B1820" s="38">
        <v>38320</v>
      </c>
      <c r="C1820" s="3">
        <v>0</v>
      </c>
      <c r="D1820" s="3">
        <v>0</v>
      </c>
      <c r="E1820" s="3">
        <f>C1820 - D1820</f>
        <v>0</v>
      </c>
    </row>
    <row r="1821" spans="2:5" x14ac:dyDescent="0.35">
      <c r="B1821" s="38">
        <v>38321</v>
      </c>
      <c r="C1821" s="3">
        <v>0</v>
      </c>
      <c r="D1821" s="3">
        <v>0</v>
      </c>
      <c r="E1821" s="3">
        <f>C1821 - D1821</f>
        <v>0</v>
      </c>
    </row>
    <row r="1822" spans="2:5" x14ac:dyDescent="0.35">
      <c r="B1822" s="38">
        <v>38322</v>
      </c>
      <c r="C1822" s="3">
        <v>1</v>
      </c>
      <c r="D1822" s="3">
        <v>0</v>
      </c>
      <c r="E1822" s="3">
        <f>C1822 - D1822</f>
        <v>1</v>
      </c>
    </row>
    <row r="1823" spans="2:5" x14ac:dyDescent="0.35">
      <c r="B1823" s="38">
        <v>38323</v>
      </c>
      <c r="C1823" s="3">
        <v>1</v>
      </c>
      <c r="D1823" s="3">
        <v>1</v>
      </c>
      <c r="E1823" s="3">
        <f>C1823 - D1823</f>
        <v>0</v>
      </c>
    </row>
    <row r="1824" spans="2:5" x14ac:dyDescent="0.35">
      <c r="B1824" s="38">
        <v>38324</v>
      </c>
      <c r="C1824" s="3">
        <v>0</v>
      </c>
      <c r="D1824" s="3">
        <v>1</v>
      </c>
      <c r="E1824" s="3">
        <f>C1824 - D1824</f>
        <v>-1</v>
      </c>
    </row>
    <row r="1825" spans="2:5" x14ac:dyDescent="0.35">
      <c r="B1825" s="38">
        <v>38325</v>
      </c>
      <c r="C1825" s="3">
        <v>0</v>
      </c>
      <c r="D1825" s="3">
        <v>0</v>
      </c>
      <c r="E1825" s="3">
        <f>C1825 - D1825</f>
        <v>0</v>
      </c>
    </row>
    <row r="1826" spans="2:5" x14ac:dyDescent="0.35">
      <c r="B1826" s="38">
        <v>38326</v>
      </c>
      <c r="C1826" s="3">
        <v>0</v>
      </c>
      <c r="D1826" s="3">
        <v>0</v>
      </c>
      <c r="E1826" s="3">
        <f>C1826 - D1826</f>
        <v>0</v>
      </c>
    </row>
    <row r="1827" spans="2:5" x14ac:dyDescent="0.35">
      <c r="B1827" s="38">
        <v>38327</v>
      </c>
      <c r="C1827" s="3">
        <v>0</v>
      </c>
      <c r="D1827" s="3">
        <v>0</v>
      </c>
      <c r="E1827" s="3">
        <f>C1827 - D1827</f>
        <v>0</v>
      </c>
    </row>
    <row r="1828" spans="2:5" x14ac:dyDescent="0.35">
      <c r="B1828" s="38">
        <v>38328</v>
      </c>
      <c r="C1828" s="3">
        <v>1</v>
      </c>
      <c r="D1828" s="3">
        <v>0</v>
      </c>
      <c r="E1828" s="3">
        <f>C1828 - D1828</f>
        <v>1</v>
      </c>
    </row>
    <row r="1829" spans="2:5" x14ac:dyDescent="0.35">
      <c r="B1829" s="38">
        <v>38329</v>
      </c>
      <c r="C1829" s="3">
        <v>0</v>
      </c>
      <c r="D1829" s="3">
        <v>1</v>
      </c>
      <c r="E1829" s="3">
        <f>C1829 - D1829</f>
        <v>-1</v>
      </c>
    </row>
    <row r="1830" spans="2:5" x14ac:dyDescent="0.35">
      <c r="B1830" s="38">
        <v>38330</v>
      </c>
      <c r="C1830" s="3">
        <v>1</v>
      </c>
      <c r="D1830" s="3">
        <v>0</v>
      </c>
      <c r="E1830" s="3">
        <f>C1830 - D1830</f>
        <v>1</v>
      </c>
    </row>
    <row r="1831" spans="2:5" x14ac:dyDescent="0.35">
      <c r="B1831" s="38">
        <v>38331</v>
      </c>
      <c r="C1831" s="3">
        <v>1</v>
      </c>
      <c r="D1831" s="3">
        <v>1</v>
      </c>
      <c r="E1831" s="3">
        <f>C1831 - D1831</f>
        <v>0</v>
      </c>
    </row>
    <row r="1832" spans="2:5" x14ac:dyDescent="0.35">
      <c r="B1832" s="38">
        <v>38332</v>
      </c>
      <c r="C1832" s="3">
        <v>1</v>
      </c>
      <c r="D1832" s="3">
        <v>1</v>
      </c>
      <c r="E1832" s="3">
        <f>C1832 - D1832</f>
        <v>0</v>
      </c>
    </row>
    <row r="1833" spans="2:5" x14ac:dyDescent="0.35">
      <c r="B1833" s="38">
        <v>38333</v>
      </c>
      <c r="C1833" s="3">
        <v>1</v>
      </c>
      <c r="D1833" s="3">
        <v>1</v>
      </c>
      <c r="E1833" s="3">
        <f>C1833 - D1833</f>
        <v>0</v>
      </c>
    </row>
    <row r="1834" spans="2:5" x14ac:dyDescent="0.35">
      <c r="B1834" s="38">
        <v>38334</v>
      </c>
      <c r="C1834" s="3">
        <v>1</v>
      </c>
      <c r="D1834" s="3">
        <v>1</v>
      </c>
      <c r="E1834" s="3">
        <f>C1834 - D1834</f>
        <v>0</v>
      </c>
    </row>
    <row r="1835" spans="2:5" x14ac:dyDescent="0.35">
      <c r="B1835" s="38">
        <v>38335</v>
      </c>
      <c r="C1835" s="3">
        <v>1</v>
      </c>
      <c r="D1835" s="3">
        <v>1</v>
      </c>
      <c r="E1835" s="3">
        <f>C1835 - D1835</f>
        <v>0</v>
      </c>
    </row>
    <row r="1836" spans="2:5" x14ac:dyDescent="0.35">
      <c r="B1836" s="38">
        <v>38336</v>
      </c>
      <c r="C1836" s="3">
        <v>1</v>
      </c>
      <c r="D1836" s="3">
        <v>1</v>
      </c>
      <c r="E1836" s="3">
        <f>C1836 - D1836</f>
        <v>0</v>
      </c>
    </row>
    <row r="1837" spans="2:5" x14ac:dyDescent="0.35">
      <c r="B1837" s="38">
        <v>38337</v>
      </c>
      <c r="C1837" s="3">
        <v>0</v>
      </c>
      <c r="D1837" s="3">
        <v>1</v>
      </c>
      <c r="E1837" s="3">
        <f>C1837 - D1837</f>
        <v>-1</v>
      </c>
    </row>
    <row r="1838" spans="2:5" x14ac:dyDescent="0.35">
      <c r="B1838" s="38">
        <v>38338</v>
      </c>
      <c r="C1838" s="3">
        <v>0</v>
      </c>
      <c r="D1838" s="3">
        <v>0</v>
      </c>
      <c r="E1838" s="3">
        <f>C1838 - D1838</f>
        <v>0</v>
      </c>
    </row>
    <row r="1839" spans="2:5" x14ac:dyDescent="0.35">
      <c r="B1839" s="38">
        <v>38339</v>
      </c>
      <c r="C1839" s="3">
        <v>0</v>
      </c>
      <c r="D1839" s="3">
        <v>0</v>
      </c>
      <c r="E1839" s="3">
        <f>C1839 - D1839</f>
        <v>0</v>
      </c>
    </row>
    <row r="1840" spans="2:5" x14ac:dyDescent="0.35">
      <c r="B1840" s="38">
        <v>38340</v>
      </c>
      <c r="C1840" s="3">
        <v>0</v>
      </c>
      <c r="D1840" s="3">
        <v>0</v>
      </c>
      <c r="E1840" s="3">
        <f>C1840 - D1840</f>
        <v>0</v>
      </c>
    </row>
    <row r="1841" spans="2:5" x14ac:dyDescent="0.35">
      <c r="B1841" s="38">
        <v>38341</v>
      </c>
      <c r="C1841" s="3">
        <v>0</v>
      </c>
      <c r="D1841" s="3">
        <v>0</v>
      </c>
      <c r="E1841" s="3">
        <f>C1841 - D1841</f>
        <v>0</v>
      </c>
    </row>
    <row r="1842" spans="2:5" x14ac:dyDescent="0.35">
      <c r="B1842" s="38">
        <v>38342</v>
      </c>
      <c r="C1842" s="3">
        <v>0</v>
      </c>
      <c r="D1842" s="3">
        <v>0</v>
      </c>
      <c r="E1842" s="3">
        <f>C1842 - D1842</f>
        <v>0</v>
      </c>
    </row>
    <row r="1843" spans="2:5" x14ac:dyDescent="0.35">
      <c r="B1843" s="38">
        <v>38343</v>
      </c>
      <c r="C1843" s="3">
        <v>0</v>
      </c>
      <c r="D1843" s="3">
        <v>0</v>
      </c>
      <c r="E1843" s="3">
        <f>C1843 - D1843</f>
        <v>0</v>
      </c>
    </row>
    <row r="1844" spans="2:5" x14ac:dyDescent="0.35">
      <c r="B1844" s="38">
        <v>38344</v>
      </c>
      <c r="C1844" s="3">
        <v>0</v>
      </c>
      <c r="D1844" s="3">
        <v>0</v>
      </c>
      <c r="E1844" s="3">
        <f>C1844 - D1844</f>
        <v>0</v>
      </c>
    </row>
    <row r="1845" spans="2:5" x14ac:dyDescent="0.35">
      <c r="B1845" s="38">
        <v>38345</v>
      </c>
      <c r="C1845" s="3">
        <v>0</v>
      </c>
      <c r="D1845" s="3">
        <v>0</v>
      </c>
      <c r="E1845" s="3">
        <f>C1845 - D1845</f>
        <v>0</v>
      </c>
    </row>
    <row r="1846" spans="2:5" x14ac:dyDescent="0.35">
      <c r="B1846" s="38">
        <v>38346</v>
      </c>
      <c r="C1846" s="3">
        <v>0</v>
      </c>
      <c r="D1846" s="3">
        <v>0</v>
      </c>
      <c r="E1846" s="3">
        <f>C1846 - D1846</f>
        <v>0</v>
      </c>
    </row>
    <row r="1847" spans="2:5" x14ac:dyDescent="0.35">
      <c r="B1847" s="38">
        <v>38347</v>
      </c>
      <c r="C1847" s="3">
        <v>0</v>
      </c>
      <c r="D1847" s="3">
        <v>0</v>
      </c>
      <c r="E1847" s="3">
        <f>C1847 - D1847</f>
        <v>0</v>
      </c>
    </row>
    <row r="1848" spans="2:5" x14ac:dyDescent="0.35">
      <c r="B1848" s="38">
        <v>38348</v>
      </c>
      <c r="C1848" s="3">
        <v>1</v>
      </c>
      <c r="D1848" s="3">
        <v>0</v>
      </c>
      <c r="E1848" s="3">
        <f>C1848 - D1848</f>
        <v>1</v>
      </c>
    </row>
    <row r="1849" spans="2:5" x14ac:dyDescent="0.35">
      <c r="B1849" s="38">
        <v>38349</v>
      </c>
      <c r="C1849" s="3">
        <v>1</v>
      </c>
      <c r="D1849" s="3">
        <v>1</v>
      </c>
      <c r="E1849" s="3">
        <f>C1849 - D1849</f>
        <v>0</v>
      </c>
    </row>
    <row r="1850" spans="2:5" x14ac:dyDescent="0.35">
      <c r="B1850" s="38">
        <v>38350</v>
      </c>
      <c r="C1850" s="3">
        <v>1</v>
      </c>
      <c r="D1850" s="3">
        <v>1</v>
      </c>
      <c r="E1850" s="3">
        <f>C1850 - D1850</f>
        <v>0</v>
      </c>
    </row>
    <row r="1851" spans="2:5" x14ac:dyDescent="0.35">
      <c r="B1851" s="38">
        <v>38351</v>
      </c>
      <c r="C1851" s="3">
        <v>0</v>
      </c>
      <c r="D1851" s="3">
        <v>1</v>
      </c>
      <c r="E1851" s="3">
        <f>C1851 - D1851</f>
        <v>-1</v>
      </c>
    </row>
    <row r="1852" spans="2:5" x14ac:dyDescent="0.35">
      <c r="B1852" s="38">
        <v>38352</v>
      </c>
      <c r="C1852" s="3">
        <v>0</v>
      </c>
      <c r="D1852" s="3">
        <v>0</v>
      </c>
      <c r="E1852" s="3">
        <f>C1852 - D1852</f>
        <v>0</v>
      </c>
    </row>
    <row r="1853" spans="2:5" x14ac:dyDescent="0.35">
      <c r="B1853" s="38">
        <v>38353</v>
      </c>
      <c r="C1853" s="3">
        <v>0</v>
      </c>
      <c r="D1853" s="3">
        <v>0</v>
      </c>
      <c r="E1853" s="3">
        <f>C1853 - D1853</f>
        <v>0</v>
      </c>
    </row>
    <row r="1854" spans="2:5" x14ac:dyDescent="0.35">
      <c r="B1854" s="38">
        <v>38354</v>
      </c>
      <c r="C1854" s="3">
        <v>0</v>
      </c>
      <c r="D1854" s="3">
        <v>0</v>
      </c>
      <c r="E1854" s="3">
        <f>C1854 - D1854</f>
        <v>0</v>
      </c>
    </row>
    <row r="1855" spans="2:5" x14ac:dyDescent="0.35">
      <c r="B1855" s="38">
        <v>38355</v>
      </c>
      <c r="C1855" s="3">
        <v>0</v>
      </c>
      <c r="D1855" s="3">
        <v>0</v>
      </c>
      <c r="E1855" s="3">
        <f>C1855 - D1855</f>
        <v>0</v>
      </c>
    </row>
    <row r="1856" spans="2:5" x14ac:dyDescent="0.35">
      <c r="B1856" s="38">
        <v>38356</v>
      </c>
      <c r="C1856" s="3">
        <v>1</v>
      </c>
      <c r="D1856" s="3">
        <v>0</v>
      </c>
      <c r="E1856" s="3">
        <f>C1856 - D1856</f>
        <v>1</v>
      </c>
    </row>
    <row r="1857" spans="2:5" x14ac:dyDescent="0.35">
      <c r="B1857" s="38">
        <v>38357</v>
      </c>
      <c r="C1857" s="3">
        <v>1</v>
      </c>
      <c r="D1857" s="3">
        <v>1</v>
      </c>
      <c r="E1857" s="3">
        <f>C1857 - D1857</f>
        <v>0</v>
      </c>
    </row>
    <row r="1858" spans="2:5" x14ac:dyDescent="0.35">
      <c r="B1858" s="38">
        <v>38358</v>
      </c>
      <c r="C1858" s="3">
        <v>1</v>
      </c>
      <c r="D1858" s="3">
        <v>1</v>
      </c>
      <c r="E1858" s="3">
        <f>C1858 - D1858</f>
        <v>0</v>
      </c>
    </row>
    <row r="1859" spans="2:5" x14ac:dyDescent="0.35">
      <c r="B1859" s="38">
        <v>38359</v>
      </c>
      <c r="C1859" s="3">
        <v>0</v>
      </c>
      <c r="D1859" s="3">
        <v>1</v>
      </c>
      <c r="E1859" s="3">
        <f>C1859 - D1859</f>
        <v>-1</v>
      </c>
    </row>
    <row r="1860" spans="2:5" x14ac:dyDescent="0.35">
      <c r="B1860" s="38">
        <v>38360</v>
      </c>
      <c r="C1860" s="3">
        <v>1</v>
      </c>
      <c r="D1860" s="3">
        <v>0</v>
      </c>
      <c r="E1860" s="3">
        <f>C1860 - D1860</f>
        <v>1</v>
      </c>
    </row>
    <row r="1861" spans="2:5" x14ac:dyDescent="0.35">
      <c r="B1861" s="38">
        <v>38361</v>
      </c>
      <c r="C1861" s="3">
        <v>1</v>
      </c>
      <c r="D1861" s="3">
        <v>1</v>
      </c>
      <c r="E1861" s="3">
        <f>C1861 - D1861</f>
        <v>0</v>
      </c>
    </row>
    <row r="1862" spans="2:5" x14ac:dyDescent="0.35">
      <c r="B1862" s="38">
        <v>38362</v>
      </c>
      <c r="C1862" s="3">
        <v>0</v>
      </c>
      <c r="D1862" s="3">
        <v>1</v>
      </c>
      <c r="E1862" s="3">
        <f>C1862 - D1862</f>
        <v>-1</v>
      </c>
    </row>
    <row r="1863" spans="2:5" x14ac:dyDescent="0.35">
      <c r="B1863" s="38">
        <v>38363</v>
      </c>
      <c r="C1863" s="3">
        <v>0</v>
      </c>
      <c r="D1863" s="3">
        <v>0</v>
      </c>
      <c r="E1863" s="3">
        <f>C1863 - D1863</f>
        <v>0</v>
      </c>
    </row>
    <row r="1864" spans="2:5" x14ac:dyDescent="0.35">
      <c r="B1864" s="38">
        <v>38364</v>
      </c>
      <c r="C1864" s="3">
        <v>0</v>
      </c>
      <c r="D1864" s="3">
        <v>0</v>
      </c>
      <c r="E1864" s="3">
        <f>C1864 - D1864</f>
        <v>0</v>
      </c>
    </row>
    <row r="1865" spans="2:5" x14ac:dyDescent="0.35">
      <c r="B1865" s="38">
        <v>38365</v>
      </c>
      <c r="C1865" s="3">
        <v>0</v>
      </c>
      <c r="D1865" s="3">
        <v>0</v>
      </c>
      <c r="E1865" s="3">
        <f>C1865 - D1865</f>
        <v>0</v>
      </c>
    </row>
    <row r="1866" spans="2:5" x14ac:dyDescent="0.35">
      <c r="B1866" s="38">
        <v>38366</v>
      </c>
      <c r="C1866" s="3">
        <v>0</v>
      </c>
      <c r="D1866" s="3">
        <v>0</v>
      </c>
      <c r="E1866" s="3">
        <f>C1866 - D1866</f>
        <v>0</v>
      </c>
    </row>
    <row r="1867" spans="2:5" x14ac:dyDescent="0.35">
      <c r="B1867" s="38">
        <v>38367</v>
      </c>
      <c r="C1867" s="3">
        <v>1</v>
      </c>
      <c r="D1867" s="3">
        <v>0</v>
      </c>
      <c r="E1867" s="3">
        <f>C1867 - D1867</f>
        <v>1</v>
      </c>
    </row>
    <row r="1868" spans="2:5" x14ac:dyDescent="0.35">
      <c r="B1868" s="38">
        <v>38368</v>
      </c>
      <c r="C1868" s="3">
        <v>1</v>
      </c>
      <c r="D1868" s="3">
        <v>1</v>
      </c>
      <c r="E1868" s="3">
        <f>C1868 - D1868</f>
        <v>0</v>
      </c>
    </row>
    <row r="1869" spans="2:5" x14ac:dyDescent="0.35">
      <c r="B1869" s="38">
        <v>38369</v>
      </c>
      <c r="C1869" s="3">
        <v>0</v>
      </c>
      <c r="D1869" s="3">
        <v>1</v>
      </c>
      <c r="E1869" s="3">
        <f>C1869 - D1869</f>
        <v>-1</v>
      </c>
    </row>
    <row r="1870" spans="2:5" x14ac:dyDescent="0.35">
      <c r="B1870" s="38">
        <v>38370</v>
      </c>
      <c r="C1870" s="3">
        <v>0</v>
      </c>
      <c r="D1870" s="3">
        <v>0</v>
      </c>
      <c r="E1870" s="3">
        <f>C1870 - D1870</f>
        <v>0</v>
      </c>
    </row>
    <row r="1871" spans="2:5" x14ac:dyDescent="0.35">
      <c r="B1871" s="38">
        <v>38371</v>
      </c>
      <c r="C1871" s="3">
        <v>0</v>
      </c>
      <c r="D1871" s="3">
        <v>0</v>
      </c>
      <c r="E1871" s="3">
        <f>C1871 - D1871</f>
        <v>0</v>
      </c>
    </row>
    <row r="1872" spans="2:5" x14ac:dyDescent="0.35">
      <c r="B1872" s="38">
        <v>38372</v>
      </c>
      <c r="C1872" s="3">
        <v>0</v>
      </c>
      <c r="D1872" s="3">
        <v>0</v>
      </c>
      <c r="E1872" s="3">
        <f>C1872 - D1872</f>
        <v>0</v>
      </c>
    </row>
    <row r="1873" spans="2:5" x14ac:dyDescent="0.35">
      <c r="B1873" s="38">
        <v>38373</v>
      </c>
      <c r="C1873" s="3">
        <v>0</v>
      </c>
      <c r="D1873" s="3">
        <v>0</v>
      </c>
      <c r="E1873" s="3">
        <f>C1873 - D1873</f>
        <v>0</v>
      </c>
    </row>
    <row r="1874" spans="2:5" x14ac:dyDescent="0.35">
      <c r="B1874" s="38">
        <v>38374</v>
      </c>
      <c r="C1874" s="3">
        <v>0</v>
      </c>
      <c r="D1874" s="3">
        <v>0</v>
      </c>
      <c r="E1874" s="3">
        <f>C1874 - D1874</f>
        <v>0</v>
      </c>
    </row>
    <row r="1875" spans="2:5" x14ac:dyDescent="0.35">
      <c r="B1875" s="38">
        <v>38375</v>
      </c>
      <c r="C1875" s="3">
        <v>0</v>
      </c>
      <c r="D1875" s="3">
        <v>0</v>
      </c>
      <c r="E1875" s="3">
        <f>C1875 - D1875</f>
        <v>0</v>
      </c>
    </row>
    <row r="1876" spans="2:5" x14ac:dyDescent="0.35">
      <c r="B1876" s="38">
        <v>38376</v>
      </c>
      <c r="C1876" s="3">
        <v>0</v>
      </c>
      <c r="D1876" s="3">
        <v>0</v>
      </c>
      <c r="E1876" s="3">
        <f>C1876 - D1876</f>
        <v>0</v>
      </c>
    </row>
    <row r="1877" spans="2:5" x14ac:dyDescent="0.35">
      <c r="B1877" s="38">
        <v>38377</v>
      </c>
      <c r="C1877" s="3">
        <v>0</v>
      </c>
      <c r="D1877" s="3">
        <v>0</v>
      </c>
      <c r="E1877" s="3">
        <f>C1877 - D1877</f>
        <v>0</v>
      </c>
    </row>
    <row r="1878" spans="2:5" x14ac:dyDescent="0.35">
      <c r="B1878" s="38">
        <v>38378</v>
      </c>
      <c r="C1878" s="3">
        <v>0</v>
      </c>
      <c r="D1878" s="3">
        <v>0</v>
      </c>
      <c r="E1878" s="3">
        <f>C1878 - D1878</f>
        <v>0</v>
      </c>
    </row>
    <row r="1879" spans="2:5" x14ac:dyDescent="0.35">
      <c r="B1879" s="38">
        <v>38379</v>
      </c>
      <c r="C1879" s="3">
        <v>1</v>
      </c>
      <c r="D1879" s="3">
        <v>0</v>
      </c>
      <c r="E1879" s="3">
        <f>C1879 - D1879</f>
        <v>1</v>
      </c>
    </row>
    <row r="1880" spans="2:5" x14ac:dyDescent="0.35">
      <c r="B1880" s="38">
        <v>38380</v>
      </c>
      <c r="C1880" s="3">
        <v>0</v>
      </c>
      <c r="D1880" s="3">
        <v>1</v>
      </c>
      <c r="E1880" s="3">
        <f>C1880 - D1880</f>
        <v>-1</v>
      </c>
    </row>
    <row r="1881" spans="2:5" x14ac:dyDescent="0.35">
      <c r="B1881" s="38">
        <v>38381</v>
      </c>
      <c r="C1881" s="3">
        <v>1</v>
      </c>
      <c r="D1881" s="3">
        <v>0</v>
      </c>
      <c r="E1881" s="3">
        <f>C1881 - D1881</f>
        <v>1</v>
      </c>
    </row>
    <row r="1882" spans="2:5" x14ac:dyDescent="0.35">
      <c r="B1882" s="38">
        <v>38382</v>
      </c>
      <c r="C1882" s="3">
        <v>1</v>
      </c>
      <c r="D1882" s="3">
        <v>1</v>
      </c>
      <c r="E1882" s="3">
        <f>C1882 - D1882</f>
        <v>0</v>
      </c>
    </row>
    <row r="1883" spans="2:5" x14ac:dyDescent="0.35">
      <c r="B1883" s="38">
        <v>38383</v>
      </c>
      <c r="C1883" s="3">
        <v>0</v>
      </c>
      <c r="D1883" s="3">
        <v>1</v>
      </c>
      <c r="E1883" s="3">
        <f>C1883 - D1883</f>
        <v>-1</v>
      </c>
    </row>
    <row r="1884" spans="2:5" x14ac:dyDescent="0.35">
      <c r="B1884" s="38">
        <v>38384</v>
      </c>
      <c r="C1884" s="3">
        <v>0</v>
      </c>
      <c r="D1884" s="3">
        <v>0</v>
      </c>
      <c r="E1884" s="3">
        <f>C1884 - D1884</f>
        <v>0</v>
      </c>
    </row>
    <row r="1885" spans="2:5" x14ac:dyDescent="0.35">
      <c r="B1885" s="38">
        <v>38385</v>
      </c>
      <c r="C1885" s="3">
        <v>1</v>
      </c>
      <c r="D1885" s="3">
        <v>0</v>
      </c>
      <c r="E1885" s="3">
        <f>C1885 - D1885</f>
        <v>1</v>
      </c>
    </row>
    <row r="1886" spans="2:5" x14ac:dyDescent="0.35">
      <c r="B1886" s="38">
        <v>38386</v>
      </c>
      <c r="C1886" s="3">
        <v>1</v>
      </c>
      <c r="D1886" s="3">
        <v>1</v>
      </c>
      <c r="E1886" s="3">
        <f>C1886 - D1886</f>
        <v>0</v>
      </c>
    </row>
    <row r="1887" spans="2:5" x14ac:dyDescent="0.35">
      <c r="B1887" s="38">
        <v>38387</v>
      </c>
      <c r="C1887" s="3">
        <v>1</v>
      </c>
      <c r="D1887" s="3">
        <v>1</v>
      </c>
      <c r="E1887" s="3">
        <f>C1887 - D1887</f>
        <v>0</v>
      </c>
    </row>
    <row r="1888" spans="2:5" x14ac:dyDescent="0.35">
      <c r="B1888" s="38">
        <v>38388</v>
      </c>
      <c r="C1888" s="3">
        <v>0</v>
      </c>
      <c r="D1888" s="3">
        <v>1</v>
      </c>
      <c r="E1888" s="3">
        <f>C1888 - D1888</f>
        <v>-1</v>
      </c>
    </row>
    <row r="1889" spans="2:5" x14ac:dyDescent="0.35">
      <c r="B1889" s="38">
        <v>38389</v>
      </c>
      <c r="C1889" s="3">
        <v>0</v>
      </c>
      <c r="D1889" s="3">
        <v>0</v>
      </c>
      <c r="E1889" s="3">
        <f>C1889 - D1889</f>
        <v>0</v>
      </c>
    </row>
    <row r="1890" spans="2:5" x14ac:dyDescent="0.35">
      <c r="B1890" s="38">
        <v>38390</v>
      </c>
      <c r="C1890" s="3">
        <v>0</v>
      </c>
      <c r="D1890" s="3">
        <v>0</v>
      </c>
      <c r="E1890" s="3">
        <f>C1890 - D1890</f>
        <v>0</v>
      </c>
    </row>
    <row r="1891" spans="2:5" x14ac:dyDescent="0.35">
      <c r="B1891" s="38">
        <v>38391</v>
      </c>
      <c r="C1891" s="3">
        <v>1</v>
      </c>
      <c r="D1891" s="3">
        <v>0</v>
      </c>
      <c r="E1891" s="3">
        <f>C1891 - D1891</f>
        <v>1</v>
      </c>
    </row>
    <row r="1892" spans="2:5" x14ac:dyDescent="0.35">
      <c r="B1892" s="38">
        <v>38392</v>
      </c>
      <c r="C1892" s="3">
        <v>1</v>
      </c>
      <c r="D1892" s="3">
        <v>1</v>
      </c>
      <c r="E1892" s="3">
        <f>C1892 - D1892</f>
        <v>0</v>
      </c>
    </row>
    <row r="1893" spans="2:5" x14ac:dyDescent="0.35">
      <c r="B1893" s="38">
        <v>38393</v>
      </c>
      <c r="C1893" s="3">
        <v>0</v>
      </c>
      <c r="D1893" s="3">
        <v>1</v>
      </c>
      <c r="E1893" s="3">
        <f>C1893 - D1893</f>
        <v>-1</v>
      </c>
    </row>
    <row r="1894" spans="2:5" x14ac:dyDescent="0.35">
      <c r="B1894" s="38">
        <v>38394</v>
      </c>
      <c r="C1894" s="3">
        <v>0</v>
      </c>
      <c r="D1894" s="3">
        <v>0</v>
      </c>
      <c r="E1894" s="3">
        <f>C1894 - D1894</f>
        <v>0</v>
      </c>
    </row>
    <row r="1895" spans="2:5" x14ac:dyDescent="0.35">
      <c r="B1895" s="38">
        <v>38395</v>
      </c>
      <c r="C1895" s="3">
        <v>1</v>
      </c>
      <c r="D1895" s="3">
        <v>0</v>
      </c>
      <c r="E1895" s="3">
        <f>C1895 - D1895</f>
        <v>1</v>
      </c>
    </row>
    <row r="1896" spans="2:5" x14ac:dyDescent="0.35">
      <c r="B1896" s="38">
        <v>38396</v>
      </c>
      <c r="C1896" s="3">
        <v>0</v>
      </c>
      <c r="D1896" s="3">
        <v>1</v>
      </c>
      <c r="E1896" s="3">
        <f>C1896 - D1896</f>
        <v>-1</v>
      </c>
    </row>
    <row r="1897" spans="2:5" x14ac:dyDescent="0.35">
      <c r="B1897" s="38">
        <v>38397</v>
      </c>
      <c r="C1897" s="3">
        <v>0</v>
      </c>
      <c r="D1897" s="3">
        <v>0</v>
      </c>
      <c r="E1897" s="3">
        <f>C1897 - D1897</f>
        <v>0</v>
      </c>
    </row>
    <row r="1898" spans="2:5" x14ac:dyDescent="0.35">
      <c r="B1898" s="38">
        <v>38398</v>
      </c>
      <c r="C1898" s="3">
        <v>1</v>
      </c>
      <c r="D1898" s="3">
        <v>0</v>
      </c>
      <c r="E1898" s="3">
        <f>C1898 - D1898</f>
        <v>1</v>
      </c>
    </row>
    <row r="1899" spans="2:5" x14ac:dyDescent="0.35">
      <c r="B1899" s="38">
        <v>38399</v>
      </c>
      <c r="C1899" s="3">
        <v>1</v>
      </c>
      <c r="D1899" s="3">
        <v>1</v>
      </c>
      <c r="E1899" s="3">
        <f>C1899 - D1899</f>
        <v>0</v>
      </c>
    </row>
    <row r="1900" spans="2:5" x14ac:dyDescent="0.35">
      <c r="B1900" s="38">
        <v>38400</v>
      </c>
      <c r="C1900" s="3">
        <v>0</v>
      </c>
      <c r="D1900" s="3">
        <v>1</v>
      </c>
      <c r="E1900" s="3">
        <f>C1900 - D1900</f>
        <v>-1</v>
      </c>
    </row>
    <row r="1901" spans="2:5" x14ac:dyDescent="0.35">
      <c r="B1901" s="38">
        <v>38401</v>
      </c>
      <c r="C1901" s="3">
        <v>0</v>
      </c>
      <c r="D1901" s="3">
        <v>0</v>
      </c>
      <c r="E1901" s="3">
        <f>C1901 - D1901</f>
        <v>0</v>
      </c>
    </row>
    <row r="1902" spans="2:5" x14ac:dyDescent="0.35">
      <c r="B1902" s="38">
        <v>38402</v>
      </c>
      <c r="C1902" s="3">
        <v>0</v>
      </c>
      <c r="D1902" s="3">
        <v>0</v>
      </c>
      <c r="E1902" s="3">
        <f>C1902 - D1902</f>
        <v>0</v>
      </c>
    </row>
    <row r="1903" spans="2:5" x14ac:dyDescent="0.35">
      <c r="B1903" s="38">
        <v>38403</v>
      </c>
      <c r="C1903" s="3">
        <v>0</v>
      </c>
      <c r="D1903" s="3">
        <v>0</v>
      </c>
      <c r="E1903" s="3">
        <f>C1903 - D1903</f>
        <v>0</v>
      </c>
    </row>
    <row r="1904" spans="2:5" x14ac:dyDescent="0.35">
      <c r="B1904" s="38">
        <v>38404</v>
      </c>
      <c r="C1904" s="3">
        <v>0</v>
      </c>
      <c r="D1904" s="3">
        <v>0</v>
      </c>
      <c r="E1904" s="3">
        <f>C1904 - D1904</f>
        <v>0</v>
      </c>
    </row>
    <row r="1905" spans="2:5" x14ac:dyDescent="0.35">
      <c r="B1905" s="38">
        <v>38405</v>
      </c>
      <c r="C1905" s="3">
        <v>0</v>
      </c>
      <c r="D1905" s="3">
        <v>0</v>
      </c>
      <c r="E1905" s="3">
        <f>C1905 - D1905</f>
        <v>0</v>
      </c>
    </row>
    <row r="1906" spans="2:5" x14ac:dyDescent="0.35">
      <c r="B1906" s="38">
        <v>38406</v>
      </c>
      <c r="C1906" s="3">
        <v>0</v>
      </c>
      <c r="D1906" s="3">
        <v>0</v>
      </c>
      <c r="E1906" s="3">
        <f>C1906 - D1906</f>
        <v>0</v>
      </c>
    </row>
    <row r="1907" spans="2:5" x14ac:dyDescent="0.35">
      <c r="B1907" s="38">
        <v>38407</v>
      </c>
      <c r="C1907" s="3">
        <v>0</v>
      </c>
      <c r="D1907" s="3">
        <v>0</v>
      </c>
      <c r="E1907" s="3">
        <f>C1907 - D1907</f>
        <v>0</v>
      </c>
    </row>
    <row r="1908" spans="2:5" x14ac:dyDescent="0.35">
      <c r="B1908" s="38">
        <v>38408</v>
      </c>
      <c r="C1908" s="3">
        <v>0</v>
      </c>
      <c r="D1908" s="3">
        <v>0</v>
      </c>
      <c r="E1908" s="3">
        <f>C1908 - D1908</f>
        <v>0</v>
      </c>
    </row>
    <row r="1909" spans="2:5" x14ac:dyDescent="0.35">
      <c r="B1909" s="38">
        <v>38409</v>
      </c>
      <c r="C1909" s="3">
        <v>0</v>
      </c>
      <c r="D1909" s="3">
        <v>0</v>
      </c>
      <c r="E1909" s="3">
        <f>C1909 - D1909</f>
        <v>0</v>
      </c>
    </row>
    <row r="1910" spans="2:5" x14ac:dyDescent="0.35">
      <c r="B1910" s="38">
        <v>38410</v>
      </c>
      <c r="C1910" s="3">
        <v>0</v>
      </c>
      <c r="D1910" s="3">
        <v>0</v>
      </c>
      <c r="E1910" s="3">
        <f>C1910 - D1910</f>
        <v>0</v>
      </c>
    </row>
    <row r="1911" spans="2:5" x14ac:dyDescent="0.35">
      <c r="B1911" s="38">
        <v>38411</v>
      </c>
      <c r="C1911" s="3">
        <v>0</v>
      </c>
      <c r="D1911" s="3">
        <v>0</v>
      </c>
      <c r="E1911" s="3">
        <f>C1911 - D1911</f>
        <v>0</v>
      </c>
    </row>
    <row r="1912" spans="2:5" x14ac:dyDescent="0.35">
      <c r="B1912" s="38">
        <v>38412</v>
      </c>
      <c r="C1912" s="3">
        <v>0</v>
      </c>
      <c r="D1912" s="3">
        <v>0</v>
      </c>
      <c r="E1912" s="3">
        <f>C1912 - D1912</f>
        <v>0</v>
      </c>
    </row>
    <row r="1913" spans="2:5" x14ac:dyDescent="0.35">
      <c r="B1913" s="38">
        <v>38413</v>
      </c>
      <c r="C1913" s="3">
        <v>0</v>
      </c>
      <c r="D1913" s="3">
        <v>0</v>
      </c>
      <c r="E1913" s="3">
        <f>C1913 - D1913</f>
        <v>0</v>
      </c>
    </row>
    <row r="1914" spans="2:5" x14ac:dyDescent="0.35">
      <c r="B1914" s="38">
        <v>38414</v>
      </c>
      <c r="C1914" s="3">
        <v>0</v>
      </c>
      <c r="D1914" s="3">
        <v>0</v>
      </c>
      <c r="E1914" s="3">
        <f>C1914 - D1914</f>
        <v>0</v>
      </c>
    </row>
    <row r="1915" spans="2:5" x14ac:dyDescent="0.35">
      <c r="B1915" s="38">
        <v>38415</v>
      </c>
      <c r="C1915" s="3">
        <v>0</v>
      </c>
      <c r="D1915" s="3">
        <v>0</v>
      </c>
      <c r="E1915" s="3">
        <f>C1915 - D1915</f>
        <v>0</v>
      </c>
    </row>
    <row r="1916" spans="2:5" x14ac:dyDescent="0.35">
      <c r="B1916" s="38">
        <v>38416</v>
      </c>
      <c r="C1916" s="3">
        <v>1</v>
      </c>
      <c r="D1916" s="3">
        <v>0</v>
      </c>
      <c r="E1916" s="3">
        <f>C1916 - D1916</f>
        <v>1</v>
      </c>
    </row>
    <row r="1917" spans="2:5" x14ac:dyDescent="0.35">
      <c r="B1917" s="38">
        <v>38417</v>
      </c>
      <c r="C1917" s="3">
        <v>1</v>
      </c>
      <c r="D1917" s="3">
        <v>1</v>
      </c>
      <c r="E1917" s="3">
        <f>C1917 - D1917</f>
        <v>0</v>
      </c>
    </row>
    <row r="1918" spans="2:5" x14ac:dyDescent="0.35">
      <c r="B1918" s="38">
        <v>38418</v>
      </c>
      <c r="C1918" s="3">
        <v>1</v>
      </c>
      <c r="D1918" s="3">
        <v>1</v>
      </c>
      <c r="E1918" s="3">
        <f>C1918 - D1918</f>
        <v>0</v>
      </c>
    </row>
    <row r="1919" spans="2:5" x14ac:dyDescent="0.35">
      <c r="B1919" s="38">
        <v>38419</v>
      </c>
      <c r="C1919" s="3">
        <v>1</v>
      </c>
      <c r="D1919" s="3">
        <v>1</v>
      </c>
      <c r="E1919" s="3">
        <f>C1919 - D1919</f>
        <v>0</v>
      </c>
    </row>
    <row r="1920" spans="2:5" x14ac:dyDescent="0.35">
      <c r="B1920" s="38">
        <v>38420</v>
      </c>
      <c r="C1920" s="3">
        <v>0</v>
      </c>
      <c r="D1920" s="3">
        <v>1</v>
      </c>
      <c r="E1920" s="3">
        <f>C1920 - D1920</f>
        <v>-1</v>
      </c>
    </row>
    <row r="1921" spans="2:5" x14ac:dyDescent="0.35">
      <c r="B1921" s="38">
        <v>38421</v>
      </c>
      <c r="C1921" s="3">
        <v>1</v>
      </c>
      <c r="D1921" s="3">
        <v>0</v>
      </c>
      <c r="E1921" s="3">
        <f>C1921 - D1921</f>
        <v>1</v>
      </c>
    </row>
    <row r="1922" spans="2:5" x14ac:dyDescent="0.35">
      <c r="B1922" s="38">
        <v>38422</v>
      </c>
      <c r="C1922" s="3">
        <v>0</v>
      </c>
      <c r="D1922" s="3">
        <v>1</v>
      </c>
      <c r="E1922" s="3">
        <f>C1922 - D1922</f>
        <v>-1</v>
      </c>
    </row>
    <row r="1923" spans="2:5" x14ac:dyDescent="0.35">
      <c r="B1923" s="38">
        <v>38423</v>
      </c>
      <c r="C1923" s="3">
        <v>0</v>
      </c>
      <c r="D1923" s="3">
        <v>0</v>
      </c>
      <c r="E1923" s="3">
        <f>C1923 - D1923</f>
        <v>0</v>
      </c>
    </row>
    <row r="1924" spans="2:5" x14ac:dyDescent="0.35">
      <c r="B1924" s="38">
        <v>38424</v>
      </c>
      <c r="C1924" s="3">
        <v>0</v>
      </c>
      <c r="D1924" s="3">
        <v>0</v>
      </c>
      <c r="E1924" s="3">
        <f>C1924 - D1924</f>
        <v>0</v>
      </c>
    </row>
    <row r="1925" spans="2:5" x14ac:dyDescent="0.35">
      <c r="B1925" s="38">
        <v>38425</v>
      </c>
      <c r="C1925" s="3">
        <v>0</v>
      </c>
      <c r="D1925" s="3">
        <v>0</v>
      </c>
      <c r="E1925" s="3">
        <f>C1925 - D1925</f>
        <v>0</v>
      </c>
    </row>
    <row r="1926" spans="2:5" x14ac:dyDescent="0.35">
      <c r="B1926" s="38">
        <v>38426</v>
      </c>
      <c r="C1926" s="3">
        <v>0</v>
      </c>
      <c r="D1926" s="3">
        <v>0</v>
      </c>
      <c r="E1926" s="3">
        <f>C1926 - D1926</f>
        <v>0</v>
      </c>
    </row>
    <row r="1927" spans="2:5" x14ac:dyDescent="0.35">
      <c r="B1927" s="38">
        <v>38427</v>
      </c>
      <c r="C1927" s="3">
        <v>1</v>
      </c>
      <c r="D1927" s="3">
        <v>0</v>
      </c>
      <c r="E1927" s="3">
        <f>C1927 - D1927</f>
        <v>1</v>
      </c>
    </row>
    <row r="1928" spans="2:5" x14ac:dyDescent="0.35">
      <c r="B1928" s="38">
        <v>38428</v>
      </c>
      <c r="C1928" s="3">
        <v>0</v>
      </c>
      <c r="D1928" s="3">
        <v>1</v>
      </c>
      <c r="E1928" s="3">
        <f>C1928 - D1928</f>
        <v>-1</v>
      </c>
    </row>
    <row r="1929" spans="2:5" x14ac:dyDescent="0.35">
      <c r="B1929" s="38">
        <v>38429</v>
      </c>
      <c r="C1929" s="3">
        <v>0</v>
      </c>
      <c r="D1929" s="3">
        <v>0</v>
      </c>
      <c r="E1929" s="3">
        <f>C1929 - D1929</f>
        <v>0</v>
      </c>
    </row>
    <row r="1930" spans="2:5" x14ac:dyDescent="0.35">
      <c r="B1930" s="38">
        <v>38430</v>
      </c>
      <c r="C1930" s="3">
        <v>0</v>
      </c>
      <c r="D1930" s="3">
        <v>0</v>
      </c>
      <c r="E1930" s="3">
        <f>C1930 - D1930</f>
        <v>0</v>
      </c>
    </row>
    <row r="1931" spans="2:5" x14ac:dyDescent="0.35">
      <c r="B1931" s="38">
        <v>38431</v>
      </c>
      <c r="C1931" s="3">
        <v>0</v>
      </c>
      <c r="D1931" s="3">
        <v>0</v>
      </c>
      <c r="E1931" s="3">
        <f>C1931 - D1931</f>
        <v>0</v>
      </c>
    </row>
    <row r="1932" spans="2:5" x14ac:dyDescent="0.35">
      <c r="B1932" s="38">
        <v>38432</v>
      </c>
      <c r="C1932" s="3">
        <v>0</v>
      </c>
      <c r="D1932" s="3">
        <v>0</v>
      </c>
      <c r="E1932" s="3">
        <f>C1932 - D1932</f>
        <v>0</v>
      </c>
    </row>
    <row r="1933" spans="2:5" x14ac:dyDescent="0.35">
      <c r="B1933" s="38">
        <v>38433</v>
      </c>
      <c r="C1933" s="3">
        <v>0</v>
      </c>
      <c r="D1933" s="3">
        <v>0</v>
      </c>
      <c r="E1933" s="3">
        <f>C1933 - D1933</f>
        <v>0</v>
      </c>
    </row>
    <row r="1934" spans="2:5" x14ac:dyDescent="0.35">
      <c r="B1934" s="38">
        <v>38434</v>
      </c>
      <c r="C1934" s="3">
        <v>0</v>
      </c>
      <c r="D1934" s="3">
        <v>0</v>
      </c>
      <c r="E1934" s="3">
        <f>C1934 - D1934</f>
        <v>0</v>
      </c>
    </row>
    <row r="1935" spans="2:5" x14ac:dyDescent="0.35">
      <c r="B1935" s="38">
        <v>38435</v>
      </c>
      <c r="C1935" s="3">
        <v>0</v>
      </c>
      <c r="D1935" s="3">
        <v>0</v>
      </c>
      <c r="E1935" s="3">
        <f>C1935 - D1935</f>
        <v>0</v>
      </c>
    </row>
    <row r="1936" spans="2:5" x14ac:dyDescent="0.35">
      <c r="B1936" s="38">
        <v>38436</v>
      </c>
      <c r="C1936" s="3">
        <v>1</v>
      </c>
      <c r="D1936" s="3">
        <v>0</v>
      </c>
      <c r="E1936" s="3">
        <f>C1936 - D1936</f>
        <v>1</v>
      </c>
    </row>
    <row r="1937" spans="2:5" x14ac:dyDescent="0.35">
      <c r="B1937" s="38">
        <v>38437</v>
      </c>
      <c r="C1937" s="3">
        <v>0</v>
      </c>
      <c r="D1937" s="3">
        <v>1</v>
      </c>
      <c r="E1937" s="3">
        <f>C1937 - D1937</f>
        <v>-1</v>
      </c>
    </row>
    <row r="1938" spans="2:5" x14ac:dyDescent="0.35">
      <c r="B1938" s="38">
        <v>38438</v>
      </c>
      <c r="C1938" s="3">
        <v>0</v>
      </c>
      <c r="D1938" s="3">
        <v>0</v>
      </c>
      <c r="E1938" s="3">
        <f>C1938 - D1938</f>
        <v>0</v>
      </c>
    </row>
    <row r="1939" spans="2:5" x14ac:dyDescent="0.35">
      <c r="B1939" s="38">
        <v>38439</v>
      </c>
      <c r="C1939" s="3">
        <v>1</v>
      </c>
      <c r="D1939" s="3">
        <v>0</v>
      </c>
      <c r="E1939" s="3">
        <f>C1939 - D1939</f>
        <v>1</v>
      </c>
    </row>
    <row r="1940" spans="2:5" x14ac:dyDescent="0.35">
      <c r="B1940" s="38">
        <v>38440</v>
      </c>
      <c r="C1940" s="3">
        <v>0</v>
      </c>
      <c r="D1940" s="3">
        <v>1</v>
      </c>
      <c r="E1940" s="3">
        <f>C1940 - D1940</f>
        <v>-1</v>
      </c>
    </row>
    <row r="1941" spans="2:5" x14ac:dyDescent="0.35">
      <c r="B1941" s="38">
        <v>38441</v>
      </c>
      <c r="C1941" s="3">
        <v>0</v>
      </c>
      <c r="D1941" s="3">
        <v>0</v>
      </c>
      <c r="E1941" s="3">
        <f>C1941 - D1941</f>
        <v>0</v>
      </c>
    </row>
    <row r="1942" spans="2:5" x14ac:dyDescent="0.35">
      <c r="B1942" s="38">
        <v>38442</v>
      </c>
      <c r="C1942" s="3">
        <v>0</v>
      </c>
      <c r="D1942" s="3">
        <v>0</v>
      </c>
      <c r="E1942" s="3">
        <f>C1942 - D1942</f>
        <v>0</v>
      </c>
    </row>
    <row r="1943" spans="2:5" x14ac:dyDescent="0.35">
      <c r="B1943" s="38">
        <v>38443</v>
      </c>
      <c r="C1943" s="3">
        <v>0</v>
      </c>
      <c r="D1943" s="3">
        <v>0</v>
      </c>
      <c r="E1943" s="3">
        <f>C1943 - D1943</f>
        <v>0</v>
      </c>
    </row>
    <row r="1944" spans="2:5" x14ac:dyDescent="0.35">
      <c r="B1944" s="38">
        <v>38444</v>
      </c>
      <c r="C1944" s="3">
        <v>0</v>
      </c>
      <c r="D1944" s="3">
        <v>0</v>
      </c>
      <c r="E1944" s="3">
        <f>C1944 - D1944</f>
        <v>0</v>
      </c>
    </row>
    <row r="1945" spans="2:5" x14ac:dyDescent="0.35">
      <c r="B1945" s="38">
        <v>38445</v>
      </c>
      <c r="C1945" s="3">
        <v>1</v>
      </c>
      <c r="D1945" s="3">
        <v>0</v>
      </c>
      <c r="E1945" s="3">
        <f>C1945 - D1945</f>
        <v>1</v>
      </c>
    </row>
    <row r="1946" spans="2:5" x14ac:dyDescent="0.35">
      <c r="B1946" s="38">
        <v>38446</v>
      </c>
      <c r="C1946" s="3">
        <v>1</v>
      </c>
      <c r="D1946" s="3">
        <v>1</v>
      </c>
      <c r="E1946" s="3">
        <f>C1946 - D1946</f>
        <v>0</v>
      </c>
    </row>
    <row r="1947" spans="2:5" x14ac:dyDescent="0.35">
      <c r="B1947" s="38">
        <v>38447</v>
      </c>
      <c r="C1947" s="3">
        <v>0</v>
      </c>
      <c r="D1947" s="3">
        <v>1</v>
      </c>
      <c r="E1947" s="3">
        <f>C1947 - D1947</f>
        <v>-1</v>
      </c>
    </row>
    <row r="1948" spans="2:5" x14ac:dyDescent="0.35">
      <c r="B1948" s="38">
        <v>38448</v>
      </c>
      <c r="C1948" s="3">
        <v>0</v>
      </c>
      <c r="D1948" s="3">
        <v>0</v>
      </c>
      <c r="E1948" s="3">
        <f>C1948 - D1948</f>
        <v>0</v>
      </c>
    </row>
    <row r="1949" spans="2:5" x14ac:dyDescent="0.35">
      <c r="B1949" s="38">
        <v>38449</v>
      </c>
      <c r="C1949" s="3">
        <v>0</v>
      </c>
      <c r="D1949" s="3">
        <v>0</v>
      </c>
      <c r="E1949" s="3">
        <f>C1949 - D1949</f>
        <v>0</v>
      </c>
    </row>
    <row r="1950" spans="2:5" x14ac:dyDescent="0.35">
      <c r="B1950" s="38">
        <v>38450</v>
      </c>
      <c r="C1950" s="3">
        <v>0</v>
      </c>
      <c r="D1950" s="3">
        <v>0</v>
      </c>
      <c r="E1950" s="3">
        <f>C1950 - D1950</f>
        <v>0</v>
      </c>
    </row>
    <row r="1951" spans="2:5" x14ac:dyDescent="0.35">
      <c r="B1951" s="38">
        <v>38451</v>
      </c>
      <c r="C1951" s="3">
        <v>0</v>
      </c>
      <c r="D1951" s="3">
        <v>0</v>
      </c>
      <c r="E1951" s="3">
        <f>C1951 - D1951</f>
        <v>0</v>
      </c>
    </row>
    <row r="1952" spans="2:5" x14ac:dyDescent="0.35">
      <c r="B1952" s="38">
        <v>38452</v>
      </c>
      <c r="C1952" s="3">
        <v>0</v>
      </c>
      <c r="D1952" s="3">
        <v>0</v>
      </c>
      <c r="E1952" s="3">
        <f>C1952 - D1952</f>
        <v>0</v>
      </c>
    </row>
    <row r="1953" spans="2:5" x14ac:dyDescent="0.35">
      <c r="B1953" s="38">
        <v>38453</v>
      </c>
      <c r="C1953" s="3">
        <v>1</v>
      </c>
      <c r="D1953" s="3">
        <v>0</v>
      </c>
      <c r="E1953" s="3">
        <f>C1953 - D1953</f>
        <v>1</v>
      </c>
    </row>
    <row r="1954" spans="2:5" x14ac:dyDescent="0.35">
      <c r="B1954" s="38">
        <v>38454</v>
      </c>
      <c r="C1954" s="3">
        <v>0</v>
      </c>
      <c r="D1954" s="3">
        <v>1</v>
      </c>
      <c r="E1954" s="3">
        <f>C1954 - D1954</f>
        <v>-1</v>
      </c>
    </row>
    <row r="1955" spans="2:5" x14ac:dyDescent="0.35">
      <c r="B1955" s="38">
        <v>38455</v>
      </c>
      <c r="C1955" s="3">
        <v>0</v>
      </c>
      <c r="D1955" s="3">
        <v>0</v>
      </c>
      <c r="E1955" s="3">
        <f>C1955 - D1955</f>
        <v>0</v>
      </c>
    </row>
    <row r="1956" spans="2:5" x14ac:dyDescent="0.35">
      <c r="B1956" s="38">
        <v>38456</v>
      </c>
      <c r="C1956" s="3">
        <v>1</v>
      </c>
      <c r="D1956" s="3">
        <v>0</v>
      </c>
      <c r="E1956" s="3">
        <f>C1956 - D1956</f>
        <v>1</v>
      </c>
    </row>
    <row r="1957" spans="2:5" x14ac:dyDescent="0.35">
      <c r="B1957" s="38">
        <v>38457</v>
      </c>
      <c r="C1957" s="3">
        <v>1</v>
      </c>
      <c r="D1957" s="3">
        <v>1</v>
      </c>
      <c r="E1957" s="3">
        <f>C1957 - D1957</f>
        <v>0</v>
      </c>
    </row>
    <row r="1958" spans="2:5" x14ac:dyDescent="0.35">
      <c r="B1958" s="38">
        <v>38458</v>
      </c>
      <c r="C1958" s="3">
        <v>0</v>
      </c>
      <c r="D1958" s="3">
        <v>1</v>
      </c>
      <c r="E1958" s="3">
        <f>C1958 - D1958</f>
        <v>-1</v>
      </c>
    </row>
    <row r="1959" spans="2:5" x14ac:dyDescent="0.35">
      <c r="B1959" s="38">
        <v>38459</v>
      </c>
      <c r="C1959" s="3">
        <v>0</v>
      </c>
      <c r="D1959" s="3">
        <v>0</v>
      </c>
      <c r="E1959" s="3">
        <f>C1959 - D1959</f>
        <v>0</v>
      </c>
    </row>
    <row r="1960" spans="2:5" x14ac:dyDescent="0.35">
      <c r="B1960" s="38">
        <v>38460</v>
      </c>
      <c r="C1960" s="3">
        <v>0</v>
      </c>
      <c r="D1960" s="3">
        <v>0</v>
      </c>
      <c r="E1960" s="3">
        <f>C1960 - D1960</f>
        <v>0</v>
      </c>
    </row>
    <row r="1961" spans="2:5" x14ac:dyDescent="0.35">
      <c r="B1961" s="38">
        <v>38461</v>
      </c>
      <c r="C1961" s="3">
        <v>0</v>
      </c>
      <c r="D1961" s="3">
        <v>0</v>
      </c>
      <c r="E1961" s="3">
        <f>C1961 - D1961</f>
        <v>0</v>
      </c>
    </row>
    <row r="1962" spans="2:5" x14ac:dyDescent="0.35">
      <c r="B1962" s="38">
        <v>38462</v>
      </c>
      <c r="C1962" s="3">
        <v>0</v>
      </c>
      <c r="D1962" s="3">
        <v>0</v>
      </c>
      <c r="E1962" s="3">
        <f>C1962 - D1962</f>
        <v>0</v>
      </c>
    </row>
    <row r="1963" spans="2:5" x14ac:dyDescent="0.35">
      <c r="B1963" s="38">
        <v>38463</v>
      </c>
      <c r="C1963" s="3">
        <v>0</v>
      </c>
      <c r="D1963" s="3">
        <v>0</v>
      </c>
      <c r="E1963" s="3">
        <f>C1963 - D1963</f>
        <v>0</v>
      </c>
    </row>
    <row r="1964" spans="2:5" x14ac:dyDescent="0.35">
      <c r="B1964" s="38">
        <v>38464</v>
      </c>
      <c r="C1964" s="3">
        <v>0</v>
      </c>
      <c r="D1964" s="3">
        <v>0</v>
      </c>
      <c r="E1964" s="3">
        <f>C1964 - D1964</f>
        <v>0</v>
      </c>
    </row>
    <row r="1965" spans="2:5" x14ac:dyDescent="0.35">
      <c r="B1965" s="38">
        <v>38465</v>
      </c>
      <c r="C1965" s="3">
        <v>0</v>
      </c>
      <c r="D1965" s="3">
        <v>0</v>
      </c>
      <c r="E1965" s="3">
        <f>C1965 - D1965</f>
        <v>0</v>
      </c>
    </row>
    <row r="1966" spans="2:5" x14ac:dyDescent="0.35">
      <c r="B1966" s="38">
        <v>38466</v>
      </c>
      <c r="C1966" s="3">
        <v>0</v>
      </c>
      <c r="D1966" s="3">
        <v>0</v>
      </c>
      <c r="E1966" s="3">
        <f>C1966 - D1966</f>
        <v>0</v>
      </c>
    </row>
    <row r="1967" spans="2:5" x14ac:dyDescent="0.35">
      <c r="B1967" s="38">
        <v>38467</v>
      </c>
      <c r="C1967" s="3">
        <v>0</v>
      </c>
      <c r="D1967" s="3">
        <v>0</v>
      </c>
      <c r="E1967" s="3">
        <f>C1967 - D1967</f>
        <v>0</v>
      </c>
    </row>
    <row r="1968" spans="2:5" x14ac:dyDescent="0.35">
      <c r="B1968" s="38">
        <v>38468</v>
      </c>
      <c r="C1968" s="3">
        <v>0</v>
      </c>
      <c r="D1968" s="3">
        <v>0</v>
      </c>
      <c r="E1968" s="3">
        <f>C1968 - D1968</f>
        <v>0</v>
      </c>
    </row>
    <row r="1969" spans="2:5" x14ac:dyDescent="0.35">
      <c r="B1969" s="38">
        <v>38469</v>
      </c>
      <c r="C1969" s="3">
        <v>0</v>
      </c>
      <c r="D1969" s="3">
        <v>0</v>
      </c>
      <c r="E1969" s="3">
        <f>C1969 - D1969</f>
        <v>0</v>
      </c>
    </row>
    <row r="1970" spans="2:5" x14ac:dyDescent="0.35">
      <c r="B1970" s="38">
        <v>38470</v>
      </c>
      <c r="C1970" s="3">
        <v>0</v>
      </c>
      <c r="D1970" s="3">
        <v>0</v>
      </c>
      <c r="E1970" s="3">
        <f>C1970 - D1970</f>
        <v>0</v>
      </c>
    </row>
    <row r="1971" spans="2:5" x14ac:dyDescent="0.35">
      <c r="B1971" s="38">
        <v>38471</v>
      </c>
      <c r="C1971" s="3">
        <v>1</v>
      </c>
      <c r="D1971" s="3">
        <v>0</v>
      </c>
      <c r="E1971" s="3">
        <f>C1971 - D1971</f>
        <v>1</v>
      </c>
    </row>
    <row r="1972" spans="2:5" x14ac:dyDescent="0.35">
      <c r="B1972" s="38">
        <v>38472</v>
      </c>
      <c r="C1972" s="3">
        <v>0</v>
      </c>
      <c r="D1972" s="3">
        <v>1</v>
      </c>
      <c r="E1972" s="3">
        <f>C1972 - D1972</f>
        <v>-1</v>
      </c>
    </row>
    <row r="1973" spans="2:5" x14ac:dyDescent="0.35">
      <c r="B1973" s="38">
        <v>38473</v>
      </c>
      <c r="C1973" s="3">
        <v>1</v>
      </c>
      <c r="D1973" s="3">
        <v>0</v>
      </c>
      <c r="E1973" s="3">
        <f>C1973 - D1973</f>
        <v>1</v>
      </c>
    </row>
    <row r="1974" spans="2:5" x14ac:dyDescent="0.35">
      <c r="B1974" s="38">
        <v>38474</v>
      </c>
      <c r="C1974" s="3">
        <v>0</v>
      </c>
      <c r="D1974" s="3">
        <v>1</v>
      </c>
      <c r="E1974" s="3">
        <f>C1974 - D1974</f>
        <v>-1</v>
      </c>
    </row>
    <row r="1975" spans="2:5" x14ac:dyDescent="0.35">
      <c r="B1975" s="38">
        <v>38475</v>
      </c>
      <c r="C1975" s="3">
        <v>0</v>
      </c>
      <c r="D1975" s="3">
        <v>0</v>
      </c>
      <c r="E1975" s="3">
        <f>C1975 - D1975</f>
        <v>0</v>
      </c>
    </row>
    <row r="1976" spans="2:5" x14ac:dyDescent="0.35">
      <c r="B1976" s="38">
        <v>38476</v>
      </c>
      <c r="C1976" s="3">
        <v>0</v>
      </c>
      <c r="D1976" s="3">
        <v>0</v>
      </c>
      <c r="E1976" s="3">
        <f>C1976 - D1976</f>
        <v>0</v>
      </c>
    </row>
    <row r="1977" spans="2:5" x14ac:dyDescent="0.35">
      <c r="B1977" s="38">
        <v>38477</v>
      </c>
      <c r="C1977" s="3">
        <v>0</v>
      </c>
      <c r="D1977" s="3">
        <v>0</v>
      </c>
      <c r="E1977" s="3">
        <f>C1977 - D1977</f>
        <v>0</v>
      </c>
    </row>
    <row r="1978" spans="2:5" x14ac:dyDescent="0.35">
      <c r="B1978" s="38">
        <v>38478</v>
      </c>
      <c r="C1978" s="3">
        <v>1</v>
      </c>
      <c r="D1978" s="3">
        <v>0</v>
      </c>
      <c r="E1978" s="3">
        <f>C1978 - D1978</f>
        <v>1</v>
      </c>
    </row>
    <row r="1979" spans="2:5" x14ac:dyDescent="0.35">
      <c r="B1979" s="38">
        <v>38479</v>
      </c>
      <c r="C1979" s="3">
        <v>0</v>
      </c>
      <c r="D1979" s="3">
        <v>1</v>
      </c>
      <c r="E1979" s="3">
        <f>C1979 - D1979</f>
        <v>-1</v>
      </c>
    </row>
    <row r="1980" spans="2:5" x14ac:dyDescent="0.35">
      <c r="B1980" s="38">
        <v>38480</v>
      </c>
      <c r="C1980" s="3">
        <v>0</v>
      </c>
      <c r="D1980" s="3">
        <v>0</v>
      </c>
      <c r="E1980" s="3">
        <f>C1980 - D1980</f>
        <v>0</v>
      </c>
    </row>
    <row r="1981" spans="2:5" x14ac:dyDescent="0.35">
      <c r="B1981" s="38">
        <v>38481</v>
      </c>
      <c r="C1981" s="3">
        <v>0</v>
      </c>
      <c r="D1981" s="3">
        <v>0</v>
      </c>
      <c r="E1981" s="3">
        <f>C1981 - D1981</f>
        <v>0</v>
      </c>
    </row>
    <row r="1982" spans="2:5" x14ac:dyDescent="0.35">
      <c r="B1982" s="38">
        <v>38482</v>
      </c>
      <c r="C1982" s="3">
        <v>0</v>
      </c>
      <c r="D1982" s="3">
        <v>0</v>
      </c>
      <c r="E1982" s="3">
        <f>C1982 - D1982</f>
        <v>0</v>
      </c>
    </row>
    <row r="1983" spans="2:5" x14ac:dyDescent="0.35">
      <c r="B1983" s="38">
        <v>38483</v>
      </c>
      <c r="C1983" s="3">
        <v>0</v>
      </c>
      <c r="D1983" s="3">
        <v>0</v>
      </c>
      <c r="E1983" s="3">
        <f>C1983 - D1983</f>
        <v>0</v>
      </c>
    </row>
    <row r="1984" spans="2:5" x14ac:dyDescent="0.35">
      <c r="B1984" s="38">
        <v>38484</v>
      </c>
      <c r="C1984" s="3">
        <v>1</v>
      </c>
      <c r="D1984" s="3">
        <v>0</v>
      </c>
      <c r="E1984" s="3">
        <f>C1984 - D1984</f>
        <v>1</v>
      </c>
    </row>
    <row r="1985" spans="2:5" x14ac:dyDescent="0.35">
      <c r="B1985" s="38">
        <v>38485</v>
      </c>
      <c r="C1985" s="3">
        <v>0</v>
      </c>
      <c r="D1985" s="3">
        <v>1</v>
      </c>
      <c r="E1985" s="3">
        <f>C1985 - D1985</f>
        <v>-1</v>
      </c>
    </row>
    <row r="1986" spans="2:5" x14ac:dyDescent="0.35">
      <c r="B1986" s="38">
        <v>38486</v>
      </c>
      <c r="C1986" s="3">
        <v>0</v>
      </c>
      <c r="D1986" s="3">
        <v>0</v>
      </c>
      <c r="E1986" s="3">
        <f>C1986 - D1986</f>
        <v>0</v>
      </c>
    </row>
    <row r="1987" spans="2:5" x14ac:dyDescent="0.35">
      <c r="B1987" s="38">
        <v>38487</v>
      </c>
      <c r="C1987" s="3">
        <v>0</v>
      </c>
      <c r="D1987" s="3">
        <v>0</v>
      </c>
      <c r="E1987" s="3">
        <f>C1987 - D1987</f>
        <v>0</v>
      </c>
    </row>
    <row r="1988" spans="2:5" x14ac:dyDescent="0.35">
      <c r="B1988" s="38">
        <v>38488</v>
      </c>
      <c r="C1988" s="3">
        <v>0</v>
      </c>
      <c r="D1988" s="3">
        <v>0</v>
      </c>
      <c r="E1988" s="3">
        <f>C1988 - D1988</f>
        <v>0</v>
      </c>
    </row>
    <row r="1989" spans="2:5" x14ac:dyDescent="0.35">
      <c r="B1989" s="38">
        <v>38489</v>
      </c>
      <c r="C1989" s="3">
        <v>0</v>
      </c>
      <c r="D1989" s="3">
        <v>0</v>
      </c>
      <c r="E1989" s="3">
        <f>C1989 - D1989</f>
        <v>0</v>
      </c>
    </row>
    <row r="1990" spans="2:5" x14ac:dyDescent="0.35">
      <c r="B1990" s="38">
        <v>38490</v>
      </c>
      <c r="C1990" s="3">
        <v>0</v>
      </c>
      <c r="D1990" s="3">
        <v>0</v>
      </c>
      <c r="E1990" s="3">
        <f>C1990 - D1990</f>
        <v>0</v>
      </c>
    </row>
    <row r="1991" spans="2:5" x14ac:dyDescent="0.35">
      <c r="B1991" s="38">
        <v>38491</v>
      </c>
      <c r="C1991" s="3">
        <v>0</v>
      </c>
      <c r="D1991" s="3">
        <v>0</v>
      </c>
      <c r="E1991" s="3">
        <f>C1991 - D1991</f>
        <v>0</v>
      </c>
    </row>
    <row r="1992" spans="2:5" x14ac:dyDescent="0.35">
      <c r="B1992" s="38">
        <v>38492</v>
      </c>
      <c r="C1992" s="3">
        <v>0</v>
      </c>
      <c r="D1992" s="3">
        <v>0</v>
      </c>
      <c r="E1992" s="3">
        <f>C1992 - D1992</f>
        <v>0</v>
      </c>
    </row>
    <row r="1993" spans="2:5" x14ac:dyDescent="0.35">
      <c r="B1993" s="38">
        <v>38493</v>
      </c>
      <c r="C1993" s="3">
        <v>0</v>
      </c>
      <c r="D1993" s="3">
        <v>0</v>
      </c>
      <c r="E1993" s="3">
        <f>C1993 - D1993</f>
        <v>0</v>
      </c>
    </row>
    <row r="1994" spans="2:5" x14ac:dyDescent="0.35">
      <c r="B1994" s="38">
        <v>38494</v>
      </c>
      <c r="C1994" s="3">
        <v>0</v>
      </c>
      <c r="D1994" s="3">
        <v>0</v>
      </c>
      <c r="E1994" s="3">
        <f>C1994 - D1994</f>
        <v>0</v>
      </c>
    </row>
    <row r="1995" spans="2:5" x14ac:dyDescent="0.35">
      <c r="B1995" s="38">
        <v>38495</v>
      </c>
      <c r="C1995" s="3">
        <v>0</v>
      </c>
      <c r="D1995" s="3">
        <v>0</v>
      </c>
      <c r="E1995" s="3">
        <f>C1995 - D1995</f>
        <v>0</v>
      </c>
    </row>
    <row r="1996" spans="2:5" x14ac:dyDescent="0.35">
      <c r="B1996" s="38">
        <v>38496</v>
      </c>
      <c r="C1996" s="3">
        <v>1</v>
      </c>
      <c r="D1996" s="3">
        <v>0</v>
      </c>
      <c r="E1996" s="3">
        <f>C1996 - D1996</f>
        <v>1</v>
      </c>
    </row>
    <row r="1997" spans="2:5" x14ac:dyDescent="0.35">
      <c r="B1997" s="38">
        <v>38497</v>
      </c>
      <c r="C1997" s="3">
        <v>1</v>
      </c>
      <c r="D1997" s="3">
        <v>1</v>
      </c>
      <c r="E1997" s="3">
        <f>C1997 - D1997</f>
        <v>0</v>
      </c>
    </row>
    <row r="1998" spans="2:5" x14ac:dyDescent="0.35">
      <c r="B1998" s="38">
        <v>38498</v>
      </c>
      <c r="C1998" s="3">
        <v>1</v>
      </c>
      <c r="D1998" s="3">
        <v>1</v>
      </c>
      <c r="E1998" s="3">
        <f>C1998 - D1998</f>
        <v>0</v>
      </c>
    </row>
    <row r="1999" spans="2:5" x14ac:dyDescent="0.35">
      <c r="B1999" s="38">
        <v>38499</v>
      </c>
      <c r="C1999" s="3">
        <v>1</v>
      </c>
      <c r="D1999" s="3">
        <v>1</v>
      </c>
      <c r="E1999" s="3">
        <f>C1999 - D1999</f>
        <v>0</v>
      </c>
    </row>
    <row r="2000" spans="2:5" x14ac:dyDescent="0.35">
      <c r="B2000" s="38">
        <v>38500</v>
      </c>
      <c r="C2000" s="3">
        <v>1</v>
      </c>
      <c r="D2000" s="3">
        <v>1</v>
      </c>
      <c r="E2000" s="3">
        <f>C2000 - D2000</f>
        <v>0</v>
      </c>
    </row>
    <row r="2001" spans="2:5" x14ac:dyDescent="0.35">
      <c r="B2001" s="38">
        <v>38501</v>
      </c>
      <c r="C2001" s="3">
        <v>1</v>
      </c>
      <c r="D2001" s="3">
        <v>1</v>
      </c>
      <c r="E2001" s="3">
        <f>C2001 - D2001</f>
        <v>0</v>
      </c>
    </row>
    <row r="2002" spans="2:5" x14ac:dyDescent="0.35">
      <c r="B2002" s="38">
        <v>38502</v>
      </c>
      <c r="C2002" s="3">
        <v>0</v>
      </c>
      <c r="D2002" s="3">
        <v>1</v>
      </c>
      <c r="E2002" s="3">
        <f>C2002 - D2002</f>
        <v>-1</v>
      </c>
    </row>
    <row r="2003" spans="2:5" x14ac:dyDescent="0.35">
      <c r="B2003" s="38">
        <v>38503</v>
      </c>
      <c r="C2003" s="3">
        <v>0</v>
      </c>
      <c r="D2003" s="3">
        <v>0</v>
      </c>
      <c r="E2003" s="3">
        <f>C2003 - D2003</f>
        <v>0</v>
      </c>
    </row>
    <row r="2004" spans="2:5" x14ac:dyDescent="0.35">
      <c r="B2004" s="38">
        <v>38504</v>
      </c>
      <c r="C2004" s="3">
        <v>1</v>
      </c>
      <c r="D2004" s="3">
        <v>0</v>
      </c>
      <c r="E2004" s="3">
        <f>C2004 - D2004</f>
        <v>1</v>
      </c>
    </row>
    <row r="2005" spans="2:5" x14ac:dyDescent="0.35">
      <c r="B2005" s="38">
        <v>38505</v>
      </c>
      <c r="C2005" s="3">
        <v>0</v>
      </c>
      <c r="D2005" s="3">
        <v>1</v>
      </c>
      <c r="E2005" s="3">
        <f>C2005 - D2005</f>
        <v>-1</v>
      </c>
    </row>
    <row r="2006" spans="2:5" x14ac:dyDescent="0.35">
      <c r="B2006" s="38">
        <v>38506</v>
      </c>
      <c r="C2006" s="3">
        <v>0</v>
      </c>
      <c r="D2006" s="3">
        <v>0</v>
      </c>
      <c r="E2006" s="3">
        <f>C2006 - D2006</f>
        <v>0</v>
      </c>
    </row>
    <row r="2007" spans="2:5" x14ac:dyDescent="0.35">
      <c r="B2007" s="38">
        <v>38507</v>
      </c>
      <c r="C2007" s="3">
        <v>0</v>
      </c>
      <c r="D2007" s="3">
        <v>0</v>
      </c>
      <c r="E2007" s="3">
        <f>C2007 - D2007</f>
        <v>0</v>
      </c>
    </row>
    <row r="2008" spans="2:5" x14ac:dyDescent="0.35">
      <c r="B2008" s="38">
        <v>38508</v>
      </c>
      <c r="C2008" s="3">
        <v>0</v>
      </c>
      <c r="D2008" s="3">
        <v>0</v>
      </c>
      <c r="E2008" s="3">
        <f>C2008 - D2008</f>
        <v>0</v>
      </c>
    </row>
    <row r="2009" spans="2:5" x14ac:dyDescent="0.35">
      <c r="B2009" s="38">
        <v>38509</v>
      </c>
      <c r="C2009" s="3">
        <v>0</v>
      </c>
      <c r="D2009" s="3">
        <v>0</v>
      </c>
      <c r="E2009" s="3">
        <f>C2009 - D2009</f>
        <v>0</v>
      </c>
    </row>
    <row r="2010" spans="2:5" x14ac:dyDescent="0.35">
      <c r="B2010" s="38">
        <v>38510</v>
      </c>
      <c r="C2010" s="3">
        <v>0</v>
      </c>
      <c r="D2010" s="3">
        <v>0</v>
      </c>
      <c r="E2010" s="3">
        <f>C2010 - D2010</f>
        <v>0</v>
      </c>
    </row>
    <row r="2011" spans="2:5" x14ac:dyDescent="0.35">
      <c r="B2011" s="38">
        <v>38511</v>
      </c>
      <c r="C2011" s="3">
        <v>0</v>
      </c>
      <c r="D2011" s="3">
        <v>0</v>
      </c>
      <c r="E2011" s="3">
        <f>C2011 - D2011</f>
        <v>0</v>
      </c>
    </row>
    <row r="2012" spans="2:5" x14ac:dyDescent="0.35">
      <c r="B2012" s="38">
        <v>38512</v>
      </c>
      <c r="C2012" s="3">
        <v>1</v>
      </c>
      <c r="D2012" s="3">
        <v>0</v>
      </c>
      <c r="E2012" s="3">
        <f>C2012 - D2012</f>
        <v>1</v>
      </c>
    </row>
    <row r="2013" spans="2:5" x14ac:dyDescent="0.35">
      <c r="B2013" s="38">
        <v>38513</v>
      </c>
      <c r="C2013" s="3">
        <v>1</v>
      </c>
      <c r="D2013" s="3">
        <v>1</v>
      </c>
      <c r="E2013" s="3">
        <f>C2013 - D2013</f>
        <v>0</v>
      </c>
    </row>
    <row r="2014" spans="2:5" x14ac:dyDescent="0.35">
      <c r="B2014" s="38">
        <v>38514</v>
      </c>
      <c r="C2014" s="3">
        <v>1</v>
      </c>
      <c r="D2014" s="3">
        <v>1</v>
      </c>
      <c r="E2014" s="3">
        <f>C2014 - D2014</f>
        <v>0</v>
      </c>
    </row>
    <row r="2015" spans="2:5" x14ac:dyDescent="0.35">
      <c r="B2015" s="38">
        <v>38515</v>
      </c>
      <c r="C2015" s="3">
        <v>1</v>
      </c>
      <c r="D2015" s="3">
        <v>1</v>
      </c>
      <c r="E2015" s="3">
        <f>C2015 - D2015</f>
        <v>0</v>
      </c>
    </row>
    <row r="2016" spans="2:5" x14ac:dyDescent="0.35">
      <c r="B2016" s="38">
        <v>38516</v>
      </c>
      <c r="C2016" s="3">
        <v>0</v>
      </c>
      <c r="D2016" s="3">
        <v>1</v>
      </c>
      <c r="E2016" s="3">
        <f>C2016 - D2016</f>
        <v>-1</v>
      </c>
    </row>
    <row r="2017" spans="2:5" x14ac:dyDescent="0.35">
      <c r="B2017" s="38">
        <v>38517</v>
      </c>
      <c r="C2017" s="3">
        <v>1</v>
      </c>
      <c r="D2017" s="3">
        <v>0</v>
      </c>
      <c r="E2017" s="3">
        <f>C2017 - D2017</f>
        <v>1</v>
      </c>
    </row>
    <row r="2018" spans="2:5" x14ac:dyDescent="0.35">
      <c r="B2018" s="38">
        <v>38518</v>
      </c>
      <c r="C2018" s="3">
        <v>0</v>
      </c>
      <c r="D2018" s="3">
        <v>1</v>
      </c>
      <c r="E2018" s="3">
        <f>C2018 - D2018</f>
        <v>-1</v>
      </c>
    </row>
    <row r="2019" spans="2:5" x14ac:dyDescent="0.35">
      <c r="B2019" s="38">
        <v>38519</v>
      </c>
      <c r="C2019" s="3">
        <v>1</v>
      </c>
      <c r="D2019" s="3">
        <v>0</v>
      </c>
      <c r="E2019" s="3">
        <f>C2019 - D2019</f>
        <v>1</v>
      </c>
    </row>
    <row r="2020" spans="2:5" x14ac:dyDescent="0.35">
      <c r="B2020" s="38">
        <v>38520</v>
      </c>
      <c r="C2020" s="3">
        <v>1</v>
      </c>
      <c r="D2020" s="3">
        <v>1</v>
      </c>
      <c r="E2020" s="3">
        <f>C2020 - D2020</f>
        <v>0</v>
      </c>
    </row>
    <row r="2021" spans="2:5" x14ac:dyDescent="0.35">
      <c r="B2021" s="38">
        <v>38521</v>
      </c>
      <c r="C2021" s="3">
        <v>0</v>
      </c>
      <c r="D2021" s="3">
        <v>1</v>
      </c>
      <c r="E2021" s="3">
        <f>C2021 - D2021</f>
        <v>-1</v>
      </c>
    </row>
    <row r="2022" spans="2:5" x14ac:dyDescent="0.35">
      <c r="B2022" s="38">
        <v>38522</v>
      </c>
      <c r="C2022" s="3">
        <v>1</v>
      </c>
      <c r="D2022" s="3">
        <v>0</v>
      </c>
      <c r="E2022" s="3">
        <f>C2022 - D2022</f>
        <v>1</v>
      </c>
    </row>
    <row r="2023" spans="2:5" x14ac:dyDescent="0.35">
      <c r="B2023" s="38">
        <v>38523</v>
      </c>
      <c r="C2023" s="3">
        <v>1</v>
      </c>
      <c r="D2023" s="3">
        <v>1</v>
      </c>
      <c r="E2023" s="3">
        <f>C2023 - D2023</f>
        <v>0</v>
      </c>
    </row>
    <row r="2024" spans="2:5" x14ac:dyDescent="0.35">
      <c r="B2024" s="38">
        <v>38524</v>
      </c>
      <c r="C2024" s="3">
        <v>1</v>
      </c>
      <c r="D2024" s="3">
        <v>1</v>
      </c>
      <c r="E2024" s="3">
        <f>C2024 - D2024</f>
        <v>0</v>
      </c>
    </row>
    <row r="2025" spans="2:5" x14ac:dyDescent="0.35">
      <c r="B2025" s="38">
        <v>38525</v>
      </c>
      <c r="C2025" s="3">
        <v>1</v>
      </c>
      <c r="D2025" s="3">
        <v>1</v>
      </c>
      <c r="E2025" s="3">
        <f>C2025 - D2025</f>
        <v>0</v>
      </c>
    </row>
    <row r="2026" spans="2:5" x14ac:dyDescent="0.35">
      <c r="B2026" s="38">
        <v>38526</v>
      </c>
      <c r="C2026" s="3">
        <v>1</v>
      </c>
      <c r="D2026" s="3">
        <v>1</v>
      </c>
      <c r="E2026" s="3">
        <f>C2026 - D2026</f>
        <v>0</v>
      </c>
    </row>
    <row r="2027" spans="2:5" x14ac:dyDescent="0.35">
      <c r="B2027" s="38">
        <v>38527</v>
      </c>
      <c r="C2027" s="3">
        <v>0</v>
      </c>
      <c r="D2027" s="3">
        <v>1</v>
      </c>
      <c r="E2027" s="3">
        <f>C2027 - D2027</f>
        <v>-1</v>
      </c>
    </row>
    <row r="2028" spans="2:5" x14ac:dyDescent="0.35">
      <c r="B2028" s="38">
        <v>38528</v>
      </c>
      <c r="C2028" s="3">
        <v>0</v>
      </c>
      <c r="D2028" s="3">
        <v>0</v>
      </c>
      <c r="E2028" s="3">
        <f>C2028 - D2028</f>
        <v>0</v>
      </c>
    </row>
    <row r="2029" spans="2:5" x14ac:dyDescent="0.35">
      <c r="B2029" s="38">
        <v>38529</v>
      </c>
      <c r="C2029" s="3">
        <v>0</v>
      </c>
      <c r="D2029" s="3">
        <v>0</v>
      </c>
      <c r="E2029" s="3">
        <f>C2029 - D2029</f>
        <v>0</v>
      </c>
    </row>
    <row r="2030" spans="2:5" x14ac:dyDescent="0.35">
      <c r="B2030" s="38">
        <v>38530</v>
      </c>
      <c r="C2030" s="3">
        <v>0</v>
      </c>
      <c r="D2030" s="3">
        <v>0</v>
      </c>
      <c r="E2030" s="3">
        <f>C2030 - D2030</f>
        <v>0</v>
      </c>
    </row>
    <row r="2031" spans="2:5" x14ac:dyDescent="0.35">
      <c r="B2031" s="38">
        <v>38531</v>
      </c>
      <c r="C2031" s="3">
        <v>0</v>
      </c>
      <c r="D2031" s="3">
        <v>0</v>
      </c>
      <c r="E2031" s="3">
        <f>C2031 - D2031</f>
        <v>0</v>
      </c>
    </row>
    <row r="2032" spans="2:5" x14ac:dyDescent="0.35">
      <c r="B2032" s="38">
        <v>38532</v>
      </c>
      <c r="C2032" s="3">
        <v>0</v>
      </c>
      <c r="D2032" s="3">
        <v>0</v>
      </c>
      <c r="E2032" s="3">
        <f>C2032 - D2032</f>
        <v>0</v>
      </c>
    </row>
    <row r="2033" spans="2:5" x14ac:dyDescent="0.35">
      <c r="B2033" s="38">
        <v>38533</v>
      </c>
      <c r="C2033" s="3">
        <v>0</v>
      </c>
      <c r="D2033" s="3">
        <v>0</v>
      </c>
      <c r="E2033" s="3">
        <f>C2033 - D2033</f>
        <v>0</v>
      </c>
    </row>
    <row r="2034" spans="2:5" x14ac:dyDescent="0.35">
      <c r="B2034" s="38">
        <v>38534</v>
      </c>
      <c r="C2034" s="3">
        <v>1</v>
      </c>
      <c r="D2034" s="3">
        <v>0</v>
      </c>
      <c r="E2034" s="3">
        <f>C2034 - D2034</f>
        <v>1</v>
      </c>
    </row>
    <row r="2035" spans="2:5" x14ac:dyDescent="0.35">
      <c r="B2035" s="38">
        <v>38535</v>
      </c>
      <c r="C2035" s="3">
        <v>1</v>
      </c>
      <c r="D2035" s="3">
        <v>1</v>
      </c>
      <c r="E2035" s="3">
        <f>C2035 - D2035</f>
        <v>0</v>
      </c>
    </row>
    <row r="2036" spans="2:5" x14ac:dyDescent="0.35">
      <c r="B2036" s="38">
        <v>38536</v>
      </c>
      <c r="C2036" s="3">
        <v>1</v>
      </c>
      <c r="D2036" s="3">
        <v>1</v>
      </c>
      <c r="E2036" s="3">
        <f>C2036 - D2036</f>
        <v>0</v>
      </c>
    </row>
    <row r="2037" spans="2:5" x14ac:dyDescent="0.35">
      <c r="B2037" s="38">
        <v>38537</v>
      </c>
      <c r="C2037" s="3">
        <v>0</v>
      </c>
      <c r="D2037" s="3">
        <v>1</v>
      </c>
      <c r="E2037" s="3">
        <f>C2037 - D2037</f>
        <v>-1</v>
      </c>
    </row>
    <row r="2038" spans="2:5" x14ac:dyDescent="0.35">
      <c r="B2038" s="38">
        <v>38538</v>
      </c>
      <c r="C2038" s="3">
        <v>0</v>
      </c>
      <c r="D2038" s="3">
        <v>0</v>
      </c>
      <c r="E2038" s="3">
        <f>C2038 - D2038</f>
        <v>0</v>
      </c>
    </row>
    <row r="2039" spans="2:5" x14ac:dyDescent="0.35">
      <c r="B2039" s="38">
        <v>38539</v>
      </c>
      <c r="C2039" s="3">
        <v>0</v>
      </c>
      <c r="D2039" s="3">
        <v>0</v>
      </c>
      <c r="E2039" s="3">
        <f>C2039 - D2039</f>
        <v>0</v>
      </c>
    </row>
    <row r="2040" spans="2:5" x14ac:dyDescent="0.35">
      <c r="B2040" s="38">
        <v>38540</v>
      </c>
      <c r="C2040" s="3">
        <v>0</v>
      </c>
      <c r="D2040" s="3">
        <v>0</v>
      </c>
      <c r="E2040" s="3">
        <f>C2040 - D2040</f>
        <v>0</v>
      </c>
    </row>
    <row r="2041" spans="2:5" x14ac:dyDescent="0.35">
      <c r="B2041" s="38">
        <v>38541</v>
      </c>
      <c r="C2041" s="3">
        <v>0</v>
      </c>
      <c r="D2041" s="3">
        <v>0</v>
      </c>
      <c r="E2041" s="3">
        <f>C2041 - D2041</f>
        <v>0</v>
      </c>
    </row>
    <row r="2042" spans="2:5" x14ac:dyDescent="0.35">
      <c r="B2042" s="38">
        <v>38542</v>
      </c>
      <c r="C2042" s="3">
        <v>1</v>
      </c>
      <c r="D2042" s="3">
        <v>0</v>
      </c>
      <c r="E2042" s="3">
        <f>C2042 - D2042</f>
        <v>1</v>
      </c>
    </row>
    <row r="2043" spans="2:5" x14ac:dyDescent="0.35">
      <c r="B2043" s="38">
        <v>38543</v>
      </c>
      <c r="C2043" s="3">
        <v>1</v>
      </c>
      <c r="D2043" s="3">
        <v>1</v>
      </c>
      <c r="E2043" s="3">
        <f>C2043 - D2043</f>
        <v>0</v>
      </c>
    </row>
    <row r="2044" spans="2:5" x14ac:dyDescent="0.35">
      <c r="B2044" s="38">
        <v>38544</v>
      </c>
      <c r="C2044" s="3">
        <v>1</v>
      </c>
      <c r="D2044" s="3">
        <v>1</v>
      </c>
      <c r="E2044" s="3">
        <f>C2044 - D2044</f>
        <v>0</v>
      </c>
    </row>
    <row r="2045" spans="2:5" x14ac:dyDescent="0.35">
      <c r="B2045" s="38">
        <v>38545</v>
      </c>
      <c r="C2045" s="3">
        <v>0</v>
      </c>
      <c r="D2045" s="3">
        <v>1</v>
      </c>
      <c r="E2045" s="3">
        <f>C2045 - D2045</f>
        <v>-1</v>
      </c>
    </row>
    <row r="2046" spans="2:5" x14ac:dyDescent="0.35">
      <c r="B2046" s="38">
        <v>38546</v>
      </c>
      <c r="C2046" s="3">
        <v>1</v>
      </c>
      <c r="D2046" s="3">
        <v>0</v>
      </c>
      <c r="E2046" s="3">
        <f>C2046 - D2046</f>
        <v>1</v>
      </c>
    </row>
    <row r="2047" spans="2:5" x14ac:dyDescent="0.35">
      <c r="B2047" s="38">
        <v>38547</v>
      </c>
      <c r="C2047" s="3">
        <v>1</v>
      </c>
      <c r="D2047" s="3">
        <v>1</v>
      </c>
      <c r="E2047" s="3">
        <f>C2047 - D2047</f>
        <v>0</v>
      </c>
    </row>
    <row r="2048" spans="2:5" x14ac:dyDescent="0.35">
      <c r="B2048" s="38">
        <v>38548</v>
      </c>
      <c r="C2048" s="3">
        <v>1</v>
      </c>
      <c r="D2048" s="3">
        <v>1</v>
      </c>
      <c r="E2048" s="3">
        <f>C2048 - D2048</f>
        <v>0</v>
      </c>
    </row>
    <row r="2049" spans="2:5" x14ac:dyDescent="0.35">
      <c r="B2049" s="38">
        <v>38549</v>
      </c>
      <c r="C2049" s="3">
        <v>0</v>
      </c>
      <c r="D2049" s="3">
        <v>1</v>
      </c>
      <c r="E2049" s="3">
        <f>C2049 - D2049</f>
        <v>-1</v>
      </c>
    </row>
    <row r="2050" spans="2:5" x14ac:dyDescent="0.35">
      <c r="B2050" s="38">
        <v>38550</v>
      </c>
      <c r="C2050" s="3">
        <v>1</v>
      </c>
      <c r="D2050" s="3">
        <v>0</v>
      </c>
      <c r="E2050" s="3">
        <f>C2050 - D2050</f>
        <v>1</v>
      </c>
    </row>
    <row r="2051" spans="2:5" x14ac:dyDescent="0.35">
      <c r="B2051" s="38">
        <v>38551</v>
      </c>
      <c r="C2051" s="3">
        <v>0</v>
      </c>
      <c r="D2051" s="3">
        <v>1</v>
      </c>
      <c r="E2051" s="3">
        <f>C2051 - D2051</f>
        <v>-1</v>
      </c>
    </row>
    <row r="2052" spans="2:5" x14ac:dyDescent="0.35">
      <c r="B2052" s="38">
        <v>38552</v>
      </c>
      <c r="C2052" s="3">
        <v>0</v>
      </c>
      <c r="D2052" s="3">
        <v>0</v>
      </c>
      <c r="E2052" s="3">
        <f>C2052 - D2052</f>
        <v>0</v>
      </c>
    </row>
    <row r="2053" spans="2:5" x14ac:dyDescent="0.35">
      <c r="B2053" s="38">
        <v>38553</v>
      </c>
      <c r="C2053" s="3">
        <v>0</v>
      </c>
      <c r="D2053" s="3">
        <v>0</v>
      </c>
      <c r="E2053" s="3">
        <f>C2053 - D2053</f>
        <v>0</v>
      </c>
    </row>
    <row r="2054" spans="2:5" x14ac:dyDescent="0.35">
      <c r="B2054" s="38">
        <v>38554</v>
      </c>
      <c r="C2054" s="3">
        <v>0</v>
      </c>
      <c r="D2054" s="3">
        <v>0</v>
      </c>
      <c r="E2054" s="3">
        <f>C2054 - D2054</f>
        <v>0</v>
      </c>
    </row>
    <row r="2055" spans="2:5" x14ac:dyDescent="0.35">
      <c r="B2055" s="38">
        <v>38555</v>
      </c>
      <c r="C2055" s="3">
        <v>0</v>
      </c>
      <c r="D2055" s="3">
        <v>0</v>
      </c>
      <c r="E2055" s="3">
        <f>C2055 - D2055</f>
        <v>0</v>
      </c>
    </row>
    <row r="2056" spans="2:5" x14ac:dyDescent="0.35">
      <c r="B2056" s="38">
        <v>38556</v>
      </c>
      <c r="C2056" s="3">
        <v>0</v>
      </c>
      <c r="D2056" s="3">
        <v>0</v>
      </c>
      <c r="E2056" s="3">
        <f>C2056 - D2056</f>
        <v>0</v>
      </c>
    </row>
    <row r="2057" spans="2:5" x14ac:dyDescent="0.35">
      <c r="B2057" s="38">
        <v>38557</v>
      </c>
      <c r="C2057" s="3">
        <v>0</v>
      </c>
      <c r="D2057" s="3">
        <v>0</v>
      </c>
      <c r="E2057" s="3">
        <f>C2057 - D2057</f>
        <v>0</v>
      </c>
    </row>
    <row r="2058" spans="2:5" x14ac:dyDescent="0.35">
      <c r="B2058" s="38">
        <v>38558</v>
      </c>
      <c r="C2058" s="3">
        <v>1</v>
      </c>
      <c r="D2058" s="3">
        <v>0</v>
      </c>
      <c r="E2058" s="3">
        <f>C2058 - D2058</f>
        <v>1</v>
      </c>
    </row>
    <row r="2059" spans="2:5" x14ac:dyDescent="0.35">
      <c r="B2059" s="38">
        <v>38559</v>
      </c>
      <c r="C2059" s="3">
        <v>1</v>
      </c>
      <c r="D2059" s="3">
        <v>1</v>
      </c>
      <c r="E2059" s="3">
        <f>C2059 - D2059</f>
        <v>0</v>
      </c>
    </row>
    <row r="2060" spans="2:5" x14ac:dyDescent="0.35">
      <c r="B2060" s="38">
        <v>38560</v>
      </c>
      <c r="C2060" s="3">
        <v>1</v>
      </c>
      <c r="D2060" s="3">
        <v>1</v>
      </c>
      <c r="E2060" s="3">
        <f>C2060 - D2060</f>
        <v>0</v>
      </c>
    </row>
    <row r="2061" spans="2:5" x14ac:dyDescent="0.35">
      <c r="B2061" s="38">
        <v>38561</v>
      </c>
      <c r="C2061" s="3">
        <v>0</v>
      </c>
      <c r="D2061" s="3">
        <v>1</v>
      </c>
      <c r="E2061" s="3">
        <f>C2061 - D2061</f>
        <v>-1</v>
      </c>
    </row>
    <row r="2062" spans="2:5" x14ac:dyDescent="0.35">
      <c r="B2062" s="38">
        <v>38562</v>
      </c>
      <c r="C2062" s="3">
        <v>0</v>
      </c>
      <c r="D2062" s="3">
        <v>0</v>
      </c>
      <c r="E2062" s="3">
        <f>C2062 - D2062</f>
        <v>0</v>
      </c>
    </row>
    <row r="2063" spans="2:5" x14ac:dyDescent="0.35">
      <c r="B2063" s="38">
        <v>38563</v>
      </c>
      <c r="C2063" s="3">
        <v>0</v>
      </c>
      <c r="D2063" s="3">
        <v>0</v>
      </c>
      <c r="E2063" s="3">
        <f>C2063 - D2063</f>
        <v>0</v>
      </c>
    </row>
    <row r="2064" spans="2:5" x14ac:dyDescent="0.35">
      <c r="B2064" s="38">
        <v>38564</v>
      </c>
      <c r="C2064" s="3">
        <v>0</v>
      </c>
      <c r="D2064" s="3">
        <v>0</v>
      </c>
      <c r="E2064" s="3">
        <f>C2064 - D2064</f>
        <v>0</v>
      </c>
    </row>
    <row r="2065" spans="2:5" x14ac:dyDescent="0.35">
      <c r="B2065" s="38">
        <v>38565</v>
      </c>
      <c r="C2065" s="3">
        <v>0</v>
      </c>
      <c r="D2065" s="3">
        <v>0</v>
      </c>
      <c r="E2065" s="3">
        <f>C2065 - D2065</f>
        <v>0</v>
      </c>
    </row>
    <row r="2066" spans="2:5" x14ac:dyDescent="0.35">
      <c r="B2066" s="38">
        <v>38566</v>
      </c>
      <c r="C2066" s="3">
        <v>0</v>
      </c>
      <c r="D2066" s="3">
        <v>0</v>
      </c>
      <c r="E2066" s="3">
        <f>C2066 - D2066</f>
        <v>0</v>
      </c>
    </row>
    <row r="2067" spans="2:5" x14ac:dyDescent="0.35">
      <c r="B2067" s="38">
        <v>38567</v>
      </c>
      <c r="C2067" s="3">
        <v>0</v>
      </c>
      <c r="D2067" s="3">
        <v>0</v>
      </c>
      <c r="E2067" s="3">
        <f>C2067 - D2067</f>
        <v>0</v>
      </c>
    </row>
    <row r="2068" spans="2:5" x14ac:dyDescent="0.35">
      <c r="B2068" s="38">
        <v>38568</v>
      </c>
      <c r="C2068" s="3">
        <v>1</v>
      </c>
      <c r="D2068" s="3">
        <v>0</v>
      </c>
      <c r="E2068" s="3">
        <f>C2068 - D2068</f>
        <v>1</v>
      </c>
    </row>
    <row r="2069" spans="2:5" x14ac:dyDescent="0.35">
      <c r="B2069" s="38">
        <v>38569</v>
      </c>
      <c r="C2069" s="3">
        <v>1</v>
      </c>
      <c r="D2069" s="3">
        <v>1</v>
      </c>
      <c r="E2069" s="3">
        <f>C2069 - D2069</f>
        <v>0</v>
      </c>
    </row>
    <row r="2070" spans="2:5" x14ac:dyDescent="0.35">
      <c r="B2070" s="38">
        <v>38570</v>
      </c>
      <c r="C2070" s="3">
        <v>0</v>
      </c>
      <c r="D2070" s="3">
        <v>1</v>
      </c>
      <c r="E2070" s="3">
        <f>C2070 - D2070</f>
        <v>-1</v>
      </c>
    </row>
    <row r="2071" spans="2:5" x14ac:dyDescent="0.35">
      <c r="B2071" s="38">
        <v>38571</v>
      </c>
      <c r="C2071" s="3">
        <v>0</v>
      </c>
      <c r="D2071" s="3">
        <v>0</v>
      </c>
      <c r="E2071" s="3">
        <f>C2071 - D2071</f>
        <v>0</v>
      </c>
    </row>
    <row r="2072" spans="2:5" x14ac:dyDescent="0.35">
      <c r="B2072" s="38">
        <v>38572</v>
      </c>
      <c r="C2072" s="3">
        <v>1</v>
      </c>
      <c r="D2072" s="3">
        <v>0</v>
      </c>
      <c r="E2072" s="3">
        <f>C2072 - D2072</f>
        <v>1</v>
      </c>
    </row>
    <row r="2073" spans="2:5" x14ac:dyDescent="0.35">
      <c r="B2073" s="38">
        <v>38573</v>
      </c>
      <c r="C2073" s="3">
        <v>0</v>
      </c>
      <c r="D2073" s="3">
        <v>1</v>
      </c>
      <c r="E2073" s="3">
        <f>C2073 - D2073</f>
        <v>-1</v>
      </c>
    </row>
    <row r="2074" spans="2:5" x14ac:dyDescent="0.35">
      <c r="B2074" s="38">
        <v>38574</v>
      </c>
      <c r="C2074" s="3">
        <v>1</v>
      </c>
      <c r="D2074" s="3">
        <v>0</v>
      </c>
      <c r="E2074" s="3">
        <f>C2074 - D2074</f>
        <v>1</v>
      </c>
    </row>
    <row r="2075" spans="2:5" x14ac:dyDescent="0.35">
      <c r="B2075" s="38">
        <v>38575</v>
      </c>
      <c r="C2075" s="3">
        <v>0</v>
      </c>
      <c r="D2075" s="3">
        <v>1</v>
      </c>
      <c r="E2075" s="3">
        <f>C2075 - D2075</f>
        <v>-1</v>
      </c>
    </row>
    <row r="2076" spans="2:5" x14ac:dyDescent="0.35">
      <c r="B2076" s="38">
        <v>38576</v>
      </c>
      <c r="C2076" s="3">
        <v>1</v>
      </c>
      <c r="D2076" s="3">
        <v>0</v>
      </c>
      <c r="E2076" s="3">
        <f>C2076 - D2076</f>
        <v>1</v>
      </c>
    </row>
    <row r="2077" spans="2:5" x14ac:dyDescent="0.35">
      <c r="B2077" s="38">
        <v>38577</v>
      </c>
      <c r="C2077" s="3">
        <v>1</v>
      </c>
      <c r="D2077" s="3">
        <v>1</v>
      </c>
      <c r="E2077" s="3">
        <f>C2077 - D2077</f>
        <v>0</v>
      </c>
    </row>
    <row r="2078" spans="2:5" x14ac:dyDescent="0.35">
      <c r="B2078" s="38">
        <v>38578</v>
      </c>
      <c r="C2078" s="3">
        <v>0</v>
      </c>
      <c r="D2078" s="3">
        <v>1</v>
      </c>
      <c r="E2078" s="3">
        <f>C2078 - D2078</f>
        <v>-1</v>
      </c>
    </row>
    <row r="2079" spans="2:5" x14ac:dyDescent="0.35">
      <c r="B2079" s="38">
        <v>38579</v>
      </c>
      <c r="C2079" s="3">
        <v>1</v>
      </c>
      <c r="D2079" s="3">
        <v>0</v>
      </c>
      <c r="E2079" s="3">
        <f>C2079 - D2079</f>
        <v>1</v>
      </c>
    </row>
    <row r="2080" spans="2:5" x14ac:dyDescent="0.35">
      <c r="B2080" s="38">
        <v>38580</v>
      </c>
      <c r="C2080" s="3">
        <v>1</v>
      </c>
      <c r="D2080" s="3">
        <v>1</v>
      </c>
      <c r="E2080" s="3">
        <f>C2080 - D2080</f>
        <v>0</v>
      </c>
    </row>
    <row r="2081" spans="2:5" x14ac:dyDescent="0.35">
      <c r="B2081" s="38">
        <v>38581</v>
      </c>
      <c r="C2081" s="3">
        <v>0</v>
      </c>
      <c r="D2081" s="3">
        <v>1</v>
      </c>
      <c r="E2081" s="3">
        <f>C2081 - D2081</f>
        <v>-1</v>
      </c>
    </row>
    <row r="2082" spans="2:5" x14ac:dyDescent="0.35">
      <c r="B2082" s="38">
        <v>38582</v>
      </c>
      <c r="C2082" s="3">
        <v>0</v>
      </c>
      <c r="D2082" s="3">
        <v>0</v>
      </c>
      <c r="E2082" s="3">
        <f>C2082 - D2082</f>
        <v>0</v>
      </c>
    </row>
    <row r="2083" spans="2:5" x14ac:dyDescent="0.35">
      <c r="B2083" s="38">
        <v>38583</v>
      </c>
      <c r="C2083" s="3">
        <v>0</v>
      </c>
      <c r="D2083" s="3">
        <v>0</v>
      </c>
      <c r="E2083" s="3">
        <f>C2083 - D2083</f>
        <v>0</v>
      </c>
    </row>
    <row r="2084" spans="2:5" x14ac:dyDescent="0.35">
      <c r="B2084" s="38">
        <v>38584</v>
      </c>
      <c r="C2084" s="3">
        <v>1</v>
      </c>
      <c r="D2084" s="3">
        <v>0</v>
      </c>
      <c r="E2084" s="3">
        <f>C2084 - D2084</f>
        <v>1</v>
      </c>
    </row>
    <row r="2085" spans="2:5" x14ac:dyDescent="0.35">
      <c r="B2085" s="38">
        <v>38585</v>
      </c>
      <c r="C2085" s="3">
        <v>1</v>
      </c>
      <c r="D2085" s="3">
        <v>1</v>
      </c>
      <c r="E2085" s="3">
        <f>C2085 - D2085</f>
        <v>0</v>
      </c>
    </row>
    <row r="2086" spans="2:5" x14ac:dyDescent="0.35">
      <c r="B2086" s="38">
        <v>38586</v>
      </c>
      <c r="C2086" s="3">
        <v>1</v>
      </c>
      <c r="D2086" s="3">
        <v>1</v>
      </c>
      <c r="E2086" s="3">
        <f>C2086 - D2086</f>
        <v>0</v>
      </c>
    </row>
    <row r="2087" spans="2:5" x14ac:dyDescent="0.35">
      <c r="B2087" s="38">
        <v>38587</v>
      </c>
      <c r="C2087" s="3">
        <v>1</v>
      </c>
      <c r="D2087" s="3">
        <v>1</v>
      </c>
      <c r="E2087" s="3">
        <f>C2087 - D2087</f>
        <v>0</v>
      </c>
    </row>
    <row r="2088" spans="2:5" x14ac:dyDescent="0.35">
      <c r="B2088" s="38">
        <v>38588</v>
      </c>
      <c r="C2088" s="3">
        <v>1</v>
      </c>
      <c r="D2088" s="3">
        <v>1</v>
      </c>
      <c r="E2088" s="3">
        <f>C2088 - D2088</f>
        <v>0</v>
      </c>
    </row>
    <row r="2089" spans="2:5" x14ac:dyDescent="0.35">
      <c r="B2089" s="38">
        <v>38589</v>
      </c>
      <c r="C2089" s="3">
        <v>0</v>
      </c>
      <c r="D2089" s="3">
        <v>1</v>
      </c>
      <c r="E2089" s="3">
        <f>C2089 - D2089</f>
        <v>-1</v>
      </c>
    </row>
    <row r="2090" spans="2:5" x14ac:dyDescent="0.35">
      <c r="B2090" s="38">
        <v>38590</v>
      </c>
      <c r="C2090" s="3">
        <v>0</v>
      </c>
      <c r="D2090" s="3">
        <v>0</v>
      </c>
      <c r="E2090" s="3">
        <f>C2090 - D2090</f>
        <v>0</v>
      </c>
    </row>
    <row r="2091" spans="2:5" x14ac:dyDescent="0.35">
      <c r="B2091" s="38">
        <v>38591</v>
      </c>
      <c r="C2091" s="3">
        <v>0</v>
      </c>
      <c r="D2091" s="3">
        <v>0</v>
      </c>
      <c r="E2091" s="3">
        <f>C2091 - D2091</f>
        <v>0</v>
      </c>
    </row>
    <row r="2092" spans="2:5" x14ac:dyDescent="0.35">
      <c r="B2092" s="38">
        <v>38592</v>
      </c>
      <c r="C2092" s="3">
        <v>0</v>
      </c>
      <c r="D2092" s="3">
        <v>0</v>
      </c>
      <c r="E2092" s="3">
        <f>C2092 - D2092</f>
        <v>0</v>
      </c>
    </row>
    <row r="2093" spans="2:5" x14ac:dyDescent="0.35">
      <c r="B2093" s="38">
        <v>38593</v>
      </c>
      <c r="C2093" s="3">
        <v>0</v>
      </c>
      <c r="D2093" s="3">
        <v>0</v>
      </c>
      <c r="E2093" s="3">
        <f>C2093 - D2093</f>
        <v>0</v>
      </c>
    </row>
    <row r="2094" spans="2:5" x14ac:dyDescent="0.35">
      <c r="B2094" s="38">
        <v>38594</v>
      </c>
      <c r="C2094" s="3">
        <v>1</v>
      </c>
      <c r="D2094" s="3">
        <v>0</v>
      </c>
      <c r="E2094" s="3">
        <f>C2094 - D2094</f>
        <v>1</v>
      </c>
    </row>
    <row r="2095" spans="2:5" x14ac:dyDescent="0.35">
      <c r="B2095" s="38">
        <v>38595</v>
      </c>
      <c r="C2095" s="3">
        <v>1</v>
      </c>
      <c r="D2095" s="3">
        <v>1</v>
      </c>
      <c r="E2095" s="3">
        <f>C2095 - D2095</f>
        <v>0</v>
      </c>
    </row>
    <row r="2096" spans="2:5" x14ac:dyDescent="0.35">
      <c r="B2096" s="38">
        <v>38596</v>
      </c>
      <c r="C2096" s="3">
        <v>0</v>
      </c>
      <c r="D2096" s="3">
        <v>1</v>
      </c>
      <c r="E2096" s="3">
        <f>C2096 - D2096</f>
        <v>-1</v>
      </c>
    </row>
    <row r="2097" spans="2:5" x14ac:dyDescent="0.35">
      <c r="B2097" s="38">
        <v>38597</v>
      </c>
      <c r="C2097" s="3">
        <v>0</v>
      </c>
      <c r="D2097" s="3">
        <v>0</v>
      </c>
      <c r="E2097" s="3">
        <f>C2097 - D2097</f>
        <v>0</v>
      </c>
    </row>
    <row r="2098" spans="2:5" x14ac:dyDescent="0.35">
      <c r="B2098" s="38">
        <v>38598</v>
      </c>
      <c r="C2098" s="3">
        <v>0</v>
      </c>
      <c r="D2098" s="3">
        <v>0</v>
      </c>
      <c r="E2098" s="3">
        <f>C2098 - D2098</f>
        <v>0</v>
      </c>
    </row>
    <row r="2099" spans="2:5" x14ac:dyDescent="0.35">
      <c r="B2099" s="38">
        <v>38599</v>
      </c>
      <c r="C2099" s="3">
        <v>0</v>
      </c>
      <c r="D2099" s="3">
        <v>0</v>
      </c>
      <c r="E2099" s="3">
        <f>C2099 - D2099</f>
        <v>0</v>
      </c>
    </row>
    <row r="2100" spans="2:5" x14ac:dyDescent="0.35">
      <c r="B2100" s="38">
        <v>38600</v>
      </c>
      <c r="C2100" s="3">
        <v>0</v>
      </c>
      <c r="D2100" s="3">
        <v>0</v>
      </c>
      <c r="E2100" s="3">
        <f>C2100 - D2100</f>
        <v>0</v>
      </c>
    </row>
    <row r="2101" spans="2:5" x14ac:dyDescent="0.35">
      <c r="B2101" s="38">
        <v>38601</v>
      </c>
      <c r="C2101" s="3">
        <v>0</v>
      </c>
      <c r="D2101" s="3">
        <v>0</v>
      </c>
      <c r="E2101" s="3">
        <f>C2101 - D2101</f>
        <v>0</v>
      </c>
    </row>
    <row r="2102" spans="2:5" x14ac:dyDescent="0.35">
      <c r="B2102" s="38">
        <v>38602</v>
      </c>
      <c r="C2102" s="3">
        <v>0</v>
      </c>
      <c r="D2102" s="3">
        <v>0</v>
      </c>
      <c r="E2102" s="3">
        <f>C2102 - D2102</f>
        <v>0</v>
      </c>
    </row>
    <row r="2103" spans="2:5" x14ac:dyDescent="0.35">
      <c r="B2103" s="38">
        <v>38603</v>
      </c>
      <c r="C2103" s="3">
        <v>0</v>
      </c>
      <c r="D2103" s="3">
        <v>0</v>
      </c>
      <c r="E2103" s="3">
        <f>C2103 - D2103</f>
        <v>0</v>
      </c>
    </row>
    <row r="2104" spans="2:5" x14ac:dyDescent="0.35">
      <c r="B2104" s="38">
        <v>38604</v>
      </c>
      <c r="C2104" s="3">
        <v>1</v>
      </c>
      <c r="D2104" s="3">
        <v>0</v>
      </c>
      <c r="E2104" s="3">
        <f>C2104 - D2104</f>
        <v>1</v>
      </c>
    </row>
    <row r="2105" spans="2:5" x14ac:dyDescent="0.35">
      <c r="B2105" s="38">
        <v>38605</v>
      </c>
      <c r="C2105" s="3">
        <v>1</v>
      </c>
      <c r="D2105" s="3">
        <v>1</v>
      </c>
      <c r="E2105" s="3">
        <f>C2105 - D2105</f>
        <v>0</v>
      </c>
    </row>
    <row r="2106" spans="2:5" x14ac:dyDescent="0.35">
      <c r="B2106" s="38">
        <v>38606</v>
      </c>
      <c r="C2106" s="3">
        <v>1</v>
      </c>
      <c r="D2106" s="3">
        <v>1</v>
      </c>
      <c r="E2106" s="3">
        <f>C2106 - D2106</f>
        <v>0</v>
      </c>
    </row>
    <row r="2107" spans="2:5" x14ac:dyDescent="0.35">
      <c r="B2107" s="38">
        <v>38607</v>
      </c>
      <c r="C2107" s="3">
        <v>1</v>
      </c>
      <c r="D2107" s="3">
        <v>1</v>
      </c>
      <c r="E2107" s="3">
        <f>C2107 - D2107</f>
        <v>0</v>
      </c>
    </row>
    <row r="2108" spans="2:5" x14ac:dyDescent="0.35">
      <c r="B2108" s="38">
        <v>38608</v>
      </c>
      <c r="C2108" s="3">
        <v>1</v>
      </c>
      <c r="D2108" s="3">
        <v>1</v>
      </c>
      <c r="E2108" s="3">
        <f>C2108 - D2108</f>
        <v>0</v>
      </c>
    </row>
    <row r="2109" spans="2:5" x14ac:dyDescent="0.35">
      <c r="B2109" s="38">
        <v>38609</v>
      </c>
      <c r="C2109" s="3">
        <v>1</v>
      </c>
      <c r="D2109" s="3">
        <v>1</v>
      </c>
      <c r="E2109" s="3">
        <f>C2109 - D2109</f>
        <v>0</v>
      </c>
    </row>
    <row r="2110" spans="2:5" x14ac:dyDescent="0.35">
      <c r="B2110" s="38">
        <v>38610</v>
      </c>
      <c r="C2110" s="3">
        <v>1</v>
      </c>
      <c r="D2110" s="3">
        <v>1</v>
      </c>
      <c r="E2110" s="3">
        <f>C2110 - D2110</f>
        <v>0</v>
      </c>
    </row>
    <row r="2111" spans="2:5" x14ac:dyDescent="0.35">
      <c r="B2111" s="38">
        <v>38611</v>
      </c>
      <c r="C2111" s="3">
        <v>1</v>
      </c>
      <c r="D2111" s="3">
        <v>1</v>
      </c>
      <c r="E2111" s="3">
        <f>C2111 - D2111</f>
        <v>0</v>
      </c>
    </row>
    <row r="2112" spans="2:5" x14ac:dyDescent="0.35">
      <c r="B2112" s="38">
        <v>38612</v>
      </c>
      <c r="C2112" s="3">
        <v>0</v>
      </c>
      <c r="D2112" s="3">
        <v>1</v>
      </c>
      <c r="E2112" s="3">
        <f>C2112 - D2112</f>
        <v>-1</v>
      </c>
    </row>
    <row r="2113" spans="2:5" x14ac:dyDescent="0.35">
      <c r="B2113" s="38">
        <v>38613</v>
      </c>
      <c r="C2113" s="3">
        <v>1</v>
      </c>
      <c r="D2113" s="3">
        <v>0</v>
      </c>
      <c r="E2113" s="3">
        <f>C2113 - D2113</f>
        <v>1</v>
      </c>
    </row>
    <row r="2114" spans="2:5" x14ac:dyDescent="0.35">
      <c r="B2114" s="38">
        <v>38614</v>
      </c>
      <c r="C2114" s="3">
        <v>1</v>
      </c>
      <c r="D2114" s="3">
        <v>1</v>
      </c>
      <c r="E2114" s="3">
        <f>C2114 - D2114</f>
        <v>0</v>
      </c>
    </row>
    <row r="2115" spans="2:5" x14ac:dyDescent="0.35">
      <c r="B2115" s="38">
        <v>38615</v>
      </c>
      <c r="C2115" s="3">
        <v>1</v>
      </c>
      <c r="D2115" s="3">
        <v>1</v>
      </c>
      <c r="E2115" s="3">
        <f>C2115 - D2115</f>
        <v>0</v>
      </c>
    </row>
    <row r="2116" spans="2:5" x14ac:dyDescent="0.35">
      <c r="B2116" s="38">
        <v>38616</v>
      </c>
      <c r="C2116" s="3">
        <v>0</v>
      </c>
      <c r="D2116" s="3">
        <v>1</v>
      </c>
      <c r="E2116" s="3">
        <f>C2116 - D2116</f>
        <v>-1</v>
      </c>
    </row>
    <row r="2117" spans="2:5" x14ac:dyDescent="0.35">
      <c r="B2117" s="38">
        <v>38617</v>
      </c>
      <c r="C2117" s="3">
        <v>0</v>
      </c>
      <c r="D2117" s="3">
        <v>0</v>
      </c>
      <c r="E2117" s="3">
        <f>C2117 - D2117</f>
        <v>0</v>
      </c>
    </row>
    <row r="2118" spans="2:5" x14ac:dyDescent="0.35">
      <c r="B2118" s="38">
        <v>38618</v>
      </c>
      <c r="C2118" s="3">
        <v>1</v>
      </c>
      <c r="D2118" s="3">
        <v>0</v>
      </c>
      <c r="E2118" s="3">
        <f>C2118 - D2118</f>
        <v>1</v>
      </c>
    </row>
    <row r="2119" spans="2:5" x14ac:dyDescent="0.35">
      <c r="B2119" s="38">
        <v>38619</v>
      </c>
      <c r="C2119" s="3">
        <v>1</v>
      </c>
      <c r="D2119" s="3">
        <v>1</v>
      </c>
      <c r="E2119" s="3">
        <f>C2119 - D2119</f>
        <v>0</v>
      </c>
    </row>
    <row r="2120" spans="2:5" x14ac:dyDescent="0.35">
      <c r="B2120" s="38">
        <v>38620</v>
      </c>
      <c r="C2120" s="3">
        <v>0</v>
      </c>
      <c r="D2120" s="3">
        <v>1</v>
      </c>
      <c r="E2120" s="3">
        <f>C2120 - D2120</f>
        <v>-1</v>
      </c>
    </row>
    <row r="2121" spans="2:5" x14ac:dyDescent="0.35">
      <c r="B2121" s="38">
        <v>38621</v>
      </c>
      <c r="C2121" s="3">
        <v>1</v>
      </c>
      <c r="D2121" s="3">
        <v>0</v>
      </c>
      <c r="E2121" s="3">
        <f>C2121 - D2121</f>
        <v>1</v>
      </c>
    </row>
    <row r="2122" spans="2:5" x14ac:dyDescent="0.35">
      <c r="B2122" s="38">
        <v>38622</v>
      </c>
      <c r="C2122" s="3">
        <v>1</v>
      </c>
      <c r="D2122" s="3">
        <v>1</v>
      </c>
      <c r="E2122" s="3">
        <f>C2122 - D2122</f>
        <v>0</v>
      </c>
    </row>
    <row r="2123" spans="2:5" x14ac:dyDescent="0.35">
      <c r="B2123" s="38">
        <v>38623</v>
      </c>
      <c r="C2123" s="3">
        <v>0</v>
      </c>
      <c r="D2123" s="3">
        <v>1</v>
      </c>
      <c r="E2123" s="3">
        <f>C2123 - D2123</f>
        <v>-1</v>
      </c>
    </row>
    <row r="2124" spans="2:5" x14ac:dyDescent="0.35">
      <c r="B2124" s="38">
        <v>38624</v>
      </c>
      <c r="C2124" s="3">
        <v>1</v>
      </c>
      <c r="D2124" s="3">
        <v>0</v>
      </c>
      <c r="E2124" s="3">
        <f>C2124 - D2124</f>
        <v>1</v>
      </c>
    </row>
    <row r="2125" spans="2:5" x14ac:dyDescent="0.35">
      <c r="B2125" s="38">
        <v>38625</v>
      </c>
      <c r="C2125" s="3">
        <v>0</v>
      </c>
      <c r="D2125" s="3">
        <v>1</v>
      </c>
      <c r="E2125" s="3">
        <f>C2125 - D2125</f>
        <v>-1</v>
      </c>
    </row>
    <row r="2126" spans="2:5" x14ac:dyDescent="0.35">
      <c r="B2126" s="38">
        <v>38626</v>
      </c>
      <c r="C2126" s="3">
        <v>0</v>
      </c>
      <c r="D2126" s="3">
        <v>0</v>
      </c>
      <c r="E2126" s="3">
        <f>C2126 - D2126</f>
        <v>0</v>
      </c>
    </row>
    <row r="2127" spans="2:5" x14ac:dyDescent="0.35">
      <c r="B2127" s="38">
        <v>38627</v>
      </c>
      <c r="C2127" s="3">
        <v>0</v>
      </c>
      <c r="D2127" s="3">
        <v>0</v>
      </c>
      <c r="E2127" s="3">
        <f>C2127 - D2127</f>
        <v>0</v>
      </c>
    </row>
    <row r="2128" spans="2:5" x14ac:dyDescent="0.35">
      <c r="B2128" s="38">
        <v>38628</v>
      </c>
      <c r="C2128" s="3">
        <v>0</v>
      </c>
      <c r="D2128" s="3">
        <v>0</v>
      </c>
      <c r="E2128" s="3">
        <f>C2128 - D2128</f>
        <v>0</v>
      </c>
    </row>
    <row r="2129" spans="2:5" x14ac:dyDescent="0.35">
      <c r="B2129" s="38">
        <v>38629</v>
      </c>
      <c r="C2129" s="3">
        <v>0</v>
      </c>
      <c r="D2129" s="3">
        <v>0</v>
      </c>
      <c r="E2129" s="3">
        <f>C2129 - D2129</f>
        <v>0</v>
      </c>
    </row>
    <row r="2130" spans="2:5" x14ac:dyDescent="0.35">
      <c r="B2130" s="38">
        <v>38630</v>
      </c>
      <c r="C2130" s="3">
        <v>0</v>
      </c>
      <c r="D2130" s="3">
        <v>0</v>
      </c>
      <c r="E2130" s="3">
        <f>C2130 - D2130</f>
        <v>0</v>
      </c>
    </row>
    <row r="2131" spans="2:5" x14ac:dyDescent="0.35">
      <c r="B2131" s="38">
        <v>38631</v>
      </c>
      <c r="C2131" s="3">
        <v>1</v>
      </c>
      <c r="D2131" s="3">
        <v>0</v>
      </c>
      <c r="E2131" s="3">
        <f>C2131 - D2131</f>
        <v>1</v>
      </c>
    </row>
    <row r="2132" spans="2:5" x14ac:dyDescent="0.35">
      <c r="B2132" s="38">
        <v>38632</v>
      </c>
      <c r="C2132" s="3">
        <v>0</v>
      </c>
      <c r="D2132" s="3">
        <v>1</v>
      </c>
      <c r="E2132" s="3">
        <f>C2132 - D2132</f>
        <v>-1</v>
      </c>
    </row>
    <row r="2133" spans="2:5" x14ac:dyDescent="0.35">
      <c r="B2133" s="38">
        <v>38633</v>
      </c>
      <c r="C2133" s="3">
        <v>1</v>
      </c>
      <c r="D2133" s="3">
        <v>0</v>
      </c>
      <c r="E2133" s="3">
        <f>C2133 - D2133</f>
        <v>1</v>
      </c>
    </row>
    <row r="2134" spans="2:5" x14ac:dyDescent="0.35">
      <c r="B2134" s="38">
        <v>38634</v>
      </c>
      <c r="C2134" s="3">
        <v>1</v>
      </c>
      <c r="D2134" s="3">
        <v>1</v>
      </c>
      <c r="E2134" s="3">
        <f>C2134 - D2134</f>
        <v>0</v>
      </c>
    </row>
    <row r="2135" spans="2:5" x14ac:dyDescent="0.35">
      <c r="B2135" s="38">
        <v>38635</v>
      </c>
      <c r="C2135" s="3">
        <v>0</v>
      </c>
      <c r="D2135" s="3">
        <v>1</v>
      </c>
      <c r="E2135" s="3">
        <f>C2135 - D2135</f>
        <v>-1</v>
      </c>
    </row>
    <row r="2136" spans="2:5" x14ac:dyDescent="0.35">
      <c r="B2136" s="38">
        <v>38636</v>
      </c>
      <c r="C2136" s="3">
        <v>1</v>
      </c>
      <c r="D2136" s="3">
        <v>0</v>
      </c>
      <c r="E2136" s="3">
        <f>C2136 - D2136</f>
        <v>1</v>
      </c>
    </row>
    <row r="2137" spans="2:5" x14ac:dyDescent="0.35">
      <c r="B2137" s="38">
        <v>38637</v>
      </c>
      <c r="C2137" s="3">
        <v>1</v>
      </c>
      <c r="D2137" s="3">
        <v>1</v>
      </c>
      <c r="E2137" s="3">
        <f>C2137 - D2137</f>
        <v>0</v>
      </c>
    </row>
    <row r="2138" spans="2:5" x14ac:dyDescent="0.35">
      <c r="B2138" s="38">
        <v>38638</v>
      </c>
      <c r="C2138" s="3">
        <v>0</v>
      </c>
      <c r="D2138" s="3">
        <v>1</v>
      </c>
      <c r="E2138" s="3">
        <f>C2138 - D2138</f>
        <v>-1</v>
      </c>
    </row>
    <row r="2139" spans="2:5" x14ac:dyDescent="0.35">
      <c r="B2139" s="38">
        <v>38639</v>
      </c>
      <c r="C2139" s="3">
        <v>0</v>
      </c>
      <c r="D2139" s="3">
        <v>0</v>
      </c>
      <c r="E2139" s="3">
        <f>C2139 - D2139</f>
        <v>0</v>
      </c>
    </row>
    <row r="2140" spans="2:5" x14ac:dyDescent="0.35">
      <c r="B2140" s="38">
        <v>38640</v>
      </c>
      <c r="C2140" s="3">
        <v>0</v>
      </c>
      <c r="D2140" s="3">
        <v>0</v>
      </c>
      <c r="E2140" s="3">
        <f>C2140 - D2140</f>
        <v>0</v>
      </c>
    </row>
    <row r="2141" spans="2:5" x14ac:dyDescent="0.35">
      <c r="B2141" s="38">
        <v>38641</v>
      </c>
      <c r="C2141" s="3">
        <v>0</v>
      </c>
      <c r="D2141" s="3">
        <v>0</v>
      </c>
      <c r="E2141" s="3">
        <f>C2141 - D2141</f>
        <v>0</v>
      </c>
    </row>
    <row r="2142" spans="2:5" x14ac:dyDescent="0.35">
      <c r="B2142" s="38">
        <v>38642</v>
      </c>
      <c r="C2142" s="3">
        <v>0</v>
      </c>
      <c r="D2142" s="3">
        <v>0</v>
      </c>
      <c r="E2142" s="3">
        <f>C2142 - D2142</f>
        <v>0</v>
      </c>
    </row>
    <row r="2143" spans="2:5" x14ac:dyDescent="0.35">
      <c r="B2143" s="38">
        <v>38643</v>
      </c>
      <c r="C2143" s="3">
        <v>0</v>
      </c>
      <c r="D2143" s="3">
        <v>0</v>
      </c>
      <c r="E2143" s="3">
        <f>C2143 - D2143</f>
        <v>0</v>
      </c>
    </row>
    <row r="2144" spans="2:5" x14ac:dyDescent="0.35">
      <c r="B2144" s="38">
        <v>38644</v>
      </c>
      <c r="C2144" s="3">
        <v>0</v>
      </c>
      <c r="D2144" s="3">
        <v>0</v>
      </c>
      <c r="E2144" s="3">
        <f>C2144 - D2144</f>
        <v>0</v>
      </c>
    </row>
    <row r="2145" spans="2:5" x14ac:dyDescent="0.35">
      <c r="B2145" s="38">
        <v>38645</v>
      </c>
      <c r="C2145" s="3">
        <v>1</v>
      </c>
      <c r="D2145" s="3">
        <v>0</v>
      </c>
      <c r="E2145" s="3">
        <f>C2145 - D2145</f>
        <v>1</v>
      </c>
    </row>
    <row r="2146" spans="2:5" x14ac:dyDescent="0.35">
      <c r="B2146" s="38">
        <v>38646</v>
      </c>
      <c r="C2146" s="3">
        <v>1</v>
      </c>
      <c r="D2146" s="3">
        <v>1</v>
      </c>
      <c r="E2146" s="3">
        <f>C2146 - D2146</f>
        <v>0</v>
      </c>
    </row>
    <row r="2147" spans="2:5" x14ac:dyDescent="0.35">
      <c r="B2147" s="38">
        <v>38647</v>
      </c>
      <c r="C2147" s="3">
        <v>1</v>
      </c>
      <c r="D2147" s="3">
        <v>1</v>
      </c>
      <c r="E2147" s="3">
        <f>C2147 - D2147</f>
        <v>0</v>
      </c>
    </row>
    <row r="2148" spans="2:5" x14ac:dyDescent="0.35">
      <c r="B2148" s="38">
        <v>38648</v>
      </c>
      <c r="C2148" s="3">
        <v>1</v>
      </c>
      <c r="D2148" s="3">
        <v>1</v>
      </c>
      <c r="E2148" s="3">
        <f>C2148 - D2148</f>
        <v>0</v>
      </c>
    </row>
    <row r="2149" spans="2:5" x14ac:dyDescent="0.35">
      <c r="B2149" s="38">
        <v>38649</v>
      </c>
      <c r="C2149" s="3">
        <v>1</v>
      </c>
      <c r="D2149" s="3">
        <v>1</v>
      </c>
      <c r="E2149" s="3">
        <f>C2149 - D2149</f>
        <v>0</v>
      </c>
    </row>
    <row r="2150" spans="2:5" x14ac:dyDescent="0.35">
      <c r="B2150" s="38">
        <v>38650</v>
      </c>
      <c r="C2150" s="3">
        <v>1</v>
      </c>
      <c r="D2150" s="3">
        <v>1</v>
      </c>
      <c r="E2150" s="3">
        <f>C2150 - D2150</f>
        <v>0</v>
      </c>
    </row>
    <row r="2151" spans="2:5" x14ac:dyDescent="0.35">
      <c r="B2151" s="38">
        <v>38651</v>
      </c>
      <c r="C2151" s="3">
        <v>1</v>
      </c>
      <c r="D2151" s="3">
        <v>1</v>
      </c>
      <c r="E2151" s="3">
        <f>C2151 - D2151</f>
        <v>0</v>
      </c>
    </row>
    <row r="2152" spans="2:5" x14ac:dyDescent="0.35">
      <c r="B2152" s="38">
        <v>38652</v>
      </c>
      <c r="C2152" s="3">
        <v>1</v>
      </c>
      <c r="D2152" s="3">
        <v>1</v>
      </c>
      <c r="E2152" s="3">
        <f>C2152 - D2152</f>
        <v>0</v>
      </c>
    </row>
    <row r="2153" spans="2:5" x14ac:dyDescent="0.35">
      <c r="B2153" s="38">
        <v>38653</v>
      </c>
      <c r="C2153" s="3">
        <v>0</v>
      </c>
      <c r="D2153" s="3">
        <v>1</v>
      </c>
      <c r="E2153" s="3">
        <f>C2153 - D2153</f>
        <v>-1</v>
      </c>
    </row>
    <row r="2154" spans="2:5" x14ac:dyDescent="0.35">
      <c r="B2154" s="38">
        <v>38654</v>
      </c>
      <c r="C2154" s="3">
        <v>0</v>
      </c>
      <c r="D2154" s="3">
        <v>0</v>
      </c>
      <c r="E2154" s="3">
        <f>C2154 - D2154</f>
        <v>0</v>
      </c>
    </row>
    <row r="2155" spans="2:5" x14ac:dyDescent="0.35">
      <c r="B2155" s="38">
        <v>38655</v>
      </c>
      <c r="C2155" s="3">
        <v>1</v>
      </c>
      <c r="D2155" s="3">
        <v>0</v>
      </c>
      <c r="E2155" s="3">
        <f>C2155 - D2155</f>
        <v>1</v>
      </c>
    </row>
    <row r="2156" spans="2:5" x14ac:dyDescent="0.35">
      <c r="B2156" s="38">
        <v>38656</v>
      </c>
      <c r="C2156" s="3">
        <v>0</v>
      </c>
      <c r="D2156" s="3">
        <v>1</v>
      </c>
      <c r="E2156" s="3">
        <f>C2156 - D2156</f>
        <v>-1</v>
      </c>
    </row>
    <row r="2157" spans="2:5" x14ac:dyDescent="0.35">
      <c r="B2157" s="38">
        <v>38657</v>
      </c>
      <c r="C2157" s="3">
        <v>0</v>
      </c>
      <c r="D2157" s="3">
        <v>0</v>
      </c>
      <c r="E2157" s="3">
        <f>C2157 - D2157</f>
        <v>0</v>
      </c>
    </row>
    <row r="2158" spans="2:5" x14ac:dyDescent="0.35">
      <c r="B2158" s="38">
        <v>38658</v>
      </c>
      <c r="C2158" s="3">
        <v>0</v>
      </c>
      <c r="D2158" s="3">
        <v>0</v>
      </c>
      <c r="E2158" s="3">
        <f>C2158 - D2158</f>
        <v>0</v>
      </c>
    </row>
    <row r="2159" spans="2:5" x14ac:dyDescent="0.35">
      <c r="B2159" s="38">
        <v>38659</v>
      </c>
      <c r="C2159" s="3">
        <v>1</v>
      </c>
      <c r="D2159" s="3">
        <v>0</v>
      </c>
      <c r="E2159" s="3">
        <f>C2159 - D2159</f>
        <v>1</v>
      </c>
    </row>
    <row r="2160" spans="2:5" x14ac:dyDescent="0.35">
      <c r="B2160" s="38">
        <v>38660</v>
      </c>
      <c r="C2160" s="3">
        <v>0</v>
      </c>
      <c r="D2160" s="3">
        <v>1</v>
      </c>
      <c r="E2160" s="3">
        <f>C2160 - D2160</f>
        <v>-1</v>
      </c>
    </row>
    <row r="2161" spans="2:5" x14ac:dyDescent="0.35">
      <c r="B2161" s="38">
        <v>38661</v>
      </c>
      <c r="C2161" s="3">
        <v>0</v>
      </c>
      <c r="D2161" s="3">
        <v>0</v>
      </c>
      <c r="E2161" s="3">
        <f>C2161 - D2161</f>
        <v>0</v>
      </c>
    </row>
    <row r="2162" spans="2:5" x14ac:dyDescent="0.35">
      <c r="B2162" s="38">
        <v>38662</v>
      </c>
      <c r="C2162" s="3">
        <v>0</v>
      </c>
      <c r="D2162" s="3">
        <v>0</v>
      </c>
      <c r="E2162" s="3">
        <f>C2162 - D2162</f>
        <v>0</v>
      </c>
    </row>
    <row r="2163" spans="2:5" x14ac:dyDescent="0.35">
      <c r="B2163" s="38">
        <v>38663</v>
      </c>
      <c r="C2163" s="3">
        <v>0</v>
      </c>
      <c r="D2163" s="3">
        <v>0</v>
      </c>
      <c r="E2163" s="3">
        <f>C2163 - D2163</f>
        <v>0</v>
      </c>
    </row>
    <row r="2164" spans="2:5" x14ac:dyDescent="0.35">
      <c r="B2164" s="38">
        <v>38664</v>
      </c>
      <c r="C2164" s="3">
        <v>1</v>
      </c>
      <c r="D2164" s="3">
        <v>0</v>
      </c>
      <c r="E2164" s="3">
        <f>C2164 - D2164</f>
        <v>1</v>
      </c>
    </row>
    <row r="2165" spans="2:5" x14ac:dyDescent="0.35">
      <c r="B2165" s="38">
        <v>38665</v>
      </c>
      <c r="C2165" s="3">
        <v>1</v>
      </c>
      <c r="D2165" s="3">
        <v>1</v>
      </c>
      <c r="E2165" s="3">
        <f>C2165 - D2165</f>
        <v>0</v>
      </c>
    </row>
    <row r="2166" spans="2:5" x14ac:dyDescent="0.35">
      <c r="B2166" s="38">
        <v>38666</v>
      </c>
      <c r="C2166" s="3">
        <v>1</v>
      </c>
      <c r="D2166" s="3">
        <v>1</v>
      </c>
      <c r="E2166" s="3">
        <f>C2166 - D2166</f>
        <v>0</v>
      </c>
    </row>
    <row r="2167" spans="2:5" x14ac:dyDescent="0.35">
      <c r="B2167" s="38">
        <v>38667</v>
      </c>
      <c r="C2167" s="3">
        <v>1</v>
      </c>
      <c r="D2167" s="3">
        <v>1</v>
      </c>
      <c r="E2167" s="3">
        <f>C2167 - D2167</f>
        <v>0</v>
      </c>
    </row>
    <row r="2168" spans="2:5" x14ac:dyDescent="0.35">
      <c r="B2168" s="38">
        <v>38668</v>
      </c>
      <c r="C2168" s="3">
        <v>1</v>
      </c>
      <c r="D2168" s="3">
        <v>1</v>
      </c>
      <c r="E2168" s="3">
        <f>C2168 - D2168</f>
        <v>0</v>
      </c>
    </row>
    <row r="2169" spans="2:5" x14ac:dyDescent="0.35">
      <c r="B2169" s="38">
        <v>38669</v>
      </c>
      <c r="C2169" s="3">
        <v>1</v>
      </c>
      <c r="D2169" s="3">
        <v>1</v>
      </c>
      <c r="E2169" s="3">
        <f>C2169 - D2169</f>
        <v>0</v>
      </c>
    </row>
    <row r="2170" spans="2:5" x14ac:dyDescent="0.35">
      <c r="B2170" s="38">
        <v>38670</v>
      </c>
      <c r="C2170" s="3">
        <v>0</v>
      </c>
      <c r="D2170" s="3">
        <v>1</v>
      </c>
      <c r="E2170" s="3">
        <f>C2170 - D2170</f>
        <v>-1</v>
      </c>
    </row>
    <row r="2171" spans="2:5" x14ac:dyDescent="0.35">
      <c r="B2171" s="38">
        <v>38671</v>
      </c>
      <c r="C2171" s="3">
        <v>1</v>
      </c>
      <c r="D2171" s="3">
        <v>0</v>
      </c>
      <c r="E2171" s="3">
        <f>C2171 - D2171</f>
        <v>1</v>
      </c>
    </row>
    <row r="2172" spans="2:5" x14ac:dyDescent="0.35">
      <c r="B2172" s="38">
        <v>38672</v>
      </c>
      <c r="C2172" s="3">
        <v>0</v>
      </c>
      <c r="D2172" s="3">
        <v>1</v>
      </c>
      <c r="E2172" s="3">
        <f>C2172 - D2172</f>
        <v>-1</v>
      </c>
    </row>
    <row r="2173" spans="2:5" x14ac:dyDescent="0.35">
      <c r="B2173" s="38">
        <v>38673</v>
      </c>
      <c r="C2173" s="3">
        <v>0</v>
      </c>
      <c r="D2173" s="3">
        <v>0</v>
      </c>
      <c r="E2173" s="3">
        <f>C2173 - D2173</f>
        <v>0</v>
      </c>
    </row>
    <row r="2174" spans="2:5" x14ac:dyDescent="0.35">
      <c r="B2174" s="38">
        <v>38674</v>
      </c>
      <c r="C2174" s="3">
        <v>0</v>
      </c>
      <c r="D2174" s="3">
        <v>0</v>
      </c>
      <c r="E2174" s="3">
        <f>C2174 - D2174</f>
        <v>0</v>
      </c>
    </row>
    <row r="2175" spans="2:5" x14ac:dyDescent="0.35">
      <c r="B2175" s="38">
        <v>38675</v>
      </c>
      <c r="C2175" s="3">
        <v>1</v>
      </c>
      <c r="D2175" s="3">
        <v>0</v>
      </c>
      <c r="E2175" s="3">
        <f>C2175 - D2175</f>
        <v>1</v>
      </c>
    </row>
    <row r="2176" spans="2:5" x14ac:dyDescent="0.35">
      <c r="B2176" s="38">
        <v>38676</v>
      </c>
      <c r="C2176" s="3">
        <v>0</v>
      </c>
      <c r="D2176" s="3">
        <v>1</v>
      </c>
      <c r="E2176" s="3">
        <f>C2176 - D2176</f>
        <v>-1</v>
      </c>
    </row>
    <row r="2177" spans="2:5" x14ac:dyDescent="0.35">
      <c r="B2177" s="38">
        <v>38677</v>
      </c>
      <c r="C2177" s="3">
        <v>0</v>
      </c>
      <c r="D2177" s="3">
        <v>0</v>
      </c>
      <c r="E2177" s="3">
        <f>C2177 - D2177</f>
        <v>0</v>
      </c>
    </row>
    <row r="2178" spans="2:5" x14ac:dyDescent="0.35">
      <c r="B2178" s="38">
        <v>38678</v>
      </c>
      <c r="C2178" s="3">
        <v>0</v>
      </c>
      <c r="D2178" s="3">
        <v>0</v>
      </c>
      <c r="E2178" s="3">
        <f>C2178 - D2178</f>
        <v>0</v>
      </c>
    </row>
    <row r="2179" spans="2:5" x14ac:dyDescent="0.35">
      <c r="B2179" s="38">
        <v>38679</v>
      </c>
      <c r="C2179" s="3">
        <v>0</v>
      </c>
      <c r="D2179" s="3">
        <v>0</v>
      </c>
      <c r="E2179" s="3">
        <f>C2179 - D2179</f>
        <v>0</v>
      </c>
    </row>
    <row r="2180" spans="2:5" x14ac:dyDescent="0.35">
      <c r="B2180" s="38">
        <v>38680</v>
      </c>
      <c r="C2180" s="3">
        <v>0</v>
      </c>
      <c r="D2180" s="3">
        <v>0</v>
      </c>
      <c r="E2180" s="3">
        <f>C2180 - D2180</f>
        <v>0</v>
      </c>
    </row>
    <row r="2181" spans="2:5" x14ac:dyDescent="0.35">
      <c r="B2181" s="38">
        <v>38681</v>
      </c>
      <c r="C2181" s="3">
        <v>1</v>
      </c>
      <c r="D2181" s="3">
        <v>0</v>
      </c>
      <c r="E2181" s="3">
        <f>C2181 - D2181</f>
        <v>1</v>
      </c>
    </row>
    <row r="2182" spans="2:5" x14ac:dyDescent="0.35">
      <c r="B2182" s="38">
        <v>38682</v>
      </c>
      <c r="C2182" s="3">
        <v>1</v>
      </c>
      <c r="D2182" s="3">
        <v>1</v>
      </c>
      <c r="E2182" s="3">
        <f>C2182 - D2182</f>
        <v>0</v>
      </c>
    </row>
    <row r="2183" spans="2:5" x14ac:dyDescent="0.35">
      <c r="B2183" s="38">
        <v>38683</v>
      </c>
      <c r="C2183" s="3">
        <v>0</v>
      </c>
      <c r="D2183" s="3">
        <v>1</v>
      </c>
      <c r="E2183" s="3">
        <f>C2183 - D2183</f>
        <v>-1</v>
      </c>
    </row>
    <row r="2184" spans="2:5" x14ac:dyDescent="0.35">
      <c r="B2184" s="38">
        <v>38684</v>
      </c>
      <c r="C2184" s="3">
        <v>0</v>
      </c>
      <c r="D2184" s="3">
        <v>0</v>
      </c>
      <c r="E2184" s="3">
        <f>C2184 - D2184</f>
        <v>0</v>
      </c>
    </row>
    <row r="2185" spans="2:5" x14ac:dyDescent="0.35">
      <c r="B2185" s="38">
        <v>38685</v>
      </c>
      <c r="C2185" s="3">
        <v>0</v>
      </c>
      <c r="D2185" s="3">
        <v>0</v>
      </c>
      <c r="E2185" s="3">
        <f>C2185 - D2185</f>
        <v>0</v>
      </c>
    </row>
    <row r="2186" spans="2:5" x14ac:dyDescent="0.35">
      <c r="B2186" s="38">
        <v>38686</v>
      </c>
      <c r="C2186" s="3">
        <v>0</v>
      </c>
      <c r="D2186" s="3">
        <v>0</v>
      </c>
      <c r="E2186" s="3">
        <f>C2186 - D2186</f>
        <v>0</v>
      </c>
    </row>
    <row r="2187" spans="2:5" x14ac:dyDescent="0.35">
      <c r="B2187" s="38">
        <v>38687</v>
      </c>
      <c r="C2187" s="3">
        <v>0</v>
      </c>
      <c r="D2187" s="3">
        <v>0</v>
      </c>
      <c r="E2187" s="3">
        <f>C2187 - D2187</f>
        <v>0</v>
      </c>
    </row>
    <row r="2188" spans="2:5" x14ac:dyDescent="0.35">
      <c r="B2188" s="38">
        <v>38688</v>
      </c>
      <c r="C2188" s="3">
        <v>0</v>
      </c>
      <c r="D2188" s="3">
        <v>0</v>
      </c>
      <c r="E2188" s="3">
        <f>C2188 - D2188</f>
        <v>0</v>
      </c>
    </row>
    <row r="2189" spans="2:5" x14ac:dyDescent="0.35">
      <c r="B2189" s="38">
        <v>38689</v>
      </c>
      <c r="C2189" s="3">
        <v>1</v>
      </c>
      <c r="D2189" s="3">
        <v>0</v>
      </c>
      <c r="E2189" s="3">
        <f>C2189 - D2189</f>
        <v>1</v>
      </c>
    </row>
    <row r="2190" spans="2:5" x14ac:dyDescent="0.35">
      <c r="B2190" s="38">
        <v>38690</v>
      </c>
      <c r="C2190" s="3">
        <v>0</v>
      </c>
      <c r="D2190" s="3">
        <v>1</v>
      </c>
      <c r="E2190" s="3">
        <f>C2190 - D2190</f>
        <v>-1</v>
      </c>
    </row>
    <row r="2191" spans="2:5" x14ac:dyDescent="0.35">
      <c r="B2191" s="38">
        <v>38691</v>
      </c>
      <c r="C2191" s="3">
        <v>0</v>
      </c>
      <c r="D2191" s="3">
        <v>0</v>
      </c>
      <c r="E2191" s="3">
        <f>C2191 - D2191</f>
        <v>0</v>
      </c>
    </row>
    <row r="2192" spans="2:5" x14ac:dyDescent="0.35">
      <c r="B2192" s="38">
        <v>38692</v>
      </c>
      <c r="C2192" s="3">
        <v>0</v>
      </c>
      <c r="D2192" s="3">
        <v>0</v>
      </c>
      <c r="E2192" s="3">
        <f>C2192 - D2192</f>
        <v>0</v>
      </c>
    </row>
    <row r="2193" spans="2:5" x14ac:dyDescent="0.35">
      <c r="B2193" s="38">
        <v>38693</v>
      </c>
      <c r="C2193" s="3">
        <v>1</v>
      </c>
      <c r="D2193" s="3">
        <v>0</v>
      </c>
      <c r="E2193" s="3">
        <f>C2193 - D2193</f>
        <v>1</v>
      </c>
    </row>
    <row r="2194" spans="2:5" x14ac:dyDescent="0.35">
      <c r="B2194" s="38">
        <v>38694</v>
      </c>
      <c r="C2194" s="3">
        <v>0</v>
      </c>
      <c r="D2194" s="3">
        <v>1</v>
      </c>
      <c r="E2194" s="3">
        <f>C2194 - D2194</f>
        <v>-1</v>
      </c>
    </row>
    <row r="2195" spans="2:5" x14ac:dyDescent="0.35">
      <c r="B2195" s="38">
        <v>38695</v>
      </c>
      <c r="C2195" s="3">
        <v>0</v>
      </c>
      <c r="D2195" s="3">
        <v>0</v>
      </c>
      <c r="E2195" s="3">
        <f>C2195 - D2195</f>
        <v>0</v>
      </c>
    </row>
    <row r="2196" spans="2:5" x14ac:dyDescent="0.35">
      <c r="B2196" s="38">
        <v>38696</v>
      </c>
      <c r="C2196" s="3">
        <v>0</v>
      </c>
      <c r="D2196" s="3">
        <v>0</v>
      </c>
      <c r="E2196" s="3">
        <f>C2196 - D2196</f>
        <v>0</v>
      </c>
    </row>
    <row r="2197" spans="2:5" x14ac:dyDescent="0.35">
      <c r="B2197" s="38">
        <v>38697</v>
      </c>
      <c r="C2197" s="3">
        <v>0</v>
      </c>
      <c r="D2197" s="3">
        <v>0</v>
      </c>
      <c r="E2197" s="3">
        <f>C2197 - D2197</f>
        <v>0</v>
      </c>
    </row>
    <row r="2198" spans="2:5" x14ac:dyDescent="0.35">
      <c r="B2198" s="38">
        <v>38698</v>
      </c>
      <c r="C2198" s="3">
        <v>0</v>
      </c>
      <c r="D2198" s="3">
        <v>0</v>
      </c>
      <c r="E2198" s="3">
        <f>C2198 - D2198</f>
        <v>0</v>
      </c>
    </row>
    <row r="2199" spans="2:5" x14ac:dyDescent="0.35">
      <c r="B2199" s="38">
        <v>38699</v>
      </c>
      <c r="C2199" s="3">
        <v>1</v>
      </c>
      <c r="D2199" s="3">
        <v>0</v>
      </c>
      <c r="E2199" s="3">
        <f>C2199 - D2199</f>
        <v>1</v>
      </c>
    </row>
    <row r="2200" spans="2:5" x14ac:dyDescent="0.35">
      <c r="B2200" s="38">
        <v>38700</v>
      </c>
      <c r="C2200" s="3">
        <v>0</v>
      </c>
      <c r="D2200" s="3">
        <v>1</v>
      </c>
      <c r="E2200" s="3">
        <f>C2200 - D2200</f>
        <v>-1</v>
      </c>
    </row>
    <row r="2201" spans="2:5" x14ac:dyDescent="0.35">
      <c r="B2201" s="38">
        <v>38701</v>
      </c>
      <c r="C2201" s="3">
        <v>0</v>
      </c>
      <c r="D2201" s="3">
        <v>0</v>
      </c>
      <c r="E2201" s="3">
        <f>C2201 - D2201</f>
        <v>0</v>
      </c>
    </row>
    <row r="2202" spans="2:5" x14ac:dyDescent="0.35">
      <c r="B2202" s="38">
        <v>38702</v>
      </c>
      <c r="C2202" s="3">
        <v>1</v>
      </c>
      <c r="D2202" s="3">
        <v>0</v>
      </c>
      <c r="E2202" s="3">
        <f>C2202 - D2202</f>
        <v>1</v>
      </c>
    </row>
    <row r="2203" spans="2:5" x14ac:dyDescent="0.35">
      <c r="B2203" s="38">
        <v>38703</v>
      </c>
      <c r="C2203" s="3">
        <v>0</v>
      </c>
      <c r="D2203" s="3">
        <v>1</v>
      </c>
      <c r="E2203" s="3">
        <f>C2203 - D2203</f>
        <v>-1</v>
      </c>
    </row>
    <row r="2204" spans="2:5" x14ac:dyDescent="0.35">
      <c r="B2204" s="38">
        <v>38704</v>
      </c>
      <c r="C2204" s="3">
        <v>0</v>
      </c>
      <c r="D2204" s="3">
        <v>0</v>
      </c>
      <c r="E2204" s="3">
        <f>C2204 - D2204</f>
        <v>0</v>
      </c>
    </row>
    <row r="2205" spans="2:5" x14ac:dyDescent="0.35">
      <c r="B2205" s="38">
        <v>38705</v>
      </c>
      <c r="C2205" s="3">
        <v>1</v>
      </c>
      <c r="D2205" s="3">
        <v>0</v>
      </c>
      <c r="E2205" s="3">
        <f>C2205 - D2205</f>
        <v>1</v>
      </c>
    </row>
    <row r="2206" spans="2:5" x14ac:dyDescent="0.35">
      <c r="B2206" s="38">
        <v>38706</v>
      </c>
      <c r="C2206" s="3">
        <v>0</v>
      </c>
      <c r="D2206" s="3">
        <v>1</v>
      </c>
      <c r="E2206" s="3">
        <f>C2206 - D2206</f>
        <v>-1</v>
      </c>
    </row>
    <row r="2207" spans="2:5" x14ac:dyDescent="0.35">
      <c r="B2207" s="38">
        <v>38707</v>
      </c>
      <c r="C2207" s="3">
        <v>0</v>
      </c>
      <c r="D2207" s="3">
        <v>0</v>
      </c>
      <c r="E2207" s="3">
        <f>C2207 - D2207</f>
        <v>0</v>
      </c>
    </row>
    <row r="2208" spans="2:5" x14ac:dyDescent="0.35">
      <c r="B2208" s="38">
        <v>38708</v>
      </c>
      <c r="C2208" s="3">
        <v>1</v>
      </c>
      <c r="D2208" s="3">
        <v>0</v>
      </c>
      <c r="E2208" s="3">
        <f>C2208 - D2208</f>
        <v>1</v>
      </c>
    </row>
    <row r="2209" spans="2:5" x14ac:dyDescent="0.35">
      <c r="B2209" s="38">
        <v>38709</v>
      </c>
      <c r="C2209" s="3">
        <v>0</v>
      </c>
      <c r="D2209" s="3">
        <v>1</v>
      </c>
      <c r="E2209" s="3">
        <f>C2209 - D2209</f>
        <v>-1</v>
      </c>
    </row>
    <row r="2210" spans="2:5" x14ac:dyDescent="0.35">
      <c r="B2210" s="38">
        <v>38710</v>
      </c>
      <c r="C2210" s="3">
        <v>1</v>
      </c>
      <c r="D2210" s="3">
        <v>0</v>
      </c>
      <c r="E2210" s="3">
        <f>C2210 - D2210</f>
        <v>1</v>
      </c>
    </row>
    <row r="2211" spans="2:5" x14ac:dyDescent="0.35">
      <c r="B2211" s="38">
        <v>38711</v>
      </c>
      <c r="C2211" s="3">
        <v>0</v>
      </c>
      <c r="D2211" s="3">
        <v>1</v>
      </c>
      <c r="E2211" s="3">
        <f>C2211 - D2211</f>
        <v>-1</v>
      </c>
    </row>
    <row r="2212" spans="2:5" x14ac:dyDescent="0.35">
      <c r="B2212" s="38">
        <v>38712</v>
      </c>
      <c r="C2212" s="3">
        <v>0</v>
      </c>
      <c r="D2212" s="3">
        <v>0</v>
      </c>
      <c r="E2212" s="3">
        <f>C2212 - D2212</f>
        <v>0</v>
      </c>
    </row>
    <row r="2213" spans="2:5" x14ac:dyDescent="0.35">
      <c r="B2213" s="38">
        <v>38713</v>
      </c>
      <c r="C2213" s="3">
        <v>0</v>
      </c>
      <c r="D2213" s="3">
        <v>0</v>
      </c>
      <c r="E2213" s="3">
        <f>C2213 - D2213</f>
        <v>0</v>
      </c>
    </row>
    <row r="2214" spans="2:5" x14ac:dyDescent="0.35">
      <c r="B2214" s="38">
        <v>38714</v>
      </c>
      <c r="C2214" s="3">
        <v>0</v>
      </c>
      <c r="D2214" s="3">
        <v>0</v>
      </c>
      <c r="E2214" s="3">
        <f>C2214 - D2214</f>
        <v>0</v>
      </c>
    </row>
    <row r="2215" spans="2:5" x14ac:dyDescent="0.35">
      <c r="B2215" s="38">
        <v>38715</v>
      </c>
      <c r="C2215" s="3">
        <v>0</v>
      </c>
      <c r="D2215" s="3">
        <v>0</v>
      </c>
      <c r="E2215" s="3">
        <f>C2215 - D2215</f>
        <v>0</v>
      </c>
    </row>
    <row r="2216" spans="2:5" x14ac:dyDescent="0.35">
      <c r="B2216" s="38">
        <v>38716</v>
      </c>
      <c r="C2216" s="3">
        <v>0</v>
      </c>
      <c r="D2216" s="3">
        <v>0</v>
      </c>
      <c r="E2216" s="3">
        <f>C2216 - D2216</f>
        <v>0</v>
      </c>
    </row>
    <row r="2217" spans="2:5" x14ac:dyDescent="0.35">
      <c r="B2217" s="38">
        <v>38717</v>
      </c>
      <c r="C2217" s="3">
        <v>0</v>
      </c>
      <c r="D2217" s="3">
        <v>0</v>
      </c>
      <c r="E2217" s="3">
        <f>C2217 - D2217</f>
        <v>0</v>
      </c>
    </row>
    <row r="2218" spans="2:5" x14ac:dyDescent="0.35">
      <c r="B2218" s="38">
        <v>38718</v>
      </c>
      <c r="C2218" s="3">
        <v>0</v>
      </c>
      <c r="D2218" s="3">
        <v>0</v>
      </c>
      <c r="E2218" s="3">
        <f>C2218 - D2218</f>
        <v>0</v>
      </c>
    </row>
    <row r="2219" spans="2:5" x14ac:dyDescent="0.35">
      <c r="B2219" s="38">
        <v>38719</v>
      </c>
      <c r="C2219" s="3">
        <v>1</v>
      </c>
      <c r="D2219" s="3">
        <v>0</v>
      </c>
      <c r="E2219" s="3">
        <f>C2219 - D2219</f>
        <v>1</v>
      </c>
    </row>
    <row r="2220" spans="2:5" x14ac:dyDescent="0.35">
      <c r="B2220" s="38">
        <v>38720</v>
      </c>
      <c r="C2220" s="3">
        <v>0</v>
      </c>
      <c r="D2220" s="3">
        <v>1</v>
      </c>
      <c r="E2220" s="3">
        <f>C2220 - D2220</f>
        <v>-1</v>
      </c>
    </row>
    <row r="2221" spans="2:5" x14ac:dyDescent="0.35">
      <c r="B2221" s="38">
        <v>38721</v>
      </c>
      <c r="C2221" s="3">
        <v>0</v>
      </c>
      <c r="D2221" s="3">
        <v>0</v>
      </c>
      <c r="E2221" s="3">
        <f>C2221 - D2221</f>
        <v>0</v>
      </c>
    </row>
    <row r="2222" spans="2:5" x14ac:dyDescent="0.35">
      <c r="B2222" s="38">
        <v>38722</v>
      </c>
      <c r="C2222" s="3">
        <v>0</v>
      </c>
      <c r="D2222" s="3">
        <v>0</v>
      </c>
      <c r="E2222" s="3">
        <f>C2222 - D2222</f>
        <v>0</v>
      </c>
    </row>
    <row r="2223" spans="2:5" x14ac:dyDescent="0.35">
      <c r="B2223" s="38">
        <v>38723</v>
      </c>
      <c r="C2223" s="3">
        <v>0</v>
      </c>
      <c r="D2223" s="3">
        <v>0</v>
      </c>
      <c r="E2223" s="3">
        <f>C2223 - D2223</f>
        <v>0</v>
      </c>
    </row>
    <row r="2224" spans="2:5" x14ac:dyDescent="0.35">
      <c r="B2224" s="38">
        <v>38724</v>
      </c>
      <c r="C2224" s="3">
        <v>0</v>
      </c>
      <c r="D2224" s="3">
        <v>0</v>
      </c>
      <c r="E2224" s="3">
        <f>C2224 - D2224</f>
        <v>0</v>
      </c>
    </row>
    <row r="2225" spans="2:5" x14ac:dyDescent="0.35">
      <c r="B2225" s="38">
        <v>38725</v>
      </c>
      <c r="C2225" s="3">
        <v>0</v>
      </c>
      <c r="D2225" s="3">
        <v>0</v>
      </c>
      <c r="E2225" s="3">
        <f>C2225 - D2225</f>
        <v>0</v>
      </c>
    </row>
    <row r="2226" spans="2:5" x14ac:dyDescent="0.35">
      <c r="B2226" s="38">
        <v>38726</v>
      </c>
      <c r="C2226" s="3">
        <v>0</v>
      </c>
      <c r="D2226" s="3">
        <v>0</v>
      </c>
      <c r="E2226" s="3">
        <f>C2226 - D2226</f>
        <v>0</v>
      </c>
    </row>
    <row r="2227" spans="2:5" x14ac:dyDescent="0.35">
      <c r="B2227" s="38">
        <v>38727</v>
      </c>
      <c r="C2227" s="3">
        <v>0</v>
      </c>
      <c r="D2227" s="3">
        <v>0</v>
      </c>
      <c r="E2227" s="3">
        <f>C2227 - D2227</f>
        <v>0</v>
      </c>
    </row>
    <row r="2228" spans="2:5" x14ac:dyDescent="0.35">
      <c r="B2228" s="38">
        <v>38728</v>
      </c>
      <c r="C2228" s="3">
        <v>1</v>
      </c>
      <c r="D2228" s="3">
        <v>0</v>
      </c>
      <c r="E2228" s="3">
        <f>C2228 - D2228</f>
        <v>1</v>
      </c>
    </row>
    <row r="2229" spans="2:5" x14ac:dyDescent="0.35">
      <c r="B2229" s="38">
        <v>38729</v>
      </c>
      <c r="C2229" s="3">
        <v>1</v>
      </c>
      <c r="D2229" s="3">
        <v>1</v>
      </c>
      <c r="E2229" s="3">
        <f>C2229 - D2229</f>
        <v>0</v>
      </c>
    </row>
    <row r="2230" spans="2:5" x14ac:dyDescent="0.35">
      <c r="B2230" s="38">
        <v>38730</v>
      </c>
      <c r="C2230" s="3">
        <v>1</v>
      </c>
      <c r="D2230" s="3">
        <v>1</v>
      </c>
      <c r="E2230" s="3">
        <f>C2230 - D2230</f>
        <v>0</v>
      </c>
    </row>
    <row r="2231" spans="2:5" x14ac:dyDescent="0.35">
      <c r="B2231" s="38">
        <v>38731</v>
      </c>
      <c r="C2231" s="3">
        <v>0</v>
      </c>
      <c r="D2231" s="3">
        <v>1</v>
      </c>
      <c r="E2231" s="3">
        <f>C2231 - D2231</f>
        <v>-1</v>
      </c>
    </row>
    <row r="2232" spans="2:5" x14ac:dyDescent="0.35">
      <c r="B2232" s="38">
        <v>38732</v>
      </c>
      <c r="C2232" s="3">
        <v>0</v>
      </c>
      <c r="D2232" s="3">
        <v>0</v>
      </c>
      <c r="E2232" s="3">
        <f>C2232 - D2232</f>
        <v>0</v>
      </c>
    </row>
    <row r="2233" spans="2:5" x14ac:dyDescent="0.35">
      <c r="B2233" s="38">
        <v>38733</v>
      </c>
      <c r="C2233" s="3">
        <v>0</v>
      </c>
      <c r="D2233" s="3">
        <v>0</v>
      </c>
      <c r="E2233" s="3">
        <f>C2233 - D2233</f>
        <v>0</v>
      </c>
    </row>
    <row r="2234" spans="2:5" x14ac:dyDescent="0.35">
      <c r="B2234" s="38">
        <v>38734</v>
      </c>
      <c r="C2234" s="3">
        <v>0</v>
      </c>
      <c r="D2234" s="3">
        <v>0</v>
      </c>
      <c r="E2234" s="3">
        <f>C2234 - D2234</f>
        <v>0</v>
      </c>
    </row>
    <row r="2235" spans="2:5" x14ac:dyDescent="0.35">
      <c r="B2235" s="38">
        <v>38735</v>
      </c>
      <c r="C2235" s="3">
        <v>0</v>
      </c>
      <c r="D2235" s="3">
        <v>0</v>
      </c>
      <c r="E2235" s="3">
        <f>C2235 - D2235</f>
        <v>0</v>
      </c>
    </row>
    <row r="2236" spans="2:5" x14ac:dyDescent="0.35">
      <c r="B2236" s="38">
        <v>38736</v>
      </c>
      <c r="C2236" s="3">
        <v>0</v>
      </c>
      <c r="D2236" s="3">
        <v>0</v>
      </c>
      <c r="E2236" s="3">
        <f>C2236 - D2236</f>
        <v>0</v>
      </c>
    </row>
    <row r="2237" spans="2:5" x14ac:dyDescent="0.35">
      <c r="B2237" s="38">
        <v>38737</v>
      </c>
      <c r="C2237" s="3">
        <v>0</v>
      </c>
      <c r="D2237" s="3">
        <v>0</v>
      </c>
      <c r="E2237" s="3">
        <f>C2237 - D2237</f>
        <v>0</v>
      </c>
    </row>
    <row r="2238" spans="2:5" x14ac:dyDescent="0.35">
      <c r="B2238" s="38">
        <v>38738</v>
      </c>
      <c r="C2238" s="3">
        <v>1</v>
      </c>
      <c r="D2238" s="3">
        <v>0</v>
      </c>
      <c r="E2238" s="3">
        <f>C2238 - D2238</f>
        <v>1</v>
      </c>
    </row>
    <row r="2239" spans="2:5" x14ac:dyDescent="0.35">
      <c r="B2239" s="38">
        <v>38739</v>
      </c>
      <c r="C2239" s="3">
        <v>0</v>
      </c>
      <c r="D2239" s="3">
        <v>1</v>
      </c>
      <c r="E2239" s="3">
        <f>C2239 - D2239</f>
        <v>-1</v>
      </c>
    </row>
    <row r="2240" spans="2:5" x14ac:dyDescent="0.35">
      <c r="B2240" s="38">
        <v>38740</v>
      </c>
      <c r="C2240" s="3">
        <v>0</v>
      </c>
      <c r="D2240" s="3">
        <v>0</v>
      </c>
      <c r="E2240" s="3">
        <f>C2240 - D2240</f>
        <v>0</v>
      </c>
    </row>
    <row r="2241" spans="2:5" x14ac:dyDescent="0.35">
      <c r="B2241" s="38">
        <v>38741</v>
      </c>
      <c r="C2241" s="3">
        <v>0</v>
      </c>
      <c r="D2241" s="3">
        <v>0</v>
      </c>
      <c r="E2241" s="3">
        <f>C2241 - D2241</f>
        <v>0</v>
      </c>
    </row>
    <row r="2242" spans="2:5" x14ac:dyDescent="0.35">
      <c r="B2242" s="38">
        <v>38742</v>
      </c>
      <c r="C2242" s="3">
        <v>0</v>
      </c>
      <c r="D2242" s="3">
        <v>0</v>
      </c>
      <c r="E2242" s="3">
        <f>C2242 - D2242</f>
        <v>0</v>
      </c>
    </row>
    <row r="2243" spans="2:5" x14ac:dyDescent="0.35">
      <c r="B2243" s="38">
        <v>38743</v>
      </c>
      <c r="C2243" s="3">
        <v>0</v>
      </c>
      <c r="D2243" s="3">
        <v>0</v>
      </c>
      <c r="E2243" s="3">
        <f>C2243 - D2243</f>
        <v>0</v>
      </c>
    </row>
    <row r="2244" spans="2:5" x14ac:dyDescent="0.35">
      <c r="B2244" s="38">
        <v>38744</v>
      </c>
      <c r="C2244" s="3">
        <v>1</v>
      </c>
      <c r="D2244" s="3">
        <v>0</v>
      </c>
      <c r="E2244" s="3">
        <f>C2244 - D2244</f>
        <v>1</v>
      </c>
    </row>
    <row r="2245" spans="2:5" x14ac:dyDescent="0.35">
      <c r="B2245" s="38">
        <v>38745</v>
      </c>
      <c r="C2245" s="3">
        <v>1</v>
      </c>
      <c r="D2245" s="3">
        <v>1</v>
      </c>
      <c r="E2245" s="3">
        <f>C2245 - D2245</f>
        <v>0</v>
      </c>
    </row>
    <row r="2246" spans="2:5" x14ac:dyDescent="0.35">
      <c r="B2246" s="38">
        <v>38746</v>
      </c>
      <c r="C2246" s="3">
        <v>1</v>
      </c>
      <c r="D2246" s="3">
        <v>1</v>
      </c>
      <c r="E2246" s="3">
        <f>C2246 - D2246</f>
        <v>0</v>
      </c>
    </row>
    <row r="2247" spans="2:5" x14ac:dyDescent="0.35">
      <c r="B2247" s="38">
        <v>38747</v>
      </c>
      <c r="C2247" s="3">
        <v>1</v>
      </c>
      <c r="D2247" s="3">
        <v>1</v>
      </c>
      <c r="E2247" s="3">
        <f>C2247 - D2247</f>
        <v>0</v>
      </c>
    </row>
    <row r="2248" spans="2:5" x14ac:dyDescent="0.35">
      <c r="B2248" s="38">
        <v>38748</v>
      </c>
      <c r="C2248" s="3">
        <v>1</v>
      </c>
      <c r="D2248" s="3">
        <v>1</v>
      </c>
      <c r="E2248" s="3">
        <f>C2248 - D2248</f>
        <v>0</v>
      </c>
    </row>
    <row r="2249" spans="2:5" x14ac:dyDescent="0.35">
      <c r="B2249" s="38">
        <v>38749</v>
      </c>
      <c r="C2249" s="3">
        <v>0</v>
      </c>
      <c r="D2249" s="3">
        <v>1</v>
      </c>
      <c r="E2249" s="3">
        <f>C2249 - D2249</f>
        <v>-1</v>
      </c>
    </row>
    <row r="2250" spans="2:5" x14ac:dyDescent="0.35">
      <c r="B2250" s="38">
        <v>38750</v>
      </c>
      <c r="C2250" s="3">
        <v>1</v>
      </c>
      <c r="D2250" s="3">
        <v>0</v>
      </c>
      <c r="E2250" s="3">
        <f>C2250 - D2250</f>
        <v>1</v>
      </c>
    </row>
    <row r="2251" spans="2:5" x14ac:dyDescent="0.35">
      <c r="B2251" s="38">
        <v>38751</v>
      </c>
      <c r="C2251" s="3">
        <v>0</v>
      </c>
      <c r="D2251" s="3">
        <v>1</v>
      </c>
      <c r="E2251" s="3">
        <f>C2251 - D2251</f>
        <v>-1</v>
      </c>
    </row>
    <row r="2252" spans="2:5" x14ac:dyDescent="0.35">
      <c r="B2252" s="38">
        <v>38752</v>
      </c>
      <c r="C2252" s="3">
        <v>0</v>
      </c>
      <c r="D2252" s="3">
        <v>0</v>
      </c>
      <c r="E2252" s="3">
        <f>C2252 - D2252</f>
        <v>0</v>
      </c>
    </row>
    <row r="2253" spans="2:5" x14ac:dyDescent="0.35">
      <c r="B2253" s="38">
        <v>38753</v>
      </c>
      <c r="C2253" s="3">
        <v>0</v>
      </c>
      <c r="D2253" s="3">
        <v>0</v>
      </c>
      <c r="E2253" s="3">
        <f>C2253 - D2253</f>
        <v>0</v>
      </c>
    </row>
    <row r="2254" spans="2:5" x14ac:dyDescent="0.35">
      <c r="B2254" s="38">
        <v>38754</v>
      </c>
      <c r="C2254" s="3">
        <v>0</v>
      </c>
      <c r="D2254" s="3">
        <v>0</v>
      </c>
      <c r="E2254" s="3">
        <f>C2254 - D2254</f>
        <v>0</v>
      </c>
    </row>
    <row r="2255" spans="2:5" x14ac:dyDescent="0.35">
      <c r="B2255" s="38">
        <v>38755</v>
      </c>
      <c r="C2255" s="3">
        <v>0</v>
      </c>
      <c r="D2255" s="3">
        <v>0</v>
      </c>
      <c r="E2255" s="3">
        <f>C2255 - D2255</f>
        <v>0</v>
      </c>
    </row>
    <row r="2256" spans="2:5" x14ac:dyDescent="0.35">
      <c r="B2256" s="38">
        <v>38756</v>
      </c>
      <c r="C2256" s="3">
        <v>0</v>
      </c>
      <c r="D2256" s="3">
        <v>0</v>
      </c>
      <c r="E2256" s="3">
        <f>C2256 - D2256</f>
        <v>0</v>
      </c>
    </row>
    <row r="2257" spans="2:5" x14ac:dyDescent="0.35">
      <c r="B2257" s="38">
        <v>38757</v>
      </c>
      <c r="C2257" s="3">
        <v>1</v>
      </c>
      <c r="D2257" s="3">
        <v>0</v>
      </c>
      <c r="E2257" s="3">
        <f>C2257 - D2257</f>
        <v>1</v>
      </c>
    </row>
    <row r="2258" spans="2:5" x14ac:dyDescent="0.35">
      <c r="B2258" s="38">
        <v>38758</v>
      </c>
      <c r="C2258" s="3">
        <v>1</v>
      </c>
      <c r="D2258" s="3">
        <v>1</v>
      </c>
      <c r="E2258" s="3">
        <f>C2258 - D2258</f>
        <v>0</v>
      </c>
    </row>
    <row r="2259" spans="2:5" x14ac:dyDescent="0.35">
      <c r="B2259" s="38">
        <v>38759</v>
      </c>
      <c r="C2259" s="3">
        <v>0</v>
      </c>
      <c r="D2259" s="3">
        <v>1</v>
      </c>
      <c r="E2259" s="3">
        <f>C2259 - D2259</f>
        <v>-1</v>
      </c>
    </row>
    <row r="2260" spans="2:5" x14ac:dyDescent="0.35">
      <c r="B2260" s="38">
        <v>38760</v>
      </c>
      <c r="C2260" s="3">
        <v>0</v>
      </c>
      <c r="D2260" s="3">
        <v>0</v>
      </c>
      <c r="E2260" s="3">
        <f>C2260 - D2260</f>
        <v>0</v>
      </c>
    </row>
    <row r="2261" spans="2:5" x14ac:dyDescent="0.35">
      <c r="B2261" s="38">
        <v>38761</v>
      </c>
      <c r="C2261" s="3">
        <v>1</v>
      </c>
      <c r="D2261" s="3">
        <v>0</v>
      </c>
      <c r="E2261" s="3">
        <f>C2261 - D2261</f>
        <v>1</v>
      </c>
    </row>
    <row r="2262" spans="2:5" x14ac:dyDescent="0.35">
      <c r="B2262" s="38">
        <v>38762</v>
      </c>
      <c r="C2262" s="3">
        <v>0</v>
      </c>
      <c r="D2262" s="3">
        <v>1</v>
      </c>
      <c r="E2262" s="3">
        <f>C2262 - D2262</f>
        <v>-1</v>
      </c>
    </row>
    <row r="2263" spans="2:5" x14ac:dyDescent="0.35">
      <c r="B2263" s="38">
        <v>38763</v>
      </c>
      <c r="C2263" s="3">
        <v>0</v>
      </c>
      <c r="D2263" s="3">
        <v>0</v>
      </c>
      <c r="E2263" s="3">
        <f>C2263 - D2263</f>
        <v>0</v>
      </c>
    </row>
    <row r="2264" spans="2:5" x14ac:dyDescent="0.35">
      <c r="B2264" s="38">
        <v>38764</v>
      </c>
      <c r="C2264" s="3">
        <v>0</v>
      </c>
      <c r="D2264" s="3">
        <v>0</v>
      </c>
      <c r="E2264" s="3">
        <f>C2264 - D2264</f>
        <v>0</v>
      </c>
    </row>
    <row r="2265" spans="2:5" x14ac:dyDescent="0.35">
      <c r="B2265" s="38">
        <v>38765</v>
      </c>
      <c r="C2265" s="3">
        <v>0</v>
      </c>
      <c r="D2265" s="3">
        <v>0</v>
      </c>
      <c r="E2265" s="3">
        <f>C2265 - D2265</f>
        <v>0</v>
      </c>
    </row>
    <row r="2266" spans="2:5" x14ac:dyDescent="0.35">
      <c r="B2266" s="38">
        <v>38766</v>
      </c>
      <c r="C2266" s="3">
        <v>0</v>
      </c>
      <c r="D2266" s="3">
        <v>0</v>
      </c>
      <c r="E2266" s="3">
        <f>C2266 - D2266</f>
        <v>0</v>
      </c>
    </row>
    <row r="2267" spans="2:5" x14ac:dyDescent="0.35">
      <c r="B2267" s="38">
        <v>38767</v>
      </c>
      <c r="C2267" s="3">
        <v>1</v>
      </c>
      <c r="D2267" s="3">
        <v>0</v>
      </c>
      <c r="E2267" s="3">
        <f>C2267 - D2267</f>
        <v>1</v>
      </c>
    </row>
    <row r="2268" spans="2:5" x14ac:dyDescent="0.35">
      <c r="B2268" s="38">
        <v>38768</v>
      </c>
      <c r="C2268" s="3">
        <v>0</v>
      </c>
      <c r="D2268" s="3">
        <v>1</v>
      </c>
      <c r="E2268" s="3">
        <f>C2268 - D2268</f>
        <v>-1</v>
      </c>
    </row>
    <row r="2269" spans="2:5" x14ac:dyDescent="0.35">
      <c r="B2269" s="38">
        <v>38769</v>
      </c>
      <c r="C2269" s="3">
        <v>0</v>
      </c>
      <c r="D2269" s="3">
        <v>0</v>
      </c>
      <c r="E2269" s="3">
        <f>C2269 - D2269</f>
        <v>0</v>
      </c>
    </row>
    <row r="2270" spans="2:5" x14ac:dyDescent="0.35">
      <c r="B2270" s="38">
        <v>38770</v>
      </c>
      <c r="C2270" s="3">
        <v>0</v>
      </c>
      <c r="D2270" s="3">
        <v>0</v>
      </c>
      <c r="E2270" s="3">
        <f>C2270 - D2270</f>
        <v>0</v>
      </c>
    </row>
    <row r="2271" spans="2:5" x14ac:dyDescent="0.35">
      <c r="B2271" s="38">
        <v>38771</v>
      </c>
      <c r="C2271" s="3">
        <v>0</v>
      </c>
      <c r="D2271" s="3">
        <v>0</v>
      </c>
      <c r="E2271" s="3">
        <f>C2271 - D2271</f>
        <v>0</v>
      </c>
    </row>
    <row r="2272" spans="2:5" x14ac:dyDescent="0.35">
      <c r="B2272" s="38">
        <v>38772</v>
      </c>
      <c r="C2272" s="3">
        <v>0</v>
      </c>
      <c r="D2272" s="3">
        <v>0</v>
      </c>
      <c r="E2272" s="3">
        <f>C2272 - D2272</f>
        <v>0</v>
      </c>
    </row>
    <row r="2273" spans="2:5" x14ac:dyDescent="0.35">
      <c r="B2273" s="38">
        <v>38773</v>
      </c>
      <c r="C2273" s="3">
        <v>1</v>
      </c>
      <c r="D2273" s="3">
        <v>0</v>
      </c>
      <c r="E2273" s="3">
        <f>C2273 - D2273</f>
        <v>1</v>
      </c>
    </row>
    <row r="2274" spans="2:5" x14ac:dyDescent="0.35">
      <c r="B2274" s="38">
        <v>38774</v>
      </c>
      <c r="C2274" s="3">
        <v>1</v>
      </c>
      <c r="D2274" s="3">
        <v>1</v>
      </c>
      <c r="E2274" s="3">
        <f>C2274 - D2274</f>
        <v>0</v>
      </c>
    </row>
    <row r="2275" spans="2:5" x14ac:dyDescent="0.35">
      <c r="B2275" s="38">
        <v>38775</v>
      </c>
      <c r="C2275" s="3">
        <v>0</v>
      </c>
      <c r="D2275" s="3">
        <v>1</v>
      </c>
      <c r="E2275" s="3">
        <f>C2275 - D2275</f>
        <v>-1</v>
      </c>
    </row>
    <row r="2276" spans="2:5" x14ac:dyDescent="0.35">
      <c r="B2276" s="38">
        <v>38776</v>
      </c>
      <c r="C2276" s="3">
        <v>0</v>
      </c>
      <c r="D2276" s="3">
        <v>0</v>
      </c>
      <c r="E2276" s="3">
        <f>C2276 - D2276</f>
        <v>0</v>
      </c>
    </row>
    <row r="2277" spans="2:5" x14ac:dyDescent="0.35">
      <c r="B2277" s="38">
        <v>38777</v>
      </c>
      <c r="C2277" s="3">
        <v>0</v>
      </c>
      <c r="D2277" s="3">
        <v>0</v>
      </c>
      <c r="E2277" s="3">
        <f>C2277 - D2277</f>
        <v>0</v>
      </c>
    </row>
    <row r="2278" spans="2:5" x14ac:dyDescent="0.35">
      <c r="B2278" s="38">
        <v>38778</v>
      </c>
      <c r="C2278" s="3">
        <v>0</v>
      </c>
      <c r="D2278" s="3">
        <v>0</v>
      </c>
      <c r="E2278" s="3">
        <f>C2278 - D2278</f>
        <v>0</v>
      </c>
    </row>
    <row r="2279" spans="2:5" x14ac:dyDescent="0.35">
      <c r="B2279" s="38">
        <v>38779</v>
      </c>
      <c r="C2279" s="3">
        <v>0</v>
      </c>
      <c r="D2279" s="3">
        <v>0</v>
      </c>
      <c r="E2279" s="3">
        <f>C2279 - D2279</f>
        <v>0</v>
      </c>
    </row>
    <row r="2280" spans="2:5" x14ac:dyDescent="0.35">
      <c r="B2280" s="38">
        <v>38780</v>
      </c>
      <c r="C2280" s="3">
        <v>0</v>
      </c>
      <c r="D2280" s="3">
        <v>0</v>
      </c>
      <c r="E2280" s="3">
        <f>C2280 - D2280</f>
        <v>0</v>
      </c>
    </row>
    <row r="2281" spans="2:5" x14ac:dyDescent="0.35">
      <c r="B2281" s="38">
        <v>38781</v>
      </c>
      <c r="C2281" s="3">
        <v>0</v>
      </c>
      <c r="D2281" s="3">
        <v>0</v>
      </c>
      <c r="E2281" s="3">
        <f>C2281 - D2281</f>
        <v>0</v>
      </c>
    </row>
    <row r="2282" spans="2:5" x14ac:dyDescent="0.35">
      <c r="B2282" s="38">
        <v>38782</v>
      </c>
      <c r="C2282" s="3">
        <v>0</v>
      </c>
      <c r="D2282" s="3">
        <v>0</v>
      </c>
      <c r="E2282" s="3">
        <f>C2282 - D2282</f>
        <v>0</v>
      </c>
    </row>
    <row r="2283" spans="2:5" x14ac:dyDescent="0.35">
      <c r="B2283" s="38">
        <v>38783</v>
      </c>
      <c r="C2283" s="3">
        <v>0</v>
      </c>
      <c r="D2283" s="3">
        <v>0</v>
      </c>
      <c r="E2283" s="3">
        <f>C2283 - D2283</f>
        <v>0</v>
      </c>
    </row>
    <row r="2284" spans="2:5" x14ac:dyDescent="0.35">
      <c r="B2284" s="38">
        <v>38784</v>
      </c>
      <c r="C2284" s="3">
        <v>0</v>
      </c>
      <c r="D2284" s="3">
        <v>0</v>
      </c>
      <c r="E2284" s="3">
        <f>C2284 - D2284</f>
        <v>0</v>
      </c>
    </row>
    <row r="2285" spans="2:5" x14ac:dyDescent="0.35">
      <c r="B2285" s="38">
        <v>38785</v>
      </c>
      <c r="C2285" s="3">
        <v>0</v>
      </c>
      <c r="D2285" s="3">
        <v>0</v>
      </c>
      <c r="E2285" s="3">
        <f>C2285 - D2285</f>
        <v>0</v>
      </c>
    </row>
    <row r="2286" spans="2:5" x14ac:dyDescent="0.35">
      <c r="B2286" s="38">
        <v>38786</v>
      </c>
      <c r="C2286" s="3">
        <v>0</v>
      </c>
      <c r="D2286" s="3">
        <v>0</v>
      </c>
      <c r="E2286" s="3">
        <f>C2286 - D2286</f>
        <v>0</v>
      </c>
    </row>
    <row r="2287" spans="2:5" x14ac:dyDescent="0.35">
      <c r="B2287" s="38">
        <v>38787</v>
      </c>
      <c r="C2287" s="3">
        <v>0</v>
      </c>
      <c r="D2287" s="3">
        <v>0</v>
      </c>
      <c r="E2287" s="3">
        <f>C2287 - D2287</f>
        <v>0</v>
      </c>
    </row>
    <row r="2288" spans="2:5" x14ac:dyDescent="0.35">
      <c r="B2288" s="38">
        <v>38788</v>
      </c>
      <c r="C2288" s="3">
        <v>0</v>
      </c>
      <c r="D2288" s="3">
        <v>0</v>
      </c>
      <c r="E2288" s="3">
        <f>C2288 - D2288</f>
        <v>0</v>
      </c>
    </row>
    <row r="2289" spans="2:5" x14ac:dyDescent="0.35">
      <c r="B2289" s="38">
        <v>38789</v>
      </c>
      <c r="C2289" s="3">
        <v>1</v>
      </c>
      <c r="D2289" s="3">
        <v>0</v>
      </c>
      <c r="E2289" s="3">
        <f>C2289 - D2289</f>
        <v>1</v>
      </c>
    </row>
    <row r="2290" spans="2:5" x14ac:dyDescent="0.35">
      <c r="B2290" s="38">
        <v>38790</v>
      </c>
      <c r="C2290" s="3">
        <v>1</v>
      </c>
      <c r="D2290" s="3">
        <v>1</v>
      </c>
      <c r="E2290" s="3">
        <f>C2290 - D2290</f>
        <v>0</v>
      </c>
    </row>
    <row r="2291" spans="2:5" x14ac:dyDescent="0.35">
      <c r="B2291" s="38">
        <v>38791</v>
      </c>
      <c r="C2291" s="3">
        <v>0</v>
      </c>
      <c r="D2291" s="3">
        <v>1</v>
      </c>
      <c r="E2291" s="3">
        <f>C2291 - D2291</f>
        <v>-1</v>
      </c>
    </row>
    <row r="2292" spans="2:5" x14ac:dyDescent="0.35">
      <c r="B2292" s="38">
        <v>38792</v>
      </c>
      <c r="C2292" s="3">
        <v>1</v>
      </c>
      <c r="D2292" s="3">
        <v>0</v>
      </c>
      <c r="E2292" s="3">
        <f>C2292 - D2292</f>
        <v>1</v>
      </c>
    </row>
    <row r="2293" spans="2:5" x14ac:dyDescent="0.35">
      <c r="B2293" s="38">
        <v>38793</v>
      </c>
      <c r="C2293" s="3">
        <v>1</v>
      </c>
      <c r="D2293" s="3">
        <v>1</v>
      </c>
      <c r="E2293" s="3">
        <f>C2293 - D2293</f>
        <v>0</v>
      </c>
    </row>
    <row r="2294" spans="2:5" x14ac:dyDescent="0.35">
      <c r="B2294" s="38">
        <v>38794</v>
      </c>
      <c r="C2294" s="3">
        <v>0</v>
      </c>
      <c r="D2294" s="3">
        <v>1</v>
      </c>
      <c r="E2294" s="3">
        <f>C2294 - D2294</f>
        <v>-1</v>
      </c>
    </row>
    <row r="2295" spans="2:5" x14ac:dyDescent="0.35">
      <c r="B2295" s="38">
        <v>38795</v>
      </c>
      <c r="C2295" s="3">
        <v>0</v>
      </c>
      <c r="D2295" s="3">
        <v>0</v>
      </c>
      <c r="E2295" s="3">
        <f>C2295 - D2295</f>
        <v>0</v>
      </c>
    </row>
    <row r="2296" spans="2:5" x14ac:dyDescent="0.35">
      <c r="B2296" s="38">
        <v>38796</v>
      </c>
      <c r="C2296" s="3">
        <v>0</v>
      </c>
      <c r="D2296" s="3">
        <v>0</v>
      </c>
      <c r="E2296" s="3">
        <f>C2296 - D2296</f>
        <v>0</v>
      </c>
    </row>
    <row r="2297" spans="2:5" x14ac:dyDescent="0.35">
      <c r="B2297" s="38">
        <v>38797</v>
      </c>
      <c r="C2297" s="3">
        <v>0</v>
      </c>
      <c r="D2297" s="3">
        <v>0</v>
      </c>
      <c r="E2297" s="3">
        <f>C2297 - D2297</f>
        <v>0</v>
      </c>
    </row>
    <row r="2298" spans="2:5" x14ac:dyDescent="0.35">
      <c r="B2298" s="38">
        <v>38798</v>
      </c>
      <c r="C2298" s="3">
        <v>0</v>
      </c>
      <c r="D2298" s="3">
        <v>0</v>
      </c>
      <c r="E2298" s="3">
        <f>C2298 - D2298</f>
        <v>0</v>
      </c>
    </row>
    <row r="2299" spans="2:5" x14ac:dyDescent="0.35">
      <c r="B2299" s="38">
        <v>38799</v>
      </c>
      <c r="C2299" s="3">
        <v>0</v>
      </c>
      <c r="D2299" s="3">
        <v>0</v>
      </c>
      <c r="E2299" s="3">
        <f>C2299 - D2299</f>
        <v>0</v>
      </c>
    </row>
    <row r="2300" spans="2:5" x14ac:dyDescent="0.35">
      <c r="B2300" s="38">
        <v>38800</v>
      </c>
      <c r="C2300" s="3">
        <v>0</v>
      </c>
      <c r="D2300" s="3">
        <v>0</v>
      </c>
      <c r="E2300" s="3">
        <f>C2300 - D2300</f>
        <v>0</v>
      </c>
    </row>
    <row r="2301" spans="2:5" x14ac:dyDescent="0.35">
      <c r="B2301" s="38">
        <v>38801</v>
      </c>
      <c r="C2301" s="3">
        <v>0</v>
      </c>
      <c r="D2301" s="3">
        <v>0</v>
      </c>
      <c r="E2301" s="3">
        <f>C2301 - D2301</f>
        <v>0</v>
      </c>
    </row>
    <row r="2302" spans="2:5" x14ac:dyDescent="0.35">
      <c r="B2302" s="38">
        <v>38802</v>
      </c>
      <c r="C2302" s="3">
        <v>0</v>
      </c>
      <c r="D2302" s="3">
        <v>0</v>
      </c>
      <c r="E2302" s="3">
        <f>C2302 - D2302</f>
        <v>0</v>
      </c>
    </row>
    <row r="2303" spans="2:5" x14ac:dyDescent="0.35">
      <c r="B2303" s="38">
        <v>38803</v>
      </c>
      <c r="C2303" s="3">
        <v>0</v>
      </c>
      <c r="D2303" s="3">
        <v>0</v>
      </c>
      <c r="E2303" s="3">
        <f>C2303 - D2303</f>
        <v>0</v>
      </c>
    </row>
    <row r="2304" spans="2:5" x14ac:dyDescent="0.35">
      <c r="B2304" s="38">
        <v>38804</v>
      </c>
      <c r="C2304" s="3">
        <v>0</v>
      </c>
      <c r="D2304" s="3">
        <v>0</v>
      </c>
      <c r="E2304" s="3">
        <f>C2304 - D2304</f>
        <v>0</v>
      </c>
    </row>
    <row r="2305" spans="2:5" x14ac:dyDescent="0.35">
      <c r="B2305" s="38">
        <v>38805</v>
      </c>
      <c r="C2305" s="3">
        <v>0</v>
      </c>
      <c r="D2305" s="3">
        <v>0</v>
      </c>
      <c r="E2305" s="3">
        <f>C2305 - D2305</f>
        <v>0</v>
      </c>
    </row>
    <row r="2306" spans="2:5" x14ac:dyDescent="0.35">
      <c r="B2306" s="38">
        <v>38806</v>
      </c>
      <c r="C2306" s="3">
        <v>0</v>
      </c>
      <c r="D2306" s="3">
        <v>0</v>
      </c>
      <c r="E2306" s="3">
        <f>C2306 - D2306</f>
        <v>0</v>
      </c>
    </row>
    <row r="2307" spans="2:5" x14ac:dyDescent="0.35">
      <c r="B2307" s="38">
        <v>38807</v>
      </c>
      <c r="C2307" s="3">
        <v>0</v>
      </c>
      <c r="D2307" s="3">
        <v>0</v>
      </c>
      <c r="E2307" s="3">
        <f>C2307 - D2307</f>
        <v>0</v>
      </c>
    </row>
    <row r="2308" spans="2:5" x14ac:dyDescent="0.35">
      <c r="B2308" s="38">
        <v>38808</v>
      </c>
      <c r="C2308" s="3">
        <v>1</v>
      </c>
      <c r="D2308" s="3">
        <v>0</v>
      </c>
      <c r="E2308" s="3">
        <f>C2308 - D2308</f>
        <v>1</v>
      </c>
    </row>
    <row r="2309" spans="2:5" x14ac:dyDescent="0.35">
      <c r="B2309" s="38">
        <v>38809</v>
      </c>
      <c r="C2309" s="3">
        <v>1</v>
      </c>
      <c r="D2309" s="3">
        <v>1</v>
      </c>
      <c r="E2309" s="3">
        <f>C2309 - D2309</f>
        <v>0</v>
      </c>
    </row>
    <row r="2310" spans="2:5" x14ac:dyDescent="0.35">
      <c r="B2310" s="38">
        <v>38810</v>
      </c>
      <c r="C2310" s="3">
        <v>0</v>
      </c>
      <c r="D2310" s="3">
        <v>1</v>
      </c>
      <c r="E2310" s="3">
        <f>C2310 - D2310</f>
        <v>-1</v>
      </c>
    </row>
    <row r="2311" spans="2:5" x14ac:dyDescent="0.35">
      <c r="B2311" s="38">
        <v>38811</v>
      </c>
      <c r="C2311" s="3">
        <v>0</v>
      </c>
      <c r="D2311" s="3">
        <v>0</v>
      </c>
      <c r="E2311" s="3">
        <f>C2311 - D2311</f>
        <v>0</v>
      </c>
    </row>
    <row r="2312" spans="2:5" x14ac:dyDescent="0.35">
      <c r="B2312" s="38">
        <v>38812</v>
      </c>
      <c r="C2312" s="3">
        <v>0</v>
      </c>
      <c r="D2312" s="3">
        <v>0</v>
      </c>
      <c r="E2312" s="3">
        <f>C2312 - D2312</f>
        <v>0</v>
      </c>
    </row>
    <row r="2313" spans="2:5" x14ac:dyDescent="0.35">
      <c r="B2313" s="38">
        <v>38813</v>
      </c>
      <c r="C2313" s="3">
        <v>1</v>
      </c>
      <c r="D2313" s="3">
        <v>0</v>
      </c>
      <c r="E2313" s="3">
        <f>C2313 - D2313</f>
        <v>1</v>
      </c>
    </row>
    <row r="2314" spans="2:5" x14ac:dyDescent="0.35">
      <c r="B2314" s="38">
        <v>38814</v>
      </c>
      <c r="C2314" s="3">
        <v>1</v>
      </c>
      <c r="D2314" s="3">
        <v>1</v>
      </c>
      <c r="E2314" s="3">
        <f>C2314 - D2314</f>
        <v>0</v>
      </c>
    </row>
    <row r="2315" spans="2:5" x14ac:dyDescent="0.35">
      <c r="B2315" s="38">
        <v>38815</v>
      </c>
      <c r="C2315" s="3">
        <v>0</v>
      </c>
      <c r="D2315" s="3">
        <v>1</v>
      </c>
      <c r="E2315" s="3">
        <f>C2315 - D2315</f>
        <v>-1</v>
      </c>
    </row>
    <row r="2316" spans="2:5" x14ac:dyDescent="0.35">
      <c r="B2316" s="38">
        <v>38816</v>
      </c>
      <c r="C2316" s="3">
        <v>0</v>
      </c>
      <c r="D2316" s="3">
        <v>0</v>
      </c>
      <c r="E2316" s="3">
        <f>C2316 - D2316</f>
        <v>0</v>
      </c>
    </row>
    <row r="2317" spans="2:5" x14ac:dyDescent="0.35">
      <c r="B2317" s="38">
        <v>38817</v>
      </c>
      <c r="C2317" s="3">
        <v>0</v>
      </c>
      <c r="D2317" s="3">
        <v>0</v>
      </c>
      <c r="E2317" s="3">
        <f>C2317 - D2317</f>
        <v>0</v>
      </c>
    </row>
    <row r="2318" spans="2:5" x14ac:dyDescent="0.35">
      <c r="B2318" s="38">
        <v>38818</v>
      </c>
      <c r="C2318" s="3">
        <v>0</v>
      </c>
      <c r="D2318" s="3">
        <v>0</v>
      </c>
      <c r="E2318" s="3">
        <f>C2318 - D2318</f>
        <v>0</v>
      </c>
    </row>
    <row r="2319" spans="2:5" x14ac:dyDescent="0.35">
      <c r="B2319" s="38">
        <v>38819</v>
      </c>
      <c r="C2319" s="3">
        <v>0</v>
      </c>
      <c r="D2319" s="3">
        <v>0</v>
      </c>
      <c r="E2319" s="3">
        <f>C2319 - D2319</f>
        <v>0</v>
      </c>
    </row>
    <row r="2320" spans="2:5" x14ac:dyDescent="0.35">
      <c r="B2320" s="38">
        <v>38820</v>
      </c>
      <c r="C2320" s="3">
        <v>0</v>
      </c>
      <c r="D2320" s="3">
        <v>0</v>
      </c>
      <c r="E2320" s="3">
        <f>C2320 - D2320</f>
        <v>0</v>
      </c>
    </row>
    <row r="2321" spans="2:5" x14ac:dyDescent="0.35">
      <c r="B2321" s="38">
        <v>38821</v>
      </c>
      <c r="C2321" s="3">
        <v>1</v>
      </c>
      <c r="D2321" s="3">
        <v>0</v>
      </c>
      <c r="E2321" s="3">
        <f>C2321 - D2321</f>
        <v>1</v>
      </c>
    </row>
    <row r="2322" spans="2:5" x14ac:dyDescent="0.35">
      <c r="B2322" s="38">
        <v>38822</v>
      </c>
      <c r="C2322" s="3">
        <v>1</v>
      </c>
      <c r="D2322" s="3">
        <v>1</v>
      </c>
      <c r="E2322" s="3">
        <f>C2322 - D2322</f>
        <v>0</v>
      </c>
    </row>
    <row r="2323" spans="2:5" x14ac:dyDescent="0.35">
      <c r="B2323" s="38">
        <v>38823</v>
      </c>
      <c r="C2323" s="3">
        <v>1</v>
      </c>
      <c r="D2323" s="3">
        <v>1</v>
      </c>
      <c r="E2323" s="3">
        <f>C2323 - D2323</f>
        <v>0</v>
      </c>
    </row>
    <row r="2324" spans="2:5" x14ac:dyDescent="0.35">
      <c r="B2324" s="38">
        <v>38824</v>
      </c>
      <c r="C2324" s="3">
        <v>0</v>
      </c>
      <c r="D2324" s="3">
        <v>1</v>
      </c>
      <c r="E2324" s="3">
        <f>C2324 - D2324</f>
        <v>-1</v>
      </c>
    </row>
    <row r="2325" spans="2:5" x14ac:dyDescent="0.35">
      <c r="B2325" s="38">
        <v>38825</v>
      </c>
      <c r="C2325" s="3">
        <v>0</v>
      </c>
      <c r="D2325" s="3">
        <v>0</v>
      </c>
      <c r="E2325" s="3">
        <f>C2325 - D2325</f>
        <v>0</v>
      </c>
    </row>
    <row r="2326" spans="2:5" x14ac:dyDescent="0.35">
      <c r="B2326" s="38">
        <v>38826</v>
      </c>
      <c r="C2326" s="3">
        <v>0</v>
      </c>
      <c r="D2326" s="3">
        <v>0</v>
      </c>
      <c r="E2326" s="3">
        <f>C2326 - D2326</f>
        <v>0</v>
      </c>
    </row>
    <row r="2327" spans="2:5" x14ac:dyDescent="0.35">
      <c r="B2327" s="38">
        <v>38827</v>
      </c>
      <c r="C2327" s="3">
        <v>1</v>
      </c>
      <c r="D2327" s="3">
        <v>0</v>
      </c>
      <c r="E2327" s="3">
        <f>C2327 - D2327</f>
        <v>1</v>
      </c>
    </row>
    <row r="2328" spans="2:5" x14ac:dyDescent="0.35">
      <c r="B2328" s="38">
        <v>38828</v>
      </c>
      <c r="C2328" s="3">
        <v>1</v>
      </c>
      <c r="D2328" s="3">
        <v>1</v>
      </c>
      <c r="E2328" s="3">
        <f>C2328 - D2328</f>
        <v>0</v>
      </c>
    </row>
    <row r="2329" spans="2:5" x14ac:dyDescent="0.35">
      <c r="B2329" s="38">
        <v>38829</v>
      </c>
      <c r="C2329" s="3">
        <v>1</v>
      </c>
      <c r="D2329" s="3">
        <v>1</v>
      </c>
      <c r="E2329" s="3">
        <f>C2329 - D2329</f>
        <v>0</v>
      </c>
    </row>
    <row r="2330" spans="2:5" x14ac:dyDescent="0.35">
      <c r="B2330" s="38">
        <v>38830</v>
      </c>
      <c r="C2330" s="3">
        <v>0</v>
      </c>
      <c r="D2330" s="3">
        <v>1</v>
      </c>
      <c r="E2330" s="3">
        <f>C2330 - D2330</f>
        <v>-1</v>
      </c>
    </row>
    <row r="2331" spans="2:5" x14ac:dyDescent="0.35">
      <c r="B2331" s="38">
        <v>38831</v>
      </c>
      <c r="C2331" s="3">
        <v>1</v>
      </c>
      <c r="D2331" s="3">
        <v>0</v>
      </c>
      <c r="E2331" s="3">
        <f>C2331 - D2331</f>
        <v>1</v>
      </c>
    </row>
    <row r="2332" spans="2:5" x14ac:dyDescent="0.35">
      <c r="B2332" s="38">
        <v>38832</v>
      </c>
      <c r="C2332" s="3">
        <v>0</v>
      </c>
      <c r="D2332" s="3">
        <v>1</v>
      </c>
      <c r="E2332" s="3">
        <f>C2332 - D2332</f>
        <v>-1</v>
      </c>
    </row>
    <row r="2333" spans="2:5" x14ac:dyDescent="0.35">
      <c r="B2333" s="38">
        <v>38833</v>
      </c>
      <c r="C2333" s="3">
        <v>0</v>
      </c>
      <c r="D2333" s="3">
        <v>0</v>
      </c>
      <c r="E2333" s="3">
        <f>C2333 - D2333</f>
        <v>0</v>
      </c>
    </row>
    <row r="2334" spans="2:5" x14ac:dyDescent="0.35">
      <c r="B2334" s="38">
        <v>38834</v>
      </c>
      <c r="C2334" s="3">
        <v>0</v>
      </c>
      <c r="D2334" s="3">
        <v>0</v>
      </c>
      <c r="E2334" s="3">
        <f>C2334 - D2334</f>
        <v>0</v>
      </c>
    </row>
    <row r="2335" spans="2:5" x14ac:dyDescent="0.35">
      <c r="B2335" s="38">
        <v>38835</v>
      </c>
      <c r="C2335" s="3">
        <v>0</v>
      </c>
      <c r="D2335" s="3">
        <v>0</v>
      </c>
      <c r="E2335" s="3">
        <f>C2335 - D2335</f>
        <v>0</v>
      </c>
    </row>
    <row r="2336" spans="2:5" x14ac:dyDescent="0.35">
      <c r="B2336" s="38">
        <v>38836</v>
      </c>
      <c r="C2336" s="3">
        <v>1</v>
      </c>
      <c r="D2336" s="3">
        <v>0</v>
      </c>
      <c r="E2336" s="3">
        <f>C2336 - D2336</f>
        <v>1</v>
      </c>
    </row>
    <row r="2337" spans="2:5" x14ac:dyDescent="0.35">
      <c r="B2337" s="38">
        <v>38837</v>
      </c>
      <c r="C2337" s="3">
        <v>1</v>
      </c>
      <c r="D2337" s="3">
        <v>1</v>
      </c>
      <c r="E2337" s="3">
        <f>C2337 - D2337</f>
        <v>0</v>
      </c>
    </row>
    <row r="2338" spans="2:5" x14ac:dyDescent="0.35">
      <c r="B2338" s="38">
        <v>38838</v>
      </c>
      <c r="C2338" s="3">
        <v>1</v>
      </c>
      <c r="D2338" s="3">
        <v>1</v>
      </c>
      <c r="E2338" s="3">
        <f>C2338 - D2338</f>
        <v>0</v>
      </c>
    </row>
    <row r="2339" spans="2:5" x14ac:dyDescent="0.35">
      <c r="B2339" s="38">
        <v>38839</v>
      </c>
      <c r="C2339" s="3">
        <v>1</v>
      </c>
      <c r="D2339" s="3">
        <v>1</v>
      </c>
      <c r="E2339" s="3">
        <f>C2339 - D2339</f>
        <v>0</v>
      </c>
    </row>
    <row r="2340" spans="2:5" x14ac:dyDescent="0.35">
      <c r="B2340" s="38">
        <v>38840</v>
      </c>
      <c r="C2340" s="3">
        <v>1</v>
      </c>
      <c r="D2340" s="3">
        <v>1</v>
      </c>
      <c r="E2340" s="3">
        <f>C2340 - D2340</f>
        <v>0</v>
      </c>
    </row>
    <row r="2341" spans="2:5" x14ac:dyDescent="0.35">
      <c r="B2341" s="38">
        <v>38841</v>
      </c>
      <c r="C2341" s="3">
        <v>0</v>
      </c>
      <c r="D2341" s="3">
        <v>1</v>
      </c>
      <c r="E2341" s="3">
        <f>C2341 - D2341</f>
        <v>-1</v>
      </c>
    </row>
    <row r="2342" spans="2:5" x14ac:dyDescent="0.35">
      <c r="B2342" s="38">
        <v>38842</v>
      </c>
      <c r="C2342" s="3">
        <v>0</v>
      </c>
      <c r="D2342" s="3">
        <v>0</v>
      </c>
      <c r="E2342" s="3">
        <f>C2342 - D2342</f>
        <v>0</v>
      </c>
    </row>
    <row r="2343" spans="2:5" x14ac:dyDescent="0.35">
      <c r="B2343" s="38">
        <v>38843</v>
      </c>
      <c r="C2343" s="3">
        <v>1</v>
      </c>
      <c r="D2343" s="3">
        <v>0</v>
      </c>
      <c r="E2343" s="3">
        <f>C2343 - D2343</f>
        <v>1</v>
      </c>
    </row>
    <row r="2344" spans="2:5" x14ac:dyDescent="0.35">
      <c r="B2344" s="38">
        <v>38844</v>
      </c>
      <c r="C2344" s="3">
        <v>1</v>
      </c>
      <c r="D2344" s="3">
        <v>1</v>
      </c>
      <c r="E2344" s="3">
        <f>C2344 - D2344</f>
        <v>0</v>
      </c>
    </row>
    <row r="2345" spans="2:5" x14ac:dyDescent="0.35">
      <c r="B2345" s="38">
        <v>38845</v>
      </c>
      <c r="C2345" s="3">
        <v>1</v>
      </c>
      <c r="D2345" s="3">
        <v>1</v>
      </c>
      <c r="E2345" s="3">
        <f>C2345 - D2345</f>
        <v>0</v>
      </c>
    </row>
    <row r="2346" spans="2:5" x14ac:dyDescent="0.35">
      <c r="B2346" s="38">
        <v>38846</v>
      </c>
      <c r="C2346" s="3">
        <v>0</v>
      </c>
      <c r="D2346" s="3">
        <v>1</v>
      </c>
      <c r="E2346" s="3">
        <f>C2346 - D2346</f>
        <v>-1</v>
      </c>
    </row>
    <row r="2347" spans="2:5" x14ac:dyDescent="0.35">
      <c r="B2347" s="38">
        <v>38847</v>
      </c>
      <c r="C2347" s="3">
        <v>1</v>
      </c>
      <c r="D2347" s="3">
        <v>0</v>
      </c>
      <c r="E2347" s="3">
        <f>C2347 - D2347</f>
        <v>1</v>
      </c>
    </row>
    <row r="2348" spans="2:5" x14ac:dyDescent="0.35">
      <c r="B2348" s="38">
        <v>38848</v>
      </c>
      <c r="C2348" s="3">
        <v>0</v>
      </c>
      <c r="D2348" s="3">
        <v>1</v>
      </c>
      <c r="E2348" s="3">
        <f>C2348 - D2348</f>
        <v>-1</v>
      </c>
    </row>
    <row r="2349" spans="2:5" x14ac:dyDescent="0.35">
      <c r="B2349" s="38">
        <v>38849</v>
      </c>
      <c r="C2349" s="3">
        <v>0</v>
      </c>
      <c r="D2349" s="3">
        <v>0</v>
      </c>
      <c r="E2349" s="3">
        <f>C2349 - D2349</f>
        <v>0</v>
      </c>
    </row>
    <row r="2350" spans="2:5" x14ac:dyDescent="0.35">
      <c r="B2350" s="38">
        <v>38850</v>
      </c>
      <c r="C2350" s="3">
        <v>0</v>
      </c>
      <c r="D2350" s="3">
        <v>0</v>
      </c>
      <c r="E2350" s="3">
        <f>C2350 - D2350</f>
        <v>0</v>
      </c>
    </row>
    <row r="2351" spans="2:5" x14ac:dyDescent="0.35">
      <c r="B2351" s="38">
        <v>38851</v>
      </c>
      <c r="C2351" s="3">
        <v>0</v>
      </c>
      <c r="D2351" s="3">
        <v>0</v>
      </c>
      <c r="E2351" s="3">
        <f>C2351 - D2351</f>
        <v>0</v>
      </c>
    </row>
    <row r="2352" spans="2:5" x14ac:dyDescent="0.35">
      <c r="B2352" s="38">
        <v>38852</v>
      </c>
      <c r="C2352" s="3">
        <v>1</v>
      </c>
      <c r="D2352" s="3">
        <v>0</v>
      </c>
      <c r="E2352" s="3">
        <f>C2352 - D2352</f>
        <v>1</v>
      </c>
    </row>
    <row r="2353" spans="2:5" x14ac:dyDescent="0.35">
      <c r="B2353" s="38">
        <v>38853</v>
      </c>
      <c r="C2353" s="3">
        <v>0</v>
      </c>
      <c r="D2353" s="3">
        <v>1</v>
      </c>
      <c r="E2353" s="3">
        <f>C2353 - D2353</f>
        <v>-1</v>
      </c>
    </row>
    <row r="2354" spans="2:5" x14ac:dyDescent="0.35">
      <c r="B2354" s="38">
        <v>38854</v>
      </c>
      <c r="C2354" s="3">
        <v>0</v>
      </c>
      <c r="D2354" s="3">
        <v>0</v>
      </c>
      <c r="E2354" s="3">
        <f>C2354 - D2354</f>
        <v>0</v>
      </c>
    </row>
    <row r="2355" spans="2:5" x14ac:dyDescent="0.35">
      <c r="B2355" s="38">
        <v>38855</v>
      </c>
      <c r="C2355" s="3">
        <v>0</v>
      </c>
      <c r="D2355" s="3">
        <v>0</v>
      </c>
      <c r="E2355" s="3">
        <f>C2355 - D2355</f>
        <v>0</v>
      </c>
    </row>
    <row r="2356" spans="2:5" x14ac:dyDescent="0.35">
      <c r="B2356" s="38">
        <v>38856</v>
      </c>
      <c r="C2356" s="3">
        <v>0</v>
      </c>
      <c r="D2356" s="3">
        <v>0</v>
      </c>
      <c r="E2356" s="3">
        <f>C2356 - D2356</f>
        <v>0</v>
      </c>
    </row>
    <row r="2357" spans="2:5" x14ac:dyDescent="0.35">
      <c r="B2357" s="38">
        <v>38857</v>
      </c>
      <c r="C2357" s="3">
        <v>0</v>
      </c>
      <c r="D2357" s="3">
        <v>0</v>
      </c>
      <c r="E2357" s="3">
        <f>C2357 - D2357</f>
        <v>0</v>
      </c>
    </row>
    <row r="2358" spans="2:5" x14ac:dyDescent="0.35">
      <c r="B2358" s="38">
        <v>38858</v>
      </c>
      <c r="C2358" s="3">
        <v>0</v>
      </c>
      <c r="D2358" s="3">
        <v>0</v>
      </c>
      <c r="E2358" s="3">
        <f>C2358 - D2358</f>
        <v>0</v>
      </c>
    </row>
    <row r="2359" spans="2:5" x14ac:dyDescent="0.35">
      <c r="B2359" s="38">
        <v>38859</v>
      </c>
      <c r="C2359" s="3">
        <v>1</v>
      </c>
      <c r="D2359" s="3">
        <v>0</v>
      </c>
      <c r="E2359" s="3">
        <f>C2359 - D2359</f>
        <v>1</v>
      </c>
    </row>
    <row r="2360" spans="2:5" x14ac:dyDescent="0.35">
      <c r="B2360" s="38">
        <v>38860</v>
      </c>
      <c r="C2360" s="3">
        <v>1</v>
      </c>
      <c r="D2360" s="3">
        <v>1</v>
      </c>
      <c r="E2360" s="3">
        <f>C2360 - D2360</f>
        <v>0</v>
      </c>
    </row>
    <row r="2361" spans="2:5" x14ac:dyDescent="0.35">
      <c r="B2361" s="38">
        <v>38861</v>
      </c>
      <c r="C2361" s="3">
        <v>0</v>
      </c>
      <c r="D2361" s="3">
        <v>1</v>
      </c>
      <c r="E2361" s="3">
        <f>C2361 - D2361</f>
        <v>-1</v>
      </c>
    </row>
    <row r="2362" spans="2:5" x14ac:dyDescent="0.35">
      <c r="B2362" s="38">
        <v>38862</v>
      </c>
      <c r="C2362" s="3">
        <v>0</v>
      </c>
      <c r="D2362" s="3">
        <v>0</v>
      </c>
      <c r="E2362" s="3">
        <f>C2362 - D2362</f>
        <v>0</v>
      </c>
    </row>
    <row r="2363" spans="2:5" x14ac:dyDescent="0.35">
      <c r="B2363" s="38">
        <v>38863</v>
      </c>
      <c r="C2363" s="3">
        <v>0</v>
      </c>
      <c r="D2363" s="3">
        <v>0</v>
      </c>
      <c r="E2363" s="3">
        <f>C2363 - D2363</f>
        <v>0</v>
      </c>
    </row>
    <row r="2364" spans="2:5" x14ac:dyDescent="0.35">
      <c r="B2364" s="38">
        <v>38864</v>
      </c>
      <c r="C2364" s="3">
        <v>0</v>
      </c>
      <c r="D2364" s="3">
        <v>0</v>
      </c>
      <c r="E2364" s="3">
        <f>C2364 - D2364</f>
        <v>0</v>
      </c>
    </row>
    <row r="2365" spans="2:5" x14ac:dyDescent="0.35">
      <c r="B2365" s="38">
        <v>38865</v>
      </c>
      <c r="C2365" s="3">
        <v>0</v>
      </c>
      <c r="D2365" s="3">
        <v>0</v>
      </c>
      <c r="E2365" s="3">
        <f>C2365 - D2365</f>
        <v>0</v>
      </c>
    </row>
    <row r="2366" spans="2:5" x14ac:dyDescent="0.35">
      <c r="B2366" s="38">
        <v>38866</v>
      </c>
      <c r="C2366" s="3">
        <v>1</v>
      </c>
      <c r="D2366" s="3">
        <v>0</v>
      </c>
      <c r="E2366" s="3">
        <f>C2366 - D2366</f>
        <v>1</v>
      </c>
    </row>
    <row r="2367" spans="2:5" x14ac:dyDescent="0.35">
      <c r="B2367" s="38">
        <v>38867</v>
      </c>
      <c r="C2367" s="3">
        <v>1</v>
      </c>
      <c r="D2367" s="3">
        <v>1</v>
      </c>
      <c r="E2367" s="3">
        <f>C2367 - D2367</f>
        <v>0</v>
      </c>
    </row>
    <row r="2368" spans="2:5" x14ac:dyDescent="0.35">
      <c r="B2368" s="38">
        <v>38868</v>
      </c>
      <c r="C2368" s="3">
        <v>0</v>
      </c>
      <c r="D2368" s="3">
        <v>1</v>
      </c>
      <c r="E2368" s="3">
        <f>C2368 - D2368</f>
        <v>-1</v>
      </c>
    </row>
    <row r="2369" spans="2:5" x14ac:dyDescent="0.35">
      <c r="B2369" s="38">
        <v>38869</v>
      </c>
      <c r="C2369" s="3">
        <v>0</v>
      </c>
      <c r="D2369" s="3">
        <v>0</v>
      </c>
      <c r="E2369" s="3">
        <f>C2369 - D2369</f>
        <v>0</v>
      </c>
    </row>
    <row r="2370" spans="2:5" x14ac:dyDescent="0.35">
      <c r="B2370" s="38">
        <v>38870</v>
      </c>
      <c r="C2370" s="3">
        <v>1</v>
      </c>
      <c r="D2370" s="3">
        <v>0</v>
      </c>
      <c r="E2370" s="3">
        <f>C2370 - D2370</f>
        <v>1</v>
      </c>
    </row>
    <row r="2371" spans="2:5" x14ac:dyDescent="0.35">
      <c r="B2371" s="38">
        <v>38871</v>
      </c>
      <c r="C2371" s="3">
        <v>1</v>
      </c>
      <c r="D2371" s="3">
        <v>1</v>
      </c>
      <c r="E2371" s="3">
        <f>C2371 - D2371</f>
        <v>0</v>
      </c>
    </row>
    <row r="2372" spans="2:5" x14ac:dyDescent="0.35">
      <c r="B2372" s="38">
        <v>38872</v>
      </c>
      <c r="C2372" s="3">
        <v>0</v>
      </c>
      <c r="D2372" s="3">
        <v>1</v>
      </c>
      <c r="E2372" s="3">
        <f>C2372 - D2372</f>
        <v>-1</v>
      </c>
    </row>
    <row r="2373" spans="2:5" x14ac:dyDescent="0.35">
      <c r="B2373" s="38">
        <v>38873</v>
      </c>
      <c r="C2373" s="3">
        <v>0</v>
      </c>
      <c r="D2373" s="3">
        <v>0</v>
      </c>
      <c r="E2373" s="3">
        <f>C2373 - D2373</f>
        <v>0</v>
      </c>
    </row>
    <row r="2374" spans="2:5" x14ac:dyDescent="0.35">
      <c r="B2374" s="38">
        <v>38874</v>
      </c>
      <c r="C2374" s="3">
        <v>0</v>
      </c>
      <c r="D2374" s="3">
        <v>0</v>
      </c>
      <c r="E2374" s="3">
        <f>C2374 - D2374</f>
        <v>0</v>
      </c>
    </row>
    <row r="2375" spans="2:5" x14ac:dyDescent="0.35">
      <c r="B2375" s="38">
        <v>38875</v>
      </c>
      <c r="C2375" s="3">
        <v>0</v>
      </c>
      <c r="D2375" s="3">
        <v>0</v>
      </c>
      <c r="E2375" s="3">
        <f>C2375 - D2375</f>
        <v>0</v>
      </c>
    </row>
    <row r="2376" spans="2:5" x14ac:dyDescent="0.35">
      <c r="B2376" s="38">
        <v>38876</v>
      </c>
      <c r="C2376" s="3">
        <v>0</v>
      </c>
      <c r="D2376" s="3">
        <v>0</v>
      </c>
      <c r="E2376" s="3">
        <f>C2376 - D2376</f>
        <v>0</v>
      </c>
    </row>
    <row r="2377" spans="2:5" x14ac:dyDescent="0.35">
      <c r="B2377" s="38">
        <v>38877</v>
      </c>
      <c r="C2377" s="3">
        <v>0</v>
      </c>
      <c r="D2377" s="3">
        <v>0</v>
      </c>
      <c r="E2377" s="3">
        <f>C2377 - D2377</f>
        <v>0</v>
      </c>
    </row>
    <row r="2378" spans="2:5" x14ac:dyDescent="0.35">
      <c r="B2378" s="38">
        <v>38878</v>
      </c>
      <c r="C2378" s="3">
        <v>0</v>
      </c>
      <c r="D2378" s="3">
        <v>0</v>
      </c>
      <c r="E2378" s="3">
        <f>C2378 - D2378</f>
        <v>0</v>
      </c>
    </row>
    <row r="2379" spans="2:5" x14ac:dyDescent="0.35">
      <c r="B2379" s="38">
        <v>38879</v>
      </c>
      <c r="C2379" s="3">
        <v>0</v>
      </c>
      <c r="D2379" s="3">
        <v>0</v>
      </c>
      <c r="E2379" s="3">
        <f>C2379 - D2379</f>
        <v>0</v>
      </c>
    </row>
    <row r="2380" spans="2:5" x14ac:dyDescent="0.35">
      <c r="B2380" s="38">
        <v>38880</v>
      </c>
      <c r="C2380" s="3">
        <v>1</v>
      </c>
      <c r="D2380" s="3">
        <v>0</v>
      </c>
      <c r="E2380" s="3">
        <f>C2380 - D2380</f>
        <v>1</v>
      </c>
    </row>
    <row r="2381" spans="2:5" x14ac:dyDescent="0.35">
      <c r="B2381" s="38">
        <v>38881</v>
      </c>
      <c r="C2381" s="3">
        <v>0</v>
      </c>
      <c r="D2381" s="3">
        <v>1</v>
      </c>
      <c r="E2381" s="3">
        <f>C2381 - D2381</f>
        <v>-1</v>
      </c>
    </row>
    <row r="2382" spans="2:5" x14ac:dyDescent="0.35">
      <c r="B2382" s="38">
        <v>38882</v>
      </c>
      <c r="C2382" s="3">
        <v>0</v>
      </c>
      <c r="D2382" s="3">
        <v>0</v>
      </c>
      <c r="E2382" s="3">
        <f>C2382 - D2382</f>
        <v>0</v>
      </c>
    </row>
    <row r="2383" spans="2:5" x14ac:dyDescent="0.35">
      <c r="B2383" s="38">
        <v>38883</v>
      </c>
      <c r="C2383" s="3">
        <v>0</v>
      </c>
      <c r="D2383" s="3">
        <v>0</v>
      </c>
      <c r="E2383" s="3">
        <f>C2383 - D2383</f>
        <v>0</v>
      </c>
    </row>
    <row r="2384" spans="2:5" x14ac:dyDescent="0.35">
      <c r="B2384" s="38">
        <v>38884</v>
      </c>
      <c r="C2384" s="3">
        <v>1</v>
      </c>
      <c r="D2384" s="3">
        <v>0</v>
      </c>
      <c r="E2384" s="3">
        <f>C2384 - D2384</f>
        <v>1</v>
      </c>
    </row>
    <row r="2385" spans="2:5" x14ac:dyDescent="0.35">
      <c r="B2385" s="38">
        <v>38885</v>
      </c>
      <c r="C2385" s="3">
        <v>0</v>
      </c>
      <c r="D2385" s="3">
        <v>1</v>
      </c>
      <c r="E2385" s="3">
        <f>C2385 - D2385</f>
        <v>-1</v>
      </c>
    </row>
    <row r="2386" spans="2:5" x14ac:dyDescent="0.35">
      <c r="B2386" s="38">
        <v>38886</v>
      </c>
      <c r="C2386" s="3">
        <v>0</v>
      </c>
      <c r="D2386" s="3">
        <v>0</v>
      </c>
      <c r="E2386" s="3">
        <f>C2386 - D2386</f>
        <v>0</v>
      </c>
    </row>
    <row r="2387" spans="2:5" x14ac:dyDescent="0.35">
      <c r="B2387" s="38">
        <v>38887</v>
      </c>
      <c r="C2387" s="3">
        <v>0</v>
      </c>
      <c r="D2387" s="3">
        <v>0</v>
      </c>
      <c r="E2387" s="3">
        <f>C2387 - D2387</f>
        <v>0</v>
      </c>
    </row>
    <row r="2388" spans="2:5" x14ac:dyDescent="0.35">
      <c r="B2388" s="38">
        <v>38888</v>
      </c>
      <c r="C2388" s="3">
        <v>0</v>
      </c>
      <c r="D2388" s="3">
        <v>0</v>
      </c>
      <c r="E2388" s="3">
        <f>C2388 - D2388</f>
        <v>0</v>
      </c>
    </row>
    <row r="2389" spans="2:5" x14ac:dyDescent="0.35">
      <c r="B2389" s="38">
        <v>38889</v>
      </c>
      <c r="C2389" s="3">
        <v>0</v>
      </c>
      <c r="D2389" s="3">
        <v>0</v>
      </c>
      <c r="E2389" s="3">
        <f>C2389 - D2389</f>
        <v>0</v>
      </c>
    </row>
    <row r="2390" spans="2:5" x14ac:dyDescent="0.35">
      <c r="B2390" s="38">
        <v>38890</v>
      </c>
      <c r="C2390" s="3">
        <v>0</v>
      </c>
      <c r="D2390" s="3">
        <v>0</v>
      </c>
      <c r="E2390" s="3">
        <f>C2390 - D2390</f>
        <v>0</v>
      </c>
    </row>
    <row r="2391" spans="2:5" x14ac:dyDescent="0.35">
      <c r="B2391" s="38">
        <v>38891</v>
      </c>
      <c r="C2391" s="3">
        <v>1</v>
      </c>
      <c r="D2391" s="3">
        <v>0</v>
      </c>
      <c r="E2391" s="3">
        <f>C2391 - D2391</f>
        <v>1</v>
      </c>
    </row>
    <row r="2392" spans="2:5" x14ac:dyDescent="0.35">
      <c r="B2392" s="38">
        <v>38892</v>
      </c>
      <c r="C2392" s="3">
        <v>0</v>
      </c>
      <c r="D2392" s="3">
        <v>1</v>
      </c>
      <c r="E2392" s="3">
        <f>C2392 - D2392</f>
        <v>-1</v>
      </c>
    </row>
    <row r="2393" spans="2:5" x14ac:dyDescent="0.35">
      <c r="B2393" s="38">
        <v>38893</v>
      </c>
      <c r="C2393" s="3">
        <v>1</v>
      </c>
      <c r="D2393" s="3">
        <v>0</v>
      </c>
      <c r="E2393" s="3">
        <f>C2393 - D2393</f>
        <v>1</v>
      </c>
    </row>
    <row r="2394" spans="2:5" x14ac:dyDescent="0.35">
      <c r="B2394" s="38">
        <v>38894</v>
      </c>
      <c r="C2394" s="3">
        <v>0</v>
      </c>
      <c r="D2394" s="3">
        <v>1</v>
      </c>
      <c r="E2394" s="3">
        <f>C2394 - D2394</f>
        <v>-1</v>
      </c>
    </row>
    <row r="2395" spans="2:5" x14ac:dyDescent="0.35">
      <c r="B2395" s="38">
        <v>38895</v>
      </c>
      <c r="C2395" s="3">
        <v>0</v>
      </c>
      <c r="D2395" s="3">
        <v>0</v>
      </c>
      <c r="E2395" s="3">
        <f>C2395 - D2395</f>
        <v>0</v>
      </c>
    </row>
    <row r="2396" spans="2:5" x14ac:dyDescent="0.35">
      <c r="B2396" s="38">
        <v>38896</v>
      </c>
      <c r="C2396" s="3">
        <v>0</v>
      </c>
      <c r="D2396" s="3">
        <v>0</v>
      </c>
      <c r="E2396" s="3">
        <f>C2396 - D2396</f>
        <v>0</v>
      </c>
    </row>
    <row r="2397" spans="2:5" x14ac:dyDescent="0.35">
      <c r="B2397" s="38">
        <v>38897</v>
      </c>
      <c r="C2397" s="3">
        <v>0</v>
      </c>
      <c r="D2397" s="3">
        <v>0</v>
      </c>
      <c r="E2397" s="3">
        <f>C2397 - D2397</f>
        <v>0</v>
      </c>
    </row>
    <row r="2398" spans="2:5" x14ac:dyDescent="0.35">
      <c r="B2398" s="38">
        <v>38898</v>
      </c>
      <c r="C2398" s="3">
        <v>0</v>
      </c>
      <c r="D2398" s="3">
        <v>0</v>
      </c>
      <c r="E2398" s="3">
        <f>C2398 - D2398</f>
        <v>0</v>
      </c>
    </row>
    <row r="2399" spans="2:5" x14ac:dyDescent="0.35">
      <c r="B2399" s="38">
        <v>38899</v>
      </c>
      <c r="C2399" s="3">
        <v>0</v>
      </c>
      <c r="D2399" s="3">
        <v>0</v>
      </c>
      <c r="E2399" s="3">
        <f>C2399 - D2399</f>
        <v>0</v>
      </c>
    </row>
    <row r="2400" spans="2:5" x14ac:dyDescent="0.35">
      <c r="B2400" s="38">
        <v>38900</v>
      </c>
      <c r="C2400" s="3">
        <v>1</v>
      </c>
      <c r="D2400" s="3">
        <v>0</v>
      </c>
      <c r="E2400" s="3">
        <f>C2400 - D2400</f>
        <v>1</v>
      </c>
    </row>
    <row r="2401" spans="2:5" x14ac:dyDescent="0.35">
      <c r="B2401" s="38">
        <v>38901</v>
      </c>
      <c r="C2401" s="3">
        <v>1</v>
      </c>
      <c r="D2401" s="3">
        <v>1</v>
      </c>
      <c r="E2401" s="3">
        <f>C2401 - D2401</f>
        <v>0</v>
      </c>
    </row>
    <row r="2402" spans="2:5" x14ac:dyDescent="0.35">
      <c r="B2402" s="38">
        <v>38902</v>
      </c>
      <c r="C2402" s="3">
        <v>0</v>
      </c>
      <c r="D2402" s="3">
        <v>1</v>
      </c>
      <c r="E2402" s="3">
        <f>C2402 - D2402</f>
        <v>-1</v>
      </c>
    </row>
    <row r="2403" spans="2:5" x14ac:dyDescent="0.35">
      <c r="B2403" s="38">
        <v>38903</v>
      </c>
      <c r="C2403" s="3">
        <v>0</v>
      </c>
      <c r="D2403" s="3">
        <v>0</v>
      </c>
      <c r="E2403" s="3">
        <f>C2403 - D2403</f>
        <v>0</v>
      </c>
    </row>
    <row r="2404" spans="2:5" x14ac:dyDescent="0.35">
      <c r="B2404" s="38">
        <v>38904</v>
      </c>
      <c r="C2404" s="3">
        <v>1</v>
      </c>
      <c r="D2404" s="3">
        <v>0</v>
      </c>
      <c r="E2404" s="3">
        <f>C2404 - D2404</f>
        <v>1</v>
      </c>
    </row>
    <row r="2405" spans="2:5" x14ac:dyDescent="0.35">
      <c r="B2405" s="38">
        <v>38905</v>
      </c>
      <c r="C2405" s="3">
        <v>0</v>
      </c>
      <c r="D2405" s="3">
        <v>1</v>
      </c>
      <c r="E2405" s="3">
        <f>C2405 - D2405</f>
        <v>-1</v>
      </c>
    </row>
    <row r="2406" spans="2:5" x14ac:dyDescent="0.35">
      <c r="B2406" s="38">
        <v>38906</v>
      </c>
      <c r="C2406" s="3">
        <v>1</v>
      </c>
      <c r="D2406" s="3">
        <v>0</v>
      </c>
      <c r="E2406" s="3">
        <f>C2406 - D2406</f>
        <v>1</v>
      </c>
    </row>
    <row r="2407" spans="2:5" x14ac:dyDescent="0.35">
      <c r="B2407" s="38">
        <v>38907</v>
      </c>
      <c r="C2407" s="3">
        <v>1</v>
      </c>
      <c r="D2407" s="3">
        <v>1</v>
      </c>
      <c r="E2407" s="3">
        <f>C2407 - D2407</f>
        <v>0</v>
      </c>
    </row>
    <row r="2408" spans="2:5" x14ac:dyDescent="0.35">
      <c r="B2408" s="38">
        <v>38908</v>
      </c>
      <c r="C2408" s="3">
        <v>0</v>
      </c>
      <c r="D2408" s="3">
        <v>1</v>
      </c>
      <c r="E2408" s="3">
        <f>C2408 - D2408</f>
        <v>-1</v>
      </c>
    </row>
    <row r="2409" spans="2:5" x14ac:dyDescent="0.35">
      <c r="B2409" s="38">
        <v>38909</v>
      </c>
      <c r="C2409" s="3">
        <v>0</v>
      </c>
      <c r="D2409" s="3">
        <v>0</v>
      </c>
      <c r="E2409" s="3">
        <f>C2409 - D2409</f>
        <v>0</v>
      </c>
    </row>
    <row r="2410" spans="2:5" x14ac:dyDescent="0.35">
      <c r="B2410" s="38">
        <v>38910</v>
      </c>
      <c r="C2410" s="3">
        <v>1</v>
      </c>
      <c r="D2410" s="3">
        <v>0</v>
      </c>
      <c r="E2410" s="3">
        <f>C2410 - D2410</f>
        <v>1</v>
      </c>
    </row>
    <row r="2411" spans="2:5" x14ac:dyDescent="0.35">
      <c r="B2411" s="38">
        <v>38911</v>
      </c>
      <c r="C2411" s="3">
        <v>1</v>
      </c>
      <c r="D2411" s="3">
        <v>1</v>
      </c>
      <c r="E2411" s="3">
        <f>C2411 - D2411</f>
        <v>0</v>
      </c>
    </row>
    <row r="2412" spans="2:5" x14ac:dyDescent="0.35">
      <c r="B2412" s="38">
        <v>38912</v>
      </c>
      <c r="C2412" s="3">
        <v>0</v>
      </c>
      <c r="D2412" s="3">
        <v>1</v>
      </c>
      <c r="E2412" s="3">
        <f>C2412 - D2412</f>
        <v>-1</v>
      </c>
    </row>
    <row r="2413" spans="2:5" x14ac:dyDescent="0.35">
      <c r="B2413" s="38">
        <v>38913</v>
      </c>
      <c r="C2413" s="3">
        <v>1</v>
      </c>
      <c r="D2413" s="3">
        <v>0</v>
      </c>
      <c r="E2413" s="3">
        <f>C2413 - D2413</f>
        <v>1</v>
      </c>
    </row>
    <row r="2414" spans="2:5" x14ac:dyDescent="0.35">
      <c r="B2414" s="38">
        <v>38914</v>
      </c>
      <c r="C2414" s="3">
        <v>1</v>
      </c>
      <c r="D2414" s="3">
        <v>1</v>
      </c>
      <c r="E2414" s="3">
        <f>C2414 - D2414</f>
        <v>0</v>
      </c>
    </row>
    <row r="2415" spans="2:5" x14ac:dyDescent="0.35">
      <c r="B2415" s="38">
        <v>38915</v>
      </c>
      <c r="C2415" s="3">
        <v>0</v>
      </c>
      <c r="D2415" s="3">
        <v>1</v>
      </c>
      <c r="E2415" s="3">
        <f>C2415 - D2415</f>
        <v>-1</v>
      </c>
    </row>
    <row r="2416" spans="2:5" x14ac:dyDescent="0.35">
      <c r="B2416" s="38">
        <v>38916</v>
      </c>
      <c r="C2416" s="3">
        <v>0</v>
      </c>
      <c r="D2416" s="3">
        <v>0</v>
      </c>
      <c r="E2416" s="3">
        <f>C2416 - D2416</f>
        <v>0</v>
      </c>
    </row>
    <row r="2417" spans="2:5" x14ac:dyDescent="0.35">
      <c r="B2417" s="38">
        <v>38917</v>
      </c>
      <c r="C2417" s="3">
        <v>0</v>
      </c>
      <c r="D2417" s="3">
        <v>0</v>
      </c>
      <c r="E2417" s="3">
        <f>C2417 - D2417</f>
        <v>0</v>
      </c>
    </row>
    <row r="2418" spans="2:5" x14ac:dyDescent="0.35">
      <c r="B2418" s="38">
        <v>38918</v>
      </c>
      <c r="C2418" s="3">
        <v>0</v>
      </c>
      <c r="D2418" s="3">
        <v>0</v>
      </c>
      <c r="E2418" s="3">
        <f>C2418 - D2418</f>
        <v>0</v>
      </c>
    </row>
    <row r="2419" spans="2:5" x14ac:dyDescent="0.35">
      <c r="B2419" s="38">
        <v>38919</v>
      </c>
      <c r="C2419" s="3">
        <v>0</v>
      </c>
      <c r="D2419" s="3">
        <v>0</v>
      </c>
      <c r="E2419" s="3">
        <f>C2419 - D2419</f>
        <v>0</v>
      </c>
    </row>
    <row r="2420" spans="2:5" x14ac:dyDescent="0.35">
      <c r="B2420" s="38">
        <v>38920</v>
      </c>
      <c r="C2420" s="3">
        <v>0</v>
      </c>
      <c r="D2420" s="3">
        <v>0</v>
      </c>
      <c r="E2420" s="3">
        <f>C2420 - D2420</f>
        <v>0</v>
      </c>
    </row>
    <row r="2421" spans="2:5" x14ac:dyDescent="0.35">
      <c r="B2421" s="38">
        <v>38921</v>
      </c>
      <c r="C2421" s="3">
        <v>1</v>
      </c>
      <c r="D2421" s="3">
        <v>0</v>
      </c>
      <c r="E2421" s="3">
        <f>C2421 - D2421</f>
        <v>1</v>
      </c>
    </row>
    <row r="2422" spans="2:5" x14ac:dyDescent="0.35">
      <c r="B2422" s="38">
        <v>38922</v>
      </c>
      <c r="C2422" s="3">
        <v>1</v>
      </c>
      <c r="D2422" s="3">
        <v>1</v>
      </c>
      <c r="E2422" s="3">
        <f>C2422 - D2422</f>
        <v>0</v>
      </c>
    </row>
    <row r="2423" spans="2:5" x14ac:dyDescent="0.35">
      <c r="B2423" s="38">
        <v>38923</v>
      </c>
      <c r="C2423" s="3">
        <v>0</v>
      </c>
      <c r="D2423" s="3">
        <v>1</v>
      </c>
      <c r="E2423" s="3">
        <f>C2423 - D2423</f>
        <v>-1</v>
      </c>
    </row>
    <row r="2424" spans="2:5" x14ac:dyDescent="0.35">
      <c r="B2424" s="38">
        <v>38924</v>
      </c>
      <c r="C2424" s="3">
        <v>1</v>
      </c>
      <c r="D2424" s="3">
        <v>0</v>
      </c>
      <c r="E2424" s="3">
        <f>C2424 - D2424</f>
        <v>1</v>
      </c>
    </row>
    <row r="2425" spans="2:5" x14ac:dyDescent="0.35">
      <c r="B2425" s="38">
        <v>38925</v>
      </c>
      <c r="C2425" s="3">
        <v>0</v>
      </c>
      <c r="D2425" s="3">
        <v>1</v>
      </c>
      <c r="E2425" s="3">
        <f>C2425 - D2425</f>
        <v>-1</v>
      </c>
    </row>
    <row r="2426" spans="2:5" x14ac:dyDescent="0.35">
      <c r="B2426" s="38">
        <v>38926</v>
      </c>
      <c r="C2426" s="3">
        <v>0</v>
      </c>
      <c r="D2426" s="3">
        <v>0</v>
      </c>
      <c r="E2426" s="3">
        <f>C2426 - D2426</f>
        <v>0</v>
      </c>
    </row>
    <row r="2427" spans="2:5" x14ac:dyDescent="0.35">
      <c r="B2427" s="38">
        <v>38927</v>
      </c>
      <c r="C2427" s="3">
        <v>0</v>
      </c>
      <c r="D2427" s="3">
        <v>0</v>
      </c>
      <c r="E2427" s="3">
        <f>C2427 - D2427</f>
        <v>0</v>
      </c>
    </row>
    <row r="2428" spans="2:5" x14ac:dyDescent="0.35">
      <c r="B2428" s="38">
        <v>38928</v>
      </c>
      <c r="C2428" s="3">
        <v>1</v>
      </c>
      <c r="D2428" s="3">
        <v>0</v>
      </c>
      <c r="E2428" s="3">
        <f>C2428 - D2428</f>
        <v>1</v>
      </c>
    </row>
    <row r="2429" spans="2:5" x14ac:dyDescent="0.35">
      <c r="B2429" s="38">
        <v>38929</v>
      </c>
      <c r="C2429" s="3">
        <v>1</v>
      </c>
      <c r="D2429" s="3">
        <v>1</v>
      </c>
      <c r="E2429" s="3">
        <f>C2429 - D2429</f>
        <v>0</v>
      </c>
    </row>
    <row r="2430" spans="2:5" x14ac:dyDescent="0.35">
      <c r="B2430" s="38">
        <v>38930</v>
      </c>
      <c r="C2430" s="3">
        <v>1</v>
      </c>
      <c r="D2430" s="3">
        <v>1</v>
      </c>
      <c r="E2430" s="3">
        <f>C2430 - D2430</f>
        <v>0</v>
      </c>
    </row>
    <row r="2431" spans="2:5" x14ac:dyDescent="0.35">
      <c r="B2431" s="38">
        <v>38931</v>
      </c>
      <c r="C2431" s="3">
        <v>0</v>
      </c>
      <c r="D2431" s="3">
        <v>1</v>
      </c>
      <c r="E2431" s="3">
        <f>C2431 - D2431</f>
        <v>-1</v>
      </c>
    </row>
    <row r="2432" spans="2:5" x14ac:dyDescent="0.35">
      <c r="B2432" s="38">
        <v>38932</v>
      </c>
      <c r="C2432" s="3">
        <v>1</v>
      </c>
      <c r="D2432" s="3">
        <v>0</v>
      </c>
      <c r="E2432" s="3">
        <f>C2432 - D2432</f>
        <v>1</v>
      </c>
    </row>
    <row r="2433" spans="2:5" x14ac:dyDescent="0.35">
      <c r="B2433" s="38">
        <v>38933</v>
      </c>
      <c r="C2433" s="3">
        <v>1</v>
      </c>
      <c r="D2433" s="3">
        <v>1</v>
      </c>
      <c r="E2433" s="3">
        <f>C2433 - D2433</f>
        <v>0</v>
      </c>
    </row>
    <row r="2434" spans="2:5" x14ac:dyDescent="0.35">
      <c r="B2434" s="38">
        <v>38934</v>
      </c>
      <c r="C2434" s="3">
        <v>0</v>
      </c>
      <c r="D2434" s="3">
        <v>1</v>
      </c>
      <c r="E2434" s="3">
        <f>C2434 - D2434</f>
        <v>-1</v>
      </c>
    </row>
    <row r="2435" spans="2:5" x14ac:dyDescent="0.35">
      <c r="B2435" s="38">
        <v>38935</v>
      </c>
      <c r="C2435" s="3">
        <v>0</v>
      </c>
      <c r="D2435" s="3">
        <v>0</v>
      </c>
      <c r="E2435" s="3">
        <f>C2435 - D2435</f>
        <v>0</v>
      </c>
    </row>
    <row r="2436" spans="2:5" x14ac:dyDescent="0.35">
      <c r="B2436" s="38">
        <v>38936</v>
      </c>
      <c r="C2436" s="3">
        <v>0</v>
      </c>
      <c r="D2436" s="3">
        <v>0</v>
      </c>
      <c r="E2436" s="3">
        <f>C2436 - D2436</f>
        <v>0</v>
      </c>
    </row>
    <row r="2437" spans="2:5" x14ac:dyDescent="0.35">
      <c r="B2437" s="38">
        <v>38937</v>
      </c>
      <c r="C2437" s="3">
        <v>0</v>
      </c>
      <c r="D2437" s="3">
        <v>0</v>
      </c>
      <c r="E2437" s="3">
        <f>C2437 - D2437</f>
        <v>0</v>
      </c>
    </row>
    <row r="2438" spans="2:5" x14ac:dyDescent="0.35">
      <c r="B2438" s="38">
        <v>38938</v>
      </c>
      <c r="C2438" s="3">
        <v>0</v>
      </c>
      <c r="D2438" s="3">
        <v>0</v>
      </c>
      <c r="E2438" s="3">
        <f>C2438 - D2438</f>
        <v>0</v>
      </c>
    </row>
    <row r="2439" spans="2:5" x14ac:dyDescent="0.35">
      <c r="B2439" s="38">
        <v>38939</v>
      </c>
      <c r="C2439" s="3">
        <v>0</v>
      </c>
      <c r="D2439" s="3">
        <v>0</v>
      </c>
      <c r="E2439" s="3">
        <f>C2439 - D2439</f>
        <v>0</v>
      </c>
    </row>
    <row r="2440" spans="2:5" x14ac:dyDescent="0.35">
      <c r="B2440" s="38">
        <v>38940</v>
      </c>
      <c r="C2440" s="3">
        <v>0</v>
      </c>
      <c r="D2440" s="3">
        <v>0</v>
      </c>
      <c r="E2440" s="3">
        <f>C2440 - D2440</f>
        <v>0</v>
      </c>
    </row>
    <row r="2441" spans="2:5" x14ac:dyDescent="0.35">
      <c r="B2441" s="38">
        <v>38941</v>
      </c>
      <c r="C2441" s="3">
        <v>0</v>
      </c>
      <c r="D2441" s="3">
        <v>0</v>
      </c>
      <c r="E2441" s="3">
        <f>C2441 - D2441</f>
        <v>0</v>
      </c>
    </row>
    <row r="2442" spans="2:5" x14ac:dyDescent="0.35">
      <c r="B2442" s="38">
        <v>38942</v>
      </c>
      <c r="C2442" s="3">
        <v>0</v>
      </c>
      <c r="D2442" s="3">
        <v>0</v>
      </c>
      <c r="E2442" s="3">
        <f>C2442 - D2442</f>
        <v>0</v>
      </c>
    </row>
    <row r="2443" spans="2:5" x14ac:dyDescent="0.35">
      <c r="B2443" s="38">
        <v>38943</v>
      </c>
      <c r="C2443" s="3">
        <v>0</v>
      </c>
      <c r="D2443" s="3">
        <v>0</v>
      </c>
      <c r="E2443" s="3">
        <f>C2443 - D2443</f>
        <v>0</v>
      </c>
    </row>
    <row r="2444" spans="2:5" x14ac:dyDescent="0.35">
      <c r="B2444" s="38">
        <v>38944</v>
      </c>
      <c r="C2444" s="3">
        <v>1</v>
      </c>
      <c r="D2444" s="3">
        <v>0</v>
      </c>
      <c r="E2444" s="3">
        <f>C2444 - D2444</f>
        <v>1</v>
      </c>
    </row>
    <row r="2445" spans="2:5" x14ac:dyDescent="0.35">
      <c r="B2445" s="38">
        <v>38945</v>
      </c>
      <c r="C2445" s="3">
        <v>0</v>
      </c>
      <c r="D2445" s="3">
        <v>1</v>
      </c>
      <c r="E2445" s="3">
        <f>C2445 - D2445</f>
        <v>-1</v>
      </c>
    </row>
    <row r="2446" spans="2:5" x14ac:dyDescent="0.35">
      <c r="B2446" s="38">
        <v>38946</v>
      </c>
      <c r="C2446" s="3">
        <v>1</v>
      </c>
      <c r="D2446" s="3">
        <v>0</v>
      </c>
      <c r="E2446" s="3">
        <f>C2446 - D2446</f>
        <v>1</v>
      </c>
    </row>
    <row r="2447" spans="2:5" x14ac:dyDescent="0.35">
      <c r="B2447" s="38">
        <v>38947</v>
      </c>
      <c r="C2447" s="3">
        <v>0</v>
      </c>
      <c r="D2447" s="3">
        <v>1</v>
      </c>
      <c r="E2447" s="3">
        <f>C2447 - D2447</f>
        <v>-1</v>
      </c>
    </row>
    <row r="2448" spans="2:5" x14ac:dyDescent="0.35">
      <c r="B2448" s="38">
        <v>38948</v>
      </c>
      <c r="C2448" s="3">
        <v>1</v>
      </c>
      <c r="D2448" s="3">
        <v>0</v>
      </c>
      <c r="E2448" s="3">
        <f>C2448 - D2448</f>
        <v>1</v>
      </c>
    </row>
    <row r="2449" spans="2:5" x14ac:dyDescent="0.35">
      <c r="B2449" s="38">
        <v>38949</v>
      </c>
      <c r="C2449" s="3">
        <v>0</v>
      </c>
      <c r="D2449" s="3">
        <v>1</v>
      </c>
      <c r="E2449" s="3">
        <f>C2449 - D2449</f>
        <v>-1</v>
      </c>
    </row>
    <row r="2450" spans="2:5" x14ac:dyDescent="0.35">
      <c r="B2450" s="38">
        <v>38950</v>
      </c>
      <c r="C2450" s="3">
        <v>0</v>
      </c>
      <c r="D2450" s="3">
        <v>0</v>
      </c>
      <c r="E2450" s="3">
        <f>C2450 - D2450</f>
        <v>0</v>
      </c>
    </row>
    <row r="2451" spans="2:5" x14ac:dyDescent="0.35">
      <c r="B2451" s="38">
        <v>38951</v>
      </c>
      <c r="C2451" s="3">
        <v>1</v>
      </c>
      <c r="D2451" s="3">
        <v>0</v>
      </c>
      <c r="E2451" s="3">
        <f>C2451 - D2451</f>
        <v>1</v>
      </c>
    </row>
    <row r="2452" spans="2:5" x14ac:dyDescent="0.35">
      <c r="B2452" s="38">
        <v>38952</v>
      </c>
      <c r="C2452" s="3">
        <v>1</v>
      </c>
      <c r="D2452" s="3">
        <v>1</v>
      </c>
      <c r="E2452" s="3">
        <f>C2452 - D2452</f>
        <v>0</v>
      </c>
    </row>
    <row r="2453" spans="2:5" x14ac:dyDescent="0.35">
      <c r="B2453" s="38">
        <v>38953</v>
      </c>
      <c r="C2453" s="3">
        <v>1</v>
      </c>
      <c r="D2453" s="3">
        <v>1</v>
      </c>
      <c r="E2453" s="3">
        <f>C2453 - D2453</f>
        <v>0</v>
      </c>
    </row>
    <row r="2454" spans="2:5" x14ac:dyDescent="0.35">
      <c r="B2454" s="38">
        <v>38954</v>
      </c>
      <c r="C2454" s="3">
        <v>1</v>
      </c>
      <c r="D2454" s="3">
        <v>1</v>
      </c>
      <c r="E2454" s="3">
        <f>C2454 - D2454</f>
        <v>0</v>
      </c>
    </row>
    <row r="2455" spans="2:5" x14ac:dyDescent="0.35">
      <c r="B2455" s="38">
        <v>38955</v>
      </c>
      <c r="C2455" s="3">
        <v>0</v>
      </c>
      <c r="D2455" s="3">
        <v>1</v>
      </c>
      <c r="E2455" s="3">
        <f>C2455 - D2455</f>
        <v>-1</v>
      </c>
    </row>
    <row r="2456" spans="2:5" x14ac:dyDescent="0.35">
      <c r="B2456" s="38">
        <v>38956</v>
      </c>
      <c r="C2456" s="3">
        <v>0</v>
      </c>
      <c r="D2456" s="3">
        <v>0</v>
      </c>
      <c r="E2456" s="3">
        <f>C2456 - D2456</f>
        <v>0</v>
      </c>
    </row>
    <row r="2457" spans="2:5" x14ac:dyDescent="0.35">
      <c r="B2457" s="38">
        <v>38957</v>
      </c>
      <c r="C2457" s="3">
        <v>0</v>
      </c>
      <c r="D2457" s="3">
        <v>0</v>
      </c>
      <c r="E2457" s="3">
        <f>C2457 - D2457</f>
        <v>0</v>
      </c>
    </row>
    <row r="2458" spans="2:5" x14ac:dyDescent="0.35">
      <c r="B2458" s="38">
        <v>38958</v>
      </c>
      <c r="C2458" s="3">
        <v>0</v>
      </c>
      <c r="D2458" s="3">
        <v>0</v>
      </c>
      <c r="E2458" s="3">
        <f>C2458 - D2458</f>
        <v>0</v>
      </c>
    </row>
    <row r="2459" spans="2:5" x14ac:dyDescent="0.35">
      <c r="B2459" s="38">
        <v>38959</v>
      </c>
      <c r="C2459" s="3">
        <v>0</v>
      </c>
      <c r="D2459" s="3">
        <v>0</v>
      </c>
      <c r="E2459" s="3">
        <f>C2459 - D2459</f>
        <v>0</v>
      </c>
    </row>
    <row r="2460" spans="2:5" x14ac:dyDescent="0.35">
      <c r="B2460" s="38">
        <v>38960</v>
      </c>
      <c r="C2460" s="3">
        <v>0</v>
      </c>
      <c r="D2460" s="3">
        <v>0</v>
      </c>
      <c r="E2460" s="3">
        <f>C2460 - D2460</f>
        <v>0</v>
      </c>
    </row>
    <row r="2461" spans="2:5" x14ac:dyDescent="0.35">
      <c r="B2461" s="38">
        <v>38961</v>
      </c>
      <c r="C2461" s="3">
        <v>0</v>
      </c>
      <c r="D2461" s="3">
        <v>0</v>
      </c>
      <c r="E2461" s="3">
        <f>C2461 - D2461</f>
        <v>0</v>
      </c>
    </row>
    <row r="2462" spans="2:5" x14ac:dyDescent="0.35">
      <c r="B2462" s="38">
        <v>38962</v>
      </c>
      <c r="C2462" s="3">
        <v>0</v>
      </c>
      <c r="D2462" s="3">
        <v>0</v>
      </c>
      <c r="E2462" s="3">
        <f>C2462 - D2462</f>
        <v>0</v>
      </c>
    </row>
    <row r="2463" spans="2:5" x14ac:dyDescent="0.35">
      <c r="B2463" s="38">
        <v>38963</v>
      </c>
      <c r="C2463" s="3">
        <v>1</v>
      </c>
      <c r="D2463" s="3">
        <v>0</v>
      </c>
      <c r="E2463" s="3">
        <f>C2463 - D2463</f>
        <v>1</v>
      </c>
    </row>
    <row r="2464" spans="2:5" x14ac:dyDescent="0.35">
      <c r="B2464" s="38">
        <v>38964</v>
      </c>
      <c r="C2464" s="3">
        <v>1</v>
      </c>
      <c r="D2464" s="3">
        <v>1</v>
      </c>
      <c r="E2464" s="3">
        <f>C2464 - D2464</f>
        <v>0</v>
      </c>
    </row>
    <row r="2465" spans="2:5" x14ac:dyDescent="0.35">
      <c r="B2465" s="38">
        <v>38965</v>
      </c>
      <c r="C2465" s="3">
        <v>0</v>
      </c>
      <c r="D2465" s="3">
        <v>1</v>
      </c>
      <c r="E2465" s="3">
        <f>C2465 - D2465</f>
        <v>-1</v>
      </c>
    </row>
    <row r="2466" spans="2:5" x14ac:dyDescent="0.35">
      <c r="B2466" s="38">
        <v>38966</v>
      </c>
      <c r="C2466" s="3">
        <v>1</v>
      </c>
      <c r="D2466" s="3">
        <v>0</v>
      </c>
      <c r="E2466" s="3">
        <f>C2466 - D2466</f>
        <v>1</v>
      </c>
    </row>
    <row r="2467" spans="2:5" x14ac:dyDescent="0.35">
      <c r="B2467" s="38">
        <v>38967</v>
      </c>
      <c r="C2467" s="3">
        <v>1</v>
      </c>
      <c r="D2467" s="3">
        <v>1</v>
      </c>
      <c r="E2467" s="3">
        <f>C2467 - D2467</f>
        <v>0</v>
      </c>
    </row>
    <row r="2468" spans="2:5" x14ac:dyDescent="0.35">
      <c r="B2468" s="38">
        <v>38968</v>
      </c>
      <c r="C2468" s="3">
        <v>1</v>
      </c>
      <c r="D2468" s="3">
        <v>1</v>
      </c>
      <c r="E2468" s="3">
        <f>C2468 - D2468</f>
        <v>0</v>
      </c>
    </row>
    <row r="2469" spans="2:5" x14ac:dyDescent="0.35">
      <c r="B2469" s="38">
        <v>38969</v>
      </c>
      <c r="C2469" s="3">
        <v>1</v>
      </c>
      <c r="D2469" s="3">
        <v>1</v>
      </c>
      <c r="E2469" s="3">
        <f>C2469 - D2469</f>
        <v>0</v>
      </c>
    </row>
    <row r="2470" spans="2:5" x14ac:dyDescent="0.35">
      <c r="B2470" s="38">
        <v>38970</v>
      </c>
      <c r="C2470" s="3">
        <v>1</v>
      </c>
      <c r="D2470" s="3">
        <v>1</v>
      </c>
      <c r="E2470" s="3">
        <f>C2470 - D2470</f>
        <v>0</v>
      </c>
    </row>
    <row r="2471" spans="2:5" x14ac:dyDescent="0.35">
      <c r="B2471" s="38">
        <v>38971</v>
      </c>
      <c r="C2471" s="3">
        <v>0</v>
      </c>
      <c r="D2471" s="3">
        <v>1</v>
      </c>
      <c r="E2471" s="3">
        <f>C2471 - D2471</f>
        <v>-1</v>
      </c>
    </row>
    <row r="2472" spans="2:5" x14ac:dyDescent="0.35">
      <c r="B2472" s="38">
        <v>38972</v>
      </c>
      <c r="C2472" s="3">
        <v>0</v>
      </c>
      <c r="D2472" s="3">
        <v>0</v>
      </c>
      <c r="E2472" s="3">
        <f>C2472 - D2472</f>
        <v>0</v>
      </c>
    </row>
    <row r="2473" spans="2:5" x14ac:dyDescent="0.35">
      <c r="B2473" s="38">
        <v>38973</v>
      </c>
      <c r="C2473" s="3">
        <v>0</v>
      </c>
      <c r="D2473" s="3">
        <v>0</v>
      </c>
      <c r="E2473" s="3">
        <f>C2473 - D2473</f>
        <v>0</v>
      </c>
    </row>
    <row r="2474" spans="2:5" x14ac:dyDescent="0.35">
      <c r="B2474" s="38">
        <v>38974</v>
      </c>
      <c r="C2474" s="3">
        <v>0</v>
      </c>
      <c r="D2474" s="3">
        <v>0</v>
      </c>
      <c r="E2474" s="3">
        <f>C2474 - D2474</f>
        <v>0</v>
      </c>
    </row>
    <row r="2475" spans="2:5" x14ac:dyDescent="0.35">
      <c r="B2475" s="38">
        <v>38975</v>
      </c>
      <c r="C2475" s="3">
        <v>0</v>
      </c>
      <c r="D2475" s="3">
        <v>0</v>
      </c>
      <c r="E2475" s="3">
        <f>C2475 - D2475</f>
        <v>0</v>
      </c>
    </row>
    <row r="2476" spans="2:5" x14ac:dyDescent="0.35">
      <c r="B2476" s="38">
        <v>38976</v>
      </c>
      <c r="C2476" s="3">
        <v>0</v>
      </c>
      <c r="D2476" s="3">
        <v>0</v>
      </c>
      <c r="E2476" s="3">
        <f>C2476 - D2476</f>
        <v>0</v>
      </c>
    </row>
    <row r="2477" spans="2:5" x14ac:dyDescent="0.35">
      <c r="B2477" s="38">
        <v>38977</v>
      </c>
      <c r="C2477" s="3">
        <v>0</v>
      </c>
      <c r="D2477" s="3">
        <v>0</v>
      </c>
      <c r="E2477" s="3">
        <f>C2477 - D2477</f>
        <v>0</v>
      </c>
    </row>
    <row r="2478" spans="2:5" x14ac:dyDescent="0.35">
      <c r="B2478" s="38">
        <v>38978</v>
      </c>
      <c r="C2478" s="3">
        <v>0</v>
      </c>
      <c r="D2478" s="3">
        <v>0</v>
      </c>
      <c r="E2478" s="3">
        <f>C2478 - D2478</f>
        <v>0</v>
      </c>
    </row>
    <row r="2479" spans="2:5" x14ac:dyDescent="0.35">
      <c r="B2479" s="38">
        <v>38979</v>
      </c>
      <c r="C2479" s="3">
        <v>0</v>
      </c>
      <c r="D2479" s="3">
        <v>0</v>
      </c>
      <c r="E2479" s="3">
        <f>C2479 - D2479</f>
        <v>0</v>
      </c>
    </row>
    <row r="2480" spans="2:5" x14ac:dyDescent="0.35">
      <c r="B2480" s="38">
        <v>38980</v>
      </c>
      <c r="C2480" s="3">
        <v>1</v>
      </c>
      <c r="D2480" s="3">
        <v>0</v>
      </c>
      <c r="E2480" s="3">
        <f>C2480 - D2480</f>
        <v>1</v>
      </c>
    </row>
    <row r="2481" spans="2:5" x14ac:dyDescent="0.35">
      <c r="B2481" s="38">
        <v>38981</v>
      </c>
      <c r="C2481" s="3">
        <v>1</v>
      </c>
      <c r="D2481" s="3">
        <v>1</v>
      </c>
      <c r="E2481" s="3">
        <f>C2481 - D2481</f>
        <v>0</v>
      </c>
    </row>
    <row r="2482" spans="2:5" x14ac:dyDescent="0.35">
      <c r="B2482" s="38">
        <v>38982</v>
      </c>
      <c r="C2482" s="3">
        <v>0</v>
      </c>
      <c r="D2482" s="3">
        <v>1</v>
      </c>
      <c r="E2482" s="3">
        <f>C2482 - D2482</f>
        <v>-1</v>
      </c>
    </row>
    <row r="2483" spans="2:5" x14ac:dyDescent="0.35">
      <c r="B2483" s="38">
        <v>38983</v>
      </c>
      <c r="C2483" s="3">
        <v>0</v>
      </c>
      <c r="D2483" s="3">
        <v>0</v>
      </c>
      <c r="E2483" s="3">
        <f>C2483 - D2483</f>
        <v>0</v>
      </c>
    </row>
    <row r="2484" spans="2:5" x14ac:dyDescent="0.35">
      <c r="B2484" s="38">
        <v>38984</v>
      </c>
      <c r="C2484" s="3">
        <v>1</v>
      </c>
      <c r="D2484" s="3">
        <v>0</v>
      </c>
      <c r="E2484" s="3">
        <f>C2484 - D2484</f>
        <v>1</v>
      </c>
    </row>
    <row r="2485" spans="2:5" x14ac:dyDescent="0.35">
      <c r="B2485" s="38">
        <v>38985</v>
      </c>
      <c r="C2485" s="3">
        <v>1</v>
      </c>
      <c r="D2485" s="3">
        <v>1</v>
      </c>
      <c r="E2485" s="3">
        <f>C2485 - D2485</f>
        <v>0</v>
      </c>
    </row>
    <row r="2486" spans="2:5" x14ac:dyDescent="0.35">
      <c r="B2486" s="38">
        <v>38986</v>
      </c>
      <c r="C2486" s="3">
        <v>0</v>
      </c>
      <c r="D2486" s="3">
        <v>1</v>
      </c>
      <c r="E2486" s="3">
        <f>C2486 - D2486</f>
        <v>-1</v>
      </c>
    </row>
    <row r="2487" spans="2:5" x14ac:dyDescent="0.35">
      <c r="B2487" s="38">
        <v>38987</v>
      </c>
      <c r="C2487" s="3">
        <v>0</v>
      </c>
      <c r="D2487" s="3">
        <v>0</v>
      </c>
      <c r="E2487" s="3">
        <f>C2487 - D2487</f>
        <v>0</v>
      </c>
    </row>
    <row r="2488" spans="2:5" x14ac:dyDescent="0.35">
      <c r="B2488" s="38">
        <v>38988</v>
      </c>
      <c r="C2488" s="3">
        <v>0</v>
      </c>
      <c r="D2488" s="3">
        <v>0</v>
      </c>
      <c r="E2488" s="3">
        <f>C2488 - D2488</f>
        <v>0</v>
      </c>
    </row>
    <row r="2489" spans="2:5" x14ac:dyDescent="0.35">
      <c r="B2489" s="38">
        <v>38989</v>
      </c>
      <c r="C2489" s="3">
        <v>0</v>
      </c>
      <c r="D2489" s="3">
        <v>0</v>
      </c>
      <c r="E2489" s="3">
        <f>C2489 - D2489</f>
        <v>0</v>
      </c>
    </row>
    <row r="2490" spans="2:5" x14ac:dyDescent="0.35">
      <c r="B2490" s="38">
        <v>38990</v>
      </c>
      <c r="C2490" s="3">
        <v>0</v>
      </c>
      <c r="D2490" s="3">
        <v>0</v>
      </c>
      <c r="E2490" s="3">
        <f>C2490 - D2490</f>
        <v>0</v>
      </c>
    </row>
    <row r="2491" spans="2:5" x14ac:dyDescent="0.35">
      <c r="B2491" s="38">
        <v>38991</v>
      </c>
      <c r="C2491" s="3">
        <v>0</v>
      </c>
      <c r="D2491" s="3">
        <v>0</v>
      </c>
      <c r="E2491" s="3">
        <f>C2491 - D2491</f>
        <v>0</v>
      </c>
    </row>
    <row r="2492" spans="2:5" x14ac:dyDescent="0.35">
      <c r="B2492" s="38">
        <v>38992</v>
      </c>
      <c r="C2492" s="3">
        <v>0</v>
      </c>
      <c r="D2492" s="3">
        <v>0</v>
      </c>
      <c r="E2492" s="3">
        <f>C2492 - D2492</f>
        <v>0</v>
      </c>
    </row>
    <row r="2493" spans="2:5" x14ac:dyDescent="0.35">
      <c r="B2493" s="38">
        <v>38993</v>
      </c>
      <c r="C2493" s="3">
        <v>0</v>
      </c>
      <c r="D2493" s="3">
        <v>0</v>
      </c>
      <c r="E2493" s="3">
        <f>C2493 - D2493</f>
        <v>0</v>
      </c>
    </row>
    <row r="2494" spans="2:5" x14ac:dyDescent="0.35">
      <c r="B2494" s="38">
        <v>38994</v>
      </c>
      <c r="C2494" s="3">
        <v>0</v>
      </c>
      <c r="D2494" s="3">
        <v>0</v>
      </c>
      <c r="E2494" s="3">
        <f>C2494 - D2494</f>
        <v>0</v>
      </c>
    </row>
    <row r="2495" spans="2:5" x14ac:dyDescent="0.35">
      <c r="B2495" s="38">
        <v>38995</v>
      </c>
      <c r="C2495" s="3">
        <v>1</v>
      </c>
      <c r="D2495" s="3">
        <v>0</v>
      </c>
      <c r="E2495" s="3">
        <f>C2495 - D2495</f>
        <v>1</v>
      </c>
    </row>
    <row r="2496" spans="2:5" x14ac:dyDescent="0.35">
      <c r="B2496" s="38">
        <v>38996</v>
      </c>
      <c r="C2496" s="3">
        <v>0</v>
      </c>
      <c r="D2496" s="3">
        <v>1</v>
      </c>
      <c r="E2496" s="3">
        <f>C2496 - D2496</f>
        <v>-1</v>
      </c>
    </row>
    <row r="2497" spans="2:5" x14ac:dyDescent="0.35">
      <c r="B2497" s="38">
        <v>38997</v>
      </c>
      <c r="C2497" s="3">
        <v>0</v>
      </c>
      <c r="D2497" s="3">
        <v>0</v>
      </c>
      <c r="E2497" s="3">
        <f>C2497 - D2497</f>
        <v>0</v>
      </c>
    </row>
    <row r="2498" spans="2:5" x14ac:dyDescent="0.35">
      <c r="B2498" s="38">
        <v>38998</v>
      </c>
      <c r="C2498" s="3">
        <v>1</v>
      </c>
      <c r="D2498" s="3">
        <v>0</v>
      </c>
      <c r="E2498" s="3">
        <f>C2498 - D2498</f>
        <v>1</v>
      </c>
    </row>
    <row r="2499" spans="2:5" x14ac:dyDescent="0.35">
      <c r="B2499" s="38">
        <v>38999</v>
      </c>
      <c r="C2499" s="3">
        <v>0</v>
      </c>
      <c r="D2499" s="3">
        <v>1</v>
      </c>
      <c r="E2499" s="3">
        <f>C2499 - D2499</f>
        <v>-1</v>
      </c>
    </row>
    <row r="2500" spans="2:5" x14ac:dyDescent="0.35">
      <c r="B2500" s="38">
        <v>39000</v>
      </c>
      <c r="C2500" s="3">
        <v>0</v>
      </c>
      <c r="D2500" s="3">
        <v>0</v>
      </c>
      <c r="E2500" s="3">
        <f>C2500 - D2500</f>
        <v>0</v>
      </c>
    </row>
    <row r="2501" spans="2:5" x14ac:dyDescent="0.35">
      <c r="B2501" s="38">
        <v>39001</v>
      </c>
      <c r="C2501" s="3">
        <v>0</v>
      </c>
      <c r="D2501" s="3">
        <v>0</v>
      </c>
      <c r="E2501" s="3">
        <f>C2501 - D2501</f>
        <v>0</v>
      </c>
    </row>
    <row r="2502" spans="2:5" x14ac:dyDescent="0.35">
      <c r="B2502" s="38">
        <v>39002</v>
      </c>
      <c r="C2502" s="3">
        <v>0</v>
      </c>
      <c r="D2502" s="3">
        <v>0</v>
      </c>
      <c r="E2502" s="3">
        <f>C2502 - D2502</f>
        <v>0</v>
      </c>
    </row>
    <row r="2503" spans="2:5" x14ac:dyDescent="0.35">
      <c r="B2503" s="38">
        <v>39003</v>
      </c>
      <c r="C2503" s="3">
        <v>0</v>
      </c>
      <c r="D2503" s="3">
        <v>0</v>
      </c>
      <c r="E2503" s="3">
        <f>C2503 - D2503</f>
        <v>0</v>
      </c>
    </row>
    <row r="2504" spans="2:5" x14ac:dyDescent="0.35">
      <c r="B2504" s="38">
        <v>39004</v>
      </c>
      <c r="C2504" s="3">
        <v>0</v>
      </c>
      <c r="D2504" s="3">
        <v>0</v>
      </c>
      <c r="E2504" s="3">
        <f>C2504 - D2504</f>
        <v>0</v>
      </c>
    </row>
    <row r="2505" spans="2:5" x14ac:dyDescent="0.35">
      <c r="B2505" s="38">
        <v>39005</v>
      </c>
      <c r="C2505" s="3">
        <v>0</v>
      </c>
      <c r="D2505" s="3">
        <v>0</v>
      </c>
      <c r="E2505" s="3">
        <f>C2505 - D2505</f>
        <v>0</v>
      </c>
    </row>
    <row r="2506" spans="2:5" x14ac:dyDescent="0.35">
      <c r="B2506" s="38">
        <v>39006</v>
      </c>
      <c r="C2506" s="3">
        <v>0</v>
      </c>
      <c r="D2506" s="3">
        <v>0</v>
      </c>
      <c r="E2506" s="3">
        <f>C2506 - D2506</f>
        <v>0</v>
      </c>
    </row>
    <row r="2507" spans="2:5" x14ac:dyDescent="0.35">
      <c r="B2507" s="38">
        <v>39007</v>
      </c>
      <c r="C2507" s="3">
        <v>0</v>
      </c>
      <c r="D2507" s="3">
        <v>0</v>
      </c>
      <c r="E2507" s="3">
        <f>C2507 - D2507</f>
        <v>0</v>
      </c>
    </row>
    <row r="2508" spans="2:5" x14ac:dyDescent="0.35">
      <c r="B2508" s="38">
        <v>39008</v>
      </c>
      <c r="C2508" s="3">
        <v>1</v>
      </c>
      <c r="D2508" s="3">
        <v>0</v>
      </c>
      <c r="E2508" s="3">
        <f>C2508 - D2508</f>
        <v>1</v>
      </c>
    </row>
    <row r="2509" spans="2:5" x14ac:dyDescent="0.35">
      <c r="B2509" s="38">
        <v>39009</v>
      </c>
      <c r="C2509" s="3">
        <v>1</v>
      </c>
      <c r="D2509" s="3">
        <v>1</v>
      </c>
      <c r="E2509" s="3">
        <f>C2509 - D2509</f>
        <v>0</v>
      </c>
    </row>
    <row r="2510" spans="2:5" x14ac:dyDescent="0.35">
      <c r="B2510" s="38">
        <v>39010</v>
      </c>
      <c r="C2510" s="3">
        <v>0</v>
      </c>
      <c r="D2510" s="3">
        <v>1</v>
      </c>
      <c r="E2510" s="3">
        <f>C2510 - D2510</f>
        <v>-1</v>
      </c>
    </row>
    <row r="2511" spans="2:5" x14ac:dyDescent="0.35">
      <c r="B2511" s="38">
        <v>39011</v>
      </c>
      <c r="C2511" s="3">
        <v>1</v>
      </c>
      <c r="D2511" s="3">
        <v>0</v>
      </c>
      <c r="E2511" s="3">
        <f>C2511 - D2511</f>
        <v>1</v>
      </c>
    </row>
    <row r="2512" spans="2:5" x14ac:dyDescent="0.35">
      <c r="B2512" s="38">
        <v>39012</v>
      </c>
      <c r="C2512" s="3">
        <v>1</v>
      </c>
      <c r="D2512" s="3">
        <v>1</v>
      </c>
      <c r="E2512" s="3">
        <f>C2512 - D2512</f>
        <v>0</v>
      </c>
    </row>
    <row r="2513" spans="2:5" x14ac:dyDescent="0.35">
      <c r="B2513" s="38">
        <v>39013</v>
      </c>
      <c r="C2513" s="3">
        <v>0</v>
      </c>
      <c r="D2513" s="3">
        <v>1</v>
      </c>
      <c r="E2513" s="3">
        <f>C2513 - D2513</f>
        <v>-1</v>
      </c>
    </row>
    <row r="2514" spans="2:5" x14ac:dyDescent="0.35">
      <c r="B2514" s="38">
        <v>39014</v>
      </c>
      <c r="C2514" s="3">
        <v>0</v>
      </c>
      <c r="D2514" s="3">
        <v>0</v>
      </c>
      <c r="E2514" s="3">
        <f>C2514 - D2514</f>
        <v>0</v>
      </c>
    </row>
    <row r="2515" spans="2:5" x14ac:dyDescent="0.35">
      <c r="B2515" s="38">
        <v>39015</v>
      </c>
      <c r="C2515" s="3">
        <v>1</v>
      </c>
      <c r="D2515" s="3">
        <v>0</v>
      </c>
      <c r="E2515" s="3">
        <f>C2515 - D2515</f>
        <v>1</v>
      </c>
    </row>
    <row r="2516" spans="2:5" x14ac:dyDescent="0.35">
      <c r="B2516" s="38">
        <v>39016</v>
      </c>
      <c r="C2516" s="3">
        <v>1</v>
      </c>
      <c r="D2516" s="3">
        <v>1</v>
      </c>
      <c r="E2516" s="3">
        <f>C2516 - D2516</f>
        <v>0</v>
      </c>
    </row>
    <row r="2517" spans="2:5" x14ac:dyDescent="0.35">
      <c r="B2517" s="38">
        <v>39017</v>
      </c>
      <c r="C2517" s="3">
        <v>0</v>
      </c>
      <c r="D2517" s="3">
        <v>1</v>
      </c>
      <c r="E2517" s="3">
        <f>C2517 - D2517</f>
        <v>-1</v>
      </c>
    </row>
    <row r="2518" spans="2:5" x14ac:dyDescent="0.35">
      <c r="B2518" s="38">
        <v>39018</v>
      </c>
      <c r="C2518" s="3">
        <v>1</v>
      </c>
      <c r="D2518" s="3">
        <v>0</v>
      </c>
      <c r="E2518" s="3">
        <f>C2518 - D2518</f>
        <v>1</v>
      </c>
    </row>
    <row r="2519" spans="2:5" x14ac:dyDescent="0.35">
      <c r="B2519" s="38">
        <v>39019</v>
      </c>
      <c r="C2519" s="3">
        <v>1</v>
      </c>
      <c r="D2519" s="3">
        <v>1</v>
      </c>
      <c r="E2519" s="3">
        <f>C2519 - D2519</f>
        <v>0</v>
      </c>
    </row>
    <row r="2520" spans="2:5" x14ac:dyDescent="0.35">
      <c r="B2520" s="38">
        <v>39020</v>
      </c>
      <c r="C2520" s="3">
        <v>0</v>
      </c>
      <c r="D2520" s="3">
        <v>1</v>
      </c>
      <c r="E2520" s="3">
        <f>C2520 - D2520</f>
        <v>-1</v>
      </c>
    </row>
    <row r="2521" spans="2:5" x14ac:dyDescent="0.35">
      <c r="B2521" s="38">
        <v>39021</v>
      </c>
      <c r="C2521" s="3">
        <v>0</v>
      </c>
      <c r="D2521" s="3">
        <v>0</v>
      </c>
      <c r="E2521" s="3">
        <f>C2521 - D2521</f>
        <v>0</v>
      </c>
    </row>
    <row r="2522" spans="2:5" x14ac:dyDescent="0.35">
      <c r="B2522" s="38">
        <v>39022</v>
      </c>
      <c r="C2522" s="3">
        <v>0</v>
      </c>
      <c r="D2522" s="3">
        <v>0</v>
      </c>
      <c r="E2522" s="3">
        <f>C2522 - D2522</f>
        <v>0</v>
      </c>
    </row>
    <row r="2523" spans="2:5" x14ac:dyDescent="0.35">
      <c r="B2523" s="38">
        <v>39023</v>
      </c>
      <c r="C2523" s="3">
        <v>1</v>
      </c>
      <c r="D2523" s="3">
        <v>0</v>
      </c>
      <c r="E2523" s="3">
        <f>C2523 - D2523</f>
        <v>1</v>
      </c>
    </row>
    <row r="2524" spans="2:5" x14ac:dyDescent="0.35">
      <c r="B2524" s="38">
        <v>39024</v>
      </c>
      <c r="C2524" s="3">
        <v>1</v>
      </c>
      <c r="D2524" s="3">
        <v>1</v>
      </c>
      <c r="E2524" s="3">
        <f>C2524 - D2524</f>
        <v>0</v>
      </c>
    </row>
    <row r="2525" spans="2:5" x14ac:dyDescent="0.35">
      <c r="B2525" s="38">
        <v>39025</v>
      </c>
      <c r="C2525" s="3">
        <v>0</v>
      </c>
      <c r="D2525" s="3">
        <v>1</v>
      </c>
      <c r="E2525" s="3">
        <f>C2525 - D2525</f>
        <v>-1</v>
      </c>
    </row>
    <row r="2526" spans="2:5" x14ac:dyDescent="0.35">
      <c r="B2526" s="38">
        <v>39026</v>
      </c>
      <c r="C2526" s="3">
        <v>0</v>
      </c>
      <c r="D2526" s="3">
        <v>0</v>
      </c>
      <c r="E2526" s="3">
        <f>C2526 - D2526</f>
        <v>0</v>
      </c>
    </row>
    <row r="2527" spans="2:5" x14ac:dyDescent="0.35">
      <c r="B2527" s="38">
        <v>39027</v>
      </c>
      <c r="C2527" s="3">
        <v>0</v>
      </c>
      <c r="D2527" s="3">
        <v>0</v>
      </c>
      <c r="E2527" s="3">
        <f>C2527 - D2527</f>
        <v>0</v>
      </c>
    </row>
    <row r="2528" spans="2:5" x14ac:dyDescent="0.35">
      <c r="B2528" s="38">
        <v>39028</v>
      </c>
      <c r="C2528" s="3">
        <v>0</v>
      </c>
      <c r="D2528" s="3">
        <v>0</v>
      </c>
      <c r="E2528" s="3">
        <f>C2528 - D2528</f>
        <v>0</v>
      </c>
    </row>
    <row r="2529" spans="2:5" x14ac:dyDescent="0.35">
      <c r="B2529" s="38">
        <v>39029</v>
      </c>
      <c r="C2529" s="3">
        <v>0</v>
      </c>
      <c r="D2529" s="3">
        <v>0</v>
      </c>
      <c r="E2529" s="3">
        <f>C2529 - D2529</f>
        <v>0</v>
      </c>
    </row>
    <row r="2530" spans="2:5" x14ac:dyDescent="0.35">
      <c r="B2530" s="38">
        <v>39030</v>
      </c>
      <c r="C2530" s="3">
        <v>0</v>
      </c>
      <c r="D2530" s="3">
        <v>0</v>
      </c>
      <c r="E2530" s="3">
        <f>C2530 - D2530</f>
        <v>0</v>
      </c>
    </row>
    <row r="2531" spans="2:5" x14ac:dyDescent="0.35">
      <c r="B2531" s="38">
        <v>39031</v>
      </c>
      <c r="C2531" s="3">
        <v>0</v>
      </c>
      <c r="D2531" s="3">
        <v>0</v>
      </c>
      <c r="E2531" s="3">
        <f>C2531 - D2531</f>
        <v>0</v>
      </c>
    </row>
    <row r="2532" spans="2:5" x14ac:dyDescent="0.35">
      <c r="B2532" s="38">
        <v>39032</v>
      </c>
      <c r="C2532" s="3">
        <v>0</v>
      </c>
      <c r="D2532" s="3">
        <v>0</v>
      </c>
      <c r="E2532" s="3">
        <f>C2532 - D2532</f>
        <v>0</v>
      </c>
    </row>
    <row r="2533" spans="2:5" x14ac:dyDescent="0.35">
      <c r="B2533" s="38">
        <v>39033</v>
      </c>
      <c r="C2533" s="3">
        <v>1</v>
      </c>
      <c r="D2533" s="3">
        <v>0</v>
      </c>
      <c r="E2533" s="3">
        <f>C2533 - D2533</f>
        <v>1</v>
      </c>
    </row>
    <row r="2534" spans="2:5" x14ac:dyDescent="0.35">
      <c r="B2534" s="38">
        <v>39034</v>
      </c>
      <c r="C2534" s="3">
        <v>1</v>
      </c>
      <c r="D2534" s="3">
        <v>1</v>
      </c>
      <c r="E2534" s="3">
        <f>C2534 - D2534</f>
        <v>0</v>
      </c>
    </row>
    <row r="2535" spans="2:5" x14ac:dyDescent="0.35">
      <c r="B2535" s="38">
        <v>39035</v>
      </c>
      <c r="C2535" s="3">
        <v>1</v>
      </c>
      <c r="D2535" s="3">
        <v>1</v>
      </c>
      <c r="E2535" s="3">
        <f>C2535 - D2535</f>
        <v>0</v>
      </c>
    </row>
    <row r="2536" spans="2:5" x14ac:dyDescent="0.35">
      <c r="B2536" s="38">
        <v>39036</v>
      </c>
      <c r="C2536" s="3">
        <v>1</v>
      </c>
      <c r="D2536" s="3">
        <v>1</v>
      </c>
      <c r="E2536" s="3">
        <f>C2536 - D2536</f>
        <v>0</v>
      </c>
    </row>
    <row r="2537" spans="2:5" x14ac:dyDescent="0.35">
      <c r="B2537" s="38">
        <v>39037</v>
      </c>
      <c r="C2537" s="3">
        <v>1</v>
      </c>
      <c r="D2537" s="3">
        <v>1</v>
      </c>
      <c r="E2537" s="3">
        <f>C2537 - D2537</f>
        <v>0</v>
      </c>
    </row>
    <row r="2538" spans="2:5" x14ac:dyDescent="0.35">
      <c r="B2538" s="38">
        <v>39038</v>
      </c>
      <c r="C2538" s="3">
        <v>1</v>
      </c>
      <c r="D2538" s="3">
        <v>1</v>
      </c>
      <c r="E2538" s="3">
        <f>C2538 - D2538</f>
        <v>0</v>
      </c>
    </row>
    <row r="2539" spans="2:5" x14ac:dyDescent="0.35">
      <c r="B2539" s="38">
        <v>39039</v>
      </c>
      <c r="C2539" s="3">
        <v>0</v>
      </c>
      <c r="D2539" s="3">
        <v>1</v>
      </c>
      <c r="E2539" s="3">
        <f>C2539 - D2539</f>
        <v>-1</v>
      </c>
    </row>
    <row r="2540" spans="2:5" x14ac:dyDescent="0.35">
      <c r="B2540" s="38">
        <v>39040</v>
      </c>
      <c r="C2540" s="3">
        <v>0</v>
      </c>
      <c r="D2540" s="3">
        <v>0</v>
      </c>
      <c r="E2540" s="3">
        <f>C2540 - D2540</f>
        <v>0</v>
      </c>
    </row>
    <row r="2541" spans="2:5" x14ac:dyDescent="0.35">
      <c r="B2541" s="38">
        <v>39041</v>
      </c>
      <c r="C2541" s="3">
        <v>0</v>
      </c>
      <c r="D2541" s="3">
        <v>0</v>
      </c>
      <c r="E2541" s="3">
        <f>C2541 - D2541</f>
        <v>0</v>
      </c>
    </row>
    <row r="2542" spans="2:5" x14ac:dyDescent="0.35">
      <c r="B2542" s="38">
        <v>39042</v>
      </c>
      <c r="C2542" s="3">
        <v>1</v>
      </c>
      <c r="D2542" s="3">
        <v>0</v>
      </c>
      <c r="E2542" s="3">
        <f>C2542 - D2542</f>
        <v>1</v>
      </c>
    </row>
    <row r="2543" spans="2:5" x14ac:dyDescent="0.35">
      <c r="B2543" s="38">
        <v>39043</v>
      </c>
      <c r="C2543" s="3">
        <v>0</v>
      </c>
      <c r="D2543" s="3">
        <v>1</v>
      </c>
      <c r="E2543" s="3">
        <f>C2543 - D2543</f>
        <v>-1</v>
      </c>
    </row>
    <row r="2544" spans="2:5" x14ac:dyDescent="0.35">
      <c r="B2544" s="38">
        <v>39044</v>
      </c>
      <c r="C2544" s="3">
        <v>0</v>
      </c>
      <c r="D2544" s="3">
        <v>0</v>
      </c>
      <c r="E2544" s="3">
        <f>C2544 - D2544</f>
        <v>0</v>
      </c>
    </row>
    <row r="2545" spans="2:5" x14ac:dyDescent="0.35">
      <c r="B2545" s="38">
        <v>39045</v>
      </c>
      <c r="C2545" s="3">
        <v>0</v>
      </c>
      <c r="D2545" s="3">
        <v>0</v>
      </c>
      <c r="E2545" s="3">
        <f>C2545 - D2545</f>
        <v>0</v>
      </c>
    </row>
    <row r="2546" spans="2:5" x14ac:dyDescent="0.35">
      <c r="B2546" s="38">
        <v>39046</v>
      </c>
      <c r="C2546" s="3">
        <v>0</v>
      </c>
      <c r="D2546" s="3">
        <v>0</v>
      </c>
      <c r="E2546" s="3">
        <f>C2546 - D2546</f>
        <v>0</v>
      </c>
    </row>
    <row r="2547" spans="2:5" x14ac:dyDescent="0.35">
      <c r="B2547" s="38">
        <v>39047</v>
      </c>
      <c r="C2547" s="3">
        <v>0</v>
      </c>
      <c r="D2547" s="3">
        <v>0</v>
      </c>
      <c r="E2547" s="3">
        <f>C2547 - D2547</f>
        <v>0</v>
      </c>
    </row>
    <row r="2548" spans="2:5" x14ac:dyDescent="0.35">
      <c r="B2548" s="38">
        <v>39048</v>
      </c>
      <c r="C2548" s="3">
        <v>0</v>
      </c>
      <c r="D2548" s="3">
        <v>0</v>
      </c>
      <c r="E2548" s="3">
        <f>C2548 - D2548</f>
        <v>0</v>
      </c>
    </row>
    <row r="2549" spans="2:5" x14ac:dyDescent="0.35">
      <c r="B2549" s="38">
        <v>39049</v>
      </c>
      <c r="C2549" s="3">
        <v>0</v>
      </c>
      <c r="D2549" s="3">
        <v>0</v>
      </c>
      <c r="E2549" s="3">
        <f>C2549 - D2549</f>
        <v>0</v>
      </c>
    </row>
    <row r="2550" spans="2:5" x14ac:dyDescent="0.35">
      <c r="B2550" s="38">
        <v>39050</v>
      </c>
      <c r="C2550" s="3">
        <v>1</v>
      </c>
      <c r="D2550" s="3">
        <v>0</v>
      </c>
      <c r="E2550" s="3">
        <f>C2550 - D2550</f>
        <v>1</v>
      </c>
    </row>
    <row r="2551" spans="2:5" x14ac:dyDescent="0.35">
      <c r="B2551" s="38">
        <v>39051</v>
      </c>
      <c r="C2551" s="3">
        <v>0</v>
      </c>
      <c r="D2551" s="3">
        <v>1</v>
      </c>
      <c r="E2551" s="3">
        <f>C2551 - D2551</f>
        <v>-1</v>
      </c>
    </row>
    <row r="2552" spans="2:5" x14ac:dyDescent="0.35">
      <c r="B2552" s="38">
        <v>39052</v>
      </c>
      <c r="C2552" s="3">
        <v>0</v>
      </c>
      <c r="D2552" s="3">
        <v>0</v>
      </c>
      <c r="E2552" s="3">
        <f>C2552 - D2552</f>
        <v>0</v>
      </c>
    </row>
    <row r="2553" spans="2:5" x14ac:dyDescent="0.35">
      <c r="B2553" s="38">
        <v>39053</v>
      </c>
      <c r="C2553" s="3">
        <v>0</v>
      </c>
      <c r="D2553" s="3">
        <v>0</v>
      </c>
      <c r="E2553" s="3">
        <f>C2553 - D2553</f>
        <v>0</v>
      </c>
    </row>
    <row r="2554" spans="2:5" x14ac:dyDescent="0.35">
      <c r="B2554" s="38">
        <v>39054</v>
      </c>
      <c r="C2554" s="3">
        <v>0</v>
      </c>
      <c r="D2554" s="3">
        <v>0</v>
      </c>
      <c r="E2554" s="3">
        <f>C2554 - D2554</f>
        <v>0</v>
      </c>
    </row>
    <row r="2555" spans="2:5" x14ac:dyDescent="0.35">
      <c r="B2555" s="38">
        <v>39055</v>
      </c>
      <c r="C2555" s="3">
        <v>0</v>
      </c>
      <c r="D2555" s="3">
        <v>0</v>
      </c>
      <c r="E2555" s="3">
        <f>C2555 - D2555</f>
        <v>0</v>
      </c>
    </row>
    <row r="2556" spans="2:5" x14ac:dyDescent="0.35">
      <c r="B2556" s="38">
        <v>39056</v>
      </c>
      <c r="C2556" s="3">
        <v>0</v>
      </c>
      <c r="D2556" s="3">
        <v>0</v>
      </c>
      <c r="E2556" s="3">
        <f>C2556 - D2556</f>
        <v>0</v>
      </c>
    </row>
    <row r="2557" spans="2:5" x14ac:dyDescent="0.35">
      <c r="B2557" s="38">
        <v>39057</v>
      </c>
      <c r="C2557" s="3">
        <v>0</v>
      </c>
      <c r="D2557" s="3">
        <v>0</v>
      </c>
      <c r="E2557" s="3">
        <f>C2557 - D2557</f>
        <v>0</v>
      </c>
    </row>
    <row r="2558" spans="2:5" x14ac:dyDescent="0.35">
      <c r="B2558" s="38">
        <v>39058</v>
      </c>
      <c r="C2558" s="3">
        <v>0</v>
      </c>
      <c r="D2558" s="3">
        <v>0</v>
      </c>
      <c r="E2558" s="3">
        <f>C2558 - D2558</f>
        <v>0</v>
      </c>
    </row>
    <row r="2559" spans="2:5" x14ac:dyDescent="0.35">
      <c r="B2559" s="38">
        <v>39059</v>
      </c>
      <c r="C2559" s="3">
        <v>0</v>
      </c>
      <c r="D2559" s="3">
        <v>0</v>
      </c>
      <c r="E2559" s="3">
        <f>C2559 - D2559</f>
        <v>0</v>
      </c>
    </row>
    <row r="2560" spans="2:5" x14ac:dyDescent="0.35">
      <c r="B2560" s="38">
        <v>39060</v>
      </c>
      <c r="C2560" s="3">
        <v>0</v>
      </c>
      <c r="D2560" s="3">
        <v>0</v>
      </c>
      <c r="E2560" s="3">
        <f>C2560 - D2560</f>
        <v>0</v>
      </c>
    </row>
    <row r="2561" spans="2:5" x14ac:dyDescent="0.35">
      <c r="B2561" s="38">
        <v>39061</v>
      </c>
      <c r="C2561" s="3">
        <v>0</v>
      </c>
      <c r="D2561" s="3">
        <v>0</v>
      </c>
      <c r="E2561" s="3">
        <f>C2561 - D2561</f>
        <v>0</v>
      </c>
    </row>
    <row r="2562" spans="2:5" x14ac:dyDescent="0.35">
      <c r="B2562" s="38">
        <v>39062</v>
      </c>
      <c r="C2562" s="3">
        <v>0</v>
      </c>
      <c r="D2562" s="3">
        <v>0</v>
      </c>
      <c r="E2562" s="3">
        <f>C2562 - D2562</f>
        <v>0</v>
      </c>
    </row>
    <row r="2563" spans="2:5" x14ac:dyDescent="0.35">
      <c r="B2563" s="38">
        <v>39063</v>
      </c>
      <c r="C2563" s="3">
        <v>0</v>
      </c>
      <c r="D2563" s="3">
        <v>0</v>
      </c>
      <c r="E2563" s="3">
        <f>C2563 - D2563</f>
        <v>0</v>
      </c>
    </row>
    <row r="2564" spans="2:5" x14ac:dyDescent="0.35">
      <c r="B2564" s="38">
        <v>39064</v>
      </c>
      <c r="C2564" s="3">
        <v>0</v>
      </c>
      <c r="D2564" s="3">
        <v>0</v>
      </c>
      <c r="E2564" s="3">
        <f>C2564 - D2564</f>
        <v>0</v>
      </c>
    </row>
    <row r="2565" spans="2:5" x14ac:dyDescent="0.35">
      <c r="B2565" s="38">
        <v>39065</v>
      </c>
      <c r="C2565" s="3">
        <v>0</v>
      </c>
      <c r="D2565" s="3">
        <v>0</v>
      </c>
      <c r="E2565" s="3">
        <f>C2565 - D2565</f>
        <v>0</v>
      </c>
    </row>
    <row r="2566" spans="2:5" x14ac:dyDescent="0.35">
      <c r="B2566" s="38">
        <v>39066</v>
      </c>
      <c r="C2566" s="3">
        <v>1</v>
      </c>
      <c r="D2566" s="3">
        <v>0</v>
      </c>
      <c r="E2566" s="3">
        <f>C2566 - D2566</f>
        <v>1</v>
      </c>
    </row>
    <row r="2567" spans="2:5" x14ac:dyDescent="0.35">
      <c r="B2567" s="38">
        <v>39067</v>
      </c>
      <c r="C2567" s="3">
        <v>0</v>
      </c>
      <c r="D2567" s="3">
        <v>1</v>
      </c>
      <c r="E2567" s="3">
        <f>C2567 - D2567</f>
        <v>-1</v>
      </c>
    </row>
    <row r="2568" spans="2:5" x14ac:dyDescent="0.35">
      <c r="B2568" s="38">
        <v>39068</v>
      </c>
      <c r="C2568" s="3">
        <v>0</v>
      </c>
      <c r="D2568" s="3">
        <v>0</v>
      </c>
      <c r="E2568" s="3">
        <f>C2568 - D2568</f>
        <v>0</v>
      </c>
    </row>
    <row r="2569" spans="2:5" x14ac:dyDescent="0.35">
      <c r="B2569" s="38">
        <v>39069</v>
      </c>
      <c r="C2569" s="3">
        <v>0</v>
      </c>
      <c r="D2569" s="3">
        <v>0</v>
      </c>
      <c r="E2569" s="3">
        <f>C2569 - D2569</f>
        <v>0</v>
      </c>
    </row>
    <row r="2570" spans="2:5" x14ac:dyDescent="0.35">
      <c r="B2570" s="38">
        <v>39070</v>
      </c>
      <c r="C2570" s="3">
        <v>0</v>
      </c>
      <c r="D2570" s="3">
        <v>0</v>
      </c>
      <c r="E2570" s="3">
        <f>C2570 - D2570</f>
        <v>0</v>
      </c>
    </row>
    <row r="2571" spans="2:5" x14ac:dyDescent="0.35">
      <c r="B2571" s="38">
        <v>39071</v>
      </c>
      <c r="C2571" s="3">
        <v>0</v>
      </c>
      <c r="D2571" s="3">
        <v>0</v>
      </c>
      <c r="E2571" s="3">
        <f>C2571 - D2571</f>
        <v>0</v>
      </c>
    </row>
    <row r="2572" spans="2:5" x14ac:dyDescent="0.35">
      <c r="B2572" s="38">
        <v>39072</v>
      </c>
      <c r="C2572" s="3">
        <v>0</v>
      </c>
      <c r="D2572" s="3">
        <v>0</v>
      </c>
      <c r="E2572" s="3">
        <f>C2572 - D2572</f>
        <v>0</v>
      </c>
    </row>
    <row r="2573" spans="2:5" x14ac:dyDescent="0.35">
      <c r="B2573" s="38">
        <v>39073</v>
      </c>
      <c r="C2573" s="3">
        <v>0</v>
      </c>
      <c r="D2573" s="3">
        <v>0</v>
      </c>
      <c r="E2573" s="3">
        <f>C2573 - D2573</f>
        <v>0</v>
      </c>
    </row>
    <row r="2574" spans="2:5" x14ac:dyDescent="0.35">
      <c r="B2574" s="38">
        <v>39074</v>
      </c>
      <c r="C2574" s="3">
        <v>1</v>
      </c>
      <c r="D2574" s="3">
        <v>0</v>
      </c>
      <c r="E2574" s="3">
        <f>C2574 - D2574</f>
        <v>1</v>
      </c>
    </row>
    <row r="2575" spans="2:5" x14ac:dyDescent="0.35">
      <c r="B2575" s="38">
        <v>39075</v>
      </c>
      <c r="C2575" s="3">
        <v>0</v>
      </c>
      <c r="D2575" s="3">
        <v>1</v>
      </c>
      <c r="E2575" s="3">
        <f>C2575 - D2575</f>
        <v>-1</v>
      </c>
    </row>
    <row r="2576" spans="2:5" x14ac:dyDescent="0.35">
      <c r="B2576" s="38">
        <v>39076</v>
      </c>
      <c r="C2576" s="3">
        <v>1</v>
      </c>
      <c r="D2576" s="3">
        <v>0</v>
      </c>
      <c r="E2576" s="3">
        <f>C2576 - D2576</f>
        <v>1</v>
      </c>
    </row>
    <row r="2577" spans="2:5" x14ac:dyDescent="0.35">
      <c r="B2577" s="38">
        <v>39077</v>
      </c>
      <c r="C2577" s="3">
        <v>1</v>
      </c>
      <c r="D2577" s="3">
        <v>1</v>
      </c>
      <c r="E2577" s="3">
        <f>C2577 - D2577</f>
        <v>0</v>
      </c>
    </row>
    <row r="2578" spans="2:5" x14ac:dyDescent="0.35">
      <c r="B2578" s="38">
        <v>39078</v>
      </c>
      <c r="C2578" s="3">
        <v>1</v>
      </c>
      <c r="D2578" s="3">
        <v>1</v>
      </c>
      <c r="E2578" s="3">
        <f>C2578 - D2578</f>
        <v>0</v>
      </c>
    </row>
    <row r="2579" spans="2:5" x14ac:dyDescent="0.35">
      <c r="B2579" s="38">
        <v>39079</v>
      </c>
      <c r="C2579" s="3">
        <v>0</v>
      </c>
      <c r="D2579" s="3">
        <v>1</v>
      </c>
      <c r="E2579" s="3">
        <f>C2579 - D2579</f>
        <v>-1</v>
      </c>
    </row>
    <row r="2580" spans="2:5" x14ac:dyDescent="0.35">
      <c r="B2580" s="38">
        <v>39080</v>
      </c>
      <c r="C2580" s="3">
        <v>0</v>
      </c>
      <c r="D2580" s="3">
        <v>0</v>
      </c>
      <c r="E2580" s="3">
        <f>C2580 - D2580</f>
        <v>0</v>
      </c>
    </row>
    <row r="2581" spans="2:5" x14ac:dyDescent="0.35">
      <c r="B2581" s="38">
        <v>39081</v>
      </c>
      <c r="C2581" s="3">
        <v>0</v>
      </c>
      <c r="D2581" s="3">
        <v>0</v>
      </c>
      <c r="E2581" s="3">
        <f>C2581 - D2581</f>
        <v>0</v>
      </c>
    </row>
    <row r="2582" spans="2:5" x14ac:dyDescent="0.35">
      <c r="B2582" s="38">
        <v>39082</v>
      </c>
      <c r="C2582" s="3">
        <v>0</v>
      </c>
      <c r="D2582" s="3">
        <v>0</v>
      </c>
      <c r="E2582" s="3">
        <f>C2582 - D2582</f>
        <v>0</v>
      </c>
    </row>
    <row r="2583" spans="2:5" x14ac:dyDescent="0.35">
      <c r="B2583" s="38">
        <v>39083</v>
      </c>
      <c r="C2583" s="3">
        <v>1</v>
      </c>
      <c r="D2583" s="3">
        <v>0</v>
      </c>
      <c r="E2583" s="3">
        <f>C2583 - D2583</f>
        <v>1</v>
      </c>
    </row>
    <row r="2584" spans="2:5" x14ac:dyDescent="0.35">
      <c r="B2584" s="38">
        <v>39084</v>
      </c>
      <c r="C2584" s="3">
        <v>1</v>
      </c>
      <c r="D2584" s="3">
        <v>1</v>
      </c>
      <c r="E2584" s="3">
        <f>C2584 - D2584</f>
        <v>0</v>
      </c>
    </row>
    <row r="2585" spans="2:5" x14ac:dyDescent="0.35">
      <c r="B2585" s="38">
        <v>39085</v>
      </c>
      <c r="C2585" s="3">
        <v>0</v>
      </c>
      <c r="D2585" s="3">
        <v>1</v>
      </c>
      <c r="E2585" s="3">
        <f>C2585 - D2585</f>
        <v>-1</v>
      </c>
    </row>
    <row r="2586" spans="2:5" x14ac:dyDescent="0.35">
      <c r="B2586" s="38">
        <v>39086</v>
      </c>
      <c r="C2586" s="3">
        <v>0</v>
      </c>
      <c r="D2586" s="3">
        <v>0</v>
      </c>
      <c r="E2586" s="3">
        <f>C2586 - D2586</f>
        <v>0</v>
      </c>
    </row>
    <row r="2587" spans="2:5" x14ac:dyDescent="0.35">
      <c r="B2587" s="38">
        <v>39087</v>
      </c>
      <c r="C2587" s="3">
        <v>0</v>
      </c>
      <c r="D2587" s="3">
        <v>0</v>
      </c>
      <c r="E2587" s="3">
        <f>C2587 - D2587</f>
        <v>0</v>
      </c>
    </row>
    <row r="2588" spans="2:5" x14ac:dyDescent="0.35">
      <c r="B2588" s="38">
        <v>39088</v>
      </c>
      <c r="C2588" s="3">
        <v>0</v>
      </c>
      <c r="D2588" s="3">
        <v>0</v>
      </c>
      <c r="E2588" s="3">
        <f>C2588 - D2588</f>
        <v>0</v>
      </c>
    </row>
    <row r="2589" spans="2:5" x14ac:dyDescent="0.35">
      <c r="B2589" s="38">
        <v>39089</v>
      </c>
      <c r="C2589" s="3">
        <v>0</v>
      </c>
      <c r="D2589" s="3">
        <v>0</v>
      </c>
      <c r="E2589" s="3">
        <f>C2589 - D2589</f>
        <v>0</v>
      </c>
    </row>
    <row r="2590" spans="2:5" x14ac:dyDescent="0.35">
      <c r="B2590" s="38">
        <v>39090</v>
      </c>
      <c r="C2590" s="3">
        <v>1</v>
      </c>
      <c r="D2590" s="3">
        <v>0</v>
      </c>
      <c r="E2590" s="3">
        <f>C2590 - D2590</f>
        <v>1</v>
      </c>
    </row>
    <row r="2591" spans="2:5" x14ac:dyDescent="0.35">
      <c r="B2591" s="38">
        <v>39091</v>
      </c>
      <c r="C2591" s="3">
        <v>0</v>
      </c>
      <c r="D2591" s="3">
        <v>1</v>
      </c>
      <c r="E2591" s="3">
        <f>C2591 - D2591</f>
        <v>-1</v>
      </c>
    </row>
    <row r="2592" spans="2:5" x14ac:dyDescent="0.35">
      <c r="B2592" s="38">
        <v>39092</v>
      </c>
      <c r="C2592" s="3">
        <v>0</v>
      </c>
      <c r="D2592" s="3">
        <v>0</v>
      </c>
      <c r="E2592" s="3">
        <f>C2592 - D2592</f>
        <v>0</v>
      </c>
    </row>
    <row r="2593" spans="2:5" x14ac:dyDescent="0.35">
      <c r="B2593" s="38">
        <v>39093</v>
      </c>
      <c r="C2593" s="3">
        <v>0</v>
      </c>
      <c r="D2593" s="3">
        <v>0</v>
      </c>
      <c r="E2593" s="3">
        <f>C2593 - D2593</f>
        <v>0</v>
      </c>
    </row>
    <row r="2594" spans="2:5" x14ac:dyDescent="0.35">
      <c r="B2594" s="38">
        <v>39094</v>
      </c>
      <c r="C2594" s="3">
        <v>0</v>
      </c>
      <c r="D2594" s="3">
        <v>0</v>
      </c>
      <c r="E2594" s="3">
        <f>C2594 - D2594</f>
        <v>0</v>
      </c>
    </row>
    <row r="2595" spans="2:5" x14ac:dyDescent="0.35">
      <c r="B2595" s="38">
        <v>39095</v>
      </c>
      <c r="C2595" s="3">
        <v>0</v>
      </c>
      <c r="D2595" s="3">
        <v>0</v>
      </c>
      <c r="E2595" s="3">
        <f>C2595 - D2595</f>
        <v>0</v>
      </c>
    </row>
    <row r="2596" spans="2:5" x14ac:dyDescent="0.35">
      <c r="B2596" s="38">
        <v>39096</v>
      </c>
      <c r="C2596" s="3">
        <v>0</v>
      </c>
      <c r="D2596" s="3">
        <v>0</v>
      </c>
      <c r="E2596" s="3">
        <f>C2596 - D2596</f>
        <v>0</v>
      </c>
    </row>
    <row r="2597" spans="2:5" x14ac:dyDescent="0.35">
      <c r="B2597" s="38">
        <v>39097</v>
      </c>
      <c r="C2597" s="3">
        <v>0</v>
      </c>
      <c r="D2597" s="3">
        <v>0</v>
      </c>
      <c r="E2597" s="3">
        <f>C2597 - D2597</f>
        <v>0</v>
      </c>
    </row>
    <row r="2598" spans="2:5" x14ac:dyDescent="0.35">
      <c r="B2598" s="38">
        <v>39098</v>
      </c>
      <c r="C2598" s="3">
        <v>0</v>
      </c>
      <c r="D2598" s="3">
        <v>0</v>
      </c>
      <c r="E2598" s="3">
        <f>C2598 - D2598</f>
        <v>0</v>
      </c>
    </row>
    <row r="2599" spans="2:5" x14ac:dyDescent="0.35">
      <c r="B2599" s="38">
        <v>39099</v>
      </c>
      <c r="C2599" s="3">
        <v>0</v>
      </c>
      <c r="D2599" s="3">
        <v>0</v>
      </c>
      <c r="E2599" s="3">
        <f>C2599 - D2599</f>
        <v>0</v>
      </c>
    </row>
    <row r="2600" spans="2:5" x14ac:dyDescent="0.35">
      <c r="B2600" s="38">
        <v>39100</v>
      </c>
      <c r="C2600" s="3">
        <v>0</v>
      </c>
      <c r="D2600" s="3">
        <v>0</v>
      </c>
      <c r="E2600" s="3">
        <f>C2600 - D2600</f>
        <v>0</v>
      </c>
    </row>
    <row r="2601" spans="2:5" x14ac:dyDescent="0.35">
      <c r="B2601" s="38">
        <v>39101</v>
      </c>
      <c r="C2601" s="3">
        <v>1</v>
      </c>
      <c r="D2601" s="3">
        <v>0</v>
      </c>
      <c r="E2601" s="3">
        <f>C2601 - D2601</f>
        <v>1</v>
      </c>
    </row>
    <row r="2602" spans="2:5" x14ac:dyDescent="0.35">
      <c r="B2602" s="38">
        <v>39102</v>
      </c>
      <c r="C2602" s="3">
        <v>1</v>
      </c>
      <c r="D2602" s="3">
        <v>1</v>
      </c>
      <c r="E2602" s="3">
        <f>C2602 - D2602</f>
        <v>0</v>
      </c>
    </row>
    <row r="2603" spans="2:5" x14ac:dyDescent="0.35">
      <c r="B2603" s="38">
        <v>39103</v>
      </c>
      <c r="C2603" s="3">
        <v>1</v>
      </c>
      <c r="D2603" s="3">
        <v>1</v>
      </c>
      <c r="E2603" s="3">
        <f>C2603 - D2603</f>
        <v>0</v>
      </c>
    </row>
    <row r="2604" spans="2:5" x14ac:dyDescent="0.35">
      <c r="B2604" s="38">
        <v>39104</v>
      </c>
      <c r="C2604" s="3">
        <v>1</v>
      </c>
      <c r="D2604" s="3">
        <v>1</v>
      </c>
      <c r="E2604" s="3">
        <f>C2604 - D2604</f>
        <v>0</v>
      </c>
    </row>
    <row r="2605" spans="2:5" x14ac:dyDescent="0.35">
      <c r="B2605" s="38">
        <v>39105</v>
      </c>
      <c r="C2605" s="3">
        <v>0</v>
      </c>
      <c r="D2605" s="3">
        <v>1</v>
      </c>
      <c r="E2605" s="3">
        <f>C2605 - D2605</f>
        <v>-1</v>
      </c>
    </row>
    <row r="2606" spans="2:5" x14ac:dyDescent="0.35">
      <c r="B2606" s="38">
        <v>39106</v>
      </c>
      <c r="C2606" s="3">
        <v>0</v>
      </c>
      <c r="D2606" s="3">
        <v>0</v>
      </c>
      <c r="E2606" s="3">
        <f>C2606 - D2606</f>
        <v>0</v>
      </c>
    </row>
    <row r="2607" spans="2:5" x14ac:dyDescent="0.35">
      <c r="B2607" s="38">
        <v>39107</v>
      </c>
      <c r="C2607" s="3">
        <v>0</v>
      </c>
      <c r="D2607" s="3">
        <v>0</v>
      </c>
      <c r="E2607" s="3">
        <f>C2607 - D2607</f>
        <v>0</v>
      </c>
    </row>
    <row r="2608" spans="2:5" x14ac:dyDescent="0.35">
      <c r="B2608" s="38">
        <v>39108</v>
      </c>
      <c r="C2608" s="3">
        <v>0</v>
      </c>
      <c r="D2608" s="3">
        <v>0</v>
      </c>
      <c r="E2608" s="3">
        <f>C2608 - D2608</f>
        <v>0</v>
      </c>
    </row>
    <row r="2609" spans="2:5" x14ac:dyDescent="0.35">
      <c r="B2609" s="38">
        <v>39109</v>
      </c>
      <c r="C2609" s="3">
        <v>1</v>
      </c>
      <c r="D2609" s="3">
        <v>0</v>
      </c>
      <c r="E2609" s="3">
        <f>C2609 - D2609</f>
        <v>1</v>
      </c>
    </row>
    <row r="2610" spans="2:5" x14ac:dyDescent="0.35">
      <c r="B2610" s="38">
        <v>39110</v>
      </c>
      <c r="C2610" s="3">
        <v>1</v>
      </c>
      <c r="D2610" s="3">
        <v>1</v>
      </c>
      <c r="E2610" s="3">
        <f>C2610 - D2610</f>
        <v>0</v>
      </c>
    </row>
    <row r="2611" spans="2:5" x14ac:dyDescent="0.35">
      <c r="B2611" s="38">
        <v>39111</v>
      </c>
      <c r="C2611" s="3">
        <v>0</v>
      </c>
      <c r="D2611" s="3">
        <v>1</v>
      </c>
      <c r="E2611" s="3">
        <f>C2611 - D2611</f>
        <v>-1</v>
      </c>
    </row>
    <row r="2612" spans="2:5" x14ac:dyDescent="0.35">
      <c r="B2612" s="38">
        <v>39112</v>
      </c>
      <c r="C2612" s="3">
        <v>0</v>
      </c>
      <c r="D2612" s="3">
        <v>0</v>
      </c>
      <c r="E2612" s="3">
        <f>C2612 - D2612</f>
        <v>0</v>
      </c>
    </row>
    <row r="2613" spans="2:5" x14ac:dyDescent="0.35">
      <c r="B2613" s="38">
        <v>39113</v>
      </c>
      <c r="C2613" s="3">
        <v>1</v>
      </c>
      <c r="D2613" s="3">
        <v>0</v>
      </c>
      <c r="E2613" s="3">
        <f>C2613 - D2613</f>
        <v>1</v>
      </c>
    </row>
    <row r="2614" spans="2:5" x14ac:dyDescent="0.35">
      <c r="B2614" s="38">
        <v>39114</v>
      </c>
      <c r="C2614" s="3">
        <v>0</v>
      </c>
      <c r="D2614" s="3">
        <v>1</v>
      </c>
      <c r="E2614" s="3">
        <f>C2614 - D2614</f>
        <v>-1</v>
      </c>
    </row>
    <row r="2615" spans="2:5" x14ac:dyDescent="0.35">
      <c r="B2615" s="38">
        <v>39115</v>
      </c>
      <c r="C2615" s="3">
        <v>0</v>
      </c>
      <c r="D2615" s="3">
        <v>0</v>
      </c>
      <c r="E2615" s="3">
        <f>C2615 - D2615</f>
        <v>0</v>
      </c>
    </row>
    <row r="2616" spans="2:5" x14ac:dyDescent="0.35">
      <c r="B2616" s="38">
        <v>39116</v>
      </c>
      <c r="C2616" s="3">
        <v>0</v>
      </c>
      <c r="D2616" s="3">
        <v>0</v>
      </c>
      <c r="E2616" s="3">
        <f>C2616 - D2616</f>
        <v>0</v>
      </c>
    </row>
    <row r="2617" spans="2:5" x14ac:dyDescent="0.35">
      <c r="B2617" s="38">
        <v>39117</v>
      </c>
      <c r="C2617" s="3">
        <v>0</v>
      </c>
      <c r="D2617" s="3">
        <v>0</v>
      </c>
      <c r="E2617" s="3">
        <f>C2617 - D2617</f>
        <v>0</v>
      </c>
    </row>
    <row r="2618" spans="2:5" x14ac:dyDescent="0.35">
      <c r="B2618" s="38">
        <v>39118</v>
      </c>
      <c r="C2618" s="3">
        <v>0</v>
      </c>
      <c r="D2618" s="3">
        <v>0</v>
      </c>
      <c r="E2618" s="3">
        <f>C2618 - D2618</f>
        <v>0</v>
      </c>
    </row>
    <row r="2619" spans="2:5" x14ac:dyDescent="0.35">
      <c r="B2619" s="38">
        <v>39119</v>
      </c>
      <c r="C2619" s="3">
        <v>0</v>
      </c>
      <c r="D2619" s="3">
        <v>0</v>
      </c>
      <c r="E2619" s="3">
        <f>C2619 - D2619</f>
        <v>0</v>
      </c>
    </row>
    <row r="2620" spans="2:5" x14ac:dyDescent="0.35">
      <c r="B2620" s="38">
        <v>39120</v>
      </c>
      <c r="C2620" s="3">
        <v>0</v>
      </c>
      <c r="D2620" s="3">
        <v>0</v>
      </c>
      <c r="E2620" s="3">
        <f>C2620 - D2620</f>
        <v>0</v>
      </c>
    </row>
    <row r="2621" spans="2:5" x14ac:dyDescent="0.35">
      <c r="B2621" s="38">
        <v>39121</v>
      </c>
      <c r="C2621" s="3">
        <v>0</v>
      </c>
      <c r="D2621" s="3">
        <v>0</v>
      </c>
      <c r="E2621" s="3">
        <f>C2621 - D2621</f>
        <v>0</v>
      </c>
    </row>
    <row r="2622" spans="2:5" x14ac:dyDescent="0.35">
      <c r="B2622" s="38">
        <v>39122</v>
      </c>
      <c r="C2622" s="3">
        <v>0</v>
      </c>
      <c r="D2622" s="3">
        <v>0</v>
      </c>
      <c r="E2622" s="3">
        <f>C2622 - D2622</f>
        <v>0</v>
      </c>
    </row>
    <row r="2623" spans="2:5" x14ac:dyDescent="0.35">
      <c r="B2623" s="38">
        <v>39123</v>
      </c>
      <c r="C2623" s="3">
        <v>0</v>
      </c>
      <c r="D2623" s="3">
        <v>0</v>
      </c>
      <c r="E2623" s="3">
        <f>C2623 - D2623</f>
        <v>0</v>
      </c>
    </row>
    <row r="2624" spans="2:5" x14ac:dyDescent="0.35">
      <c r="B2624" s="38">
        <v>39124</v>
      </c>
      <c r="C2624" s="3">
        <v>1</v>
      </c>
      <c r="D2624" s="3">
        <v>0</v>
      </c>
      <c r="E2624" s="3">
        <f>C2624 - D2624</f>
        <v>1</v>
      </c>
    </row>
    <row r="2625" spans="2:5" x14ac:dyDescent="0.35">
      <c r="B2625" s="38">
        <v>39125</v>
      </c>
      <c r="C2625" s="3">
        <v>0</v>
      </c>
      <c r="D2625" s="3">
        <v>1</v>
      </c>
      <c r="E2625" s="3">
        <f>C2625 - D2625</f>
        <v>-1</v>
      </c>
    </row>
    <row r="2626" spans="2:5" x14ac:dyDescent="0.35">
      <c r="B2626" s="38">
        <v>39126</v>
      </c>
      <c r="C2626" s="3">
        <v>0</v>
      </c>
      <c r="D2626" s="3">
        <v>0</v>
      </c>
      <c r="E2626" s="3">
        <f>C2626 - D2626</f>
        <v>0</v>
      </c>
    </row>
    <row r="2627" spans="2:5" x14ac:dyDescent="0.35">
      <c r="B2627" s="38">
        <v>39127</v>
      </c>
      <c r="C2627" s="3">
        <v>1</v>
      </c>
      <c r="D2627" s="3">
        <v>0</v>
      </c>
      <c r="E2627" s="3">
        <f>C2627 - D2627</f>
        <v>1</v>
      </c>
    </row>
    <row r="2628" spans="2:5" x14ac:dyDescent="0.35">
      <c r="B2628" s="38">
        <v>39128</v>
      </c>
      <c r="C2628" s="3">
        <v>0</v>
      </c>
      <c r="D2628" s="3">
        <v>1</v>
      </c>
      <c r="E2628" s="3">
        <f>C2628 - D2628</f>
        <v>-1</v>
      </c>
    </row>
    <row r="2629" spans="2:5" x14ac:dyDescent="0.35">
      <c r="B2629" s="38">
        <v>39129</v>
      </c>
      <c r="C2629" s="3">
        <v>0</v>
      </c>
      <c r="D2629" s="3">
        <v>0</v>
      </c>
      <c r="E2629" s="3">
        <f>C2629 - D2629</f>
        <v>0</v>
      </c>
    </row>
    <row r="2630" spans="2:5" x14ac:dyDescent="0.35">
      <c r="B2630" s="38">
        <v>39130</v>
      </c>
      <c r="C2630" s="3">
        <v>0</v>
      </c>
      <c r="D2630" s="3">
        <v>0</v>
      </c>
      <c r="E2630" s="3">
        <f>C2630 - D2630</f>
        <v>0</v>
      </c>
    </row>
    <row r="2631" spans="2:5" x14ac:dyDescent="0.35">
      <c r="B2631" s="38">
        <v>39131</v>
      </c>
      <c r="C2631" s="3">
        <v>0</v>
      </c>
      <c r="D2631" s="3">
        <v>0</v>
      </c>
      <c r="E2631" s="3">
        <f>C2631 - D2631</f>
        <v>0</v>
      </c>
    </row>
    <row r="2632" spans="2:5" x14ac:dyDescent="0.35">
      <c r="B2632" s="38">
        <v>39132</v>
      </c>
      <c r="C2632" s="3">
        <v>1</v>
      </c>
      <c r="D2632" s="3">
        <v>0</v>
      </c>
      <c r="E2632" s="3">
        <f>C2632 - D2632</f>
        <v>1</v>
      </c>
    </row>
    <row r="2633" spans="2:5" x14ac:dyDescent="0.35">
      <c r="B2633" s="38">
        <v>39133</v>
      </c>
      <c r="C2633" s="3">
        <v>0</v>
      </c>
      <c r="D2633" s="3">
        <v>1</v>
      </c>
      <c r="E2633" s="3">
        <f>C2633 - D2633</f>
        <v>-1</v>
      </c>
    </row>
    <row r="2634" spans="2:5" x14ac:dyDescent="0.35">
      <c r="B2634" s="38">
        <v>39134</v>
      </c>
      <c r="C2634" s="3">
        <v>0</v>
      </c>
      <c r="D2634" s="3">
        <v>0</v>
      </c>
      <c r="E2634" s="3">
        <f>C2634 - D2634</f>
        <v>0</v>
      </c>
    </row>
    <row r="2635" spans="2:5" x14ac:dyDescent="0.35">
      <c r="B2635" s="38">
        <v>39135</v>
      </c>
      <c r="C2635" s="3">
        <v>0</v>
      </c>
      <c r="D2635" s="3">
        <v>0</v>
      </c>
      <c r="E2635" s="3">
        <f>C2635 - D2635</f>
        <v>0</v>
      </c>
    </row>
    <row r="2636" spans="2:5" x14ac:dyDescent="0.35">
      <c r="B2636" s="38">
        <v>39136</v>
      </c>
      <c r="C2636" s="3">
        <v>0</v>
      </c>
      <c r="D2636" s="3">
        <v>0</v>
      </c>
      <c r="E2636" s="3">
        <f>C2636 - D2636</f>
        <v>0</v>
      </c>
    </row>
    <row r="2637" spans="2:5" x14ac:dyDescent="0.35">
      <c r="B2637" s="38">
        <v>39137</v>
      </c>
      <c r="C2637" s="3">
        <v>1</v>
      </c>
      <c r="D2637" s="3">
        <v>0</v>
      </c>
      <c r="E2637" s="3">
        <f>C2637 - D2637</f>
        <v>1</v>
      </c>
    </row>
    <row r="2638" spans="2:5" x14ac:dyDescent="0.35">
      <c r="B2638" s="38">
        <v>39138</v>
      </c>
      <c r="C2638" s="3">
        <v>0</v>
      </c>
      <c r="D2638" s="3">
        <v>1</v>
      </c>
      <c r="E2638" s="3">
        <f>C2638 - D2638</f>
        <v>-1</v>
      </c>
    </row>
    <row r="2639" spans="2:5" x14ac:dyDescent="0.35">
      <c r="B2639" s="38">
        <v>39139</v>
      </c>
      <c r="C2639" s="3">
        <v>0</v>
      </c>
      <c r="D2639" s="3">
        <v>0</v>
      </c>
      <c r="E2639" s="3">
        <f>C2639 - D2639</f>
        <v>0</v>
      </c>
    </row>
    <row r="2640" spans="2:5" x14ac:dyDescent="0.35">
      <c r="B2640" s="38">
        <v>39140</v>
      </c>
      <c r="C2640" s="3">
        <v>0</v>
      </c>
      <c r="D2640" s="3">
        <v>0</v>
      </c>
      <c r="E2640" s="3">
        <f>C2640 - D2640</f>
        <v>0</v>
      </c>
    </row>
    <row r="2641" spans="2:5" x14ac:dyDescent="0.35">
      <c r="B2641" s="38">
        <v>39141</v>
      </c>
      <c r="C2641" s="3">
        <v>1</v>
      </c>
      <c r="D2641" s="3">
        <v>0</v>
      </c>
      <c r="E2641" s="3">
        <f>C2641 - D2641</f>
        <v>1</v>
      </c>
    </row>
    <row r="2642" spans="2:5" x14ac:dyDescent="0.35">
      <c r="B2642" s="38">
        <v>39142</v>
      </c>
      <c r="C2642" s="3">
        <v>0</v>
      </c>
      <c r="D2642" s="3">
        <v>1</v>
      </c>
      <c r="E2642" s="3">
        <f>C2642 - D2642</f>
        <v>-1</v>
      </c>
    </row>
    <row r="2643" spans="2:5" x14ac:dyDescent="0.35">
      <c r="B2643" s="38">
        <v>39143</v>
      </c>
      <c r="C2643" s="3">
        <v>0</v>
      </c>
      <c r="D2643" s="3">
        <v>0</v>
      </c>
      <c r="E2643" s="3">
        <f>C2643 - D2643</f>
        <v>0</v>
      </c>
    </row>
    <row r="2644" spans="2:5" x14ac:dyDescent="0.35">
      <c r="B2644" s="38">
        <v>39144</v>
      </c>
      <c r="C2644" s="3">
        <v>0</v>
      </c>
      <c r="D2644" s="3">
        <v>0</v>
      </c>
      <c r="E2644" s="3">
        <f>C2644 - D2644</f>
        <v>0</v>
      </c>
    </row>
    <row r="2645" spans="2:5" x14ac:dyDescent="0.35">
      <c r="B2645" s="38">
        <v>39145</v>
      </c>
      <c r="C2645" s="3">
        <v>1</v>
      </c>
      <c r="D2645" s="3">
        <v>0</v>
      </c>
      <c r="E2645" s="3">
        <f>C2645 - D2645</f>
        <v>1</v>
      </c>
    </row>
    <row r="2646" spans="2:5" x14ac:dyDescent="0.35">
      <c r="B2646" s="38">
        <v>39146</v>
      </c>
      <c r="C2646" s="3">
        <v>0</v>
      </c>
      <c r="D2646" s="3">
        <v>1</v>
      </c>
      <c r="E2646" s="3">
        <f>C2646 - D2646</f>
        <v>-1</v>
      </c>
    </row>
    <row r="2647" spans="2:5" x14ac:dyDescent="0.35">
      <c r="B2647" s="38">
        <v>39147</v>
      </c>
      <c r="C2647" s="3">
        <v>0</v>
      </c>
      <c r="D2647" s="3">
        <v>0</v>
      </c>
      <c r="E2647" s="3">
        <f>C2647 - D2647</f>
        <v>0</v>
      </c>
    </row>
    <row r="2648" spans="2:5" x14ac:dyDescent="0.35">
      <c r="B2648" s="38">
        <v>39148</v>
      </c>
      <c r="C2648" s="3">
        <v>0</v>
      </c>
      <c r="D2648" s="3">
        <v>0</v>
      </c>
      <c r="E2648" s="3">
        <f>C2648 - D2648</f>
        <v>0</v>
      </c>
    </row>
    <row r="2649" spans="2:5" x14ac:dyDescent="0.35">
      <c r="B2649" s="38">
        <v>39149</v>
      </c>
      <c r="C2649" s="3">
        <v>0</v>
      </c>
      <c r="D2649" s="3">
        <v>0</v>
      </c>
      <c r="E2649" s="3">
        <f>C2649 - D2649</f>
        <v>0</v>
      </c>
    </row>
    <row r="2650" spans="2:5" x14ac:dyDescent="0.35">
      <c r="B2650" s="38">
        <v>39150</v>
      </c>
      <c r="C2650" s="3">
        <v>0</v>
      </c>
      <c r="D2650" s="3">
        <v>0</v>
      </c>
      <c r="E2650" s="3">
        <f>C2650 - D2650</f>
        <v>0</v>
      </c>
    </row>
    <row r="2651" spans="2:5" x14ac:dyDescent="0.35">
      <c r="B2651" s="38">
        <v>39151</v>
      </c>
      <c r="C2651" s="3">
        <v>0</v>
      </c>
      <c r="D2651" s="3">
        <v>0</v>
      </c>
      <c r="E2651" s="3">
        <f>C2651 - D2651</f>
        <v>0</v>
      </c>
    </row>
    <row r="2652" spans="2:5" x14ac:dyDescent="0.35">
      <c r="B2652" s="38">
        <v>39152</v>
      </c>
      <c r="C2652" s="3">
        <v>0</v>
      </c>
      <c r="D2652" s="3">
        <v>0</v>
      </c>
      <c r="E2652" s="3">
        <f>C2652 - D2652</f>
        <v>0</v>
      </c>
    </row>
    <row r="2653" spans="2:5" x14ac:dyDescent="0.35">
      <c r="B2653" s="38">
        <v>39153</v>
      </c>
      <c r="C2653" s="3">
        <v>0</v>
      </c>
      <c r="D2653" s="3">
        <v>0</v>
      </c>
      <c r="E2653" s="3">
        <f>C2653 - D2653</f>
        <v>0</v>
      </c>
    </row>
    <row r="2654" spans="2:5" x14ac:dyDescent="0.35">
      <c r="B2654" s="38">
        <v>39154</v>
      </c>
      <c r="C2654" s="3">
        <v>0</v>
      </c>
      <c r="D2654" s="3">
        <v>0</v>
      </c>
      <c r="E2654" s="3">
        <f>C2654 - D2654</f>
        <v>0</v>
      </c>
    </row>
    <row r="2655" spans="2:5" x14ac:dyDescent="0.35">
      <c r="B2655" s="38">
        <v>39155</v>
      </c>
      <c r="C2655" s="3">
        <v>0</v>
      </c>
      <c r="D2655" s="3">
        <v>0</v>
      </c>
      <c r="E2655" s="3">
        <f>C2655 - D2655</f>
        <v>0</v>
      </c>
    </row>
    <row r="2656" spans="2:5" x14ac:dyDescent="0.35">
      <c r="B2656" s="38">
        <v>39156</v>
      </c>
      <c r="C2656" s="3">
        <v>0</v>
      </c>
      <c r="D2656" s="3">
        <v>0</v>
      </c>
      <c r="E2656" s="3">
        <f>C2656 - D2656</f>
        <v>0</v>
      </c>
    </row>
    <row r="2657" spans="2:5" x14ac:dyDescent="0.35">
      <c r="B2657" s="38">
        <v>39157</v>
      </c>
      <c r="C2657" s="3">
        <v>1</v>
      </c>
      <c r="D2657" s="3">
        <v>0</v>
      </c>
      <c r="E2657" s="3">
        <f>C2657 - D2657</f>
        <v>1</v>
      </c>
    </row>
    <row r="2658" spans="2:5" x14ac:dyDescent="0.35">
      <c r="B2658" s="38">
        <v>39158</v>
      </c>
      <c r="C2658" s="3">
        <v>1</v>
      </c>
      <c r="D2658" s="3">
        <v>1</v>
      </c>
      <c r="E2658" s="3">
        <f>C2658 - D2658</f>
        <v>0</v>
      </c>
    </row>
    <row r="2659" spans="2:5" x14ac:dyDescent="0.35">
      <c r="B2659" s="38">
        <v>39159</v>
      </c>
      <c r="C2659" s="3">
        <v>0</v>
      </c>
      <c r="D2659" s="3">
        <v>1</v>
      </c>
      <c r="E2659" s="3">
        <f>C2659 - D2659</f>
        <v>-1</v>
      </c>
    </row>
    <row r="2660" spans="2:5" x14ac:dyDescent="0.35">
      <c r="B2660" s="38">
        <v>39160</v>
      </c>
      <c r="C2660" s="3">
        <v>0</v>
      </c>
      <c r="D2660" s="3">
        <v>0</v>
      </c>
      <c r="E2660" s="3">
        <f>C2660 - D2660</f>
        <v>0</v>
      </c>
    </row>
    <row r="2661" spans="2:5" x14ac:dyDescent="0.35">
      <c r="B2661" s="38">
        <v>39161</v>
      </c>
      <c r="C2661" s="3">
        <v>1</v>
      </c>
      <c r="D2661" s="3">
        <v>0</v>
      </c>
      <c r="E2661" s="3">
        <f>C2661 - D2661</f>
        <v>1</v>
      </c>
    </row>
    <row r="2662" spans="2:5" x14ac:dyDescent="0.35">
      <c r="B2662" s="38">
        <v>39162</v>
      </c>
      <c r="C2662" s="3">
        <v>1</v>
      </c>
      <c r="D2662" s="3">
        <v>1</v>
      </c>
      <c r="E2662" s="3">
        <f>C2662 - D2662</f>
        <v>0</v>
      </c>
    </row>
    <row r="2663" spans="2:5" x14ac:dyDescent="0.35">
      <c r="B2663" s="38">
        <v>39163</v>
      </c>
      <c r="C2663" s="3">
        <v>0</v>
      </c>
      <c r="D2663" s="3">
        <v>1</v>
      </c>
      <c r="E2663" s="3">
        <f>C2663 - D2663</f>
        <v>-1</v>
      </c>
    </row>
    <row r="2664" spans="2:5" x14ac:dyDescent="0.35">
      <c r="B2664" s="38">
        <v>39164</v>
      </c>
      <c r="C2664" s="3">
        <v>0</v>
      </c>
      <c r="D2664" s="3">
        <v>0</v>
      </c>
      <c r="E2664" s="3">
        <f>C2664 - D2664</f>
        <v>0</v>
      </c>
    </row>
    <row r="2665" spans="2:5" x14ac:dyDescent="0.35">
      <c r="B2665" s="38">
        <v>39165</v>
      </c>
      <c r="C2665" s="3">
        <v>1</v>
      </c>
      <c r="D2665" s="3">
        <v>0</v>
      </c>
      <c r="E2665" s="3">
        <f>C2665 - D2665</f>
        <v>1</v>
      </c>
    </row>
    <row r="2666" spans="2:5" x14ac:dyDescent="0.35">
      <c r="B2666" s="38">
        <v>39166</v>
      </c>
      <c r="C2666" s="3">
        <v>1</v>
      </c>
      <c r="D2666" s="3">
        <v>1</v>
      </c>
      <c r="E2666" s="3">
        <f>C2666 - D2666</f>
        <v>0</v>
      </c>
    </row>
    <row r="2667" spans="2:5" x14ac:dyDescent="0.35">
      <c r="B2667" s="38">
        <v>39167</v>
      </c>
      <c r="C2667" s="3">
        <v>0</v>
      </c>
      <c r="D2667" s="3">
        <v>1</v>
      </c>
      <c r="E2667" s="3">
        <f>C2667 - D2667</f>
        <v>-1</v>
      </c>
    </row>
    <row r="2668" spans="2:5" x14ac:dyDescent="0.35">
      <c r="B2668" s="38">
        <v>39168</v>
      </c>
      <c r="C2668" s="3">
        <v>0</v>
      </c>
      <c r="D2668" s="3">
        <v>0</v>
      </c>
      <c r="E2668" s="3">
        <f>C2668 - D2668</f>
        <v>0</v>
      </c>
    </row>
    <row r="2669" spans="2:5" x14ac:dyDescent="0.35">
      <c r="B2669" s="38">
        <v>39169</v>
      </c>
      <c r="C2669" s="3">
        <v>0</v>
      </c>
      <c r="D2669" s="3">
        <v>0</v>
      </c>
      <c r="E2669" s="3">
        <f>C2669 - D2669</f>
        <v>0</v>
      </c>
    </row>
    <row r="2670" spans="2:5" x14ac:dyDescent="0.35">
      <c r="B2670" s="38">
        <v>39170</v>
      </c>
      <c r="C2670" s="3">
        <v>1</v>
      </c>
      <c r="D2670" s="3">
        <v>0</v>
      </c>
      <c r="E2670" s="3">
        <f>C2670 - D2670</f>
        <v>1</v>
      </c>
    </row>
    <row r="2671" spans="2:5" x14ac:dyDescent="0.35">
      <c r="B2671" s="38">
        <v>39171</v>
      </c>
      <c r="C2671" s="3">
        <v>1</v>
      </c>
      <c r="D2671" s="3">
        <v>1</v>
      </c>
      <c r="E2671" s="3">
        <f>C2671 - D2671</f>
        <v>0</v>
      </c>
    </row>
    <row r="2672" spans="2:5" x14ac:dyDescent="0.35">
      <c r="B2672" s="38">
        <v>39172</v>
      </c>
      <c r="C2672" s="3">
        <v>1</v>
      </c>
      <c r="D2672" s="3">
        <v>1</v>
      </c>
      <c r="E2672" s="3">
        <f>C2672 - D2672</f>
        <v>0</v>
      </c>
    </row>
    <row r="2673" spans="2:5" x14ac:dyDescent="0.35">
      <c r="B2673" s="38">
        <v>39173</v>
      </c>
      <c r="C2673" s="3">
        <v>1</v>
      </c>
      <c r="D2673" s="3">
        <v>1</v>
      </c>
      <c r="E2673" s="3">
        <f>C2673 - D2673</f>
        <v>0</v>
      </c>
    </row>
    <row r="2674" spans="2:5" x14ac:dyDescent="0.35">
      <c r="B2674" s="38">
        <v>39174</v>
      </c>
      <c r="C2674" s="3">
        <v>0</v>
      </c>
      <c r="D2674" s="3">
        <v>1</v>
      </c>
      <c r="E2674" s="3">
        <f>C2674 - D2674</f>
        <v>-1</v>
      </c>
    </row>
    <row r="2675" spans="2:5" x14ac:dyDescent="0.35">
      <c r="B2675" s="38">
        <v>39175</v>
      </c>
      <c r="C2675" s="3">
        <v>0</v>
      </c>
      <c r="D2675" s="3">
        <v>0</v>
      </c>
      <c r="E2675" s="3">
        <f>C2675 - D2675</f>
        <v>0</v>
      </c>
    </row>
    <row r="2676" spans="2:5" x14ac:dyDescent="0.35">
      <c r="B2676" s="38">
        <v>39176</v>
      </c>
      <c r="C2676" s="3">
        <v>0</v>
      </c>
      <c r="D2676" s="3">
        <v>0</v>
      </c>
      <c r="E2676" s="3">
        <f>C2676 - D2676</f>
        <v>0</v>
      </c>
    </row>
    <row r="2677" spans="2:5" x14ac:dyDescent="0.35">
      <c r="B2677" s="38">
        <v>39177</v>
      </c>
      <c r="C2677" s="3">
        <v>1</v>
      </c>
      <c r="D2677" s="3">
        <v>0</v>
      </c>
      <c r="E2677" s="3">
        <f>C2677 - D2677</f>
        <v>1</v>
      </c>
    </row>
    <row r="2678" spans="2:5" x14ac:dyDescent="0.35">
      <c r="B2678" s="38">
        <v>39178</v>
      </c>
      <c r="C2678" s="3">
        <v>1</v>
      </c>
      <c r="D2678" s="3">
        <v>1</v>
      </c>
      <c r="E2678" s="3">
        <f>C2678 - D2678</f>
        <v>0</v>
      </c>
    </row>
    <row r="2679" spans="2:5" x14ac:dyDescent="0.35">
      <c r="B2679" s="38">
        <v>39179</v>
      </c>
      <c r="C2679" s="3">
        <v>0</v>
      </c>
      <c r="D2679" s="3">
        <v>1</v>
      </c>
      <c r="E2679" s="3">
        <f>C2679 - D2679</f>
        <v>-1</v>
      </c>
    </row>
    <row r="2680" spans="2:5" x14ac:dyDescent="0.35">
      <c r="B2680" s="38">
        <v>39180</v>
      </c>
      <c r="C2680" s="3">
        <v>0</v>
      </c>
      <c r="D2680" s="3">
        <v>0</v>
      </c>
      <c r="E2680" s="3">
        <f>C2680 - D2680</f>
        <v>0</v>
      </c>
    </row>
    <row r="2681" spans="2:5" x14ac:dyDescent="0.35">
      <c r="B2681" s="38">
        <v>39181</v>
      </c>
      <c r="C2681" s="3">
        <v>0</v>
      </c>
      <c r="D2681" s="3">
        <v>0</v>
      </c>
      <c r="E2681" s="3">
        <f>C2681 - D2681</f>
        <v>0</v>
      </c>
    </row>
    <row r="2682" spans="2:5" x14ac:dyDescent="0.35">
      <c r="B2682" s="38">
        <v>39182</v>
      </c>
      <c r="C2682" s="3">
        <v>0</v>
      </c>
      <c r="D2682" s="3">
        <v>0</v>
      </c>
      <c r="E2682" s="3">
        <f>C2682 - D2682</f>
        <v>0</v>
      </c>
    </row>
    <row r="2683" spans="2:5" x14ac:dyDescent="0.35">
      <c r="B2683" s="38">
        <v>39183</v>
      </c>
      <c r="C2683" s="3">
        <v>0</v>
      </c>
      <c r="D2683" s="3">
        <v>0</v>
      </c>
      <c r="E2683" s="3">
        <f>C2683 - D2683</f>
        <v>0</v>
      </c>
    </row>
    <row r="2684" spans="2:5" x14ac:dyDescent="0.35">
      <c r="B2684" s="38">
        <v>39184</v>
      </c>
      <c r="C2684" s="3">
        <v>0</v>
      </c>
      <c r="D2684" s="3">
        <v>0</v>
      </c>
      <c r="E2684" s="3">
        <f>C2684 - D2684</f>
        <v>0</v>
      </c>
    </row>
    <row r="2685" spans="2:5" x14ac:dyDescent="0.35">
      <c r="B2685" s="38">
        <v>39185</v>
      </c>
      <c r="C2685" s="3">
        <v>0</v>
      </c>
      <c r="D2685" s="3">
        <v>0</v>
      </c>
      <c r="E2685" s="3">
        <f>C2685 - D2685</f>
        <v>0</v>
      </c>
    </row>
    <row r="2686" spans="2:5" x14ac:dyDescent="0.35">
      <c r="B2686" s="38">
        <v>39186</v>
      </c>
      <c r="C2686" s="3">
        <v>0</v>
      </c>
      <c r="D2686" s="3">
        <v>0</v>
      </c>
      <c r="E2686" s="3">
        <f>C2686 - D2686</f>
        <v>0</v>
      </c>
    </row>
    <row r="2687" spans="2:5" x14ac:dyDescent="0.35">
      <c r="B2687" s="38">
        <v>39187</v>
      </c>
      <c r="C2687" s="3">
        <v>0</v>
      </c>
      <c r="D2687" s="3">
        <v>0</v>
      </c>
      <c r="E2687" s="3">
        <f>C2687 - D2687</f>
        <v>0</v>
      </c>
    </row>
    <row r="2688" spans="2:5" x14ac:dyDescent="0.35">
      <c r="B2688" s="38">
        <v>39188</v>
      </c>
      <c r="C2688" s="3">
        <v>1</v>
      </c>
      <c r="D2688" s="3">
        <v>0</v>
      </c>
      <c r="E2688" s="3">
        <f>C2688 - D2688</f>
        <v>1</v>
      </c>
    </row>
    <row r="2689" spans="2:5" x14ac:dyDescent="0.35">
      <c r="B2689" s="38">
        <v>39189</v>
      </c>
      <c r="C2689" s="3">
        <v>0</v>
      </c>
      <c r="D2689" s="3">
        <v>1</v>
      </c>
      <c r="E2689" s="3">
        <f>C2689 - D2689</f>
        <v>-1</v>
      </c>
    </row>
    <row r="2690" spans="2:5" x14ac:dyDescent="0.35">
      <c r="B2690" s="38">
        <v>39190</v>
      </c>
      <c r="C2690" s="3">
        <v>1</v>
      </c>
      <c r="D2690" s="3">
        <v>0</v>
      </c>
      <c r="E2690" s="3">
        <f>C2690 - D2690</f>
        <v>1</v>
      </c>
    </row>
    <row r="2691" spans="2:5" x14ac:dyDescent="0.35">
      <c r="B2691" s="38">
        <v>39191</v>
      </c>
      <c r="C2691" s="3">
        <v>0</v>
      </c>
      <c r="D2691" s="3">
        <v>1</v>
      </c>
      <c r="E2691" s="3">
        <f>C2691 - D2691</f>
        <v>-1</v>
      </c>
    </row>
    <row r="2692" spans="2:5" x14ac:dyDescent="0.35">
      <c r="B2692" s="38">
        <v>39192</v>
      </c>
      <c r="C2692" s="3">
        <v>0</v>
      </c>
      <c r="D2692" s="3">
        <v>0</v>
      </c>
      <c r="E2692" s="3">
        <f>C2692 - D2692</f>
        <v>0</v>
      </c>
    </row>
    <row r="2693" spans="2:5" x14ac:dyDescent="0.35">
      <c r="B2693" s="38">
        <v>39193</v>
      </c>
      <c r="C2693" s="3">
        <v>0</v>
      </c>
      <c r="D2693" s="3">
        <v>0</v>
      </c>
      <c r="E2693" s="3">
        <f>C2693 - D2693</f>
        <v>0</v>
      </c>
    </row>
    <row r="2694" spans="2:5" x14ac:dyDescent="0.35">
      <c r="B2694" s="38">
        <v>39194</v>
      </c>
      <c r="C2694" s="3">
        <v>1</v>
      </c>
      <c r="D2694" s="3">
        <v>0</v>
      </c>
      <c r="E2694" s="3">
        <f>C2694 - D2694</f>
        <v>1</v>
      </c>
    </row>
    <row r="2695" spans="2:5" x14ac:dyDescent="0.35">
      <c r="B2695" s="38">
        <v>39195</v>
      </c>
      <c r="C2695" s="3">
        <v>1</v>
      </c>
      <c r="D2695" s="3">
        <v>1</v>
      </c>
      <c r="E2695" s="3">
        <f>C2695 - D2695</f>
        <v>0</v>
      </c>
    </row>
    <row r="2696" spans="2:5" x14ac:dyDescent="0.35">
      <c r="B2696" s="38">
        <v>39196</v>
      </c>
      <c r="C2696" s="3">
        <v>0</v>
      </c>
      <c r="D2696" s="3">
        <v>1</v>
      </c>
      <c r="E2696" s="3">
        <f>C2696 - D2696</f>
        <v>-1</v>
      </c>
    </row>
    <row r="2697" spans="2:5" x14ac:dyDescent="0.35">
      <c r="B2697" s="38">
        <v>39197</v>
      </c>
      <c r="C2697" s="3">
        <v>0</v>
      </c>
      <c r="D2697" s="3">
        <v>0</v>
      </c>
      <c r="E2697" s="3">
        <f>C2697 - D2697</f>
        <v>0</v>
      </c>
    </row>
    <row r="2698" spans="2:5" x14ac:dyDescent="0.35">
      <c r="B2698" s="38">
        <v>39198</v>
      </c>
      <c r="C2698" s="3">
        <v>0</v>
      </c>
      <c r="D2698" s="3">
        <v>0</v>
      </c>
      <c r="E2698" s="3">
        <f>C2698 - D2698</f>
        <v>0</v>
      </c>
    </row>
    <row r="2699" spans="2:5" x14ac:dyDescent="0.35">
      <c r="B2699" s="38">
        <v>39199</v>
      </c>
      <c r="C2699" s="3">
        <v>0</v>
      </c>
      <c r="D2699" s="3">
        <v>0</v>
      </c>
      <c r="E2699" s="3">
        <f>C2699 - D2699</f>
        <v>0</v>
      </c>
    </row>
    <row r="2700" spans="2:5" x14ac:dyDescent="0.35">
      <c r="B2700" s="38">
        <v>39200</v>
      </c>
      <c r="C2700" s="3">
        <v>1</v>
      </c>
      <c r="D2700" s="3">
        <v>0</v>
      </c>
      <c r="E2700" s="3">
        <f>C2700 - D2700</f>
        <v>1</v>
      </c>
    </row>
    <row r="2701" spans="2:5" x14ac:dyDescent="0.35">
      <c r="B2701" s="38">
        <v>39201</v>
      </c>
      <c r="C2701" s="3">
        <v>1</v>
      </c>
      <c r="D2701" s="3">
        <v>1</v>
      </c>
      <c r="E2701" s="3">
        <f>C2701 - D2701</f>
        <v>0</v>
      </c>
    </row>
    <row r="2702" spans="2:5" x14ac:dyDescent="0.35">
      <c r="B2702" s="38">
        <v>39202</v>
      </c>
      <c r="C2702" s="3">
        <v>1</v>
      </c>
      <c r="D2702" s="3">
        <v>1</v>
      </c>
      <c r="E2702" s="3">
        <f>C2702 - D2702</f>
        <v>0</v>
      </c>
    </row>
    <row r="2703" spans="2:5" x14ac:dyDescent="0.35">
      <c r="B2703" s="38">
        <v>39203</v>
      </c>
      <c r="C2703" s="3">
        <v>1</v>
      </c>
      <c r="D2703" s="3">
        <v>1</v>
      </c>
      <c r="E2703" s="3">
        <f>C2703 - D2703</f>
        <v>0</v>
      </c>
    </row>
    <row r="2704" spans="2:5" x14ac:dyDescent="0.35">
      <c r="B2704" s="38">
        <v>39204</v>
      </c>
      <c r="C2704" s="3">
        <v>0</v>
      </c>
      <c r="D2704" s="3">
        <v>1</v>
      </c>
      <c r="E2704" s="3">
        <f>C2704 - D2704</f>
        <v>-1</v>
      </c>
    </row>
    <row r="2705" spans="2:5" x14ac:dyDescent="0.35">
      <c r="B2705" s="38">
        <v>39205</v>
      </c>
      <c r="C2705" s="3">
        <v>1</v>
      </c>
      <c r="D2705" s="3">
        <v>0</v>
      </c>
      <c r="E2705" s="3">
        <f>C2705 - D2705</f>
        <v>1</v>
      </c>
    </row>
    <row r="2706" spans="2:5" x14ac:dyDescent="0.35">
      <c r="B2706" s="38">
        <v>39206</v>
      </c>
      <c r="C2706" s="3">
        <v>1</v>
      </c>
      <c r="D2706" s="3">
        <v>1</v>
      </c>
      <c r="E2706" s="3">
        <f>C2706 - D2706</f>
        <v>0</v>
      </c>
    </row>
    <row r="2707" spans="2:5" x14ac:dyDescent="0.35">
      <c r="B2707" s="38">
        <v>39207</v>
      </c>
      <c r="C2707" s="3">
        <v>0</v>
      </c>
      <c r="D2707" s="3">
        <v>1</v>
      </c>
      <c r="E2707" s="3">
        <f>C2707 - D2707</f>
        <v>-1</v>
      </c>
    </row>
    <row r="2708" spans="2:5" x14ac:dyDescent="0.35">
      <c r="B2708" s="38">
        <v>39208</v>
      </c>
      <c r="C2708" s="3">
        <v>1</v>
      </c>
      <c r="D2708" s="3">
        <v>0</v>
      </c>
      <c r="E2708" s="3">
        <f>C2708 - D2708</f>
        <v>1</v>
      </c>
    </row>
    <row r="2709" spans="2:5" x14ac:dyDescent="0.35">
      <c r="B2709" s="38">
        <v>39209</v>
      </c>
      <c r="C2709" s="3">
        <v>0</v>
      </c>
      <c r="D2709" s="3">
        <v>1</v>
      </c>
      <c r="E2709" s="3">
        <f>C2709 - D2709</f>
        <v>-1</v>
      </c>
    </row>
    <row r="2710" spans="2:5" x14ac:dyDescent="0.35">
      <c r="B2710" s="38">
        <v>39210</v>
      </c>
      <c r="C2710" s="3">
        <v>0</v>
      </c>
      <c r="D2710" s="3">
        <v>0</v>
      </c>
      <c r="E2710" s="3">
        <f>C2710 - D2710</f>
        <v>0</v>
      </c>
    </row>
    <row r="2711" spans="2:5" x14ac:dyDescent="0.35">
      <c r="B2711" s="38">
        <v>39211</v>
      </c>
      <c r="C2711" s="3">
        <v>0</v>
      </c>
      <c r="D2711" s="3">
        <v>0</v>
      </c>
      <c r="E2711" s="3">
        <f>C2711 - D2711</f>
        <v>0</v>
      </c>
    </row>
    <row r="2712" spans="2:5" x14ac:dyDescent="0.35">
      <c r="B2712" s="38">
        <v>39212</v>
      </c>
      <c r="C2712" s="3">
        <v>0</v>
      </c>
      <c r="D2712" s="3">
        <v>0</v>
      </c>
      <c r="E2712" s="3">
        <f>C2712 - D2712</f>
        <v>0</v>
      </c>
    </row>
    <row r="2713" spans="2:5" x14ac:dyDescent="0.35">
      <c r="B2713" s="38">
        <v>39213</v>
      </c>
      <c r="C2713" s="3">
        <v>0</v>
      </c>
      <c r="D2713" s="3">
        <v>0</v>
      </c>
      <c r="E2713" s="3">
        <f>C2713 - D2713</f>
        <v>0</v>
      </c>
    </row>
    <row r="2714" spans="2:5" x14ac:dyDescent="0.35">
      <c r="B2714" s="38">
        <v>39214</v>
      </c>
      <c r="C2714" s="3">
        <v>0</v>
      </c>
      <c r="D2714" s="3">
        <v>0</v>
      </c>
      <c r="E2714" s="3">
        <f>C2714 - D2714</f>
        <v>0</v>
      </c>
    </row>
    <row r="2715" spans="2:5" x14ac:dyDescent="0.35">
      <c r="B2715" s="38">
        <v>39215</v>
      </c>
      <c r="C2715" s="3">
        <v>0</v>
      </c>
      <c r="D2715" s="3">
        <v>0</v>
      </c>
      <c r="E2715" s="3">
        <f>C2715 - D2715</f>
        <v>0</v>
      </c>
    </row>
    <row r="2716" spans="2:5" x14ac:dyDescent="0.35">
      <c r="B2716" s="38">
        <v>39216</v>
      </c>
      <c r="C2716" s="3">
        <v>0</v>
      </c>
      <c r="D2716" s="3">
        <v>0</v>
      </c>
      <c r="E2716" s="3">
        <f>C2716 - D2716</f>
        <v>0</v>
      </c>
    </row>
    <row r="2717" spans="2:5" x14ac:dyDescent="0.35">
      <c r="B2717" s="38">
        <v>39217</v>
      </c>
      <c r="C2717" s="3">
        <v>1</v>
      </c>
      <c r="D2717" s="3">
        <v>0</v>
      </c>
      <c r="E2717" s="3">
        <f>C2717 - D2717</f>
        <v>1</v>
      </c>
    </row>
    <row r="2718" spans="2:5" x14ac:dyDescent="0.35">
      <c r="B2718" s="38">
        <v>39218</v>
      </c>
      <c r="C2718" s="3">
        <v>1</v>
      </c>
      <c r="D2718" s="3">
        <v>1</v>
      </c>
      <c r="E2718" s="3">
        <f>C2718 - D2718</f>
        <v>0</v>
      </c>
    </row>
    <row r="2719" spans="2:5" x14ac:dyDescent="0.35">
      <c r="B2719" s="38">
        <v>39219</v>
      </c>
      <c r="C2719" s="3">
        <v>0</v>
      </c>
      <c r="D2719" s="3">
        <v>1</v>
      </c>
      <c r="E2719" s="3">
        <f>C2719 - D2719</f>
        <v>-1</v>
      </c>
    </row>
    <row r="2720" spans="2:5" x14ac:dyDescent="0.35">
      <c r="B2720" s="38">
        <v>39220</v>
      </c>
      <c r="C2720" s="3">
        <v>1</v>
      </c>
      <c r="D2720" s="3">
        <v>0</v>
      </c>
      <c r="E2720" s="3">
        <f>C2720 - D2720</f>
        <v>1</v>
      </c>
    </row>
    <row r="2721" spans="2:5" x14ac:dyDescent="0.35">
      <c r="B2721" s="38">
        <v>39221</v>
      </c>
      <c r="C2721" s="3">
        <v>1</v>
      </c>
      <c r="D2721" s="3">
        <v>1</v>
      </c>
      <c r="E2721" s="3">
        <f>C2721 - D2721</f>
        <v>0</v>
      </c>
    </row>
    <row r="2722" spans="2:5" x14ac:dyDescent="0.35">
      <c r="B2722" s="38">
        <v>39222</v>
      </c>
      <c r="C2722" s="3">
        <v>1</v>
      </c>
      <c r="D2722" s="3">
        <v>1</v>
      </c>
      <c r="E2722" s="3">
        <f>C2722 - D2722</f>
        <v>0</v>
      </c>
    </row>
    <row r="2723" spans="2:5" x14ac:dyDescent="0.35">
      <c r="B2723" s="38">
        <v>39223</v>
      </c>
      <c r="C2723" s="3">
        <v>0</v>
      </c>
      <c r="D2723" s="3">
        <v>1</v>
      </c>
      <c r="E2723" s="3">
        <f>C2723 - D2723</f>
        <v>-1</v>
      </c>
    </row>
    <row r="2724" spans="2:5" x14ac:dyDescent="0.35">
      <c r="B2724" s="38">
        <v>39224</v>
      </c>
      <c r="C2724" s="3">
        <v>1</v>
      </c>
      <c r="D2724" s="3">
        <v>0</v>
      </c>
      <c r="E2724" s="3">
        <f>C2724 - D2724</f>
        <v>1</v>
      </c>
    </row>
    <row r="2725" spans="2:5" x14ac:dyDescent="0.35">
      <c r="B2725" s="38">
        <v>39225</v>
      </c>
      <c r="C2725" s="3">
        <v>0</v>
      </c>
      <c r="D2725" s="3">
        <v>1</v>
      </c>
      <c r="E2725" s="3">
        <f>C2725 - D2725</f>
        <v>-1</v>
      </c>
    </row>
    <row r="2726" spans="2:5" x14ac:dyDescent="0.35">
      <c r="B2726" s="38">
        <v>39226</v>
      </c>
      <c r="C2726" s="3">
        <v>0</v>
      </c>
      <c r="D2726" s="3">
        <v>0</v>
      </c>
      <c r="E2726" s="3">
        <f>C2726 - D2726</f>
        <v>0</v>
      </c>
    </row>
    <row r="2727" spans="2:5" x14ac:dyDescent="0.35">
      <c r="B2727" s="38">
        <v>39227</v>
      </c>
      <c r="C2727" s="3">
        <v>0</v>
      </c>
      <c r="D2727" s="3">
        <v>0</v>
      </c>
      <c r="E2727" s="3">
        <f>C2727 - D2727</f>
        <v>0</v>
      </c>
    </row>
    <row r="2728" spans="2:5" x14ac:dyDescent="0.35">
      <c r="B2728" s="38">
        <v>39228</v>
      </c>
      <c r="C2728" s="3">
        <v>0</v>
      </c>
      <c r="D2728" s="3">
        <v>0</v>
      </c>
      <c r="E2728" s="3">
        <f>C2728 - D2728</f>
        <v>0</v>
      </c>
    </row>
    <row r="2729" spans="2:5" x14ac:dyDescent="0.35">
      <c r="B2729" s="38">
        <v>39229</v>
      </c>
      <c r="C2729" s="3">
        <v>0</v>
      </c>
      <c r="D2729" s="3">
        <v>0</v>
      </c>
      <c r="E2729" s="3">
        <f>C2729 - D2729</f>
        <v>0</v>
      </c>
    </row>
    <row r="2730" spans="2:5" x14ac:dyDescent="0.35">
      <c r="B2730" s="38">
        <v>39230</v>
      </c>
      <c r="C2730" s="3">
        <v>0</v>
      </c>
      <c r="D2730" s="3">
        <v>0</v>
      </c>
      <c r="E2730" s="3">
        <f>C2730 - D2730</f>
        <v>0</v>
      </c>
    </row>
    <row r="2731" spans="2:5" x14ac:dyDescent="0.35">
      <c r="B2731" s="38">
        <v>39231</v>
      </c>
      <c r="C2731" s="3">
        <v>0</v>
      </c>
      <c r="D2731" s="3">
        <v>0</v>
      </c>
      <c r="E2731" s="3">
        <f>C2731 - D2731</f>
        <v>0</v>
      </c>
    </row>
    <row r="2732" spans="2:5" x14ac:dyDescent="0.35">
      <c r="B2732" s="38">
        <v>39232</v>
      </c>
      <c r="C2732" s="3">
        <v>1</v>
      </c>
      <c r="D2732" s="3">
        <v>0</v>
      </c>
      <c r="E2732" s="3">
        <f>C2732 - D2732</f>
        <v>1</v>
      </c>
    </row>
    <row r="2733" spans="2:5" x14ac:dyDescent="0.35">
      <c r="B2733" s="38">
        <v>39233</v>
      </c>
      <c r="C2733" s="3">
        <v>1</v>
      </c>
      <c r="D2733" s="3">
        <v>1</v>
      </c>
      <c r="E2733" s="3">
        <f>C2733 - D2733</f>
        <v>0</v>
      </c>
    </row>
    <row r="2734" spans="2:5" x14ac:dyDescent="0.35">
      <c r="B2734" s="38">
        <v>39234</v>
      </c>
      <c r="C2734" s="3">
        <v>1</v>
      </c>
      <c r="D2734" s="3">
        <v>1</v>
      </c>
      <c r="E2734" s="3">
        <f>C2734 - D2734</f>
        <v>0</v>
      </c>
    </row>
    <row r="2735" spans="2:5" x14ac:dyDescent="0.35">
      <c r="B2735" s="38">
        <v>39235</v>
      </c>
      <c r="C2735" s="3">
        <v>1</v>
      </c>
      <c r="D2735" s="3">
        <v>1</v>
      </c>
      <c r="E2735" s="3">
        <f>C2735 - D2735</f>
        <v>0</v>
      </c>
    </row>
    <row r="2736" spans="2:5" x14ac:dyDescent="0.35">
      <c r="B2736" s="38">
        <v>39236</v>
      </c>
      <c r="C2736" s="3">
        <v>0</v>
      </c>
      <c r="D2736" s="3">
        <v>1</v>
      </c>
      <c r="E2736" s="3">
        <f>C2736 - D2736</f>
        <v>-1</v>
      </c>
    </row>
    <row r="2737" spans="2:5" x14ac:dyDescent="0.35">
      <c r="B2737" s="38">
        <v>39237</v>
      </c>
      <c r="C2737" s="3">
        <v>0</v>
      </c>
      <c r="D2737" s="3">
        <v>0</v>
      </c>
      <c r="E2737" s="3">
        <f>C2737 - D2737</f>
        <v>0</v>
      </c>
    </row>
    <row r="2738" spans="2:5" x14ac:dyDescent="0.35">
      <c r="B2738" s="38">
        <v>39238</v>
      </c>
      <c r="C2738" s="3">
        <v>0</v>
      </c>
      <c r="D2738" s="3">
        <v>0</v>
      </c>
      <c r="E2738" s="3">
        <f>C2738 - D2738</f>
        <v>0</v>
      </c>
    </row>
    <row r="2739" spans="2:5" x14ac:dyDescent="0.35">
      <c r="B2739" s="38">
        <v>39239</v>
      </c>
      <c r="C2739" s="3">
        <v>1</v>
      </c>
      <c r="D2739" s="3">
        <v>0</v>
      </c>
      <c r="E2739" s="3">
        <f>C2739 - D2739</f>
        <v>1</v>
      </c>
    </row>
    <row r="2740" spans="2:5" x14ac:dyDescent="0.35">
      <c r="B2740" s="38">
        <v>39240</v>
      </c>
      <c r="C2740" s="3">
        <v>1</v>
      </c>
      <c r="D2740" s="3">
        <v>1</v>
      </c>
      <c r="E2740" s="3">
        <f>C2740 - D2740</f>
        <v>0</v>
      </c>
    </row>
    <row r="2741" spans="2:5" x14ac:dyDescent="0.35">
      <c r="B2741" s="38">
        <v>39241</v>
      </c>
      <c r="C2741" s="3">
        <v>0</v>
      </c>
      <c r="D2741" s="3">
        <v>1</v>
      </c>
      <c r="E2741" s="3">
        <f>C2741 - D2741</f>
        <v>-1</v>
      </c>
    </row>
    <row r="2742" spans="2:5" x14ac:dyDescent="0.35">
      <c r="B2742" s="38">
        <v>39242</v>
      </c>
      <c r="C2742" s="3">
        <v>0</v>
      </c>
      <c r="D2742" s="3">
        <v>0</v>
      </c>
      <c r="E2742" s="3">
        <f>C2742 - D2742</f>
        <v>0</v>
      </c>
    </row>
    <row r="2743" spans="2:5" x14ac:dyDescent="0.35">
      <c r="B2743" s="38">
        <v>39243</v>
      </c>
      <c r="C2743" s="3">
        <v>0</v>
      </c>
      <c r="D2743" s="3">
        <v>0</v>
      </c>
      <c r="E2743" s="3">
        <f>C2743 - D2743</f>
        <v>0</v>
      </c>
    </row>
    <row r="2744" spans="2:5" x14ac:dyDescent="0.35">
      <c r="B2744" s="38">
        <v>39244</v>
      </c>
      <c r="C2744" s="3">
        <v>1</v>
      </c>
      <c r="D2744" s="3">
        <v>0</v>
      </c>
      <c r="E2744" s="3">
        <f>C2744 - D2744</f>
        <v>1</v>
      </c>
    </row>
    <row r="2745" spans="2:5" x14ac:dyDescent="0.35">
      <c r="B2745" s="38">
        <v>39245</v>
      </c>
      <c r="C2745" s="3">
        <v>1</v>
      </c>
      <c r="D2745" s="3">
        <v>1</v>
      </c>
      <c r="E2745" s="3">
        <f>C2745 - D2745</f>
        <v>0</v>
      </c>
    </row>
    <row r="2746" spans="2:5" x14ac:dyDescent="0.35">
      <c r="B2746" s="38">
        <v>39246</v>
      </c>
      <c r="C2746" s="3">
        <v>1</v>
      </c>
      <c r="D2746" s="3">
        <v>1</v>
      </c>
      <c r="E2746" s="3">
        <f>C2746 - D2746</f>
        <v>0</v>
      </c>
    </row>
    <row r="2747" spans="2:5" x14ac:dyDescent="0.35">
      <c r="B2747" s="38">
        <v>39247</v>
      </c>
      <c r="C2747" s="3">
        <v>1</v>
      </c>
      <c r="D2747" s="3">
        <v>1</v>
      </c>
      <c r="E2747" s="3">
        <f>C2747 - D2747</f>
        <v>0</v>
      </c>
    </row>
    <row r="2748" spans="2:5" x14ac:dyDescent="0.35">
      <c r="B2748" s="38">
        <v>39248</v>
      </c>
      <c r="C2748" s="3">
        <v>0</v>
      </c>
      <c r="D2748" s="3">
        <v>1</v>
      </c>
      <c r="E2748" s="3">
        <f>C2748 - D2748</f>
        <v>-1</v>
      </c>
    </row>
    <row r="2749" spans="2:5" x14ac:dyDescent="0.35">
      <c r="B2749" s="38">
        <v>39249</v>
      </c>
      <c r="C2749" s="3">
        <v>1</v>
      </c>
      <c r="D2749" s="3">
        <v>0</v>
      </c>
      <c r="E2749" s="3">
        <f>C2749 - D2749</f>
        <v>1</v>
      </c>
    </row>
    <row r="2750" spans="2:5" x14ac:dyDescent="0.35">
      <c r="B2750" s="38">
        <v>39250</v>
      </c>
      <c r="C2750" s="3">
        <v>0</v>
      </c>
      <c r="D2750" s="3">
        <v>1</v>
      </c>
      <c r="E2750" s="3">
        <f>C2750 - D2750</f>
        <v>-1</v>
      </c>
    </row>
    <row r="2751" spans="2:5" x14ac:dyDescent="0.35">
      <c r="B2751" s="38">
        <v>39251</v>
      </c>
      <c r="C2751" s="3">
        <v>1</v>
      </c>
      <c r="D2751" s="3">
        <v>0</v>
      </c>
      <c r="E2751" s="3">
        <f>C2751 - D2751</f>
        <v>1</v>
      </c>
    </row>
    <row r="2752" spans="2:5" x14ac:dyDescent="0.35">
      <c r="B2752" s="38">
        <v>39252</v>
      </c>
      <c r="C2752" s="3">
        <v>0</v>
      </c>
      <c r="D2752" s="3">
        <v>1</v>
      </c>
      <c r="E2752" s="3">
        <f>C2752 - D2752</f>
        <v>-1</v>
      </c>
    </row>
    <row r="2753" spans="2:5" x14ac:dyDescent="0.35">
      <c r="B2753" s="38">
        <v>39253</v>
      </c>
      <c r="C2753" s="3">
        <v>1</v>
      </c>
      <c r="D2753" s="3">
        <v>0</v>
      </c>
      <c r="E2753" s="3">
        <f>C2753 - D2753</f>
        <v>1</v>
      </c>
    </row>
    <row r="2754" spans="2:5" x14ac:dyDescent="0.35">
      <c r="B2754" s="38">
        <v>39254</v>
      </c>
      <c r="C2754" s="3">
        <v>1</v>
      </c>
      <c r="D2754" s="3">
        <v>1</v>
      </c>
      <c r="E2754" s="3">
        <f>C2754 - D2754</f>
        <v>0</v>
      </c>
    </row>
    <row r="2755" spans="2:5" x14ac:dyDescent="0.35">
      <c r="B2755" s="38">
        <v>39255</v>
      </c>
      <c r="C2755" s="3">
        <v>0</v>
      </c>
      <c r="D2755" s="3">
        <v>1</v>
      </c>
      <c r="E2755" s="3">
        <f>C2755 - D2755</f>
        <v>-1</v>
      </c>
    </row>
    <row r="2756" spans="2:5" x14ac:dyDescent="0.35">
      <c r="B2756" s="38">
        <v>39256</v>
      </c>
      <c r="C2756" s="3">
        <v>1</v>
      </c>
      <c r="D2756" s="3">
        <v>0</v>
      </c>
      <c r="E2756" s="3">
        <f>C2756 - D2756</f>
        <v>1</v>
      </c>
    </row>
    <row r="2757" spans="2:5" x14ac:dyDescent="0.35">
      <c r="B2757" s="38">
        <v>39257</v>
      </c>
      <c r="C2757" s="3">
        <v>0</v>
      </c>
      <c r="D2757" s="3">
        <v>1</v>
      </c>
      <c r="E2757" s="3">
        <f>C2757 - D2757</f>
        <v>-1</v>
      </c>
    </row>
    <row r="2758" spans="2:5" x14ac:dyDescent="0.35">
      <c r="B2758" s="38">
        <v>39258</v>
      </c>
      <c r="C2758" s="3">
        <v>0</v>
      </c>
      <c r="D2758" s="3">
        <v>0</v>
      </c>
      <c r="E2758" s="3">
        <f>C2758 - D2758</f>
        <v>0</v>
      </c>
    </row>
    <row r="2759" spans="2:5" x14ac:dyDescent="0.35">
      <c r="B2759" s="38">
        <v>39259</v>
      </c>
      <c r="C2759" s="3">
        <v>0</v>
      </c>
      <c r="D2759" s="3">
        <v>0</v>
      </c>
      <c r="E2759" s="3">
        <f>C2759 - D2759</f>
        <v>0</v>
      </c>
    </row>
    <row r="2760" spans="2:5" x14ac:dyDescent="0.35">
      <c r="B2760" s="38">
        <v>39260</v>
      </c>
      <c r="C2760" s="3">
        <v>1</v>
      </c>
      <c r="D2760" s="3">
        <v>0</v>
      </c>
      <c r="E2760" s="3">
        <f>C2760 - D2760</f>
        <v>1</v>
      </c>
    </row>
    <row r="2761" spans="2:5" x14ac:dyDescent="0.35">
      <c r="B2761" s="38">
        <v>39261</v>
      </c>
      <c r="C2761" s="3">
        <v>1</v>
      </c>
      <c r="D2761" s="3">
        <v>1</v>
      </c>
      <c r="E2761" s="3">
        <f>C2761 - D2761</f>
        <v>0</v>
      </c>
    </row>
    <row r="2762" spans="2:5" x14ac:dyDescent="0.35">
      <c r="B2762" s="38">
        <v>39262</v>
      </c>
      <c r="C2762" s="3">
        <v>1</v>
      </c>
      <c r="D2762" s="3">
        <v>1</v>
      </c>
      <c r="E2762" s="3">
        <f>C2762 - D2762</f>
        <v>0</v>
      </c>
    </row>
    <row r="2763" spans="2:5" x14ac:dyDescent="0.35">
      <c r="B2763" s="38">
        <v>39263</v>
      </c>
      <c r="C2763" s="3">
        <v>1</v>
      </c>
      <c r="D2763" s="3">
        <v>1</v>
      </c>
      <c r="E2763" s="3">
        <f>C2763 - D2763</f>
        <v>0</v>
      </c>
    </row>
    <row r="2764" spans="2:5" x14ac:dyDescent="0.35">
      <c r="B2764" s="38">
        <v>39264</v>
      </c>
      <c r="C2764" s="3">
        <v>1</v>
      </c>
      <c r="D2764" s="3">
        <v>1</v>
      </c>
      <c r="E2764" s="3">
        <f>C2764 - D2764</f>
        <v>0</v>
      </c>
    </row>
    <row r="2765" spans="2:5" x14ac:dyDescent="0.35">
      <c r="B2765" s="38">
        <v>39265</v>
      </c>
      <c r="C2765" s="3">
        <v>0</v>
      </c>
      <c r="D2765" s="3">
        <v>1</v>
      </c>
      <c r="E2765" s="3">
        <f>C2765 - D2765</f>
        <v>-1</v>
      </c>
    </row>
    <row r="2766" spans="2:5" x14ac:dyDescent="0.35">
      <c r="B2766" s="38">
        <v>39266</v>
      </c>
      <c r="C2766" s="3">
        <v>1</v>
      </c>
      <c r="D2766" s="3">
        <v>0</v>
      </c>
      <c r="E2766" s="3">
        <f>C2766 - D2766</f>
        <v>1</v>
      </c>
    </row>
    <row r="2767" spans="2:5" x14ac:dyDescent="0.35">
      <c r="B2767" s="38">
        <v>39267</v>
      </c>
      <c r="C2767" s="3">
        <v>1</v>
      </c>
      <c r="D2767" s="3">
        <v>1</v>
      </c>
      <c r="E2767" s="3">
        <f>C2767 - D2767</f>
        <v>0</v>
      </c>
    </row>
    <row r="2768" spans="2:5" x14ac:dyDescent="0.35">
      <c r="B2768" s="38">
        <v>39268</v>
      </c>
      <c r="C2768" s="3">
        <v>1</v>
      </c>
      <c r="D2768" s="3">
        <v>1</v>
      </c>
      <c r="E2768" s="3">
        <f>C2768 - D2768</f>
        <v>0</v>
      </c>
    </row>
    <row r="2769" spans="2:5" x14ac:dyDescent="0.35">
      <c r="B2769" s="38">
        <v>39269</v>
      </c>
      <c r="C2769" s="3">
        <v>1</v>
      </c>
      <c r="D2769" s="3">
        <v>1</v>
      </c>
      <c r="E2769" s="3">
        <f>C2769 - D2769</f>
        <v>0</v>
      </c>
    </row>
    <row r="2770" spans="2:5" x14ac:dyDescent="0.35">
      <c r="B2770" s="38">
        <v>39270</v>
      </c>
      <c r="C2770" s="3">
        <v>1</v>
      </c>
      <c r="D2770" s="3">
        <v>1</v>
      </c>
      <c r="E2770" s="3">
        <f>C2770 - D2770</f>
        <v>0</v>
      </c>
    </row>
    <row r="2771" spans="2:5" x14ac:dyDescent="0.35">
      <c r="B2771" s="38">
        <v>39271</v>
      </c>
      <c r="C2771" s="3">
        <v>1</v>
      </c>
      <c r="D2771" s="3">
        <v>1</v>
      </c>
      <c r="E2771" s="3">
        <f>C2771 - D2771</f>
        <v>0</v>
      </c>
    </row>
    <row r="2772" spans="2:5" x14ac:dyDescent="0.35">
      <c r="B2772" s="38">
        <v>39272</v>
      </c>
      <c r="C2772" s="3">
        <v>0</v>
      </c>
      <c r="D2772" s="3">
        <v>1</v>
      </c>
      <c r="E2772" s="3">
        <f>C2772 - D2772</f>
        <v>-1</v>
      </c>
    </row>
    <row r="2773" spans="2:5" x14ac:dyDescent="0.35">
      <c r="B2773" s="38">
        <v>39273</v>
      </c>
      <c r="C2773" s="3">
        <v>0</v>
      </c>
      <c r="D2773" s="3">
        <v>0</v>
      </c>
      <c r="E2773" s="3">
        <f>C2773 - D2773</f>
        <v>0</v>
      </c>
    </row>
    <row r="2774" spans="2:5" x14ac:dyDescent="0.35">
      <c r="B2774" s="38">
        <v>39274</v>
      </c>
      <c r="C2774" s="3">
        <v>0</v>
      </c>
      <c r="D2774" s="3">
        <v>0</v>
      </c>
      <c r="E2774" s="3">
        <f>C2774 - D2774</f>
        <v>0</v>
      </c>
    </row>
    <row r="2775" spans="2:5" x14ac:dyDescent="0.35">
      <c r="B2775" s="38">
        <v>39275</v>
      </c>
      <c r="C2775" s="3">
        <v>1</v>
      </c>
      <c r="D2775" s="3">
        <v>0</v>
      </c>
      <c r="E2775" s="3">
        <f>C2775 - D2775</f>
        <v>1</v>
      </c>
    </row>
    <row r="2776" spans="2:5" x14ac:dyDescent="0.35">
      <c r="B2776" s="38">
        <v>39276</v>
      </c>
      <c r="C2776" s="3">
        <v>1</v>
      </c>
      <c r="D2776" s="3">
        <v>1</v>
      </c>
      <c r="E2776" s="3">
        <f>C2776 - D2776</f>
        <v>0</v>
      </c>
    </row>
    <row r="2777" spans="2:5" x14ac:dyDescent="0.35">
      <c r="B2777" s="38">
        <v>39277</v>
      </c>
      <c r="C2777" s="3">
        <v>1</v>
      </c>
      <c r="D2777" s="3">
        <v>1</v>
      </c>
      <c r="E2777" s="3">
        <f>C2777 - D2777</f>
        <v>0</v>
      </c>
    </row>
    <row r="2778" spans="2:5" x14ac:dyDescent="0.35">
      <c r="B2778" s="38">
        <v>39278</v>
      </c>
      <c r="C2778" s="3">
        <v>1</v>
      </c>
      <c r="D2778" s="3">
        <v>1</v>
      </c>
      <c r="E2778" s="3">
        <f>C2778 - D2778</f>
        <v>0</v>
      </c>
    </row>
    <row r="2779" spans="2:5" x14ac:dyDescent="0.35">
      <c r="B2779" s="38">
        <v>39279</v>
      </c>
      <c r="C2779" s="3">
        <v>0</v>
      </c>
      <c r="D2779" s="3">
        <v>1</v>
      </c>
      <c r="E2779" s="3">
        <f>C2779 - D2779</f>
        <v>-1</v>
      </c>
    </row>
    <row r="2780" spans="2:5" x14ac:dyDescent="0.35">
      <c r="B2780" s="38">
        <v>39280</v>
      </c>
      <c r="C2780" s="3">
        <v>0</v>
      </c>
      <c r="D2780" s="3">
        <v>0</v>
      </c>
      <c r="E2780" s="3">
        <f>C2780 - D2780</f>
        <v>0</v>
      </c>
    </row>
    <row r="2781" spans="2:5" x14ac:dyDescent="0.35">
      <c r="B2781" s="38">
        <v>39281</v>
      </c>
      <c r="C2781" s="3">
        <v>1</v>
      </c>
      <c r="D2781" s="3">
        <v>0</v>
      </c>
      <c r="E2781" s="3">
        <f>C2781 - D2781</f>
        <v>1</v>
      </c>
    </row>
    <row r="2782" spans="2:5" x14ac:dyDescent="0.35">
      <c r="B2782" s="38">
        <v>39282</v>
      </c>
      <c r="C2782" s="3">
        <v>1</v>
      </c>
      <c r="D2782" s="3">
        <v>1</v>
      </c>
      <c r="E2782" s="3">
        <f>C2782 - D2782</f>
        <v>0</v>
      </c>
    </row>
    <row r="2783" spans="2:5" x14ac:dyDescent="0.35">
      <c r="B2783" s="38">
        <v>39283</v>
      </c>
      <c r="C2783" s="3">
        <v>1</v>
      </c>
      <c r="D2783" s="3">
        <v>1</v>
      </c>
      <c r="E2783" s="3">
        <f>C2783 - D2783</f>
        <v>0</v>
      </c>
    </row>
    <row r="2784" spans="2:5" x14ac:dyDescent="0.35">
      <c r="B2784" s="38">
        <v>39284</v>
      </c>
      <c r="C2784" s="3">
        <v>1</v>
      </c>
      <c r="D2784" s="3">
        <v>1</v>
      </c>
      <c r="E2784" s="3">
        <f>C2784 - D2784</f>
        <v>0</v>
      </c>
    </row>
    <row r="2785" spans="2:5" x14ac:dyDescent="0.35">
      <c r="B2785" s="38">
        <v>39285</v>
      </c>
      <c r="C2785" s="3">
        <v>0</v>
      </c>
      <c r="D2785" s="3">
        <v>1</v>
      </c>
      <c r="E2785" s="3">
        <f>C2785 - D2785</f>
        <v>-1</v>
      </c>
    </row>
    <row r="2786" spans="2:5" x14ac:dyDescent="0.35">
      <c r="B2786" s="38">
        <v>39286</v>
      </c>
      <c r="C2786" s="3">
        <v>0</v>
      </c>
      <c r="D2786" s="3">
        <v>0</v>
      </c>
      <c r="E2786" s="3">
        <f>C2786 - D2786</f>
        <v>0</v>
      </c>
    </row>
    <row r="2787" spans="2:5" x14ac:dyDescent="0.35">
      <c r="B2787" s="38">
        <v>39287</v>
      </c>
      <c r="C2787" s="3">
        <v>0</v>
      </c>
      <c r="D2787" s="3">
        <v>0</v>
      </c>
      <c r="E2787" s="3">
        <f>C2787 - D2787</f>
        <v>0</v>
      </c>
    </row>
    <row r="2788" spans="2:5" x14ac:dyDescent="0.35">
      <c r="B2788" s="38">
        <v>39288</v>
      </c>
      <c r="C2788" s="3">
        <v>0</v>
      </c>
      <c r="D2788" s="3">
        <v>0</v>
      </c>
      <c r="E2788" s="3">
        <f>C2788 - D2788</f>
        <v>0</v>
      </c>
    </row>
    <row r="2789" spans="2:5" x14ac:dyDescent="0.35">
      <c r="B2789" s="38">
        <v>39289</v>
      </c>
      <c r="C2789" s="3">
        <v>1</v>
      </c>
      <c r="D2789" s="3">
        <v>0</v>
      </c>
      <c r="E2789" s="3">
        <f>C2789 - D2789</f>
        <v>1</v>
      </c>
    </row>
    <row r="2790" spans="2:5" x14ac:dyDescent="0.35">
      <c r="B2790" s="38">
        <v>39290</v>
      </c>
      <c r="C2790" s="3">
        <v>0</v>
      </c>
      <c r="D2790" s="3">
        <v>1</v>
      </c>
      <c r="E2790" s="3">
        <f>C2790 - D2790</f>
        <v>-1</v>
      </c>
    </row>
    <row r="2791" spans="2:5" x14ac:dyDescent="0.35">
      <c r="B2791" s="38">
        <v>39291</v>
      </c>
      <c r="C2791" s="3">
        <v>1</v>
      </c>
      <c r="D2791" s="3">
        <v>0</v>
      </c>
      <c r="E2791" s="3">
        <f>C2791 - D2791</f>
        <v>1</v>
      </c>
    </row>
    <row r="2792" spans="2:5" x14ac:dyDescent="0.35">
      <c r="B2792" s="38">
        <v>39292</v>
      </c>
      <c r="C2792" s="3">
        <v>0</v>
      </c>
      <c r="D2792" s="3">
        <v>1</v>
      </c>
      <c r="E2792" s="3">
        <f>C2792 - D2792</f>
        <v>-1</v>
      </c>
    </row>
    <row r="2793" spans="2:5" x14ac:dyDescent="0.35">
      <c r="B2793" s="38">
        <v>39293</v>
      </c>
      <c r="C2793" s="3">
        <v>1</v>
      </c>
      <c r="D2793" s="3">
        <v>0</v>
      </c>
      <c r="E2793" s="3">
        <f>C2793 - D2793</f>
        <v>1</v>
      </c>
    </row>
    <row r="2794" spans="2:5" x14ac:dyDescent="0.35">
      <c r="B2794" s="38">
        <v>39294</v>
      </c>
      <c r="C2794" s="3">
        <v>0</v>
      </c>
      <c r="D2794" s="3">
        <v>1</v>
      </c>
      <c r="E2794" s="3">
        <f>C2794 - D2794</f>
        <v>-1</v>
      </c>
    </row>
    <row r="2795" spans="2:5" x14ac:dyDescent="0.35">
      <c r="B2795" s="38">
        <v>39295</v>
      </c>
      <c r="C2795" s="3">
        <v>1</v>
      </c>
      <c r="D2795" s="3">
        <v>0</v>
      </c>
      <c r="E2795" s="3">
        <f>C2795 - D2795</f>
        <v>1</v>
      </c>
    </row>
    <row r="2796" spans="2:5" x14ac:dyDescent="0.35">
      <c r="B2796" s="38">
        <v>39296</v>
      </c>
      <c r="C2796" s="3">
        <v>0</v>
      </c>
      <c r="D2796" s="3">
        <v>1</v>
      </c>
      <c r="E2796" s="3">
        <f>C2796 - D2796</f>
        <v>-1</v>
      </c>
    </row>
    <row r="2797" spans="2:5" x14ac:dyDescent="0.35">
      <c r="B2797" s="38">
        <v>39297</v>
      </c>
      <c r="C2797" s="3">
        <v>0</v>
      </c>
      <c r="D2797" s="3">
        <v>0</v>
      </c>
      <c r="E2797" s="3">
        <f>C2797 - D2797</f>
        <v>0</v>
      </c>
    </row>
    <row r="2798" spans="2:5" x14ac:dyDescent="0.35">
      <c r="B2798" s="38">
        <v>39298</v>
      </c>
      <c r="C2798" s="3">
        <v>1</v>
      </c>
      <c r="D2798" s="3">
        <v>0</v>
      </c>
      <c r="E2798" s="3">
        <f>C2798 - D2798</f>
        <v>1</v>
      </c>
    </row>
    <row r="2799" spans="2:5" x14ac:dyDescent="0.35">
      <c r="B2799" s="38">
        <v>39299</v>
      </c>
      <c r="C2799" s="3">
        <v>1</v>
      </c>
      <c r="D2799" s="3">
        <v>1</v>
      </c>
      <c r="E2799" s="3">
        <f>C2799 - D2799</f>
        <v>0</v>
      </c>
    </row>
    <row r="2800" spans="2:5" x14ac:dyDescent="0.35">
      <c r="B2800" s="38">
        <v>39300</v>
      </c>
      <c r="C2800" s="3">
        <v>1</v>
      </c>
      <c r="D2800" s="3">
        <v>1</v>
      </c>
      <c r="E2800" s="3">
        <f>C2800 - D2800</f>
        <v>0</v>
      </c>
    </row>
    <row r="2801" spans="2:5" x14ac:dyDescent="0.35">
      <c r="B2801" s="38">
        <v>39301</v>
      </c>
      <c r="C2801" s="3">
        <v>0</v>
      </c>
      <c r="D2801" s="3">
        <v>1</v>
      </c>
      <c r="E2801" s="3">
        <f>C2801 - D2801</f>
        <v>-1</v>
      </c>
    </row>
    <row r="2802" spans="2:5" x14ac:dyDescent="0.35">
      <c r="B2802" s="38">
        <v>39302</v>
      </c>
      <c r="C2802" s="3">
        <v>0</v>
      </c>
      <c r="D2802" s="3">
        <v>0</v>
      </c>
      <c r="E2802" s="3">
        <f>C2802 - D2802</f>
        <v>0</v>
      </c>
    </row>
    <row r="2803" spans="2:5" x14ac:dyDescent="0.35">
      <c r="B2803" s="38">
        <v>39303</v>
      </c>
      <c r="C2803" s="3">
        <v>0</v>
      </c>
      <c r="D2803" s="3">
        <v>0</v>
      </c>
      <c r="E2803" s="3">
        <f>C2803 - D2803</f>
        <v>0</v>
      </c>
    </row>
    <row r="2804" spans="2:5" x14ac:dyDescent="0.35">
      <c r="B2804" s="38">
        <v>39304</v>
      </c>
      <c r="C2804" s="3">
        <v>1</v>
      </c>
      <c r="D2804" s="3">
        <v>0</v>
      </c>
      <c r="E2804" s="3">
        <f>C2804 - D2804</f>
        <v>1</v>
      </c>
    </row>
    <row r="2805" spans="2:5" x14ac:dyDescent="0.35">
      <c r="B2805" s="38">
        <v>39305</v>
      </c>
      <c r="C2805" s="3">
        <v>1</v>
      </c>
      <c r="D2805" s="3">
        <v>1</v>
      </c>
      <c r="E2805" s="3">
        <f>C2805 - D2805</f>
        <v>0</v>
      </c>
    </row>
    <row r="2806" spans="2:5" x14ac:dyDescent="0.35">
      <c r="B2806" s="38">
        <v>39306</v>
      </c>
      <c r="C2806" s="3">
        <v>1</v>
      </c>
      <c r="D2806" s="3">
        <v>1</v>
      </c>
      <c r="E2806" s="3">
        <f>C2806 - D2806</f>
        <v>0</v>
      </c>
    </row>
    <row r="2807" spans="2:5" x14ac:dyDescent="0.35">
      <c r="B2807" s="38">
        <v>39307</v>
      </c>
      <c r="C2807" s="3">
        <v>1</v>
      </c>
      <c r="D2807" s="3">
        <v>1</v>
      </c>
      <c r="E2807" s="3">
        <f>C2807 - D2807</f>
        <v>0</v>
      </c>
    </row>
    <row r="2808" spans="2:5" x14ac:dyDescent="0.35">
      <c r="B2808" s="38">
        <v>39308</v>
      </c>
      <c r="C2808" s="3">
        <v>1</v>
      </c>
      <c r="D2808" s="3">
        <v>1</v>
      </c>
      <c r="E2808" s="3">
        <f>C2808 - D2808</f>
        <v>0</v>
      </c>
    </row>
    <row r="2809" spans="2:5" x14ac:dyDescent="0.35">
      <c r="B2809" s="38">
        <v>39309</v>
      </c>
      <c r="C2809" s="3">
        <v>0</v>
      </c>
      <c r="D2809" s="3">
        <v>1</v>
      </c>
      <c r="E2809" s="3">
        <f>C2809 - D2809</f>
        <v>-1</v>
      </c>
    </row>
    <row r="2810" spans="2:5" x14ac:dyDescent="0.35">
      <c r="B2810" s="38">
        <v>39310</v>
      </c>
      <c r="C2810" s="3">
        <v>0</v>
      </c>
      <c r="D2810" s="3">
        <v>0</v>
      </c>
      <c r="E2810" s="3">
        <f>C2810 - D2810</f>
        <v>0</v>
      </c>
    </row>
    <row r="2811" spans="2:5" x14ac:dyDescent="0.35">
      <c r="B2811" s="38">
        <v>39311</v>
      </c>
      <c r="C2811" s="3">
        <v>0</v>
      </c>
      <c r="D2811" s="3">
        <v>0</v>
      </c>
      <c r="E2811" s="3">
        <f>C2811 - D2811</f>
        <v>0</v>
      </c>
    </row>
    <row r="2812" spans="2:5" x14ac:dyDescent="0.35">
      <c r="B2812" s="38">
        <v>39312</v>
      </c>
      <c r="C2812" s="3">
        <v>1</v>
      </c>
      <c r="D2812" s="3">
        <v>0</v>
      </c>
      <c r="E2812" s="3">
        <f>C2812 - D2812</f>
        <v>1</v>
      </c>
    </row>
    <row r="2813" spans="2:5" x14ac:dyDescent="0.35">
      <c r="B2813" s="38">
        <v>39313</v>
      </c>
      <c r="C2813" s="3">
        <v>1</v>
      </c>
      <c r="D2813" s="3">
        <v>1</v>
      </c>
      <c r="E2813" s="3">
        <f>C2813 - D2813</f>
        <v>0</v>
      </c>
    </row>
    <row r="2814" spans="2:5" x14ac:dyDescent="0.35">
      <c r="B2814" s="38">
        <v>39314</v>
      </c>
      <c r="C2814" s="3">
        <v>0</v>
      </c>
      <c r="D2814" s="3">
        <v>1</v>
      </c>
      <c r="E2814" s="3">
        <f>C2814 - D2814</f>
        <v>-1</v>
      </c>
    </row>
    <row r="2815" spans="2:5" x14ac:dyDescent="0.35">
      <c r="B2815" s="38">
        <v>39315</v>
      </c>
      <c r="C2815" s="3">
        <v>0</v>
      </c>
      <c r="D2815" s="3">
        <v>0</v>
      </c>
      <c r="E2815" s="3">
        <f>C2815 - D2815</f>
        <v>0</v>
      </c>
    </row>
    <row r="2816" spans="2:5" x14ac:dyDescent="0.35">
      <c r="B2816" s="38">
        <v>39316</v>
      </c>
      <c r="C2816" s="3">
        <v>0</v>
      </c>
      <c r="D2816" s="3">
        <v>0</v>
      </c>
      <c r="E2816" s="3">
        <f>C2816 - D2816</f>
        <v>0</v>
      </c>
    </row>
    <row r="2817" spans="2:5" x14ac:dyDescent="0.35">
      <c r="B2817" s="38">
        <v>39317</v>
      </c>
      <c r="C2817" s="3">
        <v>0</v>
      </c>
      <c r="D2817" s="3">
        <v>0</v>
      </c>
      <c r="E2817" s="3">
        <f>C2817 - D2817</f>
        <v>0</v>
      </c>
    </row>
    <row r="2818" spans="2:5" x14ac:dyDescent="0.35">
      <c r="B2818" s="38">
        <v>39318</v>
      </c>
      <c r="C2818" s="3">
        <v>0</v>
      </c>
      <c r="D2818" s="3">
        <v>0</v>
      </c>
      <c r="E2818" s="3">
        <f>C2818 - D2818</f>
        <v>0</v>
      </c>
    </row>
    <row r="2819" spans="2:5" x14ac:dyDescent="0.35">
      <c r="B2819" s="38">
        <v>39319</v>
      </c>
      <c r="C2819" s="3">
        <v>0</v>
      </c>
      <c r="D2819" s="3">
        <v>0</v>
      </c>
      <c r="E2819" s="3">
        <f>C2819 - D2819</f>
        <v>0</v>
      </c>
    </row>
    <row r="2820" spans="2:5" x14ac:dyDescent="0.35">
      <c r="B2820" s="38">
        <v>39320</v>
      </c>
      <c r="C2820" s="3">
        <v>0</v>
      </c>
      <c r="D2820" s="3">
        <v>0</v>
      </c>
      <c r="E2820" s="3">
        <f>C2820 - D2820</f>
        <v>0</v>
      </c>
    </row>
    <row r="2821" spans="2:5" x14ac:dyDescent="0.35">
      <c r="B2821" s="38">
        <v>39321</v>
      </c>
      <c r="C2821" s="3">
        <v>0</v>
      </c>
      <c r="D2821" s="3">
        <v>0</v>
      </c>
      <c r="E2821" s="3">
        <f>C2821 - D2821</f>
        <v>0</v>
      </c>
    </row>
    <row r="2822" spans="2:5" x14ac:dyDescent="0.35">
      <c r="B2822" s="38">
        <v>39322</v>
      </c>
      <c r="C2822" s="3">
        <v>0</v>
      </c>
      <c r="D2822" s="3">
        <v>0</v>
      </c>
      <c r="E2822" s="3">
        <f>C2822 - D2822</f>
        <v>0</v>
      </c>
    </row>
    <row r="2823" spans="2:5" x14ac:dyDescent="0.35">
      <c r="B2823" s="38">
        <v>39323</v>
      </c>
      <c r="C2823" s="3">
        <v>0</v>
      </c>
      <c r="D2823" s="3">
        <v>0</v>
      </c>
      <c r="E2823" s="3">
        <f>C2823 - D2823</f>
        <v>0</v>
      </c>
    </row>
    <row r="2824" spans="2:5" x14ac:dyDescent="0.35">
      <c r="B2824" s="38">
        <v>39324</v>
      </c>
      <c r="C2824" s="3">
        <v>0</v>
      </c>
      <c r="D2824" s="3">
        <v>0</v>
      </c>
      <c r="E2824" s="3">
        <f>C2824 - D2824</f>
        <v>0</v>
      </c>
    </row>
    <row r="2825" spans="2:5" x14ac:dyDescent="0.35">
      <c r="B2825" s="38">
        <v>39325</v>
      </c>
      <c r="C2825" s="3">
        <v>0</v>
      </c>
      <c r="D2825" s="3">
        <v>0</v>
      </c>
      <c r="E2825" s="3">
        <f>C2825 - D2825</f>
        <v>0</v>
      </c>
    </row>
    <row r="2826" spans="2:5" x14ac:dyDescent="0.35">
      <c r="B2826" s="38">
        <v>39326</v>
      </c>
      <c r="C2826" s="3">
        <v>0</v>
      </c>
      <c r="D2826" s="3">
        <v>0</v>
      </c>
      <c r="E2826" s="3">
        <f>C2826 - D2826</f>
        <v>0</v>
      </c>
    </row>
    <row r="2827" spans="2:5" x14ac:dyDescent="0.35">
      <c r="B2827" s="38">
        <v>39327</v>
      </c>
      <c r="C2827" s="3">
        <v>0</v>
      </c>
      <c r="D2827" s="3">
        <v>0</v>
      </c>
      <c r="E2827" s="3">
        <f>C2827 - D2827</f>
        <v>0</v>
      </c>
    </row>
    <row r="2828" spans="2:5" x14ac:dyDescent="0.35">
      <c r="B2828" s="38">
        <v>39328</v>
      </c>
      <c r="C2828" s="3">
        <v>1</v>
      </c>
      <c r="D2828" s="3">
        <v>0</v>
      </c>
      <c r="E2828" s="3">
        <f>C2828 - D2828</f>
        <v>1</v>
      </c>
    </row>
    <row r="2829" spans="2:5" x14ac:dyDescent="0.35">
      <c r="B2829" s="38">
        <v>39329</v>
      </c>
      <c r="C2829" s="3">
        <v>1</v>
      </c>
      <c r="D2829" s="3">
        <v>1</v>
      </c>
      <c r="E2829" s="3">
        <f>C2829 - D2829</f>
        <v>0</v>
      </c>
    </row>
    <row r="2830" spans="2:5" x14ac:dyDescent="0.35">
      <c r="B2830" s="38">
        <v>39330</v>
      </c>
      <c r="C2830" s="3">
        <v>0</v>
      </c>
      <c r="D2830" s="3">
        <v>1</v>
      </c>
      <c r="E2830" s="3">
        <f>C2830 - D2830</f>
        <v>-1</v>
      </c>
    </row>
    <row r="2831" spans="2:5" x14ac:dyDescent="0.35">
      <c r="B2831" s="38">
        <v>39331</v>
      </c>
      <c r="C2831" s="3">
        <v>0</v>
      </c>
      <c r="D2831" s="3">
        <v>0</v>
      </c>
      <c r="E2831" s="3">
        <f>C2831 - D2831</f>
        <v>0</v>
      </c>
    </row>
    <row r="2832" spans="2:5" x14ac:dyDescent="0.35">
      <c r="B2832" s="38">
        <v>39332</v>
      </c>
      <c r="C2832" s="3">
        <v>0</v>
      </c>
      <c r="D2832" s="3">
        <v>0</v>
      </c>
      <c r="E2832" s="3">
        <f>C2832 - D2832</f>
        <v>0</v>
      </c>
    </row>
    <row r="2833" spans="2:5" x14ac:dyDescent="0.35">
      <c r="B2833" s="38">
        <v>39333</v>
      </c>
      <c r="C2833" s="3">
        <v>0</v>
      </c>
      <c r="D2833" s="3">
        <v>0</v>
      </c>
      <c r="E2833" s="3">
        <f>C2833 - D2833</f>
        <v>0</v>
      </c>
    </row>
    <row r="2834" spans="2:5" x14ac:dyDescent="0.35">
      <c r="B2834" s="38">
        <v>39334</v>
      </c>
      <c r="C2834" s="3">
        <v>0</v>
      </c>
      <c r="D2834" s="3">
        <v>0</v>
      </c>
      <c r="E2834" s="3">
        <f>C2834 - D2834</f>
        <v>0</v>
      </c>
    </row>
    <row r="2835" spans="2:5" x14ac:dyDescent="0.35">
      <c r="B2835" s="38">
        <v>39335</v>
      </c>
      <c r="C2835" s="3">
        <v>1</v>
      </c>
      <c r="D2835" s="3">
        <v>0</v>
      </c>
      <c r="E2835" s="3">
        <f>C2835 - D2835</f>
        <v>1</v>
      </c>
    </row>
    <row r="2836" spans="2:5" x14ac:dyDescent="0.35">
      <c r="B2836" s="38">
        <v>39336</v>
      </c>
      <c r="C2836" s="3">
        <v>1</v>
      </c>
      <c r="D2836" s="3">
        <v>1</v>
      </c>
      <c r="E2836" s="3">
        <f>C2836 - D2836</f>
        <v>0</v>
      </c>
    </row>
    <row r="2837" spans="2:5" x14ac:dyDescent="0.35">
      <c r="B2837" s="38">
        <v>39337</v>
      </c>
      <c r="C2837" s="3">
        <v>1</v>
      </c>
      <c r="D2837" s="3">
        <v>1</v>
      </c>
      <c r="E2837" s="3">
        <f>C2837 - D2837</f>
        <v>0</v>
      </c>
    </row>
    <row r="2838" spans="2:5" x14ac:dyDescent="0.35">
      <c r="B2838" s="38">
        <v>39338</v>
      </c>
      <c r="C2838" s="3">
        <v>0</v>
      </c>
      <c r="D2838" s="3">
        <v>1</v>
      </c>
      <c r="E2838" s="3">
        <f>C2838 - D2838</f>
        <v>-1</v>
      </c>
    </row>
    <row r="2839" spans="2:5" x14ac:dyDescent="0.35">
      <c r="B2839" s="38">
        <v>39339</v>
      </c>
      <c r="C2839" s="3">
        <v>0</v>
      </c>
      <c r="D2839" s="3">
        <v>0</v>
      </c>
      <c r="E2839" s="3">
        <f>C2839 - D2839</f>
        <v>0</v>
      </c>
    </row>
    <row r="2840" spans="2:5" x14ac:dyDescent="0.35">
      <c r="B2840" s="38">
        <v>39340</v>
      </c>
      <c r="C2840" s="3">
        <v>1</v>
      </c>
      <c r="D2840" s="3">
        <v>0</v>
      </c>
      <c r="E2840" s="3">
        <f>C2840 - D2840</f>
        <v>1</v>
      </c>
    </row>
    <row r="2841" spans="2:5" x14ac:dyDescent="0.35">
      <c r="B2841" s="38">
        <v>39341</v>
      </c>
      <c r="C2841" s="3">
        <v>0</v>
      </c>
      <c r="D2841" s="3">
        <v>1</v>
      </c>
      <c r="E2841" s="3">
        <f>C2841 - D2841</f>
        <v>-1</v>
      </c>
    </row>
    <row r="2842" spans="2:5" x14ac:dyDescent="0.35">
      <c r="B2842" s="38">
        <v>39342</v>
      </c>
      <c r="C2842" s="3">
        <v>1</v>
      </c>
      <c r="D2842" s="3">
        <v>0</v>
      </c>
      <c r="E2842" s="3">
        <f>C2842 - D2842</f>
        <v>1</v>
      </c>
    </row>
    <row r="2843" spans="2:5" x14ac:dyDescent="0.35">
      <c r="B2843" s="38">
        <v>39343</v>
      </c>
      <c r="C2843" s="3">
        <v>0</v>
      </c>
      <c r="D2843" s="3">
        <v>1</v>
      </c>
      <c r="E2843" s="3">
        <f>C2843 - D2843</f>
        <v>-1</v>
      </c>
    </row>
    <row r="2844" spans="2:5" x14ac:dyDescent="0.35">
      <c r="B2844" s="38">
        <v>39344</v>
      </c>
      <c r="C2844" s="3">
        <v>0</v>
      </c>
      <c r="D2844" s="3">
        <v>0</v>
      </c>
      <c r="E2844" s="3">
        <f>C2844 - D2844</f>
        <v>0</v>
      </c>
    </row>
    <row r="2845" spans="2:5" x14ac:dyDescent="0.35">
      <c r="B2845" s="38">
        <v>39345</v>
      </c>
      <c r="C2845" s="3">
        <v>1</v>
      </c>
      <c r="D2845" s="3">
        <v>0</v>
      </c>
      <c r="E2845" s="3">
        <f>C2845 - D2845</f>
        <v>1</v>
      </c>
    </row>
    <row r="2846" spans="2:5" x14ac:dyDescent="0.35">
      <c r="B2846" s="38">
        <v>39346</v>
      </c>
      <c r="C2846" s="3">
        <v>0</v>
      </c>
      <c r="D2846" s="3">
        <v>1</v>
      </c>
      <c r="E2846" s="3">
        <f>C2846 - D2846</f>
        <v>-1</v>
      </c>
    </row>
    <row r="2847" spans="2:5" x14ac:dyDescent="0.35">
      <c r="B2847" s="38">
        <v>39347</v>
      </c>
      <c r="C2847" s="3">
        <v>1</v>
      </c>
      <c r="D2847" s="3">
        <v>0</v>
      </c>
      <c r="E2847" s="3">
        <f>C2847 - D2847</f>
        <v>1</v>
      </c>
    </row>
    <row r="2848" spans="2:5" x14ac:dyDescent="0.35">
      <c r="B2848" s="38">
        <v>39348</v>
      </c>
      <c r="C2848" s="3">
        <v>0</v>
      </c>
      <c r="D2848" s="3">
        <v>1</v>
      </c>
      <c r="E2848" s="3">
        <f>C2848 - D2848</f>
        <v>-1</v>
      </c>
    </row>
    <row r="2849" spans="2:5" x14ac:dyDescent="0.35">
      <c r="B2849" s="38">
        <v>39349</v>
      </c>
      <c r="C2849" s="3">
        <v>0</v>
      </c>
      <c r="D2849" s="3">
        <v>0</v>
      </c>
      <c r="E2849" s="3">
        <f>C2849 - D2849</f>
        <v>0</v>
      </c>
    </row>
    <row r="2850" spans="2:5" x14ac:dyDescent="0.35">
      <c r="B2850" s="38">
        <v>39350</v>
      </c>
      <c r="C2850" s="3">
        <v>0</v>
      </c>
      <c r="D2850" s="3">
        <v>0</v>
      </c>
      <c r="E2850" s="3">
        <f>C2850 - D2850</f>
        <v>0</v>
      </c>
    </row>
    <row r="2851" spans="2:5" x14ac:dyDescent="0.35">
      <c r="B2851" s="38">
        <v>39351</v>
      </c>
      <c r="C2851" s="3">
        <v>0</v>
      </c>
      <c r="D2851" s="3">
        <v>0</v>
      </c>
      <c r="E2851" s="3">
        <f>C2851 - D2851</f>
        <v>0</v>
      </c>
    </row>
    <row r="2852" spans="2:5" x14ac:dyDescent="0.35">
      <c r="B2852" s="38">
        <v>39352</v>
      </c>
      <c r="C2852" s="3">
        <v>1</v>
      </c>
      <c r="D2852" s="3">
        <v>0</v>
      </c>
      <c r="E2852" s="3">
        <f>C2852 - D2852</f>
        <v>1</v>
      </c>
    </row>
    <row r="2853" spans="2:5" x14ac:dyDescent="0.35">
      <c r="B2853" s="38">
        <v>39353</v>
      </c>
      <c r="C2853" s="3">
        <v>1</v>
      </c>
      <c r="D2853" s="3">
        <v>1</v>
      </c>
      <c r="E2853" s="3">
        <f>C2853 - D2853</f>
        <v>0</v>
      </c>
    </row>
    <row r="2854" spans="2:5" x14ac:dyDescent="0.35">
      <c r="B2854" s="38">
        <v>39354</v>
      </c>
      <c r="C2854" s="3">
        <v>1</v>
      </c>
      <c r="D2854" s="3">
        <v>1</v>
      </c>
      <c r="E2854" s="3">
        <f>C2854 - D2854</f>
        <v>0</v>
      </c>
    </row>
    <row r="2855" spans="2:5" x14ac:dyDescent="0.35">
      <c r="B2855" s="38">
        <v>39355</v>
      </c>
      <c r="C2855" s="3">
        <v>0</v>
      </c>
      <c r="D2855" s="3">
        <v>1</v>
      </c>
      <c r="E2855" s="3">
        <f>C2855 - D2855</f>
        <v>-1</v>
      </c>
    </row>
    <row r="2856" spans="2:5" x14ac:dyDescent="0.35">
      <c r="B2856" s="38">
        <v>39356</v>
      </c>
      <c r="C2856" s="3">
        <v>1</v>
      </c>
      <c r="D2856" s="3">
        <v>0</v>
      </c>
      <c r="E2856" s="3">
        <f>C2856 - D2856</f>
        <v>1</v>
      </c>
    </row>
    <row r="2857" spans="2:5" x14ac:dyDescent="0.35">
      <c r="B2857" s="38">
        <v>39357</v>
      </c>
      <c r="C2857" s="3">
        <v>0</v>
      </c>
      <c r="D2857" s="3">
        <v>1</v>
      </c>
      <c r="E2857" s="3">
        <f>C2857 - D2857</f>
        <v>-1</v>
      </c>
    </row>
    <row r="2858" spans="2:5" x14ac:dyDescent="0.35">
      <c r="B2858" s="38">
        <v>39358</v>
      </c>
      <c r="C2858" s="3">
        <v>0</v>
      </c>
      <c r="D2858" s="3">
        <v>0</v>
      </c>
      <c r="E2858" s="3">
        <f>C2858 - D2858</f>
        <v>0</v>
      </c>
    </row>
    <row r="2859" spans="2:5" x14ac:dyDescent="0.35">
      <c r="B2859" s="38">
        <v>39359</v>
      </c>
      <c r="C2859" s="3">
        <v>0</v>
      </c>
      <c r="D2859" s="3">
        <v>0</v>
      </c>
      <c r="E2859" s="3">
        <f>C2859 - D2859</f>
        <v>0</v>
      </c>
    </row>
    <row r="2860" spans="2:5" x14ac:dyDescent="0.35">
      <c r="B2860" s="38">
        <v>39360</v>
      </c>
      <c r="C2860" s="3">
        <v>1</v>
      </c>
      <c r="D2860" s="3">
        <v>0</v>
      </c>
      <c r="E2860" s="3">
        <f>C2860 - D2860</f>
        <v>1</v>
      </c>
    </row>
    <row r="2861" spans="2:5" x14ac:dyDescent="0.35">
      <c r="B2861" s="38">
        <v>39361</v>
      </c>
      <c r="C2861" s="3">
        <v>1</v>
      </c>
      <c r="D2861" s="3">
        <v>1</v>
      </c>
      <c r="E2861" s="3">
        <f>C2861 - D2861</f>
        <v>0</v>
      </c>
    </row>
    <row r="2862" spans="2:5" x14ac:dyDescent="0.35">
      <c r="B2862" s="38">
        <v>39362</v>
      </c>
      <c r="C2862" s="3">
        <v>1</v>
      </c>
      <c r="D2862" s="3">
        <v>1</v>
      </c>
      <c r="E2862" s="3">
        <f>C2862 - D2862</f>
        <v>0</v>
      </c>
    </row>
    <row r="2863" spans="2:5" x14ac:dyDescent="0.35">
      <c r="B2863" s="38">
        <v>39363</v>
      </c>
      <c r="C2863" s="3">
        <v>0</v>
      </c>
      <c r="D2863" s="3">
        <v>1</v>
      </c>
      <c r="E2863" s="3">
        <f>C2863 - D2863</f>
        <v>-1</v>
      </c>
    </row>
    <row r="2864" spans="2:5" x14ac:dyDescent="0.35">
      <c r="B2864" s="38">
        <v>39364</v>
      </c>
      <c r="C2864" s="3">
        <v>0</v>
      </c>
      <c r="D2864" s="3">
        <v>0</v>
      </c>
      <c r="E2864" s="3">
        <f>C2864 - D2864</f>
        <v>0</v>
      </c>
    </row>
    <row r="2865" spans="2:5" x14ac:dyDescent="0.35">
      <c r="B2865" s="38">
        <v>39365</v>
      </c>
      <c r="C2865" s="3">
        <v>0</v>
      </c>
      <c r="D2865" s="3">
        <v>0</v>
      </c>
      <c r="E2865" s="3">
        <f>C2865 - D2865</f>
        <v>0</v>
      </c>
    </row>
    <row r="2866" spans="2:5" x14ac:dyDescent="0.35">
      <c r="B2866" s="38">
        <v>39366</v>
      </c>
      <c r="C2866" s="3">
        <v>0</v>
      </c>
      <c r="D2866" s="3">
        <v>0</v>
      </c>
      <c r="E2866" s="3">
        <f>C2866 - D2866</f>
        <v>0</v>
      </c>
    </row>
    <row r="2867" spans="2:5" x14ac:dyDescent="0.35">
      <c r="B2867" s="38">
        <v>39367</v>
      </c>
      <c r="C2867" s="3">
        <v>1</v>
      </c>
      <c r="D2867" s="3">
        <v>0</v>
      </c>
      <c r="E2867" s="3">
        <f>C2867 - D2867</f>
        <v>1</v>
      </c>
    </row>
    <row r="2868" spans="2:5" x14ac:dyDescent="0.35">
      <c r="B2868" s="38">
        <v>39368</v>
      </c>
      <c r="C2868" s="3">
        <v>1</v>
      </c>
      <c r="D2868" s="3">
        <v>1</v>
      </c>
      <c r="E2868" s="3">
        <f>C2868 - D2868</f>
        <v>0</v>
      </c>
    </row>
    <row r="2869" spans="2:5" x14ac:dyDescent="0.35">
      <c r="B2869" s="38">
        <v>39369</v>
      </c>
      <c r="C2869" s="3">
        <v>0</v>
      </c>
      <c r="D2869" s="3">
        <v>1</v>
      </c>
      <c r="E2869" s="3">
        <f>C2869 - D2869</f>
        <v>-1</v>
      </c>
    </row>
    <row r="2870" spans="2:5" x14ac:dyDescent="0.35">
      <c r="B2870" s="38">
        <v>39370</v>
      </c>
      <c r="C2870" s="3">
        <v>0</v>
      </c>
      <c r="D2870" s="3">
        <v>0</v>
      </c>
      <c r="E2870" s="3">
        <f>C2870 - D2870</f>
        <v>0</v>
      </c>
    </row>
    <row r="2871" spans="2:5" x14ac:dyDescent="0.35">
      <c r="B2871" s="38">
        <v>39371</v>
      </c>
      <c r="C2871" s="3">
        <v>0</v>
      </c>
      <c r="D2871" s="3">
        <v>0</v>
      </c>
      <c r="E2871" s="3">
        <f>C2871 - D2871</f>
        <v>0</v>
      </c>
    </row>
    <row r="2872" spans="2:5" x14ac:dyDescent="0.35">
      <c r="B2872" s="38">
        <v>39372</v>
      </c>
      <c r="C2872" s="3">
        <v>1</v>
      </c>
      <c r="D2872" s="3">
        <v>0</v>
      </c>
      <c r="E2872" s="3">
        <f>C2872 - D2872</f>
        <v>1</v>
      </c>
    </row>
    <row r="2873" spans="2:5" x14ac:dyDescent="0.35">
      <c r="B2873" s="38">
        <v>39373</v>
      </c>
      <c r="C2873" s="3">
        <v>0</v>
      </c>
      <c r="D2873" s="3">
        <v>1</v>
      </c>
      <c r="E2873" s="3">
        <f>C2873 - D2873</f>
        <v>-1</v>
      </c>
    </row>
    <row r="2874" spans="2:5" x14ac:dyDescent="0.35">
      <c r="B2874" s="38">
        <v>39374</v>
      </c>
      <c r="C2874" s="3">
        <v>0</v>
      </c>
      <c r="D2874" s="3">
        <v>0</v>
      </c>
      <c r="E2874" s="3">
        <f>C2874 - D2874</f>
        <v>0</v>
      </c>
    </row>
    <row r="2875" spans="2:5" x14ac:dyDescent="0.35">
      <c r="B2875" s="38">
        <v>39375</v>
      </c>
      <c r="C2875" s="3">
        <v>0</v>
      </c>
      <c r="D2875" s="3">
        <v>0</v>
      </c>
      <c r="E2875" s="3">
        <f>C2875 - D2875</f>
        <v>0</v>
      </c>
    </row>
    <row r="2876" spans="2:5" x14ac:dyDescent="0.35">
      <c r="B2876" s="38">
        <v>39376</v>
      </c>
      <c r="C2876" s="3">
        <v>0</v>
      </c>
      <c r="D2876" s="3">
        <v>0</v>
      </c>
      <c r="E2876" s="3">
        <f>C2876 - D2876</f>
        <v>0</v>
      </c>
    </row>
    <row r="2877" spans="2:5" x14ac:dyDescent="0.35">
      <c r="B2877" s="38">
        <v>39377</v>
      </c>
      <c r="C2877" s="3">
        <v>0</v>
      </c>
      <c r="D2877" s="3">
        <v>0</v>
      </c>
      <c r="E2877" s="3">
        <f>C2877 - D2877</f>
        <v>0</v>
      </c>
    </row>
    <row r="2878" spans="2:5" x14ac:dyDescent="0.35">
      <c r="B2878" s="38">
        <v>39378</v>
      </c>
      <c r="C2878" s="3">
        <v>1</v>
      </c>
      <c r="D2878" s="3">
        <v>0</v>
      </c>
      <c r="E2878" s="3">
        <f>C2878 - D2878</f>
        <v>1</v>
      </c>
    </row>
    <row r="2879" spans="2:5" x14ac:dyDescent="0.35">
      <c r="B2879" s="38">
        <v>39379</v>
      </c>
      <c r="C2879" s="3">
        <v>0</v>
      </c>
      <c r="D2879" s="3">
        <v>1</v>
      </c>
      <c r="E2879" s="3">
        <f>C2879 - D2879</f>
        <v>-1</v>
      </c>
    </row>
    <row r="2880" spans="2:5" x14ac:dyDescent="0.35">
      <c r="B2880" s="38">
        <v>39380</v>
      </c>
      <c r="C2880" s="3">
        <v>0</v>
      </c>
      <c r="D2880" s="3">
        <v>0</v>
      </c>
      <c r="E2880" s="3">
        <f>C2880 - D2880</f>
        <v>0</v>
      </c>
    </row>
    <row r="2881" spans="2:5" x14ac:dyDescent="0.35">
      <c r="B2881" s="38">
        <v>39381</v>
      </c>
      <c r="C2881" s="3">
        <v>1</v>
      </c>
      <c r="D2881" s="3">
        <v>0</v>
      </c>
      <c r="E2881" s="3">
        <f>C2881 - D2881</f>
        <v>1</v>
      </c>
    </row>
    <row r="2882" spans="2:5" x14ac:dyDescent="0.35">
      <c r="B2882" s="38">
        <v>39382</v>
      </c>
      <c r="C2882" s="3">
        <v>0</v>
      </c>
      <c r="D2882" s="3">
        <v>1</v>
      </c>
      <c r="E2882" s="3">
        <f>C2882 - D2882</f>
        <v>-1</v>
      </c>
    </row>
    <row r="2883" spans="2:5" x14ac:dyDescent="0.35">
      <c r="B2883" s="38">
        <v>39383</v>
      </c>
      <c r="C2883" s="3">
        <v>0</v>
      </c>
      <c r="D2883" s="3">
        <v>0</v>
      </c>
      <c r="E2883" s="3">
        <f>C2883 - D2883</f>
        <v>0</v>
      </c>
    </row>
    <row r="2884" spans="2:5" x14ac:dyDescent="0.35">
      <c r="B2884" s="38">
        <v>39384</v>
      </c>
      <c r="C2884" s="3">
        <v>0</v>
      </c>
      <c r="D2884" s="3">
        <v>0</v>
      </c>
      <c r="E2884" s="3">
        <f>C2884 - D2884</f>
        <v>0</v>
      </c>
    </row>
    <row r="2885" spans="2:5" x14ac:dyDescent="0.35">
      <c r="B2885" s="38">
        <v>39385</v>
      </c>
      <c r="C2885" s="3">
        <v>0</v>
      </c>
      <c r="D2885" s="3">
        <v>0</v>
      </c>
      <c r="E2885" s="3">
        <f>C2885 - D2885</f>
        <v>0</v>
      </c>
    </row>
    <row r="2886" spans="2:5" x14ac:dyDescent="0.35">
      <c r="B2886" s="38">
        <v>39386</v>
      </c>
      <c r="C2886" s="3">
        <v>0</v>
      </c>
      <c r="D2886" s="3">
        <v>0</v>
      </c>
      <c r="E2886" s="3">
        <f>C2886 - D2886</f>
        <v>0</v>
      </c>
    </row>
    <row r="2887" spans="2:5" x14ac:dyDescent="0.35">
      <c r="B2887" s="38">
        <v>39387</v>
      </c>
      <c r="C2887" s="3">
        <v>0</v>
      </c>
      <c r="D2887" s="3">
        <v>0</v>
      </c>
      <c r="E2887" s="3">
        <f>C2887 - D2887</f>
        <v>0</v>
      </c>
    </row>
    <row r="2888" spans="2:5" x14ac:dyDescent="0.35">
      <c r="B2888" s="38">
        <v>39388</v>
      </c>
      <c r="C2888" s="3">
        <v>1</v>
      </c>
      <c r="D2888" s="3">
        <v>0</v>
      </c>
      <c r="E2888" s="3">
        <f>C2888 - D2888</f>
        <v>1</v>
      </c>
    </row>
    <row r="2889" spans="2:5" x14ac:dyDescent="0.35">
      <c r="B2889" s="38">
        <v>39389</v>
      </c>
      <c r="C2889" s="3">
        <v>0</v>
      </c>
      <c r="D2889" s="3">
        <v>1</v>
      </c>
      <c r="E2889" s="3">
        <f>C2889 - D2889</f>
        <v>-1</v>
      </c>
    </row>
    <row r="2890" spans="2:5" x14ac:dyDescent="0.35">
      <c r="B2890" s="38">
        <v>39390</v>
      </c>
      <c r="C2890" s="3">
        <v>1</v>
      </c>
      <c r="D2890" s="3">
        <v>0</v>
      </c>
      <c r="E2890" s="3">
        <f>C2890 - D2890</f>
        <v>1</v>
      </c>
    </row>
    <row r="2891" spans="2:5" x14ac:dyDescent="0.35">
      <c r="B2891" s="38">
        <v>39391</v>
      </c>
      <c r="C2891" s="3">
        <v>1</v>
      </c>
      <c r="D2891" s="3">
        <v>1</v>
      </c>
      <c r="E2891" s="3">
        <f>C2891 - D2891</f>
        <v>0</v>
      </c>
    </row>
    <row r="2892" spans="2:5" x14ac:dyDescent="0.35">
      <c r="B2892" s="38">
        <v>39392</v>
      </c>
      <c r="C2892" s="3">
        <v>0</v>
      </c>
      <c r="D2892" s="3">
        <v>1</v>
      </c>
      <c r="E2892" s="3">
        <f>C2892 - D2892</f>
        <v>-1</v>
      </c>
    </row>
    <row r="2893" spans="2:5" x14ac:dyDescent="0.35">
      <c r="B2893" s="38">
        <v>39393</v>
      </c>
      <c r="C2893" s="3">
        <v>0</v>
      </c>
      <c r="D2893" s="3">
        <v>0</v>
      </c>
      <c r="E2893" s="3">
        <f>C2893 - D2893</f>
        <v>0</v>
      </c>
    </row>
    <row r="2894" spans="2:5" x14ac:dyDescent="0.35">
      <c r="B2894" s="38">
        <v>39394</v>
      </c>
      <c r="C2894" s="3">
        <v>0</v>
      </c>
      <c r="D2894" s="3">
        <v>0</v>
      </c>
      <c r="E2894" s="3">
        <f>C2894 - D2894</f>
        <v>0</v>
      </c>
    </row>
    <row r="2895" spans="2:5" x14ac:dyDescent="0.35">
      <c r="B2895" s="38">
        <v>39395</v>
      </c>
      <c r="C2895" s="3">
        <v>0</v>
      </c>
      <c r="D2895" s="3">
        <v>0</v>
      </c>
      <c r="E2895" s="3">
        <f>C2895 - D2895</f>
        <v>0</v>
      </c>
    </row>
    <row r="2896" spans="2:5" x14ac:dyDescent="0.35">
      <c r="B2896" s="38">
        <v>39396</v>
      </c>
      <c r="C2896" s="3">
        <v>0</v>
      </c>
      <c r="D2896" s="3">
        <v>0</v>
      </c>
      <c r="E2896" s="3">
        <f>C2896 - D2896</f>
        <v>0</v>
      </c>
    </row>
    <row r="2897" spans="2:5" x14ac:dyDescent="0.35">
      <c r="B2897" s="38">
        <v>39397</v>
      </c>
      <c r="C2897" s="3">
        <v>0</v>
      </c>
      <c r="D2897" s="3">
        <v>0</v>
      </c>
      <c r="E2897" s="3">
        <f>C2897 - D2897</f>
        <v>0</v>
      </c>
    </row>
    <row r="2898" spans="2:5" x14ac:dyDescent="0.35">
      <c r="B2898" s="38">
        <v>39398</v>
      </c>
      <c r="C2898" s="3">
        <v>0</v>
      </c>
      <c r="D2898" s="3">
        <v>0</v>
      </c>
      <c r="E2898" s="3">
        <f>C2898 - D2898</f>
        <v>0</v>
      </c>
    </row>
    <row r="2899" spans="2:5" x14ac:dyDescent="0.35">
      <c r="B2899" s="38">
        <v>39399</v>
      </c>
      <c r="C2899" s="3">
        <v>0</v>
      </c>
      <c r="D2899" s="3">
        <v>0</v>
      </c>
      <c r="E2899" s="3">
        <f>C2899 - D2899</f>
        <v>0</v>
      </c>
    </row>
    <row r="2900" spans="2:5" x14ac:dyDescent="0.35">
      <c r="B2900" s="38">
        <v>39400</v>
      </c>
      <c r="C2900" s="3">
        <v>0</v>
      </c>
      <c r="D2900" s="3">
        <v>0</v>
      </c>
      <c r="E2900" s="3">
        <f>C2900 - D2900</f>
        <v>0</v>
      </c>
    </row>
    <row r="2901" spans="2:5" x14ac:dyDescent="0.35">
      <c r="B2901" s="38">
        <v>39401</v>
      </c>
      <c r="C2901" s="3">
        <v>0</v>
      </c>
      <c r="D2901" s="3">
        <v>0</v>
      </c>
      <c r="E2901" s="3">
        <f>C2901 - D2901</f>
        <v>0</v>
      </c>
    </row>
    <row r="2902" spans="2:5" x14ac:dyDescent="0.35">
      <c r="B2902" s="38">
        <v>39402</v>
      </c>
      <c r="C2902" s="3">
        <v>0</v>
      </c>
      <c r="D2902" s="3">
        <v>0</v>
      </c>
      <c r="E2902" s="3">
        <f>C2902 - D2902</f>
        <v>0</v>
      </c>
    </row>
    <row r="2903" spans="2:5" x14ac:dyDescent="0.35">
      <c r="B2903" s="38">
        <v>39403</v>
      </c>
      <c r="C2903" s="3">
        <v>0</v>
      </c>
      <c r="D2903" s="3">
        <v>0</v>
      </c>
      <c r="E2903" s="3">
        <f>C2903 - D2903</f>
        <v>0</v>
      </c>
    </row>
    <row r="2904" spans="2:5" x14ac:dyDescent="0.35">
      <c r="B2904" s="38">
        <v>39404</v>
      </c>
      <c r="C2904" s="3">
        <v>1</v>
      </c>
      <c r="D2904" s="3">
        <v>0</v>
      </c>
      <c r="E2904" s="3">
        <f>C2904 - D2904</f>
        <v>1</v>
      </c>
    </row>
    <row r="2905" spans="2:5" x14ac:dyDescent="0.35">
      <c r="B2905" s="38">
        <v>39405</v>
      </c>
      <c r="C2905" s="3">
        <v>1</v>
      </c>
      <c r="D2905" s="3">
        <v>1</v>
      </c>
      <c r="E2905" s="3">
        <f>C2905 - D2905</f>
        <v>0</v>
      </c>
    </row>
    <row r="2906" spans="2:5" x14ac:dyDescent="0.35">
      <c r="B2906" s="38">
        <v>39406</v>
      </c>
      <c r="C2906" s="3">
        <v>0</v>
      </c>
      <c r="D2906" s="3">
        <v>1</v>
      </c>
      <c r="E2906" s="3">
        <f>C2906 - D2906</f>
        <v>-1</v>
      </c>
    </row>
    <row r="2907" spans="2:5" x14ac:dyDescent="0.35">
      <c r="B2907" s="38">
        <v>39407</v>
      </c>
      <c r="C2907" s="3">
        <v>1</v>
      </c>
      <c r="D2907" s="3">
        <v>0</v>
      </c>
      <c r="E2907" s="3">
        <f>C2907 - D2907</f>
        <v>1</v>
      </c>
    </row>
    <row r="2908" spans="2:5" x14ac:dyDescent="0.35">
      <c r="B2908" s="38">
        <v>39408</v>
      </c>
      <c r="C2908" s="3">
        <v>1</v>
      </c>
      <c r="D2908" s="3">
        <v>1</v>
      </c>
      <c r="E2908" s="3">
        <f>C2908 - D2908</f>
        <v>0</v>
      </c>
    </row>
    <row r="2909" spans="2:5" x14ac:dyDescent="0.35">
      <c r="B2909" s="38">
        <v>39409</v>
      </c>
      <c r="C2909" s="3">
        <v>1</v>
      </c>
      <c r="D2909" s="3">
        <v>1</v>
      </c>
      <c r="E2909" s="3">
        <f>C2909 - D2909</f>
        <v>0</v>
      </c>
    </row>
    <row r="2910" spans="2:5" x14ac:dyDescent="0.35">
      <c r="B2910" s="38">
        <v>39410</v>
      </c>
      <c r="C2910" s="3">
        <v>0</v>
      </c>
      <c r="D2910" s="3">
        <v>1</v>
      </c>
      <c r="E2910" s="3">
        <f>C2910 - D2910</f>
        <v>-1</v>
      </c>
    </row>
    <row r="2911" spans="2:5" x14ac:dyDescent="0.35">
      <c r="B2911" s="38">
        <v>39411</v>
      </c>
      <c r="C2911" s="3">
        <v>0</v>
      </c>
      <c r="D2911" s="3">
        <v>0</v>
      </c>
      <c r="E2911" s="3">
        <f>C2911 - D2911</f>
        <v>0</v>
      </c>
    </row>
    <row r="2912" spans="2:5" x14ac:dyDescent="0.35">
      <c r="B2912" s="38">
        <v>39412</v>
      </c>
      <c r="C2912" s="3">
        <v>0</v>
      </c>
      <c r="D2912" s="3">
        <v>0</v>
      </c>
      <c r="E2912" s="3">
        <f>C2912 - D2912</f>
        <v>0</v>
      </c>
    </row>
    <row r="2913" spans="2:5" x14ac:dyDescent="0.35">
      <c r="B2913" s="38">
        <v>39413</v>
      </c>
      <c r="C2913" s="3">
        <v>0</v>
      </c>
      <c r="D2913" s="3">
        <v>0</v>
      </c>
      <c r="E2913" s="3">
        <f>C2913 - D2913</f>
        <v>0</v>
      </c>
    </row>
    <row r="2914" spans="2:5" x14ac:dyDescent="0.35">
      <c r="B2914" s="38">
        <v>39414</v>
      </c>
      <c r="C2914" s="3">
        <v>0</v>
      </c>
      <c r="D2914" s="3">
        <v>0</v>
      </c>
      <c r="E2914" s="3">
        <f>C2914 - D2914</f>
        <v>0</v>
      </c>
    </row>
    <row r="2915" spans="2:5" x14ac:dyDescent="0.35">
      <c r="B2915" s="38">
        <v>39415</v>
      </c>
      <c r="C2915" s="3">
        <v>0</v>
      </c>
      <c r="D2915" s="3">
        <v>0</v>
      </c>
      <c r="E2915" s="3">
        <f>C2915 - D2915</f>
        <v>0</v>
      </c>
    </row>
    <row r="2916" spans="2:5" x14ac:dyDescent="0.35">
      <c r="B2916" s="38">
        <v>39416</v>
      </c>
      <c r="C2916" s="3">
        <v>0</v>
      </c>
      <c r="D2916" s="3">
        <v>0</v>
      </c>
      <c r="E2916" s="3">
        <f>C2916 - D2916</f>
        <v>0</v>
      </c>
    </row>
    <row r="2917" spans="2:5" x14ac:dyDescent="0.35">
      <c r="B2917" s="38">
        <v>39417</v>
      </c>
      <c r="C2917" s="3">
        <v>0</v>
      </c>
      <c r="D2917" s="3">
        <v>0</v>
      </c>
      <c r="E2917" s="3">
        <f>C2917 - D2917</f>
        <v>0</v>
      </c>
    </row>
    <row r="2918" spans="2:5" x14ac:dyDescent="0.35">
      <c r="B2918" s="38">
        <v>39418</v>
      </c>
      <c r="C2918" s="3">
        <v>0</v>
      </c>
      <c r="D2918" s="3">
        <v>0</v>
      </c>
      <c r="E2918" s="3">
        <f>C2918 - D2918</f>
        <v>0</v>
      </c>
    </row>
    <row r="2919" spans="2:5" x14ac:dyDescent="0.35">
      <c r="B2919" s="38">
        <v>39419</v>
      </c>
      <c r="C2919" s="3">
        <v>1</v>
      </c>
      <c r="D2919" s="3">
        <v>0</v>
      </c>
      <c r="E2919" s="3">
        <f>C2919 - D2919</f>
        <v>1</v>
      </c>
    </row>
    <row r="2920" spans="2:5" x14ac:dyDescent="0.35">
      <c r="B2920" s="38">
        <v>39420</v>
      </c>
      <c r="C2920" s="3">
        <v>1</v>
      </c>
      <c r="D2920" s="3">
        <v>1</v>
      </c>
      <c r="E2920" s="3">
        <f>C2920 - D2920</f>
        <v>0</v>
      </c>
    </row>
    <row r="2921" spans="2:5" x14ac:dyDescent="0.35">
      <c r="B2921" s="38">
        <v>39421</v>
      </c>
      <c r="C2921" s="3">
        <v>0</v>
      </c>
      <c r="D2921" s="3">
        <v>1</v>
      </c>
      <c r="E2921" s="3">
        <f>C2921 - D2921</f>
        <v>-1</v>
      </c>
    </row>
    <row r="2922" spans="2:5" x14ac:dyDescent="0.35">
      <c r="B2922" s="38">
        <v>39422</v>
      </c>
      <c r="C2922" s="3">
        <v>0</v>
      </c>
      <c r="D2922" s="3">
        <v>0</v>
      </c>
      <c r="E2922" s="3">
        <f>C2922 - D2922</f>
        <v>0</v>
      </c>
    </row>
    <row r="2923" spans="2:5" x14ac:dyDescent="0.35">
      <c r="B2923" s="38">
        <v>39423</v>
      </c>
      <c r="C2923" s="3">
        <v>0</v>
      </c>
      <c r="D2923" s="3">
        <v>0</v>
      </c>
      <c r="E2923" s="3">
        <f>C2923 - D2923</f>
        <v>0</v>
      </c>
    </row>
    <row r="2924" spans="2:5" x14ac:dyDescent="0.35">
      <c r="B2924" s="38">
        <v>39424</v>
      </c>
      <c r="C2924" s="3">
        <v>0</v>
      </c>
      <c r="D2924" s="3">
        <v>0</v>
      </c>
      <c r="E2924" s="3">
        <f>C2924 - D2924</f>
        <v>0</v>
      </c>
    </row>
    <row r="2925" spans="2:5" x14ac:dyDescent="0.35">
      <c r="B2925" s="38">
        <v>39425</v>
      </c>
      <c r="C2925" s="3">
        <v>0</v>
      </c>
      <c r="D2925" s="3">
        <v>0</v>
      </c>
      <c r="E2925" s="3">
        <f>C2925 - D2925</f>
        <v>0</v>
      </c>
    </row>
    <row r="2926" spans="2:5" x14ac:dyDescent="0.35">
      <c r="B2926" s="38">
        <v>39426</v>
      </c>
      <c r="C2926" s="3">
        <v>0</v>
      </c>
      <c r="D2926" s="3">
        <v>0</v>
      </c>
      <c r="E2926" s="3">
        <f>C2926 - D2926</f>
        <v>0</v>
      </c>
    </row>
    <row r="2927" spans="2:5" x14ac:dyDescent="0.35">
      <c r="B2927" s="38">
        <v>39427</v>
      </c>
      <c r="C2927" s="3">
        <v>0</v>
      </c>
      <c r="D2927" s="3">
        <v>0</v>
      </c>
      <c r="E2927" s="3">
        <f>C2927 - D2927</f>
        <v>0</v>
      </c>
    </row>
    <row r="2928" spans="2:5" x14ac:dyDescent="0.35">
      <c r="B2928" s="38">
        <v>39428</v>
      </c>
      <c r="C2928" s="3">
        <v>0</v>
      </c>
      <c r="D2928" s="3">
        <v>0</v>
      </c>
      <c r="E2928" s="3">
        <f>C2928 - D2928</f>
        <v>0</v>
      </c>
    </row>
    <row r="2929" spans="2:5" x14ac:dyDescent="0.35">
      <c r="B2929" s="38">
        <v>39429</v>
      </c>
      <c r="C2929" s="3">
        <v>0</v>
      </c>
      <c r="D2929" s="3">
        <v>0</v>
      </c>
      <c r="E2929" s="3">
        <f>C2929 - D2929</f>
        <v>0</v>
      </c>
    </row>
    <row r="2930" spans="2:5" x14ac:dyDescent="0.35">
      <c r="B2930" s="38">
        <v>39430</v>
      </c>
      <c r="C2930" s="3">
        <v>0</v>
      </c>
      <c r="D2930" s="3">
        <v>0</v>
      </c>
      <c r="E2930" s="3">
        <f>C2930 - D2930</f>
        <v>0</v>
      </c>
    </row>
    <row r="2931" spans="2:5" x14ac:dyDescent="0.35">
      <c r="B2931" s="38">
        <v>39431</v>
      </c>
      <c r="C2931" s="3">
        <v>1</v>
      </c>
      <c r="D2931" s="3">
        <v>0</v>
      </c>
      <c r="E2931" s="3">
        <f>C2931 - D2931</f>
        <v>1</v>
      </c>
    </row>
    <row r="2932" spans="2:5" x14ac:dyDescent="0.35">
      <c r="B2932" s="38">
        <v>39432</v>
      </c>
      <c r="C2932" s="3">
        <v>1</v>
      </c>
      <c r="D2932" s="3">
        <v>1</v>
      </c>
      <c r="E2932" s="3">
        <f>C2932 - D2932</f>
        <v>0</v>
      </c>
    </row>
    <row r="2933" spans="2:5" x14ac:dyDescent="0.35">
      <c r="B2933" s="38">
        <v>39433</v>
      </c>
      <c r="C2933" s="3">
        <v>0</v>
      </c>
      <c r="D2933" s="3">
        <v>1</v>
      </c>
      <c r="E2933" s="3">
        <f>C2933 - D2933</f>
        <v>-1</v>
      </c>
    </row>
    <row r="2934" spans="2:5" x14ac:dyDescent="0.35">
      <c r="B2934" s="38">
        <v>39434</v>
      </c>
      <c r="C2934" s="3">
        <v>0</v>
      </c>
      <c r="D2934" s="3">
        <v>0</v>
      </c>
      <c r="E2934" s="3">
        <f>C2934 - D2934</f>
        <v>0</v>
      </c>
    </row>
    <row r="2935" spans="2:5" x14ac:dyDescent="0.35">
      <c r="B2935" s="38">
        <v>39435</v>
      </c>
      <c r="C2935" s="3">
        <v>0</v>
      </c>
      <c r="D2935" s="3">
        <v>0</v>
      </c>
      <c r="E2935" s="3">
        <f>C2935 - D2935</f>
        <v>0</v>
      </c>
    </row>
    <row r="2936" spans="2:5" x14ac:dyDescent="0.35">
      <c r="B2936" s="38">
        <v>39436</v>
      </c>
      <c r="C2936" s="3">
        <v>1</v>
      </c>
      <c r="D2936" s="3">
        <v>0</v>
      </c>
      <c r="E2936" s="3">
        <f>C2936 - D2936</f>
        <v>1</v>
      </c>
    </row>
    <row r="2937" spans="2:5" x14ac:dyDescent="0.35">
      <c r="B2937" s="38">
        <v>39437</v>
      </c>
      <c r="C2937" s="3">
        <v>1</v>
      </c>
      <c r="D2937" s="3">
        <v>1</v>
      </c>
      <c r="E2937" s="3">
        <f>C2937 - D2937</f>
        <v>0</v>
      </c>
    </row>
    <row r="2938" spans="2:5" x14ac:dyDescent="0.35">
      <c r="B2938" s="38">
        <v>39438</v>
      </c>
      <c r="C2938" s="3">
        <v>1</v>
      </c>
      <c r="D2938" s="3">
        <v>1</v>
      </c>
      <c r="E2938" s="3">
        <f>C2938 - D2938</f>
        <v>0</v>
      </c>
    </row>
    <row r="2939" spans="2:5" x14ac:dyDescent="0.35">
      <c r="B2939" s="38">
        <v>39439</v>
      </c>
      <c r="C2939" s="3">
        <v>1</v>
      </c>
      <c r="D2939" s="3">
        <v>1</v>
      </c>
      <c r="E2939" s="3">
        <f>C2939 - D2939</f>
        <v>0</v>
      </c>
    </row>
    <row r="2940" spans="2:5" x14ac:dyDescent="0.35">
      <c r="B2940" s="38">
        <v>39440</v>
      </c>
      <c r="C2940" s="3">
        <v>0</v>
      </c>
      <c r="D2940" s="3">
        <v>1</v>
      </c>
      <c r="E2940" s="3">
        <f>C2940 - D2940</f>
        <v>-1</v>
      </c>
    </row>
    <row r="2941" spans="2:5" x14ac:dyDescent="0.35">
      <c r="B2941" s="38">
        <v>39441</v>
      </c>
      <c r="C2941" s="3">
        <v>1</v>
      </c>
      <c r="D2941" s="3">
        <v>0</v>
      </c>
      <c r="E2941" s="3">
        <f>C2941 - D2941</f>
        <v>1</v>
      </c>
    </row>
    <row r="2942" spans="2:5" x14ac:dyDescent="0.35">
      <c r="B2942" s="38">
        <v>39442</v>
      </c>
      <c r="C2942" s="3">
        <v>0</v>
      </c>
      <c r="D2942" s="3">
        <v>1</v>
      </c>
      <c r="E2942" s="3">
        <f>C2942 - D2942</f>
        <v>-1</v>
      </c>
    </row>
    <row r="2943" spans="2:5" x14ac:dyDescent="0.35">
      <c r="B2943" s="38">
        <v>39443</v>
      </c>
      <c r="C2943" s="3">
        <v>0</v>
      </c>
      <c r="D2943" s="3">
        <v>0</v>
      </c>
      <c r="E2943" s="3">
        <f>C2943 - D2943</f>
        <v>0</v>
      </c>
    </row>
    <row r="2944" spans="2:5" x14ac:dyDescent="0.35">
      <c r="B2944" s="38">
        <v>39444</v>
      </c>
      <c r="C2944" s="3">
        <v>0</v>
      </c>
      <c r="D2944" s="3">
        <v>0</v>
      </c>
      <c r="E2944" s="3">
        <f>C2944 - D2944</f>
        <v>0</v>
      </c>
    </row>
    <row r="2945" spans="2:5" x14ac:dyDescent="0.35">
      <c r="B2945" s="38">
        <v>39445</v>
      </c>
      <c r="C2945" s="3">
        <v>0</v>
      </c>
      <c r="D2945" s="3">
        <v>0</v>
      </c>
      <c r="E2945" s="3">
        <f>C2945 - D2945</f>
        <v>0</v>
      </c>
    </row>
    <row r="2946" spans="2:5" x14ac:dyDescent="0.35">
      <c r="B2946" s="38">
        <v>39446</v>
      </c>
      <c r="C2946" s="3">
        <v>0</v>
      </c>
      <c r="D2946" s="3">
        <v>0</v>
      </c>
      <c r="E2946" s="3">
        <f>C2946 - D2946</f>
        <v>0</v>
      </c>
    </row>
    <row r="2947" spans="2:5" x14ac:dyDescent="0.35">
      <c r="B2947" s="38">
        <v>39447</v>
      </c>
      <c r="C2947" s="3">
        <v>0</v>
      </c>
      <c r="D2947" s="3">
        <v>0</v>
      </c>
      <c r="E2947" s="3">
        <f>C2947 - D2947</f>
        <v>0</v>
      </c>
    </row>
    <row r="2948" spans="2:5" x14ac:dyDescent="0.35">
      <c r="B2948" s="38">
        <v>39448</v>
      </c>
      <c r="C2948" s="3">
        <v>0</v>
      </c>
      <c r="D2948" s="3">
        <v>0</v>
      </c>
      <c r="E2948" s="3">
        <f>C2948 - D2948</f>
        <v>0</v>
      </c>
    </row>
    <row r="2949" spans="2:5" x14ac:dyDescent="0.35">
      <c r="B2949" s="38">
        <v>39449</v>
      </c>
      <c r="C2949" s="3">
        <v>0</v>
      </c>
      <c r="D2949" s="3">
        <v>0</v>
      </c>
      <c r="E2949" s="3">
        <f>C2949 - D2949</f>
        <v>0</v>
      </c>
    </row>
    <row r="2950" spans="2:5" x14ac:dyDescent="0.35">
      <c r="B2950" s="38">
        <v>39450</v>
      </c>
      <c r="C2950" s="3">
        <v>0</v>
      </c>
      <c r="D2950" s="3">
        <v>0</v>
      </c>
      <c r="E2950" s="3">
        <f>C2950 - D2950</f>
        <v>0</v>
      </c>
    </row>
    <row r="2951" spans="2:5" x14ac:dyDescent="0.35">
      <c r="B2951" s="38">
        <v>39451</v>
      </c>
      <c r="C2951" s="3">
        <v>0</v>
      </c>
      <c r="D2951" s="3">
        <v>0</v>
      </c>
      <c r="E2951" s="3">
        <f>C2951 - D2951</f>
        <v>0</v>
      </c>
    </row>
    <row r="2952" spans="2:5" x14ac:dyDescent="0.35">
      <c r="B2952" s="38">
        <v>39452</v>
      </c>
      <c r="C2952" s="3">
        <v>0</v>
      </c>
      <c r="D2952" s="3">
        <v>0</v>
      </c>
      <c r="E2952" s="3">
        <f>C2952 - D2952</f>
        <v>0</v>
      </c>
    </row>
    <row r="2953" spans="2:5" x14ac:dyDescent="0.35">
      <c r="B2953" s="38">
        <v>39453</v>
      </c>
      <c r="C2953" s="3">
        <v>0</v>
      </c>
      <c r="D2953" s="3">
        <v>0</v>
      </c>
      <c r="E2953" s="3">
        <f>C2953 - D2953</f>
        <v>0</v>
      </c>
    </row>
    <row r="2954" spans="2:5" x14ac:dyDescent="0.35">
      <c r="B2954" s="38">
        <v>39454</v>
      </c>
      <c r="C2954" s="3">
        <v>0</v>
      </c>
      <c r="D2954" s="3">
        <v>0</v>
      </c>
      <c r="E2954" s="3">
        <f>C2954 - D2954</f>
        <v>0</v>
      </c>
    </row>
    <row r="2955" spans="2:5" x14ac:dyDescent="0.35">
      <c r="B2955" s="38">
        <v>39455</v>
      </c>
      <c r="C2955" s="3">
        <v>0</v>
      </c>
      <c r="D2955" s="3">
        <v>0</v>
      </c>
      <c r="E2955" s="3">
        <f>C2955 - D2955</f>
        <v>0</v>
      </c>
    </row>
    <row r="2956" spans="2:5" x14ac:dyDescent="0.35">
      <c r="B2956" s="38">
        <v>39456</v>
      </c>
      <c r="C2956" s="3">
        <v>0</v>
      </c>
      <c r="D2956" s="3">
        <v>0</v>
      </c>
      <c r="E2956" s="3">
        <f>C2956 - D2956</f>
        <v>0</v>
      </c>
    </row>
    <row r="2957" spans="2:5" x14ac:dyDescent="0.35">
      <c r="B2957" s="38">
        <v>39457</v>
      </c>
      <c r="C2957" s="3">
        <v>0</v>
      </c>
      <c r="D2957" s="3">
        <v>0</v>
      </c>
      <c r="E2957" s="3">
        <f>C2957 - D2957</f>
        <v>0</v>
      </c>
    </row>
    <row r="2958" spans="2:5" x14ac:dyDescent="0.35">
      <c r="B2958" s="38">
        <v>39458</v>
      </c>
      <c r="C2958" s="3">
        <v>0</v>
      </c>
      <c r="D2958" s="3">
        <v>0</v>
      </c>
      <c r="E2958" s="3">
        <f>C2958 - D2958</f>
        <v>0</v>
      </c>
    </row>
    <row r="2959" spans="2:5" x14ac:dyDescent="0.35">
      <c r="B2959" s="38">
        <v>39459</v>
      </c>
      <c r="C2959" s="3">
        <v>0</v>
      </c>
      <c r="D2959" s="3">
        <v>0</v>
      </c>
      <c r="E2959" s="3">
        <f>C2959 - D2959</f>
        <v>0</v>
      </c>
    </row>
    <row r="2960" spans="2:5" x14ac:dyDescent="0.35">
      <c r="B2960" s="38">
        <v>39460</v>
      </c>
      <c r="C2960" s="3">
        <v>0</v>
      </c>
      <c r="D2960" s="3">
        <v>0</v>
      </c>
      <c r="E2960" s="3">
        <f>C2960 - D2960</f>
        <v>0</v>
      </c>
    </row>
    <row r="2961" spans="2:5" x14ac:dyDescent="0.35">
      <c r="B2961" s="38">
        <v>39461</v>
      </c>
      <c r="C2961" s="3">
        <v>0</v>
      </c>
      <c r="D2961" s="3">
        <v>0</v>
      </c>
      <c r="E2961" s="3">
        <f>C2961 - D2961</f>
        <v>0</v>
      </c>
    </row>
    <row r="2962" spans="2:5" x14ac:dyDescent="0.35">
      <c r="B2962" s="38">
        <v>39462</v>
      </c>
      <c r="C2962" s="3">
        <v>0</v>
      </c>
      <c r="D2962" s="3">
        <v>0</v>
      </c>
      <c r="E2962" s="3">
        <f>C2962 - D2962</f>
        <v>0</v>
      </c>
    </row>
    <row r="2963" spans="2:5" x14ac:dyDescent="0.35">
      <c r="B2963" s="38">
        <v>39463</v>
      </c>
      <c r="C2963" s="3">
        <v>0</v>
      </c>
      <c r="D2963" s="3">
        <v>0</v>
      </c>
      <c r="E2963" s="3">
        <f>C2963 - D2963</f>
        <v>0</v>
      </c>
    </row>
    <row r="2964" spans="2:5" x14ac:dyDescent="0.35">
      <c r="B2964" s="38">
        <v>39464</v>
      </c>
      <c r="C2964" s="3">
        <v>0</v>
      </c>
      <c r="D2964" s="3">
        <v>0</v>
      </c>
      <c r="E2964" s="3">
        <f>C2964 - D2964</f>
        <v>0</v>
      </c>
    </row>
    <row r="2965" spans="2:5" x14ac:dyDescent="0.35">
      <c r="B2965" s="38">
        <v>39465</v>
      </c>
      <c r="C2965" s="3">
        <v>0</v>
      </c>
      <c r="D2965" s="3">
        <v>0</v>
      </c>
      <c r="E2965" s="3">
        <f>C2965 - D2965</f>
        <v>0</v>
      </c>
    </row>
    <row r="2966" spans="2:5" x14ac:dyDescent="0.35">
      <c r="B2966" s="38">
        <v>39466</v>
      </c>
      <c r="C2966" s="3">
        <v>1</v>
      </c>
      <c r="D2966" s="3">
        <v>0</v>
      </c>
      <c r="E2966" s="3">
        <f>C2966 - D2966</f>
        <v>1</v>
      </c>
    </row>
    <row r="2967" spans="2:5" x14ac:dyDescent="0.35">
      <c r="B2967" s="38">
        <v>39467</v>
      </c>
      <c r="C2967" s="3">
        <v>1</v>
      </c>
      <c r="D2967" s="3">
        <v>1</v>
      </c>
      <c r="E2967" s="3">
        <f>C2967 - D2967</f>
        <v>0</v>
      </c>
    </row>
    <row r="2968" spans="2:5" x14ac:dyDescent="0.35">
      <c r="B2968" s="38">
        <v>39468</v>
      </c>
      <c r="C2968" s="3">
        <v>1</v>
      </c>
      <c r="D2968" s="3">
        <v>1</v>
      </c>
      <c r="E2968" s="3">
        <f>C2968 - D2968</f>
        <v>0</v>
      </c>
    </row>
    <row r="2969" spans="2:5" x14ac:dyDescent="0.35">
      <c r="B2969" s="38">
        <v>39469</v>
      </c>
      <c r="C2969" s="3">
        <v>0</v>
      </c>
      <c r="D2969" s="3">
        <v>1</v>
      </c>
      <c r="E2969" s="3">
        <f>C2969 - D2969</f>
        <v>-1</v>
      </c>
    </row>
    <row r="2970" spans="2:5" x14ac:dyDescent="0.35">
      <c r="B2970" s="38">
        <v>39470</v>
      </c>
      <c r="C2970" s="3">
        <v>0</v>
      </c>
      <c r="D2970" s="3">
        <v>0</v>
      </c>
      <c r="E2970" s="3">
        <f>C2970 - D2970</f>
        <v>0</v>
      </c>
    </row>
    <row r="2971" spans="2:5" x14ac:dyDescent="0.35">
      <c r="B2971" s="38">
        <v>39471</v>
      </c>
      <c r="C2971" s="3">
        <v>0</v>
      </c>
      <c r="D2971" s="3">
        <v>0</v>
      </c>
      <c r="E2971" s="3">
        <f>C2971 - D2971</f>
        <v>0</v>
      </c>
    </row>
    <row r="2972" spans="2:5" x14ac:dyDescent="0.35">
      <c r="B2972" s="38">
        <v>39472</v>
      </c>
      <c r="C2972" s="3">
        <v>0</v>
      </c>
      <c r="D2972" s="3">
        <v>0</v>
      </c>
      <c r="E2972" s="3">
        <f>C2972 - D2972</f>
        <v>0</v>
      </c>
    </row>
    <row r="2973" spans="2:5" x14ac:dyDescent="0.35">
      <c r="B2973" s="38">
        <v>39473</v>
      </c>
      <c r="C2973" s="3">
        <v>0</v>
      </c>
      <c r="D2973" s="3">
        <v>0</v>
      </c>
      <c r="E2973" s="3">
        <f>C2973 - D2973</f>
        <v>0</v>
      </c>
    </row>
    <row r="2974" spans="2:5" x14ac:dyDescent="0.35">
      <c r="B2974" s="38">
        <v>39474</v>
      </c>
      <c r="C2974" s="3">
        <v>0</v>
      </c>
      <c r="D2974" s="3">
        <v>0</v>
      </c>
      <c r="E2974" s="3">
        <f>C2974 - D2974</f>
        <v>0</v>
      </c>
    </row>
    <row r="2975" spans="2:5" x14ac:dyDescent="0.35">
      <c r="B2975" s="38">
        <v>39475</v>
      </c>
      <c r="C2975" s="3">
        <v>0</v>
      </c>
      <c r="D2975" s="3">
        <v>0</v>
      </c>
      <c r="E2975" s="3">
        <f>C2975 - D2975</f>
        <v>0</v>
      </c>
    </row>
    <row r="2976" spans="2:5" x14ac:dyDescent="0.35">
      <c r="B2976" s="38">
        <v>39476</v>
      </c>
      <c r="C2976" s="3">
        <v>0</v>
      </c>
      <c r="D2976" s="3">
        <v>0</v>
      </c>
      <c r="E2976" s="3">
        <f>C2976 - D2976</f>
        <v>0</v>
      </c>
    </row>
    <row r="2977" spans="2:5" x14ac:dyDescent="0.35">
      <c r="B2977" s="38">
        <v>39477</v>
      </c>
      <c r="C2977" s="3">
        <v>0</v>
      </c>
      <c r="D2977" s="3">
        <v>0</v>
      </c>
      <c r="E2977" s="3">
        <f>C2977 - D2977</f>
        <v>0</v>
      </c>
    </row>
    <row r="2978" spans="2:5" x14ac:dyDescent="0.35">
      <c r="B2978" s="38">
        <v>39478</v>
      </c>
      <c r="C2978" s="3">
        <v>1</v>
      </c>
      <c r="D2978" s="3">
        <v>0</v>
      </c>
      <c r="E2978" s="3">
        <f>C2978 - D2978</f>
        <v>1</v>
      </c>
    </row>
    <row r="2979" spans="2:5" x14ac:dyDescent="0.35">
      <c r="B2979" s="38">
        <v>39479</v>
      </c>
      <c r="C2979" s="3">
        <v>1</v>
      </c>
      <c r="D2979" s="3">
        <v>1</v>
      </c>
      <c r="E2979" s="3">
        <f>C2979 - D2979</f>
        <v>0</v>
      </c>
    </row>
    <row r="2980" spans="2:5" x14ac:dyDescent="0.35">
      <c r="B2980" s="38">
        <v>39480</v>
      </c>
      <c r="C2980" s="3">
        <v>0</v>
      </c>
      <c r="D2980" s="3">
        <v>1</v>
      </c>
      <c r="E2980" s="3">
        <f>C2980 - D2980</f>
        <v>-1</v>
      </c>
    </row>
    <row r="2981" spans="2:5" x14ac:dyDescent="0.35">
      <c r="B2981" s="38">
        <v>39481</v>
      </c>
      <c r="C2981" s="3">
        <v>0</v>
      </c>
      <c r="D2981" s="3">
        <v>0</v>
      </c>
      <c r="E2981" s="3">
        <f>C2981 - D2981</f>
        <v>0</v>
      </c>
    </row>
    <row r="2982" spans="2:5" x14ac:dyDescent="0.35">
      <c r="B2982" s="38">
        <v>39482</v>
      </c>
      <c r="C2982" s="3">
        <v>0</v>
      </c>
      <c r="D2982" s="3">
        <v>0</v>
      </c>
      <c r="E2982" s="3">
        <f>C2982 - D2982</f>
        <v>0</v>
      </c>
    </row>
    <row r="2983" spans="2:5" x14ac:dyDescent="0.35">
      <c r="B2983" s="38">
        <v>39483</v>
      </c>
      <c r="C2983" s="3">
        <v>0</v>
      </c>
      <c r="D2983" s="3">
        <v>0</v>
      </c>
      <c r="E2983" s="3">
        <f>C2983 - D2983</f>
        <v>0</v>
      </c>
    </row>
    <row r="2984" spans="2:5" x14ac:dyDescent="0.35">
      <c r="B2984" s="38">
        <v>39484</v>
      </c>
      <c r="C2984" s="3">
        <v>0</v>
      </c>
      <c r="D2984" s="3">
        <v>0</v>
      </c>
      <c r="E2984" s="3">
        <f>C2984 - D2984</f>
        <v>0</v>
      </c>
    </row>
    <row r="2985" spans="2:5" x14ac:dyDescent="0.35">
      <c r="B2985" s="38">
        <v>39485</v>
      </c>
      <c r="C2985" s="3">
        <v>1</v>
      </c>
      <c r="D2985" s="3">
        <v>0</v>
      </c>
      <c r="E2985" s="3">
        <f>C2985 - D2985</f>
        <v>1</v>
      </c>
    </row>
    <row r="2986" spans="2:5" x14ac:dyDescent="0.35">
      <c r="B2986" s="38">
        <v>39486</v>
      </c>
      <c r="C2986" s="3">
        <v>1</v>
      </c>
      <c r="D2986" s="3">
        <v>1</v>
      </c>
      <c r="E2986" s="3">
        <f>C2986 - D2986</f>
        <v>0</v>
      </c>
    </row>
    <row r="2987" spans="2:5" x14ac:dyDescent="0.35">
      <c r="B2987" s="38">
        <v>39487</v>
      </c>
      <c r="C2987" s="3">
        <v>1</v>
      </c>
      <c r="D2987" s="3">
        <v>1</v>
      </c>
      <c r="E2987" s="3">
        <f>C2987 - D2987</f>
        <v>0</v>
      </c>
    </row>
    <row r="2988" spans="2:5" x14ac:dyDescent="0.35">
      <c r="B2988" s="38">
        <v>39488</v>
      </c>
      <c r="C2988" s="3">
        <v>1</v>
      </c>
      <c r="D2988" s="3">
        <v>1</v>
      </c>
      <c r="E2988" s="3">
        <f>C2988 - D2988</f>
        <v>0</v>
      </c>
    </row>
    <row r="2989" spans="2:5" x14ac:dyDescent="0.35">
      <c r="B2989" s="38">
        <v>39489</v>
      </c>
      <c r="C2989" s="3">
        <v>0</v>
      </c>
      <c r="D2989" s="3">
        <v>1</v>
      </c>
      <c r="E2989" s="3">
        <f>C2989 - D2989</f>
        <v>-1</v>
      </c>
    </row>
    <row r="2990" spans="2:5" x14ac:dyDescent="0.35">
      <c r="B2990" s="38">
        <v>39490</v>
      </c>
      <c r="C2990" s="3">
        <v>0</v>
      </c>
      <c r="D2990" s="3">
        <v>0</v>
      </c>
      <c r="E2990" s="3">
        <f>C2990 - D2990</f>
        <v>0</v>
      </c>
    </row>
    <row r="2991" spans="2:5" x14ac:dyDescent="0.35">
      <c r="B2991" s="38">
        <v>39491</v>
      </c>
      <c r="C2991" s="3">
        <v>1</v>
      </c>
      <c r="D2991" s="3">
        <v>0</v>
      </c>
      <c r="E2991" s="3">
        <f>C2991 - D2991</f>
        <v>1</v>
      </c>
    </row>
    <row r="2992" spans="2:5" x14ac:dyDescent="0.35">
      <c r="B2992" s="38">
        <v>39492</v>
      </c>
      <c r="C2992" s="3">
        <v>1</v>
      </c>
      <c r="D2992" s="3">
        <v>1</v>
      </c>
      <c r="E2992" s="3">
        <f>C2992 - D2992</f>
        <v>0</v>
      </c>
    </row>
    <row r="2993" spans="2:5" x14ac:dyDescent="0.35">
      <c r="B2993" s="38">
        <v>39493</v>
      </c>
      <c r="C2993" s="3">
        <v>0</v>
      </c>
      <c r="D2993" s="3">
        <v>1</v>
      </c>
      <c r="E2993" s="3">
        <f>C2993 - D2993</f>
        <v>-1</v>
      </c>
    </row>
    <row r="2994" spans="2:5" x14ac:dyDescent="0.35">
      <c r="B2994" s="38">
        <v>39494</v>
      </c>
      <c r="C2994" s="3">
        <v>0</v>
      </c>
      <c r="D2994" s="3">
        <v>0</v>
      </c>
      <c r="E2994" s="3">
        <f>C2994 - D2994</f>
        <v>0</v>
      </c>
    </row>
    <row r="2995" spans="2:5" x14ac:dyDescent="0.35">
      <c r="B2995" s="38">
        <v>39495</v>
      </c>
      <c r="C2995" s="3">
        <v>0</v>
      </c>
      <c r="D2995" s="3">
        <v>0</v>
      </c>
      <c r="E2995" s="3">
        <f>C2995 - D2995</f>
        <v>0</v>
      </c>
    </row>
    <row r="2996" spans="2:5" x14ac:dyDescent="0.35">
      <c r="B2996" s="38">
        <v>39496</v>
      </c>
      <c r="C2996" s="3">
        <v>0</v>
      </c>
      <c r="D2996" s="3">
        <v>0</v>
      </c>
      <c r="E2996" s="3">
        <f>C2996 - D2996</f>
        <v>0</v>
      </c>
    </row>
    <row r="2997" spans="2:5" x14ac:dyDescent="0.35">
      <c r="B2997" s="38">
        <v>39497</v>
      </c>
      <c r="C2997" s="3">
        <v>0</v>
      </c>
      <c r="D2997" s="3">
        <v>0</v>
      </c>
      <c r="E2997" s="3">
        <f>C2997 - D2997</f>
        <v>0</v>
      </c>
    </row>
    <row r="2998" spans="2:5" x14ac:dyDescent="0.35">
      <c r="B2998" s="38">
        <v>39498</v>
      </c>
      <c r="C2998" s="3">
        <v>1</v>
      </c>
      <c r="D2998" s="3">
        <v>0</v>
      </c>
      <c r="E2998" s="3">
        <f>C2998 - D2998</f>
        <v>1</v>
      </c>
    </row>
    <row r="2999" spans="2:5" x14ac:dyDescent="0.35">
      <c r="B2999" s="38">
        <v>39499</v>
      </c>
      <c r="C2999" s="3">
        <v>1</v>
      </c>
      <c r="D2999" s="3">
        <v>1</v>
      </c>
      <c r="E2999" s="3">
        <f>C2999 - D2999</f>
        <v>0</v>
      </c>
    </row>
    <row r="3000" spans="2:5" x14ac:dyDescent="0.35">
      <c r="B3000" s="38">
        <v>39500</v>
      </c>
      <c r="C3000" s="3">
        <v>0</v>
      </c>
      <c r="D3000" s="3">
        <v>1</v>
      </c>
      <c r="E3000" s="3">
        <f>C3000 - D3000</f>
        <v>-1</v>
      </c>
    </row>
    <row r="3001" spans="2:5" x14ac:dyDescent="0.35">
      <c r="B3001" s="38">
        <v>39501</v>
      </c>
      <c r="C3001" s="3">
        <v>1</v>
      </c>
      <c r="D3001" s="3">
        <v>0</v>
      </c>
      <c r="E3001" s="3">
        <f>C3001 - D3001</f>
        <v>1</v>
      </c>
    </row>
    <row r="3002" spans="2:5" x14ac:dyDescent="0.35">
      <c r="B3002" s="38">
        <v>39502</v>
      </c>
      <c r="C3002" s="3">
        <v>0</v>
      </c>
      <c r="D3002" s="3">
        <v>1</v>
      </c>
      <c r="E3002" s="3">
        <f>C3002 - D3002</f>
        <v>-1</v>
      </c>
    </row>
    <row r="3003" spans="2:5" x14ac:dyDescent="0.35">
      <c r="B3003" s="38">
        <v>39503</v>
      </c>
      <c r="C3003" s="3">
        <v>0</v>
      </c>
      <c r="D3003" s="3">
        <v>0</v>
      </c>
      <c r="E3003" s="3">
        <f>C3003 - D3003</f>
        <v>0</v>
      </c>
    </row>
    <row r="3004" spans="2:5" x14ac:dyDescent="0.35">
      <c r="B3004" s="38">
        <v>39504</v>
      </c>
      <c r="C3004" s="3">
        <v>0</v>
      </c>
      <c r="D3004" s="3">
        <v>0</v>
      </c>
      <c r="E3004" s="3">
        <f>C3004 - D3004</f>
        <v>0</v>
      </c>
    </row>
    <row r="3005" spans="2:5" x14ac:dyDescent="0.35">
      <c r="B3005" s="38">
        <v>39505</v>
      </c>
      <c r="C3005" s="3">
        <v>0</v>
      </c>
      <c r="D3005" s="3">
        <v>0</v>
      </c>
      <c r="E3005" s="3">
        <f>C3005 - D3005</f>
        <v>0</v>
      </c>
    </row>
    <row r="3006" spans="2:5" x14ac:dyDescent="0.35">
      <c r="B3006" s="38">
        <v>39506</v>
      </c>
      <c r="C3006" s="3">
        <v>1</v>
      </c>
      <c r="D3006" s="3">
        <v>0</v>
      </c>
      <c r="E3006" s="3">
        <f>C3006 - D3006</f>
        <v>1</v>
      </c>
    </row>
    <row r="3007" spans="2:5" x14ac:dyDescent="0.35">
      <c r="B3007" s="38">
        <v>39507</v>
      </c>
      <c r="C3007" s="3">
        <v>1</v>
      </c>
      <c r="D3007" s="3">
        <v>1</v>
      </c>
      <c r="E3007" s="3">
        <f>C3007 - D3007</f>
        <v>0</v>
      </c>
    </row>
    <row r="3008" spans="2:5" x14ac:dyDescent="0.35">
      <c r="B3008" s="38">
        <v>39508</v>
      </c>
      <c r="C3008" s="3">
        <v>0</v>
      </c>
      <c r="D3008" s="3">
        <v>1</v>
      </c>
      <c r="E3008" s="3">
        <f>C3008 - D3008</f>
        <v>-1</v>
      </c>
    </row>
    <row r="3009" spans="2:5" x14ac:dyDescent="0.35">
      <c r="B3009" s="38">
        <v>39509</v>
      </c>
      <c r="C3009" s="3">
        <v>0</v>
      </c>
      <c r="D3009" s="3">
        <v>0</v>
      </c>
      <c r="E3009" s="3">
        <f>C3009 - D3009</f>
        <v>0</v>
      </c>
    </row>
    <row r="3010" spans="2:5" x14ac:dyDescent="0.35">
      <c r="B3010" s="38">
        <v>39510</v>
      </c>
      <c r="C3010" s="3">
        <v>0</v>
      </c>
      <c r="D3010" s="3">
        <v>0</v>
      </c>
      <c r="E3010" s="3">
        <f>C3010 - D3010</f>
        <v>0</v>
      </c>
    </row>
    <row r="3011" spans="2:5" x14ac:dyDescent="0.35">
      <c r="B3011" s="38">
        <v>39511</v>
      </c>
      <c r="C3011" s="3">
        <v>0</v>
      </c>
      <c r="D3011" s="3">
        <v>0</v>
      </c>
      <c r="E3011" s="3">
        <f>C3011 - D3011</f>
        <v>0</v>
      </c>
    </row>
    <row r="3012" spans="2:5" x14ac:dyDescent="0.35">
      <c r="B3012" s="38">
        <v>39512</v>
      </c>
      <c r="C3012" s="3">
        <v>0</v>
      </c>
      <c r="D3012" s="3">
        <v>0</v>
      </c>
      <c r="E3012" s="3">
        <f>C3012 - D3012</f>
        <v>0</v>
      </c>
    </row>
    <row r="3013" spans="2:5" x14ac:dyDescent="0.35">
      <c r="B3013" s="38">
        <v>39513</v>
      </c>
      <c r="C3013" s="3">
        <v>0</v>
      </c>
      <c r="D3013" s="3">
        <v>0</v>
      </c>
      <c r="E3013" s="3">
        <f>C3013 - D3013</f>
        <v>0</v>
      </c>
    </row>
    <row r="3014" spans="2:5" x14ac:dyDescent="0.35">
      <c r="B3014" s="38">
        <v>39514</v>
      </c>
      <c r="C3014" s="3">
        <v>0</v>
      </c>
      <c r="D3014" s="3">
        <v>0</v>
      </c>
      <c r="E3014" s="3">
        <f>C3014 - D3014</f>
        <v>0</v>
      </c>
    </row>
    <row r="3015" spans="2:5" x14ac:dyDescent="0.35">
      <c r="B3015" s="38">
        <v>39515</v>
      </c>
      <c r="C3015" s="3">
        <v>1</v>
      </c>
      <c r="D3015" s="3">
        <v>0</v>
      </c>
      <c r="E3015" s="3">
        <f>C3015 - D3015</f>
        <v>1</v>
      </c>
    </row>
    <row r="3016" spans="2:5" x14ac:dyDescent="0.35">
      <c r="B3016" s="38">
        <v>39516</v>
      </c>
      <c r="C3016" s="3">
        <v>0</v>
      </c>
      <c r="D3016" s="3">
        <v>1</v>
      </c>
      <c r="E3016" s="3">
        <f>C3016 - D3016</f>
        <v>-1</v>
      </c>
    </row>
    <row r="3017" spans="2:5" x14ac:dyDescent="0.35">
      <c r="B3017" s="38">
        <v>39517</v>
      </c>
      <c r="C3017" s="3">
        <v>0</v>
      </c>
      <c r="D3017" s="3">
        <v>0</v>
      </c>
      <c r="E3017" s="3">
        <f>C3017 - D3017</f>
        <v>0</v>
      </c>
    </row>
    <row r="3018" spans="2:5" x14ac:dyDescent="0.35">
      <c r="B3018" s="38">
        <v>39518</v>
      </c>
      <c r="C3018" s="3">
        <v>0</v>
      </c>
      <c r="D3018" s="3">
        <v>0</v>
      </c>
      <c r="E3018" s="3">
        <f>C3018 - D3018</f>
        <v>0</v>
      </c>
    </row>
    <row r="3019" spans="2:5" x14ac:dyDescent="0.35">
      <c r="B3019" s="38">
        <v>39519</v>
      </c>
      <c r="C3019" s="3">
        <v>0</v>
      </c>
      <c r="D3019" s="3">
        <v>0</v>
      </c>
      <c r="E3019" s="3">
        <f>C3019 - D3019</f>
        <v>0</v>
      </c>
    </row>
    <row r="3020" spans="2:5" x14ac:dyDescent="0.35">
      <c r="B3020" s="38">
        <v>39520</v>
      </c>
      <c r="C3020" s="3">
        <v>0</v>
      </c>
      <c r="D3020" s="3">
        <v>0</v>
      </c>
      <c r="E3020" s="3">
        <f>C3020 - D3020</f>
        <v>0</v>
      </c>
    </row>
    <row r="3021" spans="2:5" x14ac:dyDescent="0.35">
      <c r="B3021" s="38">
        <v>39521</v>
      </c>
      <c r="C3021" s="3">
        <v>0</v>
      </c>
      <c r="D3021" s="3">
        <v>0</v>
      </c>
      <c r="E3021" s="3">
        <f>C3021 - D3021</f>
        <v>0</v>
      </c>
    </row>
    <row r="3022" spans="2:5" x14ac:dyDescent="0.35">
      <c r="B3022" s="38">
        <v>39522</v>
      </c>
      <c r="C3022" s="3">
        <v>0</v>
      </c>
      <c r="D3022" s="3">
        <v>0</v>
      </c>
      <c r="E3022" s="3">
        <f>C3022 - D3022</f>
        <v>0</v>
      </c>
    </row>
    <row r="3023" spans="2:5" x14ac:dyDescent="0.35">
      <c r="B3023" s="38">
        <v>39523</v>
      </c>
      <c r="C3023" s="3">
        <v>0</v>
      </c>
      <c r="D3023" s="3">
        <v>0</v>
      </c>
      <c r="E3023" s="3">
        <f>C3023 - D3023</f>
        <v>0</v>
      </c>
    </row>
    <row r="3024" spans="2:5" x14ac:dyDescent="0.35">
      <c r="B3024" s="38">
        <v>39524</v>
      </c>
      <c r="C3024" s="3">
        <v>0</v>
      </c>
      <c r="D3024" s="3">
        <v>0</v>
      </c>
      <c r="E3024" s="3">
        <f>C3024 - D3024</f>
        <v>0</v>
      </c>
    </row>
    <row r="3025" spans="2:5" x14ac:dyDescent="0.35">
      <c r="B3025" s="38">
        <v>39525</v>
      </c>
      <c r="C3025" s="3">
        <v>0</v>
      </c>
      <c r="D3025" s="3">
        <v>0</v>
      </c>
      <c r="E3025" s="3">
        <f>C3025 - D3025</f>
        <v>0</v>
      </c>
    </row>
    <row r="3026" spans="2:5" x14ac:dyDescent="0.35">
      <c r="B3026" s="38">
        <v>39526</v>
      </c>
      <c r="C3026" s="3">
        <v>0</v>
      </c>
      <c r="D3026" s="3">
        <v>0</v>
      </c>
      <c r="E3026" s="3">
        <f>C3026 - D3026</f>
        <v>0</v>
      </c>
    </row>
    <row r="3027" spans="2:5" x14ac:dyDescent="0.35">
      <c r="B3027" s="38">
        <v>39527</v>
      </c>
      <c r="C3027" s="3">
        <v>0</v>
      </c>
      <c r="D3027" s="3">
        <v>0</v>
      </c>
      <c r="E3027" s="3">
        <f>C3027 - D3027</f>
        <v>0</v>
      </c>
    </row>
    <row r="3028" spans="2:5" x14ac:dyDescent="0.35">
      <c r="B3028" s="38">
        <v>39528</v>
      </c>
      <c r="C3028" s="3">
        <v>0</v>
      </c>
      <c r="D3028" s="3">
        <v>0</v>
      </c>
      <c r="E3028" s="3">
        <f>C3028 - D3028</f>
        <v>0</v>
      </c>
    </row>
    <row r="3029" spans="2:5" x14ac:dyDescent="0.35">
      <c r="B3029" s="38">
        <v>39529</v>
      </c>
      <c r="C3029" s="3">
        <v>0</v>
      </c>
      <c r="D3029" s="3">
        <v>0</v>
      </c>
      <c r="E3029" s="3">
        <f>C3029 - D3029</f>
        <v>0</v>
      </c>
    </row>
    <row r="3030" spans="2:5" x14ac:dyDescent="0.35">
      <c r="B3030" s="38">
        <v>39530</v>
      </c>
      <c r="C3030" s="3">
        <v>0</v>
      </c>
      <c r="D3030" s="3">
        <v>0</v>
      </c>
      <c r="E3030" s="3">
        <f>C3030 - D3030</f>
        <v>0</v>
      </c>
    </row>
    <row r="3031" spans="2:5" x14ac:dyDescent="0.35">
      <c r="B3031" s="38">
        <v>39531</v>
      </c>
      <c r="C3031" s="3">
        <v>0</v>
      </c>
      <c r="D3031" s="3">
        <v>0</v>
      </c>
      <c r="E3031" s="3">
        <f>C3031 - D3031</f>
        <v>0</v>
      </c>
    </row>
    <row r="3032" spans="2:5" x14ac:dyDescent="0.35">
      <c r="B3032" s="38">
        <v>39532</v>
      </c>
      <c r="C3032" s="3">
        <v>1</v>
      </c>
      <c r="D3032" s="3">
        <v>0</v>
      </c>
      <c r="E3032" s="3">
        <f>C3032 - D3032</f>
        <v>1</v>
      </c>
    </row>
    <row r="3033" spans="2:5" x14ac:dyDescent="0.35">
      <c r="B3033" s="38">
        <v>39533</v>
      </c>
      <c r="C3033" s="3">
        <v>0</v>
      </c>
      <c r="D3033" s="3">
        <v>1</v>
      </c>
      <c r="E3033" s="3">
        <f>C3033 - D3033</f>
        <v>-1</v>
      </c>
    </row>
    <row r="3034" spans="2:5" x14ac:dyDescent="0.35">
      <c r="B3034" s="38">
        <v>39534</v>
      </c>
      <c r="C3034" s="3">
        <v>1</v>
      </c>
      <c r="D3034" s="3">
        <v>0</v>
      </c>
      <c r="E3034" s="3">
        <f>C3034 - D3034</f>
        <v>1</v>
      </c>
    </row>
    <row r="3035" spans="2:5" x14ac:dyDescent="0.35">
      <c r="B3035" s="38">
        <v>39535</v>
      </c>
      <c r="C3035" s="3">
        <v>1</v>
      </c>
      <c r="D3035" s="3">
        <v>1</v>
      </c>
      <c r="E3035" s="3">
        <f>C3035 - D3035</f>
        <v>0</v>
      </c>
    </row>
    <row r="3036" spans="2:5" x14ac:dyDescent="0.35">
      <c r="B3036" s="38">
        <v>39536</v>
      </c>
      <c r="C3036" s="3">
        <v>0</v>
      </c>
      <c r="D3036" s="3">
        <v>1</v>
      </c>
      <c r="E3036" s="3">
        <f>C3036 - D3036</f>
        <v>-1</v>
      </c>
    </row>
    <row r="3037" spans="2:5" x14ac:dyDescent="0.35">
      <c r="B3037" s="38">
        <v>39537</v>
      </c>
      <c r="C3037" s="3">
        <v>1</v>
      </c>
      <c r="D3037" s="3">
        <v>0</v>
      </c>
      <c r="E3037" s="3">
        <f>C3037 - D3037</f>
        <v>1</v>
      </c>
    </row>
    <row r="3038" spans="2:5" x14ac:dyDescent="0.35">
      <c r="B3038" s="38">
        <v>39538</v>
      </c>
      <c r="C3038" s="3">
        <v>0</v>
      </c>
      <c r="D3038" s="3">
        <v>1</v>
      </c>
      <c r="E3038" s="3">
        <f>C3038 - D3038</f>
        <v>-1</v>
      </c>
    </row>
    <row r="3039" spans="2:5" x14ac:dyDescent="0.35">
      <c r="B3039" s="38">
        <v>39539</v>
      </c>
      <c r="C3039" s="3">
        <v>1</v>
      </c>
      <c r="D3039" s="3">
        <v>0</v>
      </c>
      <c r="E3039" s="3">
        <f>C3039 - D3039</f>
        <v>1</v>
      </c>
    </row>
    <row r="3040" spans="2:5" x14ac:dyDescent="0.35">
      <c r="B3040" s="38">
        <v>39540</v>
      </c>
      <c r="C3040" s="3">
        <v>0</v>
      </c>
      <c r="D3040" s="3">
        <v>1</v>
      </c>
      <c r="E3040" s="3">
        <f>C3040 - D3040</f>
        <v>-1</v>
      </c>
    </row>
    <row r="3041" spans="2:5" x14ac:dyDescent="0.35">
      <c r="B3041" s="38">
        <v>39541</v>
      </c>
      <c r="C3041" s="3">
        <v>1</v>
      </c>
      <c r="D3041" s="3">
        <v>0</v>
      </c>
      <c r="E3041" s="3">
        <f>C3041 - D3041</f>
        <v>1</v>
      </c>
    </row>
    <row r="3042" spans="2:5" x14ac:dyDescent="0.35">
      <c r="B3042" s="38">
        <v>39542</v>
      </c>
      <c r="C3042" s="3">
        <v>1</v>
      </c>
      <c r="D3042" s="3">
        <v>1</v>
      </c>
      <c r="E3042" s="3">
        <f>C3042 - D3042</f>
        <v>0</v>
      </c>
    </row>
    <row r="3043" spans="2:5" x14ac:dyDescent="0.35">
      <c r="B3043" s="38">
        <v>39543</v>
      </c>
      <c r="C3043" s="3">
        <v>0</v>
      </c>
      <c r="D3043" s="3">
        <v>1</v>
      </c>
      <c r="E3043" s="3">
        <f>C3043 - D3043</f>
        <v>-1</v>
      </c>
    </row>
    <row r="3044" spans="2:5" x14ac:dyDescent="0.35">
      <c r="B3044" s="38">
        <v>39544</v>
      </c>
      <c r="C3044" s="3">
        <v>0</v>
      </c>
      <c r="D3044" s="3">
        <v>0</v>
      </c>
      <c r="E3044" s="3">
        <f>C3044 - D3044</f>
        <v>0</v>
      </c>
    </row>
    <row r="3045" spans="2:5" x14ac:dyDescent="0.35">
      <c r="B3045" s="38">
        <v>39545</v>
      </c>
      <c r="C3045" s="3">
        <v>0</v>
      </c>
      <c r="D3045" s="3">
        <v>0</v>
      </c>
      <c r="E3045" s="3">
        <f>C3045 - D3045</f>
        <v>0</v>
      </c>
    </row>
    <row r="3046" spans="2:5" x14ac:dyDescent="0.35">
      <c r="B3046" s="38">
        <v>39546</v>
      </c>
      <c r="C3046" s="3">
        <v>0</v>
      </c>
      <c r="D3046" s="3">
        <v>0</v>
      </c>
      <c r="E3046" s="3">
        <f>C3046 - D3046</f>
        <v>0</v>
      </c>
    </row>
    <row r="3047" spans="2:5" x14ac:dyDescent="0.35">
      <c r="B3047" s="38">
        <v>39547</v>
      </c>
      <c r="C3047" s="3">
        <v>0</v>
      </c>
      <c r="D3047" s="3">
        <v>0</v>
      </c>
      <c r="E3047" s="3">
        <f>C3047 - D3047</f>
        <v>0</v>
      </c>
    </row>
    <row r="3048" spans="2:5" x14ac:dyDescent="0.35">
      <c r="B3048" s="38">
        <v>39548</v>
      </c>
      <c r="C3048" s="3">
        <v>0</v>
      </c>
      <c r="D3048" s="3">
        <v>0</v>
      </c>
      <c r="E3048" s="3">
        <f>C3048 - D3048</f>
        <v>0</v>
      </c>
    </row>
    <row r="3049" spans="2:5" x14ac:dyDescent="0.35">
      <c r="B3049" s="38">
        <v>39549</v>
      </c>
      <c r="C3049" s="3">
        <v>1</v>
      </c>
      <c r="D3049" s="3">
        <v>0</v>
      </c>
      <c r="E3049" s="3">
        <f>C3049 - D3049</f>
        <v>1</v>
      </c>
    </row>
    <row r="3050" spans="2:5" x14ac:dyDescent="0.35">
      <c r="B3050" s="38">
        <v>39550</v>
      </c>
      <c r="C3050" s="3">
        <v>0</v>
      </c>
      <c r="D3050" s="3">
        <v>1</v>
      </c>
      <c r="E3050" s="3">
        <f>C3050 - D3050</f>
        <v>-1</v>
      </c>
    </row>
    <row r="3051" spans="2:5" x14ac:dyDescent="0.35">
      <c r="B3051" s="38">
        <v>39551</v>
      </c>
      <c r="C3051" s="3">
        <v>1</v>
      </c>
      <c r="D3051" s="3">
        <v>0</v>
      </c>
      <c r="E3051" s="3">
        <f>C3051 - D3051</f>
        <v>1</v>
      </c>
    </row>
    <row r="3052" spans="2:5" x14ac:dyDescent="0.35">
      <c r="B3052" s="38">
        <v>39552</v>
      </c>
      <c r="C3052" s="3">
        <v>0</v>
      </c>
      <c r="D3052" s="3">
        <v>1</v>
      </c>
      <c r="E3052" s="3">
        <f>C3052 - D3052</f>
        <v>-1</v>
      </c>
    </row>
    <row r="3053" spans="2:5" x14ac:dyDescent="0.35">
      <c r="B3053" s="38">
        <v>39553</v>
      </c>
      <c r="C3053" s="3">
        <v>1</v>
      </c>
      <c r="D3053" s="3">
        <v>0</v>
      </c>
      <c r="E3053" s="3">
        <f>C3053 - D3053</f>
        <v>1</v>
      </c>
    </row>
    <row r="3054" spans="2:5" x14ac:dyDescent="0.35">
      <c r="B3054" s="38">
        <v>39554</v>
      </c>
      <c r="C3054" s="3">
        <v>0</v>
      </c>
      <c r="D3054" s="3">
        <v>1</v>
      </c>
      <c r="E3054" s="3">
        <f>C3054 - D3054</f>
        <v>-1</v>
      </c>
    </row>
    <row r="3055" spans="2:5" x14ac:dyDescent="0.35">
      <c r="B3055" s="38">
        <v>39555</v>
      </c>
      <c r="C3055" s="3">
        <v>0</v>
      </c>
      <c r="D3055" s="3">
        <v>0</v>
      </c>
      <c r="E3055" s="3">
        <f>C3055 - D3055</f>
        <v>0</v>
      </c>
    </row>
    <row r="3056" spans="2:5" x14ac:dyDescent="0.35">
      <c r="B3056" s="38">
        <v>39556</v>
      </c>
      <c r="C3056" s="3">
        <v>0</v>
      </c>
      <c r="D3056" s="3">
        <v>0</v>
      </c>
      <c r="E3056" s="3">
        <f>C3056 - D3056</f>
        <v>0</v>
      </c>
    </row>
    <row r="3057" spans="2:5" x14ac:dyDescent="0.35">
      <c r="B3057" s="38">
        <v>39557</v>
      </c>
      <c r="C3057" s="3">
        <v>0</v>
      </c>
      <c r="D3057" s="3">
        <v>0</v>
      </c>
      <c r="E3057" s="3">
        <f>C3057 - D3057</f>
        <v>0</v>
      </c>
    </row>
    <row r="3058" spans="2:5" x14ac:dyDescent="0.35">
      <c r="B3058" s="38">
        <v>39558</v>
      </c>
      <c r="C3058" s="3">
        <v>0</v>
      </c>
      <c r="D3058" s="3">
        <v>0</v>
      </c>
      <c r="E3058" s="3">
        <f>C3058 - D3058</f>
        <v>0</v>
      </c>
    </row>
    <row r="3059" spans="2:5" x14ac:dyDescent="0.35">
      <c r="B3059" s="38">
        <v>39559</v>
      </c>
      <c r="C3059" s="3">
        <v>0</v>
      </c>
      <c r="D3059" s="3">
        <v>0</v>
      </c>
      <c r="E3059" s="3">
        <f>C3059 - D3059</f>
        <v>0</v>
      </c>
    </row>
    <row r="3060" spans="2:5" x14ac:dyDescent="0.35">
      <c r="B3060" s="38">
        <v>39560</v>
      </c>
      <c r="C3060" s="3">
        <v>0</v>
      </c>
      <c r="D3060" s="3">
        <v>0</v>
      </c>
      <c r="E3060" s="3">
        <f>C3060 - D3060</f>
        <v>0</v>
      </c>
    </row>
    <row r="3061" spans="2:5" x14ac:dyDescent="0.35">
      <c r="B3061" s="38">
        <v>39561</v>
      </c>
      <c r="C3061" s="3">
        <v>0</v>
      </c>
      <c r="D3061" s="3">
        <v>0</v>
      </c>
      <c r="E3061" s="3">
        <f>C3061 - D3061</f>
        <v>0</v>
      </c>
    </row>
    <row r="3062" spans="2:5" x14ac:dyDescent="0.35">
      <c r="B3062" s="38">
        <v>39562</v>
      </c>
      <c r="C3062" s="3">
        <v>0</v>
      </c>
      <c r="D3062" s="3">
        <v>0</v>
      </c>
      <c r="E3062" s="3">
        <f>C3062 - D3062</f>
        <v>0</v>
      </c>
    </row>
    <row r="3063" spans="2:5" x14ac:dyDescent="0.35">
      <c r="B3063" s="38">
        <v>39563</v>
      </c>
      <c r="C3063" s="3">
        <v>0</v>
      </c>
      <c r="D3063" s="3">
        <v>0</v>
      </c>
      <c r="E3063" s="3">
        <f>C3063 - D3063</f>
        <v>0</v>
      </c>
    </row>
    <row r="3064" spans="2:5" x14ac:dyDescent="0.35">
      <c r="B3064" s="38">
        <v>39564</v>
      </c>
      <c r="C3064" s="3">
        <v>1</v>
      </c>
      <c r="D3064" s="3">
        <v>0</v>
      </c>
      <c r="E3064" s="3">
        <f>C3064 - D3064</f>
        <v>1</v>
      </c>
    </row>
    <row r="3065" spans="2:5" x14ac:dyDescent="0.35">
      <c r="B3065" s="38">
        <v>39565</v>
      </c>
      <c r="C3065" s="3">
        <v>1</v>
      </c>
      <c r="D3065" s="3">
        <v>1</v>
      </c>
      <c r="E3065" s="3">
        <f>C3065 - D3065</f>
        <v>0</v>
      </c>
    </row>
    <row r="3066" spans="2:5" x14ac:dyDescent="0.35">
      <c r="B3066" s="38">
        <v>39566</v>
      </c>
      <c r="C3066" s="3">
        <v>0</v>
      </c>
      <c r="D3066" s="3">
        <v>1</v>
      </c>
      <c r="E3066" s="3">
        <f>C3066 - D3066</f>
        <v>-1</v>
      </c>
    </row>
    <row r="3067" spans="2:5" x14ac:dyDescent="0.35">
      <c r="B3067" s="38">
        <v>39567</v>
      </c>
      <c r="C3067" s="3">
        <v>1</v>
      </c>
      <c r="D3067" s="3">
        <v>0</v>
      </c>
      <c r="E3067" s="3">
        <f>C3067 - D3067</f>
        <v>1</v>
      </c>
    </row>
    <row r="3068" spans="2:5" x14ac:dyDescent="0.35">
      <c r="B3068" s="38">
        <v>39568</v>
      </c>
      <c r="C3068" s="3">
        <v>0</v>
      </c>
      <c r="D3068" s="3">
        <v>1</v>
      </c>
      <c r="E3068" s="3">
        <f>C3068 - D3068</f>
        <v>-1</v>
      </c>
    </row>
    <row r="3069" spans="2:5" x14ac:dyDescent="0.35">
      <c r="B3069" s="38">
        <v>39569</v>
      </c>
      <c r="C3069" s="3">
        <v>0</v>
      </c>
      <c r="D3069" s="3">
        <v>0</v>
      </c>
      <c r="E3069" s="3">
        <f>C3069 - D3069</f>
        <v>0</v>
      </c>
    </row>
    <row r="3070" spans="2:5" x14ac:dyDescent="0.35">
      <c r="B3070" s="38">
        <v>39570</v>
      </c>
      <c r="C3070" s="3">
        <v>1</v>
      </c>
      <c r="D3070" s="3">
        <v>0</v>
      </c>
      <c r="E3070" s="3">
        <f>C3070 - D3070</f>
        <v>1</v>
      </c>
    </row>
    <row r="3071" spans="2:5" x14ac:dyDescent="0.35">
      <c r="B3071" s="38">
        <v>39571</v>
      </c>
      <c r="C3071" s="3">
        <v>1</v>
      </c>
      <c r="D3071" s="3">
        <v>1</v>
      </c>
      <c r="E3071" s="3">
        <f>C3071 - D3071</f>
        <v>0</v>
      </c>
    </row>
    <row r="3072" spans="2:5" x14ac:dyDescent="0.35">
      <c r="B3072" s="38">
        <v>39572</v>
      </c>
      <c r="C3072" s="3">
        <v>0</v>
      </c>
      <c r="D3072" s="3">
        <v>1</v>
      </c>
      <c r="E3072" s="3">
        <f>C3072 - D3072</f>
        <v>-1</v>
      </c>
    </row>
    <row r="3073" spans="2:5" x14ac:dyDescent="0.35">
      <c r="B3073" s="38">
        <v>39573</v>
      </c>
      <c r="C3073" s="3">
        <v>0</v>
      </c>
      <c r="D3073" s="3">
        <v>0</v>
      </c>
      <c r="E3073" s="3">
        <f>C3073 - D3073</f>
        <v>0</v>
      </c>
    </row>
    <row r="3074" spans="2:5" x14ac:dyDescent="0.35">
      <c r="B3074" s="38">
        <v>39574</v>
      </c>
      <c r="C3074" s="3">
        <v>1</v>
      </c>
      <c r="D3074" s="3">
        <v>0</v>
      </c>
      <c r="E3074" s="3">
        <f>C3074 - D3074</f>
        <v>1</v>
      </c>
    </row>
    <row r="3075" spans="2:5" x14ac:dyDescent="0.35">
      <c r="B3075" s="38">
        <v>39575</v>
      </c>
      <c r="C3075" s="3">
        <v>1</v>
      </c>
      <c r="D3075" s="3">
        <v>1</v>
      </c>
      <c r="E3075" s="3">
        <f>C3075 - D3075</f>
        <v>0</v>
      </c>
    </row>
    <row r="3076" spans="2:5" x14ac:dyDescent="0.35">
      <c r="B3076" s="38">
        <v>39576</v>
      </c>
      <c r="C3076" s="3">
        <v>0</v>
      </c>
      <c r="D3076" s="3">
        <v>1</v>
      </c>
      <c r="E3076" s="3">
        <f>C3076 - D3076</f>
        <v>-1</v>
      </c>
    </row>
    <row r="3077" spans="2:5" x14ac:dyDescent="0.35">
      <c r="B3077" s="38">
        <v>39577</v>
      </c>
      <c r="C3077" s="3">
        <v>0</v>
      </c>
      <c r="D3077" s="3">
        <v>0</v>
      </c>
      <c r="E3077" s="3">
        <f>C3077 - D3077</f>
        <v>0</v>
      </c>
    </row>
    <row r="3078" spans="2:5" x14ac:dyDescent="0.35">
      <c r="B3078" s="38">
        <v>39578</v>
      </c>
      <c r="C3078" s="3">
        <v>0</v>
      </c>
      <c r="D3078" s="3">
        <v>0</v>
      </c>
      <c r="E3078" s="3">
        <f>C3078 - D3078</f>
        <v>0</v>
      </c>
    </row>
    <row r="3079" spans="2:5" x14ac:dyDescent="0.35">
      <c r="B3079" s="38">
        <v>39579</v>
      </c>
      <c r="C3079" s="3">
        <v>0</v>
      </c>
      <c r="D3079" s="3">
        <v>0</v>
      </c>
      <c r="E3079" s="3">
        <f>C3079 - D3079</f>
        <v>0</v>
      </c>
    </row>
    <row r="3080" spans="2:5" x14ac:dyDescent="0.35">
      <c r="B3080" s="38">
        <v>39580</v>
      </c>
      <c r="C3080" s="3">
        <v>0</v>
      </c>
      <c r="D3080" s="3">
        <v>0</v>
      </c>
      <c r="E3080" s="3">
        <f>C3080 - D3080</f>
        <v>0</v>
      </c>
    </row>
    <row r="3081" spans="2:5" x14ac:dyDescent="0.35">
      <c r="B3081" s="38">
        <v>39581</v>
      </c>
      <c r="C3081" s="3">
        <v>0</v>
      </c>
      <c r="D3081" s="3">
        <v>0</v>
      </c>
      <c r="E3081" s="3">
        <f>C3081 - D3081</f>
        <v>0</v>
      </c>
    </row>
    <row r="3082" spans="2:5" x14ac:dyDescent="0.35">
      <c r="B3082" s="38">
        <v>39582</v>
      </c>
      <c r="C3082" s="3">
        <v>0</v>
      </c>
      <c r="D3082" s="3">
        <v>0</v>
      </c>
      <c r="E3082" s="3">
        <f>C3082 - D3082</f>
        <v>0</v>
      </c>
    </row>
    <row r="3083" spans="2:5" x14ac:dyDescent="0.35">
      <c r="B3083" s="38">
        <v>39583</v>
      </c>
      <c r="C3083" s="3">
        <v>0</v>
      </c>
      <c r="D3083" s="3">
        <v>0</v>
      </c>
      <c r="E3083" s="3">
        <f>C3083 - D3083</f>
        <v>0</v>
      </c>
    </row>
    <row r="3084" spans="2:5" x14ac:dyDescent="0.35">
      <c r="B3084" s="38">
        <v>39584</v>
      </c>
      <c r="C3084" s="3">
        <v>0</v>
      </c>
      <c r="D3084" s="3">
        <v>0</v>
      </c>
      <c r="E3084" s="3">
        <f>C3084 - D3084</f>
        <v>0</v>
      </c>
    </row>
    <row r="3085" spans="2:5" x14ac:dyDescent="0.35">
      <c r="B3085" s="38">
        <v>39585</v>
      </c>
      <c r="C3085" s="3">
        <v>1</v>
      </c>
      <c r="D3085" s="3">
        <v>0</v>
      </c>
      <c r="E3085" s="3">
        <f>C3085 - D3085</f>
        <v>1</v>
      </c>
    </row>
    <row r="3086" spans="2:5" x14ac:dyDescent="0.35">
      <c r="B3086" s="38">
        <v>39586</v>
      </c>
      <c r="C3086" s="3">
        <v>1</v>
      </c>
      <c r="D3086" s="3">
        <v>1</v>
      </c>
      <c r="E3086" s="3">
        <f>C3086 - D3086</f>
        <v>0</v>
      </c>
    </row>
    <row r="3087" spans="2:5" x14ac:dyDescent="0.35">
      <c r="B3087" s="38">
        <v>39587</v>
      </c>
      <c r="C3087" s="3">
        <v>0</v>
      </c>
      <c r="D3087" s="3">
        <v>1</v>
      </c>
      <c r="E3087" s="3">
        <f>C3087 - D3087</f>
        <v>-1</v>
      </c>
    </row>
    <row r="3088" spans="2:5" x14ac:dyDescent="0.35">
      <c r="B3088" s="38">
        <v>39588</v>
      </c>
      <c r="C3088" s="3">
        <v>1</v>
      </c>
      <c r="D3088" s="3">
        <v>0</v>
      </c>
      <c r="E3088" s="3">
        <f>C3088 - D3088</f>
        <v>1</v>
      </c>
    </row>
    <row r="3089" spans="2:5" x14ac:dyDescent="0.35">
      <c r="B3089" s="38">
        <v>39589</v>
      </c>
      <c r="C3089" s="3">
        <v>1</v>
      </c>
      <c r="D3089" s="3">
        <v>1</v>
      </c>
      <c r="E3089" s="3">
        <f>C3089 - D3089</f>
        <v>0</v>
      </c>
    </row>
    <row r="3090" spans="2:5" x14ac:dyDescent="0.35">
      <c r="B3090" s="38">
        <v>39590</v>
      </c>
      <c r="C3090" s="3">
        <v>0</v>
      </c>
      <c r="D3090" s="3">
        <v>1</v>
      </c>
      <c r="E3090" s="3">
        <f>C3090 - D3090</f>
        <v>-1</v>
      </c>
    </row>
    <row r="3091" spans="2:5" x14ac:dyDescent="0.35">
      <c r="B3091" s="38">
        <v>39591</v>
      </c>
      <c r="C3091" s="3">
        <v>0</v>
      </c>
      <c r="D3091" s="3">
        <v>0</v>
      </c>
      <c r="E3091" s="3">
        <f>C3091 - D3091</f>
        <v>0</v>
      </c>
    </row>
    <row r="3092" spans="2:5" x14ac:dyDescent="0.35">
      <c r="B3092" s="38">
        <v>39592</v>
      </c>
      <c r="C3092" s="3">
        <v>0</v>
      </c>
      <c r="D3092" s="3">
        <v>0</v>
      </c>
      <c r="E3092" s="3">
        <f>C3092 - D3092</f>
        <v>0</v>
      </c>
    </row>
    <row r="3093" spans="2:5" x14ac:dyDescent="0.35">
      <c r="B3093" s="38">
        <v>39593</v>
      </c>
      <c r="C3093" s="3">
        <v>0</v>
      </c>
      <c r="D3093" s="3">
        <v>0</v>
      </c>
      <c r="E3093" s="3">
        <f>C3093 - D3093</f>
        <v>0</v>
      </c>
    </row>
    <row r="3094" spans="2:5" x14ac:dyDescent="0.35">
      <c r="B3094" s="38">
        <v>39594</v>
      </c>
      <c r="C3094" s="3">
        <v>0</v>
      </c>
      <c r="D3094" s="3">
        <v>0</v>
      </c>
      <c r="E3094" s="3">
        <f>C3094 - D3094</f>
        <v>0</v>
      </c>
    </row>
    <row r="3095" spans="2:5" x14ac:dyDescent="0.35">
      <c r="B3095" s="38">
        <v>39595</v>
      </c>
      <c r="C3095" s="3">
        <v>1</v>
      </c>
      <c r="D3095" s="3">
        <v>0</v>
      </c>
      <c r="E3095" s="3">
        <f>C3095 - D3095</f>
        <v>1</v>
      </c>
    </row>
    <row r="3096" spans="2:5" x14ac:dyDescent="0.35">
      <c r="B3096" s="38">
        <v>39596</v>
      </c>
      <c r="C3096" s="3">
        <v>1</v>
      </c>
      <c r="D3096" s="3">
        <v>1</v>
      </c>
      <c r="E3096" s="3">
        <f>C3096 - D3096</f>
        <v>0</v>
      </c>
    </row>
    <row r="3097" spans="2:5" x14ac:dyDescent="0.35">
      <c r="B3097" s="38">
        <v>39597</v>
      </c>
      <c r="C3097" s="3">
        <v>0</v>
      </c>
      <c r="D3097" s="3">
        <v>1</v>
      </c>
      <c r="E3097" s="3">
        <f>C3097 - D3097</f>
        <v>-1</v>
      </c>
    </row>
    <row r="3098" spans="2:5" x14ac:dyDescent="0.35">
      <c r="B3098" s="38">
        <v>39598</v>
      </c>
      <c r="C3098" s="3">
        <v>0</v>
      </c>
      <c r="D3098" s="3">
        <v>0</v>
      </c>
      <c r="E3098" s="3">
        <f>C3098 - D3098</f>
        <v>0</v>
      </c>
    </row>
    <row r="3099" spans="2:5" x14ac:dyDescent="0.35">
      <c r="B3099" s="38">
        <v>39599</v>
      </c>
      <c r="C3099" s="3">
        <v>0</v>
      </c>
      <c r="D3099" s="3">
        <v>0</v>
      </c>
      <c r="E3099" s="3">
        <f>C3099 - D3099</f>
        <v>0</v>
      </c>
    </row>
    <row r="3100" spans="2:5" x14ac:dyDescent="0.35">
      <c r="B3100" s="38">
        <v>39600</v>
      </c>
      <c r="C3100" s="3">
        <v>1</v>
      </c>
      <c r="D3100" s="3">
        <v>0</v>
      </c>
      <c r="E3100" s="3">
        <f>C3100 - D3100</f>
        <v>1</v>
      </c>
    </row>
    <row r="3101" spans="2:5" x14ac:dyDescent="0.35">
      <c r="B3101" s="38">
        <v>39601</v>
      </c>
      <c r="C3101" s="3">
        <v>0</v>
      </c>
      <c r="D3101" s="3">
        <v>1</v>
      </c>
      <c r="E3101" s="3">
        <f>C3101 - D3101</f>
        <v>-1</v>
      </c>
    </row>
    <row r="3102" spans="2:5" x14ac:dyDescent="0.35">
      <c r="B3102" s="38">
        <v>39602</v>
      </c>
      <c r="C3102" s="3">
        <v>0</v>
      </c>
      <c r="D3102" s="3">
        <v>0</v>
      </c>
      <c r="E3102" s="3">
        <f>C3102 - D3102</f>
        <v>0</v>
      </c>
    </row>
    <row r="3103" spans="2:5" x14ac:dyDescent="0.35">
      <c r="B3103" s="38">
        <v>39603</v>
      </c>
      <c r="C3103" s="3">
        <v>0</v>
      </c>
      <c r="D3103" s="3">
        <v>0</v>
      </c>
      <c r="E3103" s="3">
        <f>C3103 - D3103</f>
        <v>0</v>
      </c>
    </row>
    <row r="3104" spans="2:5" x14ac:dyDescent="0.35">
      <c r="B3104" s="38">
        <v>39604</v>
      </c>
      <c r="C3104" s="3">
        <v>0</v>
      </c>
      <c r="D3104" s="3">
        <v>0</v>
      </c>
      <c r="E3104" s="3">
        <f>C3104 - D3104</f>
        <v>0</v>
      </c>
    </row>
    <row r="3105" spans="2:5" x14ac:dyDescent="0.35">
      <c r="B3105" s="38">
        <v>39605</v>
      </c>
      <c r="C3105" s="3">
        <v>0</v>
      </c>
      <c r="D3105" s="3">
        <v>0</v>
      </c>
      <c r="E3105" s="3">
        <f>C3105 - D3105</f>
        <v>0</v>
      </c>
    </row>
    <row r="3106" spans="2:5" x14ac:dyDescent="0.35">
      <c r="B3106" s="38">
        <v>39606</v>
      </c>
      <c r="C3106" s="3">
        <v>1</v>
      </c>
      <c r="D3106" s="3">
        <v>0</v>
      </c>
      <c r="E3106" s="3">
        <f>C3106 - D3106</f>
        <v>1</v>
      </c>
    </row>
    <row r="3107" spans="2:5" x14ac:dyDescent="0.35">
      <c r="B3107" s="38">
        <v>39607</v>
      </c>
      <c r="C3107" s="3">
        <v>0</v>
      </c>
      <c r="D3107" s="3">
        <v>1</v>
      </c>
      <c r="E3107" s="3">
        <f>C3107 - D3107</f>
        <v>-1</v>
      </c>
    </row>
    <row r="3108" spans="2:5" x14ac:dyDescent="0.35">
      <c r="B3108" s="38">
        <v>39608</v>
      </c>
      <c r="C3108" s="3">
        <v>0</v>
      </c>
      <c r="D3108" s="3">
        <v>0</v>
      </c>
      <c r="E3108" s="3">
        <f>C3108 - D3108</f>
        <v>0</v>
      </c>
    </row>
    <row r="3109" spans="2:5" x14ac:dyDescent="0.35">
      <c r="B3109" s="38">
        <v>39609</v>
      </c>
      <c r="C3109" s="3">
        <v>0</v>
      </c>
      <c r="D3109" s="3">
        <v>0</v>
      </c>
      <c r="E3109" s="3">
        <f>C3109 - D3109</f>
        <v>0</v>
      </c>
    </row>
    <row r="3110" spans="2:5" x14ac:dyDescent="0.35">
      <c r="B3110" s="38">
        <v>39610</v>
      </c>
      <c r="C3110" s="3">
        <v>1</v>
      </c>
      <c r="D3110" s="3">
        <v>0</v>
      </c>
      <c r="E3110" s="3">
        <f>C3110 - D3110</f>
        <v>1</v>
      </c>
    </row>
    <row r="3111" spans="2:5" x14ac:dyDescent="0.35">
      <c r="B3111" s="38">
        <v>39611</v>
      </c>
      <c r="C3111" s="3">
        <v>0</v>
      </c>
      <c r="D3111" s="3">
        <v>1</v>
      </c>
      <c r="E3111" s="3">
        <f>C3111 - D3111</f>
        <v>-1</v>
      </c>
    </row>
    <row r="3112" spans="2:5" x14ac:dyDescent="0.35">
      <c r="B3112" s="38">
        <v>39612</v>
      </c>
      <c r="C3112" s="3">
        <v>1</v>
      </c>
      <c r="D3112" s="3">
        <v>0</v>
      </c>
      <c r="E3112" s="3">
        <f>C3112 - D3112</f>
        <v>1</v>
      </c>
    </row>
    <row r="3113" spans="2:5" x14ac:dyDescent="0.35">
      <c r="B3113" s="38">
        <v>39613</v>
      </c>
      <c r="C3113" s="3">
        <v>1</v>
      </c>
      <c r="D3113" s="3">
        <v>1</v>
      </c>
      <c r="E3113" s="3">
        <f>C3113 - D3113</f>
        <v>0</v>
      </c>
    </row>
    <row r="3114" spans="2:5" x14ac:dyDescent="0.35">
      <c r="B3114" s="38">
        <v>39614</v>
      </c>
      <c r="C3114" s="3">
        <v>1</v>
      </c>
      <c r="D3114" s="3">
        <v>1</v>
      </c>
      <c r="E3114" s="3">
        <f>C3114 - D3114</f>
        <v>0</v>
      </c>
    </row>
    <row r="3115" spans="2:5" x14ac:dyDescent="0.35">
      <c r="B3115" s="38">
        <v>39615</v>
      </c>
      <c r="C3115" s="3">
        <v>0</v>
      </c>
      <c r="D3115" s="3">
        <v>1</v>
      </c>
      <c r="E3115" s="3">
        <f>C3115 - D3115</f>
        <v>-1</v>
      </c>
    </row>
    <row r="3116" spans="2:5" x14ac:dyDescent="0.35">
      <c r="B3116" s="38">
        <v>39616</v>
      </c>
      <c r="C3116" s="3">
        <v>0</v>
      </c>
      <c r="D3116" s="3">
        <v>0</v>
      </c>
      <c r="E3116" s="3">
        <f>C3116 - D3116</f>
        <v>0</v>
      </c>
    </row>
    <row r="3117" spans="2:5" x14ac:dyDescent="0.35">
      <c r="B3117" s="38">
        <v>39617</v>
      </c>
      <c r="C3117" s="3">
        <v>0</v>
      </c>
      <c r="D3117" s="3">
        <v>0</v>
      </c>
      <c r="E3117" s="3">
        <f>C3117 - D3117</f>
        <v>0</v>
      </c>
    </row>
    <row r="3118" spans="2:5" x14ac:dyDescent="0.35">
      <c r="B3118" s="38">
        <v>39618</v>
      </c>
      <c r="C3118" s="3">
        <v>0</v>
      </c>
      <c r="D3118" s="3">
        <v>0</v>
      </c>
      <c r="E3118" s="3">
        <f>C3118 - D3118</f>
        <v>0</v>
      </c>
    </row>
    <row r="3119" spans="2:5" x14ac:dyDescent="0.35">
      <c r="B3119" s="38">
        <v>39619</v>
      </c>
      <c r="C3119" s="3">
        <v>1</v>
      </c>
      <c r="D3119" s="3">
        <v>0</v>
      </c>
      <c r="E3119" s="3">
        <f>C3119 - D3119</f>
        <v>1</v>
      </c>
    </row>
    <row r="3120" spans="2:5" x14ac:dyDescent="0.35">
      <c r="B3120" s="38">
        <v>39620</v>
      </c>
      <c r="C3120" s="3">
        <v>1</v>
      </c>
      <c r="D3120" s="3">
        <v>1</v>
      </c>
      <c r="E3120" s="3">
        <f>C3120 - D3120</f>
        <v>0</v>
      </c>
    </row>
    <row r="3121" spans="2:5" x14ac:dyDescent="0.35">
      <c r="B3121" s="38">
        <v>39621</v>
      </c>
      <c r="C3121" s="3">
        <v>1</v>
      </c>
      <c r="D3121" s="3">
        <v>1</v>
      </c>
      <c r="E3121" s="3">
        <f>C3121 - D3121</f>
        <v>0</v>
      </c>
    </row>
    <row r="3122" spans="2:5" x14ac:dyDescent="0.35">
      <c r="B3122" s="38">
        <v>39622</v>
      </c>
      <c r="C3122" s="3">
        <v>1</v>
      </c>
      <c r="D3122" s="3">
        <v>1</v>
      </c>
      <c r="E3122" s="3">
        <f>C3122 - D3122</f>
        <v>0</v>
      </c>
    </row>
    <row r="3123" spans="2:5" x14ac:dyDescent="0.35">
      <c r="B3123" s="38">
        <v>39623</v>
      </c>
      <c r="C3123" s="3">
        <v>1</v>
      </c>
      <c r="D3123" s="3">
        <v>1</v>
      </c>
      <c r="E3123" s="3">
        <f>C3123 - D3123</f>
        <v>0</v>
      </c>
    </row>
    <row r="3124" spans="2:5" x14ac:dyDescent="0.35">
      <c r="B3124" s="38">
        <v>39624</v>
      </c>
      <c r="C3124" s="3">
        <v>0</v>
      </c>
      <c r="D3124" s="3">
        <v>1</v>
      </c>
      <c r="E3124" s="3">
        <f>C3124 - D3124</f>
        <v>-1</v>
      </c>
    </row>
    <row r="3125" spans="2:5" x14ac:dyDescent="0.35">
      <c r="B3125" s="38">
        <v>39625</v>
      </c>
      <c r="C3125" s="3">
        <v>0</v>
      </c>
      <c r="D3125" s="3">
        <v>0</v>
      </c>
      <c r="E3125" s="3">
        <f>C3125 - D3125</f>
        <v>0</v>
      </c>
    </row>
    <row r="3126" spans="2:5" x14ac:dyDescent="0.35">
      <c r="B3126" s="38">
        <v>39626</v>
      </c>
      <c r="C3126" s="3">
        <v>0</v>
      </c>
      <c r="D3126" s="3">
        <v>0</v>
      </c>
      <c r="E3126" s="3">
        <f>C3126 - D3126</f>
        <v>0</v>
      </c>
    </row>
    <row r="3127" spans="2:5" x14ac:dyDescent="0.35">
      <c r="B3127" s="38">
        <v>39627</v>
      </c>
      <c r="C3127" s="3">
        <v>0</v>
      </c>
      <c r="D3127" s="3">
        <v>0</v>
      </c>
      <c r="E3127" s="3">
        <f>C3127 - D3127</f>
        <v>0</v>
      </c>
    </row>
    <row r="3128" spans="2:5" x14ac:dyDescent="0.35">
      <c r="B3128" s="38">
        <v>39628</v>
      </c>
      <c r="C3128" s="3">
        <v>0</v>
      </c>
      <c r="D3128" s="3">
        <v>0</v>
      </c>
      <c r="E3128" s="3">
        <f>C3128 - D3128</f>
        <v>0</v>
      </c>
    </row>
    <row r="3129" spans="2:5" x14ac:dyDescent="0.35">
      <c r="B3129" s="38">
        <v>39629</v>
      </c>
      <c r="C3129" s="3">
        <v>0</v>
      </c>
      <c r="D3129" s="3">
        <v>0</v>
      </c>
      <c r="E3129" s="3">
        <f>C3129 - D3129</f>
        <v>0</v>
      </c>
    </row>
    <row r="3130" spans="2:5" x14ac:dyDescent="0.35">
      <c r="B3130" s="38">
        <v>39630</v>
      </c>
      <c r="C3130" s="3">
        <v>1</v>
      </c>
      <c r="D3130" s="3">
        <v>0</v>
      </c>
      <c r="E3130" s="3">
        <f>C3130 - D3130</f>
        <v>1</v>
      </c>
    </row>
    <row r="3131" spans="2:5" x14ac:dyDescent="0.35">
      <c r="B3131" s="38">
        <v>39631</v>
      </c>
      <c r="C3131" s="3">
        <v>1</v>
      </c>
      <c r="D3131" s="3">
        <v>1</v>
      </c>
      <c r="E3131" s="3">
        <f>C3131 - D3131</f>
        <v>0</v>
      </c>
    </row>
    <row r="3132" spans="2:5" x14ac:dyDescent="0.35">
      <c r="B3132" s="38">
        <v>39632</v>
      </c>
      <c r="C3132" s="3">
        <v>1</v>
      </c>
      <c r="D3132" s="3">
        <v>1</v>
      </c>
      <c r="E3132" s="3">
        <f>C3132 - D3132</f>
        <v>0</v>
      </c>
    </row>
    <row r="3133" spans="2:5" x14ac:dyDescent="0.35">
      <c r="B3133" s="38">
        <v>39633</v>
      </c>
      <c r="C3133" s="3">
        <v>1</v>
      </c>
      <c r="D3133" s="3">
        <v>1</v>
      </c>
      <c r="E3133" s="3">
        <f>C3133 - D3133</f>
        <v>0</v>
      </c>
    </row>
    <row r="3134" spans="2:5" x14ac:dyDescent="0.35">
      <c r="B3134" s="38">
        <v>39634</v>
      </c>
      <c r="C3134" s="3">
        <v>0</v>
      </c>
      <c r="D3134" s="3">
        <v>1</v>
      </c>
      <c r="E3134" s="3">
        <f>C3134 - D3134</f>
        <v>-1</v>
      </c>
    </row>
    <row r="3135" spans="2:5" x14ac:dyDescent="0.35">
      <c r="B3135" s="38">
        <v>39635</v>
      </c>
      <c r="C3135" s="3">
        <v>0</v>
      </c>
      <c r="D3135" s="3">
        <v>0</v>
      </c>
      <c r="E3135" s="3">
        <f>C3135 - D3135</f>
        <v>0</v>
      </c>
    </row>
    <row r="3136" spans="2:5" x14ac:dyDescent="0.35">
      <c r="B3136" s="38">
        <v>39636</v>
      </c>
      <c r="C3136" s="3">
        <v>0</v>
      </c>
      <c r="D3136" s="3">
        <v>0</v>
      </c>
      <c r="E3136" s="3">
        <f>C3136 - D3136</f>
        <v>0</v>
      </c>
    </row>
    <row r="3137" spans="2:5" x14ac:dyDescent="0.35">
      <c r="B3137" s="38">
        <v>39637</v>
      </c>
      <c r="C3137" s="3">
        <v>1</v>
      </c>
      <c r="D3137" s="3">
        <v>0</v>
      </c>
      <c r="E3137" s="3">
        <f>C3137 - D3137</f>
        <v>1</v>
      </c>
    </row>
    <row r="3138" spans="2:5" x14ac:dyDescent="0.35">
      <c r="B3138" s="38">
        <v>39638</v>
      </c>
      <c r="C3138" s="3">
        <v>1</v>
      </c>
      <c r="D3138" s="3">
        <v>1</v>
      </c>
      <c r="E3138" s="3">
        <f>C3138 - D3138</f>
        <v>0</v>
      </c>
    </row>
    <row r="3139" spans="2:5" x14ac:dyDescent="0.35">
      <c r="B3139" s="38">
        <v>39639</v>
      </c>
      <c r="C3139" s="3">
        <v>1</v>
      </c>
      <c r="D3139" s="3">
        <v>1</v>
      </c>
      <c r="E3139" s="3">
        <f>C3139 - D3139</f>
        <v>0</v>
      </c>
    </row>
    <row r="3140" spans="2:5" x14ac:dyDescent="0.35">
      <c r="B3140" s="38">
        <v>39640</v>
      </c>
      <c r="C3140" s="3">
        <v>1</v>
      </c>
      <c r="D3140" s="3">
        <v>1</v>
      </c>
      <c r="E3140" s="3">
        <f>C3140 - D3140</f>
        <v>0</v>
      </c>
    </row>
    <row r="3141" spans="2:5" x14ac:dyDescent="0.35">
      <c r="B3141" s="38">
        <v>39641</v>
      </c>
      <c r="C3141" s="3">
        <v>0</v>
      </c>
      <c r="D3141" s="3">
        <v>1</v>
      </c>
      <c r="E3141" s="3">
        <f>C3141 - D3141</f>
        <v>-1</v>
      </c>
    </row>
    <row r="3142" spans="2:5" x14ac:dyDescent="0.35">
      <c r="B3142" s="38">
        <v>39642</v>
      </c>
      <c r="C3142" s="3">
        <v>0</v>
      </c>
      <c r="D3142" s="3">
        <v>0</v>
      </c>
      <c r="E3142" s="3">
        <f>C3142 - D3142</f>
        <v>0</v>
      </c>
    </row>
    <row r="3143" spans="2:5" x14ac:dyDescent="0.35">
      <c r="B3143" s="38">
        <v>39643</v>
      </c>
      <c r="C3143" s="3">
        <v>0</v>
      </c>
      <c r="D3143" s="3">
        <v>0</v>
      </c>
      <c r="E3143" s="3">
        <f>C3143 - D3143</f>
        <v>0</v>
      </c>
    </row>
    <row r="3144" spans="2:5" x14ac:dyDescent="0.35">
      <c r="B3144" s="38">
        <v>39644</v>
      </c>
      <c r="C3144" s="3">
        <v>0</v>
      </c>
      <c r="D3144" s="3">
        <v>0</v>
      </c>
      <c r="E3144" s="3">
        <f>C3144 - D3144</f>
        <v>0</v>
      </c>
    </row>
    <row r="3145" spans="2:5" x14ac:dyDescent="0.35">
      <c r="B3145" s="38">
        <v>39645</v>
      </c>
      <c r="C3145" s="3">
        <v>0</v>
      </c>
      <c r="D3145" s="3">
        <v>0</v>
      </c>
      <c r="E3145" s="3">
        <f>C3145 - D3145</f>
        <v>0</v>
      </c>
    </row>
    <row r="3146" spans="2:5" x14ac:dyDescent="0.35">
      <c r="B3146" s="38">
        <v>39646</v>
      </c>
      <c r="C3146" s="3">
        <v>0</v>
      </c>
      <c r="D3146" s="3">
        <v>0</v>
      </c>
      <c r="E3146" s="3">
        <f>C3146 - D3146</f>
        <v>0</v>
      </c>
    </row>
    <row r="3147" spans="2:5" x14ac:dyDescent="0.35">
      <c r="B3147" s="38">
        <v>39647</v>
      </c>
      <c r="C3147" s="3">
        <v>1</v>
      </c>
      <c r="D3147" s="3">
        <v>0</v>
      </c>
      <c r="E3147" s="3">
        <f>C3147 - D3147</f>
        <v>1</v>
      </c>
    </row>
    <row r="3148" spans="2:5" x14ac:dyDescent="0.35">
      <c r="B3148" s="38">
        <v>39648</v>
      </c>
      <c r="C3148" s="3">
        <v>1</v>
      </c>
      <c r="D3148" s="3">
        <v>1</v>
      </c>
      <c r="E3148" s="3">
        <f>C3148 - D3148</f>
        <v>0</v>
      </c>
    </row>
    <row r="3149" spans="2:5" x14ac:dyDescent="0.35">
      <c r="B3149" s="38">
        <v>39649</v>
      </c>
      <c r="C3149" s="3">
        <v>1</v>
      </c>
      <c r="D3149" s="3">
        <v>1</v>
      </c>
      <c r="E3149" s="3">
        <f>C3149 - D3149</f>
        <v>0</v>
      </c>
    </row>
    <row r="3150" spans="2:5" x14ac:dyDescent="0.35">
      <c r="B3150" s="38">
        <v>39650</v>
      </c>
      <c r="C3150" s="3">
        <v>1</v>
      </c>
      <c r="D3150" s="3">
        <v>1</v>
      </c>
      <c r="E3150" s="3">
        <f>C3150 - D3150</f>
        <v>0</v>
      </c>
    </row>
    <row r="3151" spans="2:5" x14ac:dyDescent="0.35">
      <c r="B3151" s="38">
        <v>39651</v>
      </c>
      <c r="C3151" s="3">
        <v>1</v>
      </c>
      <c r="D3151" s="3">
        <v>1</v>
      </c>
      <c r="E3151" s="3">
        <f>C3151 - D3151</f>
        <v>0</v>
      </c>
    </row>
    <row r="3152" spans="2:5" x14ac:dyDescent="0.35">
      <c r="B3152" s="38">
        <v>39652</v>
      </c>
      <c r="C3152" s="3">
        <v>1</v>
      </c>
      <c r="D3152" s="3">
        <v>1</v>
      </c>
      <c r="E3152" s="3">
        <f>C3152 - D3152</f>
        <v>0</v>
      </c>
    </row>
    <row r="3153" spans="2:5" x14ac:dyDescent="0.35">
      <c r="B3153" s="38">
        <v>39653</v>
      </c>
      <c r="C3153" s="3">
        <v>0</v>
      </c>
      <c r="D3153" s="3">
        <v>1</v>
      </c>
      <c r="E3153" s="3">
        <f>C3153 - D3153</f>
        <v>-1</v>
      </c>
    </row>
    <row r="3154" spans="2:5" x14ac:dyDescent="0.35">
      <c r="B3154" s="38">
        <v>39654</v>
      </c>
      <c r="C3154" s="3">
        <v>0</v>
      </c>
      <c r="D3154" s="3">
        <v>0</v>
      </c>
      <c r="E3154" s="3">
        <f>C3154 - D3154</f>
        <v>0</v>
      </c>
    </row>
    <row r="3155" spans="2:5" x14ac:dyDescent="0.35">
      <c r="B3155" s="38">
        <v>39655</v>
      </c>
      <c r="C3155" s="3">
        <v>0</v>
      </c>
      <c r="D3155" s="3">
        <v>0</v>
      </c>
      <c r="E3155" s="3">
        <f>C3155 - D3155</f>
        <v>0</v>
      </c>
    </row>
    <row r="3156" spans="2:5" x14ac:dyDescent="0.35">
      <c r="B3156" s="38">
        <v>39656</v>
      </c>
      <c r="C3156" s="3">
        <v>1</v>
      </c>
      <c r="D3156" s="3">
        <v>0</v>
      </c>
      <c r="E3156" s="3">
        <f>C3156 - D3156</f>
        <v>1</v>
      </c>
    </row>
    <row r="3157" spans="2:5" x14ac:dyDescent="0.35">
      <c r="B3157" s="38">
        <v>39657</v>
      </c>
      <c r="C3157" s="3">
        <v>1</v>
      </c>
      <c r="D3157" s="3">
        <v>1</v>
      </c>
      <c r="E3157" s="3">
        <f>C3157 - D3157</f>
        <v>0</v>
      </c>
    </row>
    <row r="3158" spans="2:5" x14ac:dyDescent="0.35">
      <c r="B3158" s="38">
        <v>39658</v>
      </c>
      <c r="C3158" s="3">
        <v>0</v>
      </c>
      <c r="D3158" s="3">
        <v>1</v>
      </c>
      <c r="E3158" s="3">
        <f>C3158 - D3158</f>
        <v>-1</v>
      </c>
    </row>
    <row r="3159" spans="2:5" x14ac:dyDescent="0.35">
      <c r="B3159" s="38">
        <v>39659</v>
      </c>
      <c r="C3159" s="3">
        <v>0</v>
      </c>
      <c r="D3159" s="3">
        <v>0</v>
      </c>
      <c r="E3159" s="3">
        <f>C3159 - D3159</f>
        <v>0</v>
      </c>
    </row>
    <row r="3160" spans="2:5" x14ac:dyDescent="0.35">
      <c r="B3160" s="38">
        <v>39660</v>
      </c>
      <c r="C3160" s="3">
        <v>1</v>
      </c>
      <c r="D3160" s="3">
        <v>0</v>
      </c>
      <c r="E3160" s="3">
        <f>C3160 - D3160</f>
        <v>1</v>
      </c>
    </row>
    <row r="3161" spans="2:5" x14ac:dyDescent="0.35">
      <c r="B3161" s="38">
        <v>39661</v>
      </c>
      <c r="C3161" s="3">
        <v>1</v>
      </c>
      <c r="D3161" s="3">
        <v>1</v>
      </c>
      <c r="E3161" s="3">
        <f>C3161 - D3161</f>
        <v>0</v>
      </c>
    </row>
    <row r="3162" spans="2:5" x14ac:dyDescent="0.35">
      <c r="B3162" s="38">
        <v>39662</v>
      </c>
      <c r="C3162" s="3">
        <v>1</v>
      </c>
      <c r="D3162" s="3">
        <v>1</v>
      </c>
      <c r="E3162" s="3">
        <f>C3162 - D3162</f>
        <v>0</v>
      </c>
    </row>
    <row r="3163" spans="2:5" x14ac:dyDescent="0.35">
      <c r="B3163" s="38">
        <v>39663</v>
      </c>
      <c r="C3163" s="3">
        <v>0</v>
      </c>
      <c r="D3163" s="3">
        <v>1</v>
      </c>
      <c r="E3163" s="3">
        <f>C3163 - D3163</f>
        <v>-1</v>
      </c>
    </row>
    <row r="3164" spans="2:5" x14ac:dyDescent="0.35">
      <c r="B3164" s="38">
        <v>39664</v>
      </c>
      <c r="C3164" s="3">
        <v>1</v>
      </c>
      <c r="D3164" s="3">
        <v>0</v>
      </c>
      <c r="E3164" s="3">
        <f>C3164 - D3164</f>
        <v>1</v>
      </c>
    </row>
    <row r="3165" spans="2:5" x14ac:dyDescent="0.35">
      <c r="B3165" s="38">
        <v>39665</v>
      </c>
      <c r="C3165" s="3">
        <v>1</v>
      </c>
      <c r="D3165" s="3">
        <v>1</v>
      </c>
      <c r="E3165" s="3">
        <f>C3165 - D3165</f>
        <v>0</v>
      </c>
    </row>
    <row r="3166" spans="2:5" x14ac:dyDescent="0.35">
      <c r="B3166" s="38">
        <v>39666</v>
      </c>
      <c r="C3166" s="3">
        <v>0</v>
      </c>
      <c r="D3166" s="3">
        <v>1</v>
      </c>
      <c r="E3166" s="3">
        <f>C3166 - D3166</f>
        <v>-1</v>
      </c>
    </row>
    <row r="3167" spans="2:5" x14ac:dyDescent="0.35">
      <c r="B3167" s="38">
        <v>39667</v>
      </c>
      <c r="C3167" s="3">
        <v>0</v>
      </c>
      <c r="D3167" s="3">
        <v>0</v>
      </c>
      <c r="E3167" s="3">
        <f>C3167 - D3167</f>
        <v>0</v>
      </c>
    </row>
    <row r="3168" spans="2:5" x14ac:dyDescent="0.35">
      <c r="B3168" s="38">
        <v>39668</v>
      </c>
      <c r="C3168" s="3">
        <v>1</v>
      </c>
      <c r="D3168" s="3">
        <v>0</v>
      </c>
      <c r="E3168" s="3">
        <f>C3168 - D3168</f>
        <v>1</v>
      </c>
    </row>
    <row r="3169" spans="2:5" x14ac:dyDescent="0.35">
      <c r="B3169" s="38">
        <v>39669</v>
      </c>
      <c r="C3169" s="3">
        <v>1</v>
      </c>
      <c r="D3169" s="3">
        <v>1</v>
      </c>
      <c r="E3169" s="3">
        <f>C3169 - D3169</f>
        <v>0</v>
      </c>
    </row>
    <row r="3170" spans="2:5" x14ac:dyDescent="0.35">
      <c r="B3170" s="38">
        <v>39670</v>
      </c>
      <c r="C3170" s="3">
        <v>1</v>
      </c>
      <c r="D3170" s="3">
        <v>1</v>
      </c>
      <c r="E3170" s="3">
        <f>C3170 - D3170</f>
        <v>0</v>
      </c>
    </row>
    <row r="3171" spans="2:5" x14ac:dyDescent="0.35">
      <c r="B3171" s="38">
        <v>39671</v>
      </c>
      <c r="C3171" s="3">
        <v>1</v>
      </c>
      <c r="D3171" s="3">
        <v>1</v>
      </c>
      <c r="E3171" s="3">
        <f>C3171 - D3171</f>
        <v>0</v>
      </c>
    </row>
    <row r="3172" spans="2:5" x14ac:dyDescent="0.35">
      <c r="B3172" s="38">
        <v>39672</v>
      </c>
      <c r="C3172" s="3">
        <v>1</v>
      </c>
      <c r="D3172" s="3">
        <v>1</v>
      </c>
      <c r="E3172" s="3">
        <f>C3172 - D3172</f>
        <v>0</v>
      </c>
    </row>
    <row r="3173" spans="2:5" x14ac:dyDescent="0.35">
      <c r="B3173" s="38">
        <v>39673</v>
      </c>
      <c r="C3173" s="3">
        <v>1</v>
      </c>
      <c r="D3173" s="3">
        <v>1</v>
      </c>
      <c r="E3173" s="3">
        <f>C3173 - D3173</f>
        <v>0</v>
      </c>
    </row>
    <row r="3174" spans="2:5" x14ac:dyDescent="0.35">
      <c r="B3174" s="38">
        <v>39674</v>
      </c>
      <c r="C3174" s="3">
        <v>1</v>
      </c>
      <c r="D3174" s="3">
        <v>1</v>
      </c>
      <c r="E3174" s="3">
        <f>C3174 - D3174</f>
        <v>0</v>
      </c>
    </row>
    <row r="3175" spans="2:5" x14ac:dyDescent="0.35">
      <c r="B3175" s="38">
        <v>39675</v>
      </c>
      <c r="C3175" s="3">
        <v>1</v>
      </c>
      <c r="D3175" s="3">
        <v>1</v>
      </c>
      <c r="E3175" s="3">
        <f>C3175 - D3175</f>
        <v>0</v>
      </c>
    </row>
    <row r="3176" spans="2:5" x14ac:dyDescent="0.35">
      <c r="B3176" s="38">
        <v>39676</v>
      </c>
      <c r="C3176" s="3">
        <v>1</v>
      </c>
      <c r="D3176" s="3">
        <v>1</v>
      </c>
      <c r="E3176" s="3">
        <f>C3176 - D3176</f>
        <v>0</v>
      </c>
    </row>
    <row r="3177" spans="2:5" x14ac:dyDescent="0.35">
      <c r="B3177" s="38">
        <v>39677</v>
      </c>
      <c r="C3177" s="3">
        <v>1</v>
      </c>
      <c r="D3177" s="3">
        <v>1</v>
      </c>
      <c r="E3177" s="3">
        <f>C3177 - D3177</f>
        <v>0</v>
      </c>
    </row>
    <row r="3178" spans="2:5" x14ac:dyDescent="0.35">
      <c r="B3178" s="38">
        <v>39678</v>
      </c>
      <c r="C3178" s="3">
        <v>1</v>
      </c>
      <c r="D3178" s="3">
        <v>1</v>
      </c>
      <c r="E3178" s="3">
        <f>C3178 - D3178</f>
        <v>0</v>
      </c>
    </row>
    <row r="3179" spans="2:5" x14ac:dyDescent="0.35">
      <c r="B3179" s="38">
        <v>39679</v>
      </c>
      <c r="C3179" s="3">
        <v>0</v>
      </c>
      <c r="D3179" s="3">
        <v>1</v>
      </c>
      <c r="E3179" s="3">
        <f>C3179 - D3179</f>
        <v>-1</v>
      </c>
    </row>
    <row r="3180" spans="2:5" x14ac:dyDescent="0.35">
      <c r="B3180" s="38">
        <v>39680</v>
      </c>
      <c r="C3180" s="3">
        <v>0</v>
      </c>
      <c r="D3180" s="3">
        <v>0</v>
      </c>
      <c r="E3180" s="3">
        <f>C3180 - D3180</f>
        <v>0</v>
      </c>
    </row>
    <row r="3181" spans="2:5" x14ac:dyDescent="0.35">
      <c r="B3181" s="38">
        <v>39681</v>
      </c>
      <c r="C3181" s="3">
        <v>0</v>
      </c>
      <c r="D3181" s="3">
        <v>0</v>
      </c>
      <c r="E3181" s="3">
        <f>C3181 - D3181</f>
        <v>0</v>
      </c>
    </row>
    <row r="3182" spans="2:5" x14ac:dyDescent="0.35">
      <c r="B3182" s="38">
        <v>39682</v>
      </c>
      <c r="C3182" s="3">
        <v>1</v>
      </c>
      <c r="D3182" s="3">
        <v>0</v>
      </c>
      <c r="E3182" s="3">
        <f>C3182 - D3182</f>
        <v>1</v>
      </c>
    </row>
    <row r="3183" spans="2:5" x14ac:dyDescent="0.35">
      <c r="B3183" s="38">
        <v>39683</v>
      </c>
      <c r="C3183" s="3">
        <v>1</v>
      </c>
      <c r="D3183" s="3">
        <v>1</v>
      </c>
      <c r="E3183" s="3">
        <f>C3183 - D3183</f>
        <v>0</v>
      </c>
    </row>
    <row r="3184" spans="2:5" x14ac:dyDescent="0.35">
      <c r="B3184" s="38">
        <v>39684</v>
      </c>
      <c r="C3184" s="3">
        <v>1</v>
      </c>
      <c r="D3184" s="3">
        <v>1</v>
      </c>
      <c r="E3184" s="3">
        <f>C3184 - D3184</f>
        <v>0</v>
      </c>
    </row>
    <row r="3185" spans="2:5" x14ac:dyDescent="0.35">
      <c r="B3185" s="38">
        <v>39685</v>
      </c>
      <c r="C3185" s="3">
        <v>0</v>
      </c>
      <c r="D3185" s="3">
        <v>1</v>
      </c>
      <c r="E3185" s="3">
        <f>C3185 - D3185</f>
        <v>-1</v>
      </c>
    </row>
    <row r="3186" spans="2:5" x14ac:dyDescent="0.35">
      <c r="B3186" s="38">
        <v>39686</v>
      </c>
      <c r="C3186" s="3">
        <v>0</v>
      </c>
      <c r="D3186" s="3">
        <v>0</v>
      </c>
      <c r="E3186" s="3">
        <f>C3186 - D3186</f>
        <v>0</v>
      </c>
    </row>
    <row r="3187" spans="2:5" x14ac:dyDescent="0.35">
      <c r="B3187" s="38">
        <v>39687</v>
      </c>
      <c r="C3187" s="3">
        <v>0</v>
      </c>
      <c r="D3187" s="3">
        <v>0</v>
      </c>
      <c r="E3187" s="3">
        <f>C3187 - D3187</f>
        <v>0</v>
      </c>
    </row>
    <row r="3188" spans="2:5" x14ac:dyDescent="0.35">
      <c r="B3188" s="38">
        <v>39688</v>
      </c>
      <c r="C3188" s="3">
        <v>0</v>
      </c>
      <c r="D3188" s="3">
        <v>0</v>
      </c>
      <c r="E3188" s="3">
        <f>C3188 - D3188</f>
        <v>0</v>
      </c>
    </row>
    <row r="3189" spans="2:5" x14ac:dyDescent="0.35">
      <c r="B3189" s="38">
        <v>39689</v>
      </c>
      <c r="C3189" s="3">
        <v>1</v>
      </c>
      <c r="D3189" s="3">
        <v>0</v>
      </c>
      <c r="E3189" s="3">
        <f>C3189 - D3189</f>
        <v>1</v>
      </c>
    </row>
    <row r="3190" spans="2:5" x14ac:dyDescent="0.35">
      <c r="B3190" s="38">
        <v>39690</v>
      </c>
      <c r="C3190" s="3">
        <v>0</v>
      </c>
      <c r="D3190" s="3">
        <v>1</v>
      </c>
      <c r="E3190" s="3">
        <f>C3190 - D3190</f>
        <v>-1</v>
      </c>
    </row>
    <row r="3191" spans="2:5" x14ac:dyDescent="0.35">
      <c r="B3191" s="38">
        <v>39691</v>
      </c>
      <c r="C3191" s="3">
        <v>1</v>
      </c>
      <c r="D3191" s="3">
        <v>0</v>
      </c>
      <c r="E3191" s="3">
        <f>C3191 - D3191</f>
        <v>1</v>
      </c>
    </row>
    <row r="3192" spans="2:5" x14ac:dyDescent="0.35">
      <c r="B3192" s="38">
        <v>39692</v>
      </c>
      <c r="C3192" s="3">
        <v>1</v>
      </c>
      <c r="D3192" s="3">
        <v>1</v>
      </c>
      <c r="E3192" s="3">
        <f>C3192 - D3192</f>
        <v>0</v>
      </c>
    </row>
    <row r="3193" spans="2:5" x14ac:dyDescent="0.35">
      <c r="B3193" s="38">
        <v>39693</v>
      </c>
      <c r="C3193" s="3">
        <v>1</v>
      </c>
      <c r="D3193" s="3">
        <v>1</v>
      </c>
      <c r="E3193" s="3">
        <f>C3193 - D3193</f>
        <v>0</v>
      </c>
    </row>
    <row r="3194" spans="2:5" x14ac:dyDescent="0.35">
      <c r="B3194" s="38">
        <v>39694</v>
      </c>
      <c r="C3194" s="3">
        <v>1</v>
      </c>
      <c r="D3194" s="3">
        <v>1</v>
      </c>
      <c r="E3194" s="3">
        <f>C3194 - D3194</f>
        <v>0</v>
      </c>
    </row>
    <row r="3195" spans="2:5" x14ac:dyDescent="0.35">
      <c r="B3195" s="38">
        <v>39695</v>
      </c>
      <c r="C3195" s="3">
        <v>0</v>
      </c>
      <c r="D3195" s="3">
        <v>1</v>
      </c>
      <c r="E3195" s="3">
        <f>C3195 - D3195</f>
        <v>-1</v>
      </c>
    </row>
    <row r="3196" spans="2:5" x14ac:dyDescent="0.35">
      <c r="B3196" s="38">
        <v>39696</v>
      </c>
      <c r="C3196" s="3">
        <v>0</v>
      </c>
      <c r="D3196" s="3">
        <v>0</v>
      </c>
      <c r="E3196" s="3">
        <f>C3196 - D3196</f>
        <v>0</v>
      </c>
    </row>
    <row r="3197" spans="2:5" x14ac:dyDescent="0.35">
      <c r="B3197" s="38">
        <v>39697</v>
      </c>
      <c r="C3197" s="3">
        <v>0</v>
      </c>
      <c r="D3197" s="3">
        <v>0</v>
      </c>
      <c r="E3197" s="3">
        <f>C3197 - D3197</f>
        <v>0</v>
      </c>
    </row>
    <row r="3198" spans="2:5" x14ac:dyDescent="0.35">
      <c r="B3198" s="38">
        <v>39698</v>
      </c>
      <c r="C3198" s="3">
        <v>0</v>
      </c>
      <c r="D3198" s="3">
        <v>0</v>
      </c>
      <c r="E3198" s="3">
        <f>C3198 - D3198</f>
        <v>0</v>
      </c>
    </row>
    <row r="3199" spans="2:5" x14ac:dyDescent="0.35">
      <c r="B3199" s="38">
        <v>39699</v>
      </c>
      <c r="C3199" s="3">
        <v>1</v>
      </c>
      <c r="D3199" s="3">
        <v>0</v>
      </c>
      <c r="E3199" s="3">
        <f>C3199 - D3199</f>
        <v>1</v>
      </c>
    </row>
    <row r="3200" spans="2:5" x14ac:dyDescent="0.35">
      <c r="B3200" s="38">
        <v>39700</v>
      </c>
      <c r="C3200" s="3">
        <v>1</v>
      </c>
      <c r="D3200" s="3">
        <v>1</v>
      </c>
      <c r="E3200" s="3">
        <f>C3200 - D3200</f>
        <v>0</v>
      </c>
    </row>
    <row r="3201" spans="2:5" x14ac:dyDescent="0.35">
      <c r="B3201" s="38">
        <v>39701</v>
      </c>
      <c r="C3201" s="3">
        <v>0</v>
      </c>
      <c r="D3201" s="3">
        <v>1</v>
      </c>
      <c r="E3201" s="3">
        <f>C3201 - D3201</f>
        <v>-1</v>
      </c>
    </row>
    <row r="3202" spans="2:5" x14ac:dyDescent="0.35">
      <c r="B3202" s="38">
        <v>39702</v>
      </c>
      <c r="C3202" s="3">
        <v>0</v>
      </c>
      <c r="D3202" s="3">
        <v>0</v>
      </c>
      <c r="E3202" s="3">
        <f>C3202 - D3202</f>
        <v>0</v>
      </c>
    </row>
    <row r="3203" spans="2:5" x14ac:dyDescent="0.35">
      <c r="B3203" s="38">
        <v>39703</v>
      </c>
      <c r="C3203" s="3">
        <v>0</v>
      </c>
      <c r="D3203" s="3">
        <v>0</v>
      </c>
      <c r="E3203" s="3">
        <f>C3203 - D3203</f>
        <v>0</v>
      </c>
    </row>
    <row r="3204" spans="2:5" x14ac:dyDescent="0.35">
      <c r="B3204" s="38">
        <v>39704</v>
      </c>
      <c r="C3204" s="3">
        <v>0</v>
      </c>
      <c r="D3204" s="3">
        <v>0</v>
      </c>
      <c r="E3204" s="3">
        <f>C3204 - D3204</f>
        <v>0</v>
      </c>
    </row>
    <row r="3205" spans="2:5" x14ac:dyDescent="0.35">
      <c r="B3205" s="38">
        <v>39705</v>
      </c>
      <c r="C3205" s="3">
        <v>0</v>
      </c>
      <c r="D3205" s="3">
        <v>0</v>
      </c>
      <c r="E3205" s="3">
        <f>C3205 - D3205</f>
        <v>0</v>
      </c>
    </row>
    <row r="3206" spans="2:5" x14ac:dyDescent="0.35">
      <c r="B3206" s="38">
        <v>39706</v>
      </c>
      <c r="C3206" s="3">
        <v>0</v>
      </c>
      <c r="D3206" s="3">
        <v>0</v>
      </c>
      <c r="E3206" s="3">
        <f>C3206 - D3206</f>
        <v>0</v>
      </c>
    </row>
    <row r="3207" spans="2:5" x14ac:dyDescent="0.35">
      <c r="B3207" s="38">
        <v>39707</v>
      </c>
      <c r="C3207" s="3">
        <v>1</v>
      </c>
      <c r="D3207" s="3">
        <v>0</v>
      </c>
      <c r="E3207" s="3">
        <f>C3207 - D3207</f>
        <v>1</v>
      </c>
    </row>
    <row r="3208" spans="2:5" x14ac:dyDescent="0.35">
      <c r="B3208" s="38">
        <v>39708</v>
      </c>
      <c r="C3208" s="3">
        <v>0</v>
      </c>
      <c r="D3208" s="3">
        <v>1</v>
      </c>
      <c r="E3208" s="3">
        <f>C3208 - D3208</f>
        <v>-1</v>
      </c>
    </row>
    <row r="3209" spans="2:5" x14ac:dyDescent="0.35">
      <c r="B3209" s="38">
        <v>39709</v>
      </c>
      <c r="C3209" s="3">
        <v>0</v>
      </c>
      <c r="D3209" s="3">
        <v>0</v>
      </c>
      <c r="E3209" s="3">
        <f>C3209 - D3209</f>
        <v>0</v>
      </c>
    </row>
    <row r="3210" spans="2:5" x14ac:dyDescent="0.35">
      <c r="B3210" s="38">
        <v>39710</v>
      </c>
      <c r="C3210" s="3">
        <v>0</v>
      </c>
      <c r="D3210" s="3">
        <v>0</v>
      </c>
      <c r="E3210" s="3">
        <f>C3210 - D3210</f>
        <v>0</v>
      </c>
    </row>
    <row r="3211" spans="2:5" x14ac:dyDescent="0.35">
      <c r="B3211" s="38">
        <v>39711</v>
      </c>
      <c r="C3211" s="3">
        <v>1</v>
      </c>
      <c r="D3211" s="3">
        <v>0</v>
      </c>
      <c r="E3211" s="3">
        <f>C3211 - D3211</f>
        <v>1</v>
      </c>
    </row>
    <row r="3212" spans="2:5" x14ac:dyDescent="0.35">
      <c r="B3212" s="38">
        <v>39712</v>
      </c>
      <c r="C3212" s="3">
        <v>1</v>
      </c>
      <c r="D3212" s="3">
        <v>1</v>
      </c>
      <c r="E3212" s="3">
        <f>C3212 - D3212</f>
        <v>0</v>
      </c>
    </row>
    <row r="3213" spans="2:5" x14ac:dyDescent="0.35">
      <c r="B3213" s="38">
        <v>39713</v>
      </c>
      <c r="C3213" s="3">
        <v>0</v>
      </c>
      <c r="D3213" s="3">
        <v>1</v>
      </c>
      <c r="E3213" s="3">
        <f>C3213 - D3213</f>
        <v>-1</v>
      </c>
    </row>
    <row r="3214" spans="2:5" x14ac:dyDescent="0.35">
      <c r="B3214" s="38">
        <v>39714</v>
      </c>
      <c r="C3214" s="3">
        <v>1</v>
      </c>
      <c r="D3214" s="3">
        <v>0</v>
      </c>
      <c r="E3214" s="3">
        <f>C3214 - D3214</f>
        <v>1</v>
      </c>
    </row>
    <row r="3215" spans="2:5" x14ac:dyDescent="0.35">
      <c r="B3215" s="38">
        <v>39715</v>
      </c>
      <c r="C3215" s="3">
        <v>0</v>
      </c>
      <c r="D3215" s="3">
        <v>1</v>
      </c>
      <c r="E3215" s="3">
        <f>C3215 - D3215</f>
        <v>-1</v>
      </c>
    </row>
    <row r="3216" spans="2:5" x14ac:dyDescent="0.35">
      <c r="B3216" s="38">
        <v>39716</v>
      </c>
      <c r="C3216" s="3">
        <v>0</v>
      </c>
      <c r="D3216" s="3">
        <v>0</v>
      </c>
      <c r="E3216" s="3">
        <f>C3216 - D3216</f>
        <v>0</v>
      </c>
    </row>
    <row r="3217" spans="2:5" x14ac:dyDescent="0.35">
      <c r="B3217" s="38">
        <v>39717</v>
      </c>
      <c r="C3217" s="3">
        <v>0</v>
      </c>
      <c r="D3217" s="3">
        <v>0</v>
      </c>
      <c r="E3217" s="3">
        <f>C3217 - D3217</f>
        <v>0</v>
      </c>
    </row>
    <row r="3218" spans="2:5" x14ac:dyDescent="0.35">
      <c r="B3218" s="38">
        <v>39718</v>
      </c>
      <c r="C3218" s="3">
        <v>0</v>
      </c>
      <c r="D3218" s="3">
        <v>0</v>
      </c>
      <c r="E3218" s="3">
        <f>C3218 - D3218</f>
        <v>0</v>
      </c>
    </row>
    <row r="3219" spans="2:5" x14ac:dyDescent="0.35">
      <c r="B3219" s="38">
        <v>39719</v>
      </c>
      <c r="C3219" s="3">
        <v>0</v>
      </c>
      <c r="D3219" s="3">
        <v>0</v>
      </c>
      <c r="E3219" s="3">
        <f>C3219 - D3219</f>
        <v>0</v>
      </c>
    </row>
    <row r="3220" spans="2:5" x14ac:dyDescent="0.35">
      <c r="B3220" s="38">
        <v>39720</v>
      </c>
      <c r="C3220" s="3">
        <v>1</v>
      </c>
      <c r="D3220" s="3">
        <v>0</v>
      </c>
      <c r="E3220" s="3">
        <f>C3220 - D3220</f>
        <v>1</v>
      </c>
    </row>
    <row r="3221" spans="2:5" x14ac:dyDescent="0.35">
      <c r="B3221" s="38">
        <v>39721</v>
      </c>
      <c r="C3221" s="3">
        <v>0</v>
      </c>
      <c r="D3221" s="3">
        <v>1</v>
      </c>
      <c r="E3221" s="3">
        <f>C3221 - D3221</f>
        <v>-1</v>
      </c>
    </row>
    <row r="3222" spans="2:5" x14ac:dyDescent="0.35">
      <c r="B3222" s="38">
        <v>39722</v>
      </c>
      <c r="C3222" s="3">
        <v>0</v>
      </c>
      <c r="D3222" s="3">
        <v>0</v>
      </c>
      <c r="E3222" s="3">
        <f>C3222 - D3222</f>
        <v>0</v>
      </c>
    </row>
    <row r="3223" spans="2:5" x14ac:dyDescent="0.35">
      <c r="B3223" s="38">
        <v>39723</v>
      </c>
      <c r="C3223" s="3">
        <v>0</v>
      </c>
      <c r="D3223" s="3">
        <v>0</v>
      </c>
      <c r="E3223" s="3">
        <f>C3223 - D3223</f>
        <v>0</v>
      </c>
    </row>
    <row r="3224" spans="2:5" x14ac:dyDescent="0.35">
      <c r="B3224" s="38">
        <v>39724</v>
      </c>
      <c r="C3224" s="3">
        <v>0</v>
      </c>
      <c r="D3224" s="3">
        <v>0</v>
      </c>
      <c r="E3224" s="3">
        <f>C3224 - D3224</f>
        <v>0</v>
      </c>
    </row>
    <row r="3225" spans="2:5" x14ac:dyDescent="0.35">
      <c r="B3225" s="38">
        <v>39725</v>
      </c>
      <c r="C3225" s="3">
        <v>1</v>
      </c>
      <c r="D3225" s="3">
        <v>0</v>
      </c>
      <c r="E3225" s="3">
        <f>C3225 - D3225</f>
        <v>1</v>
      </c>
    </row>
    <row r="3226" spans="2:5" x14ac:dyDescent="0.35">
      <c r="B3226" s="38">
        <v>39726</v>
      </c>
      <c r="C3226" s="3">
        <v>0</v>
      </c>
      <c r="D3226" s="3">
        <v>1</v>
      </c>
      <c r="E3226" s="3">
        <f>C3226 - D3226</f>
        <v>-1</v>
      </c>
    </row>
    <row r="3227" spans="2:5" x14ac:dyDescent="0.35">
      <c r="B3227" s="38">
        <v>39727</v>
      </c>
      <c r="C3227" s="3">
        <v>1</v>
      </c>
      <c r="D3227" s="3">
        <v>0</v>
      </c>
      <c r="E3227" s="3">
        <f>C3227 - D3227</f>
        <v>1</v>
      </c>
    </row>
    <row r="3228" spans="2:5" x14ac:dyDescent="0.35">
      <c r="B3228" s="38">
        <v>39728</v>
      </c>
      <c r="C3228" s="3">
        <v>1</v>
      </c>
      <c r="D3228" s="3">
        <v>1</v>
      </c>
      <c r="E3228" s="3">
        <f>C3228 - D3228</f>
        <v>0</v>
      </c>
    </row>
    <row r="3229" spans="2:5" x14ac:dyDescent="0.35">
      <c r="B3229" s="38">
        <v>39729</v>
      </c>
      <c r="C3229" s="3">
        <v>1</v>
      </c>
      <c r="D3229" s="3">
        <v>1</v>
      </c>
      <c r="E3229" s="3">
        <f>C3229 - D3229</f>
        <v>0</v>
      </c>
    </row>
    <row r="3230" spans="2:5" x14ac:dyDescent="0.35">
      <c r="B3230" s="38">
        <v>39730</v>
      </c>
      <c r="C3230" s="3">
        <v>0</v>
      </c>
      <c r="D3230" s="3">
        <v>1</v>
      </c>
      <c r="E3230" s="3">
        <f>C3230 - D3230</f>
        <v>-1</v>
      </c>
    </row>
    <row r="3231" spans="2:5" x14ac:dyDescent="0.35">
      <c r="B3231" s="38">
        <v>39731</v>
      </c>
      <c r="C3231" s="3">
        <v>0</v>
      </c>
      <c r="D3231" s="3">
        <v>0</v>
      </c>
      <c r="E3231" s="3">
        <f>C3231 - D3231</f>
        <v>0</v>
      </c>
    </row>
    <row r="3232" spans="2:5" x14ac:dyDescent="0.35">
      <c r="B3232" s="38">
        <v>39732</v>
      </c>
      <c r="C3232" s="3">
        <v>0</v>
      </c>
      <c r="D3232" s="3">
        <v>0</v>
      </c>
      <c r="E3232" s="3">
        <f>C3232 - D3232</f>
        <v>0</v>
      </c>
    </row>
    <row r="3233" spans="2:5" x14ac:dyDescent="0.35">
      <c r="B3233" s="38">
        <v>39733</v>
      </c>
      <c r="C3233" s="3">
        <v>0</v>
      </c>
      <c r="D3233" s="3">
        <v>0</v>
      </c>
      <c r="E3233" s="3">
        <f>C3233 - D3233</f>
        <v>0</v>
      </c>
    </row>
    <row r="3234" spans="2:5" x14ac:dyDescent="0.35">
      <c r="B3234" s="38">
        <v>39734</v>
      </c>
      <c r="C3234" s="3">
        <v>0</v>
      </c>
      <c r="D3234" s="3">
        <v>0</v>
      </c>
      <c r="E3234" s="3">
        <f>C3234 - D3234</f>
        <v>0</v>
      </c>
    </row>
    <row r="3235" spans="2:5" x14ac:dyDescent="0.35">
      <c r="B3235" s="38">
        <v>39735</v>
      </c>
      <c r="C3235" s="3">
        <v>0</v>
      </c>
      <c r="D3235" s="3">
        <v>0</v>
      </c>
      <c r="E3235" s="3">
        <f>C3235 - D3235</f>
        <v>0</v>
      </c>
    </row>
    <row r="3236" spans="2:5" x14ac:dyDescent="0.35">
      <c r="B3236" s="38">
        <v>39736</v>
      </c>
      <c r="C3236" s="3">
        <v>0</v>
      </c>
      <c r="D3236" s="3">
        <v>0</v>
      </c>
      <c r="E3236" s="3">
        <f>C3236 - D3236</f>
        <v>0</v>
      </c>
    </row>
    <row r="3237" spans="2:5" x14ac:dyDescent="0.35">
      <c r="B3237" s="38">
        <v>39737</v>
      </c>
      <c r="C3237" s="3">
        <v>0</v>
      </c>
      <c r="D3237" s="3">
        <v>0</v>
      </c>
      <c r="E3237" s="3">
        <f>C3237 - D3237</f>
        <v>0</v>
      </c>
    </row>
    <row r="3238" spans="2:5" x14ac:dyDescent="0.35">
      <c r="B3238" s="38">
        <v>39738</v>
      </c>
      <c r="C3238" s="3">
        <v>0</v>
      </c>
      <c r="D3238" s="3">
        <v>0</v>
      </c>
      <c r="E3238" s="3">
        <f>C3238 - D3238</f>
        <v>0</v>
      </c>
    </row>
    <row r="3239" spans="2:5" x14ac:dyDescent="0.35">
      <c r="B3239" s="38">
        <v>39739</v>
      </c>
      <c r="C3239" s="3">
        <v>0</v>
      </c>
      <c r="D3239" s="3">
        <v>0</v>
      </c>
      <c r="E3239" s="3">
        <f>C3239 - D3239</f>
        <v>0</v>
      </c>
    </row>
    <row r="3240" spans="2:5" x14ac:dyDescent="0.35">
      <c r="B3240" s="38">
        <v>39740</v>
      </c>
      <c r="C3240" s="3">
        <v>0</v>
      </c>
      <c r="D3240" s="3">
        <v>0</v>
      </c>
      <c r="E3240" s="3">
        <f>C3240 - D3240</f>
        <v>0</v>
      </c>
    </row>
    <row r="3241" spans="2:5" x14ac:dyDescent="0.35">
      <c r="B3241" s="38">
        <v>39741</v>
      </c>
      <c r="C3241" s="3">
        <v>0</v>
      </c>
      <c r="D3241" s="3">
        <v>0</v>
      </c>
      <c r="E3241" s="3">
        <f>C3241 - D3241</f>
        <v>0</v>
      </c>
    </row>
    <row r="3242" spans="2:5" x14ac:dyDescent="0.35">
      <c r="B3242" s="38">
        <v>39742</v>
      </c>
      <c r="C3242" s="3">
        <v>0</v>
      </c>
      <c r="D3242" s="3">
        <v>0</v>
      </c>
      <c r="E3242" s="3">
        <f>C3242 - D3242</f>
        <v>0</v>
      </c>
    </row>
    <row r="3243" spans="2:5" x14ac:dyDescent="0.35">
      <c r="B3243" s="38">
        <v>39743</v>
      </c>
      <c r="C3243" s="3">
        <v>1</v>
      </c>
      <c r="D3243" s="3">
        <v>0</v>
      </c>
      <c r="E3243" s="3">
        <f>C3243 - D3243</f>
        <v>1</v>
      </c>
    </row>
    <row r="3244" spans="2:5" x14ac:dyDescent="0.35">
      <c r="B3244" s="38">
        <v>39744</v>
      </c>
      <c r="C3244" s="3">
        <v>0</v>
      </c>
      <c r="D3244" s="3">
        <v>1</v>
      </c>
      <c r="E3244" s="3">
        <f>C3244 - D3244</f>
        <v>-1</v>
      </c>
    </row>
    <row r="3245" spans="2:5" x14ac:dyDescent="0.35">
      <c r="B3245" s="38">
        <v>39745</v>
      </c>
      <c r="C3245" s="3">
        <v>0</v>
      </c>
      <c r="D3245" s="3">
        <v>0</v>
      </c>
      <c r="E3245" s="3">
        <f>C3245 - D3245</f>
        <v>0</v>
      </c>
    </row>
    <row r="3246" spans="2:5" x14ac:dyDescent="0.35">
      <c r="B3246" s="38">
        <v>39746</v>
      </c>
      <c r="C3246" s="3">
        <v>0</v>
      </c>
      <c r="D3246" s="3">
        <v>0</v>
      </c>
      <c r="E3246" s="3">
        <f>C3246 - D3246</f>
        <v>0</v>
      </c>
    </row>
    <row r="3247" spans="2:5" x14ac:dyDescent="0.35">
      <c r="B3247" s="38">
        <v>39747</v>
      </c>
      <c r="C3247" s="3">
        <v>0</v>
      </c>
      <c r="D3247" s="3">
        <v>0</v>
      </c>
      <c r="E3247" s="3">
        <f>C3247 - D3247</f>
        <v>0</v>
      </c>
    </row>
    <row r="3248" spans="2:5" x14ac:dyDescent="0.35">
      <c r="B3248" s="38">
        <v>39748</v>
      </c>
      <c r="C3248" s="3">
        <v>0</v>
      </c>
      <c r="D3248" s="3">
        <v>0</v>
      </c>
      <c r="E3248" s="3">
        <f>C3248 - D3248</f>
        <v>0</v>
      </c>
    </row>
    <row r="3249" spans="2:5" x14ac:dyDescent="0.35">
      <c r="B3249" s="38">
        <v>39749</v>
      </c>
      <c r="C3249" s="3">
        <v>1</v>
      </c>
      <c r="D3249" s="3">
        <v>0</v>
      </c>
      <c r="E3249" s="3">
        <f>C3249 - D3249</f>
        <v>1</v>
      </c>
    </row>
    <row r="3250" spans="2:5" x14ac:dyDescent="0.35">
      <c r="B3250" s="38">
        <v>39750</v>
      </c>
      <c r="C3250" s="3">
        <v>0</v>
      </c>
      <c r="D3250" s="3">
        <v>1</v>
      </c>
      <c r="E3250" s="3">
        <f>C3250 - D3250</f>
        <v>-1</v>
      </c>
    </row>
    <row r="3251" spans="2:5" x14ac:dyDescent="0.35">
      <c r="B3251" s="38">
        <v>39751</v>
      </c>
      <c r="C3251" s="3">
        <v>0</v>
      </c>
      <c r="D3251" s="3">
        <v>0</v>
      </c>
      <c r="E3251" s="3">
        <f>C3251 - D3251</f>
        <v>0</v>
      </c>
    </row>
    <row r="3252" spans="2:5" x14ac:dyDescent="0.35">
      <c r="B3252" s="38">
        <v>39752</v>
      </c>
      <c r="C3252" s="3">
        <v>1</v>
      </c>
      <c r="D3252" s="3">
        <v>0</v>
      </c>
      <c r="E3252" s="3">
        <f>C3252 - D3252</f>
        <v>1</v>
      </c>
    </row>
    <row r="3253" spans="2:5" x14ac:dyDescent="0.35">
      <c r="B3253" s="38">
        <v>39753</v>
      </c>
      <c r="C3253" s="3">
        <v>1</v>
      </c>
      <c r="D3253" s="3">
        <v>1</v>
      </c>
      <c r="E3253" s="3">
        <f>C3253 - D3253</f>
        <v>0</v>
      </c>
    </row>
    <row r="3254" spans="2:5" x14ac:dyDescent="0.35">
      <c r="B3254" s="38">
        <v>39754</v>
      </c>
      <c r="C3254" s="3">
        <v>0</v>
      </c>
      <c r="D3254" s="3">
        <v>1</v>
      </c>
      <c r="E3254" s="3">
        <f>C3254 - D3254</f>
        <v>-1</v>
      </c>
    </row>
    <row r="3255" spans="2:5" x14ac:dyDescent="0.35">
      <c r="B3255" s="38">
        <v>39755</v>
      </c>
      <c r="C3255" s="3">
        <v>1</v>
      </c>
      <c r="D3255" s="3">
        <v>0</v>
      </c>
      <c r="E3255" s="3">
        <f>C3255 - D3255</f>
        <v>1</v>
      </c>
    </row>
    <row r="3256" spans="2:5" x14ac:dyDescent="0.35">
      <c r="B3256" s="38">
        <v>39756</v>
      </c>
      <c r="C3256" s="3">
        <v>1</v>
      </c>
      <c r="D3256" s="3">
        <v>1</v>
      </c>
      <c r="E3256" s="3">
        <f>C3256 - D3256</f>
        <v>0</v>
      </c>
    </row>
    <row r="3257" spans="2:5" x14ac:dyDescent="0.35">
      <c r="B3257" s="38">
        <v>39757</v>
      </c>
      <c r="C3257" s="3">
        <v>0</v>
      </c>
      <c r="D3257" s="3">
        <v>1</v>
      </c>
      <c r="E3257" s="3">
        <f>C3257 - D3257</f>
        <v>-1</v>
      </c>
    </row>
    <row r="3258" spans="2:5" x14ac:dyDescent="0.35">
      <c r="B3258" s="38">
        <v>39758</v>
      </c>
      <c r="C3258" s="3">
        <v>0</v>
      </c>
      <c r="D3258" s="3">
        <v>0</v>
      </c>
      <c r="E3258" s="3">
        <f>C3258 - D3258</f>
        <v>0</v>
      </c>
    </row>
    <row r="3259" spans="2:5" x14ac:dyDescent="0.35">
      <c r="B3259" s="38">
        <v>39759</v>
      </c>
      <c r="C3259" s="3">
        <v>0</v>
      </c>
      <c r="D3259" s="3">
        <v>0</v>
      </c>
      <c r="E3259" s="3">
        <f>C3259 - D3259</f>
        <v>0</v>
      </c>
    </row>
    <row r="3260" spans="2:5" x14ac:dyDescent="0.35">
      <c r="B3260" s="38">
        <v>39760</v>
      </c>
      <c r="C3260" s="3">
        <v>1</v>
      </c>
      <c r="D3260" s="3">
        <v>0</v>
      </c>
      <c r="E3260" s="3">
        <f>C3260 - D3260</f>
        <v>1</v>
      </c>
    </row>
    <row r="3261" spans="2:5" x14ac:dyDescent="0.35">
      <c r="B3261" s="38">
        <v>39761</v>
      </c>
      <c r="C3261" s="3">
        <v>0</v>
      </c>
      <c r="D3261" s="3">
        <v>1</v>
      </c>
      <c r="E3261" s="3">
        <f>C3261 - D3261</f>
        <v>-1</v>
      </c>
    </row>
    <row r="3262" spans="2:5" x14ac:dyDescent="0.35">
      <c r="B3262" s="38">
        <v>39762</v>
      </c>
      <c r="C3262" s="3">
        <v>0</v>
      </c>
      <c r="D3262" s="3">
        <v>0</v>
      </c>
      <c r="E3262" s="3">
        <f>C3262 - D3262</f>
        <v>0</v>
      </c>
    </row>
    <row r="3263" spans="2:5" x14ac:dyDescent="0.35">
      <c r="B3263" s="38">
        <v>39763</v>
      </c>
      <c r="C3263" s="3">
        <v>0</v>
      </c>
      <c r="D3263" s="3">
        <v>0</v>
      </c>
      <c r="E3263" s="3">
        <f>C3263 - D3263</f>
        <v>0</v>
      </c>
    </row>
    <row r="3264" spans="2:5" x14ac:dyDescent="0.35">
      <c r="B3264" s="38">
        <v>39764</v>
      </c>
      <c r="C3264" s="3">
        <v>0</v>
      </c>
      <c r="D3264" s="3">
        <v>0</v>
      </c>
      <c r="E3264" s="3">
        <f>C3264 - D3264</f>
        <v>0</v>
      </c>
    </row>
    <row r="3265" spans="2:5" x14ac:dyDescent="0.35">
      <c r="B3265" s="38">
        <v>39765</v>
      </c>
      <c r="C3265" s="3">
        <v>0</v>
      </c>
      <c r="D3265" s="3">
        <v>0</v>
      </c>
      <c r="E3265" s="3">
        <f>C3265 - D3265</f>
        <v>0</v>
      </c>
    </row>
    <row r="3266" spans="2:5" x14ac:dyDescent="0.35">
      <c r="B3266" s="38">
        <v>39766</v>
      </c>
      <c r="C3266" s="3">
        <v>1</v>
      </c>
      <c r="D3266" s="3">
        <v>0</v>
      </c>
      <c r="E3266" s="3">
        <f>C3266 - D3266</f>
        <v>1</v>
      </c>
    </row>
    <row r="3267" spans="2:5" x14ac:dyDescent="0.35">
      <c r="B3267" s="38">
        <v>39767</v>
      </c>
      <c r="C3267" s="3">
        <v>0</v>
      </c>
      <c r="D3267" s="3">
        <v>1</v>
      </c>
      <c r="E3267" s="3">
        <f>C3267 - D3267</f>
        <v>-1</v>
      </c>
    </row>
    <row r="3268" spans="2:5" x14ac:dyDescent="0.35">
      <c r="B3268" s="38">
        <v>39768</v>
      </c>
      <c r="C3268" s="3">
        <v>0</v>
      </c>
      <c r="D3268" s="3">
        <v>0</v>
      </c>
      <c r="E3268" s="3">
        <f>C3268 - D3268</f>
        <v>0</v>
      </c>
    </row>
    <row r="3269" spans="2:5" x14ac:dyDescent="0.35">
      <c r="B3269" s="38">
        <v>39769</v>
      </c>
      <c r="C3269" s="3">
        <v>0</v>
      </c>
      <c r="D3269" s="3">
        <v>0</v>
      </c>
      <c r="E3269" s="3">
        <f>C3269 - D3269</f>
        <v>0</v>
      </c>
    </row>
    <row r="3270" spans="2:5" x14ac:dyDescent="0.35">
      <c r="B3270" s="38">
        <v>39770</v>
      </c>
      <c r="C3270" s="3">
        <v>0</v>
      </c>
      <c r="D3270" s="3">
        <v>0</v>
      </c>
      <c r="E3270" s="3">
        <f>C3270 - D3270</f>
        <v>0</v>
      </c>
    </row>
    <row r="3271" spans="2:5" x14ac:dyDescent="0.35">
      <c r="B3271" s="38">
        <v>39771</v>
      </c>
      <c r="C3271" s="3">
        <v>1</v>
      </c>
      <c r="D3271" s="3">
        <v>0</v>
      </c>
      <c r="E3271" s="3">
        <f>C3271 - D3271</f>
        <v>1</v>
      </c>
    </row>
    <row r="3272" spans="2:5" x14ac:dyDescent="0.35">
      <c r="B3272" s="38">
        <v>39772</v>
      </c>
      <c r="C3272" s="3">
        <v>1</v>
      </c>
      <c r="D3272" s="3">
        <v>1</v>
      </c>
      <c r="E3272" s="3">
        <f>C3272 - D3272</f>
        <v>0</v>
      </c>
    </row>
    <row r="3273" spans="2:5" x14ac:dyDescent="0.35">
      <c r="B3273" s="38">
        <v>39773</v>
      </c>
      <c r="C3273" s="3">
        <v>1</v>
      </c>
      <c r="D3273" s="3">
        <v>1</v>
      </c>
      <c r="E3273" s="3">
        <f>C3273 - D3273</f>
        <v>0</v>
      </c>
    </row>
    <row r="3274" spans="2:5" x14ac:dyDescent="0.35">
      <c r="B3274" s="38">
        <v>39774</v>
      </c>
      <c r="C3274" s="3">
        <v>1</v>
      </c>
      <c r="D3274" s="3">
        <v>1</v>
      </c>
      <c r="E3274" s="3">
        <f>C3274 - D3274</f>
        <v>0</v>
      </c>
    </row>
    <row r="3275" spans="2:5" x14ac:dyDescent="0.35">
      <c r="B3275" s="38">
        <v>39775</v>
      </c>
      <c r="C3275" s="3">
        <v>1</v>
      </c>
      <c r="D3275" s="3">
        <v>1</v>
      </c>
      <c r="E3275" s="3">
        <f>C3275 - D3275</f>
        <v>0</v>
      </c>
    </row>
    <row r="3276" spans="2:5" x14ac:dyDescent="0.35">
      <c r="B3276" s="38">
        <v>39776</v>
      </c>
      <c r="C3276" s="3">
        <v>0</v>
      </c>
      <c r="D3276" s="3">
        <v>1</v>
      </c>
      <c r="E3276" s="3">
        <f>C3276 - D3276</f>
        <v>-1</v>
      </c>
    </row>
    <row r="3277" spans="2:5" x14ac:dyDescent="0.35">
      <c r="B3277" s="38">
        <v>39777</v>
      </c>
      <c r="C3277" s="3">
        <v>0</v>
      </c>
      <c r="D3277" s="3">
        <v>0</v>
      </c>
      <c r="E3277" s="3">
        <f>C3277 - D3277</f>
        <v>0</v>
      </c>
    </row>
    <row r="3278" spans="2:5" x14ac:dyDescent="0.35">
      <c r="B3278" s="38">
        <v>39778</v>
      </c>
      <c r="C3278" s="3">
        <v>0</v>
      </c>
      <c r="D3278" s="3">
        <v>0</v>
      </c>
      <c r="E3278" s="3">
        <f>C3278 - D3278</f>
        <v>0</v>
      </c>
    </row>
    <row r="3279" spans="2:5" x14ac:dyDescent="0.35">
      <c r="B3279" s="38">
        <v>39779</v>
      </c>
      <c r="C3279" s="3">
        <v>0</v>
      </c>
      <c r="D3279" s="3">
        <v>0</v>
      </c>
      <c r="E3279" s="3">
        <f>C3279 - D3279</f>
        <v>0</v>
      </c>
    </row>
    <row r="3280" spans="2:5" x14ac:dyDescent="0.35">
      <c r="B3280" s="38">
        <v>39780</v>
      </c>
      <c r="C3280" s="3">
        <v>1</v>
      </c>
      <c r="D3280" s="3">
        <v>0</v>
      </c>
      <c r="E3280" s="3">
        <f>C3280 - D3280</f>
        <v>1</v>
      </c>
    </row>
    <row r="3281" spans="2:5" x14ac:dyDescent="0.35">
      <c r="B3281" s="38">
        <v>39781</v>
      </c>
      <c r="C3281" s="3">
        <v>1</v>
      </c>
      <c r="D3281" s="3">
        <v>1</v>
      </c>
      <c r="E3281" s="3">
        <f>C3281 - D3281</f>
        <v>0</v>
      </c>
    </row>
    <row r="3282" spans="2:5" x14ac:dyDescent="0.35">
      <c r="B3282" s="38">
        <v>39782</v>
      </c>
      <c r="C3282" s="3">
        <v>0</v>
      </c>
      <c r="D3282" s="3">
        <v>1</v>
      </c>
      <c r="E3282" s="3">
        <f>C3282 - D3282</f>
        <v>-1</v>
      </c>
    </row>
    <row r="3283" spans="2:5" x14ac:dyDescent="0.35">
      <c r="B3283" s="38">
        <v>39783</v>
      </c>
      <c r="C3283" s="3">
        <v>1</v>
      </c>
      <c r="D3283" s="3">
        <v>0</v>
      </c>
      <c r="E3283" s="3">
        <f>C3283 - D3283</f>
        <v>1</v>
      </c>
    </row>
    <row r="3284" spans="2:5" x14ac:dyDescent="0.35">
      <c r="B3284" s="38">
        <v>39784</v>
      </c>
      <c r="C3284" s="3">
        <v>0</v>
      </c>
      <c r="D3284" s="3">
        <v>1</v>
      </c>
      <c r="E3284" s="3">
        <f>C3284 - D3284</f>
        <v>-1</v>
      </c>
    </row>
    <row r="3285" spans="2:5" x14ac:dyDescent="0.35">
      <c r="B3285" s="38">
        <v>39785</v>
      </c>
      <c r="C3285" s="3">
        <v>0</v>
      </c>
      <c r="D3285" s="3">
        <v>0</v>
      </c>
      <c r="E3285" s="3">
        <f>C3285 - D3285</f>
        <v>0</v>
      </c>
    </row>
    <row r="3286" spans="2:5" x14ac:dyDescent="0.35">
      <c r="B3286" s="38">
        <v>39786</v>
      </c>
      <c r="C3286" s="3">
        <v>0</v>
      </c>
      <c r="D3286" s="3">
        <v>0</v>
      </c>
      <c r="E3286" s="3">
        <f>C3286 - D3286</f>
        <v>0</v>
      </c>
    </row>
    <row r="3287" spans="2:5" x14ac:dyDescent="0.35">
      <c r="B3287" s="38">
        <v>39787</v>
      </c>
      <c r="C3287" s="3">
        <v>1</v>
      </c>
      <c r="D3287" s="3">
        <v>0</v>
      </c>
      <c r="E3287" s="3">
        <f>C3287 - D3287</f>
        <v>1</v>
      </c>
    </row>
    <row r="3288" spans="2:5" x14ac:dyDescent="0.35">
      <c r="B3288" s="38">
        <v>39788</v>
      </c>
      <c r="C3288" s="3">
        <v>0</v>
      </c>
      <c r="D3288" s="3">
        <v>1</v>
      </c>
      <c r="E3288" s="3">
        <f>C3288 - D3288</f>
        <v>-1</v>
      </c>
    </row>
    <row r="3289" spans="2:5" x14ac:dyDescent="0.35">
      <c r="B3289" s="38">
        <v>39789</v>
      </c>
      <c r="C3289" s="3">
        <v>1</v>
      </c>
      <c r="D3289" s="3">
        <v>0</v>
      </c>
      <c r="E3289" s="3">
        <f>C3289 - D3289</f>
        <v>1</v>
      </c>
    </row>
    <row r="3290" spans="2:5" x14ac:dyDescent="0.35">
      <c r="B3290" s="38">
        <v>39790</v>
      </c>
      <c r="C3290" s="3">
        <v>0</v>
      </c>
      <c r="D3290" s="3">
        <v>1</v>
      </c>
      <c r="E3290" s="3">
        <f>C3290 - D3290</f>
        <v>-1</v>
      </c>
    </row>
    <row r="3291" spans="2:5" x14ac:dyDescent="0.35">
      <c r="B3291" s="38">
        <v>39791</v>
      </c>
      <c r="C3291" s="3">
        <v>0</v>
      </c>
      <c r="D3291" s="3">
        <v>0</v>
      </c>
      <c r="E3291" s="3">
        <f>C3291 - D3291</f>
        <v>0</v>
      </c>
    </row>
    <row r="3292" spans="2:5" x14ac:dyDescent="0.35">
      <c r="B3292" s="38">
        <v>39792</v>
      </c>
      <c r="C3292" s="3">
        <v>1</v>
      </c>
      <c r="D3292" s="3">
        <v>0</v>
      </c>
      <c r="E3292" s="3">
        <f>C3292 - D3292</f>
        <v>1</v>
      </c>
    </row>
    <row r="3293" spans="2:5" x14ac:dyDescent="0.35">
      <c r="B3293" s="38">
        <v>39793</v>
      </c>
      <c r="C3293" s="3">
        <v>0</v>
      </c>
      <c r="D3293" s="3">
        <v>1</v>
      </c>
      <c r="E3293" s="3">
        <f>C3293 - D3293</f>
        <v>-1</v>
      </c>
    </row>
    <row r="3294" spans="2:5" x14ac:dyDescent="0.35">
      <c r="B3294" s="38">
        <v>39794</v>
      </c>
      <c r="C3294" s="3">
        <v>0</v>
      </c>
      <c r="D3294" s="3">
        <v>0</v>
      </c>
      <c r="E3294" s="3">
        <f>C3294 - D3294</f>
        <v>0</v>
      </c>
    </row>
    <row r="3295" spans="2:5" x14ac:dyDescent="0.35">
      <c r="B3295" s="38">
        <v>39795</v>
      </c>
      <c r="C3295" s="3">
        <v>1</v>
      </c>
      <c r="D3295" s="3">
        <v>0</v>
      </c>
      <c r="E3295" s="3">
        <f>C3295 - D3295</f>
        <v>1</v>
      </c>
    </row>
    <row r="3296" spans="2:5" x14ac:dyDescent="0.35">
      <c r="B3296" s="38">
        <v>39796</v>
      </c>
      <c r="C3296" s="3">
        <v>1</v>
      </c>
      <c r="D3296" s="3">
        <v>1</v>
      </c>
      <c r="E3296" s="3">
        <f>C3296 - D3296</f>
        <v>0</v>
      </c>
    </row>
    <row r="3297" spans="2:5" x14ac:dyDescent="0.35">
      <c r="B3297" s="38">
        <v>39797</v>
      </c>
      <c r="C3297" s="3">
        <v>1</v>
      </c>
      <c r="D3297" s="3">
        <v>1</v>
      </c>
      <c r="E3297" s="3">
        <f>C3297 - D3297</f>
        <v>0</v>
      </c>
    </row>
    <row r="3298" spans="2:5" x14ac:dyDescent="0.35">
      <c r="B3298" s="38">
        <v>39798</v>
      </c>
      <c r="C3298" s="3">
        <v>0</v>
      </c>
      <c r="D3298" s="3">
        <v>1</v>
      </c>
      <c r="E3298" s="3">
        <f>C3298 - D3298</f>
        <v>-1</v>
      </c>
    </row>
    <row r="3299" spans="2:5" x14ac:dyDescent="0.35">
      <c r="B3299" s="38">
        <v>39799</v>
      </c>
      <c r="C3299" s="3">
        <v>1</v>
      </c>
      <c r="D3299" s="3">
        <v>0</v>
      </c>
      <c r="E3299" s="3">
        <f>C3299 - D3299</f>
        <v>1</v>
      </c>
    </row>
    <row r="3300" spans="2:5" x14ac:dyDescent="0.35">
      <c r="B3300" s="38">
        <v>39800</v>
      </c>
      <c r="C3300" s="3">
        <v>1</v>
      </c>
      <c r="D3300" s="3">
        <v>1</v>
      </c>
      <c r="E3300" s="3">
        <f>C3300 - D3300</f>
        <v>0</v>
      </c>
    </row>
    <row r="3301" spans="2:5" x14ac:dyDescent="0.35">
      <c r="B3301" s="38">
        <v>39801</v>
      </c>
      <c r="C3301" s="3">
        <v>1</v>
      </c>
      <c r="D3301" s="3">
        <v>1</v>
      </c>
      <c r="E3301" s="3">
        <f>C3301 - D3301</f>
        <v>0</v>
      </c>
    </row>
    <row r="3302" spans="2:5" x14ac:dyDescent="0.35">
      <c r="B3302" s="38">
        <v>39802</v>
      </c>
      <c r="C3302" s="3">
        <v>1</v>
      </c>
      <c r="D3302" s="3">
        <v>1</v>
      </c>
      <c r="E3302" s="3">
        <f>C3302 - D3302</f>
        <v>0</v>
      </c>
    </row>
    <row r="3303" spans="2:5" x14ac:dyDescent="0.35">
      <c r="B3303" s="38">
        <v>39803</v>
      </c>
      <c r="C3303" s="3">
        <v>0</v>
      </c>
      <c r="D3303" s="3">
        <v>1</v>
      </c>
      <c r="E3303" s="3">
        <f>C3303 - D3303</f>
        <v>-1</v>
      </c>
    </row>
    <row r="3304" spans="2:5" x14ac:dyDescent="0.35">
      <c r="B3304" s="38">
        <v>39804</v>
      </c>
      <c r="C3304" s="3">
        <v>0</v>
      </c>
      <c r="D3304" s="3">
        <v>0</v>
      </c>
      <c r="E3304" s="3">
        <f>C3304 - D3304</f>
        <v>0</v>
      </c>
    </row>
    <row r="3305" spans="2:5" x14ac:dyDescent="0.35">
      <c r="B3305" s="38">
        <v>39805</v>
      </c>
      <c r="C3305" s="3">
        <v>0</v>
      </c>
      <c r="D3305" s="3">
        <v>0</v>
      </c>
      <c r="E3305" s="3">
        <f>C3305 - D3305</f>
        <v>0</v>
      </c>
    </row>
    <row r="3306" spans="2:5" x14ac:dyDescent="0.35">
      <c r="B3306" s="38">
        <v>39806</v>
      </c>
      <c r="C3306" s="3">
        <v>0</v>
      </c>
      <c r="D3306" s="3">
        <v>0</v>
      </c>
      <c r="E3306" s="3">
        <f>C3306 - D3306</f>
        <v>0</v>
      </c>
    </row>
    <row r="3307" spans="2:5" x14ac:dyDescent="0.35">
      <c r="B3307" s="38">
        <v>39807</v>
      </c>
      <c r="C3307" s="3">
        <v>0</v>
      </c>
      <c r="D3307" s="3">
        <v>0</v>
      </c>
      <c r="E3307" s="3">
        <f>C3307 - D3307</f>
        <v>0</v>
      </c>
    </row>
    <row r="3308" spans="2:5" x14ac:dyDescent="0.35">
      <c r="B3308" s="38">
        <v>39808</v>
      </c>
      <c r="C3308" s="3">
        <v>0</v>
      </c>
      <c r="D3308" s="3">
        <v>0</v>
      </c>
      <c r="E3308" s="3">
        <f>C3308 - D3308</f>
        <v>0</v>
      </c>
    </row>
    <row r="3309" spans="2:5" x14ac:dyDescent="0.35">
      <c r="B3309" s="38">
        <v>39809</v>
      </c>
      <c r="C3309" s="3">
        <v>0</v>
      </c>
      <c r="D3309" s="3">
        <v>0</v>
      </c>
      <c r="E3309" s="3">
        <f>C3309 - D3309</f>
        <v>0</v>
      </c>
    </row>
    <row r="3310" spans="2:5" x14ac:dyDescent="0.35">
      <c r="B3310" s="38">
        <v>39810</v>
      </c>
      <c r="C3310" s="3">
        <v>0</v>
      </c>
      <c r="D3310" s="3">
        <v>0</v>
      </c>
      <c r="E3310" s="3">
        <f>C3310 - D3310</f>
        <v>0</v>
      </c>
    </row>
    <row r="3311" spans="2:5" x14ac:dyDescent="0.35">
      <c r="B3311" s="38">
        <v>39811</v>
      </c>
      <c r="C3311" s="3">
        <v>0</v>
      </c>
      <c r="D3311" s="3">
        <v>0</v>
      </c>
      <c r="E3311" s="3">
        <f>C3311 - D3311</f>
        <v>0</v>
      </c>
    </row>
    <row r="3312" spans="2:5" x14ac:dyDescent="0.35">
      <c r="B3312" s="38">
        <v>39812</v>
      </c>
      <c r="C3312" s="3">
        <v>1</v>
      </c>
      <c r="D3312" s="3">
        <v>0</v>
      </c>
      <c r="E3312" s="3">
        <f>C3312 - D3312</f>
        <v>1</v>
      </c>
    </row>
    <row r="3313" spans="2:5" x14ac:dyDescent="0.35">
      <c r="B3313" s="38">
        <v>39813</v>
      </c>
      <c r="C3313" s="3">
        <v>0</v>
      </c>
      <c r="D3313" s="3">
        <v>1</v>
      </c>
      <c r="E3313" s="3">
        <f>C3313 - D3313</f>
        <v>-1</v>
      </c>
    </row>
    <row r="3314" spans="2:5" x14ac:dyDescent="0.35">
      <c r="B3314" s="38">
        <v>39814</v>
      </c>
      <c r="C3314" s="3">
        <v>0</v>
      </c>
      <c r="D3314" s="3">
        <v>0</v>
      </c>
      <c r="E3314" s="3">
        <f>C3314 - D3314</f>
        <v>0</v>
      </c>
    </row>
    <row r="3315" spans="2:5" x14ac:dyDescent="0.35">
      <c r="B3315" s="38">
        <v>39815</v>
      </c>
      <c r="C3315" s="3">
        <v>1</v>
      </c>
      <c r="D3315" s="3">
        <v>0</v>
      </c>
      <c r="E3315" s="3">
        <f>C3315 - D3315</f>
        <v>1</v>
      </c>
    </row>
    <row r="3316" spans="2:5" x14ac:dyDescent="0.35">
      <c r="B3316" s="38">
        <v>39816</v>
      </c>
      <c r="C3316" s="3">
        <v>1</v>
      </c>
      <c r="D3316" s="3">
        <v>1</v>
      </c>
      <c r="E3316" s="3">
        <f>C3316 - D3316</f>
        <v>0</v>
      </c>
    </row>
    <row r="3317" spans="2:5" x14ac:dyDescent="0.35">
      <c r="B3317" s="38">
        <v>39817</v>
      </c>
      <c r="C3317" s="3">
        <v>0</v>
      </c>
      <c r="D3317" s="3">
        <v>1</v>
      </c>
      <c r="E3317" s="3">
        <f>C3317 - D3317</f>
        <v>-1</v>
      </c>
    </row>
    <row r="3318" spans="2:5" x14ac:dyDescent="0.35">
      <c r="B3318" s="38">
        <v>39818</v>
      </c>
      <c r="C3318" s="3">
        <v>0</v>
      </c>
      <c r="D3318" s="3">
        <v>0</v>
      </c>
      <c r="E3318" s="3">
        <f>C3318 - D3318</f>
        <v>0</v>
      </c>
    </row>
    <row r="3319" spans="2:5" x14ac:dyDescent="0.35">
      <c r="B3319" s="38">
        <v>39819</v>
      </c>
      <c r="C3319" s="3">
        <v>0</v>
      </c>
      <c r="D3319" s="3">
        <v>0</v>
      </c>
      <c r="E3319" s="3">
        <f>C3319 - D3319</f>
        <v>0</v>
      </c>
    </row>
    <row r="3320" spans="2:5" x14ac:dyDescent="0.35">
      <c r="B3320" s="38">
        <v>39820</v>
      </c>
      <c r="C3320" s="3">
        <v>0</v>
      </c>
      <c r="D3320" s="3">
        <v>0</v>
      </c>
      <c r="E3320" s="3">
        <f>C3320 - D3320</f>
        <v>0</v>
      </c>
    </row>
    <row r="3321" spans="2:5" x14ac:dyDescent="0.35">
      <c r="B3321" s="38">
        <v>39821</v>
      </c>
      <c r="C3321" s="3">
        <v>0</v>
      </c>
      <c r="D3321" s="3">
        <v>0</v>
      </c>
      <c r="E3321" s="3">
        <f>C3321 - D3321</f>
        <v>0</v>
      </c>
    </row>
    <row r="3322" spans="2:5" x14ac:dyDescent="0.35">
      <c r="B3322" s="38">
        <v>39822</v>
      </c>
      <c r="C3322" s="3">
        <v>0</v>
      </c>
      <c r="D3322" s="3">
        <v>0</v>
      </c>
      <c r="E3322" s="3">
        <f>C3322 - D3322</f>
        <v>0</v>
      </c>
    </row>
    <row r="3323" spans="2:5" x14ac:dyDescent="0.35">
      <c r="B3323" s="38">
        <v>39823</v>
      </c>
      <c r="C3323" s="3">
        <v>0</v>
      </c>
      <c r="D3323" s="3">
        <v>0</v>
      </c>
      <c r="E3323" s="3">
        <f>C3323 - D3323</f>
        <v>0</v>
      </c>
    </row>
    <row r="3324" spans="2:5" x14ac:dyDescent="0.35">
      <c r="B3324" s="38">
        <v>39824</v>
      </c>
      <c r="C3324" s="3">
        <v>0</v>
      </c>
      <c r="D3324" s="3">
        <v>0</v>
      </c>
      <c r="E3324" s="3">
        <f>C3324 - D3324</f>
        <v>0</v>
      </c>
    </row>
    <row r="3325" spans="2:5" x14ac:dyDescent="0.35">
      <c r="B3325" s="38">
        <v>39825</v>
      </c>
      <c r="C3325" s="3">
        <v>0</v>
      </c>
      <c r="D3325" s="3">
        <v>0</v>
      </c>
      <c r="E3325" s="3">
        <f>C3325 - D3325</f>
        <v>0</v>
      </c>
    </row>
    <row r="3326" spans="2:5" x14ac:dyDescent="0.35">
      <c r="B3326" s="38">
        <v>39826</v>
      </c>
      <c r="C3326" s="3">
        <v>0</v>
      </c>
      <c r="D3326" s="3">
        <v>0</v>
      </c>
      <c r="E3326" s="3">
        <f>C3326 - D3326</f>
        <v>0</v>
      </c>
    </row>
    <row r="3327" spans="2:5" x14ac:dyDescent="0.35">
      <c r="B3327" s="38">
        <v>39827</v>
      </c>
      <c r="C3327" s="3">
        <v>0</v>
      </c>
      <c r="D3327" s="3">
        <v>0</v>
      </c>
      <c r="E3327" s="3">
        <f>C3327 - D3327</f>
        <v>0</v>
      </c>
    </row>
    <row r="3328" spans="2:5" x14ac:dyDescent="0.35">
      <c r="B3328" s="38">
        <v>39828</v>
      </c>
      <c r="C3328" s="3">
        <v>0</v>
      </c>
      <c r="D3328" s="3">
        <v>0</v>
      </c>
      <c r="E3328" s="3">
        <f>C3328 - D3328</f>
        <v>0</v>
      </c>
    </row>
    <row r="3329" spans="2:5" x14ac:dyDescent="0.35">
      <c r="B3329" s="38">
        <v>39829</v>
      </c>
      <c r="C3329" s="3">
        <v>0</v>
      </c>
      <c r="D3329" s="3">
        <v>0</v>
      </c>
      <c r="E3329" s="3">
        <f>C3329 - D3329</f>
        <v>0</v>
      </c>
    </row>
    <row r="3330" spans="2:5" x14ac:dyDescent="0.35">
      <c r="B3330" s="38">
        <v>39830</v>
      </c>
      <c r="C3330" s="3">
        <v>0</v>
      </c>
      <c r="D3330" s="3">
        <v>0</v>
      </c>
      <c r="E3330" s="3">
        <f>C3330 - D3330</f>
        <v>0</v>
      </c>
    </row>
    <row r="3331" spans="2:5" x14ac:dyDescent="0.35">
      <c r="B3331" s="38">
        <v>39831</v>
      </c>
      <c r="C3331" s="3">
        <v>0</v>
      </c>
      <c r="D3331" s="3">
        <v>0</v>
      </c>
      <c r="E3331" s="3">
        <f>C3331 - D3331</f>
        <v>0</v>
      </c>
    </row>
    <row r="3332" spans="2:5" x14ac:dyDescent="0.35">
      <c r="B3332" s="38">
        <v>39832</v>
      </c>
      <c r="C3332" s="3">
        <v>0</v>
      </c>
      <c r="D3332" s="3">
        <v>0</v>
      </c>
      <c r="E3332" s="3">
        <f>C3332 - D3332</f>
        <v>0</v>
      </c>
    </row>
    <row r="3333" spans="2:5" x14ac:dyDescent="0.35">
      <c r="B3333" s="38">
        <v>39833</v>
      </c>
      <c r="C3333" s="3">
        <v>0</v>
      </c>
      <c r="D3333" s="3">
        <v>0</v>
      </c>
      <c r="E3333" s="3">
        <f>C3333 - D3333</f>
        <v>0</v>
      </c>
    </row>
    <row r="3334" spans="2:5" x14ac:dyDescent="0.35">
      <c r="B3334" s="38">
        <v>39834</v>
      </c>
      <c r="C3334" s="3">
        <v>0</v>
      </c>
      <c r="D3334" s="3">
        <v>0</v>
      </c>
      <c r="E3334" s="3">
        <f>C3334 - D3334</f>
        <v>0</v>
      </c>
    </row>
    <row r="3335" spans="2:5" x14ac:dyDescent="0.35">
      <c r="B3335" s="38">
        <v>39835</v>
      </c>
      <c r="C3335" s="3">
        <v>0</v>
      </c>
      <c r="D3335" s="3">
        <v>0</v>
      </c>
      <c r="E3335" s="3">
        <f>C3335 - D3335</f>
        <v>0</v>
      </c>
    </row>
    <row r="3336" spans="2:5" x14ac:dyDescent="0.35">
      <c r="B3336" s="38">
        <v>39836</v>
      </c>
      <c r="C3336" s="3">
        <v>0</v>
      </c>
      <c r="D3336" s="3">
        <v>0</v>
      </c>
      <c r="E3336" s="3">
        <f>C3336 - D3336</f>
        <v>0</v>
      </c>
    </row>
    <row r="3337" spans="2:5" x14ac:dyDescent="0.35">
      <c r="B3337" s="38">
        <v>39837</v>
      </c>
      <c r="C3337" s="3">
        <v>0</v>
      </c>
      <c r="D3337" s="3">
        <v>0</v>
      </c>
      <c r="E3337" s="3">
        <f>C3337 - D3337</f>
        <v>0</v>
      </c>
    </row>
    <row r="3338" spans="2:5" x14ac:dyDescent="0.35">
      <c r="B3338" s="38">
        <v>39838</v>
      </c>
      <c r="C3338" s="3">
        <v>0</v>
      </c>
      <c r="D3338" s="3">
        <v>0</v>
      </c>
      <c r="E3338" s="3">
        <f>C3338 - D3338</f>
        <v>0</v>
      </c>
    </row>
    <row r="3339" spans="2:5" x14ac:dyDescent="0.35">
      <c r="B3339" s="38">
        <v>39839</v>
      </c>
      <c r="C3339" s="3">
        <v>0</v>
      </c>
      <c r="D3339" s="3">
        <v>0</v>
      </c>
      <c r="E3339" s="3">
        <f>C3339 - D3339</f>
        <v>0</v>
      </c>
    </row>
    <row r="3340" spans="2:5" x14ac:dyDescent="0.35">
      <c r="B3340" s="38">
        <v>39840</v>
      </c>
      <c r="C3340" s="3">
        <v>0</v>
      </c>
      <c r="D3340" s="3">
        <v>0</v>
      </c>
      <c r="E3340" s="3">
        <f>C3340 - D3340</f>
        <v>0</v>
      </c>
    </row>
    <row r="3341" spans="2:5" x14ac:dyDescent="0.35">
      <c r="B3341" s="38">
        <v>39841</v>
      </c>
      <c r="C3341" s="3">
        <v>0</v>
      </c>
      <c r="D3341" s="3">
        <v>0</v>
      </c>
      <c r="E3341" s="3">
        <f>C3341 - D3341</f>
        <v>0</v>
      </c>
    </row>
    <row r="3342" spans="2:5" x14ac:dyDescent="0.35">
      <c r="B3342" s="38">
        <v>39842</v>
      </c>
      <c r="C3342" s="3">
        <v>0</v>
      </c>
      <c r="D3342" s="3">
        <v>0</v>
      </c>
      <c r="E3342" s="3">
        <f>C3342 - D3342</f>
        <v>0</v>
      </c>
    </row>
    <row r="3343" spans="2:5" x14ac:dyDescent="0.35">
      <c r="B3343" s="38">
        <v>39843</v>
      </c>
      <c r="C3343" s="3">
        <v>0</v>
      </c>
      <c r="D3343" s="3">
        <v>0</v>
      </c>
      <c r="E3343" s="3">
        <f>C3343 - D3343</f>
        <v>0</v>
      </c>
    </row>
    <row r="3344" spans="2:5" x14ac:dyDescent="0.35">
      <c r="B3344" s="38">
        <v>39844</v>
      </c>
      <c r="C3344" s="3">
        <v>0</v>
      </c>
      <c r="D3344" s="3">
        <v>0</v>
      </c>
      <c r="E3344" s="3">
        <f>C3344 - D3344</f>
        <v>0</v>
      </c>
    </row>
    <row r="3345" spans="2:5" x14ac:dyDescent="0.35">
      <c r="B3345" s="38">
        <v>39845</v>
      </c>
      <c r="C3345" s="3">
        <v>0</v>
      </c>
      <c r="D3345" s="3">
        <v>0</v>
      </c>
      <c r="E3345" s="3">
        <f>C3345 - D3345</f>
        <v>0</v>
      </c>
    </row>
    <row r="3346" spans="2:5" x14ac:dyDescent="0.35">
      <c r="B3346" s="38">
        <v>39846</v>
      </c>
      <c r="C3346" s="3">
        <v>0</v>
      </c>
      <c r="D3346" s="3">
        <v>0</v>
      </c>
      <c r="E3346" s="3">
        <f>C3346 - D3346</f>
        <v>0</v>
      </c>
    </row>
    <row r="3347" spans="2:5" x14ac:dyDescent="0.35">
      <c r="B3347" s="38">
        <v>39847</v>
      </c>
      <c r="C3347" s="3">
        <v>0</v>
      </c>
      <c r="D3347" s="3">
        <v>0</v>
      </c>
      <c r="E3347" s="3">
        <f>C3347 - D3347</f>
        <v>0</v>
      </c>
    </row>
    <row r="3348" spans="2:5" x14ac:dyDescent="0.35">
      <c r="B3348" s="38">
        <v>39848</v>
      </c>
      <c r="C3348" s="3">
        <v>0</v>
      </c>
      <c r="D3348" s="3">
        <v>0</v>
      </c>
      <c r="E3348" s="3">
        <f>C3348 - D3348</f>
        <v>0</v>
      </c>
    </row>
    <row r="3349" spans="2:5" x14ac:dyDescent="0.35">
      <c r="B3349" s="38">
        <v>39849</v>
      </c>
      <c r="C3349" s="3">
        <v>0</v>
      </c>
      <c r="D3349" s="3">
        <v>0</v>
      </c>
      <c r="E3349" s="3">
        <f>C3349 - D3349</f>
        <v>0</v>
      </c>
    </row>
    <row r="3350" spans="2:5" x14ac:dyDescent="0.35">
      <c r="B3350" s="38">
        <v>39850</v>
      </c>
      <c r="C3350" s="3">
        <v>0</v>
      </c>
      <c r="D3350" s="3">
        <v>0</v>
      </c>
      <c r="E3350" s="3">
        <f>C3350 - D3350</f>
        <v>0</v>
      </c>
    </row>
    <row r="3351" spans="2:5" x14ac:dyDescent="0.35">
      <c r="B3351" s="38">
        <v>39851</v>
      </c>
      <c r="C3351" s="3">
        <v>0</v>
      </c>
      <c r="D3351" s="3">
        <v>0</v>
      </c>
      <c r="E3351" s="3">
        <f>C3351 - D3351</f>
        <v>0</v>
      </c>
    </row>
    <row r="3352" spans="2:5" x14ac:dyDescent="0.35">
      <c r="B3352" s="38">
        <v>39852</v>
      </c>
      <c r="C3352" s="3">
        <v>1</v>
      </c>
      <c r="D3352" s="3">
        <v>0</v>
      </c>
      <c r="E3352" s="3">
        <f>C3352 - D3352</f>
        <v>1</v>
      </c>
    </row>
    <row r="3353" spans="2:5" x14ac:dyDescent="0.35">
      <c r="B3353" s="38">
        <v>39853</v>
      </c>
      <c r="C3353" s="3">
        <v>1</v>
      </c>
      <c r="D3353" s="3">
        <v>1</v>
      </c>
      <c r="E3353" s="3">
        <f>C3353 - D3353</f>
        <v>0</v>
      </c>
    </row>
    <row r="3354" spans="2:5" x14ac:dyDescent="0.35">
      <c r="B3354" s="38">
        <v>39854</v>
      </c>
      <c r="C3354" s="3">
        <v>0</v>
      </c>
      <c r="D3354" s="3">
        <v>1</v>
      </c>
      <c r="E3354" s="3">
        <f>C3354 - D3354</f>
        <v>-1</v>
      </c>
    </row>
    <row r="3355" spans="2:5" x14ac:dyDescent="0.35">
      <c r="B3355" s="38">
        <v>39855</v>
      </c>
      <c r="C3355" s="3">
        <v>0</v>
      </c>
      <c r="D3355" s="3">
        <v>0</v>
      </c>
      <c r="E3355" s="3">
        <f>C3355 - D3355</f>
        <v>0</v>
      </c>
    </row>
    <row r="3356" spans="2:5" x14ac:dyDescent="0.35">
      <c r="B3356" s="38">
        <v>39856</v>
      </c>
      <c r="C3356" s="3">
        <v>0</v>
      </c>
      <c r="D3356" s="3">
        <v>0</v>
      </c>
      <c r="E3356" s="3">
        <f>C3356 - D3356</f>
        <v>0</v>
      </c>
    </row>
    <row r="3357" spans="2:5" x14ac:dyDescent="0.35">
      <c r="B3357" s="38">
        <v>39857</v>
      </c>
      <c r="C3357" s="3">
        <v>0</v>
      </c>
      <c r="D3357" s="3">
        <v>0</v>
      </c>
      <c r="E3357" s="3">
        <f>C3357 - D3357</f>
        <v>0</v>
      </c>
    </row>
    <row r="3358" spans="2:5" x14ac:dyDescent="0.35">
      <c r="B3358" s="38">
        <v>39858</v>
      </c>
      <c r="C3358" s="3">
        <v>0</v>
      </c>
      <c r="D3358" s="3">
        <v>0</v>
      </c>
      <c r="E3358" s="3">
        <f>C3358 - D3358</f>
        <v>0</v>
      </c>
    </row>
    <row r="3359" spans="2:5" x14ac:dyDescent="0.35">
      <c r="B3359" s="38">
        <v>39859</v>
      </c>
      <c r="C3359" s="3">
        <v>0</v>
      </c>
      <c r="D3359" s="3">
        <v>0</v>
      </c>
      <c r="E3359" s="3">
        <f>C3359 - D3359</f>
        <v>0</v>
      </c>
    </row>
    <row r="3360" spans="2:5" x14ac:dyDescent="0.35">
      <c r="B3360" s="38">
        <v>39860</v>
      </c>
      <c r="C3360" s="3">
        <v>0</v>
      </c>
      <c r="D3360" s="3">
        <v>0</v>
      </c>
      <c r="E3360" s="3">
        <f>C3360 - D3360</f>
        <v>0</v>
      </c>
    </row>
    <row r="3361" spans="2:5" x14ac:dyDescent="0.35">
      <c r="B3361" s="38">
        <v>39861</v>
      </c>
      <c r="C3361" s="3">
        <v>0</v>
      </c>
      <c r="D3361" s="3">
        <v>0</v>
      </c>
      <c r="E3361" s="3">
        <f>C3361 - D3361</f>
        <v>0</v>
      </c>
    </row>
    <row r="3362" spans="2:5" x14ac:dyDescent="0.35">
      <c r="B3362" s="38">
        <v>39862</v>
      </c>
      <c r="C3362" s="3">
        <v>0</v>
      </c>
      <c r="D3362" s="3">
        <v>0</v>
      </c>
      <c r="E3362" s="3">
        <f>C3362 - D3362</f>
        <v>0</v>
      </c>
    </row>
    <row r="3363" spans="2:5" x14ac:dyDescent="0.35">
      <c r="B3363" s="38">
        <v>39863</v>
      </c>
      <c r="C3363" s="3">
        <v>0</v>
      </c>
      <c r="D3363" s="3">
        <v>0</v>
      </c>
      <c r="E3363" s="3">
        <f>C3363 - D3363</f>
        <v>0</v>
      </c>
    </row>
    <row r="3364" spans="2:5" x14ac:dyDescent="0.35">
      <c r="B3364" s="38">
        <v>39864</v>
      </c>
      <c r="C3364" s="3">
        <v>0</v>
      </c>
      <c r="D3364" s="3">
        <v>0</v>
      </c>
      <c r="E3364" s="3">
        <f>C3364 - D3364</f>
        <v>0</v>
      </c>
    </row>
    <row r="3365" spans="2:5" x14ac:dyDescent="0.35">
      <c r="B3365" s="38">
        <v>39865</v>
      </c>
      <c r="C3365" s="3">
        <v>1</v>
      </c>
      <c r="D3365" s="3">
        <v>0</v>
      </c>
      <c r="E3365" s="3">
        <f>C3365 - D3365</f>
        <v>1</v>
      </c>
    </row>
    <row r="3366" spans="2:5" x14ac:dyDescent="0.35">
      <c r="B3366" s="38">
        <v>39866</v>
      </c>
      <c r="C3366" s="3">
        <v>0</v>
      </c>
      <c r="D3366" s="3">
        <v>1</v>
      </c>
      <c r="E3366" s="3">
        <f>C3366 - D3366</f>
        <v>-1</v>
      </c>
    </row>
    <row r="3367" spans="2:5" x14ac:dyDescent="0.35">
      <c r="B3367" s="38">
        <v>39867</v>
      </c>
      <c r="C3367" s="3">
        <v>0</v>
      </c>
      <c r="D3367" s="3">
        <v>0</v>
      </c>
      <c r="E3367" s="3">
        <f>C3367 - D3367</f>
        <v>0</v>
      </c>
    </row>
    <row r="3368" spans="2:5" x14ac:dyDescent="0.35">
      <c r="B3368" s="38">
        <v>39868</v>
      </c>
      <c r="C3368" s="3">
        <v>0</v>
      </c>
      <c r="D3368" s="3">
        <v>0</v>
      </c>
      <c r="E3368" s="3">
        <f>C3368 - D3368</f>
        <v>0</v>
      </c>
    </row>
    <row r="3369" spans="2:5" x14ac:dyDescent="0.35">
      <c r="B3369" s="38">
        <v>39869</v>
      </c>
      <c r="C3369" s="3">
        <v>1</v>
      </c>
      <c r="D3369" s="3">
        <v>0</v>
      </c>
      <c r="E3369" s="3">
        <f>C3369 - D3369</f>
        <v>1</v>
      </c>
    </row>
    <row r="3370" spans="2:5" x14ac:dyDescent="0.35">
      <c r="B3370" s="38">
        <v>39870</v>
      </c>
      <c r="C3370" s="3">
        <v>1</v>
      </c>
      <c r="D3370" s="3">
        <v>1</v>
      </c>
      <c r="E3370" s="3">
        <f>C3370 - D3370</f>
        <v>0</v>
      </c>
    </row>
    <row r="3371" spans="2:5" x14ac:dyDescent="0.35">
      <c r="B3371" s="38">
        <v>39871</v>
      </c>
      <c r="C3371" s="3">
        <v>0</v>
      </c>
      <c r="D3371" s="3">
        <v>1</v>
      </c>
      <c r="E3371" s="3">
        <f>C3371 - D3371</f>
        <v>-1</v>
      </c>
    </row>
    <row r="3372" spans="2:5" x14ac:dyDescent="0.35">
      <c r="B3372" s="38">
        <v>39872</v>
      </c>
      <c r="C3372" s="3">
        <v>0</v>
      </c>
      <c r="D3372" s="3">
        <v>0</v>
      </c>
      <c r="E3372" s="3">
        <f>C3372 - D3372</f>
        <v>0</v>
      </c>
    </row>
    <row r="3373" spans="2:5" x14ac:dyDescent="0.35">
      <c r="B3373" s="38">
        <v>39873</v>
      </c>
      <c r="C3373" s="3">
        <v>1</v>
      </c>
      <c r="D3373" s="3">
        <v>0</v>
      </c>
      <c r="E3373" s="3">
        <f>C3373 - D3373</f>
        <v>1</v>
      </c>
    </row>
    <row r="3374" spans="2:5" x14ac:dyDescent="0.35">
      <c r="B3374" s="38">
        <v>39874</v>
      </c>
      <c r="C3374" s="3">
        <v>0</v>
      </c>
      <c r="D3374" s="3">
        <v>1</v>
      </c>
      <c r="E3374" s="3">
        <f>C3374 - D3374</f>
        <v>-1</v>
      </c>
    </row>
    <row r="3375" spans="2:5" x14ac:dyDescent="0.35">
      <c r="B3375" s="38">
        <v>39875</v>
      </c>
      <c r="C3375" s="3">
        <v>1</v>
      </c>
      <c r="D3375" s="3">
        <v>0</v>
      </c>
      <c r="E3375" s="3">
        <f>C3375 - D3375</f>
        <v>1</v>
      </c>
    </row>
    <row r="3376" spans="2:5" x14ac:dyDescent="0.35">
      <c r="B3376" s="38">
        <v>39876</v>
      </c>
      <c r="C3376" s="3">
        <v>1</v>
      </c>
      <c r="D3376" s="3">
        <v>1</v>
      </c>
      <c r="E3376" s="3">
        <f>C3376 - D3376</f>
        <v>0</v>
      </c>
    </row>
    <row r="3377" spans="2:5" x14ac:dyDescent="0.35">
      <c r="B3377" s="38">
        <v>39877</v>
      </c>
      <c r="C3377" s="3">
        <v>1</v>
      </c>
      <c r="D3377" s="3">
        <v>1</v>
      </c>
      <c r="E3377" s="3">
        <f>C3377 - D3377</f>
        <v>0</v>
      </c>
    </row>
    <row r="3378" spans="2:5" x14ac:dyDescent="0.35">
      <c r="B3378" s="38">
        <v>39878</v>
      </c>
      <c r="C3378" s="3">
        <v>1</v>
      </c>
      <c r="D3378" s="3">
        <v>1</v>
      </c>
      <c r="E3378" s="3">
        <f>C3378 - D3378</f>
        <v>0</v>
      </c>
    </row>
    <row r="3379" spans="2:5" x14ac:dyDescent="0.35">
      <c r="B3379" s="38">
        <v>39879</v>
      </c>
      <c r="C3379" s="3">
        <v>1</v>
      </c>
      <c r="D3379" s="3">
        <v>1</v>
      </c>
      <c r="E3379" s="3">
        <f>C3379 - D3379</f>
        <v>0</v>
      </c>
    </row>
    <row r="3380" spans="2:5" x14ac:dyDescent="0.35">
      <c r="B3380" s="38">
        <v>39880</v>
      </c>
      <c r="C3380" s="3">
        <v>0</v>
      </c>
      <c r="D3380" s="3">
        <v>1</v>
      </c>
      <c r="E3380" s="3">
        <f>C3380 - D3380</f>
        <v>-1</v>
      </c>
    </row>
    <row r="3381" spans="2:5" x14ac:dyDescent="0.35">
      <c r="B3381" s="38">
        <v>39881</v>
      </c>
      <c r="C3381" s="3">
        <v>0</v>
      </c>
      <c r="D3381" s="3">
        <v>0</v>
      </c>
      <c r="E3381" s="3">
        <f>C3381 - D3381</f>
        <v>0</v>
      </c>
    </row>
    <row r="3382" spans="2:5" x14ac:dyDescent="0.35">
      <c r="B3382" s="38">
        <v>39882</v>
      </c>
      <c r="C3382" s="3">
        <v>0</v>
      </c>
      <c r="D3382" s="3">
        <v>0</v>
      </c>
      <c r="E3382" s="3">
        <f>C3382 - D3382</f>
        <v>0</v>
      </c>
    </row>
    <row r="3383" spans="2:5" x14ac:dyDescent="0.35">
      <c r="B3383" s="38">
        <v>39883</v>
      </c>
      <c r="C3383" s="3">
        <v>0</v>
      </c>
      <c r="D3383" s="3">
        <v>0</v>
      </c>
      <c r="E3383" s="3">
        <f>C3383 - D3383</f>
        <v>0</v>
      </c>
    </row>
    <row r="3384" spans="2:5" x14ac:dyDescent="0.35">
      <c r="B3384" s="38">
        <v>39884</v>
      </c>
      <c r="C3384" s="3">
        <v>1</v>
      </c>
      <c r="D3384" s="3">
        <v>0</v>
      </c>
      <c r="E3384" s="3">
        <f>C3384 - D3384</f>
        <v>1</v>
      </c>
    </row>
    <row r="3385" spans="2:5" x14ac:dyDescent="0.35">
      <c r="B3385" s="38">
        <v>39885</v>
      </c>
      <c r="C3385" s="3">
        <v>1</v>
      </c>
      <c r="D3385" s="3">
        <v>1</v>
      </c>
      <c r="E3385" s="3">
        <f>C3385 - D3385</f>
        <v>0</v>
      </c>
    </row>
    <row r="3386" spans="2:5" x14ac:dyDescent="0.35">
      <c r="B3386" s="38">
        <v>39886</v>
      </c>
      <c r="C3386" s="3">
        <v>1</v>
      </c>
      <c r="D3386" s="3">
        <v>1</v>
      </c>
      <c r="E3386" s="3">
        <f>C3386 - D3386</f>
        <v>0</v>
      </c>
    </row>
    <row r="3387" spans="2:5" x14ac:dyDescent="0.35">
      <c r="B3387" s="38">
        <v>39887</v>
      </c>
      <c r="C3387" s="3">
        <v>1</v>
      </c>
      <c r="D3387" s="3">
        <v>1</v>
      </c>
      <c r="E3387" s="3">
        <f>C3387 - D3387</f>
        <v>0</v>
      </c>
    </row>
    <row r="3388" spans="2:5" x14ac:dyDescent="0.35">
      <c r="B3388" s="38">
        <v>39888</v>
      </c>
      <c r="C3388" s="3">
        <v>1</v>
      </c>
      <c r="D3388" s="3">
        <v>1</v>
      </c>
      <c r="E3388" s="3">
        <f>C3388 - D3388</f>
        <v>0</v>
      </c>
    </row>
    <row r="3389" spans="2:5" x14ac:dyDescent="0.35">
      <c r="B3389" s="38">
        <v>39889</v>
      </c>
      <c r="C3389" s="3">
        <v>1</v>
      </c>
      <c r="D3389" s="3">
        <v>1</v>
      </c>
      <c r="E3389" s="3">
        <f>C3389 - D3389</f>
        <v>0</v>
      </c>
    </row>
    <row r="3390" spans="2:5" x14ac:dyDescent="0.35">
      <c r="B3390" s="38">
        <v>39890</v>
      </c>
      <c r="C3390" s="3">
        <v>0</v>
      </c>
      <c r="D3390" s="3">
        <v>1</v>
      </c>
      <c r="E3390" s="3">
        <f>C3390 - D3390</f>
        <v>-1</v>
      </c>
    </row>
    <row r="3391" spans="2:5" x14ac:dyDescent="0.35">
      <c r="B3391" s="38">
        <v>39891</v>
      </c>
      <c r="C3391" s="3">
        <v>0</v>
      </c>
      <c r="D3391" s="3">
        <v>0</v>
      </c>
      <c r="E3391" s="3">
        <f>C3391 - D3391</f>
        <v>0</v>
      </c>
    </row>
    <row r="3392" spans="2:5" x14ac:dyDescent="0.35">
      <c r="B3392" s="38">
        <v>39892</v>
      </c>
      <c r="C3392" s="3">
        <v>0</v>
      </c>
      <c r="D3392" s="3">
        <v>0</v>
      </c>
      <c r="E3392" s="3">
        <f>C3392 - D3392</f>
        <v>0</v>
      </c>
    </row>
    <row r="3393" spans="2:5" x14ac:dyDescent="0.35">
      <c r="B3393" s="38">
        <v>39893</v>
      </c>
      <c r="C3393" s="3">
        <v>0</v>
      </c>
      <c r="D3393" s="3">
        <v>0</v>
      </c>
      <c r="E3393" s="3">
        <f>C3393 - D3393</f>
        <v>0</v>
      </c>
    </row>
    <row r="3394" spans="2:5" x14ac:dyDescent="0.35">
      <c r="B3394" s="38">
        <v>39894</v>
      </c>
      <c r="C3394" s="3">
        <v>0</v>
      </c>
      <c r="D3394" s="3">
        <v>0</v>
      </c>
      <c r="E3394" s="3">
        <f>C3394 - D3394</f>
        <v>0</v>
      </c>
    </row>
    <row r="3395" spans="2:5" x14ac:dyDescent="0.35">
      <c r="B3395" s="38">
        <v>39895</v>
      </c>
      <c r="C3395" s="3">
        <v>1</v>
      </c>
      <c r="D3395" s="3">
        <v>0</v>
      </c>
      <c r="E3395" s="3">
        <f>C3395 - D3395</f>
        <v>1</v>
      </c>
    </row>
    <row r="3396" spans="2:5" x14ac:dyDescent="0.35">
      <c r="B3396" s="38">
        <v>39896</v>
      </c>
      <c r="C3396" s="3">
        <v>0</v>
      </c>
      <c r="D3396" s="3">
        <v>1</v>
      </c>
      <c r="E3396" s="3">
        <f>C3396 - D3396</f>
        <v>-1</v>
      </c>
    </row>
    <row r="3397" spans="2:5" x14ac:dyDescent="0.35">
      <c r="B3397" s="38">
        <v>39897</v>
      </c>
      <c r="C3397" s="3">
        <v>1</v>
      </c>
      <c r="D3397" s="3">
        <v>0</v>
      </c>
      <c r="E3397" s="3">
        <f>C3397 - D3397</f>
        <v>1</v>
      </c>
    </row>
    <row r="3398" spans="2:5" x14ac:dyDescent="0.35">
      <c r="B3398" s="38">
        <v>39898</v>
      </c>
      <c r="C3398" s="3">
        <v>0</v>
      </c>
      <c r="D3398" s="3">
        <v>1</v>
      </c>
      <c r="E3398" s="3">
        <f>C3398 - D3398</f>
        <v>-1</v>
      </c>
    </row>
    <row r="3399" spans="2:5" x14ac:dyDescent="0.35">
      <c r="B3399" s="38">
        <v>39899</v>
      </c>
      <c r="C3399" s="3">
        <v>0</v>
      </c>
      <c r="D3399" s="3">
        <v>0</v>
      </c>
      <c r="E3399" s="3">
        <f>C3399 - D3399</f>
        <v>0</v>
      </c>
    </row>
    <row r="3400" spans="2:5" x14ac:dyDescent="0.35">
      <c r="B3400" s="38">
        <v>39900</v>
      </c>
      <c r="C3400" s="3">
        <v>0</v>
      </c>
      <c r="D3400" s="3">
        <v>0</v>
      </c>
      <c r="E3400" s="3">
        <f>C3400 - D3400</f>
        <v>0</v>
      </c>
    </row>
    <row r="3401" spans="2:5" x14ac:dyDescent="0.35">
      <c r="B3401" s="38">
        <v>39901</v>
      </c>
      <c r="C3401" s="3">
        <v>0</v>
      </c>
      <c r="D3401" s="3">
        <v>0</v>
      </c>
      <c r="E3401" s="3">
        <f>C3401 - D3401</f>
        <v>0</v>
      </c>
    </row>
    <row r="3402" spans="2:5" x14ac:dyDescent="0.35">
      <c r="B3402" s="38">
        <v>39902</v>
      </c>
      <c r="C3402" s="3">
        <v>0</v>
      </c>
      <c r="D3402" s="3">
        <v>0</v>
      </c>
      <c r="E3402" s="3">
        <f>C3402 - D3402</f>
        <v>0</v>
      </c>
    </row>
    <row r="3403" spans="2:5" x14ac:dyDescent="0.35">
      <c r="B3403" s="38">
        <v>39903</v>
      </c>
      <c r="C3403" s="3">
        <v>0</v>
      </c>
      <c r="D3403" s="3">
        <v>0</v>
      </c>
      <c r="E3403" s="3">
        <f>C3403 - D3403</f>
        <v>0</v>
      </c>
    </row>
    <row r="3404" spans="2:5" x14ac:dyDescent="0.35">
      <c r="B3404" s="38">
        <v>39904</v>
      </c>
      <c r="C3404" s="3">
        <v>0</v>
      </c>
      <c r="D3404" s="3">
        <v>0</v>
      </c>
      <c r="E3404" s="3">
        <f>C3404 - D3404</f>
        <v>0</v>
      </c>
    </row>
    <row r="3405" spans="2:5" x14ac:dyDescent="0.35">
      <c r="B3405" s="38">
        <v>39905</v>
      </c>
      <c r="C3405" s="3">
        <v>0</v>
      </c>
      <c r="D3405" s="3">
        <v>0</v>
      </c>
      <c r="E3405" s="3">
        <f>C3405 - D3405</f>
        <v>0</v>
      </c>
    </row>
    <row r="3406" spans="2:5" x14ac:dyDescent="0.35">
      <c r="B3406" s="38">
        <v>39906</v>
      </c>
      <c r="C3406" s="3">
        <v>0</v>
      </c>
      <c r="D3406" s="3">
        <v>0</v>
      </c>
      <c r="E3406" s="3">
        <f>C3406 - D3406</f>
        <v>0</v>
      </c>
    </row>
    <row r="3407" spans="2:5" x14ac:dyDescent="0.35">
      <c r="B3407" s="38">
        <v>39907</v>
      </c>
      <c r="C3407" s="3">
        <v>1</v>
      </c>
      <c r="D3407" s="3">
        <v>0</v>
      </c>
      <c r="E3407" s="3">
        <f>C3407 - D3407</f>
        <v>1</v>
      </c>
    </row>
    <row r="3408" spans="2:5" x14ac:dyDescent="0.35">
      <c r="B3408" s="38">
        <v>39908</v>
      </c>
      <c r="C3408" s="3">
        <v>0</v>
      </c>
      <c r="D3408" s="3">
        <v>1</v>
      </c>
      <c r="E3408" s="3">
        <f>C3408 - D3408</f>
        <v>-1</v>
      </c>
    </row>
    <row r="3409" spans="2:5" x14ac:dyDescent="0.35">
      <c r="B3409" s="38">
        <v>39909</v>
      </c>
      <c r="C3409" s="3">
        <v>1</v>
      </c>
      <c r="D3409" s="3">
        <v>0</v>
      </c>
      <c r="E3409" s="3">
        <f>C3409 - D3409</f>
        <v>1</v>
      </c>
    </row>
    <row r="3410" spans="2:5" x14ac:dyDescent="0.35">
      <c r="B3410" s="38">
        <v>39910</v>
      </c>
      <c r="C3410" s="3">
        <v>1</v>
      </c>
      <c r="D3410" s="3">
        <v>1</v>
      </c>
      <c r="E3410" s="3">
        <f>C3410 - D3410</f>
        <v>0</v>
      </c>
    </row>
    <row r="3411" spans="2:5" x14ac:dyDescent="0.35">
      <c r="B3411" s="38">
        <v>39911</v>
      </c>
      <c r="C3411" s="3">
        <v>1</v>
      </c>
      <c r="D3411" s="3">
        <v>1</v>
      </c>
      <c r="E3411" s="3">
        <f>C3411 - D3411</f>
        <v>0</v>
      </c>
    </row>
    <row r="3412" spans="2:5" x14ac:dyDescent="0.35">
      <c r="B3412" s="38">
        <v>39912</v>
      </c>
      <c r="C3412" s="3">
        <v>0</v>
      </c>
      <c r="D3412" s="3">
        <v>1</v>
      </c>
      <c r="E3412" s="3">
        <f>C3412 - D3412</f>
        <v>-1</v>
      </c>
    </row>
    <row r="3413" spans="2:5" x14ac:dyDescent="0.35">
      <c r="B3413" s="38">
        <v>39913</v>
      </c>
      <c r="C3413" s="3">
        <v>0</v>
      </c>
      <c r="D3413" s="3">
        <v>0</v>
      </c>
      <c r="E3413" s="3">
        <f>C3413 - D3413</f>
        <v>0</v>
      </c>
    </row>
    <row r="3414" spans="2:5" x14ac:dyDescent="0.35">
      <c r="B3414" s="38">
        <v>39914</v>
      </c>
      <c r="C3414" s="3">
        <v>0</v>
      </c>
      <c r="D3414" s="3">
        <v>0</v>
      </c>
      <c r="E3414" s="3">
        <f>C3414 - D3414</f>
        <v>0</v>
      </c>
    </row>
    <row r="3415" spans="2:5" x14ac:dyDescent="0.35">
      <c r="B3415" s="38">
        <v>39915</v>
      </c>
      <c r="C3415" s="3">
        <v>0</v>
      </c>
      <c r="D3415" s="3">
        <v>0</v>
      </c>
      <c r="E3415" s="3">
        <f>C3415 - D3415</f>
        <v>0</v>
      </c>
    </row>
    <row r="3416" spans="2:5" x14ac:dyDescent="0.35">
      <c r="B3416" s="38">
        <v>39916</v>
      </c>
      <c r="C3416" s="3">
        <v>0</v>
      </c>
      <c r="D3416" s="3">
        <v>0</v>
      </c>
      <c r="E3416" s="3">
        <f>C3416 - D3416</f>
        <v>0</v>
      </c>
    </row>
    <row r="3417" spans="2:5" x14ac:dyDescent="0.35">
      <c r="B3417" s="38">
        <v>39917</v>
      </c>
      <c r="C3417" s="3">
        <v>0</v>
      </c>
      <c r="D3417" s="3">
        <v>0</v>
      </c>
      <c r="E3417" s="3">
        <f>C3417 - D3417</f>
        <v>0</v>
      </c>
    </row>
    <row r="3418" spans="2:5" x14ac:dyDescent="0.35">
      <c r="B3418" s="38">
        <v>39918</v>
      </c>
      <c r="C3418" s="3">
        <v>1</v>
      </c>
      <c r="D3418" s="3">
        <v>0</v>
      </c>
      <c r="E3418" s="3">
        <f>C3418 - D3418</f>
        <v>1</v>
      </c>
    </row>
    <row r="3419" spans="2:5" x14ac:dyDescent="0.35">
      <c r="B3419" s="38">
        <v>39919</v>
      </c>
      <c r="C3419" s="3">
        <v>0</v>
      </c>
      <c r="D3419" s="3">
        <v>1</v>
      </c>
      <c r="E3419" s="3">
        <f>C3419 - D3419</f>
        <v>-1</v>
      </c>
    </row>
    <row r="3420" spans="2:5" x14ac:dyDescent="0.35">
      <c r="B3420" s="38">
        <v>39920</v>
      </c>
      <c r="C3420" s="3">
        <v>0</v>
      </c>
      <c r="D3420" s="3">
        <v>0</v>
      </c>
      <c r="E3420" s="3">
        <f>C3420 - D3420</f>
        <v>0</v>
      </c>
    </row>
    <row r="3421" spans="2:5" x14ac:dyDescent="0.35">
      <c r="B3421" s="38">
        <v>39921</v>
      </c>
      <c r="C3421" s="3">
        <v>0</v>
      </c>
      <c r="D3421" s="3">
        <v>0</v>
      </c>
      <c r="E3421" s="3">
        <f>C3421 - D3421</f>
        <v>0</v>
      </c>
    </row>
    <row r="3422" spans="2:5" x14ac:dyDescent="0.35">
      <c r="B3422" s="38">
        <v>39922</v>
      </c>
      <c r="C3422" s="3">
        <v>0</v>
      </c>
      <c r="D3422" s="3">
        <v>0</v>
      </c>
      <c r="E3422" s="3">
        <f>C3422 - D3422</f>
        <v>0</v>
      </c>
    </row>
    <row r="3423" spans="2:5" x14ac:dyDescent="0.35">
      <c r="B3423" s="38">
        <v>39923</v>
      </c>
      <c r="C3423" s="3">
        <v>0</v>
      </c>
      <c r="D3423" s="3">
        <v>0</v>
      </c>
      <c r="E3423" s="3">
        <f>C3423 - D3423</f>
        <v>0</v>
      </c>
    </row>
    <row r="3424" spans="2:5" x14ac:dyDescent="0.35">
      <c r="B3424" s="38">
        <v>39924</v>
      </c>
      <c r="C3424" s="3">
        <v>0</v>
      </c>
      <c r="D3424" s="3">
        <v>0</v>
      </c>
      <c r="E3424" s="3">
        <f>C3424 - D3424</f>
        <v>0</v>
      </c>
    </row>
    <row r="3425" spans="2:5" x14ac:dyDescent="0.35">
      <c r="B3425" s="38">
        <v>39925</v>
      </c>
      <c r="C3425" s="3">
        <v>0</v>
      </c>
      <c r="D3425" s="3">
        <v>0</v>
      </c>
      <c r="E3425" s="3">
        <f>C3425 - D3425</f>
        <v>0</v>
      </c>
    </row>
    <row r="3426" spans="2:5" x14ac:dyDescent="0.35">
      <c r="B3426" s="38">
        <v>39926</v>
      </c>
      <c r="C3426" s="3">
        <v>0</v>
      </c>
      <c r="D3426" s="3">
        <v>0</v>
      </c>
      <c r="E3426" s="3">
        <f>C3426 - D3426</f>
        <v>0</v>
      </c>
    </row>
    <row r="3427" spans="2:5" x14ac:dyDescent="0.35">
      <c r="B3427" s="38">
        <v>39927</v>
      </c>
      <c r="C3427" s="3">
        <v>0</v>
      </c>
      <c r="D3427" s="3">
        <v>0</v>
      </c>
      <c r="E3427" s="3">
        <f>C3427 - D3427</f>
        <v>0</v>
      </c>
    </row>
    <row r="3428" spans="2:5" x14ac:dyDescent="0.35">
      <c r="B3428" s="38">
        <v>39928</v>
      </c>
      <c r="C3428" s="3">
        <v>1</v>
      </c>
      <c r="D3428" s="3">
        <v>0</v>
      </c>
      <c r="E3428" s="3">
        <f>C3428 - D3428</f>
        <v>1</v>
      </c>
    </row>
    <row r="3429" spans="2:5" x14ac:dyDescent="0.35">
      <c r="B3429" s="38">
        <v>39929</v>
      </c>
      <c r="C3429" s="3">
        <v>1</v>
      </c>
      <c r="D3429" s="3">
        <v>1</v>
      </c>
      <c r="E3429" s="3">
        <f>C3429 - D3429</f>
        <v>0</v>
      </c>
    </row>
    <row r="3430" spans="2:5" x14ac:dyDescent="0.35">
      <c r="B3430" s="38">
        <v>39930</v>
      </c>
      <c r="C3430" s="3">
        <v>1</v>
      </c>
      <c r="D3430" s="3">
        <v>1</v>
      </c>
      <c r="E3430" s="3">
        <f>C3430 - D3430</f>
        <v>0</v>
      </c>
    </row>
    <row r="3431" spans="2:5" x14ac:dyDescent="0.35">
      <c r="B3431" s="38">
        <v>39931</v>
      </c>
      <c r="C3431" s="3">
        <v>1</v>
      </c>
      <c r="D3431" s="3">
        <v>1</v>
      </c>
      <c r="E3431" s="3">
        <f>C3431 - D3431</f>
        <v>0</v>
      </c>
    </row>
    <row r="3432" spans="2:5" x14ac:dyDescent="0.35">
      <c r="B3432" s="38">
        <v>39932</v>
      </c>
      <c r="C3432" s="3">
        <v>1</v>
      </c>
      <c r="D3432" s="3">
        <v>1</v>
      </c>
      <c r="E3432" s="3">
        <f>C3432 - D3432</f>
        <v>0</v>
      </c>
    </row>
    <row r="3433" spans="2:5" x14ac:dyDescent="0.35">
      <c r="B3433" s="38">
        <v>39933</v>
      </c>
      <c r="C3433" s="3">
        <v>0</v>
      </c>
      <c r="D3433" s="3">
        <v>1</v>
      </c>
      <c r="E3433" s="3">
        <f>C3433 - D3433</f>
        <v>-1</v>
      </c>
    </row>
    <row r="3434" spans="2:5" x14ac:dyDescent="0.35">
      <c r="B3434" s="38">
        <v>39934</v>
      </c>
      <c r="C3434" s="3">
        <v>0</v>
      </c>
      <c r="D3434" s="3">
        <v>0</v>
      </c>
      <c r="E3434" s="3">
        <f>C3434 - D3434</f>
        <v>0</v>
      </c>
    </row>
    <row r="3435" spans="2:5" x14ac:dyDescent="0.35">
      <c r="B3435" s="38">
        <v>39935</v>
      </c>
      <c r="C3435" s="3">
        <v>0</v>
      </c>
      <c r="D3435" s="3">
        <v>0</v>
      </c>
      <c r="E3435" s="3">
        <f>C3435 - D3435</f>
        <v>0</v>
      </c>
    </row>
    <row r="3436" spans="2:5" x14ac:dyDescent="0.35">
      <c r="B3436" s="38">
        <v>39936</v>
      </c>
      <c r="C3436" s="3">
        <v>0</v>
      </c>
      <c r="D3436" s="3">
        <v>0</v>
      </c>
      <c r="E3436" s="3">
        <f>C3436 - D3436</f>
        <v>0</v>
      </c>
    </row>
    <row r="3437" spans="2:5" x14ac:dyDescent="0.35">
      <c r="B3437" s="38">
        <v>39937</v>
      </c>
      <c r="C3437" s="3">
        <v>0</v>
      </c>
      <c r="D3437" s="3">
        <v>0</v>
      </c>
      <c r="E3437" s="3">
        <f>C3437 - D3437</f>
        <v>0</v>
      </c>
    </row>
    <row r="3438" spans="2:5" x14ac:dyDescent="0.35">
      <c r="B3438" s="38">
        <v>39938</v>
      </c>
      <c r="C3438" s="3">
        <v>0</v>
      </c>
      <c r="D3438" s="3">
        <v>0</v>
      </c>
      <c r="E3438" s="3">
        <f>C3438 - D3438</f>
        <v>0</v>
      </c>
    </row>
    <row r="3439" spans="2:5" x14ac:dyDescent="0.35">
      <c r="B3439" s="38">
        <v>39939</v>
      </c>
      <c r="C3439" s="3">
        <v>0</v>
      </c>
      <c r="D3439" s="3">
        <v>0</v>
      </c>
      <c r="E3439" s="3">
        <f>C3439 - D3439</f>
        <v>0</v>
      </c>
    </row>
    <row r="3440" spans="2:5" x14ac:dyDescent="0.35">
      <c r="B3440" s="38">
        <v>39940</v>
      </c>
      <c r="C3440" s="3">
        <v>0</v>
      </c>
      <c r="D3440" s="3">
        <v>0</v>
      </c>
      <c r="E3440" s="3">
        <f>C3440 - D3440</f>
        <v>0</v>
      </c>
    </row>
    <row r="3441" spans="2:5" x14ac:dyDescent="0.35">
      <c r="B3441" s="38">
        <v>39941</v>
      </c>
      <c r="C3441" s="3">
        <v>1</v>
      </c>
      <c r="D3441" s="3">
        <v>0</v>
      </c>
      <c r="E3441" s="3">
        <f>C3441 - D3441</f>
        <v>1</v>
      </c>
    </row>
    <row r="3442" spans="2:5" x14ac:dyDescent="0.35">
      <c r="B3442" s="38">
        <v>39942</v>
      </c>
      <c r="C3442" s="3">
        <v>1</v>
      </c>
      <c r="D3442" s="3">
        <v>1</v>
      </c>
      <c r="E3442" s="3">
        <f>C3442 - D3442</f>
        <v>0</v>
      </c>
    </row>
    <row r="3443" spans="2:5" x14ac:dyDescent="0.35">
      <c r="B3443" s="38">
        <v>39943</v>
      </c>
      <c r="C3443" s="3">
        <v>0</v>
      </c>
      <c r="D3443" s="3">
        <v>1</v>
      </c>
      <c r="E3443" s="3">
        <f>C3443 - D3443</f>
        <v>-1</v>
      </c>
    </row>
    <row r="3444" spans="2:5" x14ac:dyDescent="0.35">
      <c r="B3444" s="38">
        <v>39944</v>
      </c>
      <c r="C3444" s="3">
        <v>1</v>
      </c>
      <c r="D3444" s="3">
        <v>0</v>
      </c>
      <c r="E3444" s="3">
        <f>C3444 - D3444</f>
        <v>1</v>
      </c>
    </row>
    <row r="3445" spans="2:5" x14ac:dyDescent="0.35">
      <c r="B3445" s="38">
        <v>39945</v>
      </c>
      <c r="C3445" s="3">
        <v>0</v>
      </c>
      <c r="D3445" s="3">
        <v>1</v>
      </c>
      <c r="E3445" s="3">
        <f>C3445 - D3445</f>
        <v>-1</v>
      </c>
    </row>
    <row r="3446" spans="2:5" x14ac:dyDescent="0.35">
      <c r="B3446" s="38">
        <v>39946</v>
      </c>
      <c r="C3446" s="3">
        <v>1</v>
      </c>
      <c r="D3446" s="3">
        <v>0</v>
      </c>
      <c r="E3446" s="3">
        <f>C3446 - D3446</f>
        <v>1</v>
      </c>
    </row>
    <row r="3447" spans="2:5" x14ac:dyDescent="0.35">
      <c r="B3447" s="38">
        <v>39947</v>
      </c>
      <c r="C3447" s="3">
        <v>0</v>
      </c>
      <c r="D3447" s="3">
        <v>1</v>
      </c>
      <c r="E3447" s="3">
        <f>C3447 - D3447</f>
        <v>-1</v>
      </c>
    </row>
    <row r="3448" spans="2:5" x14ac:dyDescent="0.35">
      <c r="B3448" s="38">
        <v>39948</v>
      </c>
      <c r="C3448" s="3">
        <v>0</v>
      </c>
      <c r="D3448" s="3">
        <v>0</v>
      </c>
      <c r="E3448" s="3">
        <f>C3448 - D3448</f>
        <v>0</v>
      </c>
    </row>
    <row r="3449" spans="2:5" x14ac:dyDescent="0.35">
      <c r="B3449" s="38">
        <v>39949</v>
      </c>
      <c r="C3449" s="3">
        <v>1</v>
      </c>
      <c r="D3449" s="3">
        <v>0</v>
      </c>
      <c r="E3449" s="3">
        <f>C3449 - D3449</f>
        <v>1</v>
      </c>
    </row>
    <row r="3450" spans="2:5" x14ac:dyDescent="0.35">
      <c r="B3450" s="38">
        <v>39950</v>
      </c>
      <c r="C3450" s="3">
        <v>0</v>
      </c>
      <c r="D3450" s="3">
        <v>1</v>
      </c>
      <c r="E3450" s="3">
        <f>C3450 - D3450</f>
        <v>-1</v>
      </c>
    </row>
    <row r="3451" spans="2:5" x14ac:dyDescent="0.35">
      <c r="B3451" s="38">
        <v>39951</v>
      </c>
      <c r="C3451" s="3">
        <v>0</v>
      </c>
      <c r="D3451" s="3">
        <v>0</v>
      </c>
      <c r="E3451" s="3">
        <f>C3451 - D3451</f>
        <v>0</v>
      </c>
    </row>
    <row r="3452" spans="2:5" x14ac:dyDescent="0.35">
      <c r="B3452" s="38">
        <v>39952</v>
      </c>
      <c r="C3452" s="3">
        <v>0</v>
      </c>
      <c r="D3452" s="3">
        <v>0</v>
      </c>
      <c r="E3452" s="3">
        <f>C3452 - D3452</f>
        <v>0</v>
      </c>
    </row>
    <row r="3453" spans="2:5" x14ac:dyDescent="0.35">
      <c r="B3453" s="38">
        <v>39953</v>
      </c>
      <c r="C3453" s="3">
        <v>0</v>
      </c>
      <c r="D3453" s="3">
        <v>0</v>
      </c>
      <c r="E3453" s="3">
        <f>C3453 - D3453</f>
        <v>0</v>
      </c>
    </row>
    <row r="3454" spans="2:5" x14ac:dyDescent="0.35">
      <c r="B3454" s="38">
        <v>39954</v>
      </c>
      <c r="C3454" s="3">
        <v>0</v>
      </c>
      <c r="D3454" s="3">
        <v>0</v>
      </c>
      <c r="E3454" s="3">
        <f>C3454 - D3454</f>
        <v>0</v>
      </c>
    </row>
    <row r="3455" spans="2:5" x14ac:dyDescent="0.35">
      <c r="B3455" s="38">
        <v>39955</v>
      </c>
      <c r="C3455" s="3">
        <v>0</v>
      </c>
      <c r="D3455" s="3">
        <v>0</v>
      </c>
      <c r="E3455" s="3">
        <f>C3455 - D3455</f>
        <v>0</v>
      </c>
    </row>
    <row r="3456" spans="2:5" x14ac:dyDescent="0.35">
      <c r="B3456" s="38">
        <v>39956</v>
      </c>
      <c r="C3456" s="3">
        <v>0</v>
      </c>
      <c r="D3456" s="3">
        <v>0</v>
      </c>
      <c r="E3456" s="3">
        <f>C3456 - D3456</f>
        <v>0</v>
      </c>
    </row>
    <row r="3457" spans="2:5" x14ac:dyDescent="0.35">
      <c r="B3457" s="38">
        <v>39957</v>
      </c>
      <c r="C3457" s="3">
        <v>0</v>
      </c>
      <c r="D3457" s="3">
        <v>0</v>
      </c>
      <c r="E3457" s="3">
        <f>C3457 - D3457</f>
        <v>0</v>
      </c>
    </row>
    <row r="3458" spans="2:5" x14ac:dyDescent="0.35">
      <c r="B3458" s="38">
        <v>39958</v>
      </c>
      <c r="C3458" s="3">
        <v>0</v>
      </c>
      <c r="D3458" s="3">
        <v>0</v>
      </c>
      <c r="E3458" s="3">
        <f>C3458 - D3458</f>
        <v>0</v>
      </c>
    </row>
    <row r="3459" spans="2:5" x14ac:dyDescent="0.35">
      <c r="B3459" s="38">
        <v>39959</v>
      </c>
      <c r="C3459" s="3">
        <v>1</v>
      </c>
      <c r="D3459" s="3">
        <v>0</v>
      </c>
      <c r="E3459" s="3">
        <f>C3459 - D3459</f>
        <v>1</v>
      </c>
    </row>
    <row r="3460" spans="2:5" x14ac:dyDescent="0.35">
      <c r="B3460" s="38">
        <v>39960</v>
      </c>
      <c r="C3460" s="3">
        <v>0</v>
      </c>
      <c r="D3460" s="3">
        <v>1</v>
      </c>
      <c r="E3460" s="3">
        <f>C3460 - D3460</f>
        <v>-1</v>
      </c>
    </row>
    <row r="3461" spans="2:5" x14ac:dyDescent="0.35">
      <c r="B3461" s="38">
        <v>39961</v>
      </c>
      <c r="C3461" s="3">
        <v>1</v>
      </c>
      <c r="D3461" s="3">
        <v>0</v>
      </c>
      <c r="E3461" s="3">
        <f>C3461 - D3461</f>
        <v>1</v>
      </c>
    </row>
    <row r="3462" spans="2:5" x14ac:dyDescent="0.35">
      <c r="B3462" s="38">
        <v>39962</v>
      </c>
      <c r="C3462" s="3">
        <v>1</v>
      </c>
      <c r="D3462" s="3">
        <v>1</v>
      </c>
      <c r="E3462" s="3">
        <f>C3462 - D3462</f>
        <v>0</v>
      </c>
    </row>
    <row r="3463" spans="2:5" x14ac:dyDescent="0.35">
      <c r="B3463" s="38">
        <v>39963</v>
      </c>
      <c r="C3463" s="3">
        <v>0</v>
      </c>
      <c r="D3463" s="3">
        <v>1</v>
      </c>
      <c r="E3463" s="3">
        <f>C3463 - D3463</f>
        <v>-1</v>
      </c>
    </row>
    <row r="3464" spans="2:5" x14ac:dyDescent="0.35">
      <c r="B3464" s="38">
        <v>39964</v>
      </c>
      <c r="C3464" s="3">
        <v>0</v>
      </c>
      <c r="D3464" s="3">
        <v>0</v>
      </c>
      <c r="E3464" s="3">
        <f>C3464 - D3464</f>
        <v>0</v>
      </c>
    </row>
    <row r="3465" spans="2:5" x14ac:dyDescent="0.35">
      <c r="B3465" s="38">
        <v>39965</v>
      </c>
      <c r="C3465" s="3">
        <v>0</v>
      </c>
      <c r="D3465" s="3">
        <v>0</v>
      </c>
      <c r="E3465" s="3">
        <f>C3465 - D3465</f>
        <v>0</v>
      </c>
    </row>
    <row r="3466" spans="2:5" x14ac:dyDescent="0.35">
      <c r="B3466" s="38">
        <v>39966</v>
      </c>
      <c r="C3466" s="3">
        <v>1</v>
      </c>
      <c r="D3466" s="3">
        <v>0</v>
      </c>
      <c r="E3466" s="3">
        <f>C3466 - D3466</f>
        <v>1</v>
      </c>
    </row>
    <row r="3467" spans="2:5" x14ac:dyDescent="0.35">
      <c r="B3467" s="38">
        <v>39967</v>
      </c>
      <c r="C3467" s="3">
        <v>1</v>
      </c>
      <c r="D3467" s="3">
        <v>1</v>
      </c>
      <c r="E3467" s="3">
        <f>C3467 - D3467</f>
        <v>0</v>
      </c>
    </row>
    <row r="3468" spans="2:5" x14ac:dyDescent="0.35">
      <c r="B3468" s="38">
        <v>39968</v>
      </c>
      <c r="C3468" s="3">
        <v>1</v>
      </c>
      <c r="D3468" s="3">
        <v>1</v>
      </c>
      <c r="E3468" s="3">
        <f>C3468 - D3468</f>
        <v>0</v>
      </c>
    </row>
    <row r="3469" spans="2:5" x14ac:dyDescent="0.35">
      <c r="B3469" s="38">
        <v>39969</v>
      </c>
      <c r="C3469" s="3">
        <v>0</v>
      </c>
      <c r="D3469" s="3">
        <v>1</v>
      </c>
      <c r="E3469" s="3">
        <f>C3469 - D3469</f>
        <v>-1</v>
      </c>
    </row>
    <row r="3470" spans="2:5" x14ac:dyDescent="0.35">
      <c r="B3470" s="38">
        <v>39970</v>
      </c>
      <c r="C3470" s="3">
        <v>0</v>
      </c>
      <c r="D3470" s="3">
        <v>0</v>
      </c>
      <c r="E3470" s="3">
        <f>C3470 - D3470</f>
        <v>0</v>
      </c>
    </row>
    <row r="3471" spans="2:5" x14ac:dyDescent="0.35">
      <c r="B3471" s="38">
        <v>39971</v>
      </c>
      <c r="C3471" s="3">
        <v>1</v>
      </c>
      <c r="D3471" s="3">
        <v>0</v>
      </c>
      <c r="E3471" s="3">
        <f>C3471 - D3471</f>
        <v>1</v>
      </c>
    </row>
    <row r="3472" spans="2:5" x14ac:dyDescent="0.35">
      <c r="B3472" s="38">
        <v>39972</v>
      </c>
      <c r="C3472" s="3">
        <v>1</v>
      </c>
      <c r="D3472" s="3">
        <v>1</v>
      </c>
      <c r="E3472" s="3">
        <f>C3472 - D3472</f>
        <v>0</v>
      </c>
    </row>
    <row r="3473" spans="2:5" x14ac:dyDescent="0.35">
      <c r="B3473" s="38">
        <v>39973</v>
      </c>
      <c r="C3473" s="3">
        <v>1</v>
      </c>
      <c r="D3473" s="3">
        <v>1</v>
      </c>
      <c r="E3473" s="3">
        <f>C3473 - D3473</f>
        <v>0</v>
      </c>
    </row>
    <row r="3474" spans="2:5" x14ac:dyDescent="0.35">
      <c r="B3474" s="38">
        <v>39974</v>
      </c>
      <c r="C3474" s="3">
        <v>1</v>
      </c>
      <c r="D3474" s="3">
        <v>1</v>
      </c>
      <c r="E3474" s="3">
        <f>C3474 - D3474</f>
        <v>0</v>
      </c>
    </row>
    <row r="3475" spans="2:5" x14ac:dyDescent="0.35">
      <c r="B3475" s="38">
        <v>39975</v>
      </c>
      <c r="C3475" s="3">
        <v>1</v>
      </c>
      <c r="D3475" s="3">
        <v>1</v>
      </c>
      <c r="E3475" s="3">
        <f>C3475 - D3475</f>
        <v>0</v>
      </c>
    </row>
    <row r="3476" spans="2:5" x14ac:dyDescent="0.35">
      <c r="B3476" s="38">
        <v>39976</v>
      </c>
      <c r="C3476" s="3">
        <v>0</v>
      </c>
      <c r="D3476" s="3">
        <v>1</v>
      </c>
      <c r="E3476" s="3">
        <f>C3476 - D3476</f>
        <v>-1</v>
      </c>
    </row>
    <row r="3477" spans="2:5" x14ac:dyDescent="0.35">
      <c r="B3477" s="38">
        <v>39977</v>
      </c>
      <c r="C3477" s="3">
        <v>0</v>
      </c>
      <c r="D3477" s="3">
        <v>0</v>
      </c>
      <c r="E3477" s="3">
        <f>C3477 - D3477</f>
        <v>0</v>
      </c>
    </row>
    <row r="3478" spans="2:5" x14ac:dyDescent="0.35">
      <c r="B3478" s="38">
        <v>39978</v>
      </c>
      <c r="C3478" s="3">
        <v>1</v>
      </c>
      <c r="D3478" s="3">
        <v>0</v>
      </c>
      <c r="E3478" s="3">
        <f>C3478 - D3478</f>
        <v>1</v>
      </c>
    </row>
    <row r="3479" spans="2:5" x14ac:dyDescent="0.35">
      <c r="B3479" s="38">
        <v>39979</v>
      </c>
      <c r="C3479" s="3">
        <v>0</v>
      </c>
      <c r="D3479" s="3">
        <v>1</v>
      </c>
      <c r="E3479" s="3">
        <f>C3479 - D3479</f>
        <v>-1</v>
      </c>
    </row>
    <row r="3480" spans="2:5" x14ac:dyDescent="0.35">
      <c r="B3480" s="38">
        <v>39980</v>
      </c>
      <c r="C3480" s="3">
        <v>0</v>
      </c>
      <c r="D3480" s="3">
        <v>0</v>
      </c>
      <c r="E3480" s="3">
        <f>C3480 - D3480</f>
        <v>0</v>
      </c>
    </row>
    <row r="3481" spans="2:5" x14ac:dyDescent="0.35">
      <c r="B3481" s="38">
        <v>39981</v>
      </c>
      <c r="C3481" s="3">
        <v>0</v>
      </c>
      <c r="D3481" s="3">
        <v>0</v>
      </c>
      <c r="E3481" s="3">
        <f>C3481 - D3481</f>
        <v>0</v>
      </c>
    </row>
    <row r="3482" spans="2:5" x14ac:dyDescent="0.35">
      <c r="B3482" s="38">
        <v>39982</v>
      </c>
      <c r="C3482" s="3">
        <v>0</v>
      </c>
      <c r="D3482" s="3">
        <v>0</v>
      </c>
      <c r="E3482" s="3">
        <f>C3482 - D3482</f>
        <v>0</v>
      </c>
    </row>
    <row r="3483" spans="2:5" x14ac:dyDescent="0.35">
      <c r="B3483" s="38">
        <v>39983</v>
      </c>
      <c r="C3483" s="3">
        <v>0</v>
      </c>
      <c r="D3483" s="3">
        <v>0</v>
      </c>
      <c r="E3483" s="3">
        <f>C3483 - D3483</f>
        <v>0</v>
      </c>
    </row>
    <row r="3484" spans="2:5" x14ac:dyDescent="0.35">
      <c r="B3484" s="38">
        <v>39984</v>
      </c>
      <c r="C3484" s="3">
        <v>0</v>
      </c>
      <c r="D3484" s="3">
        <v>0</v>
      </c>
      <c r="E3484" s="3">
        <f>C3484 - D3484</f>
        <v>0</v>
      </c>
    </row>
    <row r="3485" spans="2:5" x14ac:dyDescent="0.35">
      <c r="B3485" s="38">
        <v>39985</v>
      </c>
      <c r="C3485" s="3">
        <v>0</v>
      </c>
      <c r="D3485" s="3">
        <v>0</v>
      </c>
      <c r="E3485" s="3">
        <f>C3485 - D3485</f>
        <v>0</v>
      </c>
    </row>
    <row r="3486" spans="2:5" x14ac:dyDescent="0.35">
      <c r="B3486" s="38">
        <v>39986</v>
      </c>
      <c r="C3486" s="3">
        <v>1</v>
      </c>
      <c r="D3486" s="3">
        <v>0</v>
      </c>
      <c r="E3486" s="3">
        <f>C3486 - D3486</f>
        <v>1</v>
      </c>
    </row>
    <row r="3487" spans="2:5" x14ac:dyDescent="0.35">
      <c r="B3487" s="38">
        <v>39987</v>
      </c>
      <c r="C3487" s="3">
        <v>0</v>
      </c>
      <c r="D3487" s="3">
        <v>1</v>
      </c>
      <c r="E3487" s="3">
        <f>C3487 - D3487</f>
        <v>-1</v>
      </c>
    </row>
    <row r="3488" spans="2:5" x14ac:dyDescent="0.35">
      <c r="B3488" s="38">
        <v>39988</v>
      </c>
      <c r="C3488" s="3">
        <v>1</v>
      </c>
      <c r="D3488" s="3">
        <v>0</v>
      </c>
      <c r="E3488" s="3">
        <f>C3488 - D3488</f>
        <v>1</v>
      </c>
    </row>
    <row r="3489" spans="2:5" x14ac:dyDescent="0.35">
      <c r="B3489" s="38">
        <v>39989</v>
      </c>
      <c r="C3489" s="3">
        <v>0</v>
      </c>
      <c r="D3489" s="3">
        <v>1</v>
      </c>
      <c r="E3489" s="3">
        <f>C3489 - D3489</f>
        <v>-1</v>
      </c>
    </row>
    <row r="3490" spans="2:5" x14ac:dyDescent="0.35">
      <c r="B3490" s="38">
        <v>39990</v>
      </c>
      <c r="C3490" s="3">
        <v>0</v>
      </c>
      <c r="D3490" s="3">
        <v>0</v>
      </c>
      <c r="E3490" s="3">
        <f>C3490 - D3490</f>
        <v>0</v>
      </c>
    </row>
    <row r="3491" spans="2:5" x14ac:dyDescent="0.35">
      <c r="B3491" s="38">
        <v>39991</v>
      </c>
      <c r="C3491" s="3">
        <v>0</v>
      </c>
      <c r="D3491" s="3">
        <v>0</v>
      </c>
      <c r="E3491" s="3">
        <f>C3491 - D3491</f>
        <v>0</v>
      </c>
    </row>
    <row r="3492" spans="2:5" x14ac:dyDescent="0.35">
      <c r="B3492" s="38">
        <v>39992</v>
      </c>
      <c r="C3492" s="3">
        <v>0</v>
      </c>
      <c r="D3492" s="3">
        <v>0</v>
      </c>
      <c r="E3492" s="3">
        <f>C3492 - D3492</f>
        <v>0</v>
      </c>
    </row>
    <row r="3493" spans="2:5" x14ac:dyDescent="0.35">
      <c r="B3493" s="38">
        <v>39993</v>
      </c>
      <c r="C3493" s="3">
        <v>0</v>
      </c>
      <c r="D3493" s="3">
        <v>0</v>
      </c>
      <c r="E3493" s="3">
        <f>C3493 - D3493</f>
        <v>0</v>
      </c>
    </row>
    <row r="3494" spans="2:5" x14ac:dyDescent="0.35">
      <c r="B3494" s="38">
        <v>39994</v>
      </c>
      <c r="C3494" s="3">
        <v>0</v>
      </c>
      <c r="D3494" s="3">
        <v>0</v>
      </c>
      <c r="E3494" s="3">
        <f>C3494 - D3494</f>
        <v>0</v>
      </c>
    </row>
    <row r="3495" spans="2:5" x14ac:dyDescent="0.35">
      <c r="B3495" s="38">
        <v>39995</v>
      </c>
      <c r="C3495" s="3">
        <v>1</v>
      </c>
      <c r="D3495" s="3">
        <v>0</v>
      </c>
      <c r="E3495" s="3">
        <f>C3495 - D3495</f>
        <v>1</v>
      </c>
    </row>
    <row r="3496" spans="2:5" x14ac:dyDescent="0.35">
      <c r="B3496" s="38">
        <v>39996</v>
      </c>
      <c r="C3496" s="3">
        <v>1</v>
      </c>
      <c r="D3496" s="3">
        <v>1</v>
      </c>
      <c r="E3496" s="3">
        <f>C3496 - D3496</f>
        <v>0</v>
      </c>
    </row>
    <row r="3497" spans="2:5" x14ac:dyDescent="0.35">
      <c r="B3497" s="38">
        <v>39997</v>
      </c>
      <c r="C3497" s="3">
        <v>1</v>
      </c>
      <c r="D3497" s="3">
        <v>1</v>
      </c>
      <c r="E3497" s="3">
        <f>C3497 - D3497</f>
        <v>0</v>
      </c>
    </row>
    <row r="3498" spans="2:5" x14ac:dyDescent="0.35">
      <c r="B3498" s="38">
        <v>39998</v>
      </c>
      <c r="C3498" s="3">
        <v>1</v>
      </c>
      <c r="D3498" s="3">
        <v>1</v>
      </c>
      <c r="E3498" s="3">
        <f>C3498 - D3498</f>
        <v>0</v>
      </c>
    </row>
    <row r="3499" spans="2:5" x14ac:dyDescent="0.35">
      <c r="B3499" s="38">
        <v>39999</v>
      </c>
      <c r="C3499" s="3">
        <v>1</v>
      </c>
      <c r="D3499" s="3">
        <v>1</v>
      </c>
      <c r="E3499" s="3">
        <f>C3499 - D3499</f>
        <v>0</v>
      </c>
    </row>
    <row r="3500" spans="2:5" x14ac:dyDescent="0.35">
      <c r="B3500" s="38">
        <v>40000</v>
      </c>
      <c r="C3500" s="3">
        <v>0</v>
      </c>
      <c r="D3500" s="3">
        <v>1</v>
      </c>
      <c r="E3500" s="3">
        <f>C3500 - D3500</f>
        <v>-1</v>
      </c>
    </row>
    <row r="3501" spans="2:5" x14ac:dyDescent="0.35">
      <c r="B3501" s="38">
        <v>40001</v>
      </c>
      <c r="C3501" s="3">
        <v>1</v>
      </c>
      <c r="D3501" s="3">
        <v>0</v>
      </c>
      <c r="E3501" s="3">
        <f>C3501 - D3501</f>
        <v>1</v>
      </c>
    </row>
    <row r="3502" spans="2:5" x14ac:dyDescent="0.35">
      <c r="B3502" s="38">
        <v>40002</v>
      </c>
      <c r="C3502" s="3">
        <v>0</v>
      </c>
      <c r="D3502" s="3">
        <v>1</v>
      </c>
      <c r="E3502" s="3">
        <f>C3502 - D3502</f>
        <v>-1</v>
      </c>
    </row>
    <row r="3503" spans="2:5" x14ac:dyDescent="0.35">
      <c r="B3503" s="38">
        <v>40003</v>
      </c>
      <c r="C3503" s="3">
        <v>0</v>
      </c>
      <c r="D3503" s="3">
        <v>0</v>
      </c>
      <c r="E3503" s="3">
        <f>C3503 - D3503</f>
        <v>0</v>
      </c>
    </row>
    <row r="3504" spans="2:5" x14ac:dyDescent="0.35">
      <c r="B3504" s="38">
        <v>40004</v>
      </c>
      <c r="C3504" s="3">
        <v>0</v>
      </c>
      <c r="D3504" s="3">
        <v>0</v>
      </c>
      <c r="E3504" s="3">
        <f>C3504 - D3504</f>
        <v>0</v>
      </c>
    </row>
    <row r="3505" spans="2:5" x14ac:dyDescent="0.35">
      <c r="B3505" s="38">
        <v>40005</v>
      </c>
      <c r="C3505" s="3">
        <v>1</v>
      </c>
      <c r="D3505" s="3">
        <v>0</v>
      </c>
      <c r="E3505" s="3">
        <f>C3505 - D3505</f>
        <v>1</v>
      </c>
    </row>
    <row r="3506" spans="2:5" x14ac:dyDescent="0.35">
      <c r="B3506" s="38">
        <v>40006</v>
      </c>
      <c r="C3506" s="3">
        <v>1</v>
      </c>
      <c r="D3506" s="3">
        <v>1</v>
      </c>
      <c r="E3506" s="3">
        <f>C3506 - D3506</f>
        <v>0</v>
      </c>
    </row>
    <row r="3507" spans="2:5" x14ac:dyDescent="0.35">
      <c r="B3507" s="38">
        <v>40007</v>
      </c>
      <c r="C3507" s="3">
        <v>0</v>
      </c>
      <c r="D3507" s="3">
        <v>1</v>
      </c>
      <c r="E3507" s="3">
        <f>C3507 - D3507</f>
        <v>-1</v>
      </c>
    </row>
    <row r="3508" spans="2:5" x14ac:dyDescent="0.35">
      <c r="B3508" s="38">
        <v>40008</v>
      </c>
      <c r="C3508" s="3">
        <v>1</v>
      </c>
      <c r="D3508" s="3">
        <v>0</v>
      </c>
      <c r="E3508" s="3">
        <f>C3508 - D3508</f>
        <v>1</v>
      </c>
    </row>
    <row r="3509" spans="2:5" x14ac:dyDescent="0.35">
      <c r="B3509" s="38">
        <v>40009</v>
      </c>
      <c r="C3509" s="3">
        <v>0</v>
      </c>
      <c r="D3509" s="3">
        <v>1</v>
      </c>
      <c r="E3509" s="3">
        <f>C3509 - D3509</f>
        <v>-1</v>
      </c>
    </row>
    <row r="3510" spans="2:5" x14ac:dyDescent="0.35">
      <c r="B3510" s="38">
        <v>40010</v>
      </c>
      <c r="C3510" s="3">
        <v>0</v>
      </c>
      <c r="D3510" s="3">
        <v>0</v>
      </c>
      <c r="E3510" s="3">
        <f>C3510 - D3510</f>
        <v>0</v>
      </c>
    </row>
    <row r="3511" spans="2:5" x14ac:dyDescent="0.35">
      <c r="B3511" s="38">
        <v>40011</v>
      </c>
      <c r="C3511" s="3">
        <v>0</v>
      </c>
      <c r="D3511" s="3">
        <v>0</v>
      </c>
      <c r="E3511" s="3">
        <f>C3511 - D3511</f>
        <v>0</v>
      </c>
    </row>
    <row r="3512" spans="2:5" x14ac:dyDescent="0.35">
      <c r="B3512" s="38">
        <v>40012</v>
      </c>
      <c r="C3512" s="3">
        <v>0</v>
      </c>
      <c r="D3512" s="3">
        <v>0</v>
      </c>
      <c r="E3512" s="3">
        <f>C3512 - D3512</f>
        <v>0</v>
      </c>
    </row>
    <row r="3513" spans="2:5" x14ac:dyDescent="0.35">
      <c r="B3513" s="38">
        <v>40013</v>
      </c>
      <c r="C3513" s="3">
        <v>0</v>
      </c>
      <c r="D3513" s="3">
        <v>0</v>
      </c>
      <c r="E3513" s="3">
        <f>C3513 - D3513</f>
        <v>0</v>
      </c>
    </row>
    <row r="3514" spans="2:5" x14ac:dyDescent="0.35">
      <c r="B3514" s="38">
        <v>40014</v>
      </c>
      <c r="C3514" s="3">
        <v>0</v>
      </c>
      <c r="D3514" s="3">
        <v>0</v>
      </c>
      <c r="E3514" s="3">
        <f>C3514 - D3514</f>
        <v>0</v>
      </c>
    </row>
    <row r="3515" spans="2:5" x14ac:dyDescent="0.35">
      <c r="B3515" s="38">
        <v>40015</v>
      </c>
      <c r="C3515" s="3">
        <v>0</v>
      </c>
      <c r="D3515" s="3">
        <v>0</v>
      </c>
      <c r="E3515" s="3">
        <f>C3515 - D3515</f>
        <v>0</v>
      </c>
    </row>
    <row r="3516" spans="2:5" x14ac:dyDescent="0.35">
      <c r="B3516" s="38">
        <v>40016</v>
      </c>
      <c r="C3516" s="3">
        <v>0</v>
      </c>
      <c r="D3516" s="3">
        <v>0</v>
      </c>
      <c r="E3516" s="3">
        <f>C3516 - D3516</f>
        <v>0</v>
      </c>
    </row>
    <row r="3517" spans="2:5" x14ac:dyDescent="0.35">
      <c r="B3517" s="38">
        <v>40017</v>
      </c>
      <c r="C3517" s="3">
        <v>1</v>
      </c>
      <c r="D3517" s="3">
        <v>0</v>
      </c>
      <c r="E3517" s="3">
        <f>C3517 - D3517</f>
        <v>1</v>
      </c>
    </row>
    <row r="3518" spans="2:5" x14ac:dyDescent="0.35">
      <c r="B3518" s="38">
        <v>40018</v>
      </c>
      <c r="C3518" s="3">
        <v>0</v>
      </c>
      <c r="D3518" s="3">
        <v>1</v>
      </c>
      <c r="E3518" s="3">
        <f>C3518 - D3518</f>
        <v>-1</v>
      </c>
    </row>
    <row r="3519" spans="2:5" x14ac:dyDescent="0.35">
      <c r="B3519" s="38">
        <v>40019</v>
      </c>
      <c r="C3519" s="3">
        <v>0</v>
      </c>
      <c r="D3519" s="3">
        <v>0</v>
      </c>
      <c r="E3519" s="3">
        <f>C3519 - D3519</f>
        <v>0</v>
      </c>
    </row>
    <row r="3520" spans="2:5" x14ac:dyDescent="0.35">
      <c r="B3520" s="38">
        <v>40020</v>
      </c>
      <c r="C3520" s="3">
        <v>0</v>
      </c>
      <c r="D3520" s="3">
        <v>0</v>
      </c>
      <c r="E3520" s="3">
        <f>C3520 - D3520</f>
        <v>0</v>
      </c>
    </row>
    <row r="3521" spans="2:5" x14ac:dyDescent="0.35">
      <c r="B3521" s="38">
        <v>40021</v>
      </c>
      <c r="C3521" s="3">
        <v>0</v>
      </c>
      <c r="D3521" s="3">
        <v>0</v>
      </c>
      <c r="E3521" s="3">
        <f>C3521 - D3521</f>
        <v>0</v>
      </c>
    </row>
    <row r="3522" spans="2:5" x14ac:dyDescent="0.35">
      <c r="B3522" s="38">
        <v>40022</v>
      </c>
      <c r="C3522" s="3">
        <v>0</v>
      </c>
      <c r="D3522" s="3">
        <v>0</v>
      </c>
      <c r="E3522" s="3">
        <f>C3522 - D3522</f>
        <v>0</v>
      </c>
    </row>
    <row r="3523" spans="2:5" x14ac:dyDescent="0.35">
      <c r="B3523" s="38">
        <v>40023</v>
      </c>
      <c r="C3523" s="3">
        <v>0</v>
      </c>
      <c r="D3523" s="3">
        <v>0</v>
      </c>
      <c r="E3523" s="3">
        <f>C3523 - D3523</f>
        <v>0</v>
      </c>
    </row>
    <row r="3524" spans="2:5" x14ac:dyDescent="0.35">
      <c r="B3524" s="38">
        <v>40024</v>
      </c>
      <c r="C3524" s="3">
        <v>1</v>
      </c>
      <c r="D3524" s="3">
        <v>0</v>
      </c>
      <c r="E3524" s="3">
        <f>C3524 - D3524</f>
        <v>1</v>
      </c>
    </row>
    <row r="3525" spans="2:5" x14ac:dyDescent="0.35">
      <c r="B3525" s="38">
        <v>40025</v>
      </c>
      <c r="C3525" s="3">
        <v>1</v>
      </c>
      <c r="D3525" s="3">
        <v>1</v>
      </c>
      <c r="E3525" s="3">
        <f>C3525 - D3525</f>
        <v>0</v>
      </c>
    </row>
    <row r="3526" spans="2:5" x14ac:dyDescent="0.35">
      <c r="B3526" s="38">
        <v>40026</v>
      </c>
      <c r="C3526" s="3">
        <v>1</v>
      </c>
      <c r="D3526" s="3">
        <v>1</v>
      </c>
      <c r="E3526" s="3">
        <f>C3526 - D3526</f>
        <v>0</v>
      </c>
    </row>
    <row r="3527" spans="2:5" x14ac:dyDescent="0.35">
      <c r="B3527" s="38">
        <v>40027</v>
      </c>
      <c r="C3527" s="3">
        <v>1</v>
      </c>
      <c r="D3527" s="3">
        <v>1</v>
      </c>
      <c r="E3527" s="3">
        <f>C3527 - D3527</f>
        <v>0</v>
      </c>
    </row>
    <row r="3528" spans="2:5" x14ac:dyDescent="0.35">
      <c r="B3528" s="38">
        <v>40028</v>
      </c>
      <c r="C3528" s="3">
        <v>1</v>
      </c>
      <c r="D3528" s="3">
        <v>1</v>
      </c>
      <c r="E3528" s="3">
        <f>C3528 - D3528</f>
        <v>0</v>
      </c>
    </row>
    <row r="3529" spans="2:5" x14ac:dyDescent="0.35">
      <c r="B3529" s="38">
        <v>40029</v>
      </c>
      <c r="C3529" s="3">
        <v>0</v>
      </c>
      <c r="D3529" s="3">
        <v>1</v>
      </c>
      <c r="E3529" s="3">
        <f>C3529 - D3529</f>
        <v>-1</v>
      </c>
    </row>
    <row r="3530" spans="2:5" x14ac:dyDescent="0.35">
      <c r="B3530" s="38">
        <v>40030</v>
      </c>
      <c r="C3530" s="3">
        <v>1</v>
      </c>
      <c r="D3530" s="3">
        <v>0</v>
      </c>
      <c r="E3530" s="3">
        <f>C3530 - D3530</f>
        <v>1</v>
      </c>
    </row>
    <row r="3531" spans="2:5" x14ac:dyDescent="0.35">
      <c r="B3531" s="38">
        <v>40031</v>
      </c>
      <c r="C3531" s="3">
        <v>0</v>
      </c>
      <c r="D3531" s="3">
        <v>1</v>
      </c>
      <c r="E3531" s="3">
        <f>C3531 - D3531</f>
        <v>-1</v>
      </c>
    </row>
    <row r="3532" spans="2:5" x14ac:dyDescent="0.35">
      <c r="B3532" s="38">
        <v>40032</v>
      </c>
      <c r="C3532" s="3">
        <v>1</v>
      </c>
      <c r="D3532" s="3">
        <v>0</v>
      </c>
      <c r="E3532" s="3">
        <f>C3532 - D3532</f>
        <v>1</v>
      </c>
    </row>
    <row r="3533" spans="2:5" x14ac:dyDescent="0.35">
      <c r="B3533" s="38">
        <v>40033</v>
      </c>
      <c r="C3533" s="3">
        <v>0</v>
      </c>
      <c r="D3533" s="3">
        <v>1</v>
      </c>
      <c r="E3533" s="3">
        <f>C3533 - D3533</f>
        <v>-1</v>
      </c>
    </row>
    <row r="3534" spans="2:5" x14ac:dyDescent="0.35">
      <c r="B3534" s="38">
        <v>40034</v>
      </c>
      <c r="C3534" s="3">
        <v>0</v>
      </c>
      <c r="D3534" s="3">
        <v>0</v>
      </c>
      <c r="E3534" s="3">
        <f>C3534 - D3534</f>
        <v>0</v>
      </c>
    </row>
    <row r="3535" spans="2:5" x14ac:dyDescent="0.35">
      <c r="B3535" s="38">
        <v>40035</v>
      </c>
      <c r="C3535" s="3">
        <v>0</v>
      </c>
      <c r="D3535" s="3">
        <v>0</v>
      </c>
      <c r="E3535" s="3">
        <f>C3535 - D3535</f>
        <v>0</v>
      </c>
    </row>
    <row r="3536" spans="2:5" x14ac:dyDescent="0.35">
      <c r="B3536" s="38">
        <v>40036</v>
      </c>
      <c r="C3536" s="3">
        <v>1</v>
      </c>
      <c r="D3536" s="3">
        <v>0</v>
      </c>
      <c r="E3536" s="3">
        <f>C3536 - D3536</f>
        <v>1</v>
      </c>
    </row>
    <row r="3537" spans="2:5" x14ac:dyDescent="0.35">
      <c r="B3537" s="38">
        <v>40037</v>
      </c>
      <c r="C3537" s="3">
        <v>1</v>
      </c>
      <c r="D3537" s="3">
        <v>1</v>
      </c>
      <c r="E3537" s="3">
        <f>C3537 - D3537</f>
        <v>0</v>
      </c>
    </row>
    <row r="3538" spans="2:5" x14ac:dyDescent="0.35">
      <c r="B3538" s="38">
        <v>40038</v>
      </c>
      <c r="C3538" s="3">
        <v>1</v>
      </c>
      <c r="D3538" s="3">
        <v>1</v>
      </c>
      <c r="E3538" s="3">
        <f>C3538 - D3538</f>
        <v>0</v>
      </c>
    </row>
    <row r="3539" spans="2:5" x14ac:dyDescent="0.35">
      <c r="B3539" s="38">
        <v>40039</v>
      </c>
      <c r="C3539" s="3">
        <v>1</v>
      </c>
      <c r="D3539" s="3">
        <v>1</v>
      </c>
      <c r="E3539" s="3">
        <f>C3539 - D3539</f>
        <v>0</v>
      </c>
    </row>
    <row r="3540" spans="2:5" x14ac:dyDescent="0.35">
      <c r="B3540" s="38">
        <v>40040</v>
      </c>
      <c r="C3540" s="3">
        <v>0</v>
      </c>
      <c r="D3540" s="3">
        <v>1</v>
      </c>
      <c r="E3540" s="3">
        <f>C3540 - D3540</f>
        <v>-1</v>
      </c>
    </row>
    <row r="3541" spans="2:5" x14ac:dyDescent="0.35">
      <c r="B3541" s="38">
        <v>40041</v>
      </c>
      <c r="C3541" s="3">
        <v>0</v>
      </c>
      <c r="D3541" s="3">
        <v>0</v>
      </c>
      <c r="E3541" s="3">
        <f>C3541 - D3541</f>
        <v>0</v>
      </c>
    </row>
    <row r="3542" spans="2:5" x14ac:dyDescent="0.35">
      <c r="B3542" s="38">
        <v>40042</v>
      </c>
      <c r="C3542" s="3">
        <v>1</v>
      </c>
      <c r="D3542" s="3">
        <v>0</v>
      </c>
      <c r="E3542" s="3">
        <f>C3542 - D3542</f>
        <v>1</v>
      </c>
    </row>
    <row r="3543" spans="2:5" x14ac:dyDescent="0.35">
      <c r="B3543" s="38">
        <v>40043</v>
      </c>
      <c r="C3543" s="3">
        <v>0</v>
      </c>
      <c r="D3543" s="3">
        <v>1</v>
      </c>
      <c r="E3543" s="3">
        <f>C3543 - D3543</f>
        <v>-1</v>
      </c>
    </row>
    <row r="3544" spans="2:5" x14ac:dyDescent="0.35">
      <c r="B3544" s="38">
        <v>40044</v>
      </c>
      <c r="C3544" s="3">
        <v>0</v>
      </c>
      <c r="D3544" s="3">
        <v>0</v>
      </c>
      <c r="E3544" s="3">
        <f>C3544 - D3544</f>
        <v>0</v>
      </c>
    </row>
    <row r="3545" spans="2:5" x14ac:dyDescent="0.35">
      <c r="B3545" s="38">
        <v>40045</v>
      </c>
      <c r="C3545" s="3">
        <v>1</v>
      </c>
      <c r="D3545" s="3">
        <v>0</v>
      </c>
      <c r="E3545" s="3">
        <f>C3545 - D3545</f>
        <v>1</v>
      </c>
    </row>
    <row r="3546" spans="2:5" x14ac:dyDescent="0.35">
      <c r="B3546" s="38">
        <v>40046</v>
      </c>
      <c r="C3546" s="3">
        <v>1</v>
      </c>
      <c r="D3546" s="3">
        <v>1</v>
      </c>
      <c r="E3546" s="3">
        <f>C3546 - D3546</f>
        <v>0</v>
      </c>
    </row>
    <row r="3547" spans="2:5" x14ac:dyDescent="0.35">
      <c r="B3547" s="38">
        <v>40047</v>
      </c>
      <c r="C3547" s="3">
        <v>1</v>
      </c>
      <c r="D3547" s="3">
        <v>1</v>
      </c>
      <c r="E3547" s="3">
        <f>C3547 - D3547</f>
        <v>0</v>
      </c>
    </row>
    <row r="3548" spans="2:5" x14ac:dyDescent="0.35">
      <c r="B3548" s="38">
        <v>40048</v>
      </c>
      <c r="C3548" s="3">
        <v>0</v>
      </c>
      <c r="D3548" s="3">
        <v>1</v>
      </c>
      <c r="E3548" s="3">
        <f>C3548 - D3548</f>
        <v>-1</v>
      </c>
    </row>
    <row r="3549" spans="2:5" x14ac:dyDescent="0.35">
      <c r="B3549" s="38">
        <v>40049</v>
      </c>
      <c r="C3549" s="3">
        <v>1</v>
      </c>
      <c r="D3549" s="3">
        <v>0</v>
      </c>
      <c r="E3549" s="3">
        <f>C3549 - D3549</f>
        <v>1</v>
      </c>
    </row>
    <row r="3550" spans="2:5" x14ac:dyDescent="0.35">
      <c r="B3550" s="38">
        <v>40050</v>
      </c>
      <c r="C3550" s="3">
        <v>1</v>
      </c>
      <c r="D3550" s="3">
        <v>1</v>
      </c>
      <c r="E3550" s="3">
        <f>C3550 - D3550</f>
        <v>0</v>
      </c>
    </row>
    <row r="3551" spans="2:5" x14ac:dyDescent="0.35">
      <c r="B3551" s="38">
        <v>40051</v>
      </c>
      <c r="C3551" s="3">
        <v>1</v>
      </c>
      <c r="D3551" s="3">
        <v>1</v>
      </c>
      <c r="E3551" s="3">
        <f>C3551 - D3551</f>
        <v>0</v>
      </c>
    </row>
    <row r="3552" spans="2:5" x14ac:dyDescent="0.35">
      <c r="B3552" s="38">
        <v>40052</v>
      </c>
      <c r="C3552" s="3">
        <v>0</v>
      </c>
      <c r="D3552" s="3">
        <v>1</v>
      </c>
      <c r="E3552" s="3">
        <f>C3552 - D3552</f>
        <v>-1</v>
      </c>
    </row>
    <row r="3553" spans="2:5" x14ac:dyDescent="0.35">
      <c r="B3553" s="38">
        <v>40053</v>
      </c>
      <c r="C3553" s="3">
        <v>0</v>
      </c>
      <c r="D3553" s="3">
        <v>0</v>
      </c>
      <c r="E3553" s="3">
        <f>C3553 - D3553</f>
        <v>0</v>
      </c>
    </row>
    <row r="3554" spans="2:5" x14ac:dyDescent="0.35">
      <c r="B3554" s="38">
        <v>40054</v>
      </c>
      <c r="C3554" s="3">
        <v>0</v>
      </c>
      <c r="D3554" s="3">
        <v>0</v>
      </c>
      <c r="E3554" s="3">
        <f>C3554 - D3554</f>
        <v>0</v>
      </c>
    </row>
    <row r="3555" spans="2:5" x14ac:dyDescent="0.35">
      <c r="B3555" s="38">
        <v>40055</v>
      </c>
      <c r="C3555" s="3">
        <v>1</v>
      </c>
      <c r="D3555" s="3">
        <v>0</v>
      </c>
      <c r="E3555" s="3">
        <f>C3555 - D3555</f>
        <v>1</v>
      </c>
    </row>
    <row r="3556" spans="2:5" x14ac:dyDescent="0.35">
      <c r="B3556" s="38">
        <v>40056</v>
      </c>
      <c r="C3556" s="3">
        <v>0</v>
      </c>
      <c r="D3556" s="3">
        <v>1</v>
      </c>
      <c r="E3556" s="3">
        <f>C3556 - D3556</f>
        <v>-1</v>
      </c>
    </row>
    <row r="3557" spans="2:5" x14ac:dyDescent="0.35">
      <c r="B3557" s="38">
        <v>40057</v>
      </c>
      <c r="C3557" s="3">
        <v>1</v>
      </c>
      <c r="D3557" s="3">
        <v>0</v>
      </c>
      <c r="E3557" s="3">
        <f>C3557 - D3557</f>
        <v>1</v>
      </c>
    </row>
    <row r="3558" spans="2:5" x14ac:dyDescent="0.35">
      <c r="B3558" s="38">
        <v>40058</v>
      </c>
      <c r="C3558" s="3">
        <v>0</v>
      </c>
      <c r="D3558" s="3">
        <v>1</v>
      </c>
      <c r="E3558" s="3">
        <f>C3558 - D3558</f>
        <v>-1</v>
      </c>
    </row>
    <row r="3559" spans="2:5" x14ac:dyDescent="0.35">
      <c r="B3559" s="38">
        <v>40059</v>
      </c>
      <c r="C3559" s="3">
        <v>0</v>
      </c>
      <c r="D3559" s="3">
        <v>0</v>
      </c>
      <c r="E3559" s="3">
        <f>C3559 - D3559</f>
        <v>0</v>
      </c>
    </row>
    <row r="3560" spans="2:5" x14ac:dyDescent="0.35">
      <c r="B3560" s="38">
        <v>40060</v>
      </c>
      <c r="C3560" s="3">
        <v>1</v>
      </c>
      <c r="D3560" s="3">
        <v>0</v>
      </c>
      <c r="E3560" s="3">
        <f>C3560 - D3560</f>
        <v>1</v>
      </c>
    </row>
    <row r="3561" spans="2:5" x14ac:dyDescent="0.35">
      <c r="B3561" s="38">
        <v>40061</v>
      </c>
      <c r="C3561" s="3">
        <v>1</v>
      </c>
      <c r="D3561" s="3">
        <v>1</v>
      </c>
      <c r="E3561" s="3">
        <f>C3561 - D3561</f>
        <v>0</v>
      </c>
    </row>
    <row r="3562" spans="2:5" x14ac:dyDescent="0.35">
      <c r="B3562" s="38">
        <v>40062</v>
      </c>
      <c r="C3562" s="3">
        <v>0</v>
      </c>
      <c r="D3562" s="3">
        <v>1</v>
      </c>
      <c r="E3562" s="3">
        <f>C3562 - D3562</f>
        <v>-1</v>
      </c>
    </row>
    <row r="3563" spans="2:5" x14ac:dyDescent="0.35">
      <c r="B3563" s="38">
        <v>40063</v>
      </c>
      <c r="C3563" s="3">
        <v>1</v>
      </c>
      <c r="D3563" s="3">
        <v>0</v>
      </c>
      <c r="E3563" s="3">
        <f>C3563 - D3563</f>
        <v>1</v>
      </c>
    </row>
    <row r="3564" spans="2:5" x14ac:dyDescent="0.35">
      <c r="B3564" s="38">
        <v>40064</v>
      </c>
      <c r="C3564" s="3">
        <v>1</v>
      </c>
      <c r="D3564" s="3">
        <v>1</v>
      </c>
      <c r="E3564" s="3">
        <f>C3564 - D3564</f>
        <v>0</v>
      </c>
    </row>
    <row r="3565" spans="2:5" x14ac:dyDescent="0.35">
      <c r="B3565" s="38">
        <v>40065</v>
      </c>
      <c r="C3565" s="3">
        <v>1</v>
      </c>
      <c r="D3565" s="3">
        <v>1</v>
      </c>
      <c r="E3565" s="3">
        <f>C3565 - D3565</f>
        <v>0</v>
      </c>
    </row>
    <row r="3566" spans="2:5" x14ac:dyDescent="0.35">
      <c r="B3566" s="38">
        <v>40066</v>
      </c>
      <c r="C3566" s="3">
        <v>0</v>
      </c>
      <c r="D3566" s="3">
        <v>1</v>
      </c>
      <c r="E3566" s="3">
        <f>C3566 - D3566</f>
        <v>-1</v>
      </c>
    </row>
    <row r="3567" spans="2:5" x14ac:dyDescent="0.35">
      <c r="B3567" s="38">
        <v>40067</v>
      </c>
      <c r="C3567" s="3">
        <v>0</v>
      </c>
      <c r="D3567" s="3">
        <v>0</v>
      </c>
      <c r="E3567" s="3">
        <f>C3567 - D3567</f>
        <v>0</v>
      </c>
    </row>
    <row r="3568" spans="2:5" x14ac:dyDescent="0.35">
      <c r="B3568" s="38">
        <v>40068</v>
      </c>
      <c r="C3568" s="3">
        <v>0</v>
      </c>
      <c r="D3568" s="3">
        <v>0</v>
      </c>
      <c r="E3568" s="3">
        <f>C3568 - D3568</f>
        <v>0</v>
      </c>
    </row>
    <row r="3569" spans="2:5" x14ac:dyDescent="0.35">
      <c r="B3569" s="38">
        <v>40069</v>
      </c>
      <c r="C3569" s="3">
        <v>0</v>
      </c>
      <c r="D3569" s="3">
        <v>0</v>
      </c>
      <c r="E3569" s="3">
        <f>C3569 - D3569</f>
        <v>0</v>
      </c>
    </row>
    <row r="3570" spans="2:5" x14ac:dyDescent="0.35">
      <c r="B3570" s="38">
        <v>40070</v>
      </c>
      <c r="C3570" s="3">
        <v>0</v>
      </c>
      <c r="D3570" s="3">
        <v>0</v>
      </c>
      <c r="E3570" s="3">
        <f>C3570 - D3570</f>
        <v>0</v>
      </c>
    </row>
    <row r="3571" spans="2:5" x14ac:dyDescent="0.35">
      <c r="B3571" s="38">
        <v>40071</v>
      </c>
      <c r="C3571" s="3">
        <v>0</v>
      </c>
      <c r="D3571" s="3">
        <v>0</v>
      </c>
      <c r="E3571" s="3">
        <f>C3571 - D3571</f>
        <v>0</v>
      </c>
    </row>
    <row r="3572" spans="2:5" x14ac:dyDescent="0.35">
      <c r="B3572" s="38">
        <v>40072</v>
      </c>
      <c r="C3572" s="3">
        <v>0</v>
      </c>
      <c r="D3572" s="3">
        <v>0</v>
      </c>
      <c r="E3572" s="3">
        <f>C3572 - D3572</f>
        <v>0</v>
      </c>
    </row>
    <row r="3573" spans="2:5" x14ac:dyDescent="0.35">
      <c r="B3573" s="38">
        <v>40073</v>
      </c>
      <c r="C3573" s="3">
        <v>0</v>
      </c>
      <c r="D3573" s="3">
        <v>0</v>
      </c>
      <c r="E3573" s="3">
        <f>C3573 - D3573</f>
        <v>0</v>
      </c>
    </row>
    <row r="3574" spans="2:5" x14ac:dyDescent="0.35">
      <c r="B3574" s="38">
        <v>40074</v>
      </c>
      <c r="C3574" s="3">
        <v>1</v>
      </c>
      <c r="D3574" s="3">
        <v>0</v>
      </c>
      <c r="E3574" s="3">
        <f>C3574 - D3574</f>
        <v>1</v>
      </c>
    </row>
    <row r="3575" spans="2:5" x14ac:dyDescent="0.35">
      <c r="B3575" s="38">
        <v>40075</v>
      </c>
      <c r="C3575" s="3">
        <v>0</v>
      </c>
      <c r="D3575" s="3">
        <v>1</v>
      </c>
      <c r="E3575" s="3">
        <f>C3575 - D3575</f>
        <v>-1</v>
      </c>
    </row>
    <row r="3576" spans="2:5" x14ac:dyDescent="0.35">
      <c r="B3576" s="38">
        <v>40076</v>
      </c>
      <c r="C3576" s="3">
        <v>1</v>
      </c>
      <c r="D3576" s="3">
        <v>0</v>
      </c>
      <c r="E3576" s="3">
        <f>C3576 - D3576</f>
        <v>1</v>
      </c>
    </row>
    <row r="3577" spans="2:5" x14ac:dyDescent="0.35">
      <c r="B3577" s="38">
        <v>40077</v>
      </c>
      <c r="C3577" s="3">
        <v>0</v>
      </c>
      <c r="D3577" s="3">
        <v>1</v>
      </c>
      <c r="E3577" s="3">
        <f>C3577 - D3577</f>
        <v>-1</v>
      </c>
    </row>
    <row r="3578" spans="2:5" x14ac:dyDescent="0.35">
      <c r="B3578" s="38">
        <v>40078</v>
      </c>
      <c r="C3578" s="3">
        <v>1</v>
      </c>
      <c r="D3578" s="3">
        <v>0</v>
      </c>
      <c r="E3578" s="3">
        <f>C3578 - D3578</f>
        <v>1</v>
      </c>
    </row>
    <row r="3579" spans="2:5" x14ac:dyDescent="0.35">
      <c r="B3579" s="38">
        <v>40079</v>
      </c>
      <c r="C3579" s="3">
        <v>0</v>
      </c>
      <c r="D3579" s="3">
        <v>1</v>
      </c>
      <c r="E3579" s="3">
        <f>C3579 - D3579</f>
        <v>-1</v>
      </c>
    </row>
    <row r="3580" spans="2:5" x14ac:dyDescent="0.35">
      <c r="B3580" s="38">
        <v>40080</v>
      </c>
      <c r="C3580" s="3">
        <v>1</v>
      </c>
      <c r="D3580" s="3">
        <v>0</v>
      </c>
      <c r="E3580" s="3">
        <f>C3580 - D3580</f>
        <v>1</v>
      </c>
    </row>
    <row r="3581" spans="2:5" x14ac:dyDescent="0.35">
      <c r="B3581" s="38">
        <v>40081</v>
      </c>
      <c r="C3581" s="3">
        <v>1</v>
      </c>
      <c r="D3581" s="3">
        <v>1</v>
      </c>
      <c r="E3581" s="3">
        <f>C3581 - D3581</f>
        <v>0</v>
      </c>
    </row>
    <row r="3582" spans="2:5" x14ac:dyDescent="0.35">
      <c r="B3582" s="38">
        <v>40082</v>
      </c>
      <c r="C3582" s="3">
        <v>1</v>
      </c>
      <c r="D3582" s="3">
        <v>1</v>
      </c>
      <c r="E3582" s="3">
        <f>C3582 - D3582</f>
        <v>0</v>
      </c>
    </row>
    <row r="3583" spans="2:5" x14ac:dyDescent="0.35">
      <c r="B3583" s="38">
        <v>40083</v>
      </c>
      <c r="C3583" s="3">
        <v>1</v>
      </c>
      <c r="D3583" s="3">
        <v>1</v>
      </c>
      <c r="E3583" s="3">
        <f>C3583 - D3583</f>
        <v>0</v>
      </c>
    </row>
    <row r="3584" spans="2:5" x14ac:dyDescent="0.35">
      <c r="B3584" s="38">
        <v>40084</v>
      </c>
      <c r="C3584" s="3">
        <v>1</v>
      </c>
      <c r="D3584" s="3">
        <v>1</v>
      </c>
      <c r="E3584" s="3">
        <f>C3584 - D3584</f>
        <v>0</v>
      </c>
    </row>
    <row r="3585" spans="2:5" x14ac:dyDescent="0.35">
      <c r="B3585" s="38">
        <v>40085</v>
      </c>
      <c r="C3585" s="3">
        <v>1</v>
      </c>
      <c r="D3585" s="3">
        <v>1</v>
      </c>
      <c r="E3585" s="3">
        <f>C3585 - D3585</f>
        <v>0</v>
      </c>
    </row>
    <row r="3586" spans="2:5" x14ac:dyDescent="0.35">
      <c r="B3586" s="38">
        <v>40086</v>
      </c>
      <c r="C3586" s="3">
        <v>0</v>
      </c>
      <c r="D3586" s="3">
        <v>1</v>
      </c>
      <c r="E3586" s="3">
        <f>C3586 - D3586</f>
        <v>-1</v>
      </c>
    </row>
    <row r="3587" spans="2:5" x14ac:dyDescent="0.35">
      <c r="B3587" s="38">
        <v>40087</v>
      </c>
      <c r="C3587" s="3">
        <v>0</v>
      </c>
      <c r="D3587" s="3">
        <v>0</v>
      </c>
      <c r="E3587" s="3">
        <f>C3587 - D3587</f>
        <v>0</v>
      </c>
    </row>
    <row r="3588" spans="2:5" x14ac:dyDescent="0.35">
      <c r="B3588" s="38">
        <v>40088</v>
      </c>
      <c r="C3588" s="3">
        <v>0</v>
      </c>
      <c r="D3588" s="3">
        <v>0</v>
      </c>
      <c r="E3588" s="3">
        <f>C3588 - D3588</f>
        <v>0</v>
      </c>
    </row>
    <row r="3589" spans="2:5" x14ac:dyDescent="0.35">
      <c r="B3589" s="38">
        <v>40089</v>
      </c>
      <c r="C3589" s="3">
        <v>0</v>
      </c>
      <c r="D3589" s="3">
        <v>0</v>
      </c>
      <c r="E3589" s="3">
        <f>C3589 - D3589</f>
        <v>0</v>
      </c>
    </row>
    <row r="3590" spans="2:5" x14ac:dyDescent="0.35">
      <c r="B3590" s="38">
        <v>40090</v>
      </c>
      <c r="C3590" s="3">
        <v>0</v>
      </c>
      <c r="D3590" s="3">
        <v>0</v>
      </c>
      <c r="E3590" s="3">
        <f>C3590 - D3590</f>
        <v>0</v>
      </c>
    </row>
    <row r="3591" spans="2:5" x14ac:dyDescent="0.35">
      <c r="B3591" s="38">
        <v>40091</v>
      </c>
      <c r="C3591" s="3">
        <v>0</v>
      </c>
      <c r="D3591" s="3">
        <v>0</v>
      </c>
      <c r="E3591" s="3">
        <f>C3591 - D3591</f>
        <v>0</v>
      </c>
    </row>
    <row r="3592" spans="2:5" x14ac:dyDescent="0.35">
      <c r="B3592" s="38">
        <v>40092</v>
      </c>
      <c r="C3592" s="3">
        <v>1</v>
      </c>
      <c r="D3592" s="3">
        <v>0</v>
      </c>
      <c r="E3592" s="3">
        <f>C3592 - D3592</f>
        <v>1</v>
      </c>
    </row>
    <row r="3593" spans="2:5" x14ac:dyDescent="0.35">
      <c r="B3593" s="38">
        <v>40093</v>
      </c>
      <c r="C3593" s="3">
        <v>1</v>
      </c>
      <c r="D3593" s="3">
        <v>1</v>
      </c>
      <c r="E3593" s="3">
        <f>C3593 - D3593</f>
        <v>0</v>
      </c>
    </row>
    <row r="3594" spans="2:5" x14ac:dyDescent="0.35">
      <c r="B3594" s="38">
        <v>40094</v>
      </c>
      <c r="C3594" s="3">
        <v>1</v>
      </c>
      <c r="D3594" s="3">
        <v>1</v>
      </c>
      <c r="E3594" s="3">
        <f>C3594 - D3594</f>
        <v>0</v>
      </c>
    </row>
    <row r="3595" spans="2:5" x14ac:dyDescent="0.35">
      <c r="B3595" s="38">
        <v>40095</v>
      </c>
      <c r="C3595" s="3">
        <v>0</v>
      </c>
      <c r="D3595" s="3">
        <v>1</v>
      </c>
      <c r="E3595" s="3">
        <f>C3595 - D3595</f>
        <v>-1</v>
      </c>
    </row>
    <row r="3596" spans="2:5" x14ac:dyDescent="0.35">
      <c r="B3596" s="38">
        <v>40096</v>
      </c>
      <c r="C3596" s="3">
        <v>0</v>
      </c>
      <c r="D3596" s="3">
        <v>0</v>
      </c>
      <c r="E3596" s="3">
        <f>C3596 - D3596</f>
        <v>0</v>
      </c>
    </row>
    <row r="3597" spans="2:5" x14ac:dyDescent="0.35">
      <c r="B3597" s="38">
        <v>40097</v>
      </c>
      <c r="C3597" s="3">
        <v>0</v>
      </c>
      <c r="D3597" s="3">
        <v>0</v>
      </c>
      <c r="E3597" s="3">
        <f>C3597 - D3597</f>
        <v>0</v>
      </c>
    </row>
    <row r="3598" spans="2:5" x14ac:dyDescent="0.35">
      <c r="B3598" s="38">
        <v>40098</v>
      </c>
      <c r="C3598" s="3">
        <v>1</v>
      </c>
      <c r="D3598" s="3">
        <v>0</v>
      </c>
      <c r="E3598" s="3">
        <f>C3598 - D3598</f>
        <v>1</v>
      </c>
    </row>
    <row r="3599" spans="2:5" x14ac:dyDescent="0.35">
      <c r="B3599" s="38">
        <v>40099</v>
      </c>
      <c r="C3599" s="3">
        <v>1</v>
      </c>
      <c r="D3599" s="3">
        <v>1</v>
      </c>
      <c r="E3599" s="3">
        <f>C3599 - D3599</f>
        <v>0</v>
      </c>
    </row>
    <row r="3600" spans="2:5" x14ac:dyDescent="0.35">
      <c r="B3600" s="38">
        <v>40100</v>
      </c>
      <c r="C3600" s="3">
        <v>1</v>
      </c>
      <c r="D3600" s="3">
        <v>1</v>
      </c>
      <c r="E3600" s="3">
        <f>C3600 - D3600</f>
        <v>0</v>
      </c>
    </row>
    <row r="3601" spans="2:5" x14ac:dyDescent="0.35">
      <c r="B3601" s="38">
        <v>40101</v>
      </c>
      <c r="C3601" s="3">
        <v>1</v>
      </c>
      <c r="D3601" s="3">
        <v>1</v>
      </c>
      <c r="E3601" s="3">
        <f>C3601 - D3601</f>
        <v>0</v>
      </c>
    </row>
    <row r="3602" spans="2:5" x14ac:dyDescent="0.35">
      <c r="B3602" s="38">
        <v>40102</v>
      </c>
      <c r="C3602" s="3">
        <v>1</v>
      </c>
      <c r="D3602" s="3">
        <v>1</v>
      </c>
      <c r="E3602" s="3">
        <f>C3602 - D3602</f>
        <v>0</v>
      </c>
    </row>
    <row r="3603" spans="2:5" x14ac:dyDescent="0.35">
      <c r="B3603" s="38">
        <v>40103</v>
      </c>
      <c r="C3603" s="3">
        <v>1</v>
      </c>
      <c r="D3603" s="3">
        <v>1</v>
      </c>
      <c r="E3603" s="3">
        <f>C3603 - D3603</f>
        <v>0</v>
      </c>
    </row>
    <row r="3604" spans="2:5" x14ac:dyDescent="0.35">
      <c r="B3604" s="38">
        <v>40104</v>
      </c>
      <c r="C3604" s="3">
        <v>0</v>
      </c>
      <c r="D3604" s="3">
        <v>1</v>
      </c>
      <c r="E3604" s="3">
        <f>C3604 - D3604</f>
        <v>-1</v>
      </c>
    </row>
    <row r="3605" spans="2:5" x14ac:dyDescent="0.35">
      <c r="B3605" s="38">
        <v>40105</v>
      </c>
      <c r="C3605" s="3">
        <v>0</v>
      </c>
      <c r="D3605" s="3">
        <v>0</v>
      </c>
      <c r="E3605" s="3">
        <f>C3605 - D3605</f>
        <v>0</v>
      </c>
    </row>
    <row r="3606" spans="2:5" x14ac:dyDescent="0.35">
      <c r="B3606" s="38">
        <v>40106</v>
      </c>
      <c r="C3606" s="3">
        <v>0</v>
      </c>
      <c r="D3606" s="3">
        <v>0</v>
      </c>
      <c r="E3606" s="3">
        <f>C3606 - D3606</f>
        <v>0</v>
      </c>
    </row>
    <row r="3607" spans="2:5" x14ac:dyDescent="0.35">
      <c r="B3607" s="38">
        <v>40107</v>
      </c>
      <c r="C3607" s="3">
        <v>0</v>
      </c>
      <c r="D3607" s="3">
        <v>0</v>
      </c>
      <c r="E3607" s="3">
        <f>C3607 - D3607</f>
        <v>0</v>
      </c>
    </row>
    <row r="3608" spans="2:5" x14ac:dyDescent="0.35">
      <c r="B3608" s="38">
        <v>40108</v>
      </c>
      <c r="C3608" s="3">
        <v>0</v>
      </c>
      <c r="D3608" s="3">
        <v>0</v>
      </c>
      <c r="E3608" s="3">
        <f>C3608 - D3608</f>
        <v>0</v>
      </c>
    </row>
    <row r="3609" spans="2:5" x14ac:dyDescent="0.35">
      <c r="B3609" s="38">
        <v>40109</v>
      </c>
      <c r="C3609" s="3">
        <v>0</v>
      </c>
      <c r="D3609" s="3">
        <v>0</v>
      </c>
      <c r="E3609" s="3">
        <f>C3609 - D3609</f>
        <v>0</v>
      </c>
    </row>
    <row r="3610" spans="2:5" x14ac:dyDescent="0.35">
      <c r="B3610" s="38">
        <v>40110</v>
      </c>
      <c r="C3610" s="3">
        <v>0</v>
      </c>
      <c r="D3610" s="3">
        <v>0</v>
      </c>
      <c r="E3610" s="3">
        <f>C3610 - D3610</f>
        <v>0</v>
      </c>
    </row>
    <row r="3611" spans="2:5" x14ac:dyDescent="0.35">
      <c r="B3611" s="38">
        <v>40111</v>
      </c>
      <c r="C3611" s="3">
        <v>0</v>
      </c>
      <c r="D3611" s="3">
        <v>0</v>
      </c>
      <c r="E3611" s="3">
        <f>C3611 - D3611</f>
        <v>0</v>
      </c>
    </row>
    <row r="3612" spans="2:5" x14ac:dyDescent="0.35">
      <c r="B3612" s="38">
        <v>40112</v>
      </c>
      <c r="C3612" s="3">
        <v>0</v>
      </c>
      <c r="D3612" s="3">
        <v>0</v>
      </c>
      <c r="E3612" s="3">
        <f>C3612 - D3612</f>
        <v>0</v>
      </c>
    </row>
    <row r="3613" spans="2:5" x14ac:dyDescent="0.35">
      <c r="B3613" s="38">
        <v>40113</v>
      </c>
      <c r="C3613" s="3">
        <v>0</v>
      </c>
      <c r="D3613" s="3">
        <v>0</v>
      </c>
      <c r="E3613" s="3">
        <f>C3613 - D3613</f>
        <v>0</v>
      </c>
    </row>
    <row r="3614" spans="2:5" x14ac:dyDescent="0.35">
      <c r="B3614" s="38">
        <v>40114</v>
      </c>
      <c r="C3614" s="3">
        <v>0</v>
      </c>
      <c r="D3614" s="3">
        <v>0</v>
      </c>
      <c r="E3614" s="3">
        <f>C3614 - D3614</f>
        <v>0</v>
      </c>
    </row>
    <row r="3615" spans="2:5" x14ac:dyDescent="0.35">
      <c r="B3615" s="38">
        <v>40115</v>
      </c>
      <c r="C3615" s="3">
        <v>0</v>
      </c>
      <c r="D3615" s="3">
        <v>0</v>
      </c>
      <c r="E3615" s="3">
        <f>C3615 - D3615</f>
        <v>0</v>
      </c>
    </row>
    <row r="3616" spans="2:5" x14ac:dyDescent="0.35">
      <c r="B3616" s="38">
        <v>40116</v>
      </c>
      <c r="C3616" s="3">
        <v>1</v>
      </c>
      <c r="D3616" s="3">
        <v>0</v>
      </c>
      <c r="E3616" s="3">
        <f>C3616 - D3616</f>
        <v>1</v>
      </c>
    </row>
    <row r="3617" spans="2:5" x14ac:dyDescent="0.35">
      <c r="B3617" s="38">
        <v>40117</v>
      </c>
      <c r="C3617" s="3">
        <v>1</v>
      </c>
      <c r="D3617" s="3">
        <v>1</v>
      </c>
      <c r="E3617" s="3">
        <f>C3617 - D3617</f>
        <v>0</v>
      </c>
    </row>
    <row r="3618" spans="2:5" x14ac:dyDescent="0.35">
      <c r="B3618" s="38">
        <v>40118</v>
      </c>
      <c r="C3618" s="3">
        <v>1</v>
      </c>
      <c r="D3618" s="3">
        <v>1</v>
      </c>
      <c r="E3618" s="3">
        <f>C3618 - D3618</f>
        <v>0</v>
      </c>
    </row>
    <row r="3619" spans="2:5" x14ac:dyDescent="0.35">
      <c r="B3619" s="38">
        <v>40119</v>
      </c>
      <c r="C3619" s="3">
        <v>0</v>
      </c>
      <c r="D3619" s="3">
        <v>1</v>
      </c>
      <c r="E3619" s="3">
        <f>C3619 - D3619</f>
        <v>-1</v>
      </c>
    </row>
    <row r="3620" spans="2:5" x14ac:dyDescent="0.35">
      <c r="B3620" s="38">
        <v>40120</v>
      </c>
      <c r="C3620" s="3">
        <v>1</v>
      </c>
      <c r="D3620" s="3">
        <v>0</v>
      </c>
      <c r="E3620" s="3">
        <f>C3620 - D3620</f>
        <v>1</v>
      </c>
    </row>
    <row r="3621" spans="2:5" x14ac:dyDescent="0.35">
      <c r="B3621" s="38">
        <v>40121</v>
      </c>
      <c r="C3621" s="3">
        <v>0</v>
      </c>
      <c r="D3621" s="3">
        <v>1</v>
      </c>
      <c r="E3621" s="3">
        <f>C3621 - D3621</f>
        <v>-1</v>
      </c>
    </row>
    <row r="3622" spans="2:5" x14ac:dyDescent="0.35">
      <c r="B3622" s="38">
        <v>40122</v>
      </c>
      <c r="C3622" s="3">
        <v>0</v>
      </c>
      <c r="D3622" s="3">
        <v>0</v>
      </c>
      <c r="E3622" s="3">
        <f>C3622 - D3622</f>
        <v>0</v>
      </c>
    </row>
    <row r="3623" spans="2:5" x14ac:dyDescent="0.35">
      <c r="B3623" s="38">
        <v>40123</v>
      </c>
      <c r="C3623" s="3">
        <v>0</v>
      </c>
      <c r="D3623" s="3">
        <v>0</v>
      </c>
      <c r="E3623" s="3">
        <f>C3623 - D3623</f>
        <v>0</v>
      </c>
    </row>
    <row r="3624" spans="2:5" x14ac:dyDescent="0.35">
      <c r="B3624" s="38">
        <v>40124</v>
      </c>
      <c r="C3624" s="3">
        <v>0</v>
      </c>
      <c r="D3624" s="3">
        <v>0</v>
      </c>
      <c r="E3624" s="3">
        <f>C3624 - D3624</f>
        <v>0</v>
      </c>
    </row>
    <row r="3625" spans="2:5" x14ac:dyDescent="0.35">
      <c r="B3625" s="38">
        <v>40125</v>
      </c>
      <c r="C3625" s="3">
        <v>0</v>
      </c>
      <c r="D3625" s="3">
        <v>0</v>
      </c>
      <c r="E3625" s="3">
        <f>C3625 - D3625</f>
        <v>0</v>
      </c>
    </row>
    <row r="3626" spans="2:5" x14ac:dyDescent="0.35">
      <c r="B3626" s="38">
        <v>40126</v>
      </c>
      <c r="C3626" s="3">
        <v>0</v>
      </c>
      <c r="D3626" s="3">
        <v>0</v>
      </c>
      <c r="E3626" s="3">
        <f>C3626 - D3626</f>
        <v>0</v>
      </c>
    </row>
    <row r="3627" spans="2:5" x14ac:dyDescent="0.35">
      <c r="B3627" s="38">
        <v>40127</v>
      </c>
      <c r="C3627" s="3">
        <v>0</v>
      </c>
      <c r="D3627" s="3">
        <v>0</v>
      </c>
      <c r="E3627" s="3">
        <f>C3627 - D3627</f>
        <v>0</v>
      </c>
    </row>
    <row r="3628" spans="2:5" x14ac:dyDescent="0.35">
      <c r="B3628" s="38">
        <v>40128</v>
      </c>
      <c r="C3628" s="3">
        <v>0</v>
      </c>
      <c r="D3628" s="3">
        <v>0</v>
      </c>
      <c r="E3628" s="3">
        <f>C3628 - D3628</f>
        <v>0</v>
      </c>
    </row>
    <row r="3629" spans="2:5" x14ac:dyDescent="0.35">
      <c r="B3629" s="38">
        <v>40129</v>
      </c>
      <c r="C3629" s="3">
        <v>0</v>
      </c>
      <c r="D3629" s="3">
        <v>0</v>
      </c>
      <c r="E3629" s="3">
        <f>C3629 - D3629</f>
        <v>0</v>
      </c>
    </row>
    <row r="3630" spans="2:5" x14ac:dyDescent="0.35">
      <c r="B3630" s="38">
        <v>40130</v>
      </c>
      <c r="C3630" s="3">
        <v>0</v>
      </c>
      <c r="D3630" s="3">
        <v>0</v>
      </c>
      <c r="E3630" s="3">
        <f>C3630 - D3630</f>
        <v>0</v>
      </c>
    </row>
    <row r="3631" spans="2:5" x14ac:dyDescent="0.35">
      <c r="B3631" s="38">
        <v>40131</v>
      </c>
      <c r="C3631" s="3">
        <v>0</v>
      </c>
      <c r="D3631" s="3">
        <v>0</v>
      </c>
      <c r="E3631" s="3">
        <f>C3631 - D3631</f>
        <v>0</v>
      </c>
    </row>
    <row r="3632" spans="2:5" x14ac:dyDescent="0.35">
      <c r="B3632" s="38">
        <v>40132</v>
      </c>
      <c r="C3632" s="3">
        <v>0</v>
      </c>
      <c r="D3632" s="3">
        <v>0</v>
      </c>
      <c r="E3632" s="3">
        <f>C3632 - D3632</f>
        <v>0</v>
      </c>
    </row>
    <row r="3633" spans="2:5" x14ac:dyDescent="0.35">
      <c r="B3633" s="38">
        <v>40133</v>
      </c>
      <c r="C3633" s="3">
        <v>0</v>
      </c>
      <c r="D3633" s="3">
        <v>0</v>
      </c>
      <c r="E3633" s="3">
        <f>C3633 - D3633</f>
        <v>0</v>
      </c>
    </row>
    <row r="3634" spans="2:5" x14ac:dyDescent="0.35">
      <c r="B3634" s="38">
        <v>40134</v>
      </c>
      <c r="C3634" s="3">
        <v>0</v>
      </c>
      <c r="D3634" s="3">
        <v>0</v>
      </c>
      <c r="E3634" s="3">
        <f>C3634 - D3634</f>
        <v>0</v>
      </c>
    </row>
    <row r="3635" spans="2:5" x14ac:dyDescent="0.35">
      <c r="B3635" s="38">
        <v>40135</v>
      </c>
      <c r="C3635" s="3">
        <v>0</v>
      </c>
      <c r="D3635" s="3">
        <v>0</v>
      </c>
      <c r="E3635" s="3">
        <f>C3635 - D3635</f>
        <v>0</v>
      </c>
    </row>
    <row r="3636" spans="2:5" x14ac:dyDescent="0.35">
      <c r="B3636" s="38">
        <v>40136</v>
      </c>
      <c r="C3636" s="3">
        <v>0</v>
      </c>
      <c r="D3636" s="3">
        <v>0</v>
      </c>
      <c r="E3636" s="3">
        <f>C3636 - D3636</f>
        <v>0</v>
      </c>
    </row>
    <row r="3637" spans="2:5" x14ac:dyDescent="0.35">
      <c r="B3637" s="38">
        <v>40137</v>
      </c>
      <c r="C3637" s="3">
        <v>0</v>
      </c>
      <c r="D3637" s="3">
        <v>0</v>
      </c>
      <c r="E3637" s="3">
        <f>C3637 - D3637</f>
        <v>0</v>
      </c>
    </row>
    <row r="3638" spans="2:5" x14ac:dyDescent="0.35">
      <c r="B3638" s="38">
        <v>40138</v>
      </c>
      <c r="C3638" s="3">
        <v>1</v>
      </c>
      <c r="D3638" s="3">
        <v>0</v>
      </c>
      <c r="E3638" s="3">
        <f>C3638 - D3638</f>
        <v>1</v>
      </c>
    </row>
    <row r="3639" spans="2:5" x14ac:dyDescent="0.35">
      <c r="B3639" s="38">
        <v>40139</v>
      </c>
      <c r="C3639" s="3">
        <v>1</v>
      </c>
      <c r="D3639" s="3">
        <v>1</v>
      </c>
      <c r="E3639" s="3">
        <f>C3639 - D3639</f>
        <v>0</v>
      </c>
    </row>
    <row r="3640" spans="2:5" x14ac:dyDescent="0.35">
      <c r="B3640" s="38">
        <v>40140</v>
      </c>
      <c r="C3640" s="3">
        <v>1</v>
      </c>
      <c r="D3640" s="3">
        <v>1</v>
      </c>
      <c r="E3640" s="3">
        <f>C3640 - D3640</f>
        <v>0</v>
      </c>
    </row>
    <row r="3641" spans="2:5" x14ac:dyDescent="0.35">
      <c r="B3641" s="38">
        <v>40141</v>
      </c>
      <c r="C3641" s="3">
        <v>0</v>
      </c>
      <c r="D3641" s="3">
        <v>1</v>
      </c>
      <c r="E3641" s="3">
        <f>C3641 - D3641</f>
        <v>-1</v>
      </c>
    </row>
    <row r="3642" spans="2:5" x14ac:dyDescent="0.35">
      <c r="B3642" s="38">
        <v>40142</v>
      </c>
      <c r="C3642" s="3">
        <v>0</v>
      </c>
      <c r="D3642" s="3">
        <v>0</v>
      </c>
      <c r="E3642" s="3">
        <f>C3642 - D3642</f>
        <v>0</v>
      </c>
    </row>
    <row r="3643" spans="2:5" x14ac:dyDescent="0.35">
      <c r="B3643" s="38">
        <v>40143</v>
      </c>
      <c r="C3643" s="3">
        <v>1</v>
      </c>
      <c r="D3643" s="3">
        <v>0</v>
      </c>
      <c r="E3643" s="3">
        <f>C3643 - D3643</f>
        <v>1</v>
      </c>
    </row>
    <row r="3644" spans="2:5" x14ac:dyDescent="0.35">
      <c r="B3644" s="38">
        <v>40144</v>
      </c>
      <c r="C3644" s="3">
        <v>1</v>
      </c>
      <c r="D3644" s="3">
        <v>1</v>
      </c>
      <c r="E3644" s="3">
        <f>C3644 - D3644</f>
        <v>0</v>
      </c>
    </row>
    <row r="3645" spans="2:5" x14ac:dyDescent="0.35">
      <c r="B3645" s="38">
        <v>40145</v>
      </c>
      <c r="C3645" s="3">
        <v>1</v>
      </c>
      <c r="D3645" s="3">
        <v>1</v>
      </c>
      <c r="E3645" s="3">
        <f>C3645 - D3645</f>
        <v>0</v>
      </c>
    </row>
    <row r="3646" spans="2:5" x14ac:dyDescent="0.35">
      <c r="B3646" s="38">
        <v>40146</v>
      </c>
      <c r="C3646" s="3">
        <v>1</v>
      </c>
      <c r="D3646" s="3">
        <v>1</v>
      </c>
      <c r="E3646" s="3">
        <f>C3646 - D3646</f>
        <v>0</v>
      </c>
    </row>
    <row r="3647" spans="2:5" x14ac:dyDescent="0.35">
      <c r="B3647" s="38">
        <v>40147</v>
      </c>
      <c r="C3647" s="3">
        <v>1</v>
      </c>
      <c r="D3647" s="3">
        <v>1</v>
      </c>
      <c r="E3647" s="3">
        <f>C3647 - D3647</f>
        <v>0</v>
      </c>
    </row>
    <row r="3648" spans="2:5" x14ac:dyDescent="0.35">
      <c r="B3648" s="38">
        <v>40148</v>
      </c>
      <c r="C3648" s="3">
        <v>0</v>
      </c>
      <c r="D3648" s="3">
        <v>1</v>
      </c>
      <c r="E3648" s="3">
        <f>C3648 - D3648</f>
        <v>-1</v>
      </c>
    </row>
    <row r="3649" spans="2:5" x14ac:dyDescent="0.35">
      <c r="B3649" s="38">
        <v>40149</v>
      </c>
      <c r="C3649" s="3">
        <v>0</v>
      </c>
      <c r="D3649" s="3">
        <v>0</v>
      </c>
      <c r="E3649" s="3">
        <f>C3649 - D3649</f>
        <v>0</v>
      </c>
    </row>
    <row r="3650" spans="2:5" x14ac:dyDescent="0.35">
      <c r="B3650" s="38">
        <v>40150</v>
      </c>
      <c r="C3650" s="3">
        <v>0</v>
      </c>
      <c r="D3650" s="3">
        <v>0</v>
      </c>
      <c r="E3650" s="3">
        <f>C3650 - D3650</f>
        <v>0</v>
      </c>
    </row>
    <row r="3651" spans="2:5" x14ac:dyDescent="0.35">
      <c r="B3651" s="38">
        <v>40151</v>
      </c>
      <c r="C3651" s="3">
        <v>0</v>
      </c>
      <c r="D3651" s="3">
        <v>0</v>
      </c>
      <c r="E3651" s="3">
        <f>C3651 - D3651</f>
        <v>0</v>
      </c>
    </row>
    <row r="3652" spans="2:5" x14ac:dyDescent="0.35">
      <c r="B3652" s="38">
        <v>40152</v>
      </c>
      <c r="C3652" s="3">
        <v>0</v>
      </c>
      <c r="D3652" s="3">
        <v>0</v>
      </c>
      <c r="E3652" s="3">
        <f>C3652 - D3652</f>
        <v>0</v>
      </c>
    </row>
    <row r="3653" spans="2:5" x14ac:dyDescent="0.35">
      <c r="B3653" s="38">
        <v>40153</v>
      </c>
      <c r="C3653" s="3">
        <v>0</v>
      </c>
      <c r="D3653" s="3">
        <v>0</v>
      </c>
      <c r="E3653" s="3">
        <f>C3653 - D3653</f>
        <v>0</v>
      </c>
    </row>
    <row r="3654" spans="2:5" x14ac:dyDescent="0.35">
      <c r="B3654" s="38">
        <v>40154</v>
      </c>
      <c r="C3654" s="3">
        <v>0</v>
      </c>
      <c r="D3654" s="3">
        <v>0</v>
      </c>
      <c r="E3654" s="3">
        <f>C3654 - D3654</f>
        <v>0</v>
      </c>
    </row>
    <row r="3655" spans="2:5" x14ac:dyDescent="0.35">
      <c r="B3655" s="38">
        <v>40155</v>
      </c>
      <c r="C3655" s="3">
        <v>1</v>
      </c>
      <c r="D3655" s="3">
        <v>0</v>
      </c>
      <c r="E3655" s="3">
        <f>C3655 - D3655</f>
        <v>1</v>
      </c>
    </row>
    <row r="3656" spans="2:5" x14ac:dyDescent="0.35">
      <c r="B3656" s="38">
        <v>40156</v>
      </c>
      <c r="C3656" s="3">
        <v>1</v>
      </c>
      <c r="D3656" s="3">
        <v>1</v>
      </c>
      <c r="E3656" s="3">
        <f>C3656 - D3656</f>
        <v>0</v>
      </c>
    </row>
    <row r="3657" spans="2:5" x14ac:dyDescent="0.35">
      <c r="B3657" s="38">
        <v>40157</v>
      </c>
      <c r="C3657" s="3">
        <v>0</v>
      </c>
      <c r="D3657" s="3">
        <v>1</v>
      </c>
      <c r="E3657" s="3">
        <f>C3657 - D3657</f>
        <v>-1</v>
      </c>
    </row>
    <row r="3658" spans="2:5" x14ac:dyDescent="0.35">
      <c r="B3658" s="38">
        <v>40158</v>
      </c>
      <c r="C3658" s="3">
        <v>1</v>
      </c>
      <c r="D3658" s="3">
        <v>0</v>
      </c>
      <c r="E3658" s="3">
        <f>C3658 - D3658</f>
        <v>1</v>
      </c>
    </row>
    <row r="3659" spans="2:5" x14ac:dyDescent="0.35">
      <c r="B3659" s="38">
        <v>40159</v>
      </c>
      <c r="C3659" s="3">
        <v>0</v>
      </c>
      <c r="D3659" s="3">
        <v>1</v>
      </c>
      <c r="E3659" s="3">
        <f>C3659 - D3659</f>
        <v>-1</v>
      </c>
    </row>
    <row r="3660" spans="2:5" x14ac:dyDescent="0.35">
      <c r="B3660" s="38">
        <v>40160</v>
      </c>
      <c r="C3660" s="3">
        <v>0</v>
      </c>
      <c r="D3660" s="3">
        <v>0</v>
      </c>
      <c r="E3660" s="3">
        <f>C3660 - D3660</f>
        <v>0</v>
      </c>
    </row>
    <row r="3661" spans="2:5" x14ac:dyDescent="0.35">
      <c r="B3661" s="38">
        <v>40161</v>
      </c>
      <c r="C3661" s="3">
        <v>0</v>
      </c>
      <c r="D3661" s="3">
        <v>0</v>
      </c>
      <c r="E3661" s="3">
        <f>C3661 - D3661</f>
        <v>0</v>
      </c>
    </row>
    <row r="3662" spans="2:5" x14ac:dyDescent="0.35">
      <c r="B3662" s="38">
        <v>40162</v>
      </c>
      <c r="C3662" s="3">
        <v>0</v>
      </c>
      <c r="D3662" s="3">
        <v>0</v>
      </c>
      <c r="E3662" s="3">
        <f>C3662 - D3662</f>
        <v>0</v>
      </c>
    </row>
    <row r="3663" spans="2:5" x14ac:dyDescent="0.35">
      <c r="B3663" s="38">
        <v>40163</v>
      </c>
      <c r="C3663" s="3">
        <v>0</v>
      </c>
      <c r="D3663" s="3">
        <v>0</v>
      </c>
      <c r="E3663" s="3">
        <f>C3663 - D3663</f>
        <v>0</v>
      </c>
    </row>
    <row r="3664" spans="2:5" x14ac:dyDescent="0.35">
      <c r="B3664" s="38">
        <v>40164</v>
      </c>
      <c r="C3664" s="3">
        <v>0</v>
      </c>
      <c r="D3664" s="3">
        <v>0</v>
      </c>
      <c r="E3664" s="3">
        <f>C3664 - D3664</f>
        <v>0</v>
      </c>
    </row>
    <row r="3665" spans="2:5" x14ac:dyDescent="0.35">
      <c r="B3665" s="38">
        <v>40165</v>
      </c>
      <c r="C3665" s="3">
        <v>1</v>
      </c>
      <c r="D3665" s="3">
        <v>0</v>
      </c>
      <c r="E3665" s="3">
        <f>C3665 - D3665</f>
        <v>1</v>
      </c>
    </row>
    <row r="3666" spans="2:5" x14ac:dyDescent="0.35">
      <c r="B3666" s="38">
        <v>40166</v>
      </c>
      <c r="C3666" s="3">
        <v>1</v>
      </c>
      <c r="D3666" s="3">
        <v>1</v>
      </c>
      <c r="E3666" s="3">
        <f>C3666 - D3666</f>
        <v>0</v>
      </c>
    </row>
    <row r="3667" spans="2:5" x14ac:dyDescent="0.35">
      <c r="B3667" s="38">
        <v>40167</v>
      </c>
      <c r="C3667" s="3">
        <v>0</v>
      </c>
      <c r="D3667" s="3">
        <v>1</v>
      </c>
      <c r="E3667" s="3">
        <f>C3667 - D3667</f>
        <v>-1</v>
      </c>
    </row>
    <row r="3668" spans="2:5" x14ac:dyDescent="0.35">
      <c r="B3668" s="38">
        <v>40168</v>
      </c>
      <c r="C3668" s="3">
        <v>0</v>
      </c>
      <c r="D3668" s="3">
        <v>0</v>
      </c>
      <c r="E3668" s="3">
        <f>C3668 - D3668</f>
        <v>0</v>
      </c>
    </row>
    <row r="3669" spans="2:5" x14ac:dyDescent="0.35">
      <c r="B3669" s="38">
        <v>40169</v>
      </c>
      <c r="C3669" s="3">
        <v>0</v>
      </c>
      <c r="D3669" s="3">
        <v>0</v>
      </c>
      <c r="E3669" s="3">
        <f>C3669 - D3669</f>
        <v>0</v>
      </c>
    </row>
    <row r="3670" spans="2:5" x14ac:dyDescent="0.35">
      <c r="B3670" s="38">
        <v>40170</v>
      </c>
      <c r="C3670" s="3">
        <v>0</v>
      </c>
      <c r="D3670" s="3">
        <v>0</v>
      </c>
      <c r="E3670" s="3">
        <f>C3670 - D3670</f>
        <v>0</v>
      </c>
    </row>
    <row r="3671" spans="2:5" x14ac:dyDescent="0.35">
      <c r="B3671" s="38">
        <v>40171</v>
      </c>
      <c r="C3671" s="3">
        <v>0</v>
      </c>
      <c r="D3671" s="3">
        <v>0</v>
      </c>
      <c r="E3671" s="3">
        <f>C3671 - D3671</f>
        <v>0</v>
      </c>
    </row>
    <row r="3672" spans="2:5" x14ac:dyDescent="0.35">
      <c r="B3672" s="38">
        <v>40172</v>
      </c>
      <c r="C3672" s="3">
        <v>1</v>
      </c>
      <c r="D3672" s="3">
        <v>0</v>
      </c>
      <c r="E3672" s="3">
        <f>C3672 - D3672</f>
        <v>1</v>
      </c>
    </row>
    <row r="3673" spans="2:5" x14ac:dyDescent="0.35">
      <c r="B3673" s="38">
        <v>40173</v>
      </c>
      <c r="C3673" s="3">
        <v>0</v>
      </c>
      <c r="D3673" s="3">
        <v>1</v>
      </c>
      <c r="E3673" s="3">
        <f>C3673 - D3673</f>
        <v>-1</v>
      </c>
    </row>
    <row r="3674" spans="2:5" x14ac:dyDescent="0.35">
      <c r="B3674" s="38">
        <v>40174</v>
      </c>
      <c r="C3674" s="3">
        <v>0</v>
      </c>
      <c r="D3674" s="3">
        <v>0</v>
      </c>
      <c r="E3674" s="3">
        <f>C3674 - D3674</f>
        <v>0</v>
      </c>
    </row>
    <row r="3675" spans="2:5" x14ac:dyDescent="0.35">
      <c r="B3675" s="38">
        <v>40175</v>
      </c>
      <c r="C3675" s="3">
        <v>0</v>
      </c>
      <c r="D3675" s="3">
        <v>0</v>
      </c>
      <c r="E3675" s="3">
        <f>C3675 - D3675</f>
        <v>0</v>
      </c>
    </row>
    <row r="3676" spans="2:5" x14ac:dyDescent="0.35">
      <c r="B3676" s="38">
        <v>40176</v>
      </c>
      <c r="C3676" s="3">
        <v>0</v>
      </c>
      <c r="D3676" s="3">
        <v>0</v>
      </c>
      <c r="E3676" s="3">
        <f>C3676 - D3676</f>
        <v>0</v>
      </c>
    </row>
    <row r="3677" spans="2:5" x14ac:dyDescent="0.35">
      <c r="B3677" s="38">
        <v>40177</v>
      </c>
      <c r="C3677" s="3">
        <v>0</v>
      </c>
      <c r="D3677" s="3">
        <v>0</v>
      </c>
      <c r="E3677" s="3">
        <f>C3677 - D3677</f>
        <v>0</v>
      </c>
    </row>
    <row r="3678" spans="2:5" x14ac:dyDescent="0.35">
      <c r="B3678" s="38">
        <v>40178</v>
      </c>
      <c r="C3678" s="3">
        <v>0</v>
      </c>
      <c r="D3678" s="3">
        <v>0</v>
      </c>
      <c r="E3678" s="3">
        <f>C3678 - D3678</f>
        <v>0</v>
      </c>
    </row>
  </sheetData>
  <mergeCells count="30">
    <mergeCell ref="B5:C5"/>
    <mergeCell ref="D5:E5"/>
    <mergeCell ref="F5:G5"/>
    <mergeCell ref="H5:I5"/>
    <mergeCell ref="B4:I4"/>
    <mergeCell ref="L4:N4"/>
    <mergeCell ref="J10:M10"/>
    <mergeCell ref="J11:M11"/>
    <mergeCell ref="J12:M12"/>
    <mergeCell ref="J13:M13"/>
    <mergeCell ref="J14:M14"/>
    <mergeCell ref="J15:M15"/>
    <mergeCell ref="E15:G15"/>
    <mergeCell ref="B18:G18"/>
    <mergeCell ref="B19:D19"/>
    <mergeCell ref="B20:D20"/>
    <mergeCell ref="B21:D21"/>
    <mergeCell ref="E19:G19"/>
    <mergeCell ref="E20:G20"/>
    <mergeCell ref="E21:G21"/>
    <mergeCell ref="B10:G10"/>
    <mergeCell ref="B11:D11"/>
    <mergeCell ref="B12:D12"/>
    <mergeCell ref="B13:D13"/>
    <mergeCell ref="B14:D14"/>
    <mergeCell ref="B15:D15"/>
    <mergeCell ref="E11:G11"/>
    <mergeCell ref="E12:G12"/>
    <mergeCell ref="E13:G13"/>
    <mergeCell ref="E14:G14"/>
  </mergeCells>
  <hyperlinks>
    <hyperlink ref="D5" location="'MASmoothingOutput1'!$I$8:$I$8" display="Train. Error Measures"/>
    <hyperlink ref="F5" location="'MASmoothingOutput1'!$A$23:$A$23" display="Fitted Model"/>
    <hyperlink ref="H5" location="'MASmoothingOutput1'!$O$23:$O$23" display="Forecast"/>
    <hyperlink ref="B5" location="'MASmoothingOutput1'!$A$8:$A$8" display="Inputs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2"/>
  <sheetViews>
    <sheetView showGridLines="0" workbookViewId="0"/>
  </sheetViews>
  <sheetFormatPr defaultRowHeight="14.5" x14ac:dyDescent="0.35"/>
  <cols>
    <col min="2" max="2" width="13.6328125" bestFit="1" customWidth="1"/>
    <col min="3" max="3" width="14.26953125" bestFit="1" customWidth="1"/>
  </cols>
  <sheetData>
    <row r="2" spans="2:14" x14ac:dyDescent="0.35">
      <c r="N2" t="s">
        <v>181</v>
      </c>
    </row>
    <row r="3" spans="2:14" x14ac:dyDescent="0.35">
      <c r="B3" s="4" t="s">
        <v>17</v>
      </c>
      <c r="C3" s="3" t="s">
        <v>151</v>
      </c>
    </row>
    <row r="4" spans="2:14" x14ac:dyDescent="0.35">
      <c r="B4" s="4" t="s">
        <v>152</v>
      </c>
      <c r="C4" s="3"/>
    </row>
    <row r="5" spans="2:14" x14ac:dyDescent="0.35">
      <c r="B5" s="4" t="s">
        <v>153</v>
      </c>
      <c r="C5" s="3" t="b">
        <v>0</v>
      </c>
    </row>
    <row r="6" spans="2:14" x14ac:dyDescent="0.35">
      <c r="B6" s="4" t="s">
        <v>154</v>
      </c>
      <c r="C6" s="3"/>
    </row>
    <row r="7" spans="2:14" x14ac:dyDescent="0.35">
      <c r="B7" s="4" t="s">
        <v>155</v>
      </c>
      <c r="C7" s="3"/>
    </row>
    <row r="8" spans="2:14" x14ac:dyDescent="0.35">
      <c r="B8" s="4" t="s">
        <v>156</v>
      </c>
      <c r="C8" s="3"/>
    </row>
    <row r="9" spans="2:14" x14ac:dyDescent="0.35">
      <c r="B9" s="4" t="s">
        <v>157</v>
      </c>
      <c r="C9" s="3"/>
    </row>
    <row r="10" spans="2:14" x14ac:dyDescent="0.35">
      <c r="B10" s="4" t="s">
        <v>158</v>
      </c>
      <c r="C10" s="3">
        <v>1</v>
      </c>
    </row>
    <row r="11" spans="2:14" x14ac:dyDescent="0.35">
      <c r="B11" s="4" t="s">
        <v>159</v>
      </c>
      <c r="C11" s="3">
        <v>100</v>
      </c>
    </row>
    <row r="12" spans="2:14" x14ac:dyDescent="0.35">
      <c r="B12" s="4" t="s">
        <v>160</v>
      </c>
      <c r="C12" s="3" t="s">
        <v>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4346"/>
  <sheetViews>
    <sheetView showGridLines="0" topLeftCell="A4" zoomScaleNormal="100" workbookViewId="0">
      <selection activeCell="R17" sqref="R17"/>
    </sheetView>
  </sheetViews>
  <sheetFormatPr defaultRowHeight="14.5" x14ac:dyDescent="0.35"/>
  <cols>
    <col min="2" max="2" width="10.453125" bestFit="1" customWidth="1"/>
    <col min="10" max="10" width="13.26953125" bestFit="1" customWidth="1"/>
  </cols>
  <sheetData>
    <row r="2" spans="1:14" ht="18.5" x14ac:dyDescent="0.45">
      <c r="B2" s="5" t="s">
        <v>161</v>
      </c>
      <c r="N2" t="s">
        <v>162</v>
      </c>
    </row>
    <row r="4" spans="1:14" ht="15.5" x14ac:dyDescent="0.35">
      <c r="B4" s="12" t="s">
        <v>35</v>
      </c>
      <c r="C4" s="13"/>
      <c r="D4" s="13"/>
      <c r="E4" s="13"/>
      <c r="F4" s="13"/>
      <c r="G4" s="14"/>
      <c r="J4" s="12" t="s">
        <v>36</v>
      </c>
      <c r="K4" s="13"/>
      <c r="L4" s="14"/>
    </row>
    <row r="5" spans="1:14" x14ac:dyDescent="0.35">
      <c r="B5" s="29" t="s">
        <v>41</v>
      </c>
      <c r="C5" s="23"/>
      <c r="D5" s="29" t="s">
        <v>180</v>
      </c>
      <c r="E5" s="23"/>
      <c r="F5" s="29" t="s">
        <v>176</v>
      </c>
      <c r="G5" s="23"/>
      <c r="J5" s="11" t="s">
        <v>163</v>
      </c>
      <c r="K5" s="11" t="s">
        <v>39</v>
      </c>
      <c r="L5" s="11" t="s">
        <v>40</v>
      </c>
    </row>
    <row r="6" spans="1:14" x14ac:dyDescent="0.35">
      <c r="J6" s="3">
        <v>0</v>
      </c>
      <c r="K6" s="3">
        <v>375</v>
      </c>
      <c r="L6" s="3">
        <v>375</v>
      </c>
    </row>
    <row r="8" spans="1:14" ht="18.5" x14ac:dyDescent="0.45">
      <c r="A8" s="6" t="s">
        <v>41</v>
      </c>
      <c r="I8" s="6" t="s">
        <v>164</v>
      </c>
    </row>
    <row r="10" spans="1:14" ht="15.5" x14ac:dyDescent="0.35">
      <c r="B10" s="12" t="s">
        <v>42</v>
      </c>
      <c r="C10" s="13"/>
      <c r="D10" s="13"/>
      <c r="E10" s="13"/>
      <c r="F10" s="13"/>
      <c r="G10" s="14"/>
      <c r="J10" s="15" t="s">
        <v>165</v>
      </c>
      <c r="K10" s="16"/>
      <c r="L10" s="16"/>
      <c r="M10" s="17"/>
      <c r="N10" s="3">
        <v>45.674300254452923</v>
      </c>
    </row>
    <row r="11" spans="1:14" x14ac:dyDescent="0.35">
      <c r="B11" s="15" t="s">
        <v>43</v>
      </c>
      <c r="C11" s="16"/>
      <c r="D11" s="17"/>
      <c r="E11" s="21" t="s">
        <v>44</v>
      </c>
      <c r="F11" s="22"/>
      <c r="G11" s="23"/>
      <c r="J11" s="15" t="s">
        <v>166</v>
      </c>
      <c r="K11" s="16"/>
      <c r="L11" s="16"/>
      <c r="M11" s="17"/>
      <c r="N11" s="3">
        <v>0.33233047905577412</v>
      </c>
    </row>
    <row r="12" spans="1:14" x14ac:dyDescent="0.35">
      <c r="B12" s="15" t="s">
        <v>45</v>
      </c>
      <c r="C12" s="16"/>
      <c r="D12" s="17"/>
      <c r="E12" s="21" t="s">
        <v>110</v>
      </c>
      <c r="F12" s="22"/>
      <c r="G12" s="23"/>
      <c r="J12" s="15" t="s">
        <v>167</v>
      </c>
      <c r="K12" s="16"/>
      <c r="L12" s="16"/>
      <c r="M12" s="17"/>
      <c r="N12" s="3">
        <v>0.33233047905577412</v>
      </c>
    </row>
    <row r="13" spans="1:14" x14ac:dyDescent="0.35">
      <c r="B13" s="15" t="s">
        <v>168</v>
      </c>
      <c r="C13" s="16"/>
      <c r="D13" s="17"/>
      <c r="E13" s="21" t="s">
        <v>169</v>
      </c>
      <c r="F13" s="22"/>
      <c r="G13" s="23"/>
      <c r="J13" s="15" t="s">
        <v>170</v>
      </c>
      <c r="K13" s="16"/>
      <c r="L13" s="16"/>
      <c r="M13" s="17"/>
      <c r="N13" s="3">
        <v>0</v>
      </c>
    </row>
    <row r="14" spans="1:14" x14ac:dyDescent="0.35">
      <c r="B14" s="15" t="s">
        <v>171</v>
      </c>
      <c r="C14" s="16"/>
      <c r="D14" s="17"/>
      <c r="E14" s="21" t="s">
        <v>6</v>
      </c>
      <c r="F14" s="22"/>
      <c r="G14" s="23"/>
      <c r="J14" s="15" t="s">
        <v>172</v>
      </c>
      <c r="K14" s="16"/>
      <c r="L14" s="16"/>
      <c r="M14" s="17"/>
      <c r="N14" s="3">
        <v>0</v>
      </c>
    </row>
    <row r="15" spans="1:14" x14ac:dyDescent="0.35">
      <c r="B15" s="15" t="s">
        <v>173</v>
      </c>
      <c r="C15" s="16"/>
      <c r="D15" s="17"/>
      <c r="E15" s="18">
        <v>4322</v>
      </c>
      <c r="F15" s="19"/>
      <c r="G15" s="20"/>
      <c r="J15" s="15" t="s">
        <v>174</v>
      </c>
      <c r="K15" s="16"/>
      <c r="L15" s="16"/>
      <c r="M15" s="17"/>
      <c r="N15" s="3">
        <v>0</v>
      </c>
    </row>
    <row r="18" spans="1:7" ht="15.5" x14ac:dyDescent="0.35">
      <c r="B18" s="12" t="s">
        <v>53</v>
      </c>
      <c r="C18" s="13"/>
      <c r="D18" s="13"/>
      <c r="E18" s="13"/>
      <c r="F18" s="13"/>
      <c r="G18" s="14"/>
    </row>
    <row r="19" spans="1:7" x14ac:dyDescent="0.35">
      <c r="B19" s="15" t="s">
        <v>154</v>
      </c>
      <c r="C19" s="16"/>
      <c r="D19" s="17"/>
      <c r="E19" s="18">
        <v>1</v>
      </c>
      <c r="F19" s="19"/>
      <c r="G19" s="20"/>
    </row>
    <row r="20" spans="1:7" x14ac:dyDescent="0.35">
      <c r="B20" s="15" t="s">
        <v>175</v>
      </c>
      <c r="C20" s="16"/>
      <c r="D20" s="17"/>
      <c r="E20" s="21" t="s">
        <v>55</v>
      </c>
      <c r="F20" s="22"/>
      <c r="G20" s="23"/>
    </row>
    <row r="22" spans="1:7" ht="18.5" x14ac:dyDescent="0.45">
      <c r="A22" s="6" t="s">
        <v>176</v>
      </c>
    </row>
    <row r="24" spans="1:7" x14ac:dyDescent="0.35">
      <c r="B24" s="39" t="s">
        <v>3</v>
      </c>
      <c r="C24" s="11" t="s">
        <v>177</v>
      </c>
      <c r="D24" s="11" t="s">
        <v>175</v>
      </c>
      <c r="E24" s="11" t="s">
        <v>178</v>
      </c>
    </row>
    <row r="25" spans="1:7" x14ac:dyDescent="0.35">
      <c r="B25" s="38">
        <v>36526</v>
      </c>
      <c r="C25" s="3">
        <v>1</v>
      </c>
      <c r="D25" s="3" t="s">
        <v>179</v>
      </c>
      <c r="E25" s="3" t="s">
        <v>179</v>
      </c>
    </row>
    <row r="26" spans="1:7" x14ac:dyDescent="0.35">
      <c r="B26" s="38">
        <v>36527</v>
      </c>
      <c r="C26" s="3">
        <v>0</v>
      </c>
      <c r="D26" s="3">
        <v>1</v>
      </c>
      <c r="E26" s="3">
        <f>C26 - D26</f>
        <v>-1</v>
      </c>
    </row>
    <row r="27" spans="1:7" x14ac:dyDescent="0.35">
      <c r="B27" s="38">
        <v>36528</v>
      </c>
      <c r="C27" s="3">
        <v>0</v>
      </c>
      <c r="D27" s="3">
        <v>0</v>
      </c>
      <c r="E27" s="3">
        <f>C27 - D27</f>
        <v>0</v>
      </c>
    </row>
    <row r="28" spans="1:7" x14ac:dyDescent="0.35">
      <c r="B28" s="38">
        <v>36529</v>
      </c>
      <c r="C28" s="3">
        <v>1</v>
      </c>
      <c r="D28" s="3">
        <v>0</v>
      </c>
      <c r="E28" s="3">
        <f>C28 - D28</f>
        <v>1</v>
      </c>
    </row>
    <row r="29" spans="1:7" x14ac:dyDescent="0.35">
      <c r="B29" s="38">
        <v>36530</v>
      </c>
      <c r="C29" s="3">
        <v>1</v>
      </c>
      <c r="D29" s="3">
        <v>1</v>
      </c>
      <c r="E29" s="3">
        <f>C29 - D29</f>
        <v>0</v>
      </c>
    </row>
    <row r="30" spans="1:7" x14ac:dyDescent="0.35">
      <c r="B30" s="38">
        <v>36531</v>
      </c>
      <c r="C30" s="3">
        <v>0</v>
      </c>
      <c r="D30" s="3">
        <v>1</v>
      </c>
      <c r="E30" s="3">
        <f>C30 - D30</f>
        <v>-1</v>
      </c>
    </row>
    <row r="31" spans="1:7" x14ac:dyDescent="0.35">
      <c r="B31" s="38">
        <v>36532</v>
      </c>
      <c r="C31" s="3">
        <v>0</v>
      </c>
      <c r="D31" s="3">
        <v>0</v>
      </c>
      <c r="E31" s="3">
        <f>C31 - D31</f>
        <v>0</v>
      </c>
    </row>
    <row r="32" spans="1:7" x14ac:dyDescent="0.35">
      <c r="B32" s="38">
        <v>36533</v>
      </c>
      <c r="C32" s="3">
        <v>0</v>
      </c>
      <c r="D32" s="3">
        <v>0</v>
      </c>
      <c r="E32" s="3">
        <f>C32 - D32</f>
        <v>0</v>
      </c>
    </row>
    <row r="33" spans="2:5" x14ac:dyDescent="0.35">
      <c r="B33" s="38">
        <v>36534</v>
      </c>
      <c r="C33" s="3">
        <v>0</v>
      </c>
      <c r="D33" s="3">
        <v>0</v>
      </c>
      <c r="E33" s="3">
        <f>C33 - D33</f>
        <v>0</v>
      </c>
    </row>
    <row r="34" spans="2:5" x14ac:dyDescent="0.35">
      <c r="B34" s="38">
        <v>36535</v>
      </c>
      <c r="C34" s="3">
        <v>1</v>
      </c>
      <c r="D34" s="3">
        <v>0</v>
      </c>
      <c r="E34" s="3">
        <f>C34 - D34</f>
        <v>1</v>
      </c>
    </row>
    <row r="35" spans="2:5" x14ac:dyDescent="0.35">
      <c r="B35" s="38">
        <v>36536</v>
      </c>
      <c r="C35" s="3">
        <v>0</v>
      </c>
      <c r="D35" s="3">
        <v>1</v>
      </c>
      <c r="E35" s="3">
        <f>C35 - D35</f>
        <v>-1</v>
      </c>
    </row>
    <row r="36" spans="2:5" x14ac:dyDescent="0.35">
      <c r="B36" s="38">
        <v>36537</v>
      </c>
      <c r="C36" s="3">
        <v>0</v>
      </c>
      <c r="D36" s="3">
        <v>0</v>
      </c>
      <c r="E36" s="3">
        <f>C36 - D36</f>
        <v>0</v>
      </c>
    </row>
    <row r="37" spans="2:5" x14ac:dyDescent="0.35">
      <c r="B37" s="38">
        <v>36538</v>
      </c>
      <c r="C37" s="3">
        <v>0</v>
      </c>
      <c r="D37" s="3">
        <v>0</v>
      </c>
      <c r="E37" s="3">
        <f>C37 - D37</f>
        <v>0</v>
      </c>
    </row>
    <row r="38" spans="2:5" x14ac:dyDescent="0.35">
      <c r="B38" s="38">
        <v>36539</v>
      </c>
      <c r="C38" s="3">
        <v>0</v>
      </c>
      <c r="D38" s="3">
        <v>0</v>
      </c>
      <c r="E38" s="3">
        <f>C38 - D38</f>
        <v>0</v>
      </c>
    </row>
    <row r="39" spans="2:5" x14ac:dyDescent="0.35">
      <c r="B39" s="38">
        <v>36540</v>
      </c>
      <c r="C39" s="3">
        <v>0</v>
      </c>
      <c r="D39" s="3">
        <v>0</v>
      </c>
      <c r="E39" s="3">
        <f>C39 - D39</f>
        <v>0</v>
      </c>
    </row>
    <row r="40" spans="2:5" x14ac:dyDescent="0.35">
      <c r="B40" s="38">
        <v>36541</v>
      </c>
      <c r="C40" s="3">
        <v>1</v>
      </c>
      <c r="D40" s="3">
        <v>0</v>
      </c>
      <c r="E40" s="3">
        <f>C40 - D40</f>
        <v>1</v>
      </c>
    </row>
    <row r="41" spans="2:5" x14ac:dyDescent="0.35">
      <c r="B41" s="38">
        <v>36542</v>
      </c>
      <c r="C41" s="3">
        <v>1</v>
      </c>
      <c r="D41" s="3">
        <v>1</v>
      </c>
      <c r="E41" s="3">
        <f>C41 - D41</f>
        <v>0</v>
      </c>
    </row>
    <row r="42" spans="2:5" x14ac:dyDescent="0.35">
      <c r="B42" s="38">
        <v>36543</v>
      </c>
      <c r="C42" s="3">
        <v>0</v>
      </c>
      <c r="D42" s="3">
        <v>1</v>
      </c>
      <c r="E42" s="3">
        <f>C42 - D42</f>
        <v>-1</v>
      </c>
    </row>
    <row r="43" spans="2:5" x14ac:dyDescent="0.35">
      <c r="B43" s="38">
        <v>36544</v>
      </c>
      <c r="C43" s="3">
        <v>0</v>
      </c>
      <c r="D43" s="3">
        <v>0</v>
      </c>
      <c r="E43" s="3">
        <f>C43 - D43</f>
        <v>0</v>
      </c>
    </row>
    <row r="44" spans="2:5" x14ac:dyDescent="0.35">
      <c r="B44" s="38">
        <v>36545</v>
      </c>
      <c r="C44" s="3">
        <v>0</v>
      </c>
      <c r="D44" s="3">
        <v>0</v>
      </c>
      <c r="E44" s="3">
        <f>C44 - D44</f>
        <v>0</v>
      </c>
    </row>
    <row r="45" spans="2:5" x14ac:dyDescent="0.35">
      <c r="B45" s="38">
        <v>36546</v>
      </c>
      <c r="C45" s="3">
        <v>0</v>
      </c>
      <c r="D45" s="3">
        <v>0</v>
      </c>
      <c r="E45" s="3">
        <f>C45 - D45</f>
        <v>0</v>
      </c>
    </row>
    <row r="46" spans="2:5" x14ac:dyDescent="0.35">
      <c r="B46" s="38">
        <v>36547</v>
      </c>
      <c r="C46" s="3">
        <v>1</v>
      </c>
      <c r="D46" s="3">
        <v>0</v>
      </c>
      <c r="E46" s="3">
        <f>C46 - D46</f>
        <v>1</v>
      </c>
    </row>
    <row r="47" spans="2:5" x14ac:dyDescent="0.35">
      <c r="B47" s="38">
        <v>36548</v>
      </c>
      <c r="C47" s="3">
        <v>1</v>
      </c>
      <c r="D47" s="3">
        <v>1</v>
      </c>
      <c r="E47" s="3">
        <f>C47 - D47</f>
        <v>0</v>
      </c>
    </row>
    <row r="48" spans="2:5" x14ac:dyDescent="0.35">
      <c r="B48" s="38">
        <v>36549</v>
      </c>
      <c r="C48" s="3">
        <v>1</v>
      </c>
      <c r="D48" s="3">
        <v>1</v>
      </c>
      <c r="E48" s="3">
        <f>C48 - D48</f>
        <v>0</v>
      </c>
    </row>
    <row r="49" spans="2:5" x14ac:dyDescent="0.35">
      <c r="B49" s="38">
        <v>36550</v>
      </c>
      <c r="C49" s="3">
        <v>1</v>
      </c>
      <c r="D49" s="3">
        <v>1</v>
      </c>
      <c r="E49" s="3">
        <f>C49 - D49</f>
        <v>0</v>
      </c>
    </row>
    <row r="50" spans="2:5" x14ac:dyDescent="0.35">
      <c r="B50" s="38">
        <v>36551</v>
      </c>
      <c r="C50" s="3">
        <v>1</v>
      </c>
      <c r="D50" s="3">
        <v>1</v>
      </c>
      <c r="E50" s="3">
        <f>C50 - D50</f>
        <v>0</v>
      </c>
    </row>
    <row r="51" spans="2:5" x14ac:dyDescent="0.35">
      <c r="B51" s="38">
        <v>36552</v>
      </c>
      <c r="C51" s="3">
        <v>1</v>
      </c>
      <c r="D51" s="3">
        <v>1</v>
      </c>
      <c r="E51" s="3">
        <f>C51 - D51</f>
        <v>0</v>
      </c>
    </row>
    <row r="52" spans="2:5" x14ac:dyDescent="0.35">
      <c r="B52" s="38">
        <v>36553</v>
      </c>
      <c r="C52" s="3">
        <v>1</v>
      </c>
      <c r="D52" s="3">
        <v>1</v>
      </c>
      <c r="E52" s="3">
        <f>C52 - D52</f>
        <v>0</v>
      </c>
    </row>
    <row r="53" spans="2:5" x14ac:dyDescent="0.35">
      <c r="B53" s="38">
        <v>36554</v>
      </c>
      <c r="C53" s="3">
        <v>1</v>
      </c>
      <c r="D53" s="3">
        <v>1</v>
      </c>
      <c r="E53" s="3">
        <f>C53 - D53</f>
        <v>0</v>
      </c>
    </row>
    <row r="54" spans="2:5" x14ac:dyDescent="0.35">
      <c r="B54" s="38">
        <v>36555</v>
      </c>
      <c r="C54" s="3">
        <v>0</v>
      </c>
      <c r="D54" s="3">
        <v>1</v>
      </c>
      <c r="E54" s="3">
        <f>C54 - D54</f>
        <v>-1</v>
      </c>
    </row>
    <row r="55" spans="2:5" x14ac:dyDescent="0.35">
      <c r="B55" s="38">
        <v>36556</v>
      </c>
      <c r="C55" s="3">
        <v>0</v>
      </c>
      <c r="D55" s="3">
        <v>0</v>
      </c>
      <c r="E55" s="3">
        <f>C55 - D55</f>
        <v>0</v>
      </c>
    </row>
    <row r="56" spans="2:5" x14ac:dyDescent="0.35">
      <c r="B56" s="38">
        <v>36557</v>
      </c>
      <c r="C56" s="3">
        <v>0</v>
      </c>
      <c r="D56" s="3">
        <v>0</v>
      </c>
      <c r="E56" s="3">
        <f>C56 - D56</f>
        <v>0</v>
      </c>
    </row>
    <row r="57" spans="2:5" x14ac:dyDescent="0.35">
      <c r="B57" s="38">
        <v>36558</v>
      </c>
      <c r="C57" s="3">
        <v>0</v>
      </c>
      <c r="D57" s="3">
        <v>0</v>
      </c>
      <c r="E57" s="3">
        <f>C57 - D57</f>
        <v>0</v>
      </c>
    </row>
    <row r="58" spans="2:5" x14ac:dyDescent="0.35">
      <c r="B58" s="38">
        <v>36559</v>
      </c>
      <c r="C58" s="3">
        <v>0</v>
      </c>
      <c r="D58" s="3">
        <v>0</v>
      </c>
      <c r="E58" s="3">
        <f>C58 - D58</f>
        <v>0</v>
      </c>
    </row>
    <row r="59" spans="2:5" x14ac:dyDescent="0.35">
      <c r="B59" s="38">
        <v>36560</v>
      </c>
      <c r="C59" s="3">
        <v>1</v>
      </c>
      <c r="D59" s="3">
        <v>0</v>
      </c>
      <c r="E59" s="3">
        <f>C59 - D59</f>
        <v>1</v>
      </c>
    </row>
    <row r="60" spans="2:5" x14ac:dyDescent="0.35">
      <c r="B60" s="38">
        <v>36561</v>
      </c>
      <c r="C60" s="3">
        <v>0</v>
      </c>
      <c r="D60" s="3">
        <v>1</v>
      </c>
      <c r="E60" s="3">
        <f>C60 - D60</f>
        <v>-1</v>
      </c>
    </row>
    <row r="61" spans="2:5" x14ac:dyDescent="0.35">
      <c r="B61" s="38">
        <v>36562</v>
      </c>
      <c r="C61" s="3">
        <v>0</v>
      </c>
      <c r="D61" s="3">
        <v>0</v>
      </c>
      <c r="E61" s="3">
        <f>C61 - D61</f>
        <v>0</v>
      </c>
    </row>
    <row r="62" spans="2:5" x14ac:dyDescent="0.35">
      <c r="B62" s="38">
        <v>36563</v>
      </c>
      <c r="C62" s="3">
        <v>0</v>
      </c>
      <c r="D62" s="3">
        <v>0</v>
      </c>
      <c r="E62" s="3">
        <f>C62 - D62</f>
        <v>0</v>
      </c>
    </row>
    <row r="63" spans="2:5" x14ac:dyDescent="0.35">
      <c r="B63" s="38">
        <v>36564</v>
      </c>
      <c r="C63" s="3">
        <v>0</v>
      </c>
      <c r="D63" s="3">
        <v>0</v>
      </c>
      <c r="E63" s="3">
        <f>C63 - D63</f>
        <v>0</v>
      </c>
    </row>
    <row r="64" spans="2:5" x14ac:dyDescent="0.35">
      <c r="B64" s="38">
        <v>36565</v>
      </c>
      <c r="C64" s="3">
        <v>0</v>
      </c>
      <c r="D64" s="3">
        <v>0</v>
      </c>
      <c r="E64" s="3">
        <f>C64 - D64</f>
        <v>0</v>
      </c>
    </row>
    <row r="65" spans="2:5" x14ac:dyDescent="0.35">
      <c r="B65" s="38">
        <v>36566</v>
      </c>
      <c r="C65" s="3">
        <v>0</v>
      </c>
      <c r="D65" s="3">
        <v>0</v>
      </c>
      <c r="E65" s="3">
        <f>C65 - D65</f>
        <v>0</v>
      </c>
    </row>
    <row r="66" spans="2:5" x14ac:dyDescent="0.35">
      <c r="B66" s="38">
        <v>36567</v>
      </c>
      <c r="C66" s="3">
        <v>1</v>
      </c>
      <c r="D66" s="3">
        <v>0</v>
      </c>
      <c r="E66" s="3">
        <f>C66 - D66</f>
        <v>1</v>
      </c>
    </row>
    <row r="67" spans="2:5" x14ac:dyDescent="0.35">
      <c r="B67" s="38">
        <v>36568</v>
      </c>
      <c r="C67" s="3">
        <v>1</v>
      </c>
      <c r="D67" s="3">
        <v>1</v>
      </c>
      <c r="E67" s="3">
        <f>C67 - D67</f>
        <v>0</v>
      </c>
    </row>
    <row r="68" spans="2:5" x14ac:dyDescent="0.35">
      <c r="B68" s="38">
        <v>36569</v>
      </c>
      <c r="C68" s="3">
        <v>0</v>
      </c>
      <c r="D68" s="3">
        <v>1</v>
      </c>
      <c r="E68" s="3">
        <f>C68 - D68</f>
        <v>-1</v>
      </c>
    </row>
    <row r="69" spans="2:5" x14ac:dyDescent="0.35">
      <c r="B69" s="38">
        <v>36570</v>
      </c>
      <c r="C69" s="3">
        <v>0</v>
      </c>
      <c r="D69" s="3">
        <v>0</v>
      </c>
      <c r="E69" s="3">
        <f>C69 - D69</f>
        <v>0</v>
      </c>
    </row>
    <row r="70" spans="2:5" x14ac:dyDescent="0.35">
      <c r="B70" s="38">
        <v>36571</v>
      </c>
      <c r="C70" s="3">
        <v>0</v>
      </c>
      <c r="D70" s="3">
        <v>0</v>
      </c>
      <c r="E70" s="3">
        <f>C70 - D70</f>
        <v>0</v>
      </c>
    </row>
    <row r="71" spans="2:5" x14ac:dyDescent="0.35">
      <c r="B71" s="38">
        <v>36572</v>
      </c>
      <c r="C71" s="3">
        <v>0</v>
      </c>
      <c r="D71" s="3">
        <v>0</v>
      </c>
      <c r="E71" s="3">
        <f>C71 - D71</f>
        <v>0</v>
      </c>
    </row>
    <row r="72" spans="2:5" x14ac:dyDescent="0.35">
      <c r="B72" s="38">
        <v>36573</v>
      </c>
      <c r="C72" s="3">
        <v>0</v>
      </c>
      <c r="D72" s="3">
        <v>0</v>
      </c>
      <c r="E72" s="3">
        <f>C72 - D72</f>
        <v>0</v>
      </c>
    </row>
    <row r="73" spans="2:5" x14ac:dyDescent="0.35">
      <c r="B73" s="38">
        <v>36574</v>
      </c>
      <c r="C73" s="3">
        <v>0</v>
      </c>
      <c r="D73" s="3">
        <v>0</v>
      </c>
      <c r="E73" s="3">
        <f>C73 - D73</f>
        <v>0</v>
      </c>
    </row>
    <row r="74" spans="2:5" x14ac:dyDescent="0.35">
      <c r="B74" s="38">
        <v>36575</v>
      </c>
      <c r="C74" s="3">
        <v>0</v>
      </c>
      <c r="D74" s="3">
        <v>0</v>
      </c>
      <c r="E74" s="3">
        <f>C74 - D74</f>
        <v>0</v>
      </c>
    </row>
    <row r="75" spans="2:5" x14ac:dyDescent="0.35">
      <c r="B75" s="38">
        <v>36576</v>
      </c>
      <c r="C75" s="3">
        <v>1</v>
      </c>
      <c r="D75" s="3">
        <v>0</v>
      </c>
      <c r="E75" s="3">
        <f>C75 - D75</f>
        <v>1</v>
      </c>
    </row>
    <row r="76" spans="2:5" x14ac:dyDescent="0.35">
      <c r="B76" s="38">
        <v>36577</v>
      </c>
      <c r="C76" s="3">
        <v>0</v>
      </c>
      <c r="D76" s="3">
        <v>1</v>
      </c>
      <c r="E76" s="3">
        <f>C76 - D76</f>
        <v>-1</v>
      </c>
    </row>
    <row r="77" spans="2:5" x14ac:dyDescent="0.35">
      <c r="B77" s="38">
        <v>36578</v>
      </c>
      <c r="C77" s="3">
        <v>1</v>
      </c>
      <c r="D77" s="3">
        <v>0</v>
      </c>
      <c r="E77" s="3">
        <f>C77 - D77</f>
        <v>1</v>
      </c>
    </row>
    <row r="78" spans="2:5" x14ac:dyDescent="0.35">
      <c r="B78" s="38">
        <v>36579</v>
      </c>
      <c r="C78" s="3">
        <v>1</v>
      </c>
      <c r="D78" s="3">
        <v>1</v>
      </c>
      <c r="E78" s="3">
        <f>C78 - D78</f>
        <v>0</v>
      </c>
    </row>
    <row r="79" spans="2:5" x14ac:dyDescent="0.35">
      <c r="B79" s="38">
        <v>36580</v>
      </c>
      <c r="C79" s="3">
        <v>1</v>
      </c>
      <c r="D79" s="3">
        <v>1</v>
      </c>
      <c r="E79" s="3">
        <f>C79 - D79</f>
        <v>0</v>
      </c>
    </row>
    <row r="80" spans="2:5" x14ac:dyDescent="0.35">
      <c r="B80" s="38">
        <v>36581</v>
      </c>
      <c r="C80" s="3">
        <v>0</v>
      </c>
      <c r="D80" s="3">
        <v>1</v>
      </c>
      <c r="E80" s="3">
        <f>C80 - D80</f>
        <v>-1</v>
      </c>
    </row>
    <row r="81" spans="2:5" x14ac:dyDescent="0.35">
      <c r="B81" s="38">
        <v>36582</v>
      </c>
      <c r="C81" s="3">
        <v>1</v>
      </c>
      <c r="D81" s="3">
        <v>0</v>
      </c>
      <c r="E81" s="3">
        <f>C81 - D81</f>
        <v>1</v>
      </c>
    </row>
    <row r="82" spans="2:5" x14ac:dyDescent="0.35">
      <c r="B82" s="38">
        <v>36583</v>
      </c>
      <c r="C82" s="3">
        <v>0</v>
      </c>
      <c r="D82" s="3">
        <v>1</v>
      </c>
      <c r="E82" s="3">
        <f>C82 - D82</f>
        <v>-1</v>
      </c>
    </row>
    <row r="83" spans="2:5" x14ac:dyDescent="0.35">
      <c r="B83" s="38">
        <v>36584</v>
      </c>
      <c r="C83" s="3">
        <v>0</v>
      </c>
      <c r="D83" s="3">
        <v>0</v>
      </c>
      <c r="E83" s="3">
        <f>C83 - D83</f>
        <v>0</v>
      </c>
    </row>
    <row r="84" spans="2:5" x14ac:dyDescent="0.35">
      <c r="B84" s="38">
        <v>36585</v>
      </c>
      <c r="C84" s="3">
        <v>1</v>
      </c>
      <c r="D84" s="3">
        <v>0</v>
      </c>
      <c r="E84" s="3">
        <f>C84 - D84</f>
        <v>1</v>
      </c>
    </row>
    <row r="85" spans="2:5" x14ac:dyDescent="0.35">
      <c r="B85" s="38">
        <v>36586</v>
      </c>
      <c r="C85" s="3">
        <v>1</v>
      </c>
      <c r="D85" s="3">
        <v>1</v>
      </c>
      <c r="E85" s="3">
        <f>C85 - D85</f>
        <v>0</v>
      </c>
    </row>
    <row r="86" spans="2:5" x14ac:dyDescent="0.35">
      <c r="B86" s="38">
        <v>36587</v>
      </c>
      <c r="C86" s="3">
        <v>0</v>
      </c>
      <c r="D86" s="3">
        <v>1</v>
      </c>
      <c r="E86" s="3">
        <f>C86 - D86</f>
        <v>-1</v>
      </c>
    </row>
    <row r="87" spans="2:5" x14ac:dyDescent="0.35">
      <c r="B87" s="38">
        <v>36588</v>
      </c>
      <c r="C87" s="3">
        <v>0</v>
      </c>
      <c r="D87" s="3">
        <v>0</v>
      </c>
      <c r="E87" s="3">
        <f>C87 - D87</f>
        <v>0</v>
      </c>
    </row>
    <row r="88" spans="2:5" x14ac:dyDescent="0.35">
      <c r="B88" s="38">
        <v>36589</v>
      </c>
      <c r="C88" s="3">
        <v>1</v>
      </c>
      <c r="D88" s="3">
        <v>0</v>
      </c>
      <c r="E88" s="3">
        <f>C88 - D88</f>
        <v>1</v>
      </c>
    </row>
    <row r="89" spans="2:5" x14ac:dyDescent="0.35">
      <c r="B89" s="38">
        <v>36590</v>
      </c>
      <c r="C89" s="3">
        <v>0</v>
      </c>
      <c r="D89" s="3">
        <v>1</v>
      </c>
      <c r="E89" s="3">
        <f>C89 - D89</f>
        <v>-1</v>
      </c>
    </row>
    <row r="90" spans="2:5" x14ac:dyDescent="0.35">
      <c r="B90" s="38">
        <v>36591</v>
      </c>
      <c r="C90" s="3">
        <v>1</v>
      </c>
      <c r="D90" s="3">
        <v>0</v>
      </c>
      <c r="E90" s="3">
        <f>C90 - D90</f>
        <v>1</v>
      </c>
    </row>
    <row r="91" spans="2:5" x14ac:dyDescent="0.35">
      <c r="B91" s="38">
        <v>36592</v>
      </c>
      <c r="C91" s="3">
        <v>0</v>
      </c>
      <c r="D91" s="3">
        <v>1</v>
      </c>
      <c r="E91" s="3">
        <f>C91 - D91</f>
        <v>-1</v>
      </c>
    </row>
    <row r="92" spans="2:5" x14ac:dyDescent="0.35">
      <c r="B92" s="38">
        <v>36593</v>
      </c>
      <c r="C92" s="3">
        <v>0</v>
      </c>
      <c r="D92" s="3">
        <v>0</v>
      </c>
      <c r="E92" s="3">
        <f>C92 - D92</f>
        <v>0</v>
      </c>
    </row>
    <row r="93" spans="2:5" x14ac:dyDescent="0.35">
      <c r="B93" s="38">
        <v>36594</v>
      </c>
      <c r="C93" s="3">
        <v>0</v>
      </c>
      <c r="D93" s="3">
        <v>0</v>
      </c>
      <c r="E93" s="3">
        <f>C93 - D93</f>
        <v>0</v>
      </c>
    </row>
    <row r="94" spans="2:5" x14ac:dyDescent="0.35">
      <c r="B94" s="38">
        <v>36595</v>
      </c>
      <c r="C94" s="3">
        <v>0</v>
      </c>
      <c r="D94" s="3">
        <v>0</v>
      </c>
      <c r="E94" s="3">
        <f>C94 - D94</f>
        <v>0</v>
      </c>
    </row>
    <row r="95" spans="2:5" x14ac:dyDescent="0.35">
      <c r="B95" s="38">
        <v>36596</v>
      </c>
      <c r="C95" s="3">
        <v>0</v>
      </c>
      <c r="D95" s="3">
        <v>0</v>
      </c>
      <c r="E95" s="3">
        <f>C95 - D95</f>
        <v>0</v>
      </c>
    </row>
    <row r="96" spans="2:5" x14ac:dyDescent="0.35">
      <c r="B96" s="38">
        <v>36597</v>
      </c>
      <c r="C96" s="3">
        <v>0</v>
      </c>
      <c r="D96" s="3">
        <v>0</v>
      </c>
      <c r="E96" s="3">
        <f>C96 - D96</f>
        <v>0</v>
      </c>
    </row>
    <row r="97" spans="2:5" x14ac:dyDescent="0.35">
      <c r="B97" s="38">
        <v>36598</v>
      </c>
      <c r="C97" s="3">
        <v>0</v>
      </c>
      <c r="D97" s="3">
        <v>0</v>
      </c>
      <c r="E97" s="3">
        <f>C97 - D97</f>
        <v>0</v>
      </c>
    </row>
    <row r="98" spans="2:5" x14ac:dyDescent="0.35">
      <c r="B98" s="38">
        <v>36599</v>
      </c>
      <c r="C98" s="3">
        <v>0</v>
      </c>
      <c r="D98" s="3">
        <v>0</v>
      </c>
      <c r="E98" s="3">
        <f>C98 - D98</f>
        <v>0</v>
      </c>
    </row>
    <row r="99" spans="2:5" x14ac:dyDescent="0.35">
      <c r="B99" s="38">
        <v>36600</v>
      </c>
      <c r="C99" s="3">
        <v>0</v>
      </c>
      <c r="D99" s="3">
        <v>0</v>
      </c>
      <c r="E99" s="3">
        <f>C99 - D99</f>
        <v>0</v>
      </c>
    </row>
    <row r="100" spans="2:5" x14ac:dyDescent="0.35">
      <c r="B100" s="38">
        <v>36601</v>
      </c>
      <c r="C100" s="3">
        <v>0</v>
      </c>
      <c r="D100" s="3">
        <v>0</v>
      </c>
      <c r="E100" s="3">
        <f>C100 - D100</f>
        <v>0</v>
      </c>
    </row>
    <row r="101" spans="2:5" x14ac:dyDescent="0.35">
      <c r="B101" s="38">
        <v>36602</v>
      </c>
      <c r="C101" s="3">
        <v>0</v>
      </c>
      <c r="D101" s="3">
        <v>0</v>
      </c>
      <c r="E101" s="3">
        <f>C101 - D101</f>
        <v>0</v>
      </c>
    </row>
    <row r="102" spans="2:5" x14ac:dyDescent="0.35">
      <c r="B102" s="38">
        <v>36603</v>
      </c>
      <c r="C102" s="3">
        <v>0</v>
      </c>
      <c r="D102" s="3">
        <v>0</v>
      </c>
      <c r="E102" s="3">
        <f>C102 - D102</f>
        <v>0</v>
      </c>
    </row>
    <row r="103" spans="2:5" x14ac:dyDescent="0.35">
      <c r="B103" s="38">
        <v>36604</v>
      </c>
      <c r="C103" s="3">
        <v>0</v>
      </c>
      <c r="D103" s="3">
        <v>0</v>
      </c>
      <c r="E103" s="3">
        <f>C103 - D103</f>
        <v>0</v>
      </c>
    </row>
    <row r="104" spans="2:5" x14ac:dyDescent="0.35">
      <c r="B104" s="38">
        <v>36605</v>
      </c>
      <c r="C104" s="3">
        <v>1</v>
      </c>
      <c r="D104" s="3">
        <v>0</v>
      </c>
      <c r="E104" s="3">
        <f>C104 - D104</f>
        <v>1</v>
      </c>
    </row>
    <row r="105" spans="2:5" x14ac:dyDescent="0.35">
      <c r="B105" s="38">
        <v>36606</v>
      </c>
      <c r="C105" s="3">
        <v>0</v>
      </c>
      <c r="D105" s="3">
        <v>1</v>
      </c>
      <c r="E105" s="3">
        <f>C105 - D105</f>
        <v>-1</v>
      </c>
    </row>
    <row r="106" spans="2:5" x14ac:dyDescent="0.35">
      <c r="B106" s="38">
        <v>36607</v>
      </c>
      <c r="C106" s="3">
        <v>0</v>
      </c>
      <c r="D106" s="3">
        <v>0</v>
      </c>
      <c r="E106" s="3">
        <f>C106 - D106</f>
        <v>0</v>
      </c>
    </row>
    <row r="107" spans="2:5" x14ac:dyDescent="0.35">
      <c r="B107" s="38">
        <v>36608</v>
      </c>
      <c r="C107" s="3">
        <v>1</v>
      </c>
      <c r="D107" s="3">
        <v>0</v>
      </c>
      <c r="E107" s="3">
        <f>C107 - D107</f>
        <v>1</v>
      </c>
    </row>
    <row r="108" spans="2:5" x14ac:dyDescent="0.35">
      <c r="B108" s="38">
        <v>36609</v>
      </c>
      <c r="C108" s="3">
        <v>0</v>
      </c>
      <c r="D108" s="3">
        <v>1</v>
      </c>
      <c r="E108" s="3">
        <f>C108 - D108</f>
        <v>-1</v>
      </c>
    </row>
    <row r="109" spans="2:5" x14ac:dyDescent="0.35">
      <c r="B109" s="38">
        <v>36610</v>
      </c>
      <c r="C109" s="3">
        <v>0</v>
      </c>
      <c r="D109" s="3">
        <v>0</v>
      </c>
      <c r="E109" s="3">
        <f>C109 - D109</f>
        <v>0</v>
      </c>
    </row>
    <row r="110" spans="2:5" x14ac:dyDescent="0.35">
      <c r="B110" s="38">
        <v>36611</v>
      </c>
      <c r="C110" s="3">
        <v>0</v>
      </c>
      <c r="D110" s="3">
        <v>0</v>
      </c>
      <c r="E110" s="3">
        <f>C110 - D110</f>
        <v>0</v>
      </c>
    </row>
    <row r="111" spans="2:5" x14ac:dyDescent="0.35">
      <c r="B111" s="38">
        <v>36612</v>
      </c>
      <c r="C111" s="3">
        <v>0</v>
      </c>
      <c r="D111" s="3">
        <v>0</v>
      </c>
      <c r="E111" s="3">
        <f>C111 - D111</f>
        <v>0</v>
      </c>
    </row>
    <row r="112" spans="2:5" x14ac:dyDescent="0.35">
      <c r="B112" s="38">
        <v>36613</v>
      </c>
      <c r="C112" s="3">
        <v>0</v>
      </c>
      <c r="D112" s="3">
        <v>0</v>
      </c>
      <c r="E112" s="3">
        <f>C112 - D112</f>
        <v>0</v>
      </c>
    </row>
    <row r="113" spans="2:5" x14ac:dyDescent="0.35">
      <c r="B113" s="38">
        <v>36614</v>
      </c>
      <c r="C113" s="3">
        <v>1</v>
      </c>
      <c r="D113" s="3">
        <v>0</v>
      </c>
      <c r="E113" s="3">
        <f>C113 - D113</f>
        <v>1</v>
      </c>
    </row>
    <row r="114" spans="2:5" x14ac:dyDescent="0.35">
      <c r="B114" s="38">
        <v>36615</v>
      </c>
      <c r="C114" s="3">
        <v>0</v>
      </c>
      <c r="D114" s="3">
        <v>1</v>
      </c>
      <c r="E114" s="3">
        <f>C114 - D114</f>
        <v>-1</v>
      </c>
    </row>
    <row r="115" spans="2:5" x14ac:dyDescent="0.35">
      <c r="B115" s="38">
        <v>36616</v>
      </c>
      <c r="C115" s="3">
        <v>0</v>
      </c>
      <c r="D115" s="3">
        <v>0</v>
      </c>
      <c r="E115" s="3">
        <f>C115 - D115</f>
        <v>0</v>
      </c>
    </row>
    <row r="116" spans="2:5" x14ac:dyDescent="0.35">
      <c r="B116" s="38">
        <v>36617</v>
      </c>
      <c r="C116" s="3">
        <v>1</v>
      </c>
      <c r="D116" s="3">
        <v>0</v>
      </c>
      <c r="E116" s="3">
        <f>C116 - D116</f>
        <v>1</v>
      </c>
    </row>
    <row r="117" spans="2:5" x14ac:dyDescent="0.35">
      <c r="B117" s="38">
        <v>36618</v>
      </c>
      <c r="C117" s="3">
        <v>0</v>
      </c>
      <c r="D117" s="3">
        <v>1</v>
      </c>
      <c r="E117" s="3">
        <f>C117 - D117</f>
        <v>-1</v>
      </c>
    </row>
    <row r="118" spans="2:5" x14ac:dyDescent="0.35">
      <c r="B118" s="38">
        <v>36619</v>
      </c>
      <c r="C118" s="3">
        <v>0</v>
      </c>
      <c r="D118" s="3">
        <v>0</v>
      </c>
      <c r="E118" s="3">
        <f>C118 - D118</f>
        <v>0</v>
      </c>
    </row>
    <row r="119" spans="2:5" x14ac:dyDescent="0.35">
      <c r="B119" s="38">
        <v>36620</v>
      </c>
      <c r="C119" s="3">
        <v>0</v>
      </c>
      <c r="D119" s="3">
        <v>0</v>
      </c>
      <c r="E119" s="3">
        <f>C119 - D119</f>
        <v>0</v>
      </c>
    </row>
    <row r="120" spans="2:5" x14ac:dyDescent="0.35">
      <c r="B120" s="38">
        <v>36621</v>
      </c>
      <c r="C120" s="3">
        <v>1</v>
      </c>
      <c r="D120" s="3">
        <v>0</v>
      </c>
      <c r="E120" s="3">
        <f>C120 - D120</f>
        <v>1</v>
      </c>
    </row>
    <row r="121" spans="2:5" x14ac:dyDescent="0.35">
      <c r="B121" s="38">
        <v>36622</v>
      </c>
      <c r="C121" s="3">
        <v>0</v>
      </c>
      <c r="D121" s="3">
        <v>1</v>
      </c>
      <c r="E121" s="3">
        <f>C121 - D121</f>
        <v>-1</v>
      </c>
    </row>
    <row r="122" spans="2:5" x14ac:dyDescent="0.35">
      <c r="B122" s="38">
        <v>36623</v>
      </c>
      <c r="C122" s="3">
        <v>0</v>
      </c>
      <c r="D122" s="3">
        <v>0</v>
      </c>
      <c r="E122" s="3">
        <f>C122 - D122</f>
        <v>0</v>
      </c>
    </row>
    <row r="123" spans="2:5" x14ac:dyDescent="0.35">
      <c r="B123" s="38">
        <v>36624</v>
      </c>
      <c r="C123" s="3">
        <v>0</v>
      </c>
      <c r="D123" s="3">
        <v>0</v>
      </c>
      <c r="E123" s="3">
        <f>C123 - D123</f>
        <v>0</v>
      </c>
    </row>
    <row r="124" spans="2:5" x14ac:dyDescent="0.35">
      <c r="B124" s="38">
        <v>36625</v>
      </c>
      <c r="C124" s="3">
        <v>0</v>
      </c>
      <c r="D124" s="3">
        <v>0</v>
      </c>
      <c r="E124" s="3">
        <f>C124 - D124</f>
        <v>0</v>
      </c>
    </row>
    <row r="125" spans="2:5" x14ac:dyDescent="0.35">
      <c r="B125" s="38">
        <v>36626</v>
      </c>
      <c r="C125" s="3">
        <v>0</v>
      </c>
      <c r="D125" s="3">
        <v>0</v>
      </c>
      <c r="E125" s="3">
        <f>C125 - D125</f>
        <v>0</v>
      </c>
    </row>
    <row r="126" spans="2:5" x14ac:dyDescent="0.35">
      <c r="B126" s="38">
        <v>36627</v>
      </c>
      <c r="C126" s="3">
        <v>0</v>
      </c>
      <c r="D126" s="3">
        <v>0</v>
      </c>
      <c r="E126" s="3">
        <f>C126 - D126</f>
        <v>0</v>
      </c>
    </row>
    <row r="127" spans="2:5" x14ac:dyDescent="0.35">
      <c r="B127" s="38">
        <v>36628</v>
      </c>
      <c r="C127" s="3">
        <v>0</v>
      </c>
      <c r="D127" s="3">
        <v>0</v>
      </c>
      <c r="E127" s="3">
        <f>C127 - D127</f>
        <v>0</v>
      </c>
    </row>
    <row r="128" spans="2:5" x14ac:dyDescent="0.35">
      <c r="B128" s="38">
        <v>36629</v>
      </c>
      <c r="C128" s="3">
        <v>0</v>
      </c>
      <c r="D128" s="3">
        <v>0</v>
      </c>
      <c r="E128" s="3">
        <f>C128 - D128</f>
        <v>0</v>
      </c>
    </row>
    <row r="129" spans="2:5" x14ac:dyDescent="0.35">
      <c r="B129" s="38">
        <v>36630</v>
      </c>
      <c r="C129" s="3">
        <v>1</v>
      </c>
      <c r="D129" s="3">
        <v>0</v>
      </c>
      <c r="E129" s="3">
        <f>C129 - D129</f>
        <v>1</v>
      </c>
    </row>
    <row r="130" spans="2:5" x14ac:dyDescent="0.35">
      <c r="B130" s="38">
        <v>36631</v>
      </c>
      <c r="C130" s="3">
        <v>1</v>
      </c>
      <c r="D130" s="3">
        <v>1</v>
      </c>
      <c r="E130" s="3">
        <f>C130 - D130</f>
        <v>0</v>
      </c>
    </row>
    <row r="131" spans="2:5" x14ac:dyDescent="0.35">
      <c r="B131" s="38">
        <v>36632</v>
      </c>
      <c r="C131" s="3">
        <v>1</v>
      </c>
      <c r="D131" s="3">
        <v>1</v>
      </c>
      <c r="E131" s="3">
        <f>C131 - D131</f>
        <v>0</v>
      </c>
    </row>
    <row r="132" spans="2:5" x14ac:dyDescent="0.35">
      <c r="B132" s="38">
        <v>36633</v>
      </c>
      <c r="C132" s="3">
        <v>1</v>
      </c>
      <c r="D132" s="3">
        <v>1</v>
      </c>
      <c r="E132" s="3">
        <f>C132 - D132</f>
        <v>0</v>
      </c>
    </row>
    <row r="133" spans="2:5" x14ac:dyDescent="0.35">
      <c r="B133" s="38">
        <v>36634</v>
      </c>
      <c r="C133" s="3">
        <v>0</v>
      </c>
      <c r="D133" s="3">
        <v>1</v>
      </c>
      <c r="E133" s="3">
        <f>C133 - D133</f>
        <v>-1</v>
      </c>
    </row>
    <row r="134" spans="2:5" x14ac:dyDescent="0.35">
      <c r="B134" s="38">
        <v>36635</v>
      </c>
      <c r="C134" s="3">
        <v>0</v>
      </c>
      <c r="D134" s="3">
        <v>0</v>
      </c>
      <c r="E134" s="3">
        <f>C134 - D134</f>
        <v>0</v>
      </c>
    </row>
    <row r="135" spans="2:5" x14ac:dyDescent="0.35">
      <c r="B135" s="38">
        <v>36636</v>
      </c>
      <c r="C135" s="3">
        <v>0</v>
      </c>
      <c r="D135" s="3">
        <v>0</v>
      </c>
      <c r="E135" s="3">
        <f>C135 - D135</f>
        <v>0</v>
      </c>
    </row>
    <row r="136" spans="2:5" x14ac:dyDescent="0.35">
      <c r="B136" s="38">
        <v>36637</v>
      </c>
      <c r="C136" s="3">
        <v>0</v>
      </c>
      <c r="D136" s="3">
        <v>0</v>
      </c>
      <c r="E136" s="3">
        <f>C136 - D136</f>
        <v>0</v>
      </c>
    </row>
    <row r="137" spans="2:5" x14ac:dyDescent="0.35">
      <c r="B137" s="38">
        <v>36638</v>
      </c>
      <c r="C137" s="3">
        <v>1</v>
      </c>
      <c r="D137" s="3">
        <v>0</v>
      </c>
      <c r="E137" s="3">
        <f>C137 - D137</f>
        <v>1</v>
      </c>
    </row>
    <row r="138" spans="2:5" x14ac:dyDescent="0.35">
      <c r="B138" s="38">
        <v>36639</v>
      </c>
      <c r="C138" s="3">
        <v>0</v>
      </c>
      <c r="D138" s="3">
        <v>1</v>
      </c>
      <c r="E138" s="3">
        <f>C138 - D138</f>
        <v>-1</v>
      </c>
    </row>
    <row r="139" spans="2:5" x14ac:dyDescent="0.35">
      <c r="B139" s="38">
        <v>36640</v>
      </c>
      <c r="C139" s="3">
        <v>0</v>
      </c>
      <c r="D139" s="3">
        <v>0</v>
      </c>
      <c r="E139" s="3">
        <f>C139 - D139</f>
        <v>0</v>
      </c>
    </row>
    <row r="140" spans="2:5" x14ac:dyDescent="0.35">
      <c r="B140" s="38">
        <v>36641</v>
      </c>
      <c r="C140" s="3">
        <v>0</v>
      </c>
      <c r="D140" s="3">
        <v>0</v>
      </c>
      <c r="E140" s="3">
        <f>C140 - D140</f>
        <v>0</v>
      </c>
    </row>
    <row r="141" spans="2:5" x14ac:dyDescent="0.35">
      <c r="B141" s="38">
        <v>36642</v>
      </c>
      <c r="C141" s="3">
        <v>0</v>
      </c>
      <c r="D141" s="3">
        <v>0</v>
      </c>
      <c r="E141" s="3">
        <f>C141 - D141</f>
        <v>0</v>
      </c>
    </row>
    <row r="142" spans="2:5" x14ac:dyDescent="0.35">
      <c r="B142" s="38">
        <v>36643</v>
      </c>
      <c r="C142" s="3">
        <v>0</v>
      </c>
      <c r="D142" s="3">
        <v>0</v>
      </c>
      <c r="E142" s="3">
        <f>C142 - D142</f>
        <v>0</v>
      </c>
    </row>
    <row r="143" spans="2:5" x14ac:dyDescent="0.35">
      <c r="B143" s="38">
        <v>36644</v>
      </c>
      <c r="C143" s="3">
        <v>0</v>
      </c>
      <c r="D143" s="3">
        <v>0</v>
      </c>
      <c r="E143" s="3">
        <f>C143 - D143</f>
        <v>0</v>
      </c>
    </row>
    <row r="144" spans="2:5" x14ac:dyDescent="0.35">
      <c r="B144" s="38">
        <v>36645</v>
      </c>
      <c r="C144" s="3">
        <v>0</v>
      </c>
      <c r="D144" s="3">
        <v>0</v>
      </c>
      <c r="E144" s="3">
        <f>C144 - D144</f>
        <v>0</v>
      </c>
    </row>
    <row r="145" spans="2:5" x14ac:dyDescent="0.35">
      <c r="B145" s="38">
        <v>36646</v>
      </c>
      <c r="C145" s="3">
        <v>1</v>
      </c>
      <c r="D145" s="3">
        <v>0</v>
      </c>
      <c r="E145" s="3">
        <f>C145 - D145</f>
        <v>1</v>
      </c>
    </row>
    <row r="146" spans="2:5" x14ac:dyDescent="0.35">
      <c r="B146" s="38">
        <v>36647</v>
      </c>
      <c r="C146" s="3">
        <v>1</v>
      </c>
      <c r="D146" s="3">
        <v>1</v>
      </c>
      <c r="E146" s="3">
        <f>C146 - D146</f>
        <v>0</v>
      </c>
    </row>
    <row r="147" spans="2:5" x14ac:dyDescent="0.35">
      <c r="B147" s="38">
        <v>36648</v>
      </c>
      <c r="C147" s="3">
        <v>0</v>
      </c>
      <c r="D147" s="3">
        <v>1</v>
      </c>
      <c r="E147" s="3">
        <f>C147 - D147</f>
        <v>-1</v>
      </c>
    </row>
    <row r="148" spans="2:5" x14ac:dyDescent="0.35">
      <c r="B148" s="38">
        <v>36649</v>
      </c>
      <c r="C148" s="3">
        <v>0</v>
      </c>
      <c r="D148" s="3">
        <v>0</v>
      </c>
      <c r="E148" s="3">
        <f>C148 - D148</f>
        <v>0</v>
      </c>
    </row>
    <row r="149" spans="2:5" x14ac:dyDescent="0.35">
      <c r="B149" s="38">
        <v>36650</v>
      </c>
      <c r="C149" s="3">
        <v>1</v>
      </c>
      <c r="D149" s="3">
        <v>0</v>
      </c>
      <c r="E149" s="3">
        <f>C149 - D149</f>
        <v>1</v>
      </c>
    </row>
    <row r="150" spans="2:5" x14ac:dyDescent="0.35">
      <c r="B150" s="38">
        <v>36651</v>
      </c>
      <c r="C150" s="3">
        <v>1</v>
      </c>
      <c r="D150" s="3">
        <v>1</v>
      </c>
      <c r="E150" s="3">
        <f>C150 - D150</f>
        <v>0</v>
      </c>
    </row>
    <row r="151" spans="2:5" x14ac:dyDescent="0.35">
      <c r="B151" s="38">
        <v>36652</v>
      </c>
      <c r="C151" s="3">
        <v>1</v>
      </c>
      <c r="D151" s="3">
        <v>1</v>
      </c>
      <c r="E151" s="3">
        <f>C151 - D151</f>
        <v>0</v>
      </c>
    </row>
    <row r="152" spans="2:5" x14ac:dyDescent="0.35">
      <c r="B152" s="38">
        <v>36653</v>
      </c>
      <c r="C152" s="3">
        <v>0</v>
      </c>
      <c r="D152" s="3">
        <v>1</v>
      </c>
      <c r="E152" s="3">
        <f>C152 - D152</f>
        <v>-1</v>
      </c>
    </row>
    <row r="153" spans="2:5" x14ac:dyDescent="0.35">
      <c r="B153" s="38">
        <v>36654</v>
      </c>
      <c r="C153" s="3">
        <v>0</v>
      </c>
      <c r="D153" s="3">
        <v>0</v>
      </c>
      <c r="E153" s="3">
        <f>C153 - D153</f>
        <v>0</v>
      </c>
    </row>
    <row r="154" spans="2:5" x14ac:dyDescent="0.35">
      <c r="B154" s="38">
        <v>36655</v>
      </c>
      <c r="C154" s="3">
        <v>0</v>
      </c>
      <c r="D154" s="3">
        <v>0</v>
      </c>
      <c r="E154" s="3">
        <f>C154 - D154</f>
        <v>0</v>
      </c>
    </row>
    <row r="155" spans="2:5" x14ac:dyDescent="0.35">
      <c r="B155" s="38">
        <v>36656</v>
      </c>
      <c r="C155" s="3">
        <v>0</v>
      </c>
      <c r="D155" s="3">
        <v>0</v>
      </c>
      <c r="E155" s="3">
        <f>C155 - D155</f>
        <v>0</v>
      </c>
    </row>
    <row r="156" spans="2:5" x14ac:dyDescent="0.35">
      <c r="B156" s="38">
        <v>36657</v>
      </c>
      <c r="C156" s="3">
        <v>0</v>
      </c>
      <c r="D156" s="3">
        <v>0</v>
      </c>
      <c r="E156" s="3">
        <f>C156 - D156</f>
        <v>0</v>
      </c>
    </row>
    <row r="157" spans="2:5" x14ac:dyDescent="0.35">
      <c r="B157" s="38">
        <v>36658</v>
      </c>
      <c r="C157" s="3">
        <v>0</v>
      </c>
      <c r="D157" s="3">
        <v>0</v>
      </c>
      <c r="E157" s="3">
        <f>C157 - D157</f>
        <v>0</v>
      </c>
    </row>
    <row r="158" spans="2:5" x14ac:dyDescent="0.35">
      <c r="B158" s="38">
        <v>36659</v>
      </c>
      <c r="C158" s="3">
        <v>1</v>
      </c>
      <c r="D158" s="3">
        <v>0</v>
      </c>
      <c r="E158" s="3">
        <f>C158 - D158</f>
        <v>1</v>
      </c>
    </row>
    <row r="159" spans="2:5" x14ac:dyDescent="0.35">
      <c r="B159" s="38">
        <v>36660</v>
      </c>
      <c r="C159" s="3">
        <v>0</v>
      </c>
      <c r="D159" s="3">
        <v>1</v>
      </c>
      <c r="E159" s="3">
        <f>C159 - D159</f>
        <v>-1</v>
      </c>
    </row>
    <row r="160" spans="2:5" x14ac:dyDescent="0.35">
      <c r="B160" s="38">
        <v>36661</v>
      </c>
      <c r="C160" s="3">
        <v>0</v>
      </c>
      <c r="D160" s="3">
        <v>0</v>
      </c>
      <c r="E160" s="3">
        <f>C160 - D160</f>
        <v>0</v>
      </c>
    </row>
    <row r="161" spans="2:5" x14ac:dyDescent="0.35">
      <c r="B161" s="38">
        <v>36662</v>
      </c>
      <c r="C161" s="3">
        <v>1</v>
      </c>
      <c r="D161" s="3">
        <v>0</v>
      </c>
      <c r="E161" s="3">
        <f>C161 - D161</f>
        <v>1</v>
      </c>
    </row>
    <row r="162" spans="2:5" x14ac:dyDescent="0.35">
      <c r="B162" s="38">
        <v>36663</v>
      </c>
      <c r="C162" s="3">
        <v>1</v>
      </c>
      <c r="D162" s="3">
        <v>1</v>
      </c>
      <c r="E162" s="3">
        <f>C162 - D162</f>
        <v>0</v>
      </c>
    </row>
    <row r="163" spans="2:5" x14ac:dyDescent="0.35">
      <c r="B163" s="38">
        <v>36664</v>
      </c>
      <c r="C163" s="3">
        <v>0</v>
      </c>
      <c r="D163" s="3">
        <v>1</v>
      </c>
      <c r="E163" s="3">
        <f>C163 - D163</f>
        <v>-1</v>
      </c>
    </row>
    <row r="164" spans="2:5" x14ac:dyDescent="0.35">
      <c r="B164" s="38">
        <v>36665</v>
      </c>
      <c r="C164" s="3">
        <v>0</v>
      </c>
      <c r="D164" s="3">
        <v>0</v>
      </c>
      <c r="E164" s="3">
        <f>C164 - D164</f>
        <v>0</v>
      </c>
    </row>
    <row r="165" spans="2:5" x14ac:dyDescent="0.35">
      <c r="B165" s="38">
        <v>36666</v>
      </c>
      <c r="C165" s="3">
        <v>0</v>
      </c>
      <c r="D165" s="3">
        <v>0</v>
      </c>
      <c r="E165" s="3">
        <f>C165 - D165</f>
        <v>0</v>
      </c>
    </row>
    <row r="166" spans="2:5" x14ac:dyDescent="0.35">
      <c r="B166" s="38">
        <v>36667</v>
      </c>
      <c r="C166" s="3">
        <v>0</v>
      </c>
      <c r="D166" s="3">
        <v>0</v>
      </c>
      <c r="E166" s="3">
        <f>C166 - D166</f>
        <v>0</v>
      </c>
    </row>
    <row r="167" spans="2:5" x14ac:dyDescent="0.35">
      <c r="B167" s="38">
        <v>36668</v>
      </c>
      <c r="C167" s="3">
        <v>0</v>
      </c>
      <c r="D167" s="3">
        <v>0</v>
      </c>
      <c r="E167" s="3">
        <f>C167 - D167</f>
        <v>0</v>
      </c>
    </row>
    <row r="168" spans="2:5" x14ac:dyDescent="0.35">
      <c r="B168" s="38">
        <v>36669</v>
      </c>
      <c r="C168" s="3">
        <v>0</v>
      </c>
      <c r="D168" s="3">
        <v>0</v>
      </c>
      <c r="E168" s="3">
        <f>C168 - D168</f>
        <v>0</v>
      </c>
    </row>
    <row r="169" spans="2:5" x14ac:dyDescent="0.35">
      <c r="B169" s="38">
        <v>36670</v>
      </c>
      <c r="C169" s="3">
        <v>0</v>
      </c>
      <c r="D169" s="3">
        <v>0</v>
      </c>
      <c r="E169" s="3">
        <f>C169 - D169</f>
        <v>0</v>
      </c>
    </row>
    <row r="170" spans="2:5" x14ac:dyDescent="0.35">
      <c r="B170" s="38">
        <v>36671</v>
      </c>
      <c r="C170" s="3">
        <v>0</v>
      </c>
      <c r="D170" s="3">
        <v>0</v>
      </c>
      <c r="E170" s="3">
        <f>C170 - D170</f>
        <v>0</v>
      </c>
    </row>
    <row r="171" spans="2:5" x14ac:dyDescent="0.35">
      <c r="B171" s="38">
        <v>36672</v>
      </c>
      <c r="C171" s="3">
        <v>0</v>
      </c>
      <c r="D171" s="3">
        <v>0</v>
      </c>
      <c r="E171" s="3">
        <f>C171 - D171</f>
        <v>0</v>
      </c>
    </row>
    <row r="172" spans="2:5" x14ac:dyDescent="0.35">
      <c r="B172" s="38">
        <v>36673</v>
      </c>
      <c r="C172" s="3">
        <v>1</v>
      </c>
      <c r="D172" s="3">
        <v>0</v>
      </c>
      <c r="E172" s="3">
        <f>C172 - D172</f>
        <v>1</v>
      </c>
    </row>
    <row r="173" spans="2:5" x14ac:dyDescent="0.35">
      <c r="B173" s="38">
        <v>36674</v>
      </c>
      <c r="C173" s="3">
        <v>1</v>
      </c>
      <c r="D173" s="3">
        <v>1</v>
      </c>
      <c r="E173" s="3">
        <f>C173 - D173</f>
        <v>0</v>
      </c>
    </row>
    <row r="174" spans="2:5" x14ac:dyDescent="0.35">
      <c r="B174" s="38">
        <v>36675</v>
      </c>
      <c r="C174" s="3">
        <v>1</v>
      </c>
      <c r="D174" s="3">
        <v>1</v>
      </c>
      <c r="E174" s="3">
        <f>C174 - D174</f>
        <v>0</v>
      </c>
    </row>
    <row r="175" spans="2:5" x14ac:dyDescent="0.35">
      <c r="B175" s="38">
        <v>36676</v>
      </c>
      <c r="C175" s="3">
        <v>1</v>
      </c>
      <c r="D175" s="3">
        <v>1</v>
      </c>
      <c r="E175" s="3">
        <f>C175 - D175</f>
        <v>0</v>
      </c>
    </row>
    <row r="176" spans="2:5" x14ac:dyDescent="0.35">
      <c r="B176" s="38">
        <v>36677</v>
      </c>
      <c r="C176" s="3">
        <v>1</v>
      </c>
      <c r="D176" s="3">
        <v>1</v>
      </c>
      <c r="E176" s="3">
        <f>C176 - D176</f>
        <v>0</v>
      </c>
    </row>
    <row r="177" spans="2:5" x14ac:dyDescent="0.35">
      <c r="B177" s="38">
        <v>36678</v>
      </c>
      <c r="C177" s="3">
        <v>1</v>
      </c>
      <c r="D177" s="3">
        <v>1</v>
      </c>
      <c r="E177" s="3">
        <f>C177 - D177</f>
        <v>0</v>
      </c>
    </row>
    <row r="178" spans="2:5" x14ac:dyDescent="0.35">
      <c r="B178" s="38">
        <v>36679</v>
      </c>
      <c r="C178" s="3">
        <v>1</v>
      </c>
      <c r="D178" s="3">
        <v>1</v>
      </c>
      <c r="E178" s="3">
        <f>C178 - D178</f>
        <v>0</v>
      </c>
    </row>
    <row r="179" spans="2:5" x14ac:dyDescent="0.35">
      <c r="B179" s="38">
        <v>36680</v>
      </c>
      <c r="C179" s="3">
        <v>0</v>
      </c>
      <c r="D179" s="3">
        <v>1</v>
      </c>
      <c r="E179" s="3">
        <f>C179 - D179</f>
        <v>-1</v>
      </c>
    </row>
    <row r="180" spans="2:5" x14ac:dyDescent="0.35">
      <c r="B180" s="38">
        <v>36681</v>
      </c>
      <c r="C180" s="3">
        <v>1</v>
      </c>
      <c r="D180" s="3">
        <v>0</v>
      </c>
      <c r="E180" s="3">
        <f>C180 - D180</f>
        <v>1</v>
      </c>
    </row>
    <row r="181" spans="2:5" x14ac:dyDescent="0.35">
      <c r="B181" s="38">
        <v>36682</v>
      </c>
      <c r="C181" s="3">
        <v>1</v>
      </c>
      <c r="D181" s="3">
        <v>1</v>
      </c>
      <c r="E181" s="3">
        <f>C181 - D181</f>
        <v>0</v>
      </c>
    </row>
    <row r="182" spans="2:5" x14ac:dyDescent="0.35">
      <c r="B182" s="38">
        <v>36683</v>
      </c>
      <c r="C182" s="3">
        <v>1</v>
      </c>
      <c r="D182" s="3">
        <v>1</v>
      </c>
      <c r="E182" s="3">
        <f>C182 - D182</f>
        <v>0</v>
      </c>
    </row>
    <row r="183" spans="2:5" x14ac:dyDescent="0.35">
      <c r="B183" s="38">
        <v>36684</v>
      </c>
      <c r="C183" s="3">
        <v>1</v>
      </c>
      <c r="D183" s="3">
        <v>1</v>
      </c>
      <c r="E183" s="3">
        <f>C183 - D183</f>
        <v>0</v>
      </c>
    </row>
    <row r="184" spans="2:5" x14ac:dyDescent="0.35">
      <c r="B184" s="38">
        <v>36685</v>
      </c>
      <c r="C184" s="3">
        <v>0</v>
      </c>
      <c r="D184" s="3">
        <v>1</v>
      </c>
      <c r="E184" s="3">
        <f>C184 - D184</f>
        <v>-1</v>
      </c>
    </row>
    <row r="185" spans="2:5" x14ac:dyDescent="0.35">
      <c r="B185" s="38">
        <v>36686</v>
      </c>
      <c r="C185" s="3">
        <v>0</v>
      </c>
      <c r="D185" s="3">
        <v>0</v>
      </c>
      <c r="E185" s="3">
        <f>C185 - D185</f>
        <v>0</v>
      </c>
    </row>
    <row r="186" spans="2:5" x14ac:dyDescent="0.35">
      <c r="B186" s="38">
        <v>36687</v>
      </c>
      <c r="C186" s="3">
        <v>1</v>
      </c>
      <c r="D186" s="3">
        <v>0</v>
      </c>
      <c r="E186" s="3">
        <f>C186 - D186</f>
        <v>1</v>
      </c>
    </row>
    <row r="187" spans="2:5" x14ac:dyDescent="0.35">
      <c r="B187" s="38">
        <v>36688</v>
      </c>
      <c r="C187" s="3">
        <v>1</v>
      </c>
      <c r="D187" s="3">
        <v>1</v>
      </c>
      <c r="E187" s="3">
        <f>C187 - D187</f>
        <v>0</v>
      </c>
    </row>
    <row r="188" spans="2:5" x14ac:dyDescent="0.35">
      <c r="B188" s="38">
        <v>36689</v>
      </c>
      <c r="C188" s="3">
        <v>0</v>
      </c>
      <c r="D188" s="3">
        <v>1</v>
      </c>
      <c r="E188" s="3">
        <f>C188 - D188</f>
        <v>-1</v>
      </c>
    </row>
    <row r="189" spans="2:5" x14ac:dyDescent="0.35">
      <c r="B189" s="38">
        <v>36690</v>
      </c>
      <c r="C189" s="3">
        <v>0</v>
      </c>
      <c r="D189" s="3">
        <v>0</v>
      </c>
      <c r="E189" s="3">
        <f>C189 - D189</f>
        <v>0</v>
      </c>
    </row>
    <row r="190" spans="2:5" x14ac:dyDescent="0.35">
      <c r="B190" s="38">
        <v>36691</v>
      </c>
      <c r="C190" s="3">
        <v>0</v>
      </c>
      <c r="D190" s="3">
        <v>0</v>
      </c>
      <c r="E190" s="3">
        <f>C190 - D190</f>
        <v>0</v>
      </c>
    </row>
    <row r="191" spans="2:5" x14ac:dyDescent="0.35">
      <c r="B191" s="38">
        <v>36692</v>
      </c>
      <c r="C191" s="3">
        <v>0</v>
      </c>
      <c r="D191" s="3">
        <v>0</v>
      </c>
      <c r="E191" s="3">
        <f>C191 - D191</f>
        <v>0</v>
      </c>
    </row>
    <row r="192" spans="2:5" x14ac:dyDescent="0.35">
      <c r="B192" s="38">
        <v>36693</v>
      </c>
      <c r="C192" s="3">
        <v>0</v>
      </c>
      <c r="D192" s="3">
        <v>0</v>
      </c>
      <c r="E192" s="3">
        <f>C192 - D192</f>
        <v>0</v>
      </c>
    </row>
    <row r="193" spans="2:5" x14ac:dyDescent="0.35">
      <c r="B193" s="38">
        <v>36694</v>
      </c>
      <c r="C193" s="3">
        <v>0</v>
      </c>
      <c r="D193" s="3">
        <v>0</v>
      </c>
      <c r="E193" s="3">
        <f>C193 - D193</f>
        <v>0</v>
      </c>
    </row>
    <row r="194" spans="2:5" x14ac:dyDescent="0.35">
      <c r="B194" s="38">
        <v>36695</v>
      </c>
      <c r="C194" s="3">
        <v>0</v>
      </c>
      <c r="D194" s="3">
        <v>0</v>
      </c>
      <c r="E194" s="3">
        <f>C194 - D194</f>
        <v>0</v>
      </c>
    </row>
    <row r="195" spans="2:5" x14ac:dyDescent="0.35">
      <c r="B195" s="38">
        <v>36696</v>
      </c>
      <c r="C195" s="3">
        <v>0</v>
      </c>
      <c r="D195" s="3">
        <v>0</v>
      </c>
      <c r="E195" s="3">
        <f>C195 - D195</f>
        <v>0</v>
      </c>
    </row>
    <row r="196" spans="2:5" x14ac:dyDescent="0.35">
      <c r="B196" s="38">
        <v>36697</v>
      </c>
      <c r="C196" s="3">
        <v>0</v>
      </c>
      <c r="D196" s="3">
        <v>0</v>
      </c>
      <c r="E196" s="3">
        <f>C196 - D196</f>
        <v>0</v>
      </c>
    </row>
    <row r="197" spans="2:5" x14ac:dyDescent="0.35">
      <c r="B197" s="38">
        <v>36698</v>
      </c>
      <c r="C197" s="3">
        <v>1</v>
      </c>
      <c r="D197" s="3">
        <v>0</v>
      </c>
      <c r="E197" s="3">
        <f>C197 - D197</f>
        <v>1</v>
      </c>
    </row>
    <row r="198" spans="2:5" x14ac:dyDescent="0.35">
      <c r="B198" s="38">
        <v>36699</v>
      </c>
      <c r="C198" s="3">
        <v>1</v>
      </c>
      <c r="D198" s="3">
        <v>1</v>
      </c>
      <c r="E198" s="3">
        <f>C198 - D198</f>
        <v>0</v>
      </c>
    </row>
    <row r="199" spans="2:5" x14ac:dyDescent="0.35">
      <c r="B199" s="38">
        <v>36700</v>
      </c>
      <c r="C199" s="3">
        <v>1</v>
      </c>
      <c r="D199" s="3">
        <v>1</v>
      </c>
      <c r="E199" s="3">
        <f>C199 - D199</f>
        <v>0</v>
      </c>
    </row>
    <row r="200" spans="2:5" x14ac:dyDescent="0.35">
      <c r="B200" s="38">
        <v>36701</v>
      </c>
      <c r="C200" s="3">
        <v>0</v>
      </c>
      <c r="D200" s="3">
        <v>1</v>
      </c>
      <c r="E200" s="3">
        <f>C200 - D200</f>
        <v>-1</v>
      </c>
    </row>
    <row r="201" spans="2:5" x14ac:dyDescent="0.35">
      <c r="B201" s="38">
        <v>36702</v>
      </c>
      <c r="C201" s="3">
        <v>0</v>
      </c>
      <c r="D201" s="3">
        <v>0</v>
      </c>
      <c r="E201" s="3">
        <f>C201 - D201</f>
        <v>0</v>
      </c>
    </row>
    <row r="202" spans="2:5" x14ac:dyDescent="0.35">
      <c r="B202" s="38">
        <v>36703</v>
      </c>
      <c r="C202" s="3">
        <v>0</v>
      </c>
      <c r="D202" s="3">
        <v>0</v>
      </c>
      <c r="E202" s="3">
        <f>C202 - D202</f>
        <v>0</v>
      </c>
    </row>
    <row r="203" spans="2:5" x14ac:dyDescent="0.35">
      <c r="B203" s="38">
        <v>36704</v>
      </c>
      <c r="C203" s="3">
        <v>0</v>
      </c>
      <c r="D203" s="3">
        <v>0</v>
      </c>
      <c r="E203" s="3">
        <f>C203 - D203</f>
        <v>0</v>
      </c>
    </row>
    <row r="204" spans="2:5" x14ac:dyDescent="0.35">
      <c r="B204" s="38">
        <v>36705</v>
      </c>
      <c r="C204" s="3">
        <v>0</v>
      </c>
      <c r="D204" s="3">
        <v>0</v>
      </c>
      <c r="E204" s="3">
        <f>C204 - D204</f>
        <v>0</v>
      </c>
    </row>
    <row r="205" spans="2:5" x14ac:dyDescent="0.35">
      <c r="B205" s="38">
        <v>36706</v>
      </c>
      <c r="C205" s="3">
        <v>1</v>
      </c>
      <c r="D205" s="3">
        <v>0</v>
      </c>
      <c r="E205" s="3">
        <f>C205 - D205</f>
        <v>1</v>
      </c>
    </row>
    <row r="206" spans="2:5" x14ac:dyDescent="0.35">
      <c r="B206" s="38">
        <v>36707</v>
      </c>
      <c r="C206" s="3">
        <v>1</v>
      </c>
      <c r="D206" s="3">
        <v>1</v>
      </c>
      <c r="E206" s="3">
        <f>C206 - D206</f>
        <v>0</v>
      </c>
    </row>
    <row r="207" spans="2:5" x14ac:dyDescent="0.35">
      <c r="B207" s="38">
        <v>36708</v>
      </c>
      <c r="C207" s="3">
        <v>1</v>
      </c>
      <c r="D207" s="3">
        <v>1</v>
      </c>
      <c r="E207" s="3">
        <f>C207 - D207</f>
        <v>0</v>
      </c>
    </row>
    <row r="208" spans="2:5" x14ac:dyDescent="0.35">
      <c r="B208" s="38">
        <v>36709</v>
      </c>
      <c r="C208" s="3">
        <v>0</v>
      </c>
      <c r="D208" s="3">
        <v>1</v>
      </c>
      <c r="E208" s="3">
        <f>C208 - D208</f>
        <v>-1</v>
      </c>
    </row>
    <row r="209" spans="2:5" x14ac:dyDescent="0.35">
      <c r="B209" s="38">
        <v>36710</v>
      </c>
      <c r="C209" s="3">
        <v>0</v>
      </c>
      <c r="D209" s="3">
        <v>0</v>
      </c>
      <c r="E209" s="3">
        <f>C209 - D209</f>
        <v>0</v>
      </c>
    </row>
    <row r="210" spans="2:5" x14ac:dyDescent="0.35">
      <c r="B210" s="38">
        <v>36711</v>
      </c>
      <c r="C210" s="3">
        <v>0</v>
      </c>
      <c r="D210" s="3">
        <v>0</v>
      </c>
      <c r="E210" s="3">
        <f>C210 - D210</f>
        <v>0</v>
      </c>
    </row>
    <row r="211" spans="2:5" x14ac:dyDescent="0.35">
      <c r="B211" s="38">
        <v>36712</v>
      </c>
      <c r="C211" s="3">
        <v>0</v>
      </c>
      <c r="D211" s="3">
        <v>0</v>
      </c>
      <c r="E211" s="3">
        <f>C211 - D211</f>
        <v>0</v>
      </c>
    </row>
    <row r="212" spans="2:5" x14ac:dyDescent="0.35">
      <c r="B212" s="38">
        <v>36713</v>
      </c>
      <c r="C212" s="3">
        <v>1</v>
      </c>
      <c r="D212" s="3">
        <v>0</v>
      </c>
      <c r="E212" s="3">
        <f>C212 - D212</f>
        <v>1</v>
      </c>
    </row>
    <row r="213" spans="2:5" x14ac:dyDescent="0.35">
      <c r="B213" s="38">
        <v>36714</v>
      </c>
      <c r="C213" s="3">
        <v>0</v>
      </c>
      <c r="D213" s="3">
        <v>1</v>
      </c>
      <c r="E213" s="3">
        <f>C213 - D213</f>
        <v>-1</v>
      </c>
    </row>
    <row r="214" spans="2:5" x14ac:dyDescent="0.35">
      <c r="B214" s="38">
        <v>36715</v>
      </c>
      <c r="C214" s="3">
        <v>0</v>
      </c>
      <c r="D214" s="3">
        <v>0</v>
      </c>
      <c r="E214" s="3">
        <f>C214 - D214</f>
        <v>0</v>
      </c>
    </row>
    <row r="215" spans="2:5" x14ac:dyDescent="0.35">
      <c r="B215" s="38">
        <v>36716</v>
      </c>
      <c r="C215" s="3">
        <v>0</v>
      </c>
      <c r="D215" s="3">
        <v>0</v>
      </c>
      <c r="E215" s="3">
        <f>C215 - D215</f>
        <v>0</v>
      </c>
    </row>
    <row r="216" spans="2:5" x14ac:dyDescent="0.35">
      <c r="B216" s="38">
        <v>36717</v>
      </c>
      <c r="C216" s="3">
        <v>1</v>
      </c>
      <c r="D216" s="3">
        <v>0</v>
      </c>
      <c r="E216" s="3">
        <f>C216 - D216</f>
        <v>1</v>
      </c>
    </row>
    <row r="217" spans="2:5" x14ac:dyDescent="0.35">
      <c r="B217" s="38">
        <v>36718</v>
      </c>
      <c r="C217" s="3">
        <v>1</v>
      </c>
      <c r="D217" s="3">
        <v>1</v>
      </c>
      <c r="E217" s="3">
        <f>C217 - D217</f>
        <v>0</v>
      </c>
    </row>
    <row r="218" spans="2:5" x14ac:dyDescent="0.35">
      <c r="B218" s="38">
        <v>36719</v>
      </c>
      <c r="C218" s="3">
        <v>0</v>
      </c>
      <c r="D218" s="3">
        <v>1</v>
      </c>
      <c r="E218" s="3">
        <f>C218 - D218</f>
        <v>-1</v>
      </c>
    </row>
    <row r="219" spans="2:5" x14ac:dyDescent="0.35">
      <c r="B219" s="38">
        <v>36720</v>
      </c>
      <c r="C219" s="3">
        <v>1</v>
      </c>
      <c r="D219" s="3">
        <v>0</v>
      </c>
      <c r="E219" s="3">
        <f>C219 - D219</f>
        <v>1</v>
      </c>
    </row>
    <row r="220" spans="2:5" x14ac:dyDescent="0.35">
      <c r="B220" s="38">
        <v>36721</v>
      </c>
      <c r="C220" s="3">
        <v>1</v>
      </c>
      <c r="D220" s="3">
        <v>1</v>
      </c>
      <c r="E220" s="3">
        <f>C220 - D220</f>
        <v>0</v>
      </c>
    </row>
    <row r="221" spans="2:5" x14ac:dyDescent="0.35">
      <c r="B221" s="38">
        <v>36722</v>
      </c>
      <c r="C221" s="3">
        <v>1</v>
      </c>
      <c r="D221" s="3">
        <v>1</v>
      </c>
      <c r="E221" s="3">
        <f>C221 - D221</f>
        <v>0</v>
      </c>
    </row>
    <row r="222" spans="2:5" x14ac:dyDescent="0.35">
      <c r="B222" s="38">
        <v>36723</v>
      </c>
      <c r="C222" s="3">
        <v>0</v>
      </c>
      <c r="D222" s="3">
        <v>1</v>
      </c>
      <c r="E222" s="3">
        <f>C222 - D222</f>
        <v>-1</v>
      </c>
    </row>
    <row r="223" spans="2:5" x14ac:dyDescent="0.35">
      <c r="B223" s="38">
        <v>36724</v>
      </c>
      <c r="C223" s="3">
        <v>0</v>
      </c>
      <c r="D223" s="3">
        <v>0</v>
      </c>
      <c r="E223" s="3">
        <f>C223 - D223</f>
        <v>0</v>
      </c>
    </row>
    <row r="224" spans="2:5" x14ac:dyDescent="0.35">
      <c r="B224" s="38">
        <v>36725</v>
      </c>
      <c r="C224" s="3">
        <v>0</v>
      </c>
      <c r="D224" s="3">
        <v>0</v>
      </c>
      <c r="E224" s="3">
        <f>C224 - D224</f>
        <v>0</v>
      </c>
    </row>
    <row r="225" spans="2:5" x14ac:dyDescent="0.35">
      <c r="B225" s="38">
        <v>36726</v>
      </c>
      <c r="C225" s="3">
        <v>1</v>
      </c>
      <c r="D225" s="3">
        <v>0</v>
      </c>
      <c r="E225" s="3">
        <f>C225 - D225</f>
        <v>1</v>
      </c>
    </row>
    <row r="226" spans="2:5" x14ac:dyDescent="0.35">
      <c r="B226" s="38">
        <v>36727</v>
      </c>
      <c r="C226" s="3">
        <v>1</v>
      </c>
      <c r="D226" s="3">
        <v>1</v>
      </c>
      <c r="E226" s="3">
        <f>C226 - D226</f>
        <v>0</v>
      </c>
    </row>
    <row r="227" spans="2:5" x14ac:dyDescent="0.35">
      <c r="B227" s="38">
        <v>36728</v>
      </c>
      <c r="C227" s="3">
        <v>0</v>
      </c>
      <c r="D227" s="3">
        <v>1</v>
      </c>
      <c r="E227" s="3">
        <f>C227 - D227</f>
        <v>-1</v>
      </c>
    </row>
    <row r="228" spans="2:5" x14ac:dyDescent="0.35">
      <c r="B228" s="38">
        <v>36729</v>
      </c>
      <c r="C228" s="3">
        <v>0</v>
      </c>
      <c r="D228" s="3">
        <v>0</v>
      </c>
      <c r="E228" s="3">
        <f>C228 - D228</f>
        <v>0</v>
      </c>
    </row>
    <row r="229" spans="2:5" x14ac:dyDescent="0.35">
      <c r="B229" s="38">
        <v>36730</v>
      </c>
      <c r="C229" s="3">
        <v>0</v>
      </c>
      <c r="D229" s="3">
        <v>0</v>
      </c>
      <c r="E229" s="3">
        <f>C229 - D229</f>
        <v>0</v>
      </c>
    </row>
    <row r="230" spans="2:5" x14ac:dyDescent="0.35">
      <c r="B230" s="38">
        <v>36731</v>
      </c>
      <c r="C230" s="3">
        <v>0</v>
      </c>
      <c r="D230" s="3">
        <v>0</v>
      </c>
      <c r="E230" s="3">
        <f>C230 - D230</f>
        <v>0</v>
      </c>
    </row>
    <row r="231" spans="2:5" x14ac:dyDescent="0.35">
      <c r="B231" s="38">
        <v>36732</v>
      </c>
      <c r="C231" s="3">
        <v>1</v>
      </c>
      <c r="D231" s="3">
        <v>0</v>
      </c>
      <c r="E231" s="3">
        <f>C231 - D231</f>
        <v>1</v>
      </c>
    </row>
    <row r="232" spans="2:5" x14ac:dyDescent="0.35">
      <c r="B232" s="38">
        <v>36733</v>
      </c>
      <c r="C232" s="3">
        <v>1</v>
      </c>
      <c r="D232" s="3">
        <v>1</v>
      </c>
      <c r="E232" s="3">
        <f>C232 - D232</f>
        <v>0</v>
      </c>
    </row>
    <row r="233" spans="2:5" x14ac:dyDescent="0.35">
      <c r="B233" s="38">
        <v>36734</v>
      </c>
      <c r="C233" s="3">
        <v>1</v>
      </c>
      <c r="D233" s="3">
        <v>1</v>
      </c>
      <c r="E233" s="3">
        <f>C233 - D233</f>
        <v>0</v>
      </c>
    </row>
    <row r="234" spans="2:5" x14ac:dyDescent="0.35">
      <c r="B234" s="38">
        <v>36735</v>
      </c>
      <c r="C234" s="3">
        <v>1</v>
      </c>
      <c r="D234" s="3">
        <v>1</v>
      </c>
      <c r="E234" s="3">
        <f>C234 - D234</f>
        <v>0</v>
      </c>
    </row>
    <row r="235" spans="2:5" x14ac:dyDescent="0.35">
      <c r="B235" s="38">
        <v>36736</v>
      </c>
      <c r="C235" s="3">
        <v>0</v>
      </c>
      <c r="D235" s="3">
        <v>1</v>
      </c>
      <c r="E235" s="3">
        <f>C235 - D235</f>
        <v>-1</v>
      </c>
    </row>
    <row r="236" spans="2:5" x14ac:dyDescent="0.35">
      <c r="B236" s="38">
        <v>36737</v>
      </c>
      <c r="C236" s="3">
        <v>0</v>
      </c>
      <c r="D236" s="3">
        <v>0</v>
      </c>
      <c r="E236" s="3">
        <f>C236 - D236</f>
        <v>0</v>
      </c>
    </row>
    <row r="237" spans="2:5" x14ac:dyDescent="0.35">
      <c r="B237" s="38">
        <v>36738</v>
      </c>
      <c r="C237" s="3">
        <v>0</v>
      </c>
      <c r="D237" s="3">
        <v>0</v>
      </c>
      <c r="E237" s="3">
        <f>C237 - D237</f>
        <v>0</v>
      </c>
    </row>
    <row r="238" spans="2:5" x14ac:dyDescent="0.35">
      <c r="B238" s="38">
        <v>36739</v>
      </c>
      <c r="C238" s="3">
        <v>0</v>
      </c>
      <c r="D238" s="3">
        <v>0</v>
      </c>
      <c r="E238" s="3">
        <f>C238 - D238</f>
        <v>0</v>
      </c>
    </row>
    <row r="239" spans="2:5" x14ac:dyDescent="0.35">
      <c r="B239" s="38">
        <v>36740</v>
      </c>
      <c r="C239" s="3">
        <v>0</v>
      </c>
      <c r="D239" s="3">
        <v>0</v>
      </c>
      <c r="E239" s="3">
        <f>C239 - D239</f>
        <v>0</v>
      </c>
    </row>
    <row r="240" spans="2:5" x14ac:dyDescent="0.35">
      <c r="B240" s="38">
        <v>36741</v>
      </c>
      <c r="C240" s="3">
        <v>0</v>
      </c>
      <c r="D240" s="3">
        <v>0</v>
      </c>
      <c r="E240" s="3">
        <f>C240 - D240</f>
        <v>0</v>
      </c>
    </row>
    <row r="241" spans="2:5" x14ac:dyDescent="0.35">
      <c r="B241" s="38">
        <v>36742</v>
      </c>
      <c r="C241" s="3">
        <v>0</v>
      </c>
      <c r="D241" s="3">
        <v>0</v>
      </c>
      <c r="E241" s="3">
        <f>C241 - D241</f>
        <v>0</v>
      </c>
    </row>
    <row r="242" spans="2:5" x14ac:dyDescent="0.35">
      <c r="B242" s="38">
        <v>36743</v>
      </c>
      <c r="C242" s="3">
        <v>0</v>
      </c>
      <c r="D242" s="3">
        <v>0</v>
      </c>
      <c r="E242" s="3">
        <f>C242 - D242</f>
        <v>0</v>
      </c>
    </row>
    <row r="243" spans="2:5" x14ac:dyDescent="0.35">
      <c r="B243" s="38">
        <v>36744</v>
      </c>
      <c r="C243" s="3">
        <v>0</v>
      </c>
      <c r="D243" s="3">
        <v>0</v>
      </c>
      <c r="E243" s="3">
        <f>C243 - D243</f>
        <v>0</v>
      </c>
    </row>
    <row r="244" spans="2:5" x14ac:dyDescent="0.35">
      <c r="B244" s="38">
        <v>36745</v>
      </c>
      <c r="C244" s="3">
        <v>0</v>
      </c>
      <c r="D244" s="3">
        <v>0</v>
      </c>
      <c r="E244" s="3">
        <f>C244 - D244</f>
        <v>0</v>
      </c>
    </row>
    <row r="245" spans="2:5" x14ac:dyDescent="0.35">
      <c r="B245" s="38">
        <v>36746</v>
      </c>
      <c r="C245" s="3">
        <v>0</v>
      </c>
      <c r="D245" s="3">
        <v>0</v>
      </c>
      <c r="E245" s="3">
        <f>C245 - D245</f>
        <v>0</v>
      </c>
    </row>
    <row r="246" spans="2:5" x14ac:dyDescent="0.35">
      <c r="B246" s="38">
        <v>36747</v>
      </c>
      <c r="C246" s="3">
        <v>1</v>
      </c>
      <c r="D246" s="3">
        <v>0</v>
      </c>
      <c r="E246" s="3">
        <f>C246 - D246</f>
        <v>1</v>
      </c>
    </row>
    <row r="247" spans="2:5" x14ac:dyDescent="0.35">
      <c r="B247" s="38">
        <v>36748</v>
      </c>
      <c r="C247" s="3">
        <v>1</v>
      </c>
      <c r="D247" s="3">
        <v>1</v>
      </c>
      <c r="E247" s="3">
        <f>C247 - D247</f>
        <v>0</v>
      </c>
    </row>
    <row r="248" spans="2:5" x14ac:dyDescent="0.35">
      <c r="B248" s="38">
        <v>36749</v>
      </c>
      <c r="C248" s="3">
        <v>0</v>
      </c>
      <c r="D248" s="3">
        <v>1</v>
      </c>
      <c r="E248" s="3">
        <f>C248 - D248</f>
        <v>-1</v>
      </c>
    </row>
    <row r="249" spans="2:5" x14ac:dyDescent="0.35">
      <c r="B249" s="38">
        <v>36750</v>
      </c>
      <c r="C249" s="3">
        <v>1</v>
      </c>
      <c r="D249" s="3">
        <v>0</v>
      </c>
      <c r="E249" s="3">
        <f>C249 - D249</f>
        <v>1</v>
      </c>
    </row>
    <row r="250" spans="2:5" x14ac:dyDescent="0.35">
      <c r="B250" s="38">
        <v>36751</v>
      </c>
      <c r="C250" s="3">
        <v>0</v>
      </c>
      <c r="D250" s="3">
        <v>1</v>
      </c>
      <c r="E250" s="3">
        <f>C250 - D250</f>
        <v>-1</v>
      </c>
    </row>
    <row r="251" spans="2:5" x14ac:dyDescent="0.35">
      <c r="B251" s="38">
        <v>36752</v>
      </c>
      <c r="C251" s="3">
        <v>0</v>
      </c>
      <c r="D251" s="3">
        <v>0</v>
      </c>
      <c r="E251" s="3">
        <f>C251 - D251</f>
        <v>0</v>
      </c>
    </row>
    <row r="252" spans="2:5" x14ac:dyDescent="0.35">
      <c r="B252" s="38">
        <v>36753</v>
      </c>
      <c r="C252" s="3">
        <v>1</v>
      </c>
      <c r="D252" s="3">
        <v>0</v>
      </c>
      <c r="E252" s="3">
        <f>C252 - D252</f>
        <v>1</v>
      </c>
    </row>
    <row r="253" spans="2:5" x14ac:dyDescent="0.35">
      <c r="B253" s="38">
        <v>36754</v>
      </c>
      <c r="C253" s="3">
        <v>1</v>
      </c>
      <c r="D253" s="3">
        <v>1</v>
      </c>
      <c r="E253" s="3">
        <f>C253 - D253</f>
        <v>0</v>
      </c>
    </row>
    <row r="254" spans="2:5" x14ac:dyDescent="0.35">
      <c r="B254" s="38">
        <v>36755</v>
      </c>
      <c r="C254" s="3">
        <v>0</v>
      </c>
      <c r="D254" s="3">
        <v>1</v>
      </c>
      <c r="E254" s="3">
        <f>C254 - D254</f>
        <v>-1</v>
      </c>
    </row>
    <row r="255" spans="2:5" x14ac:dyDescent="0.35">
      <c r="B255" s="38">
        <v>36756</v>
      </c>
      <c r="C255" s="3">
        <v>0</v>
      </c>
      <c r="D255" s="3">
        <v>0</v>
      </c>
      <c r="E255" s="3">
        <f>C255 - D255</f>
        <v>0</v>
      </c>
    </row>
    <row r="256" spans="2:5" x14ac:dyDescent="0.35">
      <c r="B256" s="38">
        <v>36757</v>
      </c>
      <c r="C256" s="3">
        <v>0</v>
      </c>
      <c r="D256" s="3">
        <v>0</v>
      </c>
      <c r="E256" s="3">
        <f>C256 - D256</f>
        <v>0</v>
      </c>
    </row>
    <row r="257" spans="2:5" x14ac:dyDescent="0.35">
      <c r="B257" s="38">
        <v>36758</v>
      </c>
      <c r="C257" s="3">
        <v>0</v>
      </c>
      <c r="D257" s="3">
        <v>0</v>
      </c>
      <c r="E257" s="3">
        <f>C257 - D257</f>
        <v>0</v>
      </c>
    </row>
    <row r="258" spans="2:5" x14ac:dyDescent="0.35">
      <c r="B258" s="38">
        <v>36759</v>
      </c>
      <c r="C258" s="3">
        <v>0</v>
      </c>
      <c r="D258" s="3">
        <v>0</v>
      </c>
      <c r="E258" s="3">
        <f>C258 - D258</f>
        <v>0</v>
      </c>
    </row>
    <row r="259" spans="2:5" x14ac:dyDescent="0.35">
      <c r="B259" s="38">
        <v>36760</v>
      </c>
      <c r="C259" s="3">
        <v>1</v>
      </c>
      <c r="D259" s="3">
        <v>0</v>
      </c>
      <c r="E259" s="3">
        <f>C259 - D259</f>
        <v>1</v>
      </c>
    </row>
    <row r="260" spans="2:5" x14ac:dyDescent="0.35">
      <c r="B260" s="38">
        <v>36761</v>
      </c>
      <c r="C260" s="3">
        <v>0</v>
      </c>
      <c r="D260" s="3">
        <v>1</v>
      </c>
      <c r="E260" s="3">
        <f>C260 - D260</f>
        <v>-1</v>
      </c>
    </row>
    <row r="261" spans="2:5" x14ac:dyDescent="0.35">
      <c r="B261" s="38">
        <v>36762</v>
      </c>
      <c r="C261" s="3">
        <v>0</v>
      </c>
      <c r="D261" s="3">
        <v>0</v>
      </c>
      <c r="E261" s="3">
        <f>C261 - D261</f>
        <v>0</v>
      </c>
    </row>
    <row r="262" spans="2:5" x14ac:dyDescent="0.35">
      <c r="B262" s="38">
        <v>36763</v>
      </c>
      <c r="C262" s="3">
        <v>1</v>
      </c>
      <c r="D262" s="3">
        <v>0</v>
      </c>
      <c r="E262" s="3">
        <f>C262 - D262</f>
        <v>1</v>
      </c>
    </row>
    <row r="263" spans="2:5" x14ac:dyDescent="0.35">
      <c r="B263" s="38">
        <v>36764</v>
      </c>
      <c r="C263" s="3">
        <v>1</v>
      </c>
      <c r="D263" s="3">
        <v>1</v>
      </c>
      <c r="E263" s="3">
        <f>C263 - D263</f>
        <v>0</v>
      </c>
    </row>
    <row r="264" spans="2:5" x14ac:dyDescent="0.35">
      <c r="B264" s="38">
        <v>36765</v>
      </c>
      <c r="C264" s="3">
        <v>0</v>
      </c>
      <c r="D264" s="3">
        <v>1</v>
      </c>
      <c r="E264" s="3">
        <f>C264 - D264</f>
        <v>-1</v>
      </c>
    </row>
    <row r="265" spans="2:5" x14ac:dyDescent="0.35">
      <c r="B265" s="38">
        <v>36766</v>
      </c>
      <c r="C265" s="3">
        <v>1</v>
      </c>
      <c r="D265" s="3">
        <v>0</v>
      </c>
      <c r="E265" s="3">
        <f>C265 - D265</f>
        <v>1</v>
      </c>
    </row>
    <row r="266" spans="2:5" x14ac:dyDescent="0.35">
      <c r="B266" s="38">
        <v>36767</v>
      </c>
      <c r="C266" s="3">
        <v>1</v>
      </c>
      <c r="D266" s="3">
        <v>1</v>
      </c>
      <c r="E266" s="3">
        <f>C266 - D266</f>
        <v>0</v>
      </c>
    </row>
    <row r="267" spans="2:5" x14ac:dyDescent="0.35">
      <c r="B267" s="38">
        <v>36768</v>
      </c>
      <c r="C267" s="3">
        <v>1</v>
      </c>
      <c r="D267" s="3">
        <v>1</v>
      </c>
      <c r="E267" s="3">
        <f>C267 - D267</f>
        <v>0</v>
      </c>
    </row>
    <row r="268" spans="2:5" x14ac:dyDescent="0.35">
      <c r="B268" s="38">
        <v>36769</v>
      </c>
      <c r="C268" s="3">
        <v>1</v>
      </c>
      <c r="D268" s="3">
        <v>1</v>
      </c>
      <c r="E268" s="3">
        <f>C268 - D268</f>
        <v>0</v>
      </c>
    </row>
    <row r="269" spans="2:5" x14ac:dyDescent="0.35">
      <c r="B269" s="38">
        <v>36770</v>
      </c>
      <c r="C269" s="3">
        <v>0</v>
      </c>
      <c r="D269" s="3">
        <v>1</v>
      </c>
      <c r="E269" s="3">
        <f>C269 - D269</f>
        <v>-1</v>
      </c>
    </row>
    <row r="270" spans="2:5" x14ac:dyDescent="0.35">
      <c r="B270" s="38">
        <v>36771</v>
      </c>
      <c r="C270" s="3">
        <v>1</v>
      </c>
      <c r="D270" s="3">
        <v>0</v>
      </c>
      <c r="E270" s="3">
        <f>C270 - D270</f>
        <v>1</v>
      </c>
    </row>
    <row r="271" spans="2:5" x14ac:dyDescent="0.35">
      <c r="B271" s="38">
        <v>36772</v>
      </c>
      <c r="C271" s="3">
        <v>1</v>
      </c>
      <c r="D271" s="3">
        <v>1</v>
      </c>
      <c r="E271" s="3">
        <f>C271 - D271</f>
        <v>0</v>
      </c>
    </row>
    <row r="272" spans="2:5" x14ac:dyDescent="0.35">
      <c r="B272" s="38">
        <v>36773</v>
      </c>
      <c r="C272" s="3">
        <v>0</v>
      </c>
      <c r="D272" s="3">
        <v>1</v>
      </c>
      <c r="E272" s="3">
        <f>C272 - D272</f>
        <v>-1</v>
      </c>
    </row>
    <row r="273" spans="2:5" x14ac:dyDescent="0.35">
      <c r="B273" s="38">
        <v>36774</v>
      </c>
      <c r="C273" s="3">
        <v>1</v>
      </c>
      <c r="D273" s="3">
        <v>0</v>
      </c>
      <c r="E273" s="3">
        <f>C273 - D273</f>
        <v>1</v>
      </c>
    </row>
    <row r="274" spans="2:5" x14ac:dyDescent="0.35">
      <c r="B274" s="38">
        <v>36775</v>
      </c>
      <c r="C274" s="3">
        <v>1</v>
      </c>
      <c r="D274" s="3">
        <v>1</v>
      </c>
      <c r="E274" s="3">
        <f>C274 - D274</f>
        <v>0</v>
      </c>
    </row>
    <row r="275" spans="2:5" x14ac:dyDescent="0.35">
      <c r="B275" s="38">
        <v>36776</v>
      </c>
      <c r="C275" s="3">
        <v>1</v>
      </c>
      <c r="D275" s="3">
        <v>1</v>
      </c>
      <c r="E275" s="3">
        <f>C275 - D275</f>
        <v>0</v>
      </c>
    </row>
    <row r="276" spans="2:5" x14ac:dyDescent="0.35">
      <c r="B276" s="38">
        <v>36777</v>
      </c>
      <c r="C276" s="3">
        <v>1</v>
      </c>
      <c r="D276" s="3">
        <v>1</v>
      </c>
      <c r="E276" s="3">
        <f>C276 - D276</f>
        <v>0</v>
      </c>
    </row>
    <row r="277" spans="2:5" x14ac:dyDescent="0.35">
      <c r="B277" s="38">
        <v>36778</v>
      </c>
      <c r="C277" s="3">
        <v>1</v>
      </c>
      <c r="D277" s="3">
        <v>1</v>
      </c>
      <c r="E277" s="3">
        <f>C277 - D277</f>
        <v>0</v>
      </c>
    </row>
    <row r="278" spans="2:5" x14ac:dyDescent="0.35">
      <c r="B278" s="38">
        <v>36779</v>
      </c>
      <c r="C278" s="3">
        <v>1</v>
      </c>
      <c r="D278" s="3">
        <v>1</v>
      </c>
      <c r="E278" s="3">
        <f>C278 - D278</f>
        <v>0</v>
      </c>
    </row>
    <row r="279" spans="2:5" x14ac:dyDescent="0.35">
      <c r="B279" s="38">
        <v>36780</v>
      </c>
      <c r="C279" s="3">
        <v>1</v>
      </c>
      <c r="D279" s="3">
        <v>1</v>
      </c>
      <c r="E279" s="3">
        <f>C279 - D279</f>
        <v>0</v>
      </c>
    </row>
    <row r="280" spans="2:5" x14ac:dyDescent="0.35">
      <c r="B280" s="38">
        <v>36781</v>
      </c>
      <c r="C280" s="3">
        <v>1</v>
      </c>
      <c r="D280" s="3">
        <v>1</v>
      </c>
      <c r="E280" s="3">
        <f>C280 - D280</f>
        <v>0</v>
      </c>
    </row>
    <row r="281" spans="2:5" x14ac:dyDescent="0.35">
      <c r="B281" s="38">
        <v>36782</v>
      </c>
      <c r="C281" s="3">
        <v>0</v>
      </c>
      <c r="D281" s="3">
        <v>1</v>
      </c>
      <c r="E281" s="3">
        <f>C281 - D281</f>
        <v>-1</v>
      </c>
    </row>
    <row r="282" spans="2:5" x14ac:dyDescent="0.35">
      <c r="B282" s="38">
        <v>36783</v>
      </c>
      <c r="C282" s="3">
        <v>0</v>
      </c>
      <c r="D282" s="3">
        <v>0</v>
      </c>
      <c r="E282" s="3">
        <f>C282 - D282</f>
        <v>0</v>
      </c>
    </row>
    <row r="283" spans="2:5" x14ac:dyDescent="0.35">
      <c r="B283" s="38">
        <v>36784</v>
      </c>
      <c r="C283" s="3">
        <v>1</v>
      </c>
      <c r="D283" s="3">
        <v>0</v>
      </c>
      <c r="E283" s="3">
        <f>C283 - D283</f>
        <v>1</v>
      </c>
    </row>
    <row r="284" spans="2:5" x14ac:dyDescent="0.35">
      <c r="B284" s="38">
        <v>36785</v>
      </c>
      <c r="C284" s="3">
        <v>0</v>
      </c>
      <c r="D284" s="3">
        <v>1</v>
      </c>
      <c r="E284" s="3">
        <f>C284 - D284</f>
        <v>-1</v>
      </c>
    </row>
    <row r="285" spans="2:5" x14ac:dyDescent="0.35">
      <c r="B285" s="38">
        <v>36786</v>
      </c>
      <c r="C285" s="3">
        <v>0</v>
      </c>
      <c r="D285" s="3">
        <v>0</v>
      </c>
      <c r="E285" s="3">
        <f>C285 - D285</f>
        <v>0</v>
      </c>
    </row>
    <row r="286" spans="2:5" x14ac:dyDescent="0.35">
      <c r="B286" s="38">
        <v>36787</v>
      </c>
      <c r="C286" s="3">
        <v>0</v>
      </c>
      <c r="D286" s="3">
        <v>0</v>
      </c>
      <c r="E286" s="3">
        <f>C286 - D286</f>
        <v>0</v>
      </c>
    </row>
    <row r="287" spans="2:5" x14ac:dyDescent="0.35">
      <c r="B287" s="38">
        <v>36788</v>
      </c>
      <c r="C287" s="3">
        <v>0</v>
      </c>
      <c r="D287" s="3">
        <v>0</v>
      </c>
      <c r="E287" s="3">
        <f>C287 - D287</f>
        <v>0</v>
      </c>
    </row>
    <row r="288" spans="2:5" x14ac:dyDescent="0.35">
      <c r="B288" s="38">
        <v>36789</v>
      </c>
      <c r="C288" s="3">
        <v>1</v>
      </c>
      <c r="D288" s="3">
        <v>0</v>
      </c>
      <c r="E288" s="3">
        <f>C288 - D288</f>
        <v>1</v>
      </c>
    </row>
    <row r="289" spans="2:5" x14ac:dyDescent="0.35">
      <c r="B289" s="38">
        <v>36790</v>
      </c>
      <c r="C289" s="3">
        <v>0</v>
      </c>
      <c r="D289" s="3">
        <v>1</v>
      </c>
      <c r="E289" s="3">
        <f>C289 - D289</f>
        <v>-1</v>
      </c>
    </row>
    <row r="290" spans="2:5" x14ac:dyDescent="0.35">
      <c r="B290" s="38">
        <v>36791</v>
      </c>
      <c r="C290" s="3">
        <v>0</v>
      </c>
      <c r="D290" s="3">
        <v>0</v>
      </c>
      <c r="E290" s="3">
        <f>C290 - D290</f>
        <v>0</v>
      </c>
    </row>
    <row r="291" spans="2:5" x14ac:dyDescent="0.35">
      <c r="B291" s="38">
        <v>36792</v>
      </c>
      <c r="C291" s="3">
        <v>0</v>
      </c>
      <c r="D291" s="3">
        <v>0</v>
      </c>
      <c r="E291" s="3">
        <f>C291 - D291</f>
        <v>0</v>
      </c>
    </row>
    <row r="292" spans="2:5" x14ac:dyDescent="0.35">
      <c r="B292" s="38">
        <v>36793</v>
      </c>
      <c r="C292" s="3">
        <v>0</v>
      </c>
      <c r="D292" s="3">
        <v>0</v>
      </c>
      <c r="E292" s="3">
        <f>C292 - D292</f>
        <v>0</v>
      </c>
    </row>
    <row r="293" spans="2:5" x14ac:dyDescent="0.35">
      <c r="B293" s="38">
        <v>36794</v>
      </c>
      <c r="C293" s="3">
        <v>1</v>
      </c>
      <c r="D293" s="3">
        <v>0</v>
      </c>
      <c r="E293" s="3">
        <f>C293 - D293</f>
        <v>1</v>
      </c>
    </row>
    <row r="294" spans="2:5" x14ac:dyDescent="0.35">
      <c r="B294" s="38">
        <v>36795</v>
      </c>
      <c r="C294" s="3">
        <v>1</v>
      </c>
      <c r="D294" s="3">
        <v>1</v>
      </c>
      <c r="E294" s="3">
        <f>C294 - D294</f>
        <v>0</v>
      </c>
    </row>
    <row r="295" spans="2:5" x14ac:dyDescent="0.35">
      <c r="B295" s="38">
        <v>36796</v>
      </c>
      <c r="C295" s="3">
        <v>1</v>
      </c>
      <c r="D295" s="3">
        <v>1</v>
      </c>
      <c r="E295" s="3">
        <f>C295 - D295</f>
        <v>0</v>
      </c>
    </row>
    <row r="296" spans="2:5" x14ac:dyDescent="0.35">
      <c r="B296" s="38">
        <v>36797</v>
      </c>
      <c r="C296" s="3">
        <v>0</v>
      </c>
      <c r="D296" s="3">
        <v>1</v>
      </c>
      <c r="E296" s="3">
        <f>C296 - D296</f>
        <v>-1</v>
      </c>
    </row>
    <row r="297" spans="2:5" x14ac:dyDescent="0.35">
      <c r="B297" s="38">
        <v>36798</v>
      </c>
      <c r="C297" s="3">
        <v>1</v>
      </c>
      <c r="D297" s="3">
        <v>0</v>
      </c>
      <c r="E297" s="3">
        <f>C297 - D297</f>
        <v>1</v>
      </c>
    </row>
    <row r="298" spans="2:5" x14ac:dyDescent="0.35">
      <c r="B298" s="38">
        <v>36799</v>
      </c>
      <c r="C298" s="3">
        <v>0</v>
      </c>
      <c r="D298" s="3">
        <v>1</v>
      </c>
      <c r="E298" s="3">
        <f>C298 - D298</f>
        <v>-1</v>
      </c>
    </row>
    <row r="299" spans="2:5" x14ac:dyDescent="0.35">
      <c r="B299" s="38">
        <v>36800</v>
      </c>
      <c r="C299" s="3">
        <v>1</v>
      </c>
      <c r="D299" s="3">
        <v>0</v>
      </c>
      <c r="E299" s="3">
        <f>C299 - D299</f>
        <v>1</v>
      </c>
    </row>
    <row r="300" spans="2:5" x14ac:dyDescent="0.35">
      <c r="B300" s="38">
        <v>36801</v>
      </c>
      <c r="C300" s="3">
        <v>1</v>
      </c>
      <c r="D300" s="3">
        <v>1</v>
      </c>
      <c r="E300" s="3">
        <f>C300 - D300</f>
        <v>0</v>
      </c>
    </row>
    <row r="301" spans="2:5" x14ac:dyDescent="0.35">
      <c r="B301" s="38">
        <v>36802</v>
      </c>
      <c r="C301" s="3">
        <v>0</v>
      </c>
      <c r="D301" s="3">
        <v>1</v>
      </c>
      <c r="E301" s="3">
        <f>C301 - D301</f>
        <v>-1</v>
      </c>
    </row>
    <row r="302" spans="2:5" x14ac:dyDescent="0.35">
      <c r="B302" s="38">
        <v>36803</v>
      </c>
      <c r="C302" s="3">
        <v>0</v>
      </c>
      <c r="D302" s="3">
        <v>0</v>
      </c>
      <c r="E302" s="3">
        <f>C302 - D302</f>
        <v>0</v>
      </c>
    </row>
    <row r="303" spans="2:5" x14ac:dyDescent="0.35">
      <c r="B303" s="38">
        <v>36804</v>
      </c>
      <c r="C303" s="3">
        <v>0</v>
      </c>
      <c r="D303" s="3">
        <v>0</v>
      </c>
      <c r="E303" s="3">
        <f>C303 - D303</f>
        <v>0</v>
      </c>
    </row>
    <row r="304" spans="2:5" x14ac:dyDescent="0.35">
      <c r="B304" s="38">
        <v>36805</v>
      </c>
      <c r="C304" s="3">
        <v>0</v>
      </c>
      <c r="D304" s="3">
        <v>0</v>
      </c>
      <c r="E304" s="3">
        <f>C304 - D304</f>
        <v>0</v>
      </c>
    </row>
    <row r="305" spans="2:5" x14ac:dyDescent="0.35">
      <c r="B305" s="38">
        <v>36806</v>
      </c>
      <c r="C305" s="3">
        <v>1</v>
      </c>
      <c r="D305" s="3">
        <v>0</v>
      </c>
      <c r="E305" s="3">
        <f>C305 - D305</f>
        <v>1</v>
      </c>
    </row>
    <row r="306" spans="2:5" x14ac:dyDescent="0.35">
      <c r="B306" s="38">
        <v>36807</v>
      </c>
      <c r="C306" s="3">
        <v>1</v>
      </c>
      <c r="D306" s="3">
        <v>1</v>
      </c>
      <c r="E306" s="3">
        <f>C306 - D306</f>
        <v>0</v>
      </c>
    </row>
    <row r="307" spans="2:5" x14ac:dyDescent="0.35">
      <c r="B307" s="38">
        <v>36808</v>
      </c>
      <c r="C307" s="3">
        <v>1</v>
      </c>
      <c r="D307" s="3">
        <v>1</v>
      </c>
      <c r="E307" s="3">
        <f>C307 - D307</f>
        <v>0</v>
      </c>
    </row>
    <row r="308" spans="2:5" x14ac:dyDescent="0.35">
      <c r="B308" s="38">
        <v>36809</v>
      </c>
      <c r="C308" s="3">
        <v>0</v>
      </c>
      <c r="D308" s="3">
        <v>1</v>
      </c>
      <c r="E308" s="3">
        <f>C308 - D308</f>
        <v>-1</v>
      </c>
    </row>
    <row r="309" spans="2:5" x14ac:dyDescent="0.35">
      <c r="B309" s="38">
        <v>36810</v>
      </c>
      <c r="C309" s="3">
        <v>1</v>
      </c>
      <c r="D309" s="3">
        <v>0</v>
      </c>
      <c r="E309" s="3">
        <f>C309 - D309</f>
        <v>1</v>
      </c>
    </row>
    <row r="310" spans="2:5" x14ac:dyDescent="0.35">
      <c r="B310" s="38">
        <v>36811</v>
      </c>
      <c r="C310" s="3">
        <v>0</v>
      </c>
      <c r="D310" s="3">
        <v>1</v>
      </c>
      <c r="E310" s="3">
        <f>C310 - D310</f>
        <v>-1</v>
      </c>
    </row>
    <row r="311" spans="2:5" x14ac:dyDescent="0.35">
      <c r="B311" s="38">
        <v>36812</v>
      </c>
      <c r="C311" s="3">
        <v>0</v>
      </c>
      <c r="D311" s="3">
        <v>0</v>
      </c>
      <c r="E311" s="3">
        <f>C311 - D311</f>
        <v>0</v>
      </c>
    </row>
    <row r="312" spans="2:5" x14ac:dyDescent="0.35">
      <c r="B312" s="38">
        <v>36813</v>
      </c>
      <c r="C312" s="3">
        <v>0</v>
      </c>
      <c r="D312" s="3">
        <v>0</v>
      </c>
      <c r="E312" s="3">
        <f>C312 - D312</f>
        <v>0</v>
      </c>
    </row>
    <row r="313" spans="2:5" x14ac:dyDescent="0.35">
      <c r="B313" s="38">
        <v>36814</v>
      </c>
      <c r="C313" s="3">
        <v>1</v>
      </c>
      <c r="D313" s="3">
        <v>0</v>
      </c>
      <c r="E313" s="3">
        <f>C313 - D313</f>
        <v>1</v>
      </c>
    </row>
    <row r="314" spans="2:5" x14ac:dyDescent="0.35">
      <c r="B314" s="38">
        <v>36815</v>
      </c>
      <c r="C314" s="3">
        <v>1</v>
      </c>
      <c r="D314" s="3">
        <v>1</v>
      </c>
      <c r="E314" s="3">
        <f>C314 - D314</f>
        <v>0</v>
      </c>
    </row>
    <row r="315" spans="2:5" x14ac:dyDescent="0.35">
      <c r="B315" s="38">
        <v>36816</v>
      </c>
      <c r="C315" s="3">
        <v>1</v>
      </c>
      <c r="D315" s="3">
        <v>1</v>
      </c>
      <c r="E315" s="3">
        <f>C315 - D315</f>
        <v>0</v>
      </c>
    </row>
    <row r="316" spans="2:5" x14ac:dyDescent="0.35">
      <c r="B316" s="38">
        <v>36817</v>
      </c>
      <c r="C316" s="3">
        <v>0</v>
      </c>
      <c r="D316" s="3">
        <v>1</v>
      </c>
      <c r="E316" s="3">
        <f>C316 - D316</f>
        <v>-1</v>
      </c>
    </row>
    <row r="317" spans="2:5" x14ac:dyDescent="0.35">
      <c r="B317" s="38">
        <v>36818</v>
      </c>
      <c r="C317" s="3">
        <v>1</v>
      </c>
      <c r="D317" s="3">
        <v>0</v>
      </c>
      <c r="E317" s="3">
        <f>C317 - D317</f>
        <v>1</v>
      </c>
    </row>
    <row r="318" spans="2:5" x14ac:dyDescent="0.35">
      <c r="B318" s="38">
        <v>36819</v>
      </c>
      <c r="C318" s="3">
        <v>1</v>
      </c>
      <c r="D318" s="3">
        <v>1</v>
      </c>
      <c r="E318" s="3">
        <f>C318 - D318</f>
        <v>0</v>
      </c>
    </row>
    <row r="319" spans="2:5" x14ac:dyDescent="0.35">
      <c r="B319" s="38">
        <v>36820</v>
      </c>
      <c r="C319" s="3">
        <v>1</v>
      </c>
      <c r="D319" s="3">
        <v>1</v>
      </c>
      <c r="E319" s="3">
        <f>C319 - D319</f>
        <v>0</v>
      </c>
    </row>
    <row r="320" spans="2:5" x14ac:dyDescent="0.35">
      <c r="B320" s="38">
        <v>36821</v>
      </c>
      <c r="C320" s="3">
        <v>0</v>
      </c>
      <c r="D320" s="3">
        <v>1</v>
      </c>
      <c r="E320" s="3">
        <f>C320 - D320</f>
        <v>-1</v>
      </c>
    </row>
    <row r="321" spans="2:5" x14ac:dyDescent="0.35">
      <c r="B321" s="38">
        <v>36822</v>
      </c>
      <c r="C321" s="3">
        <v>0</v>
      </c>
      <c r="D321" s="3">
        <v>0</v>
      </c>
      <c r="E321" s="3">
        <f>C321 - D321</f>
        <v>0</v>
      </c>
    </row>
    <row r="322" spans="2:5" x14ac:dyDescent="0.35">
      <c r="B322" s="38">
        <v>36823</v>
      </c>
      <c r="C322" s="3">
        <v>1</v>
      </c>
      <c r="D322" s="3">
        <v>0</v>
      </c>
      <c r="E322" s="3">
        <f>C322 - D322</f>
        <v>1</v>
      </c>
    </row>
    <row r="323" spans="2:5" x14ac:dyDescent="0.35">
      <c r="B323" s="38">
        <v>36824</v>
      </c>
      <c r="C323" s="3">
        <v>1</v>
      </c>
      <c r="D323" s="3">
        <v>1</v>
      </c>
      <c r="E323" s="3">
        <f>C323 - D323</f>
        <v>0</v>
      </c>
    </row>
    <row r="324" spans="2:5" x14ac:dyDescent="0.35">
      <c r="B324" s="38">
        <v>36825</v>
      </c>
      <c r="C324" s="3">
        <v>1</v>
      </c>
      <c r="D324" s="3">
        <v>1</v>
      </c>
      <c r="E324" s="3">
        <f>C324 - D324</f>
        <v>0</v>
      </c>
    </row>
    <row r="325" spans="2:5" x14ac:dyDescent="0.35">
      <c r="B325" s="38">
        <v>36826</v>
      </c>
      <c r="C325" s="3">
        <v>1</v>
      </c>
      <c r="D325" s="3">
        <v>1</v>
      </c>
      <c r="E325" s="3">
        <f>C325 - D325</f>
        <v>0</v>
      </c>
    </row>
    <row r="326" spans="2:5" x14ac:dyDescent="0.35">
      <c r="B326" s="38">
        <v>36827</v>
      </c>
      <c r="C326" s="3">
        <v>1</v>
      </c>
      <c r="D326" s="3">
        <v>1</v>
      </c>
      <c r="E326" s="3">
        <f>C326 - D326</f>
        <v>0</v>
      </c>
    </row>
    <row r="327" spans="2:5" x14ac:dyDescent="0.35">
      <c r="B327" s="38">
        <v>36828</v>
      </c>
      <c r="C327" s="3">
        <v>1</v>
      </c>
      <c r="D327" s="3">
        <v>1</v>
      </c>
      <c r="E327" s="3">
        <f>C327 - D327</f>
        <v>0</v>
      </c>
    </row>
    <row r="328" spans="2:5" x14ac:dyDescent="0.35">
      <c r="B328" s="38">
        <v>36829</v>
      </c>
      <c r="C328" s="3">
        <v>0</v>
      </c>
      <c r="D328" s="3">
        <v>1</v>
      </c>
      <c r="E328" s="3">
        <f>C328 - D328</f>
        <v>-1</v>
      </c>
    </row>
    <row r="329" spans="2:5" x14ac:dyDescent="0.35">
      <c r="B329" s="38">
        <v>36830</v>
      </c>
      <c r="C329" s="3">
        <v>0</v>
      </c>
      <c r="D329" s="3">
        <v>0</v>
      </c>
      <c r="E329" s="3">
        <f>C329 - D329</f>
        <v>0</v>
      </c>
    </row>
    <row r="330" spans="2:5" x14ac:dyDescent="0.35">
      <c r="B330" s="38">
        <v>36831</v>
      </c>
      <c r="C330" s="3">
        <v>0</v>
      </c>
      <c r="D330" s="3">
        <v>0</v>
      </c>
      <c r="E330" s="3">
        <f>C330 - D330</f>
        <v>0</v>
      </c>
    </row>
    <row r="331" spans="2:5" x14ac:dyDescent="0.35">
      <c r="B331" s="38">
        <v>36832</v>
      </c>
      <c r="C331" s="3">
        <v>1</v>
      </c>
      <c r="D331" s="3">
        <v>0</v>
      </c>
      <c r="E331" s="3">
        <f>C331 - D331</f>
        <v>1</v>
      </c>
    </row>
    <row r="332" spans="2:5" x14ac:dyDescent="0.35">
      <c r="B332" s="38">
        <v>36833</v>
      </c>
      <c r="C332" s="3">
        <v>1</v>
      </c>
      <c r="D332" s="3">
        <v>1</v>
      </c>
      <c r="E332" s="3">
        <f>C332 - D332</f>
        <v>0</v>
      </c>
    </row>
    <row r="333" spans="2:5" x14ac:dyDescent="0.35">
      <c r="B333" s="38">
        <v>36834</v>
      </c>
      <c r="C333" s="3">
        <v>0</v>
      </c>
      <c r="D333" s="3">
        <v>1</v>
      </c>
      <c r="E333" s="3">
        <f>C333 - D333</f>
        <v>-1</v>
      </c>
    </row>
    <row r="334" spans="2:5" x14ac:dyDescent="0.35">
      <c r="B334" s="38">
        <v>36835</v>
      </c>
      <c r="C334" s="3">
        <v>0</v>
      </c>
      <c r="D334" s="3">
        <v>0</v>
      </c>
      <c r="E334" s="3">
        <f>C334 - D334</f>
        <v>0</v>
      </c>
    </row>
    <row r="335" spans="2:5" x14ac:dyDescent="0.35">
      <c r="B335" s="38">
        <v>36836</v>
      </c>
      <c r="C335" s="3">
        <v>1</v>
      </c>
      <c r="D335" s="3">
        <v>0</v>
      </c>
      <c r="E335" s="3">
        <f>C335 - D335</f>
        <v>1</v>
      </c>
    </row>
    <row r="336" spans="2:5" x14ac:dyDescent="0.35">
      <c r="B336" s="38">
        <v>36837</v>
      </c>
      <c r="C336" s="3">
        <v>0</v>
      </c>
      <c r="D336" s="3">
        <v>1</v>
      </c>
      <c r="E336" s="3">
        <f>C336 - D336</f>
        <v>-1</v>
      </c>
    </row>
    <row r="337" spans="2:5" x14ac:dyDescent="0.35">
      <c r="B337" s="38">
        <v>36838</v>
      </c>
      <c r="C337" s="3">
        <v>0</v>
      </c>
      <c r="D337" s="3">
        <v>0</v>
      </c>
      <c r="E337" s="3">
        <f>C337 - D337</f>
        <v>0</v>
      </c>
    </row>
    <row r="338" spans="2:5" x14ac:dyDescent="0.35">
      <c r="B338" s="38">
        <v>36839</v>
      </c>
      <c r="C338" s="3">
        <v>0</v>
      </c>
      <c r="D338" s="3">
        <v>0</v>
      </c>
      <c r="E338" s="3">
        <f>C338 - D338</f>
        <v>0</v>
      </c>
    </row>
    <row r="339" spans="2:5" x14ac:dyDescent="0.35">
      <c r="B339" s="38">
        <v>36840</v>
      </c>
      <c r="C339" s="3">
        <v>1</v>
      </c>
      <c r="D339" s="3">
        <v>0</v>
      </c>
      <c r="E339" s="3">
        <f>C339 - D339</f>
        <v>1</v>
      </c>
    </row>
    <row r="340" spans="2:5" x14ac:dyDescent="0.35">
      <c r="B340" s="38">
        <v>36841</v>
      </c>
      <c r="C340" s="3">
        <v>1</v>
      </c>
      <c r="D340" s="3">
        <v>1</v>
      </c>
      <c r="E340" s="3">
        <f>C340 - D340</f>
        <v>0</v>
      </c>
    </row>
    <row r="341" spans="2:5" x14ac:dyDescent="0.35">
      <c r="B341" s="38">
        <v>36842</v>
      </c>
      <c r="C341" s="3">
        <v>1</v>
      </c>
      <c r="D341" s="3">
        <v>1</v>
      </c>
      <c r="E341" s="3">
        <f>C341 - D341</f>
        <v>0</v>
      </c>
    </row>
    <row r="342" spans="2:5" x14ac:dyDescent="0.35">
      <c r="B342" s="38">
        <v>36843</v>
      </c>
      <c r="C342" s="3">
        <v>0</v>
      </c>
      <c r="D342" s="3">
        <v>1</v>
      </c>
      <c r="E342" s="3">
        <f>C342 - D342</f>
        <v>-1</v>
      </c>
    </row>
    <row r="343" spans="2:5" x14ac:dyDescent="0.35">
      <c r="B343" s="38">
        <v>36844</v>
      </c>
      <c r="C343" s="3">
        <v>0</v>
      </c>
      <c r="D343" s="3">
        <v>0</v>
      </c>
      <c r="E343" s="3">
        <f>C343 - D343</f>
        <v>0</v>
      </c>
    </row>
    <row r="344" spans="2:5" x14ac:dyDescent="0.35">
      <c r="B344" s="38">
        <v>36845</v>
      </c>
      <c r="C344" s="3">
        <v>0</v>
      </c>
      <c r="D344" s="3">
        <v>0</v>
      </c>
      <c r="E344" s="3">
        <f>C344 - D344</f>
        <v>0</v>
      </c>
    </row>
    <row r="345" spans="2:5" x14ac:dyDescent="0.35">
      <c r="B345" s="38">
        <v>36846</v>
      </c>
      <c r="C345" s="3">
        <v>1</v>
      </c>
      <c r="D345" s="3">
        <v>0</v>
      </c>
      <c r="E345" s="3">
        <f>C345 - D345</f>
        <v>1</v>
      </c>
    </row>
    <row r="346" spans="2:5" x14ac:dyDescent="0.35">
      <c r="B346" s="38">
        <v>36847</v>
      </c>
      <c r="C346" s="3">
        <v>1</v>
      </c>
      <c r="D346" s="3">
        <v>1</v>
      </c>
      <c r="E346" s="3">
        <f>C346 - D346</f>
        <v>0</v>
      </c>
    </row>
    <row r="347" spans="2:5" x14ac:dyDescent="0.35">
      <c r="B347" s="38">
        <v>36848</v>
      </c>
      <c r="C347" s="3">
        <v>0</v>
      </c>
      <c r="D347" s="3">
        <v>1</v>
      </c>
      <c r="E347" s="3">
        <f>C347 - D347</f>
        <v>-1</v>
      </c>
    </row>
    <row r="348" spans="2:5" x14ac:dyDescent="0.35">
      <c r="B348" s="38">
        <v>36849</v>
      </c>
      <c r="C348" s="3">
        <v>0</v>
      </c>
      <c r="D348" s="3">
        <v>0</v>
      </c>
      <c r="E348" s="3">
        <f>C348 - D348</f>
        <v>0</v>
      </c>
    </row>
    <row r="349" spans="2:5" x14ac:dyDescent="0.35">
      <c r="B349" s="38">
        <v>36850</v>
      </c>
      <c r="C349" s="3">
        <v>0</v>
      </c>
      <c r="D349" s="3">
        <v>0</v>
      </c>
      <c r="E349" s="3">
        <f>C349 - D349</f>
        <v>0</v>
      </c>
    </row>
    <row r="350" spans="2:5" x14ac:dyDescent="0.35">
      <c r="B350" s="38">
        <v>36851</v>
      </c>
      <c r="C350" s="3">
        <v>1</v>
      </c>
      <c r="D350" s="3">
        <v>0</v>
      </c>
      <c r="E350" s="3">
        <f>C350 - D350</f>
        <v>1</v>
      </c>
    </row>
    <row r="351" spans="2:5" x14ac:dyDescent="0.35">
      <c r="B351" s="38">
        <v>36852</v>
      </c>
      <c r="C351" s="3">
        <v>0</v>
      </c>
      <c r="D351" s="3">
        <v>1</v>
      </c>
      <c r="E351" s="3">
        <f>C351 - D351</f>
        <v>-1</v>
      </c>
    </row>
    <row r="352" spans="2:5" x14ac:dyDescent="0.35">
      <c r="B352" s="38">
        <v>36853</v>
      </c>
      <c r="C352" s="3">
        <v>0</v>
      </c>
      <c r="D352" s="3">
        <v>0</v>
      </c>
      <c r="E352" s="3">
        <f>C352 - D352</f>
        <v>0</v>
      </c>
    </row>
    <row r="353" spans="2:5" x14ac:dyDescent="0.35">
      <c r="B353" s="38">
        <v>36854</v>
      </c>
      <c r="C353" s="3">
        <v>0</v>
      </c>
      <c r="D353" s="3">
        <v>0</v>
      </c>
      <c r="E353" s="3">
        <f>C353 - D353</f>
        <v>0</v>
      </c>
    </row>
    <row r="354" spans="2:5" x14ac:dyDescent="0.35">
      <c r="B354" s="38">
        <v>36855</v>
      </c>
      <c r="C354" s="3">
        <v>0</v>
      </c>
      <c r="D354" s="3">
        <v>0</v>
      </c>
      <c r="E354" s="3">
        <f>C354 - D354</f>
        <v>0</v>
      </c>
    </row>
    <row r="355" spans="2:5" x14ac:dyDescent="0.35">
      <c r="B355" s="38">
        <v>36856</v>
      </c>
      <c r="C355" s="3">
        <v>0</v>
      </c>
      <c r="D355" s="3">
        <v>0</v>
      </c>
      <c r="E355" s="3">
        <f>C355 - D355</f>
        <v>0</v>
      </c>
    </row>
    <row r="356" spans="2:5" x14ac:dyDescent="0.35">
      <c r="B356" s="38">
        <v>36857</v>
      </c>
      <c r="C356" s="3">
        <v>0</v>
      </c>
      <c r="D356" s="3">
        <v>0</v>
      </c>
      <c r="E356" s="3">
        <f>C356 - D356</f>
        <v>0</v>
      </c>
    </row>
    <row r="357" spans="2:5" x14ac:dyDescent="0.35">
      <c r="B357" s="38">
        <v>36858</v>
      </c>
      <c r="C357" s="3">
        <v>0</v>
      </c>
      <c r="D357" s="3">
        <v>0</v>
      </c>
      <c r="E357" s="3">
        <f>C357 - D357</f>
        <v>0</v>
      </c>
    </row>
    <row r="358" spans="2:5" x14ac:dyDescent="0.35">
      <c r="B358" s="38">
        <v>36859</v>
      </c>
      <c r="C358" s="3">
        <v>1</v>
      </c>
      <c r="D358" s="3">
        <v>0</v>
      </c>
      <c r="E358" s="3">
        <f>C358 - D358</f>
        <v>1</v>
      </c>
    </row>
    <row r="359" spans="2:5" x14ac:dyDescent="0.35">
      <c r="B359" s="38">
        <v>36860</v>
      </c>
      <c r="C359" s="3">
        <v>0</v>
      </c>
      <c r="D359" s="3">
        <v>1</v>
      </c>
      <c r="E359" s="3">
        <f>C359 - D359</f>
        <v>-1</v>
      </c>
    </row>
    <row r="360" spans="2:5" x14ac:dyDescent="0.35">
      <c r="B360" s="38">
        <v>36861</v>
      </c>
      <c r="C360" s="3">
        <v>1</v>
      </c>
      <c r="D360" s="3">
        <v>0</v>
      </c>
      <c r="E360" s="3">
        <f>C360 - D360</f>
        <v>1</v>
      </c>
    </row>
    <row r="361" spans="2:5" x14ac:dyDescent="0.35">
      <c r="B361" s="38">
        <v>36862</v>
      </c>
      <c r="C361" s="3">
        <v>0</v>
      </c>
      <c r="D361" s="3">
        <v>1</v>
      </c>
      <c r="E361" s="3">
        <f>C361 - D361</f>
        <v>-1</v>
      </c>
    </row>
    <row r="362" spans="2:5" x14ac:dyDescent="0.35">
      <c r="B362" s="38">
        <v>36863</v>
      </c>
      <c r="C362" s="3">
        <v>0</v>
      </c>
      <c r="D362" s="3">
        <v>0</v>
      </c>
      <c r="E362" s="3">
        <f>C362 - D362</f>
        <v>0</v>
      </c>
    </row>
    <row r="363" spans="2:5" x14ac:dyDescent="0.35">
      <c r="B363" s="38">
        <v>36864</v>
      </c>
      <c r="C363" s="3">
        <v>1</v>
      </c>
      <c r="D363" s="3">
        <v>0</v>
      </c>
      <c r="E363" s="3">
        <f>C363 - D363</f>
        <v>1</v>
      </c>
    </row>
    <row r="364" spans="2:5" x14ac:dyDescent="0.35">
      <c r="B364" s="38">
        <v>36865</v>
      </c>
      <c r="C364" s="3">
        <v>0</v>
      </c>
      <c r="D364" s="3">
        <v>1</v>
      </c>
      <c r="E364" s="3">
        <f>C364 - D364</f>
        <v>-1</v>
      </c>
    </row>
    <row r="365" spans="2:5" x14ac:dyDescent="0.35">
      <c r="B365" s="38">
        <v>36866</v>
      </c>
      <c r="C365" s="3">
        <v>0</v>
      </c>
      <c r="D365" s="3">
        <v>0</v>
      </c>
      <c r="E365" s="3">
        <f>C365 - D365</f>
        <v>0</v>
      </c>
    </row>
    <row r="366" spans="2:5" x14ac:dyDescent="0.35">
      <c r="B366" s="38">
        <v>36867</v>
      </c>
      <c r="C366" s="3">
        <v>0</v>
      </c>
      <c r="D366" s="3">
        <v>0</v>
      </c>
      <c r="E366" s="3">
        <f>C366 - D366</f>
        <v>0</v>
      </c>
    </row>
    <row r="367" spans="2:5" x14ac:dyDescent="0.35">
      <c r="B367" s="38">
        <v>36868</v>
      </c>
      <c r="C367" s="3">
        <v>0</v>
      </c>
      <c r="D367" s="3">
        <v>0</v>
      </c>
      <c r="E367" s="3">
        <f>C367 - D367</f>
        <v>0</v>
      </c>
    </row>
    <row r="368" spans="2:5" x14ac:dyDescent="0.35">
      <c r="B368" s="38">
        <v>36869</v>
      </c>
      <c r="C368" s="3">
        <v>0</v>
      </c>
      <c r="D368" s="3">
        <v>0</v>
      </c>
      <c r="E368" s="3">
        <f>C368 - D368</f>
        <v>0</v>
      </c>
    </row>
    <row r="369" spans="2:5" x14ac:dyDescent="0.35">
      <c r="B369" s="38">
        <v>36870</v>
      </c>
      <c r="C369" s="3">
        <v>0</v>
      </c>
      <c r="D369" s="3">
        <v>0</v>
      </c>
      <c r="E369" s="3">
        <f>C369 - D369</f>
        <v>0</v>
      </c>
    </row>
    <row r="370" spans="2:5" x14ac:dyDescent="0.35">
      <c r="B370" s="38">
        <v>36871</v>
      </c>
      <c r="C370" s="3">
        <v>1</v>
      </c>
      <c r="D370" s="3">
        <v>0</v>
      </c>
      <c r="E370" s="3">
        <f>C370 - D370</f>
        <v>1</v>
      </c>
    </row>
    <row r="371" spans="2:5" x14ac:dyDescent="0.35">
      <c r="B371" s="38">
        <v>36872</v>
      </c>
      <c r="C371" s="3">
        <v>0</v>
      </c>
      <c r="D371" s="3">
        <v>1</v>
      </c>
      <c r="E371" s="3">
        <f>C371 - D371</f>
        <v>-1</v>
      </c>
    </row>
    <row r="372" spans="2:5" x14ac:dyDescent="0.35">
      <c r="B372" s="38">
        <v>36873</v>
      </c>
      <c r="C372" s="3">
        <v>0</v>
      </c>
      <c r="D372" s="3">
        <v>0</v>
      </c>
      <c r="E372" s="3">
        <f>C372 - D372</f>
        <v>0</v>
      </c>
    </row>
    <row r="373" spans="2:5" x14ac:dyDescent="0.35">
      <c r="B373" s="38">
        <v>36874</v>
      </c>
      <c r="C373" s="3">
        <v>0</v>
      </c>
      <c r="D373" s="3">
        <v>0</v>
      </c>
      <c r="E373" s="3">
        <f>C373 - D373</f>
        <v>0</v>
      </c>
    </row>
    <row r="374" spans="2:5" x14ac:dyDescent="0.35">
      <c r="B374" s="38">
        <v>36875</v>
      </c>
      <c r="C374" s="3">
        <v>0</v>
      </c>
      <c r="D374" s="3">
        <v>0</v>
      </c>
      <c r="E374" s="3">
        <f>C374 - D374</f>
        <v>0</v>
      </c>
    </row>
    <row r="375" spans="2:5" x14ac:dyDescent="0.35">
      <c r="B375" s="38">
        <v>36876</v>
      </c>
      <c r="C375" s="3">
        <v>0</v>
      </c>
      <c r="D375" s="3">
        <v>0</v>
      </c>
      <c r="E375" s="3">
        <f>C375 - D375</f>
        <v>0</v>
      </c>
    </row>
    <row r="376" spans="2:5" x14ac:dyDescent="0.35">
      <c r="B376" s="38">
        <v>36877</v>
      </c>
      <c r="C376" s="3">
        <v>0</v>
      </c>
      <c r="D376" s="3">
        <v>0</v>
      </c>
      <c r="E376" s="3">
        <f>C376 - D376</f>
        <v>0</v>
      </c>
    </row>
    <row r="377" spans="2:5" x14ac:dyDescent="0.35">
      <c r="B377" s="38">
        <v>36878</v>
      </c>
      <c r="C377" s="3">
        <v>0</v>
      </c>
      <c r="D377" s="3">
        <v>0</v>
      </c>
      <c r="E377" s="3">
        <f>C377 - D377</f>
        <v>0</v>
      </c>
    </row>
    <row r="378" spans="2:5" x14ac:dyDescent="0.35">
      <c r="B378" s="38">
        <v>36879</v>
      </c>
      <c r="C378" s="3">
        <v>0</v>
      </c>
      <c r="D378" s="3">
        <v>0</v>
      </c>
      <c r="E378" s="3">
        <f>C378 - D378</f>
        <v>0</v>
      </c>
    </row>
    <row r="379" spans="2:5" x14ac:dyDescent="0.35">
      <c r="B379" s="38">
        <v>36880</v>
      </c>
      <c r="C379" s="3">
        <v>0</v>
      </c>
      <c r="D379" s="3">
        <v>0</v>
      </c>
      <c r="E379" s="3">
        <f>C379 - D379</f>
        <v>0</v>
      </c>
    </row>
    <row r="380" spans="2:5" x14ac:dyDescent="0.35">
      <c r="B380" s="38">
        <v>36881</v>
      </c>
      <c r="C380" s="3">
        <v>0</v>
      </c>
      <c r="D380" s="3">
        <v>0</v>
      </c>
      <c r="E380" s="3">
        <f>C380 - D380</f>
        <v>0</v>
      </c>
    </row>
    <row r="381" spans="2:5" x14ac:dyDescent="0.35">
      <c r="B381" s="38">
        <v>36882</v>
      </c>
      <c r="C381" s="3">
        <v>1</v>
      </c>
      <c r="D381" s="3">
        <v>0</v>
      </c>
      <c r="E381" s="3">
        <f>C381 - D381</f>
        <v>1</v>
      </c>
    </row>
    <row r="382" spans="2:5" x14ac:dyDescent="0.35">
      <c r="B382" s="38">
        <v>36883</v>
      </c>
      <c r="C382" s="3">
        <v>1</v>
      </c>
      <c r="D382" s="3">
        <v>1</v>
      </c>
      <c r="E382" s="3">
        <f>C382 - D382</f>
        <v>0</v>
      </c>
    </row>
    <row r="383" spans="2:5" x14ac:dyDescent="0.35">
      <c r="B383" s="38">
        <v>36884</v>
      </c>
      <c r="C383" s="3">
        <v>0</v>
      </c>
      <c r="D383" s="3">
        <v>1</v>
      </c>
      <c r="E383" s="3">
        <f>C383 - D383</f>
        <v>-1</v>
      </c>
    </row>
    <row r="384" spans="2:5" x14ac:dyDescent="0.35">
      <c r="B384" s="38">
        <v>36885</v>
      </c>
      <c r="C384" s="3">
        <v>0</v>
      </c>
      <c r="D384" s="3">
        <v>0</v>
      </c>
      <c r="E384" s="3">
        <f>C384 - D384</f>
        <v>0</v>
      </c>
    </row>
    <row r="385" spans="2:5" x14ac:dyDescent="0.35">
      <c r="B385" s="38">
        <v>36886</v>
      </c>
      <c r="C385" s="3">
        <v>0</v>
      </c>
      <c r="D385" s="3">
        <v>0</v>
      </c>
      <c r="E385" s="3">
        <f>C385 - D385</f>
        <v>0</v>
      </c>
    </row>
    <row r="386" spans="2:5" x14ac:dyDescent="0.35">
      <c r="B386" s="38">
        <v>36887</v>
      </c>
      <c r="C386" s="3">
        <v>0</v>
      </c>
      <c r="D386" s="3">
        <v>0</v>
      </c>
      <c r="E386" s="3">
        <f>C386 - D386</f>
        <v>0</v>
      </c>
    </row>
    <row r="387" spans="2:5" x14ac:dyDescent="0.35">
      <c r="B387" s="38">
        <v>36888</v>
      </c>
      <c r="C387" s="3">
        <v>1</v>
      </c>
      <c r="D387" s="3">
        <v>0</v>
      </c>
      <c r="E387" s="3">
        <f>C387 - D387</f>
        <v>1</v>
      </c>
    </row>
    <row r="388" spans="2:5" x14ac:dyDescent="0.35">
      <c r="B388" s="38">
        <v>36889</v>
      </c>
      <c r="C388" s="3">
        <v>1</v>
      </c>
      <c r="D388" s="3">
        <v>1</v>
      </c>
      <c r="E388" s="3">
        <f>C388 - D388</f>
        <v>0</v>
      </c>
    </row>
    <row r="389" spans="2:5" x14ac:dyDescent="0.35">
      <c r="B389" s="38">
        <v>36890</v>
      </c>
      <c r="C389" s="3">
        <v>0</v>
      </c>
      <c r="D389" s="3">
        <v>1</v>
      </c>
      <c r="E389" s="3">
        <f>C389 - D389</f>
        <v>-1</v>
      </c>
    </row>
    <row r="390" spans="2:5" x14ac:dyDescent="0.35">
      <c r="B390" s="38">
        <v>36891</v>
      </c>
      <c r="C390" s="3">
        <v>0</v>
      </c>
      <c r="D390" s="3">
        <v>0</v>
      </c>
      <c r="E390" s="3">
        <f>C390 - D390</f>
        <v>0</v>
      </c>
    </row>
    <row r="391" spans="2:5" x14ac:dyDescent="0.35">
      <c r="B391" s="38">
        <v>36892</v>
      </c>
      <c r="C391" s="3">
        <v>0</v>
      </c>
      <c r="D391" s="3">
        <v>0</v>
      </c>
      <c r="E391" s="3">
        <f>C391 - D391</f>
        <v>0</v>
      </c>
    </row>
    <row r="392" spans="2:5" x14ac:dyDescent="0.35">
      <c r="B392" s="38">
        <v>36893</v>
      </c>
      <c r="C392" s="3">
        <v>0</v>
      </c>
      <c r="D392" s="3">
        <v>0</v>
      </c>
      <c r="E392" s="3">
        <f>C392 - D392</f>
        <v>0</v>
      </c>
    </row>
    <row r="393" spans="2:5" x14ac:dyDescent="0.35">
      <c r="B393" s="38">
        <v>36894</v>
      </c>
      <c r="C393" s="3">
        <v>1</v>
      </c>
      <c r="D393" s="3">
        <v>0</v>
      </c>
      <c r="E393" s="3">
        <f>C393 - D393</f>
        <v>1</v>
      </c>
    </row>
    <row r="394" spans="2:5" x14ac:dyDescent="0.35">
      <c r="B394" s="38">
        <v>36895</v>
      </c>
      <c r="C394" s="3">
        <v>0</v>
      </c>
      <c r="D394" s="3">
        <v>1</v>
      </c>
      <c r="E394" s="3">
        <f>C394 - D394</f>
        <v>-1</v>
      </c>
    </row>
    <row r="395" spans="2:5" x14ac:dyDescent="0.35">
      <c r="B395" s="38">
        <v>36896</v>
      </c>
      <c r="C395" s="3">
        <v>1</v>
      </c>
      <c r="D395" s="3">
        <v>0</v>
      </c>
      <c r="E395" s="3">
        <f>C395 - D395</f>
        <v>1</v>
      </c>
    </row>
    <row r="396" spans="2:5" x14ac:dyDescent="0.35">
      <c r="B396" s="38">
        <v>36897</v>
      </c>
      <c r="C396" s="3">
        <v>0</v>
      </c>
      <c r="D396" s="3">
        <v>1</v>
      </c>
      <c r="E396" s="3">
        <f>C396 - D396</f>
        <v>-1</v>
      </c>
    </row>
    <row r="397" spans="2:5" x14ac:dyDescent="0.35">
      <c r="B397" s="38">
        <v>36898</v>
      </c>
      <c r="C397" s="3">
        <v>0</v>
      </c>
      <c r="D397" s="3">
        <v>0</v>
      </c>
      <c r="E397" s="3">
        <f>C397 - D397</f>
        <v>0</v>
      </c>
    </row>
    <row r="398" spans="2:5" x14ac:dyDescent="0.35">
      <c r="B398" s="38">
        <v>36899</v>
      </c>
      <c r="C398" s="3">
        <v>0</v>
      </c>
      <c r="D398" s="3">
        <v>0</v>
      </c>
      <c r="E398" s="3">
        <f>C398 - D398</f>
        <v>0</v>
      </c>
    </row>
    <row r="399" spans="2:5" x14ac:dyDescent="0.35">
      <c r="B399" s="38">
        <v>36900</v>
      </c>
      <c r="C399" s="3">
        <v>0</v>
      </c>
      <c r="D399" s="3">
        <v>0</v>
      </c>
      <c r="E399" s="3">
        <f>C399 - D399</f>
        <v>0</v>
      </c>
    </row>
    <row r="400" spans="2:5" x14ac:dyDescent="0.35">
      <c r="B400" s="38">
        <v>36901</v>
      </c>
      <c r="C400" s="3">
        <v>0</v>
      </c>
      <c r="D400" s="3">
        <v>0</v>
      </c>
      <c r="E400" s="3">
        <f>C400 - D400</f>
        <v>0</v>
      </c>
    </row>
    <row r="401" spans="2:5" x14ac:dyDescent="0.35">
      <c r="B401" s="38">
        <v>36902</v>
      </c>
      <c r="C401" s="3">
        <v>0</v>
      </c>
      <c r="D401" s="3">
        <v>0</v>
      </c>
      <c r="E401" s="3">
        <f>C401 - D401</f>
        <v>0</v>
      </c>
    </row>
    <row r="402" spans="2:5" x14ac:dyDescent="0.35">
      <c r="B402" s="38">
        <v>36903</v>
      </c>
      <c r="C402" s="3">
        <v>0</v>
      </c>
      <c r="D402" s="3">
        <v>0</v>
      </c>
      <c r="E402" s="3">
        <f>C402 - D402</f>
        <v>0</v>
      </c>
    </row>
    <row r="403" spans="2:5" x14ac:dyDescent="0.35">
      <c r="B403" s="38">
        <v>36904</v>
      </c>
      <c r="C403" s="3">
        <v>0</v>
      </c>
      <c r="D403" s="3">
        <v>0</v>
      </c>
      <c r="E403" s="3">
        <f>C403 - D403</f>
        <v>0</v>
      </c>
    </row>
    <row r="404" spans="2:5" x14ac:dyDescent="0.35">
      <c r="B404" s="38">
        <v>36905</v>
      </c>
      <c r="C404" s="3">
        <v>0</v>
      </c>
      <c r="D404" s="3">
        <v>0</v>
      </c>
      <c r="E404" s="3">
        <f>C404 - D404</f>
        <v>0</v>
      </c>
    </row>
    <row r="405" spans="2:5" x14ac:dyDescent="0.35">
      <c r="B405" s="38">
        <v>36906</v>
      </c>
      <c r="C405" s="3">
        <v>0</v>
      </c>
      <c r="D405" s="3">
        <v>0</v>
      </c>
      <c r="E405" s="3">
        <f>C405 - D405</f>
        <v>0</v>
      </c>
    </row>
    <row r="406" spans="2:5" x14ac:dyDescent="0.35">
      <c r="B406" s="38">
        <v>36907</v>
      </c>
      <c r="C406" s="3">
        <v>0</v>
      </c>
      <c r="D406" s="3">
        <v>0</v>
      </c>
      <c r="E406" s="3">
        <f>C406 - D406</f>
        <v>0</v>
      </c>
    </row>
    <row r="407" spans="2:5" x14ac:dyDescent="0.35">
      <c r="B407" s="38">
        <v>36908</v>
      </c>
      <c r="C407" s="3">
        <v>0</v>
      </c>
      <c r="D407" s="3">
        <v>0</v>
      </c>
      <c r="E407" s="3">
        <f>C407 - D407</f>
        <v>0</v>
      </c>
    </row>
    <row r="408" spans="2:5" x14ac:dyDescent="0.35">
      <c r="B408" s="38">
        <v>36909</v>
      </c>
      <c r="C408" s="3">
        <v>1</v>
      </c>
      <c r="D408" s="3">
        <v>0</v>
      </c>
      <c r="E408" s="3">
        <f>C408 - D408</f>
        <v>1</v>
      </c>
    </row>
    <row r="409" spans="2:5" x14ac:dyDescent="0.35">
      <c r="B409" s="38">
        <v>36910</v>
      </c>
      <c r="C409" s="3">
        <v>0</v>
      </c>
      <c r="D409" s="3">
        <v>1</v>
      </c>
      <c r="E409" s="3">
        <f>C409 - D409</f>
        <v>-1</v>
      </c>
    </row>
    <row r="410" spans="2:5" x14ac:dyDescent="0.35">
      <c r="B410" s="38">
        <v>36911</v>
      </c>
      <c r="C410" s="3">
        <v>0</v>
      </c>
      <c r="D410" s="3">
        <v>0</v>
      </c>
      <c r="E410" s="3">
        <f>C410 - D410</f>
        <v>0</v>
      </c>
    </row>
    <row r="411" spans="2:5" x14ac:dyDescent="0.35">
      <c r="B411" s="38">
        <v>36912</v>
      </c>
      <c r="C411" s="3">
        <v>0</v>
      </c>
      <c r="D411" s="3">
        <v>0</v>
      </c>
      <c r="E411" s="3">
        <f>C411 - D411</f>
        <v>0</v>
      </c>
    </row>
    <row r="412" spans="2:5" x14ac:dyDescent="0.35">
      <c r="B412" s="38">
        <v>36913</v>
      </c>
      <c r="C412" s="3">
        <v>0</v>
      </c>
      <c r="D412" s="3">
        <v>0</v>
      </c>
      <c r="E412" s="3">
        <f>C412 - D412</f>
        <v>0</v>
      </c>
    </row>
    <row r="413" spans="2:5" x14ac:dyDescent="0.35">
      <c r="B413" s="38">
        <v>36914</v>
      </c>
      <c r="C413" s="3">
        <v>1</v>
      </c>
      <c r="D413" s="3">
        <v>0</v>
      </c>
      <c r="E413" s="3">
        <f>C413 - D413</f>
        <v>1</v>
      </c>
    </row>
    <row r="414" spans="2:5" x14ac:dyDescent="0.35">
      <c r="B414" s="38">
        <v>36915</v>
      </c>
      <c r="C414" s="3">
        <v>1</v>
      </c>
      <c r="D414" s="3">
        <v>1</v>
      </c>
      <c r="E414" s="3">
        <f>C414 - D414</f>
        <v>0</v>
      </c>
    </row>
    <row r="415" spans="2:5" x14ac:dyDescent="0.35">
      <c r="B415" s="38">
        <v>36916</v>
      </c>
      <c r="C415" s="3">
        <v>1</v>
      </c>
      <c r="D415" s="3">
        <v>1</v>
      </c>
      <c r="E415" s="3">
        <f>C415 - D415</f>
        <v>0</v>
      </c>
    </row>
    <row r="416" spans="2:5" x14ac:dyDescent="0.35">
      <c r="B416" s="38">
        <v>36917</v>
      </c>
      <c r="C416" s="3">
        <v>0</v>
      </c>
      <c r="D416" s="3">
        <v>1</v>
      </c>
      <c r="E416" s="3">
        <f>C416 - D416</f>
        <v>-1</v>
      </c>
    </row>
    <row r="417" spans="2:5" x14ac:dyDescent="0.35">
      <c r="B417" s="38">
        <v>36918</v>
      </c>
      <c r="C417" s="3">
        <v>1</v>
      </c>
      <c r="D417" s="3">
        <v>0</v>
      </c>
      <c r="E417" s="3">
        <f>C417 - D417</f>
        <v>1</v>
      </c>
    </row>
    <row r="418" spans="2:5" x14ac:dyDescent="0.35">
      <c r="B418" s="38">
        <v>36919</v>
      </c>
      <c r="C418" s="3">
        <v>0</v>
      </c>
      <c r="D418" s="3">
        <v>1</v>
      </c>
      <c r="E418" s="3">
        <f>C418 - D418</f>
        <v>-1</v>
      </c>
    </row>
    <row r="419" spans="2:5" x14ac:dyDescent="0.35">
      <c r="B419" s="38">
        <v>36920</v>
      </c>
      <c r="C419" s="3">
        <v>0</v>
      </c>
      <c r="D419" s="3">
        <v>0</v>
      </c>
      <c r="E419" s="3">
        <f>C419 - D419</f>
        <v>0</v>
      </c>
    </row>
    <row r="420" spans="2:5" x14ac:dyDescent="0.35">
      <c r="B420" s="38">
        <v>36921</v>
      </c>
      <c r="C420" s="3">
        <v>0</v>
      </c>
      <c r="D420" s="3">
        <v>0</v>
      </c>
      <c r="E420" s="3">
        <f>C420 - D420</f>
        <v>0</v>
      </c>
    </row>
    <row r="421" spans="2:5" x14ac:dyDescent="0.35">
      <c r="B421" s="38">
        <v>36922</v>
      </c>
      <c r="C421" s="3">
        <v>0</v>
      </c>
      <c r="D421" s="3">
        <v>0</v>
      </c>
      <c r="E421" s="3">
        <f>C421 - D421</f>
        <v>0</v>
      </c>
    </row>
    <row r="422" spans="2:5" x14ac:dyDescent="0.35">
      <c r="B422" s="38">
        <v>36923</v>
      </c>
      <c r="C422" s="3">
        <v>0</v>
      </c>
      <c r="D422" s="3">
        <v>0</v>
      </c>
      <c r="E422" s="3">
        <f>C422 - D422</f>
        <v>0</v>
      </c>
    </row>
    <row r="423" spans="2:5" x14ac:dyDescent="0.35">
      <c r="B423" s="38">
        <v>36924</v>
      </c>
      <c r="C423" s="3">
        <v>0</v>
      </c>
      <c r="D423" s="3">
        <v>0</v>
      </c>
      <c r="E423" s="3">
        <f>C423 - D423</f>
        <v>0</v>
      </c>
    </row>
    <row r="424" spans="2:5" x14ac:dyDescent="0.35">
      <c r="B424" s="38">
        <v>36925</v>
      </c>
      <c r="C424" s="3">
        <v>0</v>
      </c>
      <c r="D424" s="3">
        <v>0</v>
      </c>
      <c r="E424" s="3">
        <f>C424 - D424</f>
        <v>0</v>
      </c>
    </row>
    <row r="425" spans="2:5" x14ac:dyDescent="0.35">
      <c r="B425" s="38">
        <v>36926</v>
      </c>
      <c r="C425" s="3">
        <v>0</v>
      </c>
      <c r="D425" s="3">
        <v>0</v>
      </c>
      <c r="E425" s="3">
        <f>C425 - D425</f>
        <v>0</v>
      </c>
    </row>
    <row r="426" spans="2:5" x14ac:dyDescent="0.35">
      <c r="B426" s="38">
        <v>36927</v>
      </c>
      <c r="C426" s="3">
        <v>1</v>
      </c>
      <c r="D426" s="3">
        <v>0</v>
      </c>
      <c r="E426" s="3">
        <f>C426 - D426</f>
        <v>1</v>
      </c>
    </row>
    <row r="427" spans="2:5" x14ac:dyDescent="0.35">
      <c r="B427" s="38">
        <v>36928</v>
      </c>
      <c r="C427" s="3">
        <v>0</v>
      </c>
      <c r="D427" s="3">
        <v>1</v>
      </c>
      <c r="E427" s="3">
        <f>C427 - D427</f>
        <v>-1</v>
      </c>
    </row>
    <row r="428" spans="2:5" x14ac:dyDescent="0.35">
      <c r="B428" s="38">
        <v>36929</v>
      </c>
      <c r="C428" s="3">
        <v>0</v>
      </c>
      <c r="D428" s="3">
        <v>0</v>
      </c>
      <c r="E428" s="3">
        <f>C428 - D428</f>
        <v>0</v>
      </c>
    </row>
    <row r="429" spans="2:5" x14ac:dyDescent="0.35">
      <c r="B429" s="38">
        <v>36930</v>
      </c>
      <c r="C429" s="3">
        <v>0</v>
      </c>
      <c r="D429" s="3">
        <v>0</v>
      </c>
      <c r="E429" s="3">
        <f>C429 - D429</f>
        <v>0</v>
      </c>
    </row>
    <row r="430" spans="2:5" x14ac:dyDescent="0.35">
      <c r="B430" s="38">
        <v>36931</v>
      </c>
      <c r="C430" s="3">
        <v>0</v>
      </c>
      <c r="D430" s="3">
        <v>0</v>
      </c>
      <c r="E430" s="3">
        <f>C430 - D430</f>
        <v>0</v>
      </c>
    </row>
    <row r="431" spans="2:5" x14ac:dyDescent="0.35">
      <c r="B431" s="38">
        <v>36932</v>
      </c>
      <c r="C431" s="3">
        <v>1</v>
      </c>
      <c r="D431" s="3">
        <v>0</v>
      </c>
      <c r="E431" s="3">
        <f>C431 - D431</f>
        <v>1</v>
      </c>
    </row>
    <row r="432" spans="2:5" x14ac:dyDescent="0.35">
      <c r="B432" s="38">
        <v>36933</v>
      </c>
      <c r="C432" s="3">
        <v>0</v>
      </c>
      <c r="D432" s="3">
        <v>1</v>
      </c>
      <c r="E432" s="3">
        <f>C432 - D432</f>
        <v>-1</v>
      </c>
    </row>
    <row r="433" spans="2:5" x14ac:dyDescent="0.35">
      <c r="B433" s="38">
        <v>36934</v>
      </c>
      <c r="C433" s="3">
        <v>0</v>
      </c>
      <c r="D433" s="3">
        <v>0</v>
      </c>
      <c r="E433" s="3">
        <f>C433 - D433</f>
        <v>0</v>
      </c>
    </row>
    <row r="434" spans="2:5" x14ac:dyDescent="0.35">
      <c r="B434" s="38">
        <v>36935</v>
      </c>
      <c r="C434" s="3">
        <v>1</v>
      </c>
      <c r="D434" s="3">
        <v>0</v>
      </c>
      <c r="E434" s="3">
        <f>C434 - D434</f>
        <v>1</v>
      </c>
    </row>
    <row r="435" spans="2:5" x14ac:dyDescent="0.35">
      <c r="B435" s="38">
        <v>36936</v>
      </c>
      <c r="C435" s="3">
        <v>0</v>
      </c>
      <c r="D435" s="3">
        <v>1</v>
      </c>
      <c r="E435" s="3">
        <f>C435 - D435</f>
        <v>-1</v>
      </c>
    </row>
    <row r="436" spans="2:5" x14ac:dyDescent="0.35">
      <c r="B436" s="38">
        <v>36937</v>
      </c>
      <c r="C436" s="3">
        <v>1</v>
      </c>
      <c r="D436" s="3">
        <v>0</v>
      </c>
      <c r="E436" s="3">
        <f>C436 - D436</f>
        <v>1</v>
      </c>
    </row>
    <row r="437" spans="2:5" x14ac:dyDescent="0.35">
      <c r="B437" s="38">
        <v>36938</v>
      </c>
      <c r="C437" s="3">
        <v>1</v>
      </c>
      <c r="D437" s="3">
        <v>1</v>
      </c>
      <c r="E437" s="3">
        <f>C437 - D437</f>
        <v>0</v>
      </c>
    </row>
    <row r="438" spans="2:5" x14ac:dyDescent="0.35">
      <c r="B438" s="38">
        <v>36939</v>
      </c>
      <c r="C438" s="3">
        <v>0</v>
      </c>
      <c r="D438" s="3">
        <v>1</v>
      </c>
      <c r="E438" s="3">
        <f>C438 - D438</f>
        <v>-1</v>
      </c>
    </row>
    <row r="439" spans="2:5" x14ac:dyDescent="0.35">
      <c r="B439" s="38">
        <v>36940</v>
      </c>
      <c r="C439" s="3">
        <v>0</v>
      </c>
      <c r="D439" s="3">
        <v>0</v>
      </c>
      <c r="E439" s="3">
        <f>C439 - D439</f>
        <v>0</v>
      </c>
    </row>
    <row r="440" spans="2:5" x14ac:dyDescent="0.35">
      <c r="B440" s="38">
        <v>36941</v>
      </c>
      <c r="C440" s="3">
        <v>0</v>
      </c>
      <c r="D440" s="3">
        <v>0</v>
      </c>
      <c r="E440" s="3">
        <f>C440 - D440</f>
        <v>0</v>
      </c>
    </row>
    <row r="441" spans="2:5" x14ac:dyDescent="0.35">
      <c r="B441" s="38">
        <v>36942</v>
      </c>
      <c r="C441" s="3">
        <v>0</v>
      </c>
      <c r="D441" s="3">
        <v>0</v>
      </c>
      <c r="E441" s="3">
        <f>C441 - D441</f>
        <v>0</v>
      </c>
    </row>
    <row r="442" spans="2:5" x14ac:dyDescent="0.35">
      <c r="B442" s="38">
        <v>36943</v>
      </c>
      <c r="C442" s="3">
        <v>0</v>
      </c>
      <c r="D442" s="3">
        <v>0</v>
      </c>
      <c r="E442" s="3">
        <f>C442 - D442</f>
        <v>0</v>
      </c>
    </row>
    <row r="443" spans="2:5" x14ac:dyDescent="0.35">
      <c r="B443" s="38">
        <v>36944</v>
      </c>
      <c r="C443" s="3">
        <v>0</v>
      </c>
      <c r="D443" s="3">
        <v>0</v>
      </c>
      <c r="E443" s="3">
        <f>C443 - D443</f>
        <v>0</v>
      </c>
    </row>
    <row r="444" spans="2:5" x14ac:dyDescent="0.35">
      <c r="B444" s="38">
        <v>36945</v>
      </c>
      <c r="C444" s="3">
        <v>0</v>
      </c>
      <c r="D444" s="3">
        <v>0</v>
      </c>
      <c r="E444" s="3">
        <f>C444 - D444</f>
        <v>0</v>
      </c>
    </row>
    <row r="445" spans="2:5" x14ac:dyDescent="0.35">
      <c r="B445" s="38">
        <v>36946</v>
      </c>
      <c r="C445" s="3">
        <v>0</v>
      </c>
      <c r="D445" s="3">
        <v>0</v>
      </c>
      <c r="E445" s="3">
        <f>C445 - D445</f>
        <v>0</v>
      </c>
    </row>
    <row r="446" spans="2:5" x14ac:dyDescent="0.35">
      <c r="B446" s="38">
        <v>36947</v>
      </c>
      <c r="C446" s="3">
        <v>0</v>
      </c>
      <c r="D446" s="3">
        <v>0</v>
      </c>
      <c r="E446" s="3">
        <f>C446 - D446</f>
        <v>0</v>
      </c>
    </row>
    <row r="447" spans="2:5" x14ac:dyDescent="0.35">
      <c r="B447" s="38">
        <v>36948</v>
      </c>
      <c r="C447" s="3">
        <v>0</v>
      </c>
      <c r="D447" s="3">
        <v>0</v>
      </c>
      <c r="E447" s="3">
        <f>C447 - D447</f>
        <v>0</v>
      </c>
    </row>
    <row r="448" spans="2:5" x14ac:dyDescent="0.35">
      <c r="B448" s="38">
        <v>36949</v>
      </c>
      <c r="C448" s="3">
        <v>0</v>
      </c>
      <c r="D448" s="3">
        <v>0</v>
      </c>
      <c r="E448" s="3">
        <f>C448 - D448</f>
        <v>0</v>
      </c>
    </row>
    <row r="449" spans="2:5" x14ac:dyDescent="0.35">
      <c r="B449" s="38">
        <v>36950</v>
      </c>
      <c r="C449" s="3">
        <v>0</v>
      </c>
      <c r="D449" s="3">
        <v>0</v>
      </c>
      <c r="E449" s="3">
        <f>C449 - D449</f>
        <v>0</v>
      </c>
    </row>
    <row r="450" spans="2:5" x14ac:dyDescent="0.35">
      <c r="B450" s="38">
        <v>36951</v>
      </c>
      <c r="C450" s="3">
        <v>0</v>
      </c>
      <c r="D450" s="3">
        <v>0</v>
      </c>
      <c r="E450" s="3">
        <f>C450 - D450</f>
        <v>0</v>
      </c>
    </row>
    <row r="451" spans="2:5" x14ac:dyDescent="0.35">
      <c r="B451" s="38">
        <v>36952</v>
      </c>
      <c r="C451" s="3">
        <v>0</v>
      </c>
      <c r="D451" s="3">
        <v>0</v>
      </c>
      <c r="E451" s="3">
        <f>C451 - D451</f>
        <v>0</v>
      </c>
    </row>
    <row r="452" spans="2:5" x14ac:dyDescent="0.35">
      <c r="B452" s="38">
        <v>36953</v>
      </c>
      <c r="C452" s="3">
        <v>0</v>
      </c>
      <c r="D452" s="3">
        <v>0</v>
      </c>
      <c r="E452" s="3">
        <f>C452 - D452</f>
        <v>0</v>
      </c>
    </row>
    <row r="453" spans="2:5" x14ac:dyDescent="0.35">
      <c r="B453" s="38">
        <v>36954</v>
      </c>
      <c r="C453" s="3">
        <v>0</v>
      </c>
      <c r="D453" s="3">
        <v>0</v>
      </c>
      <c r="E453" s="3">
        <f>C453 - D453</f>
        <v>0</v>
      </c>
    </row>
    <row r="454" spans="2:5" x14ac:dyDescent="0.35">
      <c r="B454" s="38">
        <v>36955</v>
      </c>
      <c r="C454" s="3">
        <v>0</v>
      </c>
      <c r="D454" s="3">
        <v>0</v>
      </c>
      <c r="E454" s="3">
        <f>C454 - D454</f>
        <v>0</v>
      </c>
    </row>
    <row r="455" spans="2:5" x14ac:dyDescent="0.35">
      <c r="B455" s="38">
        <v>36956</v>
      </c>
      <c r="C455" s="3">
        <v>0</v>
      </c>
      <c r="D455" s="3">
        <v>0</v>
      </c>
      <c r="E455" s="3">
        <f>C455 - D455</f>
        <v>0</v>
      </c>
    </row>
    <row r="456" spans="2:5" x14ac:dyDescent="0.35">
      <c r="B456" s="38">
        <v>36957</v>
      </c>
      <c r="C456" s="3">
        <v>0</v>
      </c>
      <c r="D456" s="3">
        <v>0</v>
      </c>
      <c r="E456" s="3">
        <f>C456 - D456</f>
        <v>0</v>
      </c>
    </row>
    <row r="457" spans="2:5" x14ac:dyDescent="0.35">
      <c r="B457" s="38">
        <v>36958</v>
      </c>
      <c r="C457" s="3">
        <v>0</v>
      </c>
      <c r="D457" s="3">
        <v>0</v>
      </c>
      <c r="E457" s="3">
        <f>C457 - D457</f>
        <v>0</v>
      </c>
    </row>
    <row r="458" spans="2:5" x14ac:dyDescent="0.35">
      <c r="B458" s="38">
        <v>36959</v>
      </c>
      <c r="C458" s="3">
        <v>0</v>
      </c>
      <c r="D458" s="3">
        <v>0</v>
      </c>
      <c r="E458" s="3">
        <f>C458 - D458</f>
        <v>0</v>
      </c>
    </row>
    <row r="459" spans="2:5" x14ac:dyDescent="0.35">
      <c r="B459" s="38">
        <v>36960</v>
      </c>
      <c r="C459" s="3">
        <v>0</v>
      </c>
      <c r="D459" s="3">
        <v>0</v>
      </c>
      <c r="E459" s="3">
        <f>C459 - D459</f>
        <v>0</v>
      </c>
    </row>
    <row r="460" spans="2:5" x14ac:dyDescent="0.35">
      <c r="B460" s="38">
        <v>36961</v>
      </c>
      <c r="C460" s="3">
        <v>1</v>
      </c>
      <c r="D460" s="3">
        <v>0</v>
      </c>
      <c r="E460" s="3">
        <f>C460 - D460</f>
        <v>1</v>
      </c>
    </row>
    <row r="461" spans="2:5" x14ac:dyDescent="0.35">
      <c r="B461" s="38">
        <v>36962</v>
      </c>
      <c r="C461" s="3">
        <v>0</v>
      </c>
      <c r="D461" s="3">
        <v>1</v>
      </c>
      <c r="E461" s="3">
        <f>C461 - D461</f>
        <v>-1</v>
      </c>
    </row>
    <row r="462" spans="2:5" x14ac:dyDescent="0.35">
      <c r="B462" s="38">
        <v>36963</v>
      </c>
      <c r="C462" s="3">
        <v>0</v>
      </c>
      <c r="D462" s="3">
        <v>0</v>
      </c>
      <c r="E462" s="3">
        <f>C462 - D462</f>
        <v>0</v>
      </c>
    </row>
    <row r="463" spans="2:5" x14ac:dyDescent="0.35">
      <c r="B463" s="38">
        <v>36964</v>
      </c>
      <c r="C463" s="3">
        <v>0</v>
      </c>
      <c r="D463" s="3">
        <v>0</v>
      </c>
      <c r="E463" s="3">
        <f>C463 - D463</f>
        <v>0</v>
      </c>
    </row>
    <row r="464" spans="2:5" x14ac:dyDescent="0.35">
      <c r="B464" s="38">
        <v>36965</v>
      </c>
      <c r="C464" s="3">
        <v>0</v>
      </c>
      <c r="D464" s="3">
        <v>0</v>
      </c>
      <c r="E464" s="3">
        <f>C464 - D464</f>
        <v>0</v>
      </c>
    </row>
    <row r="465" spans="2:5" x14ac:dyDescent="0.35">
      <c r="B465" s="38">
        <v>36966</v>
      </c>
      <c r="C465" s="3">
        <v>0</v>
      </c>
      <c r="D465" s="3">
        <v>0</v>
      </c>
      <c r="E465" s="3">
        <f>C465 - D465</f>
        <v>0</v>
      </c>
    </row>
    <row r="466" spans="2:5" x14ac:dyDescent="0.35">
      <c r="B466" s="38">
        <v>36967</v>
      </c>
      <c r="C466" s="3">
        <v>1</v>
      </c>
      <c r="D466" s="3">
        <v>0</v>
      </c>
      <c r="E466" s="3">
        <f>C466 - D466</f>
        <v>1</v>
      </c>
    </row>
    <row r="467" spans="2:5" x14ac:dyDescent="0.35">
      <c r="B467" s="38">
        <v>36968</v>
      </c>
      <c r="C467" s="3">
        <v>1</v>
      </c>
      <c r="D467" s="3">
        <v>1</v>
      </c>
      <c r="E467" s="3">
        <f>C467 - D467</f>
        <v>0</v>
      </c>
    </row>
    <row r="468" spans="2:5" x14ac:dyDescent="0.35">
      <c r="B468" s="38">
        <v>36969</v>
      </c>
      <c r="C468" s="3">
        <v>1</v>
      </c>
      <c r="D468" s="3">
        <v>1</v>
      </c>
      <c r="E468" s="3">
        <f>C468 - D468</f>
        <v>0</v>
      </c>
    </row>
    <row r="469" spans="2:5" x14ac:dyDescent="0.35">
      <c r="B469" s="38">
        <v>36970</v>
      </c>
      <c r="C469" s="3">
        <v>0</v>
      </c>
      <c r="D469" s="3">
        <v>1</v>
      </c>
      <c r="E469" s="3">
        <f>C469 - D469</f>
        <v>-1</v>
      </c>
    </row>
    <row r="470" spans="2:5" x14ac:dyDescent="0.35">
      <c r="B470" s="38">
        <v>36971</v>
      </c>
      <c r="C470" s="3">
        <v>1</v>
      </c>
      <c r="D470" s="3">
        <v>0</v>
      </c>
      <c r="E470" s="3">
        <f>C470 - D470</f>
        <v>1</v>
      </c>
    </row>
    <row r="471" spans="2:5" x14ac:dyDescent="0.35">
      <c r="B471" s="38">
        <v>36972</v>
      </c>
      <c r="C471" s="3">
        <v>1</v>
      </c>
      <c r="D471" s="3">
        <v>1</v>
      </c>
      <c r="E471" s="3">
        <f>C471 - D471</f>
        <v>0</v>
      </c>
    </row>
    <row r="472" spans="2:5" x14ac:dyDescent="0.35">
      <c r="B472" s="38">
        <v>36973</v>
      </c>
      <c r="C472" s="3">
        <v>1</v>
      </c>
      <c r="D472" s="3">
        <v>1</v>
      </c>
      <c r="E472" s="3">
        <f>C472 - D472</f>
        <v>0</v>
      </c>
    </row>
    <row r="473" spans="2:5" x14ac:dyDescent="0.35">
      <c r="B473" s="38">
        <v>36974</v>
      </c>
      <c r="C473" s="3">
        <v>0</v>
      </c>
      <c r="D473" s="3">
        <v>1</v>
      </c>
      <c r="E473" s="3">
        <f>C473 - D473</f>
        <v>-1</v>
      </c>
    </row>
    <row r="474" spans="2:5" x14ac:dyDescent="0.35">
      <c r="B474" s="38">
        <v>36975</v>
      </c>
      <c r="C474" s="3">
        <v>1</v>
      </c>
      <c r="D474" s="3">
        <v>0</v>
      </c>
      <c r="E474" s="3">
        <f>C474 - D474</f>
        <v>1</v>
      </c>
    </row>
    <row r="475" spans="2:5" x14ac:dyDescent="0.35">
      <c r="B475" s="38">
        <v>36976</v>
      </c>
      <c r="C475" s="3">
        <v>0</v>
      </c>
      <c r="D475" s="3">
        <v>1</v>
      </c>
      <c r="E475" s="3">
        <f>C475 - D475</f>
        <v>-1</v>
      </c>
    </row>
    <row r="476" spans="2:5" x14ac:dyDescent="0.35">
      <c r="B476" s="38">
        <v>36977</v>
      </c>
      <c r="C476" s="3">
        <v>1</v>
      </c>
      <c r="D476" s="3">
        <v>0</v>
      </c>
      <c r="E476" s="3">
        <f>C476 - D476</f>
        <v>1</v>
      </c>
    </row>
    <row r="477" spans="2:5" x14ac:dyDescent="0.35">
      <c r="B477" s="38">
        <v>36978</v>
      </c>
      <c r="C477" s="3">
        <v>1</v>
      </c>
      <c r="D477" s="3">
        <v>1</v>
      </c>
      <c r="E477" s="3">
        <f>C477 - D477</f>
        <v>0</v>
      </c>
    </row>
    <row r="478" spans="2:5" x14ac:dyDescent="0.35">
      <c r="B478" s="38">
        <v>36979</v>
      </c>
      <c r="C478" s="3">
        <v>0</v>
      </c>
      <c r="D478" s="3">
        <v>1</v>
      </c>
      <c r="E478" s="3">
        <f>C478 - D478</f>
        <v>-1</v>
      </c>
    </row>
    <row r="479" spans="2:5" x14ac:dyDescent="0.35">
      <c r="B479" s="38">
        <v>36980</v>
      </c>
      <c r="C479" s="3">
        <v>0</v>
      </c>
      <c r="D479" s="3">
        <v>0</v>
      </c>
      <c r="E479" s="3">
        <f>C479 - D479</f>
        <v>0</v>
      </c>
    </row>
    <row r="480" spans="2:5" x14ac:dyDescent="0.35">
      <c r="B480" s="38">
        <v>36981</v>
      </c>
      <c r="C480" s="3">
        <v>0</v>
      </c>
      <c r="D480" s="3">
        <v>0</v>
      </c>
      <c r="E480" s="3">
        <f>C480 - D480</f>
        <v>0</v>
      </c>
    </row>
    <row r="481" spans="2:5" x14ac:dyDescent="0.35">
      <c r="B481" s="38">
        <v>36982</v>
      </c>
      <c r="C481" s="3">
        <v>0</v>
      </c>
      <c r="D481" s="3">
        <v>0</v>
      </c>
      <c r="E481" s="3">
        <f>C481 - D481</f>
        <v>0</v>
      </c>
    </row>
    <row r="482" spans="2:5" x14ac:dyDescent="0.35">
      <c r="B482" s="38">
        <v>36983</v>
      </c>
      <c r="C482" s="3">
        <v>1</v>
      </c>
      <c r="D482" s="3">
        <v>0</v>
      </c>
      <c r="E482" s="3">
        <f>C482 - D482</f>
        <v>1</v>
      </c>
    </row>
    <row r="483" spans="2:5" x14ac:dyDescent="0.35">
      <c r="B483" s="38">
        <v>36984</v>
      </c>
      <c r="C483" s="3">
        <v>0</v>
      </c>
      <c r="D483" s="3">
        <v>1</v>
      </c>
      <c r="E483" s="3">
        <f>C483 - D483</f>
        <v>-1</v>
      </c>
    </row>
    <row r="484" spans="2:5" x14ac:dyDescent="0.35">
      <c r="B484" s="38">
        <v>36985</v>
      </c>
      <c r="C484" s="3">
        <v>0</v>
      </c>
      <c r="D484" s="3">
        <v>0</v>
      </c>
      <c r="E484" s="3">
        <f>C484 - D484</f>
        <v>0</v>
      </c>
    </row>
    <row r="485" spans="2:5" x14ac:dyDescent="0.35">
      <c r="B485" s="38">
        <v>36986</v>
      </c>
      <c r="C485" s="3">
        <v>0</v>
      </c>
      <c r="D485" s="3">
        <v>0</v>
      </c>
      <c r="E485" s="3">
        <f>C485 - D485</f>
        <v>0</v>
      </c>
    </row>
    <row r="486" spans="2:5" x14ac:dyDescent="0.35">
      <c r="B486" s="38">
        <v>36987</v>
      </c>
      <c r="C486" s="3">
        <v>0</v>
      </c>
      <c r="D486" s="3">
        <v>0</v>
      </c>
      <c r="E486" s="3">
        <f>C486 - D486</f>
        <v>0</v>
      </c>
    </row>
    <row r="487" spans="2:5" x14ac:dyDescent="0.35">
      <c r="B487" s="38">
        <v>36988</v>
      </c>
      <c r="C487" s="3">
        <v>0</v>
      </c>
      <c r="D487" s="3">
        <v>0</v>
      </c>
      <c r="E487" s="3">
        <f>C487 - D487</f>
        <v>0</v>
      </c>
    </row>
    <row r="488" spans="2:5" x14ac:dyDescent="0.35">
      <c r="B488" s="38">
        <v>36989</v>
      </c>
      <c r="C488" s="3">
        <v>0</v>
      </c>
      <c r="D488" s="3">
        <v>0</v>
      </c>
      <c r="E488" s="3">
        <f>C488 - D488</f>
        <v>0</v>
      </c>
    </row>
    <row r="489" spans="2:5" x14ac:dyDescent="0.35">
      <c r="B489" s="38">
        <v>36990</v>
      </c>
      <c r="C489" s="3">
        <v>1</v>
      </c>
      <c r="D489" s="3">
        <v>0</v>
      </c>
      <c r="E489" s="3">
        <f>C489 - D489</f>
        <v>1</v>
      </c>
    </row>
    <row r="490" spans="2:5" x14ac:dyDescent="0.35">
      <c r="B490" s="38">
        <v>36991</v>
      </c>
      <c r="C490" s="3">
        <v>1</v>
      </c>
      <c r="D490" s="3">
        <v>1</v>
      </c>
      <c r="E490" s="3">
        <f>C490 - D490</f>
        <v>0</v>
      </c>
    </row>
    <row r="491" spans="2:5" x14ac:dyDescent="0.35">
      <c r="B491" s="38">
        <v>36992</v>
      </c>
      <c r="C491" s="3">
        <v>1</v>
      </c>
      <c r="D491" s="3">
        <v>1</v>
      </c>
      <c r="E491" s="3">
        <f>C491 - D491</f>
        <v>0</v>
      </c>
    </row>
    <row r="492" spans="2:5" x14ac:dyDescent="0.35">
      <c r="B492" s="38">
        <v>36993</v>
      </c>
      <c r="C492" s="3">
        <v>1</v>
      </c>
      <c r="D492" s="3">
        <v>1</v>
      </c>
      <c r="E492" s="3">
        <f>C492 - D492</f>
        <v>0</v>
      </c>
    </row>
    <row r="493" spans="2:5" x14ac:dyDescent="0.35">
      <c r="B493" s="38">
        <v>36994</v>
      </c>
      <c r="C493" s="3">
        <v>0</v>
      </c>
      <c r="D493" s="3">
        <v>1</v>
      </c>
      <c r="E493" s="3">
        <f>C493 - D493</f>
        <v>-1</v>
      </c>
    </row>
    <row r="494" spans="2:5" x14ac:dyDescent="0.35">
      <c r="B494" s="38">
        <v>36995</v>
      </c>
      <c r="C494" s="3">
        <v>0</v>
      </c>
      <c r="D494" s="3">
        <v>0</v>
      </c>
      <c r="E494" s="3">
        <f>C494 - D494</f>
        <v>0</v>
      </c>
    </row>
    <row r="495" spans="2:5" x14ac:dyDescent="0.35">
      <c r="B495" s="38">
        <v>36996</v>
      </c>
      <c r="C495" s="3">
        <v>0</v>
      </c>
      <c r="D495" s="3">
        <v>0</v>
      </c>
      <c r="E495" s="3">
        <f>C495 - D495</f>
        <v>0</v>
      </c>
    </row>
    <row r="496" spans="2:5" x14ac:dyDescent="0.35">
      <c r="B496" s="38">
        <v>36997</v>
      </c>
      <c r="C496" s="3">
        <v>0</v>
      </c>
      <c r="D496" s="3">
        <v>0</v>
      </c>
      <c r="E496" s="3">
        <f>C496 - D496</f>
        <v>0</v>
      </c>
    </row>
    <row r="497" spans="2:5" x14ac:dyDescent="0.35">
      <c r="B497" s="38">
        <v>36998</v>
      </c>
      <c r="C497" s="3">
        <v>0</v>
      </c>
      <c r="D497" s="3">
        <v>0</v>
      </c>
      <c r="E497" s="3">
        <f>C497 - D497</f>
        <v>0</v>
      </c>
    </row>
    <row r="498" spans="2:5" x14ac:dyDescent="0.35">
      <c r="B498" s="38">
        <v>36999</v>
      </c>
      <c r="C498" s="3">
        <v>0</v>
      </c>
      <c r="D498" s="3">
        <v>0</v>
      </c>
      <c r="E498" s="3">
        <f>C498 - D498</f>
        <v>0</v>
      </c>
    </row>
    <row r="499" spans="2:5" x14ac:dyDescent="0.35">
      <c r="B499" s="38">
        <v>37000</v>
      </c>
      <c r="C499" s="3">
        <v>1</v>
      </c>
      <c r="D499" s="3">
        <v>0</v>
      </c>
      <c r="E499" s="3">
        <f>C499 - D499</f>
        <v>1</v>
      </c>
    </row>
    <row r="500" spans="2:5" x14ac:dyDescent="0.35">
      <c r="B500" s="38">
        <v>37001</v>
      </c>
      <c r="C500" s="3">
        <v>0</v>
      </c>
      <c r="D500" s="3">
        <v>1</v>
      </c>
      <c r="E500" s="3">
        <f>C500 - D500</f>
        <v>-1</v>
      </c>
    </row>
    <row r="501" spans="2:5" x14ac:dyDescent="0.35">
      <c r="B501" s="38">
        <v>37002</v>
      </c>
      <c r="C501" s="3">
        <v>0</v>
      </c>
      <c r="D501" s="3">
        <v>0</v>
      </c>
      <c r="E501" s="3">
        <f>C501 - D501</f>
        <v>0</v>
      </c>
    </row>
    <row r="502" spans="2:5" x14ac:dyDescent="0.35">
      <c r="B502" s="38">
        <v>37003</v>
      </c>
      <c r="C502" s="3">
        <v>1</v>
      </c>
      <c r="D502" s="3">
        <v>0</v>
      </c>
      <c r="E502" s="3">
        <f>C502 - D502</f>
        <v>1</v>
      </c>
    </row>
    <row r="503" spans="2:5" x14ac:dyDescent="0.35">
      <c r="B503" s="38">
        <v>37004</v>
      </c>
      <c r="C503" s="3">
        <v>1</v>
      </c>
      <c r="D503" s="3">
        <v>1</v>
      </c>
      <c r="E503" s="3">
        <f>C503 - D503</f>
        <v>0</v>
      </c>
    </row>
    <row r="504" spans="2:5" x14ac:dyDescent="0.35">
      <c r="B504" s="38">
        <v>37005</v>
      </c>
      <c r="C504" s="3">
        <v>1</v>
      </c>
      <c r="D504" s="3">
        <v>1</v>
      </c>
      <c r="E504" s="3">
        <f>C504 - D504</f>
        <v>0</v>
      </c>
    </row>
    <row r="505" spans="2:5" x14ac:dyDescent="0.35">
      <c r="B505" s="38">
        <v>37006</v>
      </c>
      <c r="C505" s="3">
        <v>1</v>
      </c>
      <c r="D505" s="3">
        <v>1</v>
      </c>
      <c r="E505" s="3">
        <f>C505 - D505</f>
        <v>0</v>
      </c>
    </row>
    <row r="506" spans="2:5" x14ac:dyDescent="0.35">
      <c r="B506" s="38">
        <v>37007</v>
      </c>
      <c r="C506" s="3">
        <v>0</v>
      </c>
      <c r="D506" s="3">
        <v>1</v>
      </c>
      <c r="E506" s="3">
        <f>C506 - D506</f>
        <v>-1</v>
      </c>
    </row>
    <row r="507" spans="2:5" x14ac:dyDescent="0.35">
      <c r="B507" s="38">
        <v>37008</v>
      </c>
      <c r="C507" s="3">
        <v>0</v>
      </c>
      <c r="D507" s="3">
        <v>0</v>
      </c>
      <c r="E507" s="3">
        <f>C507 - D507</f>
        <v>0</v>
      </c>
    </row>
    <row r="508" spans="2:5" x14ac:dyDescent="0.35">
      <c r="B508" s="38">
        <v>37009</v>
      </c>
      <c r="C508" s="3">
        <v>1</v>
      </c>
      <c r="D508" s="3">
        <v>0</v>
      </c>
      <c r="E508" s="3">
        <f>C508 - D508</f>
        <v>1</v>
      </c>
    </row>
    <row r="509" spans="2:5" x14ac:dyDescent="0.35">
      <c r="B509" s="38">
        <v>37010</v>
      </c>
      <c r="C509" s="3">
        <v>1</v>
      </c>
      <c r="D509" s="3">
        <v>1</v>
      </c>
      <c r="E509" s="3">
        <f>C509 - D509</f>
        <v>0</v>
      </c>
    </row>
    <row r="510" spans="2:5" x14ac:dyDescent="0.35">
      <c r="B510" s="38">
        <v>37011</v>
      </c>
      <c r="C510" s="3">
        <v>0</v>
      </c>
      <c r="D510" s="3">
        <v>1</v>
      </c>
      <c r="E510" s="3">
        <f>C510 - D510</f>
        <v>-1</v>
      </c>
    </row>
    <row r="511" spans="2:5" x14ac:dyDescent="0.35">
      <c r="B511" s="38">
        <v>37012</v>
      </c>
      <c r="C511" s="3">
        <v>0</v>
      </c>
      <c r="D511" s="3">
        <v>0</v>
      </c>
      <c r="E511" s="3">
        <f>C511 - D511</f>
        <v>0</v>
      </c>
    </row>
    <row r="512" spans="2:5" x14ac:dyDescent="0.35">
      <c r="B512" s="38">
        <v>37013</v>
      </c>
      <c r="C512" s="3">
        <v>0</v>
      </c>
      <c r="D512" s="3">
        <v>0</v>
      </c>
      <c r="E512" s="3">
        <f>C512 - D512</f>
        <v>0</v>
      </c>
    </row>
    <row r="513" spans="2:5" x14ac:dyDescent="0.35">
      <c r="B513" s="38">
        <v>37014</v>
      </c>
      <c r="C513" s="3">
        <v>0</v>
      </c>
      <c r="D513" s="3">
        <v>0</v>
      </c>
      <c r="E513" s="3">
        <f>C513 - D513</f>
        <v>0</v>
      </c>
    </row>
    <row r="514" spans="2:5" x14ac:dyDescent="0.35">
      <c r="B514" s="38">
        <v>37015</v>
      </c>
      <c r="C514" s="3">
        <v>0</v>
      </c>
      <c r="D514" s="3">
        <v>0</v>
      </c>
      <c r="E514" s="3">
        <f>C514 - D514</f>
        <v>0</v>
      </c>
    </row>
    <row r="515" spans="2:5" x14ac:dyDescent="0.35">
      <c r="B515" s="38">
        <v>37016</v>
      </c>
      <c r="C515" s="3">
        <v>0</v>
      </c>
      <c r="D515" s="3">
        <v>0</v>
      </c>
      <c r="E515" s="3">
        <f>C515 - D515</f>
        <v>0</v>
      </c>
    </row>
    <row r="516" spans="2:5" x14ac:dyDescent="0.35">
      <c r="B516" s="38">
        <v>37017</v>
      </c>
      <c r="C516" s="3">
        <v>0</v>
      </c>
      <c r="D516" s="3">
        <v>0</v>
      </c>
      <c r="E516" s="3">
        <f>C516 - D516</f>
        <v>0</v>
      </c>
    </row>
    <row r="517" spans="2:5" x14ac:dyDescent="0.35">
      <c r="B517" s="38">
        <v>37018</v>
      </c>
      <c r="C517" s="3">
        <v>0</v>
      </c>
      <c r="D517" s="3">
        <v>0</v>
      </c>
      <c r="E517" s="3">
        <f>C517 - D517</f>
        <v>0</v>
      </c>
    </row>
    <row r="518" spans="2:5" x14ac:dyDescent="0.35">
      <c r="B518" s="38">
        <v>37019</v>
      </c>
      <c r="C518" s="3">
        <v>0</v>
      </c>
      <c r="D518" s="3">
        <v>0</v>
      </c>
      <c r="E518" s="3">
        <f>C518 - D518</f>
        <v>0</v>
      </c>
    </row>
    <row r="519" spans="2:5" x14ac:dyDescent="0.35">
      <c r="B519" s="38">
        <v>37020</v>
      </c>
      <c r="C519" s="3">
        <v>0</v>
      </c>
      <c r="D519" s="3">
        <v>0</v>
      </c>
      <c r="E519" s="3">
        <f>C519 - D519</f>
        <v>0</v>
      </c>
    </row>
    <row r="520" spans="2:5" x14ac:dyDescent="0.35">
      <c r="B520" s="38">
        <v>37021</v>
      </c>
      <c r="C520" s="3">
        <v>1</v>
      </c>
      <c r="D520" s="3">
        <v>0</v>
      </c>
      <c r="E520" s="3">
        <f>C520 - D520</f>
        <v>1</v>
      </c>
    </row>
    <row r="521" spans="2:5" x14ac:dyDescent="0.35">
      <c r="B521" s="38">
        <v>37022</v>
      </c>
      <c r="C521" s="3">
        <v>0</v>
      </c>
      <c r="D521" s="3">
        <v>1</v>
      </c>
      <c r="E521" s="3">
        <f>C521 - D521</f>
        <v>-1</v>
      </c>
    </row>
    <row r="522" spans="2:5" x14ac:dyDescent="0.35">
      <c r="B522" s="38">
        <v>37023</v>
      </c>
      <c r="C522" s="3">
        <v>0</v>
      </c>
      <c r="D522" s="3">
        <v>0</v>
      </c>
      <c r="E522" s="3">
        <f>C522 - D522</f>
        <v>0</v>
      </c>
    </row>
    <row r="523" spans="2:5" x14ac:dyDescent="0.35">
      <c r="B523" s="38">
        <v>37024</v>
      </c>
      <c r="C523" s="3">
        <v>0</v>
      </c>
      <c r="D523" s="3">
        <v>0</v>
      </c>
      <c r="E523" s="3">
        <f>C523 - D523</f>
        <v>0</v>
      </c>
    </row>
    <row r="524" spans="2:5" x14ac:dyDescent="0.35">
      <c r="B524" s="38">
        <v>37025</v>
      </c>
      <c r="C524" s="3">
        <v>0</v>
      </c>
      <c r="D524" s="3">
        <v>0</v>
      </c>
      <c r="E524" s="3">
        <f>C524 - D524</f>
        <v>0</v>
      </c>
    </row>
    <row r="525" spans="2:5" x14ac:dyDescent="0.35">
      <c r="B525" s="38">
        <v>37026</v>
      </c>
      <c r="C525" s="3">
        <v>0</v>
      </c>
      <c r="D525" s="3">
        <v>0</v>
      </c>
      <c r="E525" s="3">
        <f>C525 - D525</f>
        <v>0</v>
      </c>
    </row>
    <row r="526" spans="2:5" x14ac:dyDescent="0.35">
      <c r="B526" s="38">
        <v>37027</v>
      </c>
      <c r="C526" s="3">
        <v>0</v>
      </c>
      <c r="D526" s="3">
        <v>0</v>
      </c>
      <c r="E526" s="3">
        <f>C526 - D526</f>
        <v>0</v>
      </c>
    </row>
    <row r="527" spans="2:5" x14ac:dyDescent="0.35">
      <c r="B527" s="38">
        <v>37028</v>
      </c>
      <c r="C527" s="3">
        <v>1</v>
      </c>
      <c r="D527" s="3">
        <v>0</v>
      </c>
      <c r="E527" s="3">
        <f>C527 - D527</f>
        <v>1</v>
      </c>
    </row>
    <row r="528" spans="2:5" x14ac:dyDescent="0.35">
      <c r="B528" s="38">
        <v>37029</v>
      </c>
      <c r="C528" s="3">
        <v>1</v>
      </c>
      <c r="D528" s="3">
        <v>1</v>
      </c>
      <c r="E528" s="3">
        <f>C528 - D528</f>
        <v>0</v>
      </c>
    </row>
    <row r="529" spans="2:5" x14ac:dyDescent="0.35">
      <c r="B529" s="38">
        <v>37030</v>
      </c>
      <c r="C529" s="3">
        <v>0</v>
      </c>
      <c r="D529" s="3">
        <v>1</v>
      </c>
      <c r="E529" s="3">
        <f>C529 - D529</f>
        <v>-1</v>
      </c>
    </row>
    <row r="530" spans="2:5" x14ac:dyDescent="0.35">
      <c r="B530" s="38">
        <v>37031</v>
      </c>
      <c r="C530" s="3">
        <v>0</v>
      </c>
      <c r="D530" s="3">
        <v>0</v>
      </c>
      <c r="E530" s="3">
        <f>C530 - D530</f>
        <v>0</v>
      </c>
    </row>
    <row r="531" spans="2:5" x14ac:dyDescent="0.35">
      <c r="B531" s="38">
        <v>37032</v>
      </c>
      <c r="C531" s="3">
        <v>1</v>
      </c>
      <c r="D531" s="3">
        <v>0</v>
      </c>
      <c r="E531" s="3">
        <f>C531 - D531</f>
        <v>1</v>
      </c>
    </row>
    <row r="532" spans="2:5" x14ac:dyDescent="0.35">
      <c r="B532" s="38">
        <v>37033</v>
      </c>
      <c r="C532" s="3">
        <v>1</v>
      </c>
      <c r="D532" s="3">
        <v>1</v>
      </c>
      <c r="E532" s="3">
        <f>C532 - D532</f>
        <v>0</v>
      </c>
    </row>
    <row r="533" spans="2:5" x14ac:dyDescent="0.35">
      <c r="B533" s="38">
        <v>37034</v>
      </c>
      <c r="C533" s="3">
        <v>0</v>
      </c>
      <c r="D533" s="3">
        <v>1</v>
      </c>
      <c r="E533" s="3">
        <f>C533 - D533</f>
        <v>-1</v>
      </c>
    </row>
    <row r="534" spans="2:5" x14ac:dyDescent="0.35">
      <c r="B534" s="38">
        <v>37035</v>
      </c>
      <c r="C534" s="3">
        <v>1</v>
      </c>
      <c r="D534" s="3">
        <v>0</v>
      </c>
      <c r="E534" s="3">
        <f>C534 - D534</f>
        <v>1</v>
      </c>
    </row>
    <row r="535" spans="2:5" x14ac:dyDescent="0.35">
      <c r="B535" s="38">
        <v>37036</v>
      </c>
      <c r="C535" s="3">
        <v>0</v>
      </c>
      <c r="D535" s="3">
        <v>1</v>
      </c>
      <c r="E535" s="3">
        <f>C535 - D535</f>
        <v>-1</v>
      </c>
    </row>
    <row r="536" spans="2:5" x14ac:dyDescent="0.35">
      <c r="B536" s="38">
        <v>37037</v>
      </c>
      <c r="C536" s="3">
        <v>1</v>
      </c>
      <c r="D536" s="3">
        <v>0</v>
      </c>
      <c r="E536" s="3">
        <f>C536 - D536</f>
        <v>1</v>
      </c>
    </row>
    <row r="537" spans="2:5" x14ac:dyDescent="0.35">
      <c r="B537" s="38">
        <v>37038</v>
      </c>
      <c r="C537" s="3">
        <v>0</v>
      </c>
      <c r="D537" s="3">
        <v>1</v>
      </c>
      <c r="E537" s="3">
        <f>C537 - D537</f>
        <v>-1</v>
      </c>
    </row>
    <row r="538" spans="2:5" x14ac:dyDescent="0.35">
      <c r="B538" s="38">
        <v>37039</v>
      </c>
      <c r="C538" s="3">
        <v>1</v>
      </c>
      <c r="D538" s="3">
        <v>0</v>
      </c>
      <c r="E538" s="3">
        <f>C538 - D538</f>
        <v>1</v>
      </c>
    </row>
    <row r="539" spans="2:5" x14ac:dyDescent="0.35">
      <c r="B539" s="38">
        <v>37040</v>
      </c>
      <c r="C539" s="3">
        <v>1</v>
      </c>
      <c r="D539" s="3">
        <v>1</v>
      </c>
      <c r="E539" s="3">
        <f>C539 - D539</f>
        <v>0</v>
      </c>
    </row>
    <row r="540" spans="2:5" x14ac:dyDescent="0.35">
      <c r="B540" s="38">
        <v>37041</v>
      </c>
      <c r="C540" s="3">
        <v>1</v>
      </c>
      <c r="D540" s="3">
        <v>1</v>
      </c>
      <c r="E540" s="3">
        <f>C540 - D540</f>
        <v>0</v>
      </c>
    </row>
    <row r="541" spans="2:5" x14ac:dyDescent="0.35">
      <c r="B541" s="38">
        <v>37042</v>
      </c>
      <c r="C541" s="3">
        <v>1</v>
      </c>
      <c r="D541" s="3">
        <v>1</v>
      </c>
      <c r="E541" s="3">
        <f>C541 - D541</f>
        <v>0</v>
      </c>
    </row>
    <row r="542" spans="2:5" x14ac:dyDescent="0.35">
      <c r="B542" s="38">
        <v>37043</v>
      </c>
      <c r="C542" s="3">
        <v>0</v>
      </c>
      <c r="D542" s="3">
        <v>1</v>
      </c>
      <c r="E542" s="3">
        <f>C542 - D542</f>
        <v>-1</v>
      </c>
    </row>
    <row r="543" spans="2:5" x14ac:dyDescent="0.35">
      <c r="B543" s="38">
        <v>37044</v>
      </c>
      <c r="C543" s="3">
        <v>0</v>
      </c>
      <c r="D543" s="3">
        <v>0</v>
      </c>
      <c r="E543" s="3">
        <f>C543 - D543</f>
        <v>0</v>
      </c>
    </row>
    <row r="544" spans="2:5" x14ac:dyDescent="0.35">
      <c r="B544" s="38">
        <v>37045</v>
      </c>
      <c r="C544" s="3">
        <v>0</v>
      </c>
      <c r="D544" s="3">
        <v>0</v>
      </c>
      <c r="E544" s="3">
        <f>C544 - D544</f>
        <v>0</v>
      </c>
    </row>
    <row r="545" spans="2:5" x14ac:dyDescent="0.35">
      <c r="B545" s="38">
        <v>37046</v>
      </c>
      <c r="C545" s="3">
        <v>1</v>
      </c>
      <c r="D545" s="3">
        <v>0</v>
      </c>
      <c r="E545" s="3">
        <f>C545 - D545</f>
        <v>1</v>
      </c>
    </row>
    <row r="546" spans="2:5" x14ac:dyDescent="0.35">
      <c r="B546" s="38">
        <v>37047</v>
      </c>
      <c r="C546" s="3">
        <v>0</v>
      </c>
      <c r="D546" s="3">
        <v>1</v>
      </c>
      <c r="E546" s="3">
        <f>C546 - D546</f>
        <v>-1</v>
      </c>
    </row>
    <row r="547" spans="2:5" x14ac:dyDescent="0.35">
      <c r="B547" s="38">
        <v>37048</v>
      </c>
      <c r="C547" s="3">
        <v>1</v>
      </c>
      <c r="D547" s="3">
        <v>0</v>
      </c>
      <c r="E547" s="3">
        <f>C547 - D547</f>
        <v>1</v>
      </c>
    </row>
    <row r="548" spans="2:5" x14ac:dyDescent="0.35">
      <c r="B548" s="38">
        <v>37049</v>
      </c>
      <c r="C548" s="3">
        <v>1</v>
      </c>
      <c r="D548" s="3">
        <v>1</v>
      </c>
      <c r="E548" s="3">
        <f>C548 - D548</f>
        <v>0</v>
      </c>
    </row>
    <row r="549" spans="2:5" x14ac:dyDescent="0.35">
      <c r="B549" s="38">
        <v>37050</v>
      </c>
      <c r="C549" s="3">
        <v>0</v>
      </c>
      <c r="D549" s="3">
        <v>1</v>
      </c>
      <c r="E549" s="3">
        <f>C549 - D549</f>
        <v>-1</v>
      </c>
    </row>
    <row r="550" spans="2:5" x14ac:dyDescent="0.35">
      <c r="B550" s="38">
        <v>37051</v>
      </c>
      <c r="C550" s="3">
        <v>1</v>
      </c>
      <c r="D550" s="3">
        <v>0</v>
      </c>
      <c r="E550" s="3">
        <f>C550 - D550</f>
        <v>1</v>
      </c>
    </row>
    <row r="551" spans="2:5" x14ac:dyDescent="0.35">
      <c r="B551" s="38">
        <v>37052</v>
      </c>
      <c r="C551" s="3">
        <v>1</v>
      </c>
      <c r="D551" s="3">
        <v>1</v>
      </c>
      <c r="E551" s="3">
        <f>C551 - D551</f>
        <v>0</v>
      </c>
    </row>
    <row r="552" spans="2:5" x14ac:dyDescent="0.35">
      <c r="B552" s="38">
        <v>37053</v>
      </c>
      <c r="C552" s="3">
        <v>0</v>
      </c>
      <c r="D552" s="3">
        <v>1</v>
      </c>
      <c r="E552" s="3">
        <f>C552 - D552</f>
        <v>-1</v>
      </c>
    </row>
    <row r="553" spans="2:5" x14ac:dyDescent="0.35">
      <c r="B553" s="38">
        <v>37054</v>
      </c>
      <c r="C553" s="3">
        <v>0</v>
      </c>
      <c r="D553" s="3">
        <v>0</v>
      </c>
      <c r="E553" s="3">
        <f>C553 - D553</f>
        <v>0</v>
      </c>
    </row>
    <row r="554" spans="2:5" x14ac:dyDescent="0.35">
      <c r="B554" s="38">
        <v>37055</v>
      </c>
      <c r="C554" s="3">
        <v>1</v>
      </c>
      <c r="D554" s="3">
        <v>0</v>
      </c>
      <c r="E554" s="3">
        <f>C554 - D554</f>
        <v>1</v>
      </c>
    </row>
    <row r="555" spans="2:5" x14ac:dyDescent="0.35">
      <c r="B555" s="38">
        <v>37056</v>
      </c>
      <c r="C555" s="3">
        <v>1</v>
      </c>
      <c r="D555" s="3">
        <v>1</v>
      </c>
      <c r="E555" s="3">
        <f>C555 - D555</f>
        <v>0</v>
      </c>
    </row>
    <row r="556" spans="2:5" x14ac:dyDescent="0.35">
      <c r="B556" s="38">
        <v>37057</v>
      </c>
      <c r="C556" s="3">
        <v>1</v>
      </c>
      <c r="D556" s="3">
        <v>1</v>
      </c>
      <c r="E556" s="3">
        <f>C556 - D556</f>
        <v>0</v>
      </c>
    </row>
    <row r="557" spans="2:5" x14ac:dyDescent="0.35">
      <c r="B557" s="38">
        <v>37058</v>
      </c>
      <c r="C557" s="3">
        <v>1</v>
      </c>
      <c r="D557" s="3">
        <v>1</v>
      </c>
      <c r="E557" s="3">
        <f>C557 - D557</f>
        <v>0</v>
      </c>
    </row>
    <row r="558" spans="2:5" x14ac:dyDescent="0.35">
      <c r="B558" s="38">
        <v>37059</v>
      </c>
      <c r="C558" s="3">
        <v>1</v>
      </c>
      <c r="D558" s="3">
        <v>1</v>
      </c>
      <c r="E558" s="3">
        <f>C558 - D558</f>
        <v>0</v>
      </c>
    </row>
    <row r="559" spans="2:5" x14ac:dyDescent="0.35">
      <c r="B559" s="38">
        <v>37060</v>
      </c>
      <c r="C559" s="3">
        <v>1</v>
      </c>
      <c r="D559" s="3">
        <v>1</v>
      </c>
      <c r="E559" s="3">
        <f>C559 - D559</f>
        <v>0</v>
      </c>
    </row>
    <row r="560" spans="2:5" x14ac:dyDescent="0.35">
      <c r="B560" s="38">
        <v>37061</v>
      </c>
      <c r="C560" s="3">
        <v>0</v>
      </c>
      <c r="D560" s="3">
        <v>1</v>
      </c>
      <c r="E560" s="3">
        <f>C560 - D560</f>
        <v>-1</v>
      </c>
    </row>
    <row r="561" spans="2:5" x14ac:dyDescent="0.35">
      <c r="B561" s="38">
        <v>37062</v>
      </c>
      <c r="C561" s="3">
        <v>0</v>
      </c>
      <c r="D561" s="3">
        <v>0</v>
      </c>
      <c r="E561" s="3">
        <f>C561 - D561</f>
        <v>0</v>
      </c>
    </row>
    <row r="562" spans="2:5" x14ac:dyDescent="0.35">
      <c r="B562" s="38">
        <v>37063</v>
      </c>
      <c r="C562" s="3">
        <v>1</v>
      </c>
      <c r="D562" s="3">
        <v>0</v>
      </c>
      <c r="E562" s="3">
        <f>C562 - D562</f>
        <v>1</v>
      </c>
    </row>
    <row r="563" spans="2:5" x14ac:dyDescent="0.35">
      <c r="B563" s="38">
        <v>37064</v>
      </c>
      <c r="C563" s="3">
        <v>1</v>
      </c>
      <c r="D563" s="3">
        <v>1</v>
      </c>
      <c r="E563" s="3">
        <f>C563 - D563</f>
        <v>0</v>
      </c>
    </row>
    <row r="564" spans="2:5" x14ac:dyDescent="0.35">
      <c r="B564" s="38">
        <v>37065</v>
      </c>
      <c r="C564" s="3">
        <v>0</v>
      </c>
      <c r="D564" s="3">
        <v>1</v>
      </c>
      <c r="E564" s="3">
        <f>C564 - D564</f>
        <v>-1</v>
      </c>
    </row>
    <row r="565" spans="2:5" x14ac:dyDescent="0.35">
      <c r="B565" s="38">
        <v>37066</v>
      </c>
      <c r="C565" s="3">
        <v>0</v>
      </c>
      <c r="D565" s="3">
        <v>0</v>
      </c>
      <c r="E565" s="3">
        <f>C565 - D565</f>
        <v>0</v>
      </c>
    </row>
    <row r="566" spans="2:5" x14ac:dyDescent="0.35">
      <c r="B566" s="38">
        <v>37067</v>
      </c>
      <c r="C566" s="3">
        <v>0</v>
      </c>
      <c r="D566" s="3">
        <v>0</v>
      </c>
      <c r="E566" s="3">
        <f>C566 - D566</f>
        <v>0</v>
      </c>
    </row>
    <row r="567" spans="2:5" x14ac:dyDescent="0.35">
      <c r="B567" s="38">
        <v>37068</v>
      </c>
      <c r="C567" s="3">
        <v>1</v>
      </c>
      <c r="D567" s="3">
        <v>0</v>
      </c>
      <c r="E567" s="3">
        <f>C567 - D567</f>
        <v>1</v>
      </c>
    </row>
    <row r="568" spans="2:5" x14ac:dyDescent="0.35">
      <c r="B568" s="38">
        <v>37069</v>
      </c>
      <c r="C568" s="3">
        <v>0</v>
      </c>
      <c r="D568" s="3">
        <v>1</v>
      </c>
      <c r="E568" s="3">
        <f>C568 - D568</f>
        <v>-1</v>
      </c>
    </row>
    <row r="569" spans="2:5" x14ac:dyDescent="0.35">
      <c r="B569" s="38">
        <v>37070</v>
      </c>
      <c r="C569" s="3">
        <v>0</v>
      </c>
      <c r="D569" s="3">
        <v>0</v>
      </c>
      <c r="E569" s="3">
        <f>C569 - D569</f>
        <v>0</v>
      </c>
    </row>
    <row r="570" spans="2:5" x14ac:dyDescent="0.35">
      <c r="B570" s="38">
        <v>37071</v>
      </c>
      <c r="C570" s="3">
        <v>0</v>
      </c>
      <c r="D570" s="3">
        <v>0</v>
      </c>
      <c r="E570" s="3">
        <f>C570 - D570</f>
        <v>0</v>
      </c>
    </row>
    <row r="571" spans="2:5" x14ac:dyDescent="0.35">
      <c r="B571" s="38">
        <v>37072</v>
      </c>
      <c r="C571" s="3">
        <v>0</v>
      </c>
      <c r="D571" s="3">
        <v>0</v>
      </c>
      <c r="E571" s="3">
        <f>C571 - D571</f>
        <v>0</v>
      </c>
    </row>
    <row r="572" spans="2:5" x14ac:dyDescent="0.35">
      <c r="B572" s="38">
        <v>37073</v>
      </c>
      <c r="C572" s="3">
        <v>0</v>
      </c>
      <c r="D572" s="3">
        <v>0</v>
      </c>
      <c r="E572" s="3">
        <f>C572 - D572</f>
        <v>0</v>
      </c>
    </row>
    <row r="573" spans="2:5" x14ac:dyDescent="0.35">
      <c r="B573" s="38">
        <v>37074</v>
      </c>
      <c r="C573" s="3">
        <v>0</v>
      </c>
      <c r="D573" s="3">
        <v>0</v>
      </c>
      <c r="E573" s="3">
        <f>C573 - D573</f>
        <v>0</v>
      </c>
    </row>
    <row r="574" spans="2:5" x14ac:dyDescent="0.35">
      <c r="B574" s="38">
        <v>37075</v>
      </c>
      <c r="C574" s="3">
        <v>0</v>
      </c>
      <c r="D574" s="3">
        <v>0</v>
      </c>
      <c r="E574" s="3">
        <f>C574 - D574</f>
        <v>0</v>
      </c>
    </row>
    <row r="575" spans="2:5" x14ac:dyDescent="0.35">
      <c r="B575" s="38">
        <v>37076</v>
      </c>
      <c r="C575" s="3">
        <v>0</v>
      </c>
      <c r="D575" s="3">
        <v>0</v>
      </c>
      <c r="E575" s="3">
        <f>C575 - D575</f>
        <v>0</v>
      </c>
    </row>
    <row r="576" spans="2:5" x14ac:dyDescent="0.35">
      <c r="B576" s="38">
        <v>37077</v>
      </c>
      <c r="C576" s="3">
        <v>0</v>
      </c>
      <c r="D576" s="3">
        <v>0</v>
      </c>
      <c r="E576" s="3">
        <f>C576 - D576</f>
        <v>0</v>
      </c>
    </row>
    <row r="577" spans="2:5" x14ac:dyDescent="0.35">
      <c r="B577" s="38">
        <v>37078</v>
      </c>
      <c r="C577" s="3">
        <v>1</v>
      </c>
      <c r="D577" s="3">
        <v>0</v>
      </c>
      <c r="E577" s="3">
        <f>C577 - D577</f>
        <v>1</v>
      </c>
    </row>
    <row r="578" spans="2:5" x14ac:dyDescent="0.35">
      <c r="B578" s="38">
        <v>37079</v>
      </c>
      <c r="C578" s="3">
        <v>1</v>
      </c>
      <c r="D578" s="3">
        <v>1</v>
      </c>
      <c r="E578" s="3">
        <f>C578 - D578</f>
        <v>0</v>
      </c>
    </row>
    <row r="579" spans="2:5" x14ac:dyDescent="0.35">
      <c r="B579" s="38">
        <v>37080</v>
      </c>
      <c r="C579" s="3">
        <v>1</v>
      </c>
      <c r="D579" s="3">
        <v>1</v>
      </c>
      <c r="E579" s="3">
        <f>C579 - D579</f>
        <v>0</v>
      </c>
    </row>
    <row r="580" spans="2:5" x14ac:dyDescent="0.35">
      <c r="B580" s="38">
        <v>37081</v>
      </c>
      <c r="C580" s="3">
        <v>1</v>
      </c>
      <c r="D580" s="3">
        <v>1</v>
      </c>
      <c r="E580" s="3">
        <f>C580 - D580</f>
        <v>0</v>
      </c>
    </row>
    <row r="581" spans="2:5" x14ac:dyDescent="0.35">
      <c r="B581" s="38">
        <v>37082</v>
      </c>
      <c r="C581" s="3">
        <v>0</v>
      </c>
      <c r="D581" s="3">
        <v>1</v>
      </c>
      <c r="E581" s="3">
        <f>C581 - D581</f>
        <v>-1</v>
      </c>
    </row>
    <row r="582" spans="2:5" x14ac:dyDescent="0.35">
      <c r="B582" s="38">
        <v>37083</v>
      </c>
      <c r="C582" s="3">
        <v>0</v>
      </c>
      <c r="D582" s="3">
        <v>0</v>
      </c>
      <c r="E582" s="3">
        <f>C582 - D582</f>
        <v>0</v>
      </c>
    </row>
    <row r="583" spans="2:5" x14ac:dyDescent="0.35">
      <c r="B583" s="38">
        <v>37084</v>
      </c>
      <c r="C583" s="3">
        <v>1</v>
      </c>
      <c r="D583" s="3">
        <v>0</v>
      </c>
      <c r="E583" s="3">
        <f>C583 - D583</f>
        <v>1</v>
      </c>
    </row>
    <row r="584" spans="2:5" x14ac:dyDescent="0.35">
      <c r="B584" s="38">
        <v>37085</v>
      </c>
      <c r="C584" s="3">
        <v>1</v>
      </c>
      <c r="D584" s="3">
        <v>1</v>
      </c>
      <c r="E584" s="3">
        <f>C584 - D584</f>
        <v>0</v>
      </c>
    </row>
    <row r="585" spans="2:5" x14ac:dyDescent="0.35">
      <c r="B585" s="38">
        <v>37086</v>
      </c>
      <c r="C585" s="3">
        <v>1</v>
      </c>
      <c r="D585" s="3">
        <v>1</v>
      </c>
      <c r="E585" s="3">
        <f>C585 - D585</f>
        <v>0</v>
      </c>
    </row>
    <row r="586" spans="2:5" x14ac:dyDescent="0.35">
      <c r="B586" s="38">
        <v>37087</v>
      </c>
      <c r="C586" s="3">
        <v>1</v>
      </c>
      <c r="D586" s="3">
        <v>1</v>
      </c>
      <c r="E586" s="3">
        <f>C586 - D586</f>
        <v>0</v>
      </c>
    </row>
    <row r="587" spans="2:5" x14ac:dyDescent="0.35">
      <c r="B587" s="38">
        <v>37088</v>
      </c>
      <c r="C587" s="3">
        <v>1</v>
      </c>
      <c r="D587" s="3">
        <v>1</v>
      </c>
      <c r="E587" s="3">
        <f>C587 - D587</f>
        <v>0</v>
      </c>
    </row>
    <row r="588" spans="2:5" x14ac:dyDescent="0.35">
      <c r="B588" s="38">
        <v>37089</v>
      </c>
      <c r="C588" s="3">
        <v>1</v>
      </c>
      <c r="D588" s="3">
        <v>1</v>
      </c>
      <c r="E588" s="3">
        <f>C588 - D588</f>
        <v>0</v>
      </c>
    </row>
    <row r="589" spans="2:5" x14ac:dyDescent="0.35">
      <c r="B589" s="38">
        <v>37090</v>
      </c>
      <c r="C589" s="3">
        <v>1</v>
      </c>
      <c r="D589" s="3">
        <v>1</v>
      </c>
      <c r="E589" s="3">
        <f>C589 - D589</f>
        <v>0</v>
      </c>
    </row>
    <row r="590" spans="2:5" x14ac:dyDescent="0.35">
      <c r="B590" s="38">
        <v>37091</v>
      </c>
      <c r="C590" s="3">
        <v>1</v>
      </c>
      <c r="D590" s="3">
        <v>1</v>
      </c>
      <c r="E590" s="3">
        <f>C590 - D590</f>
        <v>0</v>
      </c>
    </row>
    <row r="591" spans="2:5" x14ac:dyDescent="0.35">
      <c r="B591" s="38">
        <v>37092</v>
      </c>
      <c r="C591" s="3">
        <v>1</v>
      </c>
      <c r="D591" s="3">
        <v>1</v>
      </c>
      <c r="E591" s="3">
        <f>C591 - D591</f>
        <v>0</v>
      </c>
    </row>
    <row r="592" spans="2:5" x14ac:dyDescent="0.35">
      <c r="B592" s="38">
        <v>37093</v>
      </c>
      <c r="C592" s="3">
        <v>0</v>
      </c>
      <c r="D592" s="3">
        <v>1</v>
      </c>
      <c r="E592" s="3">
        <f>C592 - D592</f>
        <v>-1</v>
      </c>
    </row>
    <row r="593" spans="2:5" x14ac:dyDescent="0.35">
      <c r="B593" s="38">
        <v>37094</v>
      </c>
      <c r="C593" s="3">
        <v>0</v>
      </c>
      <c r="D593" s="3">
        <v>0</v>
      </c>
      <c r="E593" s="3">
        <f>C593 - D593</f>
        <v>0</v>
      </c>
    </row>
    <row r="594" spans="2:5" x14ac:dyDescent="0.35">
      <c r="B594" s="38">
        <v>37095</v>
      </c>
      <c r="C594" s="3">
        <v>0</v>
      </c>
      <c r="D594" s="3">
        <v>0</v>
      </c>
      <c r="E594" s="3">
        <f>C594 - D594</f>
        <v>0</v>
      </c>
    </row>
    <row r="595" spans="2:5" x14ac:dyDescent="0.35">
      <c r="B595" s="38">
        <v>37096</v>
      </c>
      <c r="C595" s="3">
        <v>0</v>
      </c>
      <c r="D595" s="3">
        <v>0</v>
      </c>
      <c r="E595" s="3">
        <f>C595 - D595</f>
        <v>0</v>
      </c>
    </row>
    <row r="596" spans="2:5" x14ac:dyDescent="0.35">
      <c r="B596" s="38">
        <v>37097</v>
      </c>
      <c r="C596" s="3">
        <v>0</v>
      </c>
      <c r="D596" s="3">
        <v>0</v>
      </c>
      <c r="E596" s="3">
        <f>C596 - D596</f>
        <v>0</v>
      </c>
    </row>
    <row r="597" spans="2:5" x14ac:dyDescent="0.35">
      <c r="B597" s="38">
        <v>37098</v>
      </c>
      <c r="C597" s="3">
        <v>1</v>
      </c>
      <c r="D597" s="3">
        <v>0</v>
      </c>
      <c r="E597" s="3">
        <f>C597 - D597</f>
        <v>1</v>
      </c>
    </row>
    <row r="598" spans="2:5" x14ac:dyDescent="0.35">
      <c r="B598" s="38">
        <v>37099</v>
      </c>
      <c r="C598" s="3">
        <v>0</v>
      </c>
      <c r="D598" s="3">
        <v>1</v>
      </c>
      <c r="E598" s="3">
        <f>C598 - D598</f>
        <v>-1</v>
      </c>
    </row>
    <row r="599" spans="2:5" x14ac:dyDescent="0.35">
      <c r="B599" s="38">
        <v>37100</v>
      </c>
      <c r="C599" s="3">
        <v>1</v>
      </c>
      <c r="D599" s="3">
        <v>0</v>
      </c>
      <c r="E599" s="3">
        <f>C599 - D599</f>
        <v>1</v>
      </c>
    </row>
    <row r="600" spans="2:5" x14ac:dyDescent="0.35">
      <c r="B600" s="38">
        <v>37101</v>
      </c>
      <c r="C600" s="3">
        <v>1</v>
      </c>
      <c r="D600" s="3">
        <v>1</v>
      </c>
      <c r="E600" s="3">
        <f>C600 - D600</f>
        <v>0</v>
      </c>
    </row>
    <row r="601" spans="2:5" x14ac:dyDescent="0.35">
      <c r="B601" s="38">
        <v>37102</v>
      </c>
      <c r="C601" s="3">
        <v>0</v>
      </c>
      <c r="D601" s="3">
        <v>1</v>
      </c>
      <c r="E601" s="3">
        <f>C601 - D601</f>
        <v>-1</v>
      </c>
    </row>
    <row r="602" spans="2:5" x14ac:dyDescent="0.35">
      <c r="B602" s="38">
        <v>37103</v>
      </c>
      <c r="C602" s="3">
        <v>0</v>
      </c>
      <c r="D602" s="3">
        <v>0</v>
      </c>
      <c r="E602" s="3">
        <f>C602 - D602</f>
        <v>0</v>
      </c>
    </row>
    <row r="603" spans="2:5" x14ac:dyDescent="0.35">
      <c r="B603" s="38">
        <v>37104</v>
      </c>
      <c r="C603" s="3">
        <v>1</v>
      </c>
      <c r="D603" s="3">
        <v>0</v>
      </c>
      <c r="E603" s="3">
        <f>C603 - D603</f>
        <v>1</v>
      </c>
    </row>
    <row r="604" spans="2:5" x14ac:dyDescent="0.35">
      <c r="B604" s="38">
        <v>37105</v>
      </c>
      <c r="C604" s="3">
        <v>1</v>
      </c>
      <c r="D604" s="3">
        <v>1</v>
      </c>
      <c r="E604" s="3">
        <f>C604 - D604</f>
        <v>0</v>
      </c>
    </row>
    <row r="605" spans="2:5" x14ac:dyDescent="0.35">
      <c r="B605" s="38">
        <v>37106</v>
      </c>
      <c r="C605" s="3">
        <v>0</v>
      </c>
      <c r="D605" s="3">
        <v>1</v>
      </c>
      <c r="E605" s="3">
        <f>C605 - D605</f>
        <v>-1</v>
      </c>
    </row>
    <row r="606" spans="2:5" x14ac:dyDescent="0.35">
      <c r="B606" s="38">
        <v>37107</v>
      </c>
      <c r="C606" s="3">
        <v>0</v>
      </c>
      <c r="D606" s="3">
        <v>0</v>
      </c>
      <c r="E606" s="3">
        <f>C606 - D606</f>
        <v>0</v>
      </c>
    </row>
    <row r="607" spans="2:5" x14ac:dyDescent="0.35">
      <c r="B607" s="38">
        <v>37108</v>
      </c>
      <c r="C607" s="3">
        <v>1</v>
      </c>
      <c r="D607" s="3">
        <v>0</v>
      </c>
      <c r="E607" s="3">
        <f>C607 - D607</f>
        <v>1</v>
      </c>
    </row>
    <row r="608" spans="2:5" x14ac:dyDescent="0.35">
      <c r="B608" s="38">
        <v>37109</v>
      </c>
      <c r="C608" s="3">
        <v>1</v>
      </c>
      <c r="D608" s="3">
        <v>1</v>
      </c>
      <c r="E608" s="3">
        <f>C608 - D608</f>
        <v>0</v>
      </c>
    </row>
    <row r="609" spans="2:5" x14ac:dyDescent="0.35">
      <c r="B609" s="38">
        <v>37110</v>
      </c>
      <c r="C609" s="3">
        <v>1</v>
      </c>
      <c r="D609" s="3">
        <v>1</v>
      </c>
      <c r="E609" s="3">
        <f>C609 - D609</f>
        <v>0</v>
      </c>
    </row>
    <row r="610" spans="2:5" x14ac:dyDescent="0.35">
      <c r="B610" s="38">
        <v>37111</v>
      </c>
      <c r="C610" s="3">
        <v>1</v>
      </c>
      <c r="D610" s="3">
        <v>1</v>
      </c>
      <c r="E610" s="3">
        <f>C610 - D610</f>
        <v>0</v>
      </c>
    </row>
    <row r="611" spans="2:5" x14ac:dyDescent="0.35">
      <c r="B611" s="38">
        <v>37112</v>
      </c>
      <c r="C611" s="3">
        <v>1</v>
      </c>
      <c r="D611" s="3">
        <v>1</v>
      </c>
      <c r="E611" s="3">
        <f>C611 - D611</f>
        <v>0</v>
      </c>
    </row>
    <row r="612" spans="2:5" x14ac:dyDescent="0.35">
      <c r="B612" s="38">
        <v>37113</v>
      </c>
      <c r="C612" s="3">
        <v>0</v>
      </c>
      <c r="D612" s="3">
        <v>1</v>
      </c>
      <c r="E612" s="3">
        <f>C612 - D612</f>
        <v>-1</v>
      </c>
    </row>
    <row r="613" spans="2:5" x14ac:dyDescent="0.35">
      <c r="B613" s="38">
        <v>37114</v>
      </c>
      <c r="C613" s="3">
        <v>0</v>
      </c>
      <c r="D613" s="3">
        <v>0</v>
      </c>
      <c r="E613" s="3">
        <f>C613 - D613</f>
        <v>0</v>
      </c>
    </row>
    <row r="614" spans="2:5" x14ac:dyDescent="0.35">
      <c r="B614" s="38">
        <v>37115</v>
      </c>
      <c r="C614" s="3">
        <v>0</v>
      </c>
      <c r="D614" s="3">
        <v>0</v>
      </c>
      <c r="E614" s="3">
        <f>C614 - D614</f>
        <v>0</v>
      </c>
    </row>
    <row r="615" spans="2:5" x14ac:dyDescent="0.35">
      <c r="B615" s="38">
        <v>37116</v>
      </c>
      <c r="C615" s="3">
        <v>0</v>
      </c>
      <c r="D615" s="3">
        <v>0</v>
      </c>
      <c r="E615" s="3">
        <f>C615 - D615</f>
        <v>0</v>
      </c>
    </row>
    <row r="616" spans="2:5" x14ac:dyDescent="0.35">
      <c r="B616" s="38">
        <v>37117</v>
      </c>
      <c r="C616" s="3">
        <v>0</v>
      </c>
      <c r="D616" s="3">
        <v>0</v>
      </c>
      <c r="E616" s="3">
        <f>C616 - D616</f>
        <v>0</v>
      </c>
    </row>
    <row r="617" spans="2:5" x14ac:dyDescent="0.35">
      <c r="B617" s="38">
        <v>37118</v>
      </c>
      <c r="C617" s="3">
        <v>0</v>
      </c>
      <c r="D617" s="3">
        <v>0</v>
      </c>
      <c r="E617" s="3">
        <f>C617 - D617</f>
        <v>0</v>
      </c>
    </row>
    <row r="618" spans="2:5" x14ac:dyDescent="0.35">
      <c r="B618" s="38">
        <v>37119</v>
      </c>
      <c r="C618" s="3">
        <v>0</v>
      </c>
      <c r="D618" s="3">
        <v>0</v>
      </c>
      <c r="E618" s="3">
        <f>C618 - D618</f>
        <v>0</v>
      </c>
    </row>
    <row r="619" spans="2:5" x14ac:dyDescent="0.35">
      <c r="B619" s="38">
        <v>37120</v>
      </c>
      <c r="C619" s="3">
        <v>1</v>
      </c>
      <c r="D619" s="3">
        <v>0</v>
      </c>
      <c r="E619" s="3">
        <f>C619 - D619</f>
        <v>1</v>
      </c>
    </row>
    <row r="620" spans="2:5" x14ac:dyDescent="0.35">
      <c r="B620" s="38">
        <v>37121</v>
      </c>
      <c r="C620" s="3">
        <v>1</v>
      </c>
      <c r="D620" s="3">
        <v>1</v>
      </c>
      <c r="E620" s="3">
        <f>C620 - D620</f>
        <v>0</v>
      </c>
    </row>
    <row r="621" spans="2:5" x14ac:dyDescent="0.35">
      <c r="B621" s="38">
        <v>37122</v>
      </c>
      <c r="C621" s="3">
        <v>0</v>
      </c>
      <c r="D621" s="3">
        <v>1</v>
      </c>
      <c r="E621" s="3">
        <f>C621 - D621</f>
        <v>-1</v>
      </c>
    </row>
    <row r="622" spans="2:5" x14ac:dyDescent="0.35">
      <c r="B622" s="38">
        <v>37123</v>
      </c>
      <c r="C622" s="3">
        <v>1</v>
      </c>
      <c r="D622" s="3">
        <v>0</v>
      </c>
      <c r="E622" s="3">
        <f>C622 - D622</f>
        <v>1</v>
      </c>
    </row>
    <row r="623" spans="2:5" x14ac:dyDescent="0.35">
      <c r="B623" s="38">
        <v>37124</v>
      </c>
      <c r="C623" s="3">
        <v>1</v>
      </c>
      <c r="D623" s="3">
        <v>1</v>
      </c>
      <c r="E623" s="3">
        <f>C623 - D623</f>
        <v>0</v>
      </c>
    </row>
    <row r="624" spans="2:5" x14ac:dyDescent="0.35">
      <c r="B624" s="38">
        <v>37125</v>
      </c>
      <c r="C624" s="3">
        <v>1</v>
      </c>
      <c r="D624" s="3">
        <v>1</v>
      </c>
      <c r="E624" s="3">
        <f>C624 - D624</f>
        <v>0</v>
      </c>
    </row>
    <row r="625" spans="2:5" x14ac:dyDescent="0.35">
      <c r="B625" s="38">
        <v>37126</v>
      </c>
      <c r="C625" s="3">
        <v>1</v>
      </c>
      <c r="D625" s="3">
        <v>1</v>
      </c>
      <c r="E625" s="3">
        <f>C625 - D625</f>
        <v>0</v>
      </c>
    </row>
    <row r="626" spans="2:5" x14ac:dyDescent="0.35">
      <c r="B626" s="38">
        <v>37127</v>
      </c>
      <c r="C626" s="3">
        <v>1</v>
      </c>
      <c r="D626" s="3">
        <v>1</v>
      </c>
      <c r="E626" s="3">
        <f>C626 - D626</f>
        <v>0</v>
      </c>
    </row>
    <row r="627" spans="2:5" x14ac:dyDescent="0.35">
      <c r="B627" s="38">
        <v>37128</v>
      </c>
      <c r="C627" s="3">
        <v>0</v>
      </c>
      <c r="D627" s="3">
        <v>1</v>
      </c>
      <c r="E627" s="3">
        <f>C627 - D627</f>
        <v>-1</v>
      </c>
    </row>
    <row r="628" spans="2:5" x14ac:dyDescent="0.35">
      <c r="B628" s="38">
        <v>37129</v>
      </c>
      <c r="C628" s="3">
        <v>1</v>
      </c>
      <c r="D628" s="3">
        <v>0</v>
      </c>
      <c r="E628" s="3">
        <f>C628 - D628</f>
        <v>1</v>
      </c>
    </row>
    <row r="629" spans="2:5" x14ac:dyDescent="0.35">
      <c r="B629" s="38">
        <v>37130</v>
      </c>
      <c r="C629" s="3">
        <v>1</v>
      </c>
      <c r="D629" s="3">
        <v>1</v>
      </c>
      <c r="E629" s="3">
        <f>C629 - D629</f>
        <v>0</v>
      </c>
    </row>
    <row r="630" spans="2:5" x14ac:dyDescent="0.35">
      <c r="B630" s="38">
        <v>37131</v>
      </c>
      <c r="C630" s="3">
        <v>1</v>
      </c>
      <c r="D630" s="3">
        <v>1</v>
      </c>
      <c r="E630" s="3">
        <f>C630 - D630</f>
        <v>0</v>
      </c>
    </row>
    <row r="631" spans="2:5" x14ac:dyDescent="0.35">
      <c r="B631" s="38">
        <v>37132</v>
      </c>
      <c r="C631" s="3">
        <v>0</v>
      </c>
      <c r="D631" s="3">
        <v>1</v>
      </c>
      <c r="E631" s="3">
        <f>C631 - D631</f>
        <v>-1</v>
      </c>
    </row>
    <row r="632" spans="2:5" x14ac:dyDescent="0.35">
      <c r="B632" s="38">
        <v>37133</v>
      </c>
      <c r="C632" s="3">
        <v>0</v>
      </c>
      <c r="D632" s="3">
        <v>0</v>
      </c>
      <c r="E632" s="3">
        <f>C632 - D632</f>
        <v>0</v>
      </c>
    </row>
    <row r="633" spans="2:5" x14ac:dyDescent="0.35">
      <c r="B633" s="38">
        <v>37134</v>
      </c>
      <c r="C633" s="3">
        <v>0</v>
      </c>
      <c r="D633" s="3">
        <v>0</v>
      </c>
      <c r="E633" s="3">
        <f>C633 - D633</f>
        <v>0</v>
      </c>
    </row>
    <row r="634" spans="2:5" x14ac:dyDescent="0.35">
      <c r="B634" s="38">
        <v>37135</v>
      </c>
      <c r="C634" s="3">
        <v>1</v>
      </c>
      <c r="D634" s="3">
        <v>0</v>
      </c>
      <c r="E634" s="3">
        <f>C634 - D634</f>
        <v>1</v>
      </c>
    </row>
    <row r="635" spans="2:5" x14ac:dyDescent="0.35">
      <c r="B635" s="38">
        <v>37136</v>
      </c>
      <c r="C635" s="3">
        <v>1</v>
      </c>
      <c r="D635" s="3">
        <v>1</v>
      </c>
      <c r="E635" s="3">
        <f>C635 - D635</f>
        <v>0</v>
      </c>
    </row>
    <row r="636" spans="2:5" x14ac:dyDescent="0.35">
      <c r="B636" s="38">
        <v>37137</v>
      </c>
      <c r="C636" s="3">
        <v>0</v>
      </c>
      <c r="D636" s="3">
        <v>1</v>
      </c>
      <c r="E636" s="3">
        <f>C636 - D636</f>
        <v>-1</v>
      </c>
    </row>
    <row r="637" spans="2:5" x14ac:dyDescent="0.35">
      <c r="B637" s="38">
        <v>37138</v>
      </c>
      <c r="C637" s="3">
        <v>1</v>
      </c>
      <c r="D637" s="3">
        <v>0</v>
      </c>
      <c r="E637" s="3">
        <f>C637 - D637</f>
        <v>1</v>
      </c>
    </row>
    <row r="638" spans="2:5" x14ac:dyDescent="0.35">
      <c r="B638" s="38">
        <v>37139</v>
      </c>
      <c r="C638" s="3">
        <v>1</v>
      </c>
      <c r="D638" s="3">
        <v>1</v>
      </c>
      <c r="E638" s="3">
        <f>C638 - D638</f>
        <v>0</v>
      </c>
    </row>
    <row r="639" spans="2:5" x14ac:dyDescent="0.35">
      <c r="B639" s="38">
        <v>37140</v>
      </c>
      <c r="C639" s="3">
        <v>0</v>
      </c>
      <c r="D639" s="3">
        <v>1</v>
      </c>
      <c r="E639" s="3">
        <f>C639 - D639</f>
        <v>-1</v>
      </c>
    </row>
    <row r="640" spans="2:5" x14ac:dyDescent="0.35">
      <c r="B640" s="38">
        <v>37141</v>
      </c>
      <c r="C640" s="3">
        <v>0</v>
      </c>
      <c r="D640" s="3">
        <v>0</v>
      </c>
      <c r="E640" s="3">
        <f>C640 - D640</f>
        <v>0</v>
      </c>
    </row>
    <row r="641" spans="2:5" x14ac:dyDescent="0.35">
      <c r="B641" s="38">
        <v>37142</v>
      </c>
      <c r="C641" s="3">
        <v>1</v>
      </c>
      <c r="D641" s="3">
        <v>0</v>
      </c>
      <c r="E641" s="3">
        <f>C641 - D641</f>
        <v>1</v>
      </c>
    </row>
    <row r="642" spans="2:5" x14ac:dyDescent="0.35">
      <c r="B642" s="38">
        <v>37143</v>
      </c>
      <c r="C642" s="3">
        <v>1</v>
      </c>
      <c r="D642" s="3">
        <v>1</v>
      </c>
      <c r="E642" s="3">
        <f>C642 - D642</f>
        <v>0</v>
      </c>
    </row>
    <row r="643" spans="2:5" x14ac:dyDescent="0.35">
      <c r="B643" s="38">
        <v>37144</v>
      </c>
      <c r="C643" s="3">
        <v>0</v>
      </c>
      <c r="D643" s="3">
        <v>1</v>
      </c>
      <c r="E643" s="3">
        <f>C643 - D643</f>
        <v>-1</v>
      </c>
    </row>
    <row r="644" spans="2:5" x14ac:dyDescent="0.35">
      <c r="B644" s="38">
        <v>37145</v>
      </c>
      <c r="C644" s="3">
        <v>0</v>
      </c>
      <c r="D644" s="3">
        <v>0</v>
      </c>
      <c r="E644" s="3">
        <f>C644 - D644</f>
        <v>0</v>
      </c>
    </row>
    <row r="645" spans="2:5" x14ac:dyDescent="0.35">
      <c r="B645" s="38">
        <v>37146</v>
      </c>
      <c r="C645" s="3">
        <v>0</v>
      </c>
      <c r="D645" s="3">
        <v>0</v>
      </c>
      <c r="E645" s="3">
        <f>C645 - D645</f>
        <v>0</v>
      </c>
    </row>
    <row r="646" spans="2:5" x14ac:dyDescent="0.35">
      <c r="B646" s="38">
        <v>37147</v>
      </c>
      <c r="C646" s="3">
        <v>0</v>
      </c>
      <c r="D646" s="3">
        <v>0</v>
      </c>
      <c r="E646" s="3">
        <f>C646 - D646</f>
        <v>0</v>
      </c>
    </row>
    <row r="647" spans="2:5" x14ac:dyDescent="0.35">
      <c r="B647" s="38">
        <v>37148</v>
      </c>
      <c r="C647" s="3">
        <v>0</v>
      </c>
      <c r="D647" s="3">
        <v>0</v>
      </c>
      <c r="E647" s="3">
        <f>C647 - D647</f>
        <v>0</v>
      </c>
    </row>
    <row r="648" spans="2:5" x14ac:dyDescent="0.35">
      <c r="B648" s="38">
        <v>37149</v>
      </c>
      <c r="C648" s="3">
        <v>0</v>
      </c>
      <c r="D648" s="3">
        <v>0</v>
      </c>
      <c r="E648" s="3">
        <f>C648 - D648</f>
        <v>0</v>
      </c>
    </row>
    <row r="649" spans="2:5" x14ac:dyDescent="0.35">
      <c r="B649" s="38">
        <v>37150</v>
      </c>
      <c r="C649" s="3">
        <v>0</v>
      </c>
      <c r="D649" s="3">
        <v>0</v>
      </c>
      <c r="E649" s="3">
        <f>C649 - D649</f>
        <v>0</v>
      </c>
    </row>
    <row r="650" spans="2:5" x14ac:dyDescent="0.35">
      <c r="B650" s="38">
        <v>37151</v>
      </c>
      <c r="C650" s="3">
        <v>0</v>
      </c>
      <c r="D650" s="3">
        <v>0</v>
      </c>
      <c r="E650" s="3">
        <f>C650 - D650</f>
        <v>0</v>
      </c>
    </row>
    <row r="651" spans="2:5" x14ac:dyDescent="0.35">
      <c r="B651" s="38">
        <v>37152</v>
      </c>
      <c r="C651" s="3">
        <v>0</v>
      </c>
      <c r="D651" s="3">
        <v>0</v>
      </c>
      <c r="E651" s="3">
        <f>C651 - D651</f>
        <v>0</v>
      </c>
    </row>
    <row r="652" spans="2:5" x14ac:dyDescent="0.35">
      <c r="B652" s="38">
        <v>37153</v>
      </c>
      <c r="C652" s="3">
        <v>0</v>
      </c>
      <c r="D652" s="3">
        <v>0</v>
      </c>
      <c r="E652" s="3">
        <f>C652 - D652</f>
        <v>0</v>
      </c>
    </row>
    <row r="653" spans="2:5" x14ac:dyDescent="0.35">
      <c r="B653" s="38">
        <v>37154</v>
      </c>
      <c r="C653" s="3">
        <v>0</v>
      </c>
      <c r="D653" s="3">
        <v>0</v>
      </c>
      <c r="E653" s="3">
        <f>C653 - D653</f>
        <v>0</v>
      </c>
    </row>
    <row r="654" spans="2:5" x14ac:dyDescent="0.35">
      <c r="B654" s="38">
        <v>37155</v>
      </c>
      <c r="C654" s="3">
        <v>0</v>
      </c>
      <c r="D654" s="3">
        <v>0</v>
      </c>
      <c r="E654" s="3">
        <f>C654 - D654</f>
        <v>0</v>
      </c>
    </row>
    <row r="655" spans="2:5" x14ac:dyDescent="0.35">
      <c r="B655" s="38">
        <v>37156</v>
      </c>
      <c r="C655" s="3">
        <v>0</v>
      </c>
      <c r="D655" s="3">
        <v>0</v>
      </c>
      <c r="E655" s="3">
        <f>C655 - D655</f>
        <v>0</v>
      </c>
    </row>
    <row r="656" spans="2:5" x14ac:dyDescent="0.35">
      <c r="B656" s="38">
        <v>37157</v>
      </c>
      <c r="C656" s="3">
        <v>1</v>
      </c>
      <c r="D656" s="3">
        <v>0</v>
      </c>
      <c r="E656" s="3">
        <f>C656 - D656</f>
        <v>1</v>
      </c>
    </row>
    <row r="657" spans="2:5" x14ac:dyDescent="0.35">
      <c r="B657" s="38">
        <v>37158</v>
      </c>
      <c r="C657" s="3">
        <v>0</v>
      </c>
      <c r="D657" s="3">
        <v>1</v>
      </c>
      <c r="E657" s="3">
        <f>C657 - D657</f>
        <v>-1</v>
      </c>
    </row>
    <row r="658" spans="2:5" x14ac:dyDescent="0.35">
      <c r="B658" s="38">
        <v>37159</v>
      </c>
      <c r="C658" s="3">
        <v>1</v>
      </c>
      <c r="D658" s="3">
        <v>0</v>
      </c>
      <c r="E658" s="3">
        <f>C658 - D658</f>
        <v>1</v>
      </c>
    </row>
    <row r="659" spans="2:5" x14ac:dyDescent="0.35">
      <c r="B659" s="38">
        <v>37160</v>
      </c>
      <c r="C659" s="3">
        <v>1</v>
      </c>
      <c r="D659" s="3">
        <v>1</v>
      </c>
      <c r="E659" s="3">
        <f>C659 - D659</f>
        <v>0</v>
      </c>
    </row>
    <row r="660" spans="2:5" x14ac:dyDescent="0.35">
      <c r="B660" s="38">
        <v>37161</v>
      </c>
      <c r="C660" s="3">
        <v>0</v>
      </c>
      <c r="D660" s="3">
        <v>1</v>
      </c>
      <c r="E660" s="3">
        <f>C660 - D660</f>
        <v>-1</v>
      </c>
    </row>
    <row r="661" spans="2:5" x14ac:dyDescent="0.35">
      <c r="B661" s="38">
        <v>37162</v>
      </c>
      <c r="C661" s="3">
        <v>0</v>
      </c>
      <c r="D661" s="3">
        <v>0</v>
      </c>
      <c r="E661" s="3">
        <f>C661 - D661</f>
        <v>0</v>
      </c>
    </row>
    <row r="662" spans="2:5" x14ac:dyDescent="0.35">
      <c r="B662" s="38">
        <v>37163</v>
      </c>
      <c r="C662" s="3">
        <v>0</v>
      </c>
      <c r="D662" s="3">
        <v>0</v>
      </c>
      <c r="E662" s="3">
        <f>C662 - D662</f>
        <v>0</v>
      </c>
    </row>
    <row r="663" spans="2:5" x14ac:dyDescent="0.35">
      <c r="B663" s="38">
        <v>37164</v>
      </c>
      <c r="C663" s="3">
        <v>0</v>
      </c>
      <c r="D663" s="3">
        <v>0</v>
      </c>
      <c r="E663" s="3">
        <f>C663 - D663</f>
        <v>0</v>
      </c>
    </row>
    <row r="664" spans="2:5" x14ac:dyDescent="0.35">
      <c r="B664" s="38">
        <v>37165</v>
      </c>
      <c r="C664" s="3">
        <v>1</v>
      </c>
      <c r="D664" s="3">
        <v>0</v>
      </c>
      <c r="E664" s="3">
        <f>C664 - D664</f>
        <v>1</v>
      </c>
    </row>
    <row r="665" spans="2:5" x14ac:dyDescent="0.35">
      <c r="B665" s="38">
        <v>37166</v>
      </c>
      <c r="C665" s="3">
        <v>0</v>
      </c>
      <c r="D665" s="3">
        <v>1</v>
      </c>
      <c r="E665" s="3">
        <f>C665 - D665</f>
        <v>-1</v>
      </c>
    </row>
    <row r="666" spans="2:5" x14ac:dyDescent="0.35">
      <c r="B666" s="38">
        <v>37167</v>
      </c>
      <c r="C666" s="3">
        <v>1</v>
      </c>
      <c r="D666" s="3">
        <v>0</v>
      </c>
      <c r="E666" s="3">
        <f>C666 - D666</f>
        <v>1</v>
      </c>
    </row>
    <row r="667" spans="2:5" x14ac:dyDescent="0.35">
      <c r="B667" s="38">
        <v>37168</v>
      </c>
      <c r="C667" s="3">
        <v>1</v>
      </c>
      <c r="D667" s="3">
        <v>1</v>
      </c>
      <c r="E667" s="3">
        <f>C667 - D667</f>
        <v>0</v>
      </c>
    </row>
    <row r="668" spans="2:5" x14ac:dyDescent="0.35">
      <c r="B668" s="38">
        <v>37169</v>
      </c>
      <c r="C668" s="3">
        <v>1</v>
      </c>
      <c r="D668" s="3">
        <v>1</v>
      </c>
      <c r="E668" s="3">
        <f>C668 - D668</f>
        <v>0</v>
      </c>
    </row>
    <row r="669" spans="2:5" x14ac:dyDescent="0.35">
      <c r="B669" s="38">
        <v>37170</v>
      </c>
      <c r="C669" s="3">
        <v>1</v>
      </c>
      <c r="D669" s="3">
        <v>1</v>
      </c>
      <c r="E669" s="3">
        <f>C669 - D669</f>
        <v>0</v>
      </c>
    </row>
    <row r="670" spans="2:5" x14ac:dyDescent="0.35">
      <c r="B670" s="38">
        <v>37171</v>
      </c>
      <c r="C670" s="3">
        <v>1</v>
      </c>
      <c r="D670" s="3">
        <v>1</v>
      </c>
      <c r="E670" s="3">
        <f>C670 - D670</f>
        <v>0</v>
      </c>
    </row>
    <row r="671" spans="2:5" x14ac:dyDescent="0.35">
      <c r="B671" s="38">
        <v>37172</v>
      </c>
      <c r="C671" s="3">
        <v>1</v>
      </c>
      <c r="D671" s="3">
        <v>1</v>
      </c>
      <c r="E671" s="3">
        <f>C671 - D671</f>
        <v>0</v>
      </c>
    </row>
    <row r="672" spans="2:5" x14ac:dyDescent="0.35">
      <c r="B672" s="38">
        <v>37173</v>
      </c>
      <c r="C672" s="3">
        <v>0</v>
      </c>
      <c r="D672" s="3">
        <v>1</v>
      </c>
      <c r="E672" s="3">
        <f>C672 - D672</f>
        <v>-1</v>
      </c>
    </row>
    <row r="673" spans="2:5" x14ac:dyDescent="0.35">
      <c r="B673" s="38">
        <v>37174</v>
      </c>
      <c r="C673" s="3">
        <v>0</v>
      </c>
      <c r="D673" s="3">
        <v>0</v>
      </c>
      <c r="E673" s="3">
        <f>C673 - D673</f>
        <v>0</v>
      </c>
    </row>
    <row r="674" spans="2:5" x14ac:dyDescent="0.35">
      <c r="B674" s="38">
        <v>37175</v>
      </c>
      <c r="C674" s="3">
        <v>0</v>
      </c>
      <c r="D674" s="3">
        <v>0</v>
      </c>
      <c r="E674" s="3">
        <f>C674 - D674</f>
        <v>0</v>
      </c>
    </row>
    <row r="675" spans="2:5" x14ac:dyDescent="0.35">
      <c r="B675" s="38">
        <v>37176</v>
      </c>
      <c r="C675" s="3">
        <v>1</v>
      </c>
      <c r="D675" s="3">
        <v>0</v>
      </c>
      <c r="E675" s="3">
        <f>C675 - D675</f>
        <v>1</v>
      </c>
    </row>
    <row r="676" spans="2:5" x14ac:dyDescent="0.35">
      <c r="B676" s="38">
        <v>37177</v>
      </c>
      <c r="C676" s="3">
        <v>1</v>
      </c>
      <c r="D676" s="3">
        <v>1</v>
      </c>
      <c r="E676" s="3">
        <f>C676 - D676</f>
        <v>0</v>
      </c>
    </row>
    <row r="677" spans="2:5" x14ac:dyDescent="0.35">
      <c r="B677" s="38">
        <v>37178</v>
      </c>
      <c r="C677" s="3">
        <v>1</v>
      </c>
      <c r="D677" s="3">
        <v>1</v>
      </c>
      <c r="E677" s="3">
        <f>C677 - D677</f>
        <v>0</v>
      </c>
    </row>
    <row r="678" spans="2:5" x14ac:dyDescent="0.35">
      <c r="B678" s="38">
        <v>37179</v>
      </c>
      <c r="C678" s="3">
        <v>0</v>
      </c>
      <c r="D678" s="3">
        <v>1</v>
      </c>
      <c r="E678" s="3">
        <f>C678 - D678</f>
        <v>-1</v>
      </c>
    </row>
    <row r="679" spans="2:5" x14ac:dyDescent="0.35">
      <c r="B679" s="38">
        <v>37180</v>
      </c>
      <c r="C679" s="3">
        <v>1</v>
      </c>
      <c r="D679" s="3">
        <v>0</v>
      </c>
      <c r="E679" s="3">
        <f>C679 - D679</f>
        <v>1</v>
      </c>
    </row>
    <row r="680" spans="2:5" x14ac:dyDescent="0.35">
      <c r="B680" s="38">
        <v>37181</v>
      </c>
      <c r="C680" s="3">
        <v>0</v>
      </c>
      <c r="D680" s="3">
        <v>1</v>
      </c>
      <c r="E680" s="3">
        <f>C680 - D680</f>
        <v>-1</v>
      </c>
    </row>
    <row r="681" spans="2:5" x14ac:dyDescent="0.35">
      <c r="B681" s="38">
        <v>37182</v>
      </c>
      <c r="C681" s="3">
        <v>1</v>
      </c>
      <c r="D681" s="3">
        <v>0</v>
      </c>
      <c r="E681" s="3">
        <f>C681 - D681</f>
        <v>1</v>
      </c>
    </row>
    <row r="682" spans="2:5" x14ac:dyDescent="0.35">
      <c r="B682" s="38">
        <v>37183</v>
      </c>
      <c r="C682" s="3">
        <v>1</v>
      </c>
      <c r="D682" s="3">
        <v>1</v>
      </c>
      <c r="E682" s="3">
        <f>C682 - D682</f>
        <v>0</v>
      </c>
    </row>
    <row r="683" spans="2:5" x14ac:dyDescent="0.35">
      <c r="B683" s="38">
        <v>37184</v>
      </c>
      <c r="C683" s="3">
        <v>1</v>
      </c>
      <c r="D683" s="3">
        <v>1</v>
      </c>
      <c r="E683" s="3">
        <f>C683 - D683</f>
        <v>0</v>
      </c>
    </row>
    <row r="684" spans="2:5" x14ac:dyDescent="0.35">
      <c r="B684" s="38">
        <v>37185</v>
      </c>
      <c r="C684" s="3">
        <v>0</v>
      </c>
      <c r="D684" s="3">
        <v>1</v>
      </c>
      <c r="E684" s="3">
        <f>C684 - D684</f>
        <v>-1</v>
      </c>
    </row>
    <row r="685" spans="2:5" x14ac:dyDescent="0.35">
      <c r="B685" s="38">
        <v>37186</v>
      </c>
      <c r="C685" s="3">
        <v>0</v>
      </c>
      <c r="D685" s="3">
        <v>0</v>
      </c>
      <c r="E685" s="3">
        <f>C685 - D685</f>
        <v>0</v>
      </c>
    </row>
    <row r="686" spans="2:5" x14ac:dyDescent="0.35">
      <c r="B686" s="38">
        <v>37187</v>
      </c>
      <c r="C686" s="3">
        <v>0</v>
      </c>
      <c r="D686" s="3">
        <v>0</v>
      </c>
      <c r="E686" s="3">
        <f>C686 - D686</f>
        <v>0</v>
      </c>
    </row>
    <row r="687" spans="2:5" x14ac:dyDescent="0.35">
      <c r="B687" s="38">
        <v>37188</v>
      </c>
      <c r="C687" s="3">
        <v>1</v>
      </c>
      <c r="D687" s="3">
        <v>0</v>
      </c>
      <c r="E687" s="3">
        <f>C687 - D687</f>
        <v>1</v>
      </c>
    </row>
    <row r="688" spans="2:5" x14ac:dyDescent="0.35">
      <c r="B688" s="38">
        <v>37189</v>
      </c>
      <c r="C688" s="3">
        <v>0</v>
      </c>
      <c r="D688" s="3">
        <v>1</v>
      </c>
      <c r="E688" s="3">
        <f>C688 - D688</f>
        <v>-1</v>
      </c>
    </row>
    <row r="689" spans="2:5" x14ac:dyDescent="0.35">
      <c r="B689" s="38">
        <v>37190</v>
      </c>
      <c r="C689" s="3">
        <v>1</v>
      </c>
      <c r="D689" s="3">
        <v>0</v>
      </c>
      <c r="E689" s="3">
        <f>C689 - D689</f>
        <v>1</v>
      </c>
    </row>
    <row r="690" spans="2:5" x14ac:dyDescent="0.35">
      <c r="B690" s="38">
        <v>37191</v>
      </c>
      <c r="C690" s="3">
        <v>1</v>
      </c>
      <c r="D690" s="3">
        <v>1</v>
      </c>
      <c r="E690" s="3">
        <f>C690 - D690</f>
        <v>0</v>
      </c>
    </row>
    <row r="691" spans="2:5" x14ac:dyDescent="0.35">
      <c r="B691" s="38">
        <v>37192</v>
      </c>
      <c r="C691" s="3">
        <v>1</v>
      </c>
      <c r="D691" s="3">
        <v>1</v>
      </c>
      <c r="E691" s="3">
        <f>C691 - D691</f>
        <v>0</v>
      </c>
    </row>
    <row r="692" spans="2:5" x14ac:dyDescent="0.35">
      <c r="B692" s="38">
        <v>37193</v>
      </c>
      <c r="C692" s="3">
        <v>0</v>
      </c>
      <c r="D692" s="3">
        <v>1</v>
      </c>
      <c r="E692" s="3">
        <f>C692 - D692</f>
        <v>-1</v>
      </c>
    </row>
    <row r="693" spans="2:5" x14ac:dyDescent="0.35">
      <c r="B693" s="38">
        <v>37194</v>
      </c>
      <c r="C693" s="3">
        <v>1</v>
      </c>
      <c r="D693" s="3">
        <v>0</v>
      </c>
      <c r="E693" s="3">
        <f>C693 - D693</f>
        <v>1</v>
      </c>
    </row>
    <row r="694" spans="2:5" x14ac:dyDescent="0.35">
      <c r="B694" s="38">
        <v>37195</v>
      </c>
      <c r="C694" s="3">
        <v>1</v>
      </c>
      <c r="D694" s="3">
        <v>1</v>
      </c>
      <c r="E694" s="3">
        <f>C694 - D694</f>
        <v>0</v>
      </c>
    </row>
    <row r="695" spans="2:5" x14ac:dyDescent="0.35">
      <c r="B695" s="38">
        <v>37196</v>
      </c>
      <c r="C695" s="3">
        <v>1</v>
      </c>
      <c r="D695" s="3">
        <v>1</v>
      </c>
      <c r="E695" s="3">
        <f>C695 - D695</f>
        <v>0</v>
      </c>
    </row>
    <row r="696" spans="2:5" x14ac:dyDescent="0.35">
      <c r="B696" s="38">
        <v>37197</v>
      </c>
      <c r="C696" s="3">
        <v>0</v>
      </c>
      <c r="D696" s="3">
        <v>1</v>
      </c>
      <c r="E696" s="3">
        <f>C696 - D696</f>
        <v>-1</v>
      </c>
    </row>
    <row r="697" spans="2:5" x14ac:dyDescent="0.35">
      <c r="B697" s="38">
        <v>37198</v>
      </c>
      <c r="C697" s="3">
        <v>0</v>
      </c>
      <c r="D697" s="3">
        <v>0</v>
      </c>
      <c r="E697" s="3">
        <f>C697 - D697</f>
        <v>0</v>
      </c>
    </row>
    <row r="698" spans="2:5" x14ac:dyDescent="0.35">
      <c r="B698" s="38">
        <v>37199</v>
      </c>
      <c r="C698" s="3">
        <v>0</v>
      </c>
      <c r="D698" s="3">
        <v>0</v>
      </c>
      <c r="E698" s="3">
        <f>C698 - D698</f>
        <v>0</v>
      </c>
    </row>
    <row r="699" spans="2:5" x14ac:dyDescent="0.35">
      <c r="B699" s="38">
        <v>37200</v>
      </c>
      <c r="C699" s="3">
        <v>0</v>
      </c>
      <c r="D699" s="3">
        <v>0</v>
      </c>
      <c r="E699" s="3">
        <f>C699 - D699</f>
        <v>0</v>
      </c>
    </row>
    <row r="700" spans="2:5" x14ac:dyDescent="0.35">
      <c r="B700" s="38">
        <v>37201</v>
      </c>
      <c r="C700" s="3">
        <v>1</v>
      </c>
      <c r="D700" s="3">
        <v>0</v>
      </c>
      <c r="E700" s="3">
        <f>C700 - D700</f>
        <v>1</v>
      </c>
    </row>
    <row r="701" spans="2:5" x14ac:dyDescent="0.35">
      <c r="B701" s="38">
        <v>37202</v>
      </c>
      <c r="C701" s="3">
        <v>1</v>
      </c>
      <c r="D701" s="3">
        <v>1</v>
      </c>
      <c r="E701" s="3">
        <f>C701 - D701</f>
        <v>0</v>
      </c>
    </row>
    <row r="702" spans="2:5" x14ac:dyDescent="0.35">
      <c r="B702" s="38">
        <v>37203</v>
      </c>
      <c r="C702" s="3">
        <v>1</v>
      </c>
      <c r="D702" s="3">
        <v>1</v>
      </c>
      <c r="E702" s="3">
        <f>C702 - D702</f>
        <v>0</v>
      </c>
    </row>
    <row r="703" spans="2:5" x14ac:dyDescent="0.35">
      <c r="B703" s="38">
        <v>37204</v>
      </c>
      <c r="C703" s="3">
        <v>1</v>
      </c>
      <c r="D703" s="3">
        <v>1</v>
      </c>
      <c r="E703" s="3">
        <f>C703 - D703</f>
        <v>0</v>
      </c>
    </row>
    <row r="704" spans="2:5" x14ac:dyDescent="0.35">
      <c r="B704" s="38">
        <v>37205</v>
      </c>
      <c r="C704" s="3">
        <v>0</v>
      </c>
      <c r="D704" s="3">
        <v>1</v>
      </c>
      <c r="E704" s="3">
        <f>C704 - D704</f>
        <v>-1</v>
      </c>
    </row>
    <row r="705" spans="2:5" x14ac:dyDescent="0.35">
      <c r="B705" s="38">
        <v>37206</v>
      </c>
      <c r="C705" s="3">
        <v>1</v>
      </c>
      <c r="D705" s="3">
        <v>0</v>
      </c>
      <c r="E705" s="3">
        <f>C705 - D705</f>
        <v>1</v>
      </c>
    </row>
    <row r="706" spans="2:5" x14ac:dyDescent="0.35">
      <c r="B706" s="38">
        <v>37207</v>
      </c>
      <c r="C706" s="3">
        <v>1</v>
      </c>
      <c r="D706" s="3">
        <v>1</v>
      </c>
      <c r="E706" s="3">
        <f>C706 - D706</f>
        <v>0</v>
      </c>
    </row>
    <row r="707" spans="2:5" x14ac:dyDescent="0.35">
      <c r="B707" s="38">
        <v>37208</v>
      </c>
      <c r="C707" s="3">
        <v>1</v>
      </c>
      <c r="D707" s="3">
        <v>1</v>
      </c>
      <c r="E707" s="3">
        <f>C707 - D707</f>
        <v>0</v>
      </c>
    </row>
    <row r="708" spans="2:5" x14ac:dyDescent="0.35">
      <c r="B708" s="38">
        <v>37209</v>
      </c>
      <c r="C708" s="3">
        <v>0</v>
      </c>
      <c r="D708" s="3">
        <v>1</v>
      </c>
      <c r="E708" s="3">
        <f>C708 - D708</f>
        <v>-1</v>
      </c>
    </row>
    <row r="709" spans="2:5" x14ac:dyDescent="0.35">
      <c r="B709" s="38">
        <v>37210</v>
      </c>
      <c r="C709" s="3">
        <v>0</v>
      </c>
      <c r="D709" s="3">
        <v>0</v>
      </c>
      <c r="E709" s="3">
        <f>C709 - D709</f>
        <v>0</v>
      </c>
    </row>
    <row r="710" spans="2:5" x14ac:dyDescent="0.35">
      <c r="B710" s="38">
        <v>37211</v>
      </c>
      <c r="C710" s="3">
        <v>0</v>
      </c>
      <c r="D710" s="3">
        <v>0</v>
      </c>
      <c r="E710" s="3">
        <f>C710 - D710</f>
        <v>0</v>
      </c>
    </row>
    <row r="711" spans="2:5" x14ac:dyDescent="0.35">
      <c r="B711" s="38">
        <v>37212</v>
      </c>
      <c r="C711" s="3">
        <v>0</v>
      </c>
      <c r="D711" s="3">
        <v>0</v>
      </c>
      <c r="E711" s="3">
        <f>C711 - D711</f>
        <v>0</v>
      </c>
    </row>
    <row r="712" spans="2:5" x14ac:dyDescent="0.35">
      <c r="B712" s="38">
        <v>37213</v>
      </c>
      <c r="C712" s="3">
        <v>1</v>
      </c>
      <c r="D712" s="3">
        <v>0</v>
      </c>
      <c r="E712" s="3">
        <f>C712 - D712</f>
        <v>1</v>
      </c>
    </row>
    <row r="713" spans="2:5" x14ac:dyDescent="0.35">
      <c r="B713" s="38">
        <v>37214</v>
      </c>
      <c r="C713" s="3">
        <v>1</v>
      </c>
      <c r="D713" s="3">
        <v>1</v>
      </c>
      <c r="E713" s="3">
        <f>C713 - D713</f>
        <v>0</v>
      </c>
    </row>
    <row r="714" spans="2:5" x14ac:dyDescent="0.35">
      <c r="B714" s="38">
        <v>37215</v>
      </c>
      <c r="C714" s="3">
        <v>0</v>
      </c>
      <c r="D714" s="3">
        <v>1</v>
      </c>
      <c r="E714" s="3">
        <f>C714 - D714</f>
        <v>-1</v>
      </c>
    </row>
    <row r="715" spans="2:5" x14ac:dyDescent="0.35">
      <c r="B715" s="38">
        <v>37216</v>
      </c>
      <c r="C715" s="3">
        <v>0</v>
      </c>
      <c r="D715" s="3">
        <v>0</v>
      </c>
      <c r="E715" s="3">
        <f>C715 - D715</f>
        <v>0</v>
      </c>
    </row>
    <row r="716" spans="2:5" x14ac:dyDescent="0.35">
      <c r="B716" s="38">
        <v>37217</v>
      </c>
      <c r="C716" s="3">
        <v>0</v>
      </c>
      <c r="D716" s="3">
        <v>0</v>
      </c>
      <c r="E716" s="3">
        <f>C716 - D716</f>
        <v>0</v>
      </c>
    </row>
    <row r="717" spans="2:5" x14ac:dyDescent="0.35">
      <c r="B717" s="38">
        <v>37218</v>
      </c>
      <c r="C717" s="3">
        <v>0</v>
      </c>
      <c r="D717" s="3">
        <v>0</v>
      </c>
      <c r="E717" s="3">
        <f>C717 - D717</f>
        <v>0</v>
      </c>
    </row>
    <row r="718" spans="2:5" x14ac:dyDescent="0.35">
      <c r="B718" s="38">
        <v>37219</v>
      </c>
      <c r="C718" s="3">
        <v>1</v>
      </c>
      <c r="D718" s="3">
        <v>0</v>
      </c>
      <c r="E718" s="3">
        <f>C718 - D718</f>
        <v>1</v>
      </c>
    </row>
    <row r="719" spans="2:5" x14ac:dyDescent="0.35">
      <c r="B719" s="38">
        <v>37220</v>
      </c>
      <c r="C719" s="3">
        <v>1</v>
      </c>
      <c r="D719" s="3">
        <v>1</v>
      </c>
      <c r="E719" s="3">
        <f>C719 - D719</f>
        <v>0</v>
      </c>
    </row>
    <row r="720" spans="2:5" x14ac:dyDescent="0.35">
      <c r="B720" s="38">
        <v>37221</v>
      </c>
      <c r="C720" s="3">
        <v>1</v>
      </c>
      <c r="D720" s="3">
        <v>1</v>
      </c>
      <c r="E720" s="3">
        <f>C720 - D720</f>
        <v>0</v>
      </c>
    </row>
    <row r="721" spans="2:5" x14ac:dyDescent="0.35">
      <c r="B721" s="38">
        <v>37222</v>
      </c>
      <c r="C721" s="3">
        <v>1</v>
      </c>
      <c r="D721" s="3">
        <v>1</v>
      </c>
      <c r="E721" s="3">
        <f>C721 - D721</f>
        <v>0</v>
      </c>
    </row>
    <row r="722" spans="2:5" x14ac:dyDescent="0.35">
      <c r="B722" s="38">
        <v>37223</v>
      </c>
      <c r="C722" s="3">
        <v>0</v>
      </c>
      <c r="D722" s="3">
        <v>1</v>
      </c>
      <c r="E722" s="3">
        <f>C722 - D722</f>
        <v>-1</v>
      </c>
    </row>
    <row r="723" spans="2:5" x14ac:dyDescent="0.35">
      <c r="B723" s="38">
        <v>37224</v>
      </c>
      <c r="C723" s="3">
        <v>0</v>
      </c>
      <c r="D723" s="3">
        <v>0</v>
      </c>
      <c r="E723" s="3">
        <f>C723 - D723</f>
        <v>0</v>
      </c>
    </row>
    <row r="724" spans="2:5" x14ac:dyDescent="0.35">
      <c r="B724" s="38">
        <v>37225</v>
      </c>
      <c r="C724" s="3">
        <v>1</v>
      </c>
      <c r="D724" s="3">
        <v>0</v>
      </c>
      <c r="E724" s="3">
        <f>C724 - D724</f>
        <v>1</v>
      </c>
    </row>
    <row r="725" spans="2:5" x14ac:dyDescent="0.35">
      <c r="B725" s="38">
        <v>37226</v>
      </c>
      <c r="C725" s="3">
        <v>1</v>
      </c>
      <c r="D725" s="3">
        <v>1</v>
      </c>
      <c r="E725" s="3">
        <f>C725 - D725</f>
        <v>0</v>
      </c>
    </row>
    <row r="726" spans="2:5" x14ac:dyDescent="0.35">
      <c r="B726" s="38">
        <v>37227</v>
      </c>
      <c r="C726" s="3">
        <v>0</v>
      </c>
      <c r="D726" s="3">
        <v>1</v>
      </c>
      <c r="E726" s="3">
        <f>C726 - D726</f>
        <v>-1</v>
      </c>
    </row>
    <row r="727" spans="2:5" x14ac:dyDescent="0.35">
      <c r="B727" s="38">
        <v>37228</v>
      </c>
      <c r="C727" s="3">
        <v>1</v>
      </c>
      <c r="D727" s="3">
        <v>0</v>
      </c>
      <c r="E727" s="3">
        <f>C727 - D727</f>
        <v>1</v>
      </c>
    </row>
    <row r="728" spans="2:5" x14ac:dyDescent="0.35">
      <c r="B728" s="38">
        <v>37229</v>
      </c>
      <c r="C728" s="3">
        <v>1</v>
      </c>
      <c r="D728" s="3">
        <v>1</v>
      </c>
      <c r="E728" s="3">
        <f>C728 - D728</f>
        <v>0</v>
      </c>
    </row>
    <row r="729" spans="2:5" x14ac:dyDescent="0.35">
      <c r="B729" s="38">
        <v>37230</v>
      </c>
      <c r="C729" s="3">
        <v>0</v>
      </c>
      <c r="D729" s="3">
        <v>1</v>
      </c>
      <c r="E729" s="3">
        <f>C729 - D729</f>
        <v>-1</v>
      </c>
    </row>
    <row r="730" spans="2:5" x14ac:dyDescent="0.35">
      <c r="B730" s="38">
        <v>37231</v>
      </c>
      <c r="C730" s="3">
        <v>0</v>
      </c>
      <c r="D730" s="3">
        <v>0</v>
      </c>
      <c r="E730" s="3">
        <f>C730 - D730</f>
        <v>0</v>
      </c>
    </row>
    <row r="731" spans="2:5" x14ac:dyDescent="0.35">
      <c r="B731" s="38">
        <v>37232</v>
      </c>
      <c r="C731" s="3">
        <v>1</v>
      </c>
      <c r="D731" s="3">
        <v>0</v>
      </c>
      <c r="E731" s="3">
        <f>C731 - D731</f>
        <v>1</v>
      </c>
    </row>
    <row r="732" spans="2:5" x14ac:dyDescent="0.35">
      <c r="B732" s="38">
        <v>37233</v>
      </c>
      <c r="C732" s="3">
        <v>1</v>
      </c>
      <c r="D732" s="3">
        <v>1</v>
      </c>
      <c r="E732" s="3">
        <f>C732 - D732</f>
        <v>0</v>
      </c>
    </row>
    <row r="733" spans="2:5" x14ac:dyDescent="0.35">
      <c r="B733" s="38">
        <v>37234</v>
      </c>
      <c r="C733" s="3">
        <v>0</v>
      </c>
      <c r="D733" s="3">
        <v>1</v>
      </c>
      <c r="E733" s="3">
        <f>C733 - D733</f>
        <v>-1</v>
      </c>
    </row>
    <row r="734" spans="2:5" x14ac:dyDescent="0.35">
      <c r="B734" s="38">
        <v>37235</v>
      </c>
      <c r="C734" s="3">
        <v>0</v>
      </c>
      <c r="D734" s="3">
        <v>0</v>
      </c>
      <c r="E734" s="3">
        <f>C734 - D734</f>
        <v>0</v>
      </c>
    </row>
    <row r="735" spans="2:5" x14ac:dyDescent="0.35">
      <c r="B735" s="38">
        <v>37236</v>
      </c>
      <c r="C735" s="3">
        <v>1</v>
      </c>
      <c r="D735" s="3">
        <v>0</v>
      </c>
      <c r="E735" s="3">
        <f>C735 - D735</f>
        <v>1</v>
      </c>
    </row>
    <row r="736" spans="2:5" x14ac:dyDescent="0.35">
      <c r="B736" s="38">
        <v>37237</v>
      </c>
      <c r="C736" s="3">
        <v>1</v>
      </c>
      <c r="D736" s="3">
        <v>1</v>
      </c>
      <c r="E736" s="3">
        <f>C736 - D736</f>
        <v>0</v>
      </c>
    </row>
    <row r="737" spans="2:5" x14ac:dyDescent="0.35">
      <c r="B737" s="38">
        <v>37238</v>
      </c>
      <c r="C737" s="3">
        <v>1</v>
      </c>
      <c r="D737" s="3">
        <v>1</v>
      </c>
      <c r="E737" s="3">
        <f>C737 - D737</f>
        <v>0</v>
      </c>
    </row>
    <row r="738" spans="2:5" x14ac:dyDescent="0.35">
      <c r="B738" s="38">
        <v>37239</v>
      </c>
      <c r="C738" s="3">
        <v>0</v>
      </c>
      <c r="D738" s="3">
        <v>1</v>
      </c>
      <c r="E738" s="3">
        <f>C738 - D738</f>
        <v>-1</v>
      </c>
    </row>
    <row r="739" spans="2:5" x14ac:dyDescent="0.35">
      <c r="B739" s="38">
        <v>37240</v>
      </c>
      <c r="C739" s="3">
        <v>0</v>
      </c>
      <c r="D739" s="3">
        <v>0</v>
      </c>
      <c r="E739" s="3">
        <f>C739 - D739</f>
        <v>0</v>
      </c>
    </row>
    <row r="740" spans="2:5" x14ac:dyDescent="0.35">
      <c r="B740" s="38">
        <v>37241</v>
      </c>
      <c r="C740" s="3">
        <v>0</v>
      </c>
      <c r="D740" s="3">
        <v>0</v>
      </c>
      <c r="E740" s="3">
        <f>C740 - D740</f>
        <v>0</v>
      </c>
    </row>
    <row r="741" spans="2:5" x14ac:dyDescent="0.35">
      <c r="B741" s="38">
        <v>37242</v>
      </c>
      <c r="C741" s="3">
        <v>0</v>
      </c>
      <c r="D741" s="3">
        <v>0</v>
      </c>
      <c r="E741" s="3">
        <f>C741 - D741</f>
        <v>0</v>
      </c>
    </row>
    <row r="742" spans="2:5" x14ac:dyDescent="0.35">
      <c r="B742" s="38">
        <v>37243</v>
      </c>
      <c r="C742" s="3">
        <v>0</v>
      </c>
      <c r="D742" s="3">
        <v>0</v>
      </c>
      <c r="E742" s="3">
        <f>C742 - D742</f>
        <v>0</v>
      </c>
    </row>
    <row r="743" spans="2:5" x14ac:dyDescent="0.35">
      <c r="B743" s="38">
        <v>37244</v>
      </c>
      <c r="C743" s="3">
        <v>0</v>
      </c>
      <c r="D743" s="3">
        <v>0</v>
      </c>
      <c r="E743" s="3">
        <f>C743 - D743</f>
        <v>0</v>
      </c>
    </row>
    <row r="744" spans="2:5" x14ac:dyDescent="0.35">
      <c r="B744" s="38">
        <v>37245</v>
      </c>
      <c r="C744" s="3">
        <v>0</v>
      </c>
      <c r="D744" s="3">
        <v>0</v>
      </c>
      <c r="E744" s="3">
        <f>C744 - D744</f>
        <v>0</v>
      </c>
    </row>
    <row r="745" spans="2:5" x14ac:dyDescent="0.35">
      <c r="B745" s="38">
        <v>37246</v>
      </c>
      <c r="C745" s="3">
        <v>0</v>
      </c>
      <c r="D745" s="3">
        <v>0</v>
      </c>
      <c r="E745" s="3">
        <f>C745 - D745</f>
        <v>0</v>
      </c>
    </row>
    <row r="746" spans="2:5" x14ac:dyDescent="0.35">
      <c r="B746" s="38">
        <v>37247</v>
      </c>
      <c r="C746" s="3">
        <v>0</v>
      </c>
      <c r="D746" s="3">
        <v>0</v>
      </c>
      <c r="E746" s="3">
        <f>C746 - D746</f>
        <v>0</v>
      </c>
    </row>
    <row r="747" spans="2:5" x14ac:dyDescent="0.35">
      <c r="B747" s="38">
        <v>37248</v>
      </c>
      <c r="C747" s="3">
        <v>0</v>
      </c>
      <c r="D747" s="3">
        <v>0</v>
      </c>
      <c r="E747" s="3">
        <f>C747 - D747</f>
        <v>0</v>
      </c>
    </row>
    <row r="748" spans="2:5" x14ac:dyDescent="0.35">
      <c r="B748" s="38">
        <v>37249</v>
      </c>
      <c r="C748" s="3">
        <v>1</v>
      </c>
      <c r="D748" s="3">
        <v>0</v>
      </c>
      <c r="E748" s="3">
        <f>C748 - D748</f>
        <v>1</v>
      </c>
    </row>
    <row r="749" spans="2:5" x14ac:dyDescent="0.35">
      <c r="B749" s="38">
        <v>37250</v>
      </c>
      <c r="C749" s="3">
        <v>0</v>
      </c>
      <c r="D749" s="3">
        <v>1</v>
      </c>
      <c r="E749" s="3">
        <f>C749 - D749</f>
        <v>-1</v>
      </c>
    </row>
    <row r="750" spans="2:5" x14ac:dyDescent="0.35">
      <c r="B750" s="38">
        <v>37251</v>
      </c>
      <c r="C750" s="3">
        <v>1</v>
      </c>
      <c r="D750" s="3">
        <v>0</v>
      </c>
      <c r="E750" s="3">
        <f>C750 - D750</f>
        <v>1</v>
      </c>
    </row>
    <row r="751" spans="2:5" x14ac:dyDescent="0.35">
      <c r="B751" s="38">
        <v>37252</v>
      </c>
      <c r="C751" s="3">
        <v>1</v>
      </c>
      <c r="D751" s="3">
        <v>1</v>
      </c>
      <c r="E751" s="3">
        <f>C751 - D751</f>
        <v>0</v>
      </c>
    </row>
    <row r="752" spans="2:5" x14ac:dyDescent="0.35">
      <c r="B752" s="38">
        <v>37253</v>
      </c>
      <c r="C752" s="3">
        <v>1</v>
      </c>
      <c r="D752" s="3">
        <v>1</v>
      </c>
      <c r="E752" s="3">
        <f>C752 - D752</f>
        <v>0</v>
      </c>
    </row>
    <row r="753" spans="2:5" x14ac:dyDescent="0.35">
      <c r="B753" s="38">
        <v>37254</v>
      </c>
      <c r="C753" s="3">
        <v>0</v>
      </c>
      <c r="D753" s="3">
        <v>1</v>
      </c>
      <c r="E753" s="3">
        <f>C753 - D753</f>
        <v>-1</v>
      </c>
    </row>
    <row r="754" spans="2:5" x14ac:dyDescent="0.35">
      <c r="B754" s="38">
        <v>37255</v>
      </c>
      <c r="C754" s="3">
        <v>0</v>
      </c>
      <c r="D754" s="3">
        <v>0</v>
      </c>
      <c r="E754" s="3">
        <f>C754 - D754</f>
        <v>0</v>
      </c>
    </row>
    <row r="755" spans="2:5" x14ac:dyDescent="0.35">
      <c r="B755" s="38">
        <v>37256</v>
      </c>
      <c r="C755" s="3">
        <v>0</v>
      </c>
      <c r="D755" s="3">
        <v>0</v>
      </c>
      <c r="E755" s="3">
        <f>C755 - D755</f>
        <v>0</v>
      </c>
    </row>
    <row r="756" spans="2:5" x14ac:dyDescent="0.35">
      <c r="B756" s="38">
        <v>37257</v>
      </c>
      <c r="C756" s="3">
        <v>1</v>
      </c>
      <c r="D756" s="3">
        <v>0</v>
      </c>
      <c r="E756" s="3">
        <f>C756 - D756</f>
        <v>1</v>
      </c>
    </row>
    <row r="757" spans="2:5" x14ac:dyDescent="0.35">
      <c r="B757" s="38">
        <v>37258</v>
      </c>
      <c r="C757" s="3">
        <v>1</v>
      </c>
      <c r="D757" s="3">
        <v>1</v>
      </c>
      <c r="E757" s="3">
        <f>C757 - D757</f>
        <v>0</v>
      </c>
    </row>
    <row r="758" spans="2:5" x14ac:dyDescent="0.35">
      <c r="B758" s="38">
        <v>37259</v>
      </c>
      <c r="C758" s="3">
        <v>1</v>
      </c>
      <c r="D758" s="3">
        <v>1</v>
      </c>
      <c r="E758" s="3">
        <f>C758 - D758</f>
        <v>0</v>
      </c>
    </row>
    <row r="759" spans="2:5" x14ac:dyDescent="0.35">
      <c r="B759" s="38">
        <v>37260</v>
      </c>
      <c r="C759" s="3">
        <v>0</v>
      </c>
      <c r="D759" s="3">
        <v>1</v>
      </c>
      <c r="E759" s="3">
        <f>C759 - D759</f>
        <v>-1</v>
      </c>
    </row>
    <row r="760" spans="2:5" x14ac:dyDescent="0.35">
      <c r="B760" s="38">
        <v>37261</v>
      </c>
      <c r="C760" s="3">
        <v>0</v>
      </c>
      <c r="D760" s="3">
        <v>0</v>
      </c>
      <c r="E760" s="3">
        <f>C760 - D760</f>
        <v>0</v>
      </c>
    </row>
    <row r="761" spans="2:5" x14ac:dyDescent="0.35">
      <c r="B761" s="38">
        <v>37262</v>
      </c>
      <c r="C761" s="3">
        <v>0</v>
      </c>
      <c r="D761" s="3">
        <v>0</v>
      </c>
      <c r="E761" s="3">
        <f>C761 - D761</f>
        <v>0</v>
      </c>
    </row>
    <row r="762" spans="2:5" x14ac:dyDescent="0.35">
      <c r="B762" s="38">
        <v>37263</v>
      </c>
      <c r="C762" s="3">
        <v>1</v>
      </c>
      <c r="D762" s="3">
        <v>0</v>
      </c>
      <c r="E762" s="3">
        <f>C762 - D762</f>
        <v>1</v>
      </c>
    </row>
    <row r="763" spans="2:5" x14ac:dyDescent="0.35">
      <c r="B763" s="38">
        <v>37264</v>
      </c>
      <c r="C763" s="3">
        <v>0</v>
      </c>
      <c r="D763" s="3">
        <v>1</v>
      </c>
      <c r="E763" s="3">
        <f>C763 - D763</f>
        <v>-1</v>
      </c>
    </row>
    <row r="764" spans="2:5" x14ac:dyDescent="0.35">
      <c r="B764" s="38">
        <v>37265</v>
      </c>
      <c r="C764" s="3">
        <v>0</v>
      </c>
      <c r="D764" s="3">
        <v>0</v>
      </c>
      <c r="E764" s="3">
        <f>C764 - D764</f>
        <v>0</v>
      </c>
    </row>
    <row r="765" spans="2:5" x14ac:dyDescent="0.35">
      <c r="B765" s="38">
        <v>37266</v>
      </c>
      <c r="C765" s="3">
        <v>0</v>
      </c>
      <c r="D765" s="3">
        <v>0</v>
      </c>
      <c r="E765" s="3">
        <f>C765 - D765</f>
        <v>0</v>
      </c>
    </row>
    <row r="766" spans="2:5" x14ac:dyDescent="0.35">
      <c r="B766" s="38">
        <v>37267</v>
      </c>
      <c r="C766" s="3">
        <v>0</v>
      </c>
      <c r="D766" s="3">
        <v>0</v>
      </c>
      <c r="E766" s="3">
        <f>C766 - D766</f>
        <v>0</v>
      </c>
    </row>
    <row r="767" spans="2:5" x14ac:dyDescent="0.35">
      <c r="B767" s="38">
        <v>37268</v>
      </c>
      <c r="C767" s="3">
        <v>0</v>
      </c>
      <c r="D767" s="3">
        <v>0</v>
      </c>
      <c r="E767" s="3">
        <f>C767 - D767</f>
        <v>0</v>
      </c>
    </row>
    <row r="768" spans="2:5" x14ac:dyDescent="0.35">
      <c r="B768" s="38">
        <v>37269</v>
      </c>
      <c r="C768" s="3">
        <v>1</v>
      </c>
      <c r="D768" s="3">
        <v>0</v>
      </c>
      <c r="E768" s="3">
        <f>C768 - D768</f>
        <v>1</v>
      </c>
    </row>
    <row r="769" spans="2:5" x14ac:dyDescent="0.35">
      <c r="B769" s="38">
        <v>37270</v>
      </c>
      <c r="C769" s="3">
        <v>1</v>
      </c>
      <c r="D769" s="3">
        <v>1</v>
      </c>
      <c r="E769" s="3">
        <f>C769 - D769</f>
        <v>0</v>
      </c>
    </row>
    <row r="770" spans="2:5" x14ac:dyDescent="0.35">
      <c r="B770" s="38">
        <v>37271</v>
      </c>
      <c r="C770" s="3">
        <v>0</v>
      </c>
      <c r="D770" s="3">
        <v>1</v>
      </c>
      <c r="E770" s="3">
        <f>C770 - D770</f>
        <v>-1</v>
      </c>
    </row>
    <row r="771" spans="2:5" x14ac:dyDescent="0.35">
      <c r="B771" s="38">
        <v>37272</v>
      </c>
      <c r="C771" s="3">
        <v>0</v>
      </c>
      <c r="D771" s="3">
        <v>0</v>
      </c>
      <c r="E771" s="3">
        <f>C771 - D771</f>
        <v>0</v>
      </c>
    </row>
    <row r="772" spans="2:5" x14ac:dyDescent="0.35">
      <c r="B772" s="38">
        <v>37273</v>
      </c>
      <c r="C772" s="3">
        <v>0</v>
      </c>
      <c r="D772" s="3">
        <v>0</v>
      </c>
      <c r="E772" s="3">
        <f>C772 - D772</f>
        <v>0</v>
      </c>
    </row>
    <row r="773" spans="2:5" x14ac:dyDescent="0.35">
      <c r="B773" s="38">
        <v>37274</v>
      </c>
      <c r="C773" s="3">
        <v>0</v>
      </c>
      <c r="D773" s="3">
        <v>0</v>
      </c>
      <c r="E773" s="3">
        <f>C773 - D773</f>
        <v>0</v>
      </c>
    </row>
    <row r="774" spans="2:5" x14ac:dyDescent="0.35">
      <c r="B774" s="38">
        <v>37275</v>
      </c>
      <c r="C774" s="3">
        <v>0</v>
      </c>
      <c r="D774" s="3">
        <v>0</v>
      </c>
      <c r="E774" s="3">
        <f>C774 - D774</f>
        <v>0</v>
      </c>
    </row>
    <row r="775" spans="2:5" x14ac:dyDescent="0.35">
      <c r="B775" s="38">
        <v>37276</v>
      </c>
      <c r="C775" s="3">
        <v>0</v>
      </c>
      <c r="D775" s="3">
        <v>0</v>
      </c>
      <c r="E775" s="3">
        <f>C775 - D775</f>
        <v>0</v>
      </c>
    </row>
    <row r="776" spans="2:5" x14ac:dyDescent="0.35">
      <c r="B776" s="38">
        <v>37277</v>
      </c>
      <c r="C776" s="3">
        <v>1</v>
      </c>
      <c r="D776" s="3">
        <v>0</v>
      </c>
      <c r="E776" s="3">
        <f>C776 - D776</f>
        <v>1</v>
      </c>
    </row>
    <row r="777" spans="2:5" x14ac:dyDescent="0.35">
      <c r="B777" s="38">
        <v>37278</v>
      </c>
      <c r="C777" s="3">
        <v>1</v>
      </c>
      <c r="D777" s="3">
        <v>1</v>
      </c>
      <c r="E777" s="3">
        <f>C777 - D777</f>
        <v>0</v>
      </c>
    </row>
    <row r="778" spans="2:5" x14ac:dyDescent="0.35">
      <c r="B778" s="38">
        <v>37279</v>
      </c>
      <c r="C778" s="3">
        <v>1</v>
      </c>
      <c r="D778" s="3">
        <v>1</v>
      </c>
      <c r="E778" s="3">
        <f>C778 - D778</f>
        <v>0</v>
      </c>
    </row>
    <row r="779" spans="2:5" x14ac:dyDescent="0.35">
      <c r="B779" s="38">
        <v>37280</v>
      </c>
      <c r="C779" s="3">
        <v>0</v>
      </c>
      <c r="D779" s="3">
        <v>1</v>
      </c>
      <c r="E779" s="3">
        <f>C779 - D779</f>
        <v>-1</v>
      </c>
    </row>
    <row r="780" spans="2:5" x14ac:dyDescent="0.35">
      <c r="B780" s="38">
        <v>37281</v>
      </c>
      <c r="C780" s="3">
        <v>0</v>
      </c>
      <c r="D780" s="3">
        <v>0</v>
      </c>
      <c r="E780" s="3">
        <f>C780 - D780</f>
        <v>0</v>
      </c>
    </row>
    <row r="781" spans="2:5" x14ac:dyDescent="0.35">
      <c r="B781" s="38">
        <v>37282</v>
      </c>
      <c r="C781" s="3">
        <v>1</v>
      </c>
      <c r="D781" s="3">
        <v>0</v>
      </c>
      <c r="E781" s="3">
        <f>C781 - D781</f>
        <v>1</v>
      </c>
    </row>
    <row r="782" spans="2:5" x14ac:dyDescent="0.35">
      <c r="B782" s="38">
        <v>37283</v>
      </c>
      <c r="C782" s="3">
        <v>1</v>
      </c>
      <c r="D782" s="3">
        <v>1</v>
      </c>
      <c r="E782" s="3">
        <f>C782 - D782</f>
        <v>0</v>
      </c>
    </row>
    <row r="783" spans="2:5" x14ac:dyDescent="0.35">
      <c r="B783" s="38">
        <v>37284</v>
      </c>
      <c r="C783" s="3">
        <v>1</v>
      </c>
      <c r="D783" s="3">
        <v>1</v>
      </c>
      <c r="E783" s="3">
        <f>C783 - D783</f>
        <v>0</v>
      </c>
    </row>
    <row r="784" spans="2:5" x14ac:dyDescent="0.35">
      <c r="B784" s="38">
        <v>37285</v>
      </c>
      <c r="C784" s="3">
        <v>1</v>
      </c>
      <c r="D784" s="3">
        <v>1</v>
      </c>
      <c r="E784" s="3">
        <f>C784 - D784</f>
        <v>0</v>
      </c>
    </row>
    <row r="785" spans="2:5" x14ac:dyDescent="0.35">
      <c r="B785" s="38">
        <v>37286</v>
      </c>
      <c r="C785" s="3">
        <v>1</v>
      </c>
      <c r="D785" s="3">
        <v>1</v>
      </c>
      <c r="E785" s="3">
        <f>C785 - D785</f>
        <v>0</v>
      </c>
    </row>
    <row r="786" spans="2:5" x14ac:dyDescent="0.35">
      <c r="B786" s="38">
        <v>37287</v>
      </c>
      <c r="C786" s="3">
        <v>0</v>
      </c>
      <c r="D786" s="3">
        <v>1</v>
      </c>
      <c r="E786" s="3">
        <f>C786 - D786</f>
        <v>-1</v>
      </c>
    </row>
    <row r="787" spans="2:5" x14ac:dyDescent="0.35">
      <c r="B787" s="38">
        <v>37288</v>
      </c>
      <c r="C787" s="3">
        <v>0</v>
      </c>
      <c r="D787" s="3">
        <v>0</v>
      </c>
      <c r="E787" s="3">
        <f>C787 - D787</f>
        <v>0</v>
      </c>
    </row>
    <row r="788" spans="2:5" x14ac:dyDescent="0.35">
      <c r="B788" s="38">
        <v>37289</v>
      </c>
      <c r="C788" s="3">
        <v>1</v>
      </c>
      <c r="D788" s="3">
        <v>0</v>
      </c>
      <c r="E788" s="3">
        <f>C788 - D788</f>
        <v>1</v>
      </c>
    </row>
    <row r="789" spans="2:5" x14ac:dyDescent="0.35">
      <c r="B789" s="38">
        <v>37290</v>
      </c>
      <c r="C789" s="3">
        <v>1</v>
      </c>
      <c r="D789" s="3">
        <v>1</v>
      </c>
      <c r="E789" s="3">
        <f>C789 - D789</f>
        <v>0</v>
      </c>
    </row>
    <row r="790" spans="2:5" x14ac:dyDescent="0.35">
      <c r="B790" s="38">
        <v>37291</v>
      </c>
      <c r="C790" s="3">
        <v>0</v>
      </c>
      <c r="D790" s="3">
        <v>1</v>
      </c>
      <c r="E790" s="3">
        <f>C790 - D790</f>
        <v>-1</v>
      </c>
    </row>
    <row r="791" spans="2:5" x14ac:dyDescent="0.35">
      <c r="B791" s="38">
        <v>37292</v>
      </c>
      <c r="C791" s="3">
        <v>0</v>
      </c>
      <c r="D791" s="3">
        <v>0</v>
      </c>
      <c r="E791" s="3">
        <f>C791 - D791</f>
        <v>0</v>
      </c>
    </row>
    <row r="792" spans="2:5" x14ac:dyDescent="0.35">
      <c r="B792" s="38">
        <v>37293</v>
      </c>
      <c r="C792" s="3">
        <v>0</v>
      </c>
      <c r="D792" s="3">
        <v>0</v>
      </c>
      <c r="E792" s="3">
        <f>C792 - D792</f>
        <v>0</v>
      </c>
    </row>
    <row r="793" spans="2:5" x14ac:dyDescent="0.35">
      <c r="B793" s="38">
        <v>37294</v>
      </c>
      <c r="C793" s="3">
        <v>0</v>
      </c>
      <c r="D793" s="3">
        <v>0</v>
      </c>
      <c r="E793" s="3">
        <f>C793 - D793</f>
        <v>0</v>
      </c>
    </row>
    <row r="794" spans="2:5" x14ac:dyDescent="0.35">
      <c r="B794" s="38">
        <v>37295</v>
      </c>
      <c r="C794" s="3">
        <v>1</v>
      </c>
      <c r="D794" s="3">
        <v>0</v>
      </c>
      <c r="E794" s="3">
        <f>C794 - D794</f>
        <v>1</v>
      </c>
    </row>
    <row r="795" spans="2:5" x14ac:dyDescent="0.35">
      <c r="B795" s="38">
        <v>37296</v>
      </c>
      <c r="C795" s="3">
        <v>1</v>
      </c>
      <c r="D795" s="3">
        <v>1</v>
      </c>
      <c r="E795" s="3">
        <f>C795 - D795</f>
        <v>0</v>
      </c>
    </row>
    <row r="796" spans="2:5" x14ac:dyDescent="0.35">
      <c r="B796" s="38">
        <v>37297</v>
      </c>
      <c r="C796" s="3">
        <v>1</v>
      </c>
      <c r="D796" s="3">
        <v>1</v>
      </c>
      <c r="E796" s="3">
        <f>C796 - D796</f>
        <v>0</v>
      </c>
    </row>
    <row r="797" spans="2:5" x14ac:dyDescent="0.35">
      <c r="B797" s="38">
        <v>37298</v>
      </c>
      <c r="C797" s="3">
        <v>1</v>
      </c>
      <c r="D797" s="3">
        <v>1</v>
      </c>
      <c r="E797" s="3">
        <f>C797 - D797</f>
        <v>0</v>
      </c>
    </row>
    <row r="798" spans="2:5" x14ac:dyDescent="0.35">
      <c r="B798" s="38">
        <v>37299</v>
      </c>
      <c r="C798" s="3">
        <v>0</v>
      </c>
      <c r="D798" s="3">
        <v>1</v>
      </c>
      <c r="E798" s="3">
        <f>C798 - D798</f>
        <v>-1</v>
      </c>
    </row>
    <row r="799" spans="2:5" x14ac:dyDescent="0.35">
      <c r="B799" s="38">
        <v>37300</v>
      </c>
      <c r="C799" s="3">
        <v>0</v>
      </c>
      <c r="D799" s="3">
        <v>0</v>
      </c>
      <c r="E799" s="3">
        <f>C799 - D799</f>
        <v>0</v>
      </c>
    </row>
    <row r="800" spans="2:5" x14ac:dyDescent="0.35">
      <c r="B800" s="38">
        <v>37301</v>
      </c>
      <c r="C800" s="3">
        <v>0</v>
      </c>
      <c r="D800" s="3">
        <v>0</v>
      </c>
      <c r="E800" s="3">
        <f>C800 - D800</f>
        <v>0</v>
      </c>
    </row>
    <row r="801" spans="2:5" x14ac:dyDescent="0.35">
      <c r="B801" s="38">
        <v>37302</v>
      </c>
      <c r="C801" s="3">
        <v>0</v>
      </c>
      <c r="D801" s="3">
        <v>0</v>
      </c>
      <c r="E801" s="3">
        <f>C801 - D801</f>
        <v>0</v>
      </c>
    </row>
    <row r="802" spans="2:5" x14ac:dyDescent="0.35">
      <c r="B802" s="38">
        <v>37303</v>
      </c>
      <c r="C802" s="3">
        <v>1</v>
      </c>
      <c r="D802" s="3">
        <v>0</v>
      </c>
      <c r="E802" s="3">
        <f>C802 - D802</f>
        <v>1</v>
      </c>
    </row>
    <row r="803" spans="2:5" x14ac:dyDescent="0.35">
      <c r="B803" s="38">
        <v>37304</v>
      </c>
      <c r="C803" s="3">
        <v>0</v>
      </c>
      <c r="D803" s="3">
        <v>1</v>
      </c>
      <c r="E803" s="3">
        <f>C803 - D803</f>
        <v>-1</v>
      </c>
    </row>
    <row r="804" spans="2:5" x14ac:dyDescent="0.35">
      <c r="B804" s="38">
        <v>37305</v>
      </c>
      <c r="C804" s="3">
        <v>0</v>
      </c>
      <c r="D804" s="3">
        <v>0</v>
      </c>
      <c r="E804" s="3">
        <f>C804 - D804</f>
        <v>0</v>
      </c>
    </row>
    <row r="805" spans="2:5" x14ac:dyDescent="0.35">
      <c r="B805" s="38">
        <v>37306</v>
      </c>
      <c r="C805" s="3">
        <v>0</v>
      </c>
      <c r="D805" s="3">
        <v>0</v>
      </c>
      <c r="E805" s="3">
        <f>C805 - D805</f>
        <v>0</v>
      </c>
    </row>
    <row r="806" spans="2:5" x14ac:dyDescent="0.35">
      <c r="B806" s="38">
        <v>37307</v>
      </c>
      <c r="C806" s="3">
        <v>0</v>
      </c>
      <c r="D806" s="3">
        <v>0</v>
      </c>
      <c r="E806" s="3">
        <f>C806 - D806</f>
        <v>0</v>
      </c>
    </row>
    <row r="807" spans="2:5" x14ac:dyDescent="0.35">
      <c r="B807" s="38">
        <v>37308</v>
      </c>
      <c r="C807" s="3">
        <v>1</v>
      </c>
      <c r="D807" s="3">
        <v>0</v>
      </c>
      <c r="E807" s="3">
        <f>C807 - D807</f>
        <v>1</v>
      </c>
    </row>
    <row r="808" spans="2:5" x14ac:dyDescent="0.35">
      <c r="B808" s="38">
        <v>37309</v>
      </c>
      <c r="C808" s="3">
        <v>0</v>
      </c>
      <c r="D808" s="3">
        <v>1</v>
      </c>
      <c r="E808" s="3">
        <f>C808 - D808</f>
        <v>-1</v>
      </c>
    </row>
    <row r="809" spans="2:5" x14ac:dyDescent="0.35">
      <c r="B809" s="38">
        <v>37310</v>
      </c>
      <c r="C809" s="3">
        <v>0</v>
      </c>
      <c r="D809" s="3">
        <v>0</v>
      </c>
      <c r="E809" s="3">
        <f>C809 - D809</f>
        <v>0</v>
      </c>
    </row>
    <row r="810" spans="2:5" x14ac:dyDescent="0.35">
      <c r="B810" s="38">
        <v>37311</v>
      </c>
      <c r="C810" s="3">
        <v>0</v>
      </c>
      <c r="D810" s="3">
        <v>0</v>
      </c>
      <c r="E810" s="3">
        <f>C810 - D810</f>
        <v>0</v>
      </c>
    </row>
    <row r="811" spans="2:5" x14ac:dyDescent="0.35">
      <c r="B811" s="38">
        <v>37312</v>
      </c>
      <c r="C811" s="3">
        <v>0</v>
      </c>
      <c r="D811" s="3">
        <v>0</v>
      </c>
      <c r="E811" s="3">
        <f>C811 - D811</f>
        <v>0</v>
      </c>
    </row>
    <row r="812" spans="2:5" x14ac:dyDescent="0.35">
      <c r="B812" s="38">
        <v>37313</v>
      </c>
      <c r="C812" s="3">
        <v>1</v>
      </c>
      <c r="D812" s="3">
        <v>0</v>
      </c>
      <c r="E812" s="3">
        <f>C812 - D812</f>
        <v>1</v>
      </c>
    </row>
    <row r="813" spans="2:5" x14ac:dyDescent="0.35">
      <c r="B813" s="38">
        <v>37314</v>
      </c>
      <c r="C813" s="3">
        <v>0</v>
      </c>
      <c r="D813" s="3">
        <v>1</v>
      </c>
      <c r="E813" s="3">
        <f>C813 - D813</f>
        <v>-1</v>
      </c>
    </row>
    <row r="814" spans="2:5" x14ac:dyDescent="0.35">
      <c r="B814" s="38">
        <v>37315</v>
      </c>
      <c r="C814" s="3">
        <v>0</v>
      </c>
      <c r="D814" s="3">
        <v>0</v>
      </c>
      <c r="E814" s="3">
        <f>C814 - D814</f>
        <v>0</v>
      </c>
    </row>
    <row r="815" spans="2:5" x14ac:dyDescent="0.35">
      <c r="B815" s="38">
        <v>37316</v>
      </c>
      <c r="C815" s="3">
        <v>0</v>
      </c>
      <c r="D815" s="3">
        <v>0</v>
      </c>
      <c r="E815" s="3">
        <f>C815 - D815</f>
        <v>0</v>
      </c>
    </row>
    <row r="816" spans="2:5" x14ac:dyDescent="0.35">
      <c r="B816" s="38">
        <v>37317</v>
      </c>
      <c r="C816" s="3">
        <v>0</v>
      </c>
      <c r="D816" s="3">
        <v>0</v>
      </c>
      <c r="E816" s="3">
        <f>C816 - D816</f>
        <v>0</v>
      </c>
    </row>
    <row r="817" spans="2:5" x14ac:dyDescent="0.35">
      <c r="B817" s="38">
        <v>37318</v>
      </c>
      <c r="C817" s="3">
        <v>1</v>
      </c>
      <c r="D817" s="3">
        <v>0</v>
      </c>
      <c r="E817" s="3">
        <f>C817 - D817</f>
        <v>1</v>
      </c>
    </row>
    <row r="818" spans="2:5" x14ac:dyDescent="0.35">
      <c r="B818" s="38">
        <v>37319</v>
      </c>
      <c r="C818" s="3">
        <v>1</v>
      </c>
      <c r="D818" s="3">
        <v>1</v>
      </c>
      <c r="E818" s="3">
        <f>C818 - D818</f>
        <v>0</v>
      </c>
    </row>
    <row r="819" spans="2:5" x14ac:dyDescent="0.35">
      <c r="B819" s="38">
        <v>37320</v>
      </c>
      <c r="C819" s="3">
        <v>0</v>
      </c>
      <c r="D819" s="3">
        <v>1</v>
      </c>
      <c r="E819" s="3">
        <f>C819 - D819</f>
        <v>-1</v>
      </c>
    </row>
    <row r="820" spans="2:5" x14ac:dyDescent="0.35">
      <c r="B820" s="38">
        <v>37321</v>
      </c>
      <c r="C820" s="3">
        <v>0</v>
      </c>
      <c r="D820" s="3">
        <v>0</v>
      </c>
      <c r="E820" s="3">
        <f>C820 - D820</f>
        <v>0</v>
      </c>
    </row>
    <row r="821" spans="2:5" x14ac:dyDescent="0.35">
      <c r="B821" s="38">
        <v>37322</v>
      </c>
      <c r="C821" s="3">
        <v>1</v>
      </c>
      <c r="D821" s="3">
        <v>0</v>
      </c>
      <c r="E821" s="3">
        <f>C821 - D821</f>
        <v>1</v>
      </c>
    </row>
    <row r="822" spans="2:5" x14ac:dyDescent="0.35">
      <c r="B822" s="38">
        <v>37323</v>
      </c>
      <c r="C822" s="3">
        <v>0</v>
      </c>
      <c r="D822" s="3">
        <v>1</v>
      </c>
      <c r="E822" s="3">
        <f>C822 - D822</f>
        <v>-1</v>
      </c>
    </row>
    <row r="823" spans="2:5" x14ac:dyDescent="0.35">
      <c r="B823" s="38">
        <v>37324</v>
      </c>
      <c r="C823" s="3">
        <v>0</v>
      </c>
      <c r="D823" s="3">
        <v>0</v>
      </c>
      <c r="E823" s="3">
        <f>C823 - D823</f>
        <v>0</v>
      </c>
    </row>
    <row r="824" spans="2:5" x14ac:dyDescent="0.35">
      <c r="B824" s="38">
        <v>37325</v>
      </c>
      <c r="C824" s="3">
        <v>0</v>
      </c>
      <c r="D824" s="3">
        <v>0</v>
      </c>
      <c r="E824" s="3">
        <f>C824 - D824</f>
        <v>0</v>
      </c>
    </row>
    <row r="825" spans="2:5" x14ac:dyDescent="0.35">
      <c r="B825" s="38">
        <v>37326</v>
      </c>
      <c r="C825" s="3">
        <v>0</v>
      </c>
      <c r="D825" s="3">
        <v>0</v>
      </c>
      <c r="E825" s="3">
        <f>C825 - D825</f>
        <v>0</v>
      </c>
    </row>
    <row r="826" spans="2:5" x14ac:dyDescent="0.35">
      <c r="B826" s="38">
        <v>37327</v>
      </c>
      <c r="C826" s="3">
        <v>1</v>
      </c>
      <c r="D826" s="3">
        <v>0</v>
      </c>
      <c r="E826" s="3">
        <f>C826 - D826</f>
        <v>1</v>
      </c>
    </row>
    <row r="827" spans="2:5" x14ac:dyDescent="0.35">
      <c r="B827" s="38">
        <v>37328</v>
      </c>
      <c r="C827" s="3">
        <v>0</v>
      </c>
      <c r="D827" s="3">
        <v>1</v>
      </c>
      <c r="E827" s="3">
        <f>C827 - D827</f>
        <v>-1</v>
      </c>
    </row>
    <row r="828" spans="2:5" x14ac:dyDescent="0.35">
      <c r="B828" s="38">
        <v>37329</v>
      </c>
      <c r="C828" s="3">
        <v>0</v>
      </c>
      <c r="D828" s="3">
        <v>0</v>
      </c>
      <c r="E828" s="3">
        <f>C828 - D828</f>
        <v>0</v>
      </c>
    </row>
    <row r="829" spans="2:5" x14ac:dyDescent="0.35">
      <c r="B829" s="38">
        <v>37330</v>
      </c>
      <c r="C829" s="3">
        <v>0</v>
      </c>
      <c r="D829" s="3">
        <v>0</v>
      </c>
      <c r="E829" s="3">
        <f>C829 - D829</f>
        <v>0</v>
      </c>
    </row>
    <row r="830" spans="2:5" x14ac:dyDescent="0.35">
      <c r="B830" s="38">
        <v>37331</v>
      </c>
      <c r="C830" s="3">
        <v>0</v>
      </c>
      <c r="D830" s="3">
        <v>0</v>
      </c>
      <c r="E830" s="3">
        <f>C830 - D830</f>
        <v>0</v>
      </c>
    </row>
    <row r="831" spans="2:5" x14ac:dyDescent="0.35">
      <c r="B831" s="38">
        <v>37332</v>
      </c>
      <c r="C831" s="3">
        <v>0</v>
      </c>
      <c r="D831" s="3">
        <v>0</v>
      </c>
      <c r="E831" s="3">
        <f>C831 - D831</f>
        <v>0</v>
      </c>
    </row>
    <row r="832" spans="2:5" x14ac:dyDescent="0.35">
      <c r="B832" s="38">
        <v>37333</v>
      </c>
      <c r="C832" s="3">
        <v>0</v>
      </c>
      <c r="D832" s="3">
        <v>0</v>
      </c>
      <c r="E832" s="3">
        <f>C832 - D832</f>
        <v>0</v>
      </c>
    </row>
    <row r="833" spans="2:5" x14ac:dyDescent="0.35">
      <c r="B833" s="38">
        <v>37334</v>
      </c>
      <c r="C833" s="3">
        <v>0</v>
      </c>
      <c r="D833" s="3">
        <v>0</v>
      </c>
      <c r="E833" s="3">
        <f>C833 - D833</f>
        <v>0</v>
      </c>
    </row>
    <row r="834" spans="2:5" x14ac:dyDescent="0.35">
      <c r="B834" s="38">
        <v>37335</v>
      </c>
      <c r="C834" s="3">
        <v>0</v>
      </c>
      <c r="D834" s="3">
        <v>0</v>
      </c>
      <c r="E834" s="3">
        <f>C834 - D834</f>
        <v>0</v>
      </c>
    </row>
    <row r="835" spans="2:5" x14ac:dyDescent="0.35">
      <c r="B835" s="38">
        <v>37336</v>
      </c>
      <c r="C835" s="3">
        <v>1</v>
      </c>
      <c r="D835" s="3">
        <v>0</v>
      </c>
      <c r="E835" s="3">
        <f>C835 - D835</f>
        <v>1</v>
      </c>
    </row>
    <row r="836" spans="2:5" x14ac:dyDescent="0.35">
      <c r="B836" s="38">
        <v>37337</v>
      </c>
      <c r="C836" s="3">
        <v>1</v>
      </c>
      <c r="D836" s="3">
        <v>1</v>
      </c>
      <c r="E836" s="3">
        <f>C836 - D836</f>
        <v>0</v>
      </c>
    </row>
    <row r="837" spans="2:5" x14ac:dyDescent="0.35">
      <c r="B837" s="38">
        <v>37338</v>
      </c>
      <c r="C837" s="3">
        <v>0</v>
      </c>
      <c r="D837" s="3">
        <v>1</v>
      </c>
      <c r="E837" s="3">
        <f>C837 - D837</f>
        <v>-1</v>
      </c>
    </row>
    <row r="838" spans="2:5" x14ac:dyDescent="0.35">
      <c r="B838" s="38">
        <v>37339</v>
      </c>
      <c r="C838" s="3">
        <v>0</v>
      </c>
      <c r="D838" s="3">
        <v>0</v>
      </c>
      <c r="E838" s="3">
        <f>C838 - D838</f>
        <v>0</v>
      </c>
    </row>
    <row r="839" spans="2:5" x14ac:dyDescent="0.35">
      <c r="B839" s="38">
        <v>37340</v>
      </c>
      <c r="C839" s="3">
        <v>1</v>
      </c>
      <c r="D839" s="3">
        <v>0</v>
      </c>
      <c r="E839" s="3">
        <f>C839 - D839</f>
        <v>1</v>
      </c>
    </row>
    <row r="840" spans="2:5" x14ac:dyDescent="0.35">
      <c r="B840" s="38">
        <v>37341</v>
      </c>
      <c r="C840" s="3">
        <v>1</v>
      </c>
      <c r="D840" s="3">
        <v>1</v>
      </c>
      <c r="E840" s="3">
        <f>C840 - D840</f>
        <v>0</v>
      </c>
    </row>
    <row r="841" spans="2:5" x14ac:dyDescent="0.35">
      <c r="B841" s="38">
        <v>37342</v>
      </c>
      <c r="C841" s="3">
        <v>1</v>
      </c>
      <c r="D841" s="3">
        <v>1</v>
      </c>
      <c r="E841" s="3">
        <f>C841 - D841</f>
        <v>0</v>
      </c>
    </row>
    <row r="842" spans="2:5" x14ac:dyDescent="0.35">
      <c r="B842" s="38">
        <v>37343</v>
      </c>
      <c r="C842" s="3">
        <v>1</v>
      </c>
      <c r="D842" s="3">
        <v>1</v>
      </c>
      <c r="E842" s="3">
        <f>C842 - D842</f>
        <v>0</v>
      </c>
    </row>
    <row r="843" spans="2:5" x14ac:dyDescent="0.35">
      <c r="B843" s="38">
        <v>37344</v>
      </c>
      <c r="C843" s="3">
        <v>1</v>
      </c>
      <c r="D843" s="3">
        <v>1</v>
      </c>
      <c r="E843" s="3">
        <f>C843 - D843</f>
        <v>0</v>
      </c>
    </row>
    <row r="844" spans="2:5" x14ac:dyDescent="0.35">
      <c r="B844" s="38">
        <v>37345</v>
      </c>
      <c r="C844" s="3">
        <v>1</v>
      </c>
      <c r="D844" s="3">
        <v>1</v>
      </c>
      <c r="E844" s="3">
        <f>C844 - D844</f>
        <v>0</v>
      </c>
    </row>
    <row r="845" spans="2:5" x14ac:dyDescent="0.35">
      <c r="B845" s="38">
        <v>37346</v>
      </c>
      <c r="C845" s="3">
        <v>0</v>
      </c>
      <c r="D845" s="3">
        <v>1</v>
      </c>
      <c r="E845" s="3">
        <f>C845 - D845</f>
        <v>-1</v>
      </c>
    </row>
    <row r="846" spans="2:5" x14ac:dyDescent="0.35">
      <c r="B846" s="38">
        <v>37347</v>
      </c>
      <c r="C846" s="3">
        <v>0</v>
      </c>
      <c r="D846" s="3">
        <v>0</v>
      </c>
      <c r="E846" s="3">
        <f>C846 - D846</f>
        <v>0</v>
      </c>
    </row>
    <row r="847" spans="2:5" x14ac:dyDescent="0.35">
      <c r="B847" s="38">
        <v>37348</v>
      </c>
      <c r="C847" s="3">
        <v>0</v>
      </c>
      <c r="D847" s="3">
        <v>0</v>
      </c>
      <c r="E847" s="3">
        <f>C847 - D847</f>
        <v>0</v>
      </c>
    </row>
    <row r="848" spans="2:5" x14ac:dyDescent="0.35">
      <c r="B848" s="38">
        <v>37349</v>
      </c>
      <c r="C848" s="3">
        <v>0</v>
      </c>
      <c r="D848" s="3">
        <v>0</v>
      </c>
      <c r="E848" s="3">
        <f>C848 - D848</f>
        <v>0</v>
      </c>
    </row>
    <row r="849" spans="2:5" x14ac:dyDescent="0.35">
      <c r="B849" s="38">
        <v>37350</v>
      </c>
      <c r="C849" s="3">
        <v>1</v>
      </c>
      <c r="D849" s="3">
        <v>0</v>
      </c>
      <c r="E849" s="3">
        <f>C849 - D849</f>
        <v>1</v>
      </c>
    </row>
    <row r="850" spans="2:5" x14ac:dyDescent="0.35">
      <c r="B850" s="38">
        <v>37351</v>
      </c>
      <c r="C850" s="3">
        <v>0</v>
      </c>
      <c r="D850" s="3">
        <v>1</v>
      </c>
      <c r="E850" s="3">
        <f>C850 - D850</f>
        <v>-1</v>
      </c>
    </row>
    <row r="851" spans="2:5" x14ac:dyDescent="0.35">
      <c r="B851" s="38">
        <v>37352</v>
      </c>
      <c r="C851" s="3">
        <v>0</v>
      </c>
      <c r="D851" s="3">
        <v>0</v>
      </c>
      <c r="E851" s="3">
        <f>C851 - D851</f>
        <v>0</v>
      </c>
    </row>
    <row r="852" spans="2:5" x14ac:dyDescent="0.35">
      <c r="B852" s="38">
        <v>37353</v>
      </c>
      <c r="C852" s="3">
        <v>0</v>
      </c>
      <c r="D852" s="3">
        <v>0</v>
      </c>
      <c r="E852" s="3">
        <f>C852 - D852</f>
        <v>0</v>
      </c>
    </row>
    <row r="853" spans="2:5" x14ac:dyDescent="0.35">
      <c r="B853" s="38">
        <v>37354</v>
      </c>
      <c r="C853" s="3">
        <v>0</v>
      </c>
      <c r="D853" s="3">
        <v>0</v>
      </c>
      <c r="E853" s="3">
        <f>C853 - D853</f>
        <v>0</v>
      </c>
    </row>
    <row r="854" spans="2:5" x14ac:dyDescent="0.35">
      <c r="B854" s="38">
        <v>37355</v>
      </c>
      <c r="C854" s="3">
        <v>0</v>
      </c>
      <c r="D854" s="3">
        <v>0</v>
      </c>
      <c r="E854" s="3">
        <f>C854 - D854</f>
        <v>0</v>
      </c>
    </row>
    <row r="855" spans="2:5" x14ac:dyDescent="0.35">
      <c r="B855" s="38">
        <v>37356</v>
      </c>
      <c r="C855" s="3">
        <v>1</v>
      </c>
      <c r="D855" s="3">
        <v>0</v>
      </c>
      <c r="E855" s="3">
        <f>C855 - D855</f>
        <v>1</v>
      </c>
    </row>
    <row r="856" spans="2:5" x14ac:dyDescent="0.35">
      <c r="B856" s="38">
        <v>37357</v>
      </c>
      <c r="C856" s="3">
        <v>0</v>
      </c>
      <c r="D856" s="3">
        <v>1</v>
      </c>
      <c r="E856" s="3">
        <f>C856 - D856</f>
        <v>-1</v>
      </c>
    </row>
    <row r="857" spans="2:5" x14ac:dyDescent="0.35">
      <c r="B857" s="38">
        <v>37358</v>
      </c>
      <c r="C857" s="3">
        <v>0</v>
      </c>
      <c r="D857" s="3">
        <v>0</v>
      </c>
      <c r="E857" s="3">
        <f>C857 - D857</f>
        <v>0</v>
      </c>
    </row>
    <row r="858" spans="2:5" x14ac:dyDescent="0.35">
      <c r="B858" s="38">
        <v>37359</v>
      </c>
      <c r="C858" s="3">
        <v>1</v>
      </c>
      <c r="D858" s="3">
        <v>0</v>
      </c>
      <c r="E858" s="3">
        <f>C858 - D858</f>
        <v>1</v>
      </c>
    </row>
    <row r="859" spans="2:5" x14ac:dyDescent="0.35">
      <c r="B859" s="38">
        <v>37360</v>
      </c>
      <c r="C859" s="3">
        <v>1</v>
      </c>
      <c r="D859" s="3">
        <v>1</v>
      </c>
      <c r="E859" s="3">
        <f>C859 - D859</f>
        <v>0</v>
      </c>
    </row>
    <row r="860" spans="2:5" x14ac:dyDescent="0.35">
      <c r="B860" s="38">
        <v>37361</v>
      </c>
      <c r="C860" s="3">
        <v>0</v>
      </c>
      <c r="D860" s="3">
        <v>1</v>
      </c>
      <c r="E860" s="3">
        <f>C860 - D860</f>
        <v>-1</v>
      </c>
    </row>
    <row r="861" spans="2:5" x14ac:dyDescent="0.35">
      <c r="B861" s="38">
        <v>37362</v>
      </c>
      <c r="C861" s="3">
        <v>1</v>
      </c>
      <c r="D861" s="3">
        <v>0</v>
      </c>
      <c r="E861" s="3">
        <f>C861 - D861</f>
        <v>1</v>
      </c>
    </row>
    <row r="862" spans="2:5" x14ac:dyDescent="0.35">
      <c r="B862" s="38">
        <v>37363</v>
      </c>
      <c r="C862" s="3">
        <v>0</v>
      </c>
      <c r="D862" s="3">
        <v>1</v>
      </c>
      <c r="E862" s="3">
        <f>C862 - D862</f>
        <v>-1</v>
      </c>
    </row>
    <row r="863" spans="2:5" x14ac:dyDescent="0.35">
      <c r="B863" s="38">
        <v>37364</v>
      </c>
      <c r="C863" s="3">
        <v>0</v>
      </c>
      <c r="D863" s="3">
        <v>0</v>
      </c>
      <c r="E863" s="3">
        <f>C863 - D863</f>
        <v>0</v>
      </c>
    </row>
    <row r="864" spans="2:5" x14ac:dyDescent="0.35">
      <c r="B864" s="38">
        <v>37365</v>
      </c>
      <c r="C864" s="3">
        <v>0</v>
      </c>
      <c r="D864" s="3">
        <v>0</v>
      </c>
      <c r="E864" s="3">
        <f>C864 - D864</f>
        <v>0</v>
      </c>
    </row>
    <row r="865" spans="2:5" x14ac:dyDescent="0.35">
      <c r="B865" s="38">
        <v>37366</v>
      </c>
      <c r="C865" s="3">
        <v>1</v>
      </c>
      <c r="D865" s="3">
        <v>0</v>
      </c>
      <c r="E865" s="3">
        <f>C865 - D865</f>
        <v>1</v>
      </c>
    </row>
    <row r="866" spans="2:5" x14ac:dyDescent="0.35">
      <c r="B866" s="38">
        <v>37367</v>
      </c>
      <c r="C866" s="3">
        <v>1</v>
      </c>
      <c r="D866" s="3">
        <v>1</v>
      </c>
      <c r="E866" s="3">
        <f>C866 - D866</f>
        <v>0</v>
      </c>
    </row>
    <row r="867" spans="2:5" x14ac:dyDescent="0.35">
      <c r="B867" s="38">
        <v>37368</v>
      </c>
      <c r="C867" s="3">
        <v>0</v>
      </c>
      <c r="D867" s="3">
        <v>1</v>
      </c>
      <c r="E867" s="3">
        <f>C867 - D867</f>
        <v>-1</v>
      </c>
    </row>
    <row r="868" spans="2:5" x14ac:dyDescent="0.35">
      <c r="B868" s="38">
        <v>37369</v>
      </c>
      <c r="C868" s="3">
        <v>0</v>
      </c>
      <c r="D868" s="3">
        <v>0</v>
      </c>
      <c r="E868" s="3">
        <f>C868 - D868</f>
        <v>0</v>
      </c>
    </row>
    <row r="869" spans="2:5" x14ac:dyDescent="0.35">
      <c r="B869" s="38">
        <v>37370</v>
      </c>
      <c r="C869" s="3">
        <v>1</v>
      </c>
      <c r="D869" s="3">
        <v>0</v>
      </c>
      <c r="E869" s="3">
        <f>C869 - D869</f>
        <v>1</v>
      </c>
    </row>
    <row r="870" spans="2:5" x14ac:dyDescent="0.35">
      <c r="B870" s="38">
        <v>37371</v>
      </c>
      <c r="C870" s="3">
        <v>1</v>
      </c>
      <c r="D870" s="3">
        <v>1</v>
      </c>
      <c r="E870" s="3">
        <f>C870 - D870</f>
        <v>0</v>
      </c>
    </row>
    <row r="871" spans="2:5" x14ac:dyDescent="0.35">
      <c r="B871" s="38">
        <v>37372</v>
      </c>
      <c r="C871" s="3">
        <v>1</v>
      </c>
      <c r="D871" s="3">
        <v>1</v>
      </c>
      <c r="E871" s="3">
        <f>C871 - D871</f>
        <v>0</v>
      </c>
    </row>
    <row r="872" spans="2:5" x14ac:dyDescent="0.35">
      <c r="B872" s="38">
        <v>37373</v>
      </c>
      <c r="C872" s="3">
        <v>1</v>
      </c>
      <c r="D872" s="3">
        <v>1</v>
      </c>
      <c r="E872" s="3">
        <f>C872 - D872</f>
        <v>0</v>
      </c>
    </row>
    <row r="873" spans="2:5" x14ac:dyDescent="0.35">
      <c r="B873" s="38">
        <v>37374</v>
      </c>
      <c r="C873" s="3">
        <v>0</v>
      </c>
      <c r="D873" s="3">
        <v>1</v>
      </c>
      <c r="E873" s="3">
        <f>C873 - D873</f>
        <v>-1</v>
      </c>
    </row>
    <row r="874" spans="2:5" x14ac:dyDescent="0.35">
      <c r="B874" s="38">
        <v>37375</v>
      </c>
      <c r="C874" s="3">
        <v>0</v>
      </c>
      <c r="D874" s="3">
        <v>0</v>
      </c>
      <c r="E874" s="3">
        <f>C874 - D874</f>
        <v>0</v>
      </c>
    </row>
    <row r="875" spans="2:5" x14ac:dyDescent="0.35">
      <c r="B875" s="38">
        <v>37376</v>
      </c>
      <c r="C875" s="3">
        <v>0</v>
      </c>
      <c r="D875" s="3">
        <v>0</v>
      </c>
      <c r="E875" s="3">
        <f>C875 - D875</f>
        <v>0</v>
      </c>
    </row>
    <row r="876" spans="2:5" x14ac:dyDescent="0.35">
      <c r="B876" s="38">
        <v>37377</v>
      </c>
      <c r="C876" s="3">
        <v>0</v>
      </c>
      <c r="D876" s="3">
        <v>0</v>
      </c>
      <c r="E876" s="3">
        <f>C876 - D876</f>
        <v>0</v>
      </c>
    </row>
    <row r="877" spans="2:5" x14ac:dyDescent="0.35">
      <c r="B877" s="38">
        <v>37378</v>
      </c>
      <c r="C877" s="3">
        <v>0</v>
      </c>
      <c r="D877" s="3">
        <v>0</v>
      </c>
      <c r="E877" s="3">
        <f>C877 - D877</f>
        <v>0</v>
      </c>
    </row>
    <row r="878" spans="2:5" x14ac:dyDescent="0.35">
      <c r="B878" s="38">
        <v>37379</v>
      </c>
      <c r="C878" s="3">
        <v>0</v>
      </c>
      <c r="D878" s="3">
        <v>0</v>
      </c>
      <c r="E878" s="3">
        <f>C878 - D878</f>
        <v>0</v>
      </c>
    </row>
    <row r="879" spans="2:5" x14ac:dyDescent="0.35">
      <c r="B879" s="38">
        <v>37380</v>
      </c>
      <c r="C879" s="3">
        <v>0</v>
      </c>
      <c r="D879" s="3">
        <v>0</v>
      </c>
      <c r="E879" s="3">
        <f>C879 - D879</f>
        <v>0</v>
      </c>
    </row>
    <row r="880" spans="2:5" x14ac:dyDescent="0.35">
      <c r="B880" s="38">
        <v>37381</v>
      </c>
      <c r="C880" s="3">
        <v>0</v>
      </c>
      <c r="D880" s="3">
        <v>0</v>
      </c>
      <c r="E880" s="3">
        <f>C880 - D880</f>
        <v>0</v>
      </c>
    </row>
    <row r="881" spans="2:5" x14ac:dyDescent="0.35">
      <c r="B881" s="38">
        <v>37382</v>
      </c>
      <c r="C881" s="3">
        <v>1</v>
      </c>
      <c r="D881" s="3">
        <v>0</v>
      </c>
      <c r="E881" s="3">
        <f>C881 - D881</f>
        <v>1</v>
      </c>
    </row>
    <row r="882" spans="2:5" x14ac:dyDescent="0.35">
      <c r="B882" s="38">
        <v>37383</v>
      </c>
      <c r="C882" s="3">
        <v>0</v>
      </c>
      <c r="D882" s="3">
        <v>1</v>
      </c>
      <c r="E882" s="3">
        <f>C882 - D882</f>
        <v>-1</v>
      </c>
    </row>
    <row r="883" spans="2:5" x14ac:dyDescent="0.35">
      <c r="B883" s="38">
        <v>37384</v>
      </c>
      <c r="C883" s="3">
        <v>0</v>
      </c>
      <c r="D883" s="3">
        <v>0</v>
      </c>
      <c r="E883" s="3">
        <f>C883 - D883</f>
        <v>0</v>
      </c>
    </row>
    <row r="884" spans="2:5" x14ac:dyDescent="0.35">
      <c r="B884" s="38">
        <v>37385</v>
      </c>
      <c r="C884" s="3">
        <v>0</v>
      </c>
      <c r="D884" s="3">
        <v>0</v>
      </c>
      <c r="E884" s="3">
        <f>C884 - D884</f>
        <v>0</v>
      </c>
    </row>
    <row r="885" spans="2:5" x14ac:dyDescent="0.35">
      <c r="B885" s="38">
        <v>37386</v>
      </c>
      <c r="C885" s="3">
        <v>1</v>
      </c>
      <c r="D885" s="3">
        <v>0</v>
      </c>
      <c r="E885" s="3">
        <f>C885 - D885</f>
        <v>1</v>
      </c>
    </row>
    <row r="886" spans="2:5" x14ac:dyDescent="0.35">
      <c r="B886" s="38">
        <v>37387</v>
      </c>
      <c r="C886" s="3">
        <v>0</v>
      </c>
      <c r="D886" s="3">
        <v>1</v>
      </c>
      <c r="E886" s="3">
        <f>C886 - D886</f>
        <v>-1</v>
      </c>
    </row>
    <row r="887" spans="2:5" x14ac:dyDescent="0.35">
      <c r="B887" s="38">
        <v>37388</v>
      </c>
      <c r="C887" s="3">
        <v>0</v>
      </c>
      <c r="D887" s="3">
        <v>0</v>
      </c>
      <c r="E887" s="3">
        <f>C887 - D887</f>
        <v>0</v>
      </c>
    </row>
    <row r="888" spans="2:5" x14ac:dyDescent="0.35">
      <c r="B888" s="38">
        <v>37389</v>
      </c>
      <c r="C888" s="3">
        <v>1</v>
      </c>
      <c r="D888" s="3">
        <v>0</v>
      </c>
      <c r="E888" s="3">
        <f>C888 - D888</f>
        <v>1</v>
      </c>
    </row>
    <row r="889" spans="2:5" x14ac:dyDescent="0.35">
      <c r="B889" s="38">
        <v>37390</v>
      </c>
      <c r="C889" s="3">
        <v>0</v>
      </c>
      <c r="D889" s="3">
        <v>1</v>
      </c>
      <c r="E889" s="3">
        <f>C889 - D889</f>
        <v>-1</v>
      </c>
    </row>
    <row r="890" spans="2:5" x14ac:dyDescent="0.35">
      <c r="B890" s="38">
        <v>37391</v>
      </c>
      <c r="C890" s="3">
        <v>0</v>
      </c>
      <c r="D890" s="3">
        <v>0</v>
      </c>
      <c r="E890" s="3">
        <f>C890 - D890</f>
        <v>0</v>
      </c>
    </row>
    <row r="891" spans="2:5" x14ac:dyDescent="0.35">
      <c r="B891" s="38">
        <v>37392</v>
      </c>
      <c r="C891" s="3">
        <v>1</v>
      </c>
      <c r="D891" s="3">
        <v>0</v>
      </c>
      <c r="E891" s="3">
        <f>C891 - D891</f>
        <v>1</v>
      </c>
    </row>
    <row r="892" spans="2:5" x14ac:dyDescent="0.35">
      <c r="B892" s="38">
        <v>37393</v>
      </c>
      <c r="C892" s="3">
        <v>1</v>
      </c>
      <c r="D892" s="3">
        <v>1</v>
      </c>
      <c r="E892" s="3">
        <f>C892 - D892</f>
        <v>0</v>
      </c>
    </row>
    <row r="893" spans="2:5" x14ac:dyDescent="0.35">
      <c r="B893" s="38">
        <v>37394</v>
      </c>
      <c r="C893" s="3">
        <v>0</v>
      </c>
      <c r="D893" s="3">
        <v>1</v>
      </c>
      <c r="E893" s="3">
        <f>C893 - D893</f>
        <v>-1</v>
      </c>
    </row>
    <row r="894" spans="2:5" x14ac:dyDescent="0.35">
      <c r="B894" s="38">
        <v>37395</v>
      </c>
      <c r="C894" s="3">
        <v>1</v>
      </c>
      <c r="D894" s="3">
        <v>0</v>
      </c>
      <c r="E894" s="3">
        <f>C894 - D894</f>
        <v>1</v>
      </c>
    </row>
    <row r="895" spans="2:5" x14ac:dyDescent="0.35">
      <c r="B895" s="38">
        <v>37396</v>
      </c>
      <c r="C895" s="3">
        <v>1</v>
      </c>
      <c r="D895" s="3">
        <v>1</v>
      </c>
      <c r="E895" s="3">
        <f>C895 - D895</f>
        <v>0</v>
      </c>
    </row>
    <row r="896" spans="2:5" x14ac:dyDescent="0.35">
      <c r="B896" s="38">
        <v>37397</v>
      </c>
      <c r="C896" s="3">
        <v>1</v>
      </c>
      <c r="D896" s="3">
        <v>1</v>
      </c>
      <c r="E896" s="3">
        <f>C896 - D896</f>
        <v>0</v>
      </c>
    </row>
    <row r="897" spans="2:5" x14ac:dyDescent="0.35">
      <c r="B897" s="38">
        <v>37398</v>
      </c>
      <c r="C897" s="3">
        <v>1</v>
      </c>
      <c r="D897" s="3">
        <v>1</v>
      </c>
      <c r="E897" s="3">
        <f>C897 - D897</f>
        <v>0</v>
      </c>
    </row>
    <row r="898" spans="2:5" x14ac:dyDescent="0.35">
      <c r="B898" s="38">
        <v>37399</v>
      </c>
      <c r="C898" s="3">
        <v>1</v>
      </c>
      <c r="D898" s="3">
        <v>1</v>
      </c>
      <c r="E898" s="3">
        <f>C898 - D898</f>
        <v>0</v>
      </c>
    </row>
    <row r="899" spans="2:5" x14ac:dyDescent="0.35">
      <c r="B899" s="38">
        <v>37400</v>
      </c>
      <c r="C899" s="3">
        <v>0</v>
      </c>
      <c r="D899" s="3">
        <v>1</v>
      </c>
      <c r="E899" s="3">
        <f>C899 - D899</f>
        <v>-1</v>
      </c>
    </row>
    <row r="900" spans="2:5" x14ac:dyDescent="0.35">
      <c r="B900" s="38">
        <v>37401</v>
      </c>
      <c r="C900" s="3">
        <v>0</v>
      </c>
      <c r="D900" s="3">
        <v>0</v>
      </c>
      <c r="E900" s="3">
        <f>C900 - D900</f>
        <v>0</v>
      </c>
    </row>
    <row r="901" spans="2:5" x14ac:dyDescent="0.35">
      <c r="B901" s="38">
        <v>37402</v>
      </c>
      <c r="C901" s="3">
        <v>0</v>
      </c>
      <c r="D901" s="3">
        <v>0</v>
      </c>
      <c r="E901" s="3">
        <f>C901 - D901</f>
        <v>0</v>
      </c>
    </row>
    <row r="902" spans="2:5" x14ac:dyDescent="0.35">
      <c r="B902" s="38">
        <v>37403</v>
      </c>
      <c r="C902" s="3">
        <v>0</v>
      </c>
      <c r="D902" s="3">
        <v>0</v>
      </c>
      <c r="E902" s="3">
        <f>C902 - D902</f>
        <v>0</v>
      </c>
    </row>
    <row r="903" spans="2:5" x14ac:dyDescent="0.35">
      <c r="B903" s="38">
        <v>37404</v>
      </c>
      <c r="C903" s="3">
        <v>0</v>
      </c>
      <c r="D903" s="3">
        <v>0</v>
      </c>
      <c r="E903" s="3">
        <f>C903 - D903</f>
        <v>0</v>
      </c>
    </row>
    <row r="904" spans="2:5" x14ac:dyDescent="0.35">
      <c r="B904" s="38">
        <v>37405</v>
      </c>
      <c r="C904" s="3">
        <v>0</v>
      </c>
      <c r="D904" s="3">
        <v>0</v>
      </c>
      <c r="E904" s="3">
        <f>C904 - D904</f>
        <v>0</v>
      </c>
    </row>
    <row r="905" spans="2:5" x14ac:dyDescent="0.35">
      <c r="B905" s="38">
        <v>37406</v>
      </c>
      <c r="C905" s="3">
        <v>0</v>
      </c>
      <c r="D905" s="3">
        <v>0</v>
      </c>
      <c r="E905" s="3">
        <f>C905 - D905</f>
        <v>0</v>
      </c>
    </row>
    <row r="906" spans="2:5" x14ac:dyDescent="0.35">
      <c r="B906" s="38">
        <v>37407</v>
      </c>
      <c r="C906" s="3">
        <v>0</v>
      </c>
      <c r="D906" s="3">
        <v>0</v>
      </c>
      <c r="E906" s="3">
        <f>C906 - D906</f>
        <v>0</v>
      </c>
    </row>
    <row r="907" spans="2:5" x14ac:dyDescent="0.35">
      <c r="B907" s="38">
        <v>37408</v>
      </c>
      <c r="C907" s="3">
        <v>1</v>
      </c>
      <c r="D907" s="3">
        <v>0</v>
      </c>
      <c r="E907" s="3">
        <f>C907 - D907</f>
        <v>1</v>
      </c>
    </row>
    <row r="908" spans="2:5" x14ac:dyDescent="0.35">
      <c r="B908" s="38">
        <v>37409</v>
      </c>
      <c r="C908" s="3">
        <v>0</v>
      </c>
      <c r="D908" s="3">
        <v>1</v>
      </c>
      <c r="E908" s="3">
        <f>C908 - D908</f>
        <v>-1</v>
      </c>
    </row>
    <row r="909" spans="2:5" x14ac:dyDescent="0.35">
      <c r="B909" s="38">
        <v>37410</v>
      </c>
      <c r="C909" s="3">
        <v>0</v>
      </c>
      <c r="D909" s="3">
        <v>0</v>
      </c>
      <c r="E909" s="3">
        <f>C909 - D909</f>
        <v>0</v>
      </c>
    </row>
    <row r="910" spans="2:5" x14ac:dyDescent="0.35">
      <c r="B910" s="38">
        <v>37411</v>
      </c>
      <c r="C910" s="3">
        <v>0</v>
      </c>
      <c r="D910" s="3">
        <v>0</v>
      </c>
      <c r="E910" s="3">
        <f>C910 - D910</f>
        <v>0</v>
      </c>
    </row>
    <row r="911" spans="2:5" x14ac:dyDescent="0.35">
      <c r="B911" s="38">
        <v>37412</v>
      </c>
      <c r="C911" s="3">
        <v>0</v>
      </c>
      <c r="D911" s="3">
        <v>0</v>
      </c>
      <c r="E911" s="3">
        <f>C911 - D911</f>
        <v>0</v>
      </c>
    </row>
    <row r="912" spans="2:5" x14ac:dyDescent="0.35">
      <c r="B912" s="38">
        <v>37413</v>
      </c>
      <c r="C912" s="3">
        <v>0</v>
      </c>
      <c r="D912" s="3">
        <v>0</v>
      </c>
      <c r="E912" s="3">
        <f>C912 - D912</f>
        <v>0</v>
      </c>
    </row>
    <row r="913" spans="2:5" x14ac:dyDescent="0.35">
      <c r="B913" s="38">
        <v>37414</v>
      </c>
      <c r="C913" s="3">
        <v>0</v>
      </c>
      <c r="D913" s="3">
        <v>0</v>
      </c>
      <c r="E913" s="3">
        <f>C913 - D913</f>
        <v>0</v>
      </c>
    </row>
    <row r="914" spans="2:5" x14ac:dyDescent="0.35">
      <c r="B914" s="38">
        <v>37415</v>
      </c>
      <c r="C914" s="3">
        <v>0</v>
      </c>
      <c r="D914" s="3">
        <v>0</v>
      </c>
      <c r="E914" s="3">
        <f>C914 - D914</f>
        <v>0</v>
      </c>
    </row>
    <row r="915" spans="2:5" x14ac:dyDescent="0.35">
      <c r="B915" s="38">
        <v>37416</v>
      </c>
      <c r="C915" s="3">
        <v>0</v>
      </c>
      <c r="D915" s="3">
        <v>0</v>
      </c>
      <c r="E915" s="3">
        <f>C915 - D915</f>
        <v>0</v>
      </c>
    </row>
    <row r="916" spans="2:5" x14ac:dyDescent="0.35">
      <c r="B916" s="38">
        <v>37417</v>
      </c>
      <c r="C916" s="3">
        <v>0</v>
      </c>
      <c r="D916" s="3">
        <v>0</v>
      </c>
      <c r="E916" s="3">
        <f>C916 - D916</f>
        <v>0</v>
      </c>
    </row>
    <row r="917" spans="2:5" x14ac:dyDescent="0.35">
      <c r="B917" s="38">
        <v>37418</v>
      </c>
      <c r="C917" s="3">
        <v>0</v>
      </c>
      <c r="D917" s="3">
        <v>0</v>
      </c>
      <c r="E917" s="3">
        <f>C917 - D917</f>
        <v>0</v>
      </c>
    </row>
    <row r="918" spans="2:5" x14ac:dyDescent="0.35">
      <c r="B918" s="38">
        <v>37419</v>
      </c>
      <c r="C918" s="3">
        <v>0</v>
      </c>
      <c r="D918" s="3">
        <v>0</v>
      </c>
      <c r="E918" s="3">
        <f>C918 - D918</f>
        <v>0</v>
      </c>
    </row>
    <row r="919" spans="2:5" x14ac:dyDescent="0.35">
      <c r="B919" s="38">
        <v>37420</v>
      </c>
      <c r="C919" s="3">
        <v>1</v>
      </c>
      <c r="D919" s="3">
        <v>0</v>
      </c>
      <c r="E919" s="3">
        <f>C919 - D919</f>
        <v>1</v>
      </c>
    </row>
    <row r="920" spans="2:5" x14ac:dyDescent="0.35">
      <c r="B920" s="38">
        <v>37421</v>
      </c>
      <c r="C920" s="3">
        <v>1</v>
      </c>
      <c r="D920" s="3">
        <v>1</v>
      </c>
      <c r="E920" s="3">
        <f>C920 - D920</f>
        <v>0</v>
      </c>
    </row>
    <row r="921" spans="2:5" x14ac:dyDescent="0.35">
      <c r="B921" s="38">
        <v>37422</v>
      </c>
      <c r="C921" s="3">
        <v>1</v>
      </c>
      <c r="D921" s="3">
        <v>1</v>
      </c>
      <c r="E921" s="3">
        <f>C921 - D921</f>
        <v>0</v>
      </c>
    </row>
    <row r="922" spans="2:5" x14ac:dyDescent="0.35">
      <c r="B922" s="38">
        <v>37423</v>
      </c>
      <c r="C922" s="3">
        <v>1</v>
      </c>
      <c r="D922" s="3">
        <v>1</v>
      </c>
      <c r="E922" s="3">
        <f>C922 - D922</f>
        <v>0</v>
      </c>
    </row>
    <row r="923" spans="2:5" x14ac:dyDescent="0.35">
      <c r="B923" s="38">
        <v>37424</v>
      </c>
      <c r="C923" s="3">
        <v>0</v>
      </c>
      <c r="D923" s="3">
        <v>1</v>
      </c>
      <c r="E923" s="3">
        <f>C923 - D923</f>
        <v>-1</v>
      </c>
    </row>
    <row r="924" spans="2:5" x14ac:dyDescent="0.35">
      <c r="B924" s="38">
        <v>37425</v>
      </c>
      <c r="C924" s="3">
        <v>0</v>
      </c>
      <c r="D924" s="3">
        <v>0</v>
      </c>
      <c r="E924" s="3">
        <f>C924 - D924</f>
        <v>0</v>
      </c>
    </row>
    <row r="925" spans="2:5" x14ac:dyDescent="0.35">
      <c r="B925" s="38">
        <v>37426</v>
      </c>
      <c r="C925" s="3">
        <v>0</v>
      </c>
      <c r="D925" s="3">
        <v>0</v>
      </c>
      <c r="E925" s="3">
        <f>C925 - D925</f>
        <v>0</v>
      </c>
    </row>
    <row r="926" spans="2:5" x14ac:dyDescent="0.35">
      <c r="B926" s="38">
        <v>37427</v>
      </c>
      <c r="C926" s="3">
        <v>0</v>
      </c>
      <c r="D926" s="3">
        <v>0</v>
      </c>
      <c r="E926" s="3">
        <f>C926 - D926</f>
        <v>0</v>
      </c>
    </row>
    <row r="927" spans="2:5" x14ac:dyDescent="0.35">
      <c r="B927" s="38">
        <v>37428</v>
      </c>
      <c r="C927" s="3">
        <v>1</v>
      </c>
      <c r="D927" s="3">
        <v>0</v>
      </c>
      <c r="E927" s="3">
        <f>C927 - D927</f>
        <v>1</v>
      </c>
    </row>
    <row r="928" spans="2:5" x14ac:dyDescent="0.35">
      <c r="B928" s="38">
        <v>37429</v>
      </c>
      <c r="C928" s="3">
        <v>0</v>
      </c>
      <c r="D928" s="3">
        <v>1</v>
      </c>
      <c r="E928" s="3">
        <f>C928 - D928</f>
        <v>-1</v>
      </c>
    </row>
    <row r="929" spans="2:5" x14ac:dyDescent="0.35">
      <c r="B929" s="38">
        <v>37430</v>
      </c>
      <c r="C929" s="3">
        <v>0</v>
      </c>
      <c r="D929" s="3">
        <v>0</v>
      </c>
      <c r="E929" s="3">
        <f>C929 - D929</f>
        <v>0</v>
      </c>
    </row>
    <row r="930" spans="2:5" x14ac:dyDescent="0.35">
      <c r="B930" s="38">
        <v>37431</v>
      </c>
      <c r="C930" s="3">
        <v>0</v>
      </c>
      <c r="D930" s="3">
        <v>0</v>
      </c>
      <c r="E930" s="3">
        <f>C930 - D930</f>
        <v>0</v>
      </c>
    </row>
    <row r="931" spans="2:5" x14ac:dyDescent="0.35">
      <c r="B931" s="38">
        <v>37432</v>
      </c>
      <c r="C931" s="3">
        <v>0</v>
      </c>
      <c r="D931" s="3">
        <v>0</v>
      </c>
      <c r="E931" s="3">
        <f>C931 - D931</f>
        <v>0</v>
      </c>
    </row>
    <row r="932" spans="2:5" x14ac:dyDescent="0.35">
      <c r="B932" s="38">
        <v>37433</v>
      </c>
      <c r="C932" s="3">
        <v>1</v>
      </c>
      <c r="D932" s="3">
        <v>0</v>
      </c>
      <c r="E932" s="3">
        <f>C932 - D932</f>
        <v>1</v>
      </c>
    </row>
    <row r="933" spans="2:5" x14ac:dyDescent="0.35">
      <c r="B933" s="38">
        <v>37434</v>
      </c>
      <c r="C933" s="3">
        <v>0</v>
      </c>
      <c r="D933" s="3">
        <v>1</v>
      </c>
      <c r="E933" s="3">
        <f>C933 - D933</f>
        <v>-1</v>
      </c>
    </row>
    <row r="934" spans="2:5" x14ac:dyDescent="0.35">
      <c r="B934" s="38">
        <v>37435</v>
      </c>
      <c r="C934" s="3">
        <v>1</v>
      </c>
      <c r="D934" s="3">
        <v>0</v>
      </c>
      <c r="E934" s="3">
        <f>C934 - D934</f>
        <v>1</v>
      </c>
    </row>
    <row r="935" spans="2:5" x14ac:dyDescent="0.35">
      <c r="B935" s="38">
        <v>37436</v>
      </c>
      <c r="C935" s="3">
        <v>1</v>
      </c>
      <c r="D935" s="3">
        <v>1</v>
      </c>
      <c r="E935" s="3">
        <f>C935 - D935</f>
        <v>0</v>
      </c>
    </row>
    <row r="936" spans="2:5" x14ac:dyDescent="0.35">
      <c r="B936" s="38">
        <v>37437</v>
      </c>
      <c r="C936" s="3">
        <v>1</v>
      </c>
      <c r="D936" s="3">
        <v>1</v>
      </c>
      <c r="E936" s="3">
        <f>C936 - D936</f>
        <v>0</v>
      </c>
    </row>
    <row r="937" spans="2:5" x14ac:dyDescent="0.35">
      <c r="B937" s="38">
        <v>37438</v>
      </c>
      <c r="C937" s="3">
        <v>0</v>
      </c>
      <c r="D937" s="3">
        <v>1</v>
      </c>
      <c r="E937" s="3">
        <f>C937 - D937</f>
        <v>-1</v>
      </c>
    </row>
    <row r="938" spans="2:5" x14ac:dyDescent="0.35">
      <c r="B938" s="38">
        <v>37439</v>
      </c>
      <c r="C938" s="3">
        <v>0</v>
      </c>
      <c r="D938" s="3">
        <v>0</v>
      </c>
      <c r="E938" s="3">
        <f>C938 - D938</f>
        <v>0</v>
      </c>
    </row>
    <row r="939" spans="2:5" x14ac:dyDescent="0.35">
      <c r="B939" s="38">
        <v>37440</v>
      </c>
      <c r="C939" s="3">
        <v>1</v>
      </c>
      <c r="D939" s="3">
        <v>0</v>
      </c>
      <c r="E939" s="3">
        <f>C939 - D939</f>
        <v>1</v>
      </c>
    </row>
    <row r="940" spans="2:5" x14ac:dyDescent="0.35">
      <c r="B940" s="38">
        <v>37441</v>
      </c>
      <c r="C940" s="3">
        <v>1</v>
      </c>
      <c r="D940" s="3">
        <v>1</v>
      </c>
      <c r="E940" s="3">
        <f>C940 - D940</f>
        <v>0</v>
      </c>
    </row>
    <row r="941" spans="2:5" x14ac:dyDescent="0.35">
      <c r="B941" s="38">
        <v>37442</v>
      </c>
      <c r="C941" s="3">
        <v>1</v>
      </c>
      <c r="D941" s="3">
        <v>1</v>
      </c>
      <c r="E941" s="3">
        <f>C941 - D941</f>
        <v>0</v>
      </c>
    </row>
    <row r="942" spans="2:5" x14ac:dyDescent="0.35">
      <c r="B942" s="38">
        <v>37443</v>
      </c>
      <c r="C942" s="3">
        <v>0</v>
      </c>
      <c r="D942" s="3">
        <v>1</v>
      </c>
      <c r="E942" s="3">
        <f>C942 - D942</f>
        <v>-1</v>
      </c>
    </row>
    <row r="943" spans="2:5" x14ac:dyDescent="0.35">
      <c r="B943" s="38">
        <v>37444</v>
      </c>
      <c r="C943" s="3">
        <v>1</v>
      </c>
      <c r="D943" s="3">
        <v>0</v>
      </c>
      <c r="E943" s="3">
        <f>C943 - D943</f>
        <v>1</v>
      </c>
    </row>
    <row r="944" spans="2:5" x14ac:dyDescent="0.35">
      <c r="B944" s="38">
        <v>37445</v>
      </c>
      <c r="C944" s="3">
        <v>0</v>
      </c>
      <c r="D944" s="3">
        <v>1</v>
      </c>
      <c r="E944" s="3">
        <f>C944 - D944</f>
        <v>-1</v>
      </c>
    </row>
    <row r="945" spans="2:5" x14ac:dyDescent="0.35">
      <c r="B945" s="38">
        <v>37446</v>
      </c>
      <c r="C945" s="3">
        <v>0</v>
      </c>
      <c r="D945" s="3">
        <v>0</v>
      </c>
      <c r="E945" s="3">
        <f>C945 - D945</f>
        <v>0</v>
      </c>
    </row>
    <row r="946" spans="2:5" x14ac:dyDescent="0.35">
      <c r="B946" s="38">
        <v>37447</v>
      </c>
      <c r="C946" s="3">
        <v>1</v>
      </c>
      <c r="D946" s="3">
        <v>0</v>
      </c>
      <c r="E946" s="3">
        <f>C946 - D946</f>
        <v>1</v>
      </c>
    </row>
    <row r="947" spans="2:5" x14ac:dyDescent="0.35">
      <c r="B947" s="38">
        <v>37448</v>
      </c>
      <c r="C947" s="3">
        <v>0</v>
      </c>
      <c r="D947" s="3">
        <v>1</v>
      </c>
      <c r="E947" s="3">
        <f>C947 - D947</f>
        <v>-1</v>
      </c>
    </row>
    <row r="948" spans="2:5" x14ac:dyDescent="0.35">
      <c r="B948" s="38">
        <v>37449</v>
      </c>
      <c r="C948" s="3">
        <v>0</v>
      </c>
      <c r="D948" s="3">
        <v>0</v>
      </c>
      <c r="E948" s="3">
        <f>C948 - D948</f>
        <v>0</v>
      </c>
    </row>
    <row r="949" spans="2:5" x14ac:dyDescent="0.35">
      <c r="B949" s="38">
        <v>37450</v>
      </c>
      <c r="C949" s="3">
        <v>0</v>
      </c>
      <c r="D949" s="3">
        <v>0</v>
      </c>
      <c r="E949" s="3">
        <f>C949 - D949</f>
        <v>0</v>
      </c>
    </row>
    <row r="950" spans="2:5" x14ac:dyDescent="0.35">
      <c r="B950" s="38">
        <v>37451</v>
      </c>
      <c r="C950" s="3">
        <v>1</v>
      </c>
      <c r="D950" s="3">
        <v>0</v>
      </c>
      <c r="E950" s="3">
        <f>C950 - D950</f>
        <v>1</v>
      </c>
    </row>
    <row r="951" spans="2:5" x14ac:dyDescent="0.35">
      <c r="B951" s="38">
        <v>37452</v>
      </c>
      <c r="C951" s="3">
        <v>0</v>
      </c>
      <c r="D951" s="3">
        <v>1</v>
      </c>
      <c r="E951" s="3">
        <f>C951 - D951</f>
        <v>-1</v>
      </c>
    </row>
    <row r="952" spans="2:5" x14ac:dyDescent="0.35">
      <c r="B952" s="38">
        <v>37453</v>
      </c>
      <c r="C952" s="3">
        <v>0</v>
      </c>
      <c r="D952" s="3">
        <v>0</v>
      </c>
      <c r="E952" s="3">
        <f>C952 - D952</f>
        <v>0</v>
      </c>
    </row>
    <row r="953" spans="2:5" x14ac:dyDescent="0.35">
      <c r="B953" s="38">
        <v>37454</v>
      </c>
      <c r="C953" s="3">
        <v>1</v>
      </c>
      <c r="D953" s="3">
        <v>0</v>
      </c>
      <c r="E953" s="3">
        <f>C953 - D953</f>
        <v>1</v>
      </c>
    </row>
    <row r="954" spans="2:5" x14ac:dyDescent="0.35">
      <c r="B954" s="38">
        <v>37455</v>
      </c>
      <c r="C954" s="3">
        <v>1</v>
      </c>
      <c r="D954" s="3">
        <v>1</v>
      </c>
      <c r="E954" s="3">
        <f>C954 - D954</f>
        <v>0</v>
      </c>
    </row>
    <row r="955" spans="2:5" x14ac:dyDescent="0.35">
      <c r="B955" s="38">
        <v>37456</v>
      </c>
      <c r="C955" s="3">
        <v>0</v>
      </c>
      <c r="D955" s="3">
        <v>1</v>
      </c>
      <c r="E955" s="3">
        <f>C955 - D955</f>
        <v>-1</v>
      </c>
    </row>
    <row r="956" spans="2:5" x14ac:dyDescent="0.35">
      <c r="B956" s="38">
        <v>37457</v>
      </c>
      <c r="C956" s="3">
        <v>1</v>
      </c>
      <c r="D956" s="3">
        <v>0</v>
      </c>
      <c r="E956" s="3">
        <f>C956 - D956</f>
        <v>1</v>
      </c>
    </row>
    <row r="957" spans="2:5" x14ac:dyDescent="0.35">
      <c r="B957" s="38">
        <v>37458</v>
      </c>
      <c r="C957" s="3">
        <v>1</v>
      </c>
      <c r="D957" s="3">
        <v>1</v>
      </c>
      <c r="E957" s="3">
        <f>C957 - D957</f>
        <v>0</v>
      </c>
    </row>
    <row r="958" spans="2:5" x14ac:dyDescent="0.35">
      <c r="B958" s="38">
        <v>37459</v>
      </c>
      <c r="C958" s="3">
        <v>0</v>
      </c>
      <c r="D958" s="3">
        <v>1</v>
      </c>
      <c r="E958" s="3">
        <f>C958 - D958</f>
        <v>-1</v>
      </c>
    </row>
    <row r="959" spans="2:5" x14ac:dyDescent="0.35">
      <c r="B959" s="38">
        <v>37460</v>
      </c>
      <c r="C959" s="3">
        <v>1</v>
      </c>
      <c r="D959" s="3">
        <v>0</v>
      </c>
      <c r="E959" s="3">
        <f>C959 - D959</f>
        <v>1</v>
      </c>
    </row>
    <row r="960" spans="2:5" x14ac:dyDescent="0.35">
      <c r="B960" s="38">
        <v>37461</v>
      </c>
      <c r="C960" s="3">
        <v>1</v>
      </c>
      <c r="D960" s="3">
        <v>1</v>
      </c>
      <c r="E960" s="3">
        <f>C960 - D960</f>
        <v>0</v>
      </c>
    </row>
    <row r="961" spans="2:5" x14ac:dyDescent="0.35">
      <c r="B961" s="38">
        <v>37462</v>
      </c>
      <c r="C961" s="3">
        <v>0</v>
      </c>
      <c r="D961" s="3">
        <v>1</v>
      </c>
      <c r="E961" s="3">
        <f>C961 - D961</f>
        <v>-1</v>
      </c>
    </row>
    <row r="962" spans="2:5" x14ac:dyDescent="0.35">
      <c r="B962" s="38">
        <v>37463</v>
      </c>
      <c r="C962" s="3">
        <v>0</v>
      </c>
      <c r="D962" s="3">
        <v>0</v>
      </c>
      <c r="E962" s="3">
        <f>C962 - D962</f>
        <v>0</v>
      </c>
    </row>
    <row r="963" spans="2:5" x14ac:dyDescent="0.35">
      <c r="B963" s="38">
        <v>37464</v>
      </c>
      <c r="C963" s="3">
        <v>0</v>
      </c>
      <c r="D963" s="3">
        <v>0</v>
      </c>
      <c r="E963" s="3">
        <f>C963 - D963</f>
        <v>0</v>
      </c>
    </row>
    <row r="964" spans="2:5" x14ac:dyDescent="0.35">
      <c r="B964" s="38">
        <v>37465</v>
      </c>
      <c r="C964" s="3">
        <v>0</v>
      </c>
      <c r="D964" s="3">
        <v>0</v>
      </c>
      <c r="E964" s="3">
        <f>C964 - D964</f>
        <v>0</v>
      </c>
    </row>
    <row r="965" spans="2:5" x14ac:dyDescent="0.35">
      <c r="B965" s="38">
        <v>37466</v>
      </c>
      <c r="C965" s="3">
        <v>1</v>
      </c>
      <c r="D965" s="3">
        <v>0</v>
      </c>
      <c r="E965" s="3">
        <f>C965 - D965</f>
        <v>1</v>
      </c>
    </row>
    <row r="966" spans="2:5" x14ac:dyDescent="0.35">
      <c r="B966" s="38">
        <v>37467</v>
      </c>
      <c r="C966" s="3">
        <v>0</v>
      </c>
      <c r="D966" s="3">
        <v>1</v>
      </c>
      <c r="E966" s="3">
        <f>C966 - D966</f>
        <v>-1</v>
      </c>
    </row>
    <row r="967" spans="2:5" x14ac:dyDescent="0.35">
      <c r="B967" s="38">
        <v>37468</v>
      </c>
      <c r="C967" s="3">
        <v>0</v>
      </c>
      <c r="D967" s="3">
        <v>0</v>
      </c>
      <c r="E967" s="3">
        <f>C967 - D967</f>
        <v>0</v>
      </c>
    </row>
    <row r="968" spans="2:5" x14ac:dyDescent="0.35">
      <c r="B968" s="38">
        <v>37469</v>
      </c>
      <c r="C968" s="3">
        <v>0</v>
      </c>
      <c r="D968" s="3">
        <v>0</v>
      </c>
      <c r="E968" s="3">
        <f>C968 - D968</f>
        <v>0</v>
      </c>
    </row>
    <row r="969" spans="2:5" x14ac:dyDescent="0.35">
      <c r="B969" s="38">
        <v>37470</v>
      </c>
      <c r="C969" s="3">
        <v>1</v>
      </c>
      <c r="D969" s="3">
        <v>0</v>
      </c>
      <c r="E969" s="3">
        <f>C969 - D969</f>
        <v>1</v>
      </c>
    </row>
    <row r="970" spans="2:5" x14ac:dyDescent="0.35">
      <c r="B970" s="38">
        <v>37471</v>
      </c>
      <c r="C970" s="3">
        <v>1</v>
      </c>
      <c r="D970" s="3">
        <v>1</v>
      </c>
      <c r="E970" s="3">
        <f>C970 - D970</f>
        <v>0</v>
      </c>
    </row>
    <row r="971" spans="2:5" x14ac:dyDescent="0.35">
      <c r="B971" s="38">
        <v>37472</v>
      </c>
      <c r="C971" s="3">
        <v>1</v>
      </c>
      <c r="D971" s="3">
        <v>1</v>
      </c>
      <c r="E971" s="3">
        <f>C971 - D971</f>
        <v>0</v>
      </c>
    </row>
    <row r="972" spans="2:5" x14ac:dyDescent="0.35">
      <c r="B972" s="38">
        <v>37473</v>
      </c>
      <c r="C972" s="3">
        <v>0</v>
      </c>
      <c r="D972" s="3">
        <v>1</v>
      </c>
      <c r="E972" s="3">
        <f>C972 - D972</f>
        <v>-1</v>
      </c>
    </row>
    <row r="973" spans="2:5" x14ac:dyDescent="0.35">
      <c r="B973" s="38">
        <v>37474</v>
      </c>
      <c r="C973" s="3">
        <v>1</v>
      </c>
      <c r="D973" s="3">
        <v>0</v>
      </c>
      <c r="E973" s="3">
        <f>C973 - D973</f>
        <v>1</v>
      </c>
    </row>
    <row r="974" spans="2:5" x14ac:dyDescent="0.35">
      <c r="B974" s="38">
        <v>37475</v>
      </c>
      <c r="C974" s="3">
        <v>1</v>
      </c>
      <c r="D974" s="3">
        <v>1</v>
      </c>
      <c r="E974" s="3">
        <f>C974 - D974</f>
        <v>0</v>
      </c>
    </row>
    <row r="975" spans="2:5" x14ac:dyDescent="0.35">
      <c r="B975" s="38">
        <v>37476</v>
      </c>
      <c r="C975" s="3">
        <v>1</v>
      </c>
      <c r="D975" s="3">
        <v>1</v>
      </c>
      <c r="E975" s="3">
        <f>C975 - D975</f>
        <v>0</v>
      </c>
    </row>
    <row r="976" spans="2:5" x14ac:dyDescent="0.35">
      <c r="B976" s="38">
        <v>37477</v>
      </c>
      <c r="C976" s="3">
        <v>0</v>
      </c>
      <c r="D976" s="3">
        <v>1</v>
      </c>
      <c r="E976" s="3">
        <f>C976 - D976</f>
        <v>-1</v>
      </c>
    </row>
    <row r="977" spans="2:5" x14ac:dyDescent="0.35">
      <c r="B977" s="38">
        <v>37478</v>
      </c>
      <c r="C977" s="3">
        <v>0</v>
      </c>
      <c r="D977" s="3">
        <v>0</v>
      </c>
      <c r="E977" s="3">
        <f>C977 - D977</f>
        <v>0</v>
      </c>
    </row>
    <row r="978" spans="2:5" x14ac:dyDescent="0.35">
      <c r="B978" s="38">
        <v>37479</v>
      </c>
      <c r="C978" s="3">
        <v>0</v>
      </c>
      <c r="D978" s="3">
        <v>0</v>
      </c>
      <c r="E978" s="3">
        <f>C978 - D978</f>
        <v>0</v>
      </c>
    </row>
    <row r="979" spans="2:5" x14ac:dyDescent="0.35">
      <c r="B979" s="38">
        <v>37480</v>
      </c>
      <c r="C979" s="3">
        <v>1</v>
      </c>
      <c r="D979" s="3">
        <v>0</v>
      </c>
      <c r="E979" s="3">
        <f>C979 - D979</f>
        <v>1</v>
      </c>
    </row>
    <row r="980" spans="2:5" x14ac:dyDescent="0.35">
      <c r="B980" s="38">
        <v>37481</v>
      </c>
      <c r="C980" s="3">
        <v>1</v>
      </c>
      <c r="D980" s="3">
        <v>1</v>
      </c>
      <c r="E980" s="3">
        <f>C980 - D980</f>
        <v>0</v>
      </c>
    </row>
    <row r="981" spans="2:5" x14ac:dyDescent="0.35">
      <c r="B981" s="38">
        <v>37482</v>
      </c>
      <c r="C981" s="3">
        <v>1</v>
      </c>
      <c r="D981" s="3">
        <v>1</v>
      </c>
      <c r="E981" s="3">
        <f>C981 - D981</f>
        <v>0</v>
      </c>
    </row>
    <row r="982" spans="2:5" x14ac:dyDescent="0.35">
      <c r="B982" s="38">
        <v>37483</v>
      </c>
      <c r="C982" s="3">
        <v>0</v>
      </c>
      <c r="D982" s="3">
        <v>1</v>
      </c>
      <c r="E982" s="3">
        <f>C982 - D982</f>
        <v>-1</v>
      </c>
    </row>
    <row r="983" spans="2:5" x14ac:dyDescent="0.35">
      <c r="B983" s="38">
        <v>37484</v>
      </c>
      <c r="C983" s="3">
        <v>0</v>
      </c>
      <c r="D983" s="3">
        <v>0</v>
      </c>
      <c r="E983" s="3">
        <f>C983 - D983</f>
        <v>0</v>
      </c>
    </row>
    <row r="984" spans="2:5" x14ac:dyDescent="0.35">
      <c r="B984" s="38">
        <v>37485</v>
      </c>
      <c r="C984" s="3">
        <v>0</v>
      </c>
      <c r="D984" s="3">
        <v>0</v>
      </c>
      <c r="E984" s="3">
        <f>C984 - D984</f>
        <v>0</v>
      </c>
    </row>
    <row r="985" spans="2:5" x14ac:dyDescent="0.35">
      <c r="B985" s="38">
        <v>37486</v>
      </c>
      <c r="C985" s="3">
        <v>0</v>
      </c>
      <c r="D985" s="3">
        <v>0</v>
      </c>
      <c r="E985" s="3">
        <f>C985 - D985</f>
        <v>0</v>
      </c>
    </row>
    <row r="986" spans="2:5" x14ac:dyDescent="0.35">
      <c r="B986" s="38">
        <v>37487</v>
      </c>
      <c r="C986" s="3">
        <v>0</v>
      </c>
      <c r="D986" s="3">
        <v>0</v>
      </c>
      <c r="E986" s="3">
        <f>C986 - D986</f>
        <v>0</v>
      </c>
    </row>
    <row r="987" spans="2:5" x14ac:dyDescent="0.35">
      <c r="B987" s="38">
        <v>37488</v>
      </c>
      <c r="C987" s="3">
        <v>0</v>
      </c>
      <c r="D987" s="3">
        <v>0</v>
      </c>
      <c r="E987" s="3">
        <f>C987 - D987</f>
        <v>0</v>
      </c>
    </row>
    <row r="988" spans="2:5" x14ac:dyDescent="0.35">
      <c r="B988" s="38">
        <v>37489</v>
      </c>
      <c r="C988" s="3">
        <v>0</v>
      </c>
      <c r="D988" s="3">
        <v>0</v>
      </c>
      <c r="E988" s="3">
        <f>C988 - D988</f>
        <v>0</v>
      </c>
    </row>
    <row r="989" spans="2:5" x14ac:dyDescent="0.35">
      <c r="B989" s="38">
        <v>37490</v>
      </c>
      <c r="C989" s="3">
        <v>0</v>
      </c>
      <c r="D989" s="3">
        <v>0</v>
      </c>
      <c r="E989" s="3">
        <f>C989 - D989</f>
        <v>0</v>
      </c>
    </row>
    <row r="990" spans="2:5" x14ac:dyDescent="0.35">
      <c r="B990" s="38">
        <v>37491</v>
      </c>
      <c r="C990" s="3">
        <v>1</v>
      </c>
      <c r="D990" s="3">
        <v>0</v>
      </c>
      <c r="E990" s="3">
        <f>C990 - D990</f>
        <v>1</v>
      </c>
    </row>
    <row r="991" spans="2:5" x14ac:dyDescent="0.35">
      <c r="B991" s="38">
        <v>37492</v>
      </c>
      <c r="C991" s="3">
        <v>0</v>
      </c>
      <c r="D991" s="3">
        <v>1</v>
      </c>
      <c r="E991" s="3">
        <f>C991 - D991</f>
        <v>-1</v>
      </c>
    </row>
    <row r="992" spans="2:5" x14ac:dyDescent="0.35">
      <c r="B992" s="38">
        <v>37493</v>
      </c>
      <c r="C992" s="3">
        <v>0</v>
      </c>
      <c r="D992" s="3">
        <v>0</v>
      </c>
      <c r="E992" s="3">
        <f>C992 - D992</f>
        <v>0</v>
      </c>
    </row>
    <row r="993" spans="2:5" x14ac:dyDescent="0.35">
      <c r="B993" s="38">
        <v>37494</v>
      </c>
      <c r="C993" s="3">
        <v>0</v>
      </c>
      <c r="D993" s="3">
        <v>0</v>
      </c>
      <c r="E993" s="3">
        <f>C993 - D993</f>
        <v>0</v>
      </c>
    </row>
    <row r="994" spans="2:5" x14ac:dyDescent="0.35">
      <c r="B994" s="38">
        <v>37495</v>
      </c>
      <c r="C994" s="3">
        <v>0</v>
      </c>
      <c r="D994" s="3">
        <v>0</v>
      </c>
      <c r="E994" s="3">
        <f>C994 - D994</f>
        <v>0</v>
      </c>
    </row>
    <row r="995" spans="2:5" x14ac:dyDescent="0.35">
      <c r="B995" s="38">
        <v>37496</v>
      </c>
      <c r="C995" s="3">
        <v>0</v>
      </c>
      <c r="D995" s="3">
        <v>0</v>
      </c>
      <c r="E995" s="3">
        <f>C995 - D995</f>
        <v>0</v>
      </c>
    </row>
    <row r="996" spans="2:5" x14ac:dyDescent="0.35">
      <c r="B996" s="38">
        <v>37497</v>
      </c>
      <c r="C996" s="3">
        <v>1</v>
      </c>
      <c r="D996" s="3">
        <v>0</v>
      </c>
      <c r="E996" s="3">
        <f>C996 - D996</f>
        <v>1</v>
      </c>
    </row>
    <row r="997" spans="2:5" x14ac:dyDescent="0.35">
      <c r="B997" s="38">
        <v>37498</v>
      </c>
      <c r="C997" s="3">
        <v>0</v>
      </c>
      <c r="D997" s="3">
        <v>1</v>
      </c>
      <c r="E997" s="3">
        <f>C997 - D997</f>
        <v>-1</v>
      </c>
    </row>
    <row r="998" spans="2:5" x14ac:dyDescent="0.35">
      <c r="B998" s="38">
        <v>37499</v>
      </c>
      <c r="C998" s="3">
        <v>1</v>
      </c>
      <c r="D998" s="3">
        <v>0</v>
      </c>
      <c r="E998" s="3">
        <f>C998 - D998</f>
        <v>1</v>
      </c>
    </row>
    <row r="999" spans="2:5" x14ac:dyDescent="0.35">
      <c r="B999" s="38">
        <v>37500</v>
      </c>
      <c r="C999" s="3">
        <v>0</v>
      </c>
      <c r="D999" s="3">
        <v>1</v>
      </c>
      <c r="E999" s="3">
        <f>C999 - D999</f>
        <v>-1</v>
      </c>
    </row>
    <row r="1000" spans="2:5" x14ac:dyDescent="0.35">
      <c r="B1000" s="38">
        <v>37501</v>
      </c>
      <c r="C1000" s="3">
        <v>0</v>
      </c>
      <c r="D1000" s="3">
        <v>0</v>
      </c>
      <c r="E1000" s="3">
        <f>C1000 - D1000</f>
        <v>0</v>
      </c>
    </row>
    <row r="1001" spans="2:5" x14ac:dyDescent="0.35">
      <c r="B1001" s="38">
        <v>37502</v>
      </c>
      <c r="C1001" s="3">
        <v>0</v>
      </c>
      <c r="D1001" s="3">
        <v>0</v>
      </c>
      <c r="E1001" s="3">
        <f>C1001 - D1001</f>
        <v>0</v>
      </c>
    </row>
    <row r="1002" spans="2:5" x14ac:dyDescent="0.35">
      <c r="B1002" s="38">
        <v>37503</v>
      </c>
      <c r="C1002" s="3">
        <v>1</v>
      </c>
      <c r="D1002" s="3">
        <v>0</v>
      </c>
      <c r="E1002" s="3">
        <f>C1002 - D1002</f>
        <v>1</v>
      </c>
    </row>
    <row r="1003" spans="2:5" x14ac:dyDescent="0.35">
      <c r="B1003" s="38">
        <v>37504</v>
      </c>
      <c r="C1003" s="3">
        <v>0</v>
      </c>
      <c r="D1003" s="3">
        <v>1</v>
      </c>
      <c r="E1003" s="3">
        <f>C1003 - D1003</f>
        <v>-1</v>
      </c>
    </row>
    <row r="1004" spans="2:5" x14ac:dyDescent="0.35">
      <c r="B1004" s="38">
        <v>37505</v>
      </c>
      <c r="C1004" s="3">
        <v>0</v>
      </c>
      <c r="D1004" s="3">
        <v>0</v>
      </c>
      <c r="E1004" s="3">
        <f>C1004 - D1004</f>
        <v>0</v>
      </c>
    </row>
    <row r="1005" spans="2:5" x14ac:dyDescent="0.35">
      <c r="B1005" s="38">
        <v>37506</v>
      </c>
      <c r="C1005" s="3">
        <v>1</v>
      </c>
      <c r="D1005" s="3">
        <v>0</v>
      </c>
      <c r="E1005" s="3">
        <f>C1005 - D1005</f>
        <v>1</v>
      </c>
    </row>
    <row r="1006" spans="2:5" x14ac:dyDescent="0.35">
      <c r="B1006" s="38">
        <v>37507</v>
      </c>
      <c r="C1006" s="3">
        <v>1</v>
      </c>
      <c r="D1006" s="3">
        <v>1</v>
      </c>
      <c r="E1006" s="3">
        <f>C1006 - D1006</f>
        <v>0</v>
      </c>
    </row>
    <row r="1007" spans="2:5" x14ac:dyDescent="0.35">
      <c r="B1007" s="38">
        <v>37508</v>
      </c>
      <c r="C1007" s="3">
        <v>1</v>
      </c>
      <c r="D1007" s="3">
        <v>1</v>
      </c>
      <c r="E1007" s="3">
        <f>C1007 - D1007</f>
        <v>0</v>
      </c>
    </row>
    <row r="1008" spans="2:5" x14ac:dyDescent="0.35">
      <c r="B1008" s="38">
        <v>37509</v>
      </c>
      <c r="C1008" s="3">
        <v>0</v>
      </c>
      <c r="D1008" s="3">
        <v>1</v>
      </c>
      <c r="E1008" s="3">
        <f>C1008 - D1008</f>
        <v>-1</v>
      </c>
    </row>
    <row r="1009" spans="2:5" x14ac:dyDescent="0.35">
      <c r="B1009" s="38">
        <v>37510</v>
      </c>
      <c r="C1009" s="3">
        <v>1</v>
      </c>
      <c r="D1009" s="3">
        <v>0</v>
      </c>
      <c r="E1009" s="3">
        <f>C1009 - D1009</f>
        <v>1</v>
      </c>
    </row>
    <row r="1010" spans="2:5" x14ac:dyDescent="0.35">
      <c r="B1010" s="38">
        <v>37511</v>
      </c>
      <c r="C1010" s="3">
        <v>0</v>
      </c>
      <c r="D1010" s="3">
        <v>1</v>
      </c>
      <c r="E1010" s="3">
        <f>C1010 - D1010</f>
        <v>-1</v>
      </c>
    </row>
    <row r="1011" spans="2:5" x14ac:dyDescent="0.35">
      <c r="B1011" s="38">
        <v>37512</v>
      </c>
      <c r="C1011" s="3">
        <v>0</v>
      </c>
      <c r="D1011" s="3">
        <v>0</v>
      </c>
      <c r="E1011" s="3">
        <f>C1011 - D1011</f>
        <v>0</v>
      </c>
    </row>
    <row r="1012" spans="2:5" x14ac:dyDescent="0.35">
      <c r="B1012" s="38">
        <v>37513</v>
      </c>
      <c r="C1012" s="3">
        <v>0</v>
      </c>
      <c r="D1012" s="3">
        <v>0</v>
      </c>
      <c r="E1012" s="3">
        <f>C1012 - D1012</f>
        <v>0</v>
      </c>
    </row>
    <row r="1013" spans="2:5" x14ac:dyDescent="0.35">
      <c r="B1013" s="38">
        <v>37514</v>
      </c>
      <c r="C1013" s="3">
        <v>0</v>
      </c>
      <c r="D1013" s="3">
        <v>0</v>
      </c>
      <c r="E1013" s="3">
        <f>C1013 - D1013</f>
        <v>0</v>
      </c>
    </row>
    <row r="1014" spans="2:5" x14ac:dyDescent="0.35">
      <c r="B1014" s="38">
        <v>37515</v>
      </c>
      <c r="C1014" s="3">
        <v>1</v>
      </c>
      <c r="D1014" s="3">
        <v>0</v>
      </c>
      <c r="E1014" s="3">
        <f>C1014 - D1014</f>
        <v>1</v>
      </c>
    </row>
    <row r="1015" spans="2:5" x14ac:dyDescent="0.35">
      <c r="B1015" s="38">
        <v>37516</v>
      </c>
      <c r="C1015" s="3">
        <v>1</v>
      </c>
      <c r="D1015" s="3">
        <v>1</v>
      </c>
      <c r="E1015" s="3">
        <f>C1015 - D1015</f>
        <v>0</v>
      </c>
    </row>
    <row r="1016" spans="2:5" x14ac:dyDescent="0.35">
      <c r="B1016" s="38">
        <v>37517</v>
      </c>
      <c r="C1016" s="3">
        <v>0</v>
      </c>
      <c r="D1016" s="3">
        <v>1</v>
      </c>
      <c r="E1016" s="3">
        <f>C1016 - D1016</f>
        <v>-1</v>
      </c>
    </row>
    <row r="1017" spans="2:5" x14ac:dyDescent="0.35">
      <c r="B1017" s="38">
        <v>37518</v>
      </c>
      <c r="C1017" s="3">
        <v>1</v>
      </c>
      <c r="D1017" s="3">
        <v>0</v>
      </c>
      <c r="E1017" s="3">
        <f>C1017 - D1017</f>
        <v>1</v>
      </c>
    </row>
    <row r="1018" spans="2:5" x14ac:dyDescent="0.35">
      <c r="B1018" s="38">
        <v>37519</v>
      </c>
      <c r="C1018" s="3">
        <v>1</v>
      </c>
      <c r="D1018" s="3">
        <v>1</v>
      </c>
      <c r="E1018" s="3">
        <f>C1018 - D1018</f>
        <v>0</v>
      </c>
    </row>
    <row r="1019" spans="2:5" x14ac:dyDescent="0.35">
      <c r="B1019" s="38">
        <v>37520</v>
      </c>
      <c r="C1019" s="3">
        <v>0</v>
      </c>
      <c r="D1019" s="3">
        <v>1</v>
      </c>
      <c r="E1019" s="3">
        <f>C1019 - D1019</f>
        <v>-1</v>
      </c>
    </row>
    <row r="1020" spans="2:5" x14ac:dyDescent="0.35">
      <c r="B1020" s="38">
        <v>37521</v>
      </c>
      <c r="C1020" s="3">
        <v>0</v>
      </c>
      <c r="D1020" s="3">
        <v>0</v>
      </c>
      <c r="E1020" s="3">
        <f>C1020 - D1020</f>
        <v>0</v>
      </c>
    </row>
    <row r="1021" spans="2:5" x14ac:dyDescent="0.35">
      <c r="B1021" s="38">
        <v>37522</v>
      </c>
      <c r="C1021" s="3">
        <v>0</v>
      </c>
      <c r="D1021" s="3">
        <v>0</v>
      </c>
      <c r="E1021" s="3">
        <f>C1021 - D1021</f>
        <v>0</v>
      </c>
    </row>
    <row r="1022" spans="2:5" x14ac:dyDescent="0.35">
      <c r="B1022" s="38">
        <v>37523</v>
      </c>
      <c r="C1022" s="3">
        <v>0</v>
      </c>
      <c r="D1022" s="3">
        <v>0</v>
      </c>
      <c r="E1022" s="3">
        <f>C1022 - D1022</f>
        <v>0</v>
      </c>
    </row>
    <row r="1023" spans="2:5" x14ac:dyDescent="0.35">
      <c r="B1023" s="38">
        <v>37524</v>
      </c>
      <c r="C1023" s="3">
        <v>0</v>
      </c>
      <c r="D1023" s="3">
        <v>0</v>
      </c>
      <c r="E1023" s="3">
        <f>C1023 - D1023</f>
        <v>0</v>
      </c>
    </row>
    <row r="1024" spans="2:5" x14ac:dyDescent="0.35">
      <c r="B1024" s="38">
        <v>37525</v>
      </c>
      <c r="C1024" s="3">
        <v>0</v>
      </c>
      <c r="D1024" s="3">
        <v>0</v>
      </c>
      <c r="E1024" s="3">
        <f>C1024 - D1024</f>
        <v>0</v>
      </c>
    </row>
    <row r="1025" spans="2:5" x14ac:dyDescent="0.35">
      <c r="B1025" s="38">
        <v>37526</v>
      </c>
      <c r="C1025" s="3">
        <v>0</v>
      </c>
      <c r="D1025" s="3">
        <v>0</v>
      </c>
      <c r="E1025" s="3">
        <f>C1025 - D1025</f>
        <v>0</v>
      </c>
    </row>
    <row r="1026" spans="2:5" x14ac:dyDescent="0.35">
      <c r="B1026" s="38">
        <v>37527</v>
      </c>
      <c r="C1026" s="3">
        <v>1</v>
      </c>
      <c r="D1026" s="3">
        <v>0</v>
      </c>
      <c r="E1026" s="3">
        <f>C1026 - D1026</f>
        <v>1</v>
      </c>
    </row>
    <row r="1027" spans="2:5" x14ac:dyDescent="0.35">
      <c r="B1027" s="38">
        <v>37528</v>
      </c>
      <c r="C1027" s="3">
        <v>1</v>
      </c>
      <c r="D1027" s="3">
        <v>1</v>
      </c>
      <c r="E1027" s="3">
        <f>C1027 - D1027</f>
        <v>0</v>
      </c>
    </row>
    <row r="1028" spans="2:5" x14ac:dyDescent="0.35">
      <c r="B1028" s="38">
        <v>37529</v>
      </c>
      <c r="C1028" s="3">
        <v>0</v>
      </c>
      <c r="D1028" s="3">
        <v>1</v>
      </c>
      <c r="E1028" s="3">
        <f>C1028 - D1028</f>
        <v>-1</v>
      </c>
    </row>
    <row r="1029" spans="2:5" x14ac:dyDescent="0.35">
      <c r="B1029" s="38">
        <v>37530</v>
      </c>
      <c r="C1029" s="3">
        <v>0</v>
      </c>
      <c r="D1029" s="3">
        <v>0</v>
      </c>
      <c r="E1029" s="3">
        <f>C1029 - D1029</f>
        <v>0</v>
      </c>
    </row>
    <row r="1030" spans="2:5" x14ac:dyDescent="0.35">
      <c r="B1030" s="38">
        <v>37531</v>
      </c>
      <c r="C1030" s="3">
        <v>0</v>
      </c>
      <c r="D1030" s="3">
        <v>0</v>
      </c>
      <c r="E1030" s="3">
        <f>C1030 - D1030</f>
        <v>0</v>
      </c>
    </row>
    <row r="1031" spans="2:5" x14ac:dyDescent="0.35">
      <c r="B1031" s="38">
        <v>37532</v>
      </c>
      <c r="C1031" s="3">
        <v>0</v>
      </c>
      <c r="D1031" s="3">
        <v>0</v>
      </c>
      <c r="E1031" s="3">
        <f>C1031 - D1031</f>
        <v>0</v>
      </c>
    </row>
    <row r="1032" spans="2:5" x14ac:dyDescent="0.35">
      <c r="B1032" s="38">
        <v>37533</v>
      </c>
      <c r="C1032" s="3">
        <v>1</v>
      </c>
      <c r="D1032" s="3">
        <v>0</v>
      </c>
      <c r="E1032" s="3">
        <f>C1032 - D1032</f>
        <v>1</v>
      </c>
    </row>
    <row r="1033" spans="2:5" x14ac:dyDescent="0.35">
      <c r="B1033" s="38">
        <v>37534</v>
      </c>
      <c r="C1033" s="3">
        <v>1</v>
      </c>
      <c r="D1033" s="3">
        <v>1</v>
      </c>
      <c r="E1033" s="3">
        <f>C1033 - D1033</f>
        <v>0</v>
      </c>
    </row>
    <row r="1034" spans="2:5" x14ac:dyDescent="0.35">
      <c r="B1034" s="38">
        <v>37535</v>
      </c>
      <c r="C1034" s="3">
        <v>0</v>
      </c>
      <c r="D1034" s="3">
        <v>1</v>
      </c>
      <c r="E1034" s="3">
        <f>C1034 - D1034</f>
        <v>-1</v>
      </c>
    </row>
    <row r="1035" spans="2:5" x14ac:dyDescent="0.35">
      <c r="B1035" s="38">
        <v>37536</v>
      </c>
      <c r="C1035" s="3">
        <v>0</v>
      </c>
      <c r="D1035" s="3">
        <v>0</v>
      </c>
      <c r="E1035" s="3">
        <f>C1035 - D1035</f>
        <v>0</v>
      </c>
    </row>
    <row r="1036" spans="2:5" x14ac:dyDescent="0.35">
      <c r="B1036" s="38">
        <v>37537</v>
      </c>
      <c r="C1036" s="3">
        <v>1</v>
      </c>
      <c r="D1036" s="3">
        <v>0</v>
      </c>
      <c r="E1036" s="3">
        <f>C1036 - D1036</f>
        <v>1</v>
      </c>
    </row>
    <row r="1037" spans="2:5" x14ac:dyDescent="0.35">
      <c r="B1037" s="38">
        <v>37538</v>
      </c>
      <c r="C1037" s="3">
        <v>1</v>
      </c>
      <c r="D1037" s="3">
        <v>1</v>
      </c>
      <c r="E1037" s="3">
        <f>C1037 - D1037</f>
        <v>0</v>
      </c>
    </row>
    <row r="1038" spans="2:5" x14ac:dyDescent="0.35">
      <c r="B1038" s="38">
        <v>37539</v>
      </c>
      <c r="C1038" s="3">
        <v>0</v>
      </c>
      <c r="D1038" s="3">
        <v>1</v>
      </c>
      <c r="E1038" s="3">
        <f>C1038 - D1038</f>
        <v>-1</v>
      </c>
    </row>
    <row r="1039" spans="2:5" x14ac:dyDescent="0.35">
      <c r="B1039" s="38">
        <v>37540</v>
      </c>
      <c r="C1039" s="3">
        <v>0</v>
      </c>
      <c r="D1039" s="3">
        <v>0</v>
      </c>
      <c r="E1039" s="3">
        <f>C1039 - D1039</f>
        <v>0</v>
      </c>
    </row>
    <row r="1040" spans="2:5" x14ac:dyDescent="0.35">
      <c r="B1040" s="38">
        <v>37541</v>
      </c>
      <c r="C1040" s="3">
        <v>0</v>
      </c>
      <c r="D1040" s="3">
        <v>0</v>
      </c>
      <c r="E1040" s="3">
        <f>C1040 - D1040</f>
        <v>0</v>
      </c>
    </row>
    <row r="1041" spans="2:5" x14ac:dyDescent="0.35">
      <c r="B1041" s="38">
        <v>37542</v>
      </c>
      <c r="C1041" s="3">
        <v>1</v>
      </c>
      <c r="D1041" s="3">
        <v>0</v>
      </c>
      <c r="E1041" s="3">
        <f>C1041 - D1041</f>
        <v>1</v>
      </c>
    </row>
    <row r="1042" spans="2:5" x14ac:dyDescent="0.35">
      <c r="B1042" s="38">
        <v>37543</v>
      </c>
      <c r="C1042" s="3">
        <v>1</v>
      </c>
      <c r="D1042" s="3">
        <v>1</v>
      </c>
      <c r="E1042" s="3">
        <f>C1042 - D1042</f>
        <v>0</v>
      </c>
    </row>
    <row r="1043" spans="2:5" x14ac:dyDescent="0.35">
      <c r="B1043" s="38">
        <v>37544</v>
      </c>
      <c r="C1043" s="3">
        <v>1</v>
      </c>
      <c r="D1043" s="3">
        <v>1</v>
      </c>
      <c r="E1043" s="3">
        <f>C1043 - D1043</f>
        <v>0</v>
      </c>
    </row>
    <row r="1044" spans="2:5" x14ac:dyDescent="0.35">
      <c r="B1044" s="38">
        <v>37545</v>
      </c>
      <c r="C1044" s="3">
        <v>1</v>
      </c>
      <c r="D1044" s="3">
        <v>1</v>
      </c>
      <c r="E1044" s="3">
        <f>C1044 - D1044</f>
        <v>0</v>
      </c>
    </row>
    <row r="1045" spans="2:5" x14ac:dyDescent="0.35">
      <c r="B1045" s="38">
        <v>37546</v>
      </c>
      <c r="C1045" s="3">
        <v>0</v>
      </c>
      <c r="D1045" s="3">
        <v>1</v>
      </c>
      <c r="E1045" s="3">
        <f>C1045 - D1045</f>
        <v>-1</v>
      </c>
    </row>
    <row r="1046" spans="2:5" x14ac:dyDescent="0.35">
      <c r="B1046" s="38">
        <v>37547</v>
      </c>
      <c r="C1046" s="3">
        <v>0</v>
      </c>
      <c r="D1046" s="3">
        <v>0</v>
      </c>
      <c r="E1046" s="3">
        <f>C1046 - D1046</f>
        <v>0</v>
      </c>
    </row>
    <row r="1047" spans="2:5" x14ac:dyDescent="0.35">
      <c r="B1047" s="38">
        <v>37548</v>
      </c>
      <c r="C1047" s="3">
        <v>0</v>
      </c>
      <c r="D1047" s="3">
        <v>0</v>
      </c>
      <c r="E1047" s="3">
        <f>C1047 - D1047</f>
        <v>0</v>
      </c>
    </row>
    <row r="1048" spans="2:5" x14ac:dyDescent="0.35">
      <c r="B1048" s="38">
        <v>37549</v>
      </c>
      <c r="C1048" s="3">
        <v>0</v>
      </c>
      <c r="D1048" s="3">
        <v>0</v>
      </c>
      <c r="E1048" s="3">
        <f>C1048 - D1048</f>
        <v>0</v>
      </c>
    </row>
    <row r="1049" spans="2:5" x14ac:dyDescent="0.35">
      <c r="B1049" s="38">
        <v>37550</v>
      </c>
      <c r="C1049" s="3">
        <v>0</v>
      </c>
      <c r="D1049" s="3">
        <v>0</v>
      </c>
      <c r="E1049" s="3">
        <f>C1049 - D1049</f>
        <v>0</v>
      </c>
    </row>
    <row r="1050" spans="2:5" x14ac:dyDescent="0.35">
      <c r="B1050" s="38">
        <v>37551</v>
      </c>
      <c r="C1050" s="3">
        <v>0</v>
      </c>
      <c r="D1050" s="3">
        <v>0</v>
      </c>
      <c r="E1050" s="3">
        <f>C1050 - D1050</f>
        <v>0</v>
      </c>
    </row>
    <row r="1051" spans="2:5" x14ac:dyDescent="0.35">
      <c r="B1051" s="38">
        <v>37552</v>
      </c>
      <c r="C1051" s="3">
        <v>1</v>
      </c>
      <c r="D1051" s="3">
        <v>0</v>
      </c>
      <c r="E1051" s="3">
        <f>C1051 - D1051</f>
        <v>1</v>
      </c>
    </row>
    <row r="1052" spans="2:5" x14ac:dyDescent="0.35">
      <c r="B1052" s="38">
        <v>37553</v>
      </c>
      <c r="C1052" s="3">
        <v>1</v>
      </c>
      <c r="D1052" s="3">
        <v>1</v>
      </c>
      <c r="E1052" s="3">
        <f>C1052 - D1052</f>
        <v>0</v>
      </c>
    </row>
    <row r="1053" spans="2:5" x14ac:dyDescent="0.35">
      <c r="B1053" s="38">
        <v>37554</v>
      </c>
      <c r="C1053" s="3">
        <v>1</v>
      </c>
      <c r="D1053" s="3">
        <v>1</v>
      </c>
      <c r="E1053" s="3">
        <f>C1053 - D1053</f>
        <v>0</v>
      </c>
    </row>
    <row r="1054" spans="2:5" x14ac:dyDescent="0.35">
      <c r="B1054" s="38">
        <v>37555</v>
      </c>
      <c r="C1054" s="3">
        <v>0</v>
      </c>
      <c r="D1054" s="3">
        <v>1</v>
      </c>
      <c r="E1054" s="3">
        <f>C1054 - D1054</f>
        <v>-1</v>
      </c>
    </row>
    <row r="1055" spans="2:5" x14ac:dyDescent="0.35">
      <c r="B1055" s="38">
        <v>37556</v>
      </c>
      <c r="C1055" s="3">
        <v>1</v>
      </c>
      <c r="D1055" s="3">
        <v>0</v>
      </c>
      <c r="E1055" s="3">
        <f>C1055 - D1055</f>
        <v>1</v>
      </c>
    </row>
    <row r="1056" spans="2:5" x14ac:dyDescent="0.35">
      <c r="B1056" s="38">
        <v>37557</v>
      </c>
      <c r="C1056" s="3">
        <v>1</v>
      </c>
      <c r="D1056" s="3">
        <v>1</v>
      </c>
      <c r="E1056" s="3">
        <f>C1056 - D1056</f>
        <v>0</v>
      </c>
    </row>
    <row r="1057" spans="2:5" x14ac:dyDescent="0.35">
      <c r="B1057" s="38">
        <v>37558</v>
      </c>
      <c r="C1057" s="3">
        <v>0</v>
      </c>
      <c r="D1057" s="3">
        <v>1</v>
      </c>
      <c r="E1057" s="3">
        <f>C1057 - D1057</f>
        <v>-1</v>
      </c>
    </row>
    <row r="1058" spans="2:5" x14ac:dyDescent="0.35">
      <c r="B1058" s="38">
        <v>37559</v>
      </c>
      <c r="C1058" s="3">
        <v>0</v>
      </c>
      <c r="D1058" s="3">
        <v>0</v>
      </c>
      <c r="E1058" s="3">
        <f>C1058 - D1058</f>
        <v>0</v>
      </c>
    </row>
    <row r="1059" spans="2:5" x14ac:dyDescent="0.35">
      <c r="B1059" s="38">
        <v>37560</v>
      </c>
      <c r="C1059" s="3">
        <v>0</v>
      </c>
      <c r="D1059" s="3">
        <v>0</v>
      </c>
      <c r="E1059" s="3">
        <f>C1059 - D1059</f>
        <v>0</v>
      </c>
    </row>
    <row r="1060" spans="2:5" x14ac:dyDescent="0.35">
      <c r="B1060" s="38">
        <v>37561</v>
      </c>
      <c r="C1060" s="3">
        <v>0</v>
      </c>
      <c r="D1060" s="3">
        <v>0</v>
      </c>
      <c r="E1060" s="3">
        <f>C1060 - D1060</f>
        <v>0</v>
      </c>
    </row>
    <row r="1061" spans="2:5" x14ac:dyDescent="0.35">
      <c r="B1061" s="38">
        <v>37562</v>
      </c>
      <c r="C1061" s="3">
        <v>0</v>
      </c>
      <c r="D1061" s="3">
        <v>0</v>
      </c>
      <c r="E1061" s="3">
        <f>C1061 - D1061</f>
        <v>0</v>
      </c>
    </row>
    <row r="1062" spans="2:5" x14ac:dyDescent="0.35">
      <c r="B1062" s="38">
        <v>37563</v>
      </c>
      <c r="C1062" s="3">
        <v>1</v>
      </c>
      <c r="D1062" s="3">
        <v>0</v>
      </c>
      <c r="E1062" s="3">
        <f>C1062 - D1062</f>
        <v>1</v>
      </c>
    </row>
    <row r="1063" spans="2:5" x14ac:dyDescent="0.35">
      <c r="B1063" s="38">
        <v>37564</v>
      </c>
      <c r="C1063" s="3">
        <v>1</v>
      </c>
      <c r="D1063" s="3">
        <v>1</v>
      </c>
      <c r="E1063" s="3">
        <f>C1063 - D1063</f>
        <v>0</v>
      </c>
    </row>
    <row r="1064" spans="2:5" x14ac:dyDescent="0.35">
      <c r="B1064" s="38">
        <v>37565</v>
      </c>
      <c r="C1064" s="3">
        <v>1</v>
      </c>
      <c r="D1064" s="3">
        <v>1</v>
      </c>
      <c r="E1064" s="3">
        <f>C1064 - D1064</f>
        <v>0</v>
      </c>
    </row>
    <row r="1065" spans="2:5" x14ac:dyDescent="0.35">
      <c r="B1065" s="38">
        <v>37566</v>
      </c>
      <c r="C1065" s="3">
        <v>0</v>
      </c>
      <c r="D1065" s="3">
        <v>1</v>
      </c>
      <c r="E1065" s="3">
        <f>C1065 - D1065</f>
        <v>-1</v>
      </c>
    </row>
    <row r="1066" spans="2:5" x14ac:dyDescent="0.35">
      <c r="B1066" s="38">
        <v>37567</v>
      </c>
      <c r="C1066" s="3">
        <v>0</v>
      </c>
      <c r="D1066" s="3">
        <v>0</v>
      </c>
      <c r="E1066" s="3">
        <f>C1066 - D1066</f>
        <v>0</v>
      </c>
    </row>
    <row r="1067" spans="2:5" x14ac:dyDescent="0.35">
      <c r="B1067" s="38">
        <v>37568</v>
      </c>
      <c r="C1067" s="3">
        <v>0</v>
      </c>
      <c r="D1067" s="3">
        <v>0</v>
      </c>
      <c r="E1067" s="3">
        <f>C1067 - D1067</f>
        <v>0</v>
      </c>
    </row>
    <row r="1068" spans="2:5" x14ac:dyDescent="0.35">
      <c r="B1068" s="38">
        <v>37569</v>
      </c>
      <c r="C1068" s="3">
        <v>0</v>
      </c>
      <c r="D1068" s="3">
        <v>0</v>
      </c>
      <c r="E1068" s="3">
        <f>C1068 - D1068</f>
        <v>0</v>
      </c>
    </row>
    <row r="1069" spans="2:5" x14ac:dyDescent="0.35">
      <c r="B1069" s="38">
        <v>37570</v>
      </c>
      <c r="C1069" s="3">
        <v>0</v>
      </c>
      <c r="D1069" s="3">
        <v>0</v>
      </c>
      <c r="E1069" s="3">
        <f>C1069 - D1069</f>
        <v>0</v>
      </c>
    </row>
    <row r="1070" spans="2:5" x14ac:dyDescent="0.35">
      <c r="B1070" s="38">
        <v>37571</v>
      </c>
      <c r="C1070" s="3">
        <v>0</v>
      </c>
      <c r="D1070" s="3">
        <v>0</v>
      </c>
      <c r="E1070" s="3">
        <f>C1070 - D1070</f>
        <v>0</v>
      </c>
    </row>
    <row r="1071" spans="2:5" x14ac:dyDescent="0.35">
      <c r="B1071" s="38">
        <v>37572</v>
      </c>
      <c r="C1071" s="3">
        <v>0</v>
      </c>
      <c r="D1071" s="3">
        <v>0</v>
      </c>
      <c r="E1071" s="3">
        <f>C1071 - D1071</f>
        <v>0</v>
      </c>
    </row>
    <row r="1072" spans="2:5" x14ac:dyDescent="0.35">
      <c r="B1072" s="38">
        <v>37573</v>
      </c>
      <c r="C1072" s="3">
        <v>0</v>
      </c>
      <c r="D1072" s="3">
        <v>0</v>
      </c>
      <c r="E1072" s="3">
        <f>C1072 - D1072</f>
        <v>0</v>
      </c>
    </row>
    <row r="1073" spans="2:5" x14ac:dyDescent="0.35">
      <c r="B1073" s="38">
        <v>37574</v>
      </c>
      <c r="C1073" s="3">
        <v>0</v>
      </c>
      <c r="D1073" s="3">
        <v>0</v>
      </c>
      <c r="E1073" s="3">
        <f>C1073 - D1073</f>
        <v>0</v>
      </c>
    </row>
    <row r="1074" spans="2:5" x14ac:dyDescent="0.35">
      <c r="B1074" s="38">
        <v>37575</v>
      </c>
      <c r="C1074" s="3">
        <v>0</v>
      </c>
      <c r="D1074" s="3">
        <v>0</v>
      </c>
      <c r="E1074" s="3">
        <f>C1074 - D1074</f>
        <v>0</v>
      </c>
    </row>
    <row r="1075" spans="2:5" x14ac:dyDescent="0.35">
      <c r="B1075" s="38">
        <v>37576</v>
      </c>
      <c r="C1075" s="3">
        <v>0</v>
      </c>
      <c r="D1075" s="3">
        <v>0</v>
      </c>
      <c r="E1075" s="3">
        <f>C1075 - D1075</f>
        <v>0</v>
      </c>
    </row>
    <row r="1076" spans="2:5" x14ac:dyDescent="0.35">
      <c r="B1076" s="38">
        <v>37577</v>
      </c>
      <c r="C1076" s="3">
        <v>0</v>
      </c>
      <c r="D1076" s="3">
        <v>0</v>
      </c>
      <c r="E1076" s="3">
        <f>C1076 - D1076</f>
        <v>0</v>
      </c>
    </row>
    <row r="1077" spans="2:5" x14ac:dyDescent="0.35">
      <c r="B1077" s="38">
        <v>37578</v>
      </c>
      <c r="C1077" s="3">
        <v>0</v>
      </c>
      <c r="D1077" s="3">
        <v>0</v>
      </c>
      <c r="E1077" s="3">
        <f>C1077 - D1077</f>
        <v>0</v>
      </c>
    </row>
    <row r="1078" spans="2:5" x14ac:dyDescent="0.35">
      <c r="B1078" s="38">
        <v>37579</v>
      </c>
      <c r="C1078" s="3">
        <v>0</v>
      </c>
      <c r="D1078" s="3">
        <v>0</v>
      </c>
      <c r="E1078" s="3">
        <f>C1078 - D1078</f>
        <v>0</v>
      </c>
    </row>
    <row r="1079" spans="2:5" x14ac:dyDescent="0.35">
      <c r="B1079" s="38">
        <v>37580</v>
      </c>
      <c r="C1079" s="3">
        <v>1</v>
      </c>
      <c r="D1079" s="3">
        <v>0</v>
      </c>
      <c r="E1079" s="3">
        <f>C1079 - D1079</f>
        <v>1</v>
      </c>
    </row>
    <row r="1080" spans="2:5" x14ac:dyDescent="0.35">
      <c r="B1080" s="38">
        <v>37581</v>
      </c>
      <c r="C1080" s="3">
        <v>0</v>
      </c>
      <c r="D1080" s="3">
        <v>1</v>
      </c>
      <c r="E1080" s="3">
        <f>C1080 - D1080</f>
        <v>-1</v>
      </c>
    </row>
    <row r="1081" spans="2:5" x14ac:dyDescent="0.35">
      <c r="B1081" s="38">
        <v>37582</v>
      </c>
      <c r="C1081" s="3">
        <v>0</v>
      </c>
      <c r="D1081" s="3">
        <v>0</v>
      </c>
      <c r="E1081" s="3">
        <f>C1081 - D1081</f>
        <v>0</v>
      </c>
    </row>
    <row r="1082" spans="2:5" x14ac:dyDescent="0.35">
      <c r="B1082" s="38">
        <v>37583</v>
      </c>
      <c r="C1082" s="3">
        <v>0</v>
      </c>
      <c r="D1082" s="3">
        <v>0</v>
      </c>
      <c r="E1082" s="3">
        <f>C1082 - D1082</f>
        <v>0</v>
      </c>
    </row>
    <row r="1083" spans="2:5" x14ac:dyDescent="0.35">
      <c r="B1083" s="38">
        <v>37584</v>
      </c>
      <c r="C1083" s="3">
        <v>0</v>
      </c>
      <c r="D1083" s="3">
        <v>0</v>
      </c>
      <c r="E1083" s="3">
        <f>C1083 - D1083</f>
        <v>0</v>
      </c>
    </row>
    <row r="1084" spans="2:5" x14ac:dyDescent="0.35">
      <c r="B1084" s="38">
        <v>37585</v>
      </c>
      <c r="C1084" s="3">
        <v>1</v>
      </c>
      <c r="D1084" s="3">
        <v>0</v>
      </c>
      <c r="E1084" s="3">
        <f>C1084 - D1084</f>
        <v>1</v>
      </c>
    </row>
    <row r="1085" spans="2:5" x14ac:dyDescent="0.35">
      <c r="B1085" s="38">
        <v>37586</v>
      </c>
      <c r="C1085" s="3">
        <v>1</v>
      </c>
      <c r="D1085" s="3">
        <v>1</v>
      </c>
      <c r="E1085" s="3">
        <f>C1085 - D1085</f>
        <v>0</v>
      </c>
    </row>
    <row r="1086" spans="2:5" x14ac:dyDescent="0.35">
      <c r="B1086" s="38">
        <v>37587</v>
      </c>
      <c r="C1086" s="3">
        <v>1</v>
      </c>
      <c r="D1086" s="3">
        <v>1</v>
      </c>
      <c r="E1086" s="3">
        <f>C1086 - D1086</f>
        <v>0</v>
      </c>
    </row>
    <row r="1087" spans="2:5" x14ac:dyDescent="0.35">
      <c r="B1087" s="38">
        <v>37588</v>
      </c>
      <c r="C1087" s="3">
        <v>0</v>
      </c>
      <c r="D1087" s="3">
        <v>1</v>
      </c>
      <c r="E1087" s="3">
        <f>C1087 - D1087</f>
        <v>-1</v>
      </c>
    </row>
    <row r="1088" spans="2:5" x14ac:dyDescent="0.35">
      <c r="B1088" s="38">
        <v>37589</v>
      </c>
      <c r="C1088" s="3">
        <v>0</v>
      </c>
      <c r="D1088" s="3">
        <v>0</v>
      </c>
      <c r="E1088" s="3">
        <f>C1088 - D1088</f>
        <v>0</v>
      </c>
    </row>
    <row r="1089" spans="2:5" x14ac:dyDescent="0.35">
      <c r="B1089" s="38">
        <v>37590</v>
      </c>
      <c r="C1089" s="3">
        <v>1</v>
      </c>
      <c r="D1089" s="3">
        <v>0</v>
      </c>
      <c r="E1089" s="3">
        <f>C1089 - D1089</f>
        <v>1</v>
      </c>
    </row>
    <row r="1090" spans="2:5" x14ac:dyDescent="0.35">
      <c r="B1090" s="38">
        <v>37591</v>
      </c>
      <c r="C1090" s="3">
        <v>0</v>
      </c>
      <c r="D1090" s="3">
        <v>1</v>
      </c>
      <c r="E1090" s="3">
        <f>C1090 - D1090</f>
        <v>-1</v>
      </c>
    </row>
    <row r="1091" spans="2:5" x14ac:dyDescent="0.35">
      <c r="B1091" s="38">
        <v>37592</v>
      </c>
      <c r="C1091" s="3">
        <v>0</v>
      </c>
      <c r="D1091" s="3">
        <v>0</v>
      </c>
      <c r="E1091" s="3">
        <f>C1091 - D1091</f>
        <v>0</v>
      </c>
    </row>
    <row r="1092" spans="2:5" x14ac:dyDescent="0.35">
      <c r="B1092" s="38">
        <v>37593</v>
      </c>
      <c r="C1092" s="3">
        <v>0</v>
      </c>
      <c r="D1092" s="3">
        <v>0</v>
      </c>
      <c r="E1092" s="3">
        <f>C1092 - D1092</f>
        <v>0</v>
      </c>
    </row>
    <row r="1093" spans="2:5" x14ac:dyDescent="0.35">
      <c r="B1093" s="38">
        <v>37594</v>
      </c>
      <c r="C1093" s="3">
        <v>0</v>
      </c>
      <c r="D1093" s="3">
        <v>0</v>
      </c>
      <c r="E1093" s="3">
        <f>C1093 - D1093</f>
        <v>0</v>
      </c>
    </row>
    <row r="1094" spans="2:5" x14ac:dyDescent="0.35">
      <c r="B1094" s="38">
        <v>37595</v>
      </c>
      <c r="C1094" s="3">
        <v>1</v>
      </c>
      <c r="D1094" s="3">
        <v>0</v>
      </c>
      <c r="E1094" s="3">
        <f>C1094 - D1094</f>
        <v>1</v>
      </c>
    </row>
    <row r="1095" spans="2:5" x14ac:dyDescent="0.35">
      <c r="B1095" s="38">
        <v>37596</v>
      </c>
      <c r="C1095" s="3">
        <v>1</v>
      </c>
      <c r="D1095" s="3">
        <v>1</v>
      </c>
      <c r="E1095" s="3">
        <f>C1095 - D1095</f>
        <v>0</v>
      </c>
    </row>
    <row r="1096" spans="2:5" x14ac:dyDescent="0.35">
      <c r="B1096" s="38">
        <v>37597</v>
      </c>
      <c r="C1096" s="3">
        <v>1</v>
      </c>
      <c r="D1096" s="3">
        <v>1</v>
      </c>
      <c r="E1096" s="3">
        <f>C1096 - D1096</f>
        <v>0</v>
      </c>
    </row>
    <row r="1097" spans="2:5" x14ac:dyDescent="0.35">
      <c r="B1097" s="38">
        <v>37598</v>
      </c>
      <c r="C1097" s="3">
        <v>0</v>
      </c>
      <c r="D1097" s="3">
        <v>1</v>
      </c>
      <c r="E1097" s="3">
        <f>C1097 - D1097</f>
        <v>-1</v>
      </c>
    </row>
    <row r="1098" spans="2:5" x14ac:dyDescent="0.35">
      <c r="B1098" s="38">
        <v>37599</v>
      </c>
      <c r="C1098" s="3">
        <v>1</v>
      </c>
      <c r="D1098" s="3">
        <v>0</v>
      </c>
      <c r="E1098" s="3">
        <f>C1098 - D1098</f>
        <v>1</v>
      </c>
    </row>
    <row r="1099" spans="2:5" x14ac:dyDescent="0.35">
      <c r="B1099" s="38">
        <v>37600</v>
      </c>
      <c r="C1099" s="3">
        <v>0</v>
      </c>
      <c r="D1099" s="3">
        <v>1</v>
      </c>
      <c r="E1099" s="3">
        <f>C1099 - D1099</f>
        <v>-1</v>
      </c>
    </row>
    <row r="1100" spans="2:5" x14ac:dyDescent="0.35">
      <c r="B1100" s="38">
        <v>37601</v>
      </c>
      <c r="C1100" s="3">
        <v>0</v>
      </c>
      <c r="D1100" s="3">
        <v>0</v>
      </c>
      <c r="E1100" s="3">
        <f>C1100 - D1100</f>
        <v>0</v>
      </c>
    </row>
    <row r="1101" spans="2:5" x14ac:dyDescent="0.35">
      <c r="B1101" s="38">
        <v>37602</v>
      </c>
      <c r="C1101" s="3">
        <v>0</v>
      </c>
      <c r="D1101" s="3">
        <v>0</v>
      </c>
      <c r="E1101" s="3">
        <f>C1101 - D1101</f>
        <v>0</v>
      </c>
    </row>
    <row r="1102" spans="2:5" x14ac:dyDescent="0.35">
      <c r="B1102" s="38">
        <v>37603</v>
      </c>
      <c r="C1102" s="3">
        <v>0</v>
      </c>
      <c r="D1102" s="3">
        <v>0</v>
      </c>
      <c r="E1102" s="3">
        <f>C1102 - D1102</f>
        <v>0</v>
      </c>
    </row>
    <row r="1103" spans="2:5" x14ac:dyDescent="0.35">
      <c r="B1103" s="38">
        <v>37604</v>
      </c>
      <c r="C1103" s="3">
        <v>0</v>
      </c>
      <c r="D1103" s="3">
        <v>0</v>
      </c>
      <c r="E1103" s="3">
        <f>C1103 - D1103</f>
        <v>0</v>
      </c>
    </row>
    <row r="1104" spans="2:5" x14ac:dyDescent="0.35">
      <c r="B1104" s="38">
        <v>37605</v>
      </c>
      <c r="C1104" s="3">
        <v>0</v>
      </c>
      <c r="D1104" s="3">
        <v>0</v>
      </c>
      <c r="E1104" s="3">
        <f>C1104 - D1104</f>
        <v>0</v>
      </c>
    </row>
    <row r="1105" spans="2:5" x14ac:dyDescent="0.35">
      <c r="B1105" s="38">
        <v>37606</v>
      </c>
      <c r="C1105" s="3">
        <v>0</v>
      </c>
      <c r="D1105" s="3">
        <v>0</v>
      </c>
      <c r="E1105" s="3">
        <f>C1105 - D1105</f>
        <v>0</v>
      </c>
    </row>
    <row r="1106" spans="2:5" x14ac:dyDescent="0.35">
      <c r="B1106" s="38">
        <v>37607</v>
      </c>
      <c r="C1106" s="3">
        <v>0</v>
      </c>
      <c r="D1106" s="3">
        <v>0</v>
      </c>
      <c r="E1106" s="3">
        <f>C1106 - D1106</f>
        <v>0</v>
      </c>
    </row>
    <row r="1107" spans="2:5" x14ac:dyDescent="0.35">
      <c r="B1107" s="38">
        <v>37608</v>
      </c>
      <c r="C1107" s="3">
        <v>0</v>
      </c>
      <c r="D1107" s="3">
        <v>0</v>
      </c>
      <c r="E1107" s="3">
        <f>C1107 - D1107</f>
        <v>0</v>
      </c>
    </row>
    <row r="1108" spans="2:5" x14ac:dyDescent="0.35">
      <c r="B1108" s="38">
        <v>37609</v>
      </c>
      <c r="C1108" s="3">
        <v>0</v>
      </c>
      <c r="D1108" s="3">
        <v>0</v>
      </c>
      <c r="E1108" s="3">
        <f>C1108 - D1108</f>
        <v>0</v>
      </c>
    </row>
    <row r="1109" spans="2:5" x14ac:dyDescent="0.35">
      <c r="B1109" s="38">
        <v>37610</v>
      </c>
      <c r="C1109" s="3">
        <v>0</v>
      </c>
      <c r="D1109" s="3">
        <v>0</v>
      </c>
      <c r="E1109" s="3">
        <f>C1109 - D1109</f>
        <v>0</v>
      </c>
    </row>
    <row r="1110" spans="2:5" x14ac:dyDescent="0.35">
      <c r="B1110" s="38">
        <v>37611</v>
      </c>
      <c r="C1110" s="3">
        <v>0</v>
      </c>
      <c r="D1110" s="3">
        <v>0</v>
      </c>
      <c r="E1110" s="3">
        <f>C1110 - D1110</f>
        <v>0</v>
      </c>
    </row>
    <row r="1111" spans="2:5" x14ac:dyDescent="0.35">
      <c r="B1111" s="38">
        <v>37612</v>
      </c>
      <c r="C1111" s="3">
        <v>0</v>
      </c>
      <c r="D1111" s="3">
        <v>0</v>
      </c>
      <c r="E1111" s="3">
        <f>C1111 - D1111</f>
        <v>0</v>
      </c>
    </row>
    <row r="1112" spans="2:5" x14ac:dyDescent="0.35">
      <c r="B1112" s="38">
        <v>37613</v>
      </c>
      <c r="C1112" s="3">
        <v>0</v>
      </c>
      <c r="D1112" s="3">
        <v>0</v>
      </c>
      <c r="E1112" s="3">
        <f>C1112 - D1112</f>
        <v>0</v>
      </c>
    </row>
    <row r="1113" spans="2:5" x14ac:dyDescent="0.35">
      <c r="B1113" s="38">
        <v>37614</v>
      </c>
      <c r="C1113" s="3">
        <v>0</v>
      </c>
      <c r="D1113" s="3">
        <v>0</v>
      </c>
      <c r="E1113" s="3">
        <f>C1113 - D1113</f>
        <v>0</v>
      </c>
    </row>
    <row r="1114" spans="2:5" x14ac:dyDescent="0.35">
      <c r="B1114" s="38">
        <v>37615</v>
      </c>
      <c r="C1114" s="3">
        <v>1</v>
      </c>
      <c r="D1114" s="3">
        <v>0</v>
      </c>
      <c r="E1114" s="3">
        <f>C1114 - D1114</f>
        <v>1</v>
      </c>
    </row>
    <row r="1115" spans="2:5" x14ac:dyDescent="0.35">
      <c r="B1115" s="38">
        <v>37616</v>
      </c>
      <c r="C1115" s="3">
        <v>0</v>
      </c>
      <c r="D1115" s="3">
        <v>1</v>
      </c>
      <c r="E1115" s="3">
        <f>C1115 - D1115</f>
        <v>-1</v>
      </c>
    </row>
    <row r="1116" spans="2:5" x14ac:dyDescent="0.35">
      <c r="B1116" s="38">
        <v>37617</v>
      </c>
      <c r="C1116" s="3">
        <v>0</v>
      </c>
      <c r="D1116" s="3">
        <v>0</v>
      </c>
      <c r="E1116" s="3">
        <f>C1116 - D1116</f>
        <v>0</v>
      </c>
    </row>
    <row r="1117" spans="2:5" x14ac:dyDescent="0.35">
      <c r="B1117" s="38">
        <v>37618</v>
      </c>
      <c r="C1117" s="3">
        <v>0</v>
      </c>
      <c r="D1117" s="3">
        <v>0</v>
      </c>
      <c r="E1117" s="3">
        <f>C1117 - D1117</f>
        <v>0</v>
      </c>
    </row>
    <row r="1118" spans="2:5" x14ac:dyDescent="0.35">
      <c r="B1118" s="38">
        <v>37619</v>
      </c>
      <c r="C1118" s="3">
        <v>0</v>
      </c>
      <c r="D1118" s="3">
        <v>0</v>
      </c>
      <c r="E1118" s="3">
        <f>C1118 - D1118</f>
        <v>0</v>
      </c>
    </row>
    <row r="1119" spans="2:5" x14ac:dyDescent="0.35">
      <c r="B1119" s="38">
        <v>37620</v>
      </c>
      <c r="C1119" s="3">
        <v>1</v>
      </c>
      <c r="D1119" s="3">
        <v>0</v>
      </c>
      <c r="E1119" s="3">
        <f>C1119 - D1119</f>
        <v>1</v>
      </c>
    </row>
    <row r="1120" spans="2:5" x14ac:dyDescent="0.35">
      <c r="B1120" s="38">
        <v>37621</v>
      </c>
      <c r="C1120" s="3">
        <v>1</v>
      </c>
      <c r="D1120" s="3">
        <v>1</v>
      </c>
      <c r="E1120" s="3">
        <f>C1120 - D1120</f>
        <v>0</v>
      </c>
    </row>
    <row r="1121" spans="2:5" x14ac:dyDescent="0.35">
      <c r="B1121" s="38">
        <v>37622</v>
      </c>
      <c r="C1121" s="3">
        <v>1</v>
      </c>
      <c r="D1121" s="3">
        <v>1</v>
      </c>
      <c r="E1121" s="3">
        <f>C1121 - D1121</f>
        <v>0</v>
      </c>
    </row>
    <row r="1122" spans="2:5" x14ac:dyDescent="0.35">
      <c r="B1122" s="38">
        <v>37623</v>
      </c>
      <c r="C1122" s="3">
        <v>1</v>
      </c>
      <c r="D1122" s="3">
        <v>1</v>
      </c>
      <c r="E1122" s="3">
        <f>C1122 - D1122</f>
        <v>0</v>
      </c>
    </row>
    <row r="1123" spans="2:5" x14ac:dyDescent="0.35">
      <c r="B1123" s="38">
        <v>37624</v>
      </c>
      <c r="C1123" s="3">
        <v>0</v>
      </c>
      <c r="D1123" s="3">
        <v>1</v>
      </c>
      <c r="E1123" s="3">
        <f>C1123 - D1123</f>
        <v>-1</v>
      </c>
    </row>
    <row r="1124" spans="2:5" x14ac:dyDescent="0.35">
      <c r="B1124" s="38">
        <v>37625</v>
      </c>
      <c r="C1124" s="3">
        <v>0</v>
      </c>
      <c r="D1124" s="3">
        <v>0</v>
      </c>
      <c r="E1124" s="3">
        <f>C1124 - D1124</f>
        <v>0</v>
      </c>
    </row>
    <row r="1125" spans="2:5" x14ac:dyDescent="0.35">
      <c r="B1125" s="38">
        <v>37626</v>
      </c>
      <c r="C1125" s="3">
        <v>0</v>
      </c>
      <c r="D1125" s="3">
        <v>0</v>
      </c>
      <c r="E1125" s="3">
        <f>C1125 - D1125</f>
        <v>0</v>
      </c>
    </row>
    <row r="1126" spans="2:5" x14ac:dyDescent="0.35">
      <c r="B1126" s="38">
        <v>37627</v>
      </c>
      <c r="C1126" s="3">
        <v>0</v>
      </c>
      <c r="D1126" s="3">
        <v>0</v>
      </c>
      <c r="E1126" s="3">
        <f>C1126 - D1126</f>
        <v>0</v>
      </c>
    </row>
    <row r="1127" spans="2:5" x14ac:dyDescent="0.35">
      <c r="B1127" s="38">
        <v>37628</v>
      </c>
      <c r="C1127" s="3">
        <v>0</v>
      </c>
      <c r="D1127" s="3">
        <v>0</v>
      </c>
      <c r="E1127" s="3">
        <f>C1127 - D1127</f>
        <v>0</v>
      </c>
    </row>
    <row r="1128" spans="2:5" x14ac:dyDescent="0.35">
      <c r="B1128" s="38">
        <v>37629</v>
      </c>
      <c r="C1128" s="3">
        <v>1</v>
      </c>
      <c r="D1128" s="3">
        <v>0</v>
      </c>
      <c r="E1128" s="3">
        <f>C1128 - D1128</f>
        <v>1</v>
      </c>
    </row>
    <row r="1129" spans="2:5" x14ac:dyDescent="0.35">
      <c r="B1129" s="38">
        <v>37630</v>
      </c>
      <c r="C1129" s="3">
        <v>0</v>
      </c>
      <c r="D1129" s="3">
        <v>1</v>
      </c>
      <c r="E1129" s="3">
        <f>C1129 - D1129</f>
        <v>-1</v>
      </c>
    </row>
    <row r="1130" spans="2:5" x14ac:dyDescent="0.35">
      <c r="B1130" s="38">
        <v>37631</v>
      </c>
      <c r="C1130" s="3">
        <v>0</v>
      </c>
      <c r="D1130" s="3">
        <v>0</v>
      </c>
      <c r="E1130" s="3">
        <f>C1130 - D1130</f>
        <v>0</v>
      </c>
    </row>
    <row r="1131" spans="2:5" x14ac:dyDescent="0.35">
      <c r="B1131" s="38">
        <v>37632</v>
      </c>
      <c r="C1131" s="3">
        <v>0</v>
      </c>
      <c r="D1131" s="3">
        <v>0</v>
      </c>
      <c r="E1131" s="3">
        <f>C1131 - D1131</f>
        <v>0</v>
      </c>
    </row>
    <row r="1132" spans="2:5" x14ac:dyDescent="0.35">
      <c r="B1132" s="38">
        <v>37633</v>
      </c>
      <c r="C1132" s="3">
        <v>0</v>
      </c>
      <c r="D1132" s="3">
        <v>0</v>
      </c>
      <c r="E1132" s="3">
        <f>C1132 - D1132</f>
        <v>0</v>
      </c>
    </row>
    <row r="1133" spans="2:5" x14ac:dyDescent="0.35">
      <c r="B1133" s="38">
        <v>37634</v>
      </c>
      <c r="C1133" s="3">
        <v>0</v>
      </c>
      <c r="D1133" s="3">
        <v>0</v>
      </c>
      <c r="E1133" s="3">
        <f>C1133 - D1133</f>
        <v>0</v>
      </c>
    </row>
    <row r="1134" spans="2:5" x14ac:dyDescent="0.35">
      <c r="B1134" s="38">
        <v>37635</v>
      </c>
      <c r="C1134" s="3">
        <v>0</v>
      </c>
      <c r="D1134" s="3">
        <v>0</v>
      </c>
      <c r="E1134" s="3">
        <f>C1134 - D1134</f>
        <v>0</v>
      </c>
    </row>
    <row r="1135" spans="2:5" x14ac:dyDescent="0.35">
      <c r="B1135" s="38">
        <v>37636</v>
      </c>
      <c r="C1135" s="3">
        <v>0</v>
      </c>
      <c r="D1135" s="3">
        <v>0</v>
      </c>
      <c r="E1135" s="3">
        <f>C1135 - D1135</f>
        <v>0</v>
      </c>
    </row>
    <row r="1136" spans="2:5" x14ac:dyDescent="0.35">
      <c r="B1136" s="38">
        <v>37637</v>
      </c>
      <c r="C1136" s="3">
        <v>0</v>
      </c>
      <c r="D1136" s="3">
        <v>0</v>
      </c>
      <c r="E1136" s="3">
        <f>C1136 - D1136</f>
        <v>0</v>
      </c>
    </row>
    <row r="1137" spans="2:5" x14ac:dyDescent="0.35">
      <c r="B1137" s="38">
        <v>37638</v>
      </c>
      <c r="C1137" s="3">
        <v>0</v>
      </c>
      <c r="D1137" s="3">
        <v>0</v>
      </c>
      <c r="E1137" s="3">
        <f>C1137 - D1137</f>
        <v>0</v>
      </c>
    </row>
    <row r="1138" spans="2:5" x14ac:dyDescent="0.35">
      <c r="B1138" s="38">
        <v>37639</v>
      </c>
      <c r="C1138" s="3">
        <v>0</v>
      </c>
      <c r="D1138" s="3">
        <v>0</v>
      </c>
      <c r="E1138" s="3">
        <f>C1138 - D1138</f>
        <v>0</v>
      </c>
    </row>
    <row r="1139" spans="2:5" x14ac:dyDescent="0.35">
      <c r="B1139" s="38">
        <v>37640</v>
      </c>
      <c r="C1139" s="3">
        <v>0</v>
      </c>
      <c r="D1139" s="3">
        <v>0</v>
      </c>
      <c r="E1139" s="3">
        <f>C1139 - D1139</f>
        <v>0</v>
      </c>
    </row>
    <row r="1140" spans="2:5" x14ac:dyDescent="0.35">
      <c r="B1140" s="38">
        <v>37641</v>
      </c>
      <c r="C1140" s="3">
        <v>0</v>
      </c>
      <c r="D1140" s="3">
        <v>0</v>
      </c>
      <c r="E1140" s="3">
        <f>C1140 - D1140</f>
        <v>0</v>
      </c>
    </row>
    <row r="1141" spans="2:5" x14ac:dyDescent="0.35">
      <c r="B1141" s="38">
        <v>37642</v>
      </c>
      <c r="C1141" s="3">
        <v>0</v>
      </c>
      <c r="D1141" s="3">
        <v>0</v>
      </c>
      <c r="E1141" s="3">
        <f>C1141 - D1141</f>
        <v>0</v>
      </c>
    </row>
    <row r="1142" spans="2:5" x14ac:dyDescent="0.35">
      <c r="B1142" s="38">
        <v>37643</v>
      </c>
      <c r="C1142" s="3">
        <v>0</v>
      </c>
      <c r="D1142" s="3">
        <v>0</v>
      </c>
      <c r="E1142" s="3">
        <f>C1142 - D1142</f>
        <v>0</v>
      </c>
    </row>
    <row r="1143" spans="2:5" x14ac:dyDescent="0.35">
      <c r="B1143" s="38">
        <v>37644</v>
      </c>
      <c r="C1143" s="3">
        <v>0</v>
      </c>
      <c r="D1143" s="3">
        <v>0</v>
      </c>
      <c r="E1143" s="3">
        <f>C1143 - D1143</f>
        <v>0</v>
      </c>
    </row>
    <row r="1144" spans="2:5" x14ac:dyDescent="0.35">
      <c r="B1144" s="38">
        <v>37645</v>
      </c>
      <c r="C1144" s="3">
        <v>0</v>
      </c>
      <c r="D1144" s="3">
        <v>0</v>
      </c>
      <c r="E1144" s="3">
        <f>C1144 - D1144</f>
        <v>0</v>
      </c>
    </row>
    <row r="1145" spans="2:5" x14ac:dyDescent="0.35">
      <c r="B1145" s="38">
        <v>37646</v>
      </c>
      <c r="C1145" s="3">
        <v>0</v>
      </c>
      <c r="D1145" s="3">
        <v>0</v>
      </c>
      <c r="E1145" s="3">
        <f>C1145 - D1145</f>
        <v>0</v>
      </c>
    </row>
    <row r="1146" spans="2:5" x14ac:dyDescent="0.35">
      <c r="B1146" s="38">
        <v>37647</v>
      </c>
      <c r="C1146" s="3">
        <v>0</v>
      </c>
      <c r="D1146" s="3">
        <v>0</v>
      </c>
      <c r="E1146" s="3">
        <f>C1146 - D1146</f>
        <v>0</v>
      </c>
    </row>
    <row r="1147" spans="2:5" x14ac:dyDescent="0.35">
      <c r="B1147" s="38">
        <v>37648</v>
      </c>
      <c r="C1147" s="3">
        <v>1</v>
      </c>
      <c r="D1147" s="3">
        <v>0</v>
      </c>
      <c r="E1147" s="3">
        <f>C1147 - D1147</f>
        <v>1</v>
      </c>
    </row>
    <row r="1148" spans="2:5" x14ac:dyDescent="0.35">
      <c r="B1148" s="38">
        <v>37649</v>
      </c>
      <c r="C1148" s="3">
        <v>0</v>
      </c>
      <c r="D1148" s="3">
        <v>1</v>
      </c>
      <c r="E1148" s="3">
        <f>C1148 - D1148</f>
        <v>-1</v>
      </c>
    </row>
    <row r="1149" spans="2:5" x14ac:dyDescent="0.35">
      <c r="B1149" s="38">
        <v>37650</v>
      </c>
      <c r="C1149" s="3">
        <v>0</v>
      </c>
      <c r="D1149" s="3">
        <v>0</v>
      </c>
      <c r="E1149" s="3">
        <f>C1149 - D1149</f>
        <v>0</v>
      </c>
    </row>
    <row r="1150" spans="2:5" x14ac:dyDescent="0.35">
      <c r="B1150" s="38">
        <v>37651</v>
      </c>
      <c r="C1150" s="3">
        <v>0</v>
      </c>
      <c r="D1150" s="3">
        <v>0</v>
      </c>
      <c r="E1150" s="3">
        <f>C1150 - D1150</f>
        <v>0</v>
      </c>
    </row>
    <row r="1151" spans="2:5" x14ac:dyDescent="0.35">
      <c r="B1151" s="38">
        <v>37652</v>
      </c>
      <c r="C1151" s="3">
        <v>1</v>
      </c>
      <c r="D1151" s="3">
        <v>0</v>
      </c>
      <c r="E1151" s="3">
        <f>C1151 - D1151</f>
        <v>1</v>
      </c>
    </row>
    <row r="1152" spans="2:5" x14ac:dyDescent="0.35">
      <c r="B1152" s="38">
        <v>37653</v>
      </c>
      <c r="C1152" s="3">
        <v>0</v>
      </c>
      <c r="D1152" s="3">
        <v>1</v>
      </c>
      <c r="E1152" s="3">
        <f>C1152 - D1152</f>
        <v>-1</v>
      </c>
    </row>
    <row r="1153" spans="2:5" x14ac:dyDescent="0.35">
      <c r="B1153" s="38">
        <v>37654</v>
      </c>
      <c r="C1153" s="3">
        <v>0</v>
      </c>
      <c r="D1153" s="3">
        <v>0</v>
      </c>
      <c r="E1153" s="3">
        <f>C1153 - D1153</f>
        <v>0</v>
      </c>
    </row>
    <row r="1154" spans="2:5" x14ac:dyDescent="0.35">
      <c r="B1154" s="38">
        <v>37655</v>
      </c>
      <c r="C1154" s="3">
        <v>0</v>
      </c>
      <c r="D1154" s="3">
        <v>0</v>
      </c>
      <c r="E1154" s="3">
        <f>C1154 - D1154</f>
        <v>0</v>
      </c>
    </row>
    <row r="1155" spans="2:5" x14ac:dyDescent="0.35">
      <c r="B1155" s="38">
        <v>37656</v>
      </c>
      <c r="C1155" s="3">
        <v>0</v>
      </c>
      <c r="D1155" s="3">
        <v>0</v>
      </c>
      <c r="E1155" s="3">
        <f>C1155 - D1155</f>
        <v>0</v>
      </c>
    </row>
    <row r="1156" spans="2:5" x14ac:dyDescent="0.35">
      <c r="B1156" s="38">
        <v>37657</v>
      </c>
      <c r="C1156" s="3">
        <v>0</v>
      </c>
      <c r="D1156" s="3">
        <v>0</v>
      </c>
      <c r="E1156" s="3">
        <f>C1156 - D1156</f>
        <v>0</v>
      </c>
    </row>
    <row r="1157" spans="2:5" x14ac:dyDescent="0.35">
      <c r="B1157" s="38">
        <v>37658</v>
      </c>
      <c r="C1157" s="3">
        <v>1</v>
      </c>
      <c r="D1157" s="3">
        <v>0</v>
      </c>
      <c r="E1157" s="3">
        <f>C1157 - D1157</f>
        <v>1</v>
      </c>
    </row>
    <row r="1158" spans="2:5" x14ac:dyDescent="0.35">
      <c r="B1158" s="38">
        <v>37659</v>
      </c>
      <c r="C1158" s="3">
        <v>1</v>
      </c>
      <c r="D1158" s="3">
        <v>1</v>
      </c>
      <c r="E1158" s="3">
        <f>C1158 - D1158</f>
        <v>0</v>
      </c>
    </row>
    <row r="1159" spans="2:5" x14ac:dyDescent="0.35">
      <c r="B1159" s="38">
        <v>37660</v>
      </c>
      <c r="C1159" s="3">
        <v>0</v>
      </c>
      <c r="D1159" s="3">
        <v>1</v>
      </c>
      <c r="E1159" s="3">
        <f>C1159 - D1159</f>
        <v>-1</v>
      </c>
    </row>
    <row r="1160" spans="2:5" x14ac:dyDescent="0.35">
      <c r="B1160" s="38">
        <v>37661</v>
      </c>
      <c r="C1160" s="3">
        <v>0</v>
      </c>
      <c r="D1160" s="3">
        <v>0</v>
      </c>
      <c r="E1160" s="3">
        <f>C1160 - D1160</f>
        <v>0</v>
      </c>
    </row>
    <row r="1161" spans="2:5" x14ac:dyDescent="0.35">
      <c r="B1161" s="38">
        <v>37662</v>
      </c>
      <c r="C1161" s="3">
        <v>0</v>
      </c>
      <c r="D1161" s="3">
        <v>0</v>
      </c>
      <c r="E1161" s="3">
        <f>C1161 - D1161</f>
        <v>0</v>
      </c>
    </row>
    <row r="1162" spans="2:5" x14ac:dyDescent="0.35">
      <c r="B1162" s="38">
        <v>37663</v>
      </c>
      <c r="C1162" s="3">
        <v>0</v>
      </c>
      <c r="D1162" s="3">
        <v>0</v>
      </c>
      <c r="E1162" s="3">
        <f>C1162 - D1162</f>
        <v>0</v>
      </c>
    </row>
    <row r="1163" spans="2:5" x14ac:dyDescent="0.35">
      <c r="B1163" s="38">
        <v>37664</v>
      </c>
      <c r="C1163" s="3">
        <v>0</v>
      </c>
      <c r="D1163" s="3">
        <v>0</v>
      </c>
      <c r="E1163" s="3">
        <f>C1163 - D1163</f>
        <v>0</v>
      </c>
    </row>
    <row r="1164" spans="2:5" x14ac:dyDescent="0.35">
      <c r="B1164" s="38">
        <v>37665</v>
      </c>
      <c r="C1164" s="3">
        <v>0</v>
      </c>
      <c r="D1164" s="3">
        <v>0</v>
      </c>
      <c r="E1164" s="3">
        <f>C1164 - D1164</f>
        <v>0</v>
      </c>
    </row>
    <row r="1165" spans="2:5" x14ac:dyDescent="0.35">
      <c r="B1165" s="38">
        <v>37666</v>
      </c>
      <c r="C1165" s="3">
        <v>0</v>
      </c>
      <c r="D1165" s="3">
        <v>0</v>
      </c>
      <c r="E1165" s="3">
        <f>C1165 - D1165</f>
        <v>0</v>
      </c>
    </row>
    <row r="1166" spans="2:5" x14ac:dyDescent="0.35">
      <c r="B1166" s="38">
        <v>37667</v>
      </c>
      <c r="C1166" s="3">
        <v>0</v>
      </c>
      <c r="D1166" s="3">
        <v>0</v>
      </c>
      <c r="E1166" s="3">
        <f>C1166 - D1166</f>
        <v>0</v>
      </c>
    </row>
    <row r="1167" spans="2:5" x14ac:dyDescent="0.35">
      <c r="B1167" s="38">
        <v>37668</v>
      </c>
      <c r="C1167" s="3">
        <v>1</v>
      </c>
      <c r="D1167" s="3">
        <v>0</v>
      </c>
      <c r="E1167" s="3">
        <f>C1167 - D1167</f>
        <v>1</v>
      </c>
    </row>
    <row r="1168" spans="2:5" x14ac:dyDescent="0.35">
      <c r="B1168" s="38">
        <v>37669</v>
      </c>
      <c r="C1168" s="3">
        <v>0</v>
      </c>
      <c r="D1168" s="3">
        <v>1</v>
      </c>
      <c r="E1168" s="3">
        <f>C1168 - D1168</f>
        <v>-1</v>
      </c>
    </row>
    <row r="1169" spans="2:5" x14ac:dyDescent="0.35">
      <c r="B1169" s="38">
        <v>37670</v>
      </c>
      <c r="C1169" s="3">
        <v>0</v>
      </c>
      <c r="D1169" s="3">
        <v>0</v>
      </c>
      <c r="E1169" s="3">
        <f>C1169 - D1169</f>
        <v>0</v>
      </c>
    </row>
    <row r="1170" spans="2:5" x14ac:dyDescent="0.35">
      <c r="B1170" s="38">
        <v>37671</v>
      </c>
      <c r="C1170" s="3">
        <v>0</v>
      </c>
      <c r="D1170" s="3">
        <v>0</v>
      </c>
      <c r="E1170" s="3">
        <f>C1170 - D1170</f>
        <v>0</v>
      </c>
    </row>
    <row r="1171" spans="2:5" x14ac:dyDescent="0.35">
      <c r="B1171" s="38">
        <v>37672</v>
      </c>
      <c r="C1171" s="3">
        <v>0</v>
      </c>
      <c r="D1171" s="3">
        <v>0</v>
      </c>
      <c r="E1171" s="3">
        <f>C1171 - D1171</f>
        <v>0</v>
      </c>
    </row>
    <row r="1172" spans="2:5" x14ac:dyDescent="0.35">
      <c r="B1172" s="38">
        <v>37673</v>
      </c>
      <c r="C1172" s="3">
        <v>1</v>
      </c>
      <c r="D1172" s="3">
        <v>0</v>
      </c>
      <c r="E1172" s="3">
        <f>C1172 - D1172</f>
        <v>1</v>
      </c>
    </row>
    <row r="1173" spans="2:5" x14ac:dyDescent="0.35">
      <c r="B1173" s="38">
        <v>37674</v>
      </c>
      <c r="C1173" s="3">
        <v>1</v>
      </c>
      <c r="D1173" s="3">
        <v>1</v>
      </c>
      <c r="E1173" s="3">
        <f>C1173 - D1173</f>
        <v>0</v>
      </c>
    </row>
    <row r="1174" spans="2:5" x14ac:dyDescent="0.35">
      <c r="B1174" s="38">
        <v>37675</v>
      </c>
      <c r="C1174" s="3">
        <v>0</v>
      </c>
      <c r="D1174" s="3">
        <v>1</v>
      </c>
      <c r="E1174" s="3">
        <f>C1174 - D1174</f>
        <v>-1</v>
      </c>
    </row>
    <row r="1175" spans="2:5" x14ac:dyDescent="0.35">
      <c r="B1175" s="38">
        <v>37676</v>
      </c>
      <c r="C1175" s="3">
        <v>0</v>
      </c>
      <c r="D1175" s="3">
        <v>0</v>
      </c>
      <c r="E1175" s="3">
        <f>C1175 - D1175</f>
        <v>0</v>
      </c>
    </row>
    <row r="1176" spans="2:5" x14ac:dyDescent="0.35">
      <c r="B1176" s="38">
        <v>37677</v>
      </c>
      <c r="C1176" s="3">
        <v>0</v>
      </c>
      <c r="D1176" s="3">
        <v>0</v>
      </c>
      <c r="E1176" s="3">
        <f>C1176 - D1176</f>
        <v>0</v>
      </c>
    </row>
    <row r="1177" spans="2:5" x14ac:dyDescent="0.35">
      <c r="B1177" s="38">
        <v>37678</v>
      </c>
      <c r="C1177" s="3">
        <v>0</v>
      </c>
      <c r="D1177" s="3">
        <v>0</v>
      </c>
      <c r="E1177" s="3">
        <f>C1177 - D1177</f>
        <v>0</v>
      </c>
    </row>
    <row r="1178" spans="2:5" x14ac:dyDescent="0.35">
      <c r="B1178" s="38">
        <v>37679</v>
      </c>
      <c r="C1178" s="3">
        <v>0</v>
      </c>
      <c r="D1178" s="3">
        <v>0</v>
      </c>
      <c r="E1178" s="3">
        <f>C1178 - D1178</f>
        <v>0</v>
      </c>
    </row>
    <row r="1179" spans="2:5" x14ac:dyDescent="0.35">
      <c r="B1179" s="38">
        <v>37680</v>
      </c>
      <c r="C1179" s="3">
        <v>1</v>
      </c>
      <c r="D1179" s="3">
        <v>0</v>
      </c>
      <c r="E1179" s="3">
        <f>C1179 - D1179</f>
        <v>1</v>
      </c>
    </row>
    <row r="1180" spans="2:5" x14ac:dyDescent="0.35">
      <c r="B1180" s="38">
        <v>37681</v>
      </c>
      <c r="C1180" s="3">
        <v>1</v>
      </c>
      <c r="D1180" s="3">
        <v>1</v>
      </c>
      <c r="E1180" s="3">
        <f>C1180 - D1180</f>
        <v>0</v>
      </c>
    </row>
    <row r="1181" spans="2:5" x14ac:dyDescent="0.35">
      <c r="B1181" s="38">
        <v>37682</v>
      </c>
      <c r="C1181" s="3">
        <v>1</v>
      </c>
      <c r="D1181" s="3">
        <v>1</v>
      </c>
      <c r="E1181" s="3">
        <f>C1181 - D1181</f>
        <v>0</v>
      </c>
    </row>
    <row r="1182" spans="2:5" x14ac:dyDescent="0.35">
      <c r="B1182" s="38">
        <v>37683</v>
      </c>
      <c r="C1182" s="3">
        <v>1</v>
      </c>
      <c r="D1182" s="3">
        <v>1</v>
      </c>
      <c r="E1182" s="3">
        <f>C1182 - D1182</f>
        <v>0</v>
      </c>
    </row>
    <row r="1183" spans="2:5" x14ac:dyDescent="0.35">
      <c r="B1183" s="38">
        <v>37684</v>
      </c>
      <c r="C1183" s="3">
        <v>0</v>
      </c>
      <c r="D1183" s="3">
        <v>1</v>
      </c>
      <c r="E1183" s="3">
        <f>C1183 - D1183</f>
        <v>-1</v>
      </c>
    </row>
    <row r="1184" spans="2:5" x14ac:dyDescent="0.35">
      <c r="B1184" s="38">
        <v>37685</v>
      </c>
      <c r="C1184" s="3">
        <v>1</v>
      </c>
      <c r="D1184" s="3">
        <v>0</v>
      </c>
      <c r="E1184" s="3">
        <f>C1184 - D1184</f>
        <v>1</v>
      </c>
    </row>
    <row r="1185" spans="2:5" x14ac:dyDescent="0.35">
      <c r="B1185" s="38">
        <v>37686</v>
      </c>
      <c r="C1185" s="3">
        <v>0</v>
      </c>
      <c r="D1185" s="3">
        <v>1</v>
      </c>
      <c r="E1185" s="3">
        <f>C1185 - D1185</f>
        <v>-1</v>
      </c>
    </row>
    <row r="1186" spans="2:5" x14ac:dyDescent="0.35">
      <c r="B1186" s="38">
        <v>37687</v>
      </c>
      <c r="C1186" s="3">
        <v>0</v>
      </c>
      <c r="D1186" s="3">
        <v>0</v>
      </c>
      <c r="E1186" s="3">
        <f>C1186 - D1186</f>
        <v>0</v>
      </c>
    </row>
    <row r="1187" spans="2:5" x14ac:dyDescent="0.35">
      <c r="B1187" s="38">
        <v>37688</v>
      </c>
      <c r="C1187" s="3">
        <v>1</v>
      </c>
      <c r="D1187" s="3">
        <v>0</v>
      </c>
      <c r="E1187" s="3">
        <f>C1187 - D1187</f>
        <v>1</v>
      </c>
    </row>
    <row r="1188" spans="2:5" x14ac:dyDescent="0.35">
      <c r="B1188" s="38">
        <v>37689</v>
      </c>
      <c r="C1188" s="3">
        <v>1</v>
      </c>
      <c r="D1188" s="3">
        <v>1</v>
      </c>
      <c r="E1188" s="3">
        <f>C1188 - D1188</f>
        <v>0</v>
      </c>
    </row>
    <row r="1189" spans="2:5" x14ac:dyDescent="0.35">
      <c r="B1189" s="38">
        <v>37690</v>
      </c>
      <c r="C1189" s="3">
        <v>1</v>
      </c>
      <c r="D1189" s="3">
        <v>1</v>
      </c>
      <c r="E1189" s="3">
        <f>C1189 - D1189</f>
        <v>0</v>
      </c>
    </row>
    <row r="1190" spans="2:5" x14ac:dyDescent="0.35">
      <c r="B1190" s="38">
        <v>37691</v>
      </c>
      <c r="C1190" s="3">
        <v>0</v>
      </c>
      <c r="D1190" s="3">
        <v>1</v>
      </c>
      <c r="E1190" s="3">
        <f>C1190 - D1190</f>
        <v>-1</v>
      </c>
    </row>
    <row r="1191" spans="2:5" x14ac:dyDescent="0.35">
      <c r="B1191" s="38">
        <v>37692</v>
      </c>
      <c r="C1191" s="3">
        <v>0</v>
      </c>
      <c r="D1191" s="3">
        <v>0</v>
      </c>
      <c r="E1191" s="3">
        <f>C1191 - D1191</f>
        <v>0</v>
      </c>
    </row>
    <row r="1192" spans="2:5" x14ac:dyDescent="0.35">
      <c r="B1192" s="38">
        <v>37693</v>
      </c>
      <c r="C1192" s="3">
        <v>0</v>
      </c>
      <c r="D1192" s="3">
        <v>0</v>
      </c>
      <c r="E1192" s="3">
        <f>C1192 - D1192</f>
        <v>0</v>
      </c>
    </row>
    <row r="1193" spans="2:5" x14ac:dyDescent="0.35">
      <c r="B1193" s="38">
        <v>37694</v>
      </c>
      <c r="C1193" s="3">
        <v>0</v>
      </c>
      <c r="D1193" s="3">
        <v>0</v>
      </c>
      <c r="E1193" s="3">
        <f>C1193 - D1193</f>
        <v>0</v>
      </c>
    </row>
    <row r="1194" spans="2:5" x14ac:dyDescent="0.35">
      <c r="B1194" s="38">
        <v>37695</v>
      </c>
      <c r="C1194" s="3">
        <v>0</v>
      </c>
      <c r="D1194" s="3">
        <v>0</v>
      </c>
      <c r="E1194" s="3">
        <f>C1194 - D1194</f>
        <v>0</v>
      </c>
    </row>
    <row r="1195" spans="2:5" x14ac:dyDescent="0.35">
      <c r="B1195" s="38">
        <v>37696</v>
      </c>
      <c r="C1195" s="3">
        <v>0</v>
      </c>
      <c r="D1195" s="3">
        <v>0</v>
      </c>
      <c r="E1195" s="3">
        <f>C1195 - D1195</f>
        <v>0</v>
      </c>
    </row>
    <row r="1196" spans="2:5" x14ac:dyDescent="0.35">
      <c r="B1196" s="38">
        <v>37697</v>
      </c>
      <c r="C1196" s="3">
        <v>0</v>
      </c>
      <c r="D1196" s="3">
        <v>0</v>
      </c>
      <c r="E1196" s="3">
        <f>C1196 - D1196</f>
        <v>0</v>
      </c>
    </row>
    <row r="1197" spans="2:5" x14ac:dyDescent="0.35">
      <c r="B1197" s="38">
        <v>37698</v>
      </c>
      <c r="C1197" s="3">
        <v>0</v>
      </c>
      <c r="D1197" s="3">
        <v>0</v>
      </c>
      <c r="E1197" s="3">
        <f>C1197 - D1197</f>
        <v>0</v>
      </c>
    </row>
    <row r="1198" spans="2:5" x14ac:dyDescent="0.35">
      <c r="B1198" s="38">
        <v>37699</v>
      </c>
      <c r="C1198" s="3">
        <v>0</v>
      </c>
      <c r="D1198" s="3">
        <v>0</v>
      </c>
      <c r="E1198" s="3">
        <f>C1198 - D1198</f>
        <v>0</v>
      </c>
    </row>
    <row r="1199" spans="2:5" x14ac:dyDescent="0.35">
      <c r="B1199" s="38">
        <v>37700</v>
      </c>
      <c r="C1199" s="3">
        <v>1</v>
      </c>
      <c r="D1199" s="3">
        <v>0</v>
      </c>
      <c r="E1199" s="3">
        <f>C1199 - D1199</f>
        <v>1</v>
      </c>
    </row>
    <row r="1200" spans="2:5" x14ac:dyDescent="0.35">
      <c r="B1200" s="38">
        <v>37701</v>
      </c>
      <c r="C1200" s="3">
        <v>1</v>
      </c>
      <c r="D1200" s="3">
        <v>1</v>
      </c>
      <c r="E1200" s="3">
        <f>C1200 - D1200</f>
        <v>0</v>
      </c>
    </row>
    <row r="1201" spans="2:5" x14ac:dyDescent="0.35">
      <c r="B1201" s="38">
        <v>37702</v>
      </c>
      <c r="C1201" s="3">
        <v>1</v>
      </c>
      <c r="D1201" s="3">
        <v>1</v>
      </c>
      <c r="E1201" s="3">
        <f>C1201 - D1201</f>
        <v>0</v>
      </c>
    </row>
    <row r="1202" spans="2:5" x14ac:dyDescent="0.35">
      <c r="B1202" s="38">
        <v>37703</v>
      </c>
      <c r="C1202" s="3">
        <v>1</v>
      </c>
      <c r="D1202" s="3">
        <v>1</v>
      </c>
      <c r="E1202" s="3">
        <f>C1202 - D1202</f>
        <v>0</v>
      </c>
    </row>
    <row r="1203" spans="2:5" x14ac:dyDescent="0.35">
      <c r="B1203" s="38">
        <v>37704</v>
      </c>
      <c r="C1203" s="3">
        <v>0</v>
      </c>
      <c r="D1203" s="3">
        <v>1</v>
      </c>
      <c r="E1203" s="3">
        <f>C1203 - D1203</f>
        <v>-1</v>
      </c>
    </row>
    <row r="1204" spans="2:5" x14ac:dyDescent="0.35">
      <c r="B1204" s="38">
        <v>37705</v>
      </c>
      <c r="C1204" s="3">
        <v>0</v>
      </c>
      <c r="D1204" s="3">
        <v>0</v>
      </c>
      <c r="E1204" s="3">
        <f>C1204 - D1204</f>
        <v>0</v>
      </c>
    </row>
    <row r="1205" spans="2:5" x14ac:dyDescent="0.35">
      <c r="B1205" s="38">
        <v>37706</v>
      </c>
      <c r="C1205" s="3">
        <v>0</v>
      </c>
      <c r="D1205" s="3">
        <v>0</v>
      </c>
      <c r="E1205" s="3">
        <f>C1205 - D1205</f>
        <v>0</v>
      </c>
    </row>
    <row r="1206" spans="2:5" x14ac:dyDescent="0.35">
      <c r="B1206" s="38">
        <v>37707</v>
      </c>
      <c r="C1206" s="3">
        <v>0</v>
      </c>
      <c r="D1206" s="3">
        <v>0</v>
      </c>
      <c r="E1206" s="3">
        <f>C1206 - D1206</f>
        <v>0</v>
      </c>
    </row>
    <row r="1207" spans="2:5" x14ac:dyDescent="0.35">
      <c r="B1207" s="38">
        <v>37708</v>
      </c>
      <c r="C1207" s="3">
        <v>0</v>
      </c>
      <c r="D1207" s="3">
        <v>0</v>
      </c>
      <c r="E1207" s="3">
        <f>C1207 - D1207</f>
        <v>0</v>
      </c>
    </row>
    <row r="1208" spans="2:5" x14ac:dyDescent="0.35">
      <c r="B1208" s="38">
        <v>37709</v>
      </c>
      <c r="C1208" s="3">
        <v>0</v>
      </c>
      <c r="D1208" s="3">
        <v>0</v>
      </c>
      <c r="E1208" s="3">
        <f>C1208 - D1208</f>
        <v>0</v>
      </c>
    </row>
    <row r="1209" spans="2:5" x14ac:dyDescent="0.35">
      <c r="B1209" s="38">
        <v>37710</v>
      </c>
      <c r="C1209" s="3">
        <v>0</v>
      </c>
      <c r="D1209" s="3">
        <v>0</v>
      </c>
      <c r="E1209" s="3">
        <f>C1209 - D1209</f>
        <v>0</v>
      </c>
    </row>
    <row r="1210" spans="2:5" x14ac:dyDescent="0.35">
      <c r="B1210" s="38">
        <v>37711</v>
      </c>
      <c r="C1210" s="3">
        <v>0</v>
      </c>
      <c r="D1210" s="3">
        <v>0</v>
      </c>
      <c r="E1210" s="3">
        <f>C1210 - D1210</f>
        <v>0</v>
      </c>
    </row>
    <row r="1211" spans="2:5" x14ac:dyDescent="0.35">
      <c r="B1211" s="38">
        <v>37712</v>
      </c>
      <c r="C1211" s="3">
        <v>0</v>
      </c>
      <c r="D1211" s="3">
        <v>0</v>
      </c>
      <c r="E1211" s="3">
        <f>C1211 - D1211</f>
        <v>0</v>
      </c>
    </row>
    <row r="1212" spans="2:5" x14ac:dyDescent="0.35">
      <c r="B1212" s="38">
        <v>37713</v>
      </c>
      <c r="C1212" s="3">
        <v>1</v>
      </c>
      <c r="D1212" s="3">
        <v>0</v>
      </c>
      <c r="E1212" s="3">
        <f>C1212 - D1212</f>
        <v>1</v>
      </c>
    </row>
    <row r="1213" spans="2:5" x14ac:dyDescent="0.35">
      <c r="B1213" s="38">
        <v>37714</v>
      </c>
      <c r="C1213" s="3">
        <v>1</v>
      </c>
      <c r="D1213" s="3">
        <v>1</v>
      </c>
      <c r="E1213" s="3">
        <f>C1213 - D1213</f>
        <v>0</v>
      </c>
    </row>
    <row r="1214" spans="2:5" x14ac:dyDescent="0.35">
      <c r="B1214" s="38">
        <v>37715</v>
      </c>
      <c r="C1214" s="3">
        <v>0</v>
      </c>
      <c r="D1214" s="3">
        <v>1</v>
      </c>
      <c r="E1214" s="3">
        <f>C1214 - D1214</f>
        <v>-1</v>
      </c>
    </row>
    <row r="1215" spans="2:5" x14ac:dyDescent="0.35">
      <c r="B1215" s="38">
        <v>37716</v>
      </c>
      <c r="C1215" s="3">
        <v>0</v>
      </c>
      <c r="D1215" s="3">
        <v>0</v>
      </c>
      <c r="E1215" s="3">
        <f>C1215 - D1215</f>
        <v>0</v>
      </c>
    </row>
    <row r="1216" spans="2:5" x14ac:dyDescent="0.35">
      <c r="B1216" s="38">
        <v>37717</v>
      </c>
      <c r="C1216" s="3">
        <v>0</v>
      </c>
      <c r="D1216" s="3">
        <v>0</v>
      </c>
      <c r="E1216" s="3">
        <f>C1216 - D1216</f>
        <v>0</v>
      </c>
    </row>
    <row r="1217" spans="2:5" x14ac:dyDescent="0.35">
      <c r="B1217" s="38">
        <v>37718</v>
      </c>
      <c r="C1217" s="3">
        <v>0</v>
      </c>
      <c r="D1217" s="3">
        <v>0</v>
      </c>
      <c r="E1217" s="3">
        <f>C1217 - D1217</f>
        <v>0</v>
      </c>
    </row>
    <row r="1218" spans="2:5" x14ac:dyDescent="0.35">
      <c r="B1218" s="38">
        <v>37719</v>
      </c>
      <c r="C1218" s="3">
        <v>1</v>
      </c>
      <c r="D1218" s="3">
        <v>0</v>
      </c>
      <c r="E1218" s="3">
        <f>C1218 - D1218</f>
        <v>1</v>
      </c>
    </row>
    <row r="1219" spans="2:5" x14ac:dyDescent="0.35">
      <c r="B1219" s="38">
        <v>37720</v>
      </c>
      <c r="C1219" s="3">
        <v>1</v>
      </c>
      <c r="D1219" s="3">
        <v>1</v>
      </c>
      <c r="E1219" s="3">
        <f>C1219 - D1219</f>
        <v>0</v>
      </c>
    </row>
    <row r="1220" spans="2:5" x14ac:dyDescent="0.35">
      <c r="B1220" s="38">
        <v>37721</v>
      </c>
      <c r="C1220" s="3">
        <v>0</v>
      </c>
      <c r="D1220" s="3">
        <v>1</v>
      </c>
      <c r="E1220" s="3">
        <f>C1220 - D1220</f>
        <v>-1</v>
      </c>
    </row>
    <row r="1221" spans="2:5" x14ac:dyDescent="0.35">
      <c r="B1221" s="38">
        <v>37722</v>
      </c>
      <c r="C1221" s="3">
        <v>1</v>
      </c>
      <c r="D1221" s="3">
        <v>0</v>
      </c>
      <c r="E1221" s="3">
        <f>C1221 - D1221</f>
        <v>1</v>
      </c>
    </row>
    <row r="1222" spans="2:5" x14ac:dyDescent="0.35">
      <c r="B1222" s="38">
        <v>37723</v>
      </c>
      <c r="C1222" s="3">
        <v>1</v>
      </c>
      <c r="D1222" s="3">
        <v>1</v>
      </c>
      <c r="E1222" s="3">
        <f>C1222 - D1222</f>
        <v>0</v>
      </c>
    </row>
    <row r="1223" spans="2:5" x14ac:dyDescent="0.35">
      <c r="B1223" s="38">
        <v>37724</v>
      </c>
      <c r="C1223" s="3">
        <v>0</v>
      </c>
      <c r="D1223" s="3">
        <v>1</v>
      </c>
      <c r="E1223" s="3">
        <f>C1223 - D1223</f>
        <v>-1</v>
      </c>
    </row>
    <row r="1224" spans="2:5" x14ac:dyDescent="0.35">
      <c r="B1224" s="38">
        <v>37725</v>
      </c>
      <c r="C1224" s="3">
        <v>1</v>
      </c>
      <c r="D1224" s="3">
        <v>0</v>
      </c>
      <c r="E1224" s="3">
        <f>C1224 - D1224</f>
        <v>1</v>
      </c>
    </row>
    <row r="1225" spans="2:5" x14ac:dyDescent="0.35">
      <c r="B1225" s="38">
        <v>37726</v>
      </c>
      <c r="C1225" s="3">
        <v>0</v>
      </c>
      <c r="D1225" s="3">
        <v>1</v>
      </c>
      <c r="E1225" s="3">
        <f>C1225 - D1225</f>
        <v>-1</v>
      </c>
    </row>
    <row r="1226" spans="2:5" x14ac:dyDescent="0.35">
      <c r="B1226" s="38">
        <v>37727</v>
      </c>
      <c r="C1226" s="3">
        <v>1</v>
      </c>
      <c r="D1226" s="3">
        <v>0</v>
      </c>
      <c r="E1226" s="3">
        <f>C1226 - D1226</f>
        <v>1</v>
      </c>
    </row>
    <row r="1227" spans="2:5" x14ac:dyDescent="0.35">
      <c r="B1227" s="38">
        <v>37728</v>
      </c>
      <c r="C1227" s="3">
        <v>0</v>
      </c>
      <c r="D1227" s="3">
        <v>1</v>
      </c>
      <c r="E1227" s="3">
        <f>C1227 - D1227</f>
        <v>-1</v>
      </c>
    </row>
    <row r="1228" spans="2:5" x14ac:dyDescent="0.35">
      <c r="B1228" s="38">
        <v>37729</v>
      </c>
      <c r="C1228" s="3">
        <v>0</v>
      </c>
      <c r="D1228" s="3">
        <v>0</v>
      </c>
      <c r="E1228" s="3">
        <f>C1228 - D1228</f>
        <v>0</v>
      </c>
    </row>
    <row r="1229" spans="2:5" x14ac:dyDescent="0.35">
      <c r="B1229" s="38">
        <v>37730</v>
      </c>
      <c r="C1229" s="3">
        <v>0</v>
      </c>
      <c r="D1229" s="3">
        <v>0</v>
      </c>
      <c r="E1229" s="3">
        <f>C1229 - D1229</f>
        <v>0</v>
      </c>
    </row>
    <row r="1230" spans="2:5" x14ac:dyDescent="0.35">
      <c r="B1230" s="38">
        <v>37731</v>
      </c>
      <c r="C1230" s="3">
        <v>0</v>
      </c>
      <c r="D1230" s="3">
        <v>0</v>
      </c>
      <c r="E1230" s="3">
        <f>C1230 - D1230</f>
        <v>0</v>
      </c>
    </row>
    <row r="1231" spans="2:5" x14ac:dyDescent="0.35">
      <c r="B1231" s="38">
        <v>37732</v>
      </c>
      <c r="C1231" s="3">
        <v>0</v>
      </c>
      <c r="D1231" s="3">
        <v>0</v>
      </c>
      <c r="E1231" s="3">
        <f>C1231 - D1231</f>
        <v>0</v>
      </c>
    </row>
    <row r="1232" spans="2:5" x14ac:dyDescent="0.35">
      <c r="B1232" s="38">
        <v>37733</v>
      </c>
      <c r="C1232" s="3">
        <v>0</v>
      </c>
      <c r="D1232" s="3">
        <v>0</v>
      </c>
      <c r="E1232" s="3">
        <f>C1232 - D1232</f>
        <v>0</v>
      </c>
    </row>
    <row r="1233" spans="2:5" x14ac:dyDescent="0.35">
      <c r="B1233" s="38">
        <v>37734</v>
      </c>
      <c r="C1233" s="3">
        <v>0</v>
      </c>
      <c r="D1233" s="3">
        <v>0</v>
      </c>
      <c r="E1233" s="3">
        <f>C1233 - D1233</f>
        <v>0</v>
      </c>
    </row>
    <row r="1234" spans="2:5" x14ac:dyDescent="0.35">
      <c r="B1234" s="38">
        <v>37735</v>
      </c>
      <c r="C1234" s="3">
        <v>1</v>
      </c>
      <c r="D1234" s="3">
        <v>0</v>
      </c>
      <c r="E1234" s="3">
        <f>C1234 - D1234</f>
        <v>1</v>
      </c>
    </row>
    <row r="1235" spans="2:5" x14ac:dyDescent="0.35">
      <c r="B1235" s="38">
        <v>37736</v>
      </c>
      <c r="C1235" s="3">
        <v>1</v>
      </c>
      <c r="D1235" s="3">
        <v>1</v>
      </c>
      <c r="E1235" s="3">
        <f>C1235 - D1235</f>
        <v>0</v>
      </c>
    </row>
    <row r="1236" spans="2:5" x14ac:dyDescent="0.35">
      <c r="B1236" s="38">
        <v>37737</v>
      </c>
      <c r="C1236" s="3">
        <v>0</v>
      </c>
      <c r="D1236" s="3">
        <v>1</v>
      </c>
      <c r="E1236" s="3">
        <f>C1236 - D1236</f>
        <v>-1</v>
      </c>
    </row>
    <row r="1237" spans="2:5" x14ac:dyDescent="0.35">
      <c r="B1237" s="38">
        <v>37738</v>
      </c>
      <c r="C1237" s="3">
        <v>0</v>
      </c>
      <c r="D1237" s="3">
        <v>0</v>
      </c>
      <c r="E1237" s="3">
        <f>C1237 - D1237</f>
        <v>0</v>
      </c>
    </row>
    <row r="1238" spans="2:5" x14ac:dyDescent="0.35">
      <c r="B1238" s="38">
        <v>37739</v>
      </c>
      <c r="C1238" s="3">
        <v>1</v>
      </c>
      <c r="D1238" s="3">
        <v>0</v>
      </c>
      <c r="E1238" s="3">
        <f>C1238 - D1238</f>
        <v>1</v>
      </c>
    </row>
    <row r="1239" spans="2:5" x14ac:dyDescent="0.35">
      <c r="B1239" s="38">
        <v>37740</v>
      </c>
      <c r="C1239" s="3">
        <v>0</v>
      </c>
      <c r="D1239" s="3">
        <v>1</v>
      </c>
      <c r="E1239" s="3">
        <f>C1239 - D1239</f>
        <v>-1</v>
      </c>
    </row>
    <row r="1240" spans="2:5" x14ac:dyDescent="0.35">
      <c r="B1240" s="38">
        <v>37741</v>
      </c>
      <c r="C1240" s="3">
        <v>0</v>
      </c>
      <c r="D1240" s="3">
        <v>0</v>
      </c>
      <c r="E1240" s="3">
        <f>C1240 - D1240</f>
        <v>0</v>
      </c>
    </row>
    <row r="1241" spans="2:5" x14ac:dyDescent="0.35">
      <c r="B1241" s="38">
        <v>37742</v>
      </c>
      <c r="C1241" s="3">
        <v>1</v>
      </c>
      <c r="D1241" s="3">
        <v>0</v>
      </c>
      <c r="E1241" s="3">
        <f>C1241 - D1241</f>
        <v>1</v>
      </c>
    </row>
    <row r="1242" spans="2:5" x14ac:dyDescent="0.35">
      <c r="B1242" s="38">
        <v>37743</v>
      </c>
      <c r="C1242" s="3">
        <v>0</v>
      </c>
      <c r="D1242" s="3">
        <v>1</v>
      </c>
      <c r="E1242" s="3">
        <f>C1242 - D1242</f>
        <v>-1</v>
      </c>
    </row>
    <row r="1243" spans="2:5" x14ac:dyDescent="0.35">
      <c r="B1243" s="38">
        <v>37744</v>
      </c>
      <c r="C1243" s="3">
        <v>0</v>
      </c>
      <c r="D1243" s="3">
        <v>0</v>
      </c>
      <c r="E1243" s="3">
        <f>C1243 - D1243</f>
        <v>0</v>
      </c>
    </row>
    <row r="1244" spans="2:5" x14ac:dyDescent="0.35">
      <c r="B1244" s="38">
        <v>37745</v>
      </c>
      <c r="C1244" s="3">
        <v>1</v>
      </c>
      <c r="D1244" s="3">
        <v>0</v>
      </c>
      <c r="E1244" s="3">
        <f>C1244 - D1244</f>
        <v>1</v>
      </c>
    </row>
    <row r="1245" spans="2:5" x14ac:dyDescent="0.35">
      <c r="B1245" s="38">
        <v>37746</v>
      </c>
      <c r="C1245" s="3">
        <v>0</v>
      </c>
      <c r="D1245" s="3">
        <v>1</v>
      </c>
      <c r="E1245" s="3">
        <f>C1245 - D1245</f>
        <v>-1</v>
      </c>
    </row>
    <row r="1246" spans="2:5" x14ac:dyDescent="0.35">
      <c r="B1246" s="38">
        <v>37747</v>
      </c>
      <c r="C1246" s="3">
        <v>0</v>
      </c>
      <c r="D1246" s="3">
        <v>0</v>
      </c>
      <c r="E1246" s="3">
        <f>C1246 - D1246</f>
        <v>0</v>
      </c>
    </row>
    <row r="1247" spans="2:5" x14ac:dyDescent="0.35">
      <c r="B1247" s="38">
        <v>37748</v>
      </c>
      <c r="C1247" s="3">
        <v>0</v>
      </c>
      <c r="D1247" s="3">
        <v>0</v>
      </c>
      <c r="E1247" s="3">
        <f>C1247 - D1247</f>
        <v>0</v>
      </c>
    </row>
    <row r="1248" spans="2:5" x14ac:dyDescent="0.35">
      <c r="B1248" s="38">
        <v>37749</v>
      </c>
      <c r="C1248" s="3">
        <v>0</v>
      </c>
      <c r="D1248" s="3">
        <v>0</v>
      </c>
      <c r="E1248" s="3">
        <f>C1248 - D1248</f>
        <v>0</v>
      </c>
    </row>
    <row r="1249" spans="2:5" x14ac:dyDescent="0.35">
      <c r="B1249" s="38">
        <v>37750</v>
      </c>
      <c r="C1249" s="3">
        <v>1</v>
      </c>
      <c r="D1249" s="3">
        <v>0</v>
      </c>
      <c r="E1249" s="3">
        <f>C1249 - D1249</f>
        <v>1</v>
      </c>
    </row>
    <row r="1250" spans="2:5" x14ac:dyDescent="0.35">
      <c r="B1250" s="38">
        <v>37751</v>
      </c>
      <c r="C1250" s="3">
        <v>1</v>
      </c>
      <c r="D1250" s="3">
        <v>1</v>
      </c>
      <c r="E1250" s="3">
        <f>C1250 - D1250</f>
        <v>0</v>
      </c>
    </row>
    <row r="1251" spans="2:5" x14ac:dyDescent="0.35">
      <c r="B1251" s="38">
        <v>37752</v>
      </c>
      <c r="C1251" s="3">
        <v>0</v>
      </c>
      <c r="D1251" s="3">
        <v>1</v>
      </c>
      <c r="E1251" s="3">
        <f>C1251 - D1251</f>
        <v>-1</v>
      </c>
    </row>
    <row r="1252" spans="2:5" x14ac:dyDescent="0.35">
      <c r="B1252" s="38">
        <v>37753</v>
      </c>
      <c r="C1252" s="3">
        <v>0</v>
      </c>
      <c r="D1252" s="3">
        <v>0</v>
      </c>
      <c r="E1252" s="3">
        <f>C1252 - D1252</f>
        <v>0</v>
      </c>
    </row>
    <row r="1253" spans="2:5" x14ac:dyDescent="0.35">
      <c r="B1253" s="38">
        <v>37754</v>
      </c>
      <c r="C1253" s="3">
        <v>0</v>
      </c>
      <c r="D1253" s="3">
        <v>0</v>
      </c>
      <c r="E1253" s="3">
        <f>C1253 - D1253</f>
        <v>0</v>
      </c>
    </row>
    <row r="1254" spans="2:5" x14ac:dyDescent="0.35">
      <c r="B1254" s="38">
        <v>37755</v>
      </c>
      <c r="C1254" s="3">
        <v>0</v>
      </c>
      <c r="D1254" s="3">
        <v>0</v>
      </c>
      <c r="E1254" s="3">
        <f>C1254 - D1254</f>
        <v>0</v>
      </c>
    </row>
    <row r="1255" spans="2:5" x14ac:dyDescent="0.35">
      <c r="B1255" s="38">
        <v>37756</v>
      </c>
      <c r="C1255" s="3">
        <v>1</v>
      </c>
      <c r="D1255" s="3">
        <v>0</v>
      </c>
      <c r="E1255" s="3">
        <f>C1255 - D1255</f>
        <v>1</v>
      </c>
    </row>
    <row r="1256" spans="2:5" x14ac:dyDescent="0.35">
      <c r="B1256" s="38">
        <v>37757</v>
      </c>
      <c r="C1256" s="3">
        <v>1</v>
      </c>
      <c r="D1256" s="3">
        <v>1</v>
      </c>
      <c r="E1256" s="3">
        <f>C1256 - D1256</f>
        <v>0</v>
      </c>
    </row>
    <row r="1257" spans="2:5" x14ac:dyDescent="0.35">
      <c r="B1257" s="38">
        <v>37758</v>
      </c>
      <c r="C1257" s="3">
        <v>0</v>
      </c>
      <c r="D1257" s="3">
        <v>1</v>
      </c>
      <c r="E1257" s="3">
        <f>C1257 - D1257</f>
        <v>-1</v>
      </c>
    </row>
    <row r="1258" spans="2:5" x14ac:dyDescent="0.35">
      <c r="B1258" s="38">
        <v>37759</v>
      </c>
      <c r="C1258" s="3">
        <v>1</v>
      </c>
      <c r="D1258" s="3">
        <v>0</v>
      </c>
      <c r="E1258" s="3">
        <f>C1258 - D1258</f>
        <v>1</v>
      </c>
    </row>
    <row r="1259" spans="2:5" x14ac:dyDescent="0.35">
      <c r="B1259" s="38">
        <v>37760</v>
      </c>
      <c r="C1259" s="3">
        <v>1</v>
      </c>
      <c r="D1259" s="3">
        <v>1</v>
      </c>
      <c r="E1259" s="3">
        <f>C1259 - D1259</f>
        <v>0</v>
      </c>
    </row>
    <row r="1260" spans="2:5" x14ac:dyDescent="0.35">
      <c r="B1260" s="38">
        <v>37761</v>
      </c>
      <c r="C1260" s="3">
        <v>1</v>
      </c>
      <c r="D1260" s="3">
        <v>1</v>
      </c>
      <c r="E1260" s="3">
        <f>C1260 - D1260</f>
        <v>0</v>
      </c>
    </row>
    <row r="1261" spans="2:5" x14ac:dyDescent="0.35">
      <c r="B1261" s="38">
        <v>37762</v>
      </c>
      <c r="C1261" s="3">
        <v>1</v>
      </c>
      <c r="D1261" s="3">
        <v>1</v>
      </c>
      <c r="E1261" s="3">
        <f>C1261 - D1261</f>
        <v>0</v>
      </c>
    </row>
    <row r="1262" spans="2:5" x14ac:dyDescent="0.35">
      <c r="B1262" s="38">
        <v>37763</v>
      </c>
      <c r="C1262" s="3">
        <v>0</v>
      </c>
      <c r="D1262" s="3">
        <v>1</v>
      </c>
      <c r="E1262" s="3">
        <f>C1262 - D1262</f>
        <v>-1</v>
      </c>
    </row>
    <row r="1263" spans="2:5" x14ac:dyDescent="0.35">
      <c r="B1263" s="38">
        <v>37764</v>
      </c>
      <c r="C1263" s="3">
        <v>0</v>
      </c>
      <c r="D1263" s="3">
        <v>0</v>
      </c>
      <c r="E1263" s="3">
        <f>C1263 - D1263</f>
        <v>0</v>
      </c>
    </row>
    <row r="1264" spans="2:5" x14ac:dyDescent="0.35">
      <c r="B1264" s="38">
        <v>37765</v>
      </c>
      <c r="C1264" s="3">
        <v>0</v>
      </c>
      <c r="D1264" s="3">
        <v>0</v>
      </c>
      <c r="E1264" s="3">
        <f>C1264 - D1264</f>
        <v>0</v>
      </c>
    </row>
    <row r="1265" spans="2:5" x14ac:dyDescent="0.35">
      <c r="B1265" s="38">
        <v>37766</v>
      </c>
      <c r="C1265" s="3">
        <v>0</v>
      </c>
      <c r="D1265" s="3">
        <v>0</v>
      </c>
      <c r="E1265" s="3">
        <f>C1265 - D1265</f>
        <v>0</v>
      </c>
    </row>
    <row r="1266" spans="2:5" x14ac:dyDescent="0.35">
      <c r="B1266" s="38">
        <v>37767</v>
      </c>
      <c r="C1266" s="3">
        <v>0</v>
      </c>
      <c r="D1266" s="3">
        <v>0</v>
      </c>
      <c r="E1266" s="3">
        <f>C1266 - D1266</f>
        <v>0</v>
      </c>
    </row>
    <row r="1267" spans="2:5" x14ac:dyDescent="0.35">
      <c r="B1267" s="38">
        <v>37768</v>
      </c>
      <c r="C1267" s="3">
        <v>0</v>
      </c>
      <c r="D1267" s="3">
        <v>0</v>
      </c>
      <c r="E1267" s="3">
        <f>C1267 - D1267</f>
        <v>0</v>
      </c>
    </row>
    <row r="1268" spans="2:5" x14ac:dyDescent="0.35">
      <c r="B1268" s="38">
        <v>37769</v>
      </c>
      <c r="C1268" s="3">
        <v>0</v>
      </c>
      <c r="D1268" s="3">
        <v>0</v>
      </c>
      <c r="E1268" s="3">
        <f>C1268 - D1268</f>
        <v>0</v>
      </c>
    </row>
    <row r="1269" spans="2:5" x14ac:dyDescent="0.35">
      <c r="B1269" s="38">
        <v>37770</v>
      </c>
      <c r="C1269" s="3">
        <v>0</v>
      </c>
      <c r="D1269" s="3">
        <v>0</v>
      </c>
      <c r="E1269" s="3">
        <f>C1269 - D1269</f>
        <v>0</v>
      </c>
    </row>
    <row r="1270" spans="2:5" x14ac:dyDescent="0.35">
      <c r="B1270" s="38">
        <v>37771</v>
      </c>
      <c r="C1270" s="3">
        <v>0</v>
      </c>
      <c r="D1270" s="3">
        <v>0</v>
      </c>
      <c r="E1270" s="3">
        <f>C1270 - D1270</f>
        <v>0</v>
      </c>
    </row>
    <row r="1271" spans="2:5" x14ac:dyDescent="0.35">
      <c r="B1271" s="38">
        <v>37772</v>
      </c>
      <c r="C1271" s="3">
        <v>0</v>
      </c>
      <c r="D1271" s="3">
        <v>0</v>
      </c>
      <c r="E1271" s="3">
        <f>C1271 - D1271</f>
        <v>0</v>
      </c>
    </row>
    <row r="1272" spans="2:5" x14ac:dyDescent="0.35">
      <c r="B1272" s="38">
        <v>37773</v>
      </c>
      <c r="C1272" s="3">
        <v>1</v>
      </c>
      <c r="D1272" s="3">
        <v>0</v>
      </c>
      <c r="E1272" s="3">
        <f>C1272 - D1272</f>
        <v>1</v>
      </c>
    </row>
    <row r="1273" spans="2:5" x14ac:dyDescent="0.35">
      <c r="B1273" s="38">
        <v>37774</v>
      </c>
      <c r="C1273" s="3">
        <v>1</v>
      </c>
      <c r="D1273" s="3">
        <v>1</v>
      </c>
      <c r="E1273" s="3">
        <f>C1273 - D1273</f>
        <v>0</v>
      </c>
    </row>
    <row r="1274" spans="2:5" x14ac:dyDescent="0.35">
      <c r="B1274" s="38">
        <v>37775</v>
      </c>
      <c r="C1274" s="3">
        <v>0</v>
      </c>
      <c r="D1274" s="3">
        <v>1</v>
      </c>
      <c r="E1274" s="3">
        <f>C1274 - D1274</f>
        <v>-1</v>
      </c>
    </row>
    <row r="1275" spans="2:5" x14ac:dyDescent="0.35">
      <c r="B1275" s="38">
        <v>37776</v>
      </c>
      <c r="C1275" s="3">
        <v>0</v>
      </c>
      <c r="D1275" s="3">
        <v>0</v>
      </c>
      <c r="E1275" s="3">
        <f>C1275 - D1275</f>
        <v>0</v>
      </c>
    </row>
    <row r="1276" spans="2:5" x14ac:dyDescent="0.35">
      <c r="B1276" s="38">
        <v>37777</v>
      </c>
      <c r="C1276" s="3">
        <v>0</v>
      </c>
      <c r="D1276" s="3">
        <v>0</v>
      </c>
      <c r="E1276" s="3">
        <f>C1276 - D1276</f>
        <v>0</v>
      </c>
    </row>
    <row r="1277" spans="2:5" x14ac:dyDescent="0.35">
      <c r="B1277" s="38">
        <v>37778</v>
      </c>
      <c r="C1277" s="3">
        <v>0</v>
      </c>
      <c r="D1277" s="3">
        <v>0</v>
      </c>
      <c r="E1277" s="3">
        <f>C1277 - D1277</f>
        <v>0</v>
      </c>
    </row>
    <row r="1278" spans="2:5" x14ac:dyDescent="0.35">
      <c r="B1278" s="38">
        <v>37779</v>
      </c>
      <c r="C1278" s="3">
        <v>1</v>
      </c>
      <c r="D1278" s="3">
        <v>0</v>
      </c>
      <c r="E1278" s="3">
        <f>C1278 - D1278</f>
        <v>1</v>
      </c>
    </row>
    <row r="1279" spans="2:5" x14ac:dyDescent="0.35">
      <c r="B1279" s="38">
        <v>37780</v>
      </c>
      <c r="C1279" s="3">
        <v>0</v>
      </c>
      <c r="D1279" s="3">
        <v>1</v>
      </c>
      <c r="E1279" s="3">
        <f>C1279 - D1279</f>
        <v>-1</v>
      </c>
    </row>
    <row r="1280" spans="2:5" x14ac:dyDescent="0.35">
      <c r="B1280" s="38">
        <v>37781</v>
      </c>
      <c r="C1280" s="3">
        <v>1</v>
      </c>
      <c r="D1280" s="3">
        <v>0</v>
      </c>
      <c r="E1280" s="3">
        <f>C1280 - D1280</f>
        <v>1</v>
      </c>
    </row>
    <row r="1281" spans="2:5" x14ac:dyDescent="0.35">
      <c r="B1281" s="38">
        <v>37782</v>
      </c>
      <c r="C1281" s="3">
        <v>0</v>
      </c>
      <c r="D1281" s="3">
        <v>1</v>
      </c>
      <c r="E1281" s="3">
        <f>C1281 - D1281</f>
        <v>-1</v>
      </c>
    </row>
    <row r="1282" spans="2:5" x14ac:dyDescent="0.35">
      <c r="B1282" s="38">
        <v>37783</v>
      </c>
      <c r="C1282" s="3">
        <v>0</v>
      </c>
      <c r="D1282" s="3">
        <v>0</v>
      </c>
      <c r="E1282" s="3">
        <f>C1282 - D1282</f>
        <v>0</v>
      </c>
    </row>
    <row r="1283" spans="2:5" x14ac:dyDescent="0.35">
      <c r="B1283" s="38">
        <v>37784</v>
      </c>
      <c r="C1283" s="3">
        <v>0</v>
      </c>
      <c r="D1283" s="3">
        <v>0</v>
      </c>
      <c r="E1283" s="3">
        <f>C1283 - D1283</f>
        <v>0</v>
      </c>
    </row>
    <row r="1284" spans="2:5" x14ac:dyDescent="0.35">
      <c r="B1284" s="38">
        <v>37785</v>
      </c>
      <c r="C1284" s="3">
        <v>0</v>
      </c>
      <c r="D1284" s="3">
        <v>0</v>
      </c>
      <c r="E1284" s="3">
        <f>C1284 - D1284</f>
        <v>0</v>
      </c>
    </row>
    <row r="1285" spans="2:5" x14ac:dyDescent="0.35">
      <c r="B1285" s="38">
        <v>37786</v>
      </c>
      <c r="C1285" s="3">
        <v>1</v>
      </c>
      <c r="D1285" s="3">
        <v>0</v>
      </c>
      <c r="E1285" s="3">
        <f>C1285 - D1285</f>
        <v>1</v>
      </c>
    </row>
    <row r="1286" spans="2:5" x14ac:dyDescent="0.35">
      <c r="B1286" s="38">
        <v>37787</v>
      </c>
      <c r="C1286" s="3">
        <v>1</v>
      </c>
      <c r="D1286" s="3">
        <v>1</v>
      </c>
      <c r="E1286" s="3">
        <f>C1286 - D1286</f>
        <v>0</v>
      </c>
    </row>
    <row r="1287" spans="2:5" x14ac:dyDescent="0.35">
      <c r="B1287" s="38">
        <v>37788</v>
      </c>
      <c r="C1287" s="3">
        <v>1</v>
      </c>
      <c r="D1287" s="3">
        <v>1</v>
      </c>
      <c r="E1287" s="3">
        <f>C1287 - D1287</f>
        <v>0</v>
      </c>
    </row>
    <row r="1288" spans="2:5" x14ac:dyDescent="0.35">
      <c r="B1288" s="38">
        <v>37789</v>
      </c>
      <c r="C1288" s="3">
        <v>1</v>
      </c>
      <c r="D1288" s="3">
        <v>1</v>
      </c>
      <c r="E1288" s="3">
        <f>C1288 - D1288</f>
        <v>0</v>
      </c>
    </row>
    <row r="1289" spans="2:5" x14ac:dyDescent="0.35">
      <c r="B1289" s="38">
        <v>37790</v>
      </c>
      <c r="C1289" s="3">
        <v>0</v>
      </c>
      <c r="D1289" s="3">
        <v>1</v>
      </c>
      <c r="E1289" s="3">
        <f>C1289 - D1289</f>
        <v>-1</v>
      </c>
    </row>
    <row r="1290" spans="2:5" x14ac:dyDescent="0.35">
      <c r="B1290" s="38">
        <v>37791</v>
      </c>
      <c r="C1290" s="3">
        <v>1</v>
      </c>
      <c r="D1290" s="3">
        <v>0</v>
      </c>
      <c r="E1290" s="3">
        <f>C1290 - D1290</f>
        <v>1</v>
      </c>
    </row>
    <row r="1291" spans="2:5" x14ac:dyDescent="0.35">
      <c r="B1291" s="38">
        <v>37792</v>
      </c>
      <c r="C1291" s="3">
        <v>1</v>
      </c>
      <c r="D1291" s="3">
        <v>1</v>
      </c>
      <c r="E1291" s="3">
        <f>C1291 - D1291</f>
        <v>0</v>
      </c>
    </row>
    <row r="1292" spans="2:5" x14ac:dyDescent="0.35">
      <c r="B1292" s="38">
        <v>37793</v>
      </c>
      <c r="C1292" s="3">
        <v>0</v>
      </c>
      <c r="D1292" s="3">
        <v>1</v>
      </c>
      <c r="E1292" s="3">
        <f>C1292 - D1292</f>
        <v>-1</v>
      </c>
    </row>
    <row r="1293" spans="2:5" x14ac:dyDescent="0.35">
      <c r="B1293" s="38">
        <v>37794</v>
      </c>
      <c r="C1293" s="3">
        <v>1</v>
      </c>
      <c r="D1293" s="3">
        <v>0</v>
      </c>
      <c r="E1293" s="3">
        <f>C1293 - D1293</f>
        <v>1</v>
      </c>
    </row>
    <row r="1294" spans="2:5" x14ac:dyDescent="0.35">
      <c r="B1294" s="38">
        <v>37795</v>
      </c>
      <c r="C1294" s="3">
        <v>1</v>
      </c>
      <c r="D1294" s="3">
        <v>1</v>
      </c>
      <c r="E1294" s="3">
        <f>C1294 - D1294</f>
        <v>0</v>
      </c>
    </row>
    <row r="1295" spans="2:5" x14ac:dyDescent="0.35">
      <c r="B1295" s="38">
        <v>37796</v>
      </c>
      <c r="C1295" s="3">
        <v>1</v>
      </c>
      <c r="D1295" s="3">
        <v>1</v>
      </c>
      <c r="E1295" s="3">
        <f>C1295 - D1295</f>
        <v>0</v>
      </c>
    </row>
    <row r="1296" spans="2:5" x14ac:dyDescent="0.35">
      <c r="B1296" s="38">
        <v>37797</v>
      </c>
      <c r="C1296" s="3">
        <v>0</v>
      </c>
      <c r="D1296" s="3">
        <v>1</v>
      </c>
      <c r="E1296" s="3">
        <f>C1296 - D1296</f>
        <v>-1</v>
      </c>
    </row>
    <row r="1297" spans="2:5" x14ac:dyDescent="0.35">
      <c r="B1297" s="38">
        <v>37798</v>
      </c>
      <c r="C1297" s="3">
        <v>0</v>
      </c>
      <c r="D1297" s="3">
        <v>0</v>
      </c>
      <c r="E1297" s="3">
        <f>C1297 - D1297</f>
        <v>0</v>
      </c>
    </row>
    <row r="1298" spans="2:5" x14ac:dyDescent="0.35">
      <c r="B1298" s="38">
        <v>37799</v>
      </c>
      <c r="C1298" s="3">
        <v>0</v>
      </c>
      <c r="D1298" s="3">
        <v>0</v>
      </c>
      <c r="E1298" s="3">
        <f>C1298 - D1298</f>
        <v>0</v>
      </c>
    </row>
    <row r="1299" spans="2:5" x14ac:dyDescent="0.35">
      <c r="B1299" s="38">
        <v>37800</v>
      </c>
      <c r="C1299" s="3">
        <v>1</v>
      </c>
      <c r="D1299" s="3">
        <v>0</v>
      </c>
      <c r="E1299" s="3">
        <f>C1299 - D1299</f>
        <v>1</v>
      </c>
    </row>
    <row r="1300" spans="2:5" x14ac:dyDescent="0.35">
      <c r="B1300" s="38">
        <v>37801</v>
      </c>
      <c r="C1300" s="3">
        <v>1</v>
      </c>
      <c r="D1300" s="3">
        <v>1</v>
      </c>
      <c r="E1300" s="3">
        <f>C1300 - D1300</f>
        <v>0</v>
      </c>
    </row>
    <row r="1301" spans="2:5" x14ac:dyDescent="0.35">
      <c r="B1301" s="38">
        <v>37802</v>
      </c>
      <c r="C1301" s="3">
        <v>1</v>
      </c>
      <c r="D1301" s="3">
        <v>1</v>
      </c>
      <c r="E1301" s="3">
        <f>C1301 - D1301</f>
        <v>0</v>
      </c>
    </row>
    <row r="1302" spans="2:5" x14ac:dyDescent="0.35">
      <c r="B1302" s="38">
        <v>37803</v>
      </c>
      <c r="C1302" s="3">
        <v>1</v>
      </c>
      <c r="D1302" s="3">
        <v>1</v>
      </c>
      <c r="E1302" s="3">
        <f>C1302 - D1302</f>
        <v>0</v>
      </c>
    </row>
    <row r="1303" spans="2:5" x14ac:dyDescent="0.35">
      <c r="B1303" s="38">
        <v>37804</v>
      </c>
      <c r="C1303" s="3">
        <v>0</v>
      </c>
      <c r="D1303" s="3">
        <v>1</v>
      </c>
      <c r="E1303" s="3">
        <f>C1303 - D1303</f>
        <v>-1</v>
      </c>
    </row>
    <row r="1304" spans="2:5" x14ac:dyDescent="0.35">
      <c r="B1304" s="38">
        <v>37805</v>
      </c>
      <c r="C1304" s="3">
        <v>0</v>
      </c>
      <c r="D1304" s="3">
        <v>0</v>
      </c>
      <c r="E1304" s="3">
        <f>C1304 - D1304</f>
        <v>0</v>
      </c>
    </row>
    <row r="1305" spans="2:5" x14ac:dyDescent="0.35">
      <c r="B1305" s="38">
        <v>37806</v>
      </c>
      <c r="C1305" s="3">
        <v>0</v>
      </c>
      <c r="D1305" s="3">
        <v>0</v>
      </c>
      <c r="E1305" s="3">
        <f>C1305 - D1305</f>
        <v>0</v>
      </c>
    </row>
    <row r="1306" spans="2:5" x14ac:dyDescent="0.35">
      <c r="B1306" s="38">
        <v>37807</v>
      </c>
      <c r="C1306" s="3">
        <v>0</v>
      </c>
      <c r="D1306" s="3">
        <v>0</v>
      </c>
      <c r="E1306" s="3">
        <f>C1306 - D1306</f>
        <v>0</v>
      </c>
    </row>
    <row r="1307" spans="2:5" x14ac:dyDescent="0.35">
      <c r="B1307" s="38">
        <v>37808</v>
      </c>
      <c r="C1307" s="3">
        <v>0</v>
      </c>
      <c r="D1307" s="3">
        <v>0</v>
      </c>
      <c r="E1307" s="3">
        <f>C1307 - D1307</f>
        <v>0</v>
      </c>
    </row>
    <row r="1308" spans="2:5" x14ac:dyDescent="0.35">
      <c r="B1308" s="38">
        <v>37809</v>
      </c>
      <c r="C1308" s="3">
        <v>0</v>
      </c>
      <c r="D1308" s="3">
        <v>0</v>
      </c>
      <c r="E1308" s="3">
        <f>C1308 - D1308</f>
        <v>0</v>
      </c>
    </row>
    <row r="1309" spans="2:5" x14ac:dyDescent="0.35">
      <c r="B1309" s="38">
        <v>37810</v>
      </c>
      <c r="C1309" s="3">
        <v>1</v>
      </c>
      <c r="D1309" s="3">
        <v>0</v>
      </c>
      <c r="E1309" s="3">
        <f>C1309 - D1309</f>
        <v>1</v>
      </c>
    </row>
    <row r="1310" spans="2:5" x14ac:dyDescent="0.35">
      <c r="B1310" s="38">
        <v>37811</v>
      </c>
      <c r="C1310" s="3">
        <v>0</v>
      </c>
      <c r="D1310" s="3">
        <v>1</v>
      </c>
      <c r="E1310" s="3">
        <f>C1310 - D1310</f>
        <v>-1</v>
      </c>
    </row>
    <row r="1311" spans="2:5" x14ac:dyDescent="0.35">
      <c r="B1311" s="38">
        <v>37812</v>
      </c>
      <c r="C1311" s="3">
        <v>0</v>
      </c>
      <c r="D1311" s="3">
        <v>0</v>
      </c>
      <c r="E1311" s="3">
        <f>C1311 - D1311</f>
        <v>0</v>
      </c>
    </row>
    <row r="1312" spans="2:5" x14ac:dyDescent="0.35">
      <c r="B1312" s="38">
        <v>37813</v>
      </c>
      <c r="C1312" s="3">
        <v>0</v>
      </c>
      <c r="D1312" s="3">
        <v>0</v>
      </c>
      <c r="E1312" s="3">
        <f>C1312 - D1312</f>
        <v>0</v>
      </c>
    </row>
    <row r="1313" spans="2:5" x14ac:dyDescent="0.35">
      <c r="B1313" s="38">
        <v>37814</v>
      </c>
      <c r="C1313" s="3">
        <v>0</v>
      </c>
      <c r="D1313" s="3">
        <v>0</v>
      </c>
      <c r="E1313" s="3">
        <f>C1313 - D1313</f>
        <v>0</v>
      </c>
    </row>
    <row r="1314" spans="2:5" x14ac:dyDescent="0.35">
      <c r="B1314" s="38">
        <v>37815</v>
      </c>
      <c r="C1314" s="3">
        <v>0</v>
      </c>
      <c r="D1314" s="3">
        <v>0</v>
      </c>
      <c r="E1314" s="3">
        <f>C1314 - D1314</f>
        <v>0</v>
      </c>
    </row>
    <row r="1315" spans="2:5" x14ac:dyDescent="0.35">
      <c r="B1315" s="38">
        <v>37816</v>
      </c>
      <c r="C1315" s="3">
        <v>1</v>
      </c>
      <c r="D1315" s="3">
        <v>0</v>
      </c>
      <c r="E1315" s="3">
        <f>C1315 - D1315</f>
        <v>1</v>
      </c>
    </row>
    <row r="1316" spans="2:5" x14ac:dyDescent="0.35">
      <c r="B1316" s="38">
        <v>37817</v>
      </c>
      <c r="C1316" s="3">
        <v>0</v>
      </c>
      <c r="D1316" s="3">
        <v>1</v>
      </c>
      <c r="E1316" s="3">
        <f>C1316 - D1316</f>
        <v>-1</v>
      </c>
    </row>
    <row r="1317" spans="2:5" x14ac:dyDescent="0.35">
      <c r="B1317" s="38">
        <v>37818</v>
      </c>
      <c r="C1317" s="3">
        <v>1</v>
      </c>
      <c r="D1317" s="3">
        <v>0</v>
      </c>
      <c r="E1317" s="3">
        <f>C1317 - D1317</f>
        <v>1</v>
      </c>
    </row>
    <row r="1318" spans="2:5" x14ac:dyDescent="0.35">
      <c r="B1318" s="38">
        <v>37819</v>
      </c>
      <c r="C1318" s="3">
        <v>0</v>
      </c>
      <c r="D1318" s="3">
        <v>1</v>
      </c>
      <c r="E1318" s="3">
        <f>C1318 - D1318</f>
        <v>-1</v>
      </c>
    </row>
    <row r="1319" spans="2:5" x14ac:dyDescent="0.35">
      <c r="B1319" s="38">
        <v>37820</v>
      </c>
      <c r="C1319" s="3">
        <v>0</v>
      </c>
      <c r="D1319" s="3">
        <v>0</v>
      </c>
      <c r="E1319" s="3">
        <f>C1319 - D1319</f>
        <v>0</v>
      </c>
    </row>
    <row r="1320" spans="2:5" x14ac:dyDescent="0.35">
      <c r="B1320" s="38">
        <v>37821</v>
      </c>
      <c r="C1320" s="3">
        <v>0</v>
      </c>
      <c r="D1320" s="3">
        <v>0</v>
      </c>
      <c r="E1320" s="3">
        <f>C1320 - D1320</f>
        <v>0</v>
      </c>
    </row>
    <row r="1321" spans="2:5" x14ac:dyDescent="0.35">
      <c r="B1321" s="38">
        <v>37822</v>
      </c>
      <c r="C1321" s="3">
        <v>0</v>
      </c>
      <c r="D1321" s="3">
        <v>0</v>
      </c>
      <c r="E1321" s="3">
        <f>C1321 - D1321</f>
        <v>0</v>
      </c>
    </row>
    <row r="1322" spans="2:5" x14ac:dyDescent="0.35">
      <c r="B1322" s="38">
        <v>37823</v>
      </c>
      <c r="C1322" s="3">
        <v>0</v>
      </c>
      <c r="D1322" s="3">
        <v>0</v>
      </c>
      <c r="E1322" s="3">
        <f>C1322 - D1322</f>
        <v>0</v>
      </c>
    </row>
    <row r="1323" spans="2:5" x14ac:dyDescent="0.35">
      <c r="B1323" s="38">
        <v>37824</v>
      </c>
      <c r="C1323" s="3">
        <v>1</v>
      </c>
      <c r="D1323" s="3">
        <v>0</v>
      </c>
      <c r="E1323" s="3">
        <f>C1323 - D1323</f>
        <v>1</v>
      </c>
    </row>
    <row r="1324" spans="2:5" x14ac:dyDescent="0.35">
      <c r="B1324" s="38">
        <v>37825</v>
      </c>
      <c r="C1324" s="3">
        <v>1</v>
      </c>
      <c r="D1324" s="3">
        <v>1</v>
      </c>
      <c r="E1324" s="3">
        <f>C1324 - D1324</f>
        <v>0</v>
      </c>
    </row>
    <row r="1325" spans="2:5" x14ac:dyDescent="0.35">
      <c r="B1325" s="38">
        <v>37826</v>
      </c>
      <c r="C1325" s="3">
        <v>1</v>
      </c>
      <c r="D1325" s="3">
        <v>1</v>
      </c>
      <c r="E1325" s="3">
        <f>C1325 - D1325</f>
        <v>0</v>
      </c>
    </row>
    <row r="1326" spans="2:5" x14ac:dyDescent="0.35">
      <c r="B1326" s="38">
        <v>37827</v>
      </c>
      <c r="C1326" s="3">
        <v>1</v>
      </c>
      <c r="D1326" s="3">
        <v>1</v>
      </c>
      <c r="E1326" s="3">
        <f>C1326 - D1326</f>
        <v>0</v>
      </c>
    </row>
    <row r="1327" spans="2:5" x14ac:dyDescent="0.35">
      <c r="B1327" s="38">
        <v>37828</v>
      </c>
      <c r="C1327" s="3">
        <v>1</v>
      </c>
      <c r="D1327" s="3">
        <v>1</v>
      </c>
      <c r="E1327" s="3">
        <f>C1327 - D1327</f>
        <v>0</v>
      </c>
    </row>
    <row r="1328" spans="2:5" x14ac:dyDescent="0.35">
      <c r="B1328" s="38">
        <v>37829</v>
      </c>
      <c r="C1328" s="3">
        <v>1</v>
      </c>
      <c r="D1328" s="3">
        <v>1</v>
      </c>
      <c r="E1328" s="3">
        <f>C1328 - D1328</f>
        <v>0</v>
      </c>
    </row>
    <row r="1329" spans="2:5" x14ac:dyDescent="0.35">
      <c r="B1329" s="38">
        <v>37830</v>
      </c>
      <c r="C1329" s="3">
        <v>0</v>
      </c>
      <c r="D1329" s="3">
        <v>1</v>
      </c>
      <c r="E1329" s="3">
        <f>C1329 - D1329</f>
        <v>-1</v>
      </c>
    </row>
    <row r="1330" spans="2:5" x14ac:dyDescent="0.35">
      <c r="B1330" s="38">
        <v>37831</v>
      </c>
      <c r="C1330" s="3">
        <v>1</v>
      </c>
      <c r="D1330" s="3">
        <v>0</v>
      </c>
      <c r="E1330" s="3">
        <f>C1330 - D1330</f>
        <v>1</v>
      </c>
    </row>
    <row r="1331" spans="2:5" x14ac:dyDescent="0.35">
      <c r="B1331" s="38">
        <v>37832</v>
      </c>
      <c r="C1331" s="3">
        <v>1</v>
      </c>
      <c r="D1331" s="3">
        <v>1</v>
      </c>
      <c r="E1331" s="3">
        <f>C1331 - D1331</f>
        <v>0</v>
      </c>
    </row>
    <row r="1332" spans="2:5" x14ac:dyDescent="0.35">
      <c r="B1332" s="38">
        <v>37833</v>
      </c>
      <c r="C1332" s="3">
        <v>1</v>
      </c>
      <c r="D1332" s="3">
        <v>1</v>
      </c>
      <c r="E1332" s="3">
        <f>C1332 - D1332</f>
        <v>0</v>
      </c>
    </row>
    <row r="1333" spans="2:5" x14ac:dyDescent="0.35">
      <c r="B1333" s="38">
        <v>37834</v>
      </c>
      <c r="C1333" s="3">
        <v>0</v>
      </c>
      <c r="D1333" s="3">
        <v>1</v>
      </c>
      <c r="E1333" s="3">
        <f>C1333 - D1333</f>
        <v>-1</v>
      </c>
    </row>
    <row r="1334" spans="2:5" x14ac:dyDescent="0.35">
      <c r="B1334" s="38">
        <v>37835</v>
      </c>
      <c r="C1334" s="3">
        <v>0</v>
      </c>
      <c r="D1334" s="3">
        <v>0</v>
      </c>
      <c r="E1334" s="3">
        <f>C1334 - D1334</f>
        <v>0</v>
      </c>
    </row>
    <row r="1335" spans="2:5" x14ac:dyDescent="0.35">
      <c r="B1335" s="38">
        <v>37836</v>
      </c>
      <c r="C1335" s="3">
        <v>0</v>
      </c>
      <c r="D1335" s="3">
        <v>0</v>
      </c>
      <c r="E1335" s="3">
        <f>C1335 - D1335</f>
        <v>0</v>
      </c>
    </row>
    <row r="1336" spans="2:5" x14ac:dyDescent="0.35">
      <c r="B1336" s="38">
        <v>37837</v>
      </c>
      <c r="C1336" s="3">
        <v>0</v>
      </c>
      <c r="D1336" s="3">
        <v>0</v>
      </c>
      <c r="E1336" s="3">
        <f>C1336 - D1336</f>
        <v>0</v>
      </c>
    </row>
    <row r="1337" spans="2:5" x14ac:dyDescent="0.35">
      <c r="B1337" s="38">
        <v>37838</v>
      </c>
      <c r="C1337" s="3">
        <v>0</v>
      </c>
      <c r="D1337" s="3">
        <v>0</v>
      </c>
      <c r="E1337" s="3">
        <f>C1337 - D1337</f>
        <v>0</v>
      </c>
    </row>
    <row r="1338" spans="2:5" x14ac:dyDescent="0.35">
      <c r="B1338" s="38">
        <v>37839</v>
      </c>
      <c r="C1338" s="3">
        <v>1</v>
      </c>
      <c r="D1338" s="3">
        <v>0</v>
      </c>
      <c r="E1338" s="3">
        <f>C1338 - D1338</f>
        <v>1</v>
      </c>
    </row>
    <row r="1339" spans="2:5" x14ac:dyDescent="0.35">
      <c r="B1339" s="38">
        <v>37840</v>
      </c>
      <c r="C1339" s="3">
        <v>1</v>
      </c>
      <c r="D1339" s="3">
        <v>1</v>
      </c>
      <c r="E1339" s="3">
        <f>C1339 - D1339</f>
        <v>0</v>
      </c>
    </row>
    <row r="1340" spans="2:5" x14ac:dyDescent="0.35">
      <c r="B1340" s="38">
        <v>37841</v>
      </c>
      <c r="C1340" s="3">
        <v>0</v>
      </c>
      <c r="D1340" s="3">
        <v>1</v>
      </c>
      <c r="E1340" s="3">
        <f>C1340 - D1340</f>
        <v>-1</v>
      </c>
    </row>
    <row r="1341" spans="2:5" x14ac:dyDescent="0.35">
      <c r="B1341" s="38">
        <v>37842</v>
      </c>
      <c r="C1341" s="3">
        <v>1</v>
      </c>
      <c r="D1341" s="3">
        <v>0</v>
      </c>
      <c r="E1341" s="3">
        <f>C1341 - D1341</f>
        <v>1</v>
      </c>
    </row>
    <row r="1342" spans="2:5" x14ac:dyDescent="0.35">
      <c r="B1342" s="38">
        <v>37843</v>
      </c>
      <c r="C1342" s="3">
        <v>0</v>
      </c>
      <c r="D1342" s="3">
        <v>1</v>
      </c>
      <c r="E1342" s="3">
        <f>C1342 - D1342</f>
        <v>-1</v>
      </c>
    </row>
    <row r="1343" spans="2:5" x14ac:dyDescent="0.35">
      <c r="B1343" s="38">
        <v>37844</v>
      </c>
      <c r="C1343" s="3">
        <v>0</v>
      </c>
      <c r="D1343" s="3">
        <v>0</v>
      </c>
      <c r="E1343" s="3">
        <f>C1343 - D1343</f>
        <v>0</v>
      </c>
    </row>
    <row r="1344" spans="2:5" x14ac:dyDescent="0.35">
      <c r="B1344" s="38">
        <v>37845</v>
      </c>
      <c r="C1344" s="3">
        <v>0</v>
      </c>
      <c r="D1344" s="3">
        <v>0</v>
      </c>
      <c r="E1344" s="3">
        <f>C1344 - D1344</f>
        <v>0</v>
      </c>
    </row>
    <row r="1345" spans="2:5" x14ac:dyDescent="0.35">
      <c r="B1345" s="38">
        <v>37846</v>
      </c>
      <c r="C1345" s="3">
        <v>1</v>
      </c>
      <c r="D1345" s="3">
        <v>0</v>
      </c>
      <c r="E1345" s="3">
        <f>C1345 - D1345</f>
        <v>1</v>
      </c>
    </row>
    <row r="1346" spans="2:5" x14ac:dyDescent="0.35">
      <c r="B1346" s="38">
        <v>37847</v>
      </c>
      <c r="C1346" s="3">
        <v>1</v>
      </c>
      <c r="D1346" s="3">
        <v>1</v>
      </c>
      <c r="E1346" s="3">
        <f>C1346 - D1346</f>
        <v>0</v>
      </c>
    </row>
    <row r="1347" spans="2:5" x14ac:dyDescent="0.35">
      <c r="B1347" s="38">
        <v>37848</v>
      </c>
      <c r="C1347" s="3">
        <v>0</v>
      </c>
      <c r="D1347" s="3">
        <v>1</v>
      </c>
      <c r="E1347" s="3">
        <f>C1347 - D1347</f>
        <v>-1</v>
      </c>
    </row>
    <row r="1348" spans="2:5" x14ac:dyDescent="0.35">
      <c r="B1348" s="38">
        <v>37849</v>
      </c>
      <c r="C1348" s="3">
        <v>0</v>
      </c>
      <c r="D1348" s="3">
        <v>0</v>
      </c>
      <c r="E1348" s="3">
        <f>C1348 - D1348</f>
        <v>0</v>
      </c>
    </row>
    <row r="1349" spans="2:5" x14ac:dyDescent="0.35">
      <c r="B1349" s="38">
        <v>37850</v>
      </c>
      <c r="C1349" s="3">
        <v>0</v>
      </c>
      <c r="D1349" s="3">
        <v>0</v>
      </c>
      <c r="E1349" s="3">
        <f>C1349 - D1349</f>
        <v>0</v>
      </c>
    </row>
    <row r="1350" spans="2:5" x14ac:dyDescent="0.35">
      <c r="B1350" s="38">
        <v>37851</v>
      </c>
      <c r="C1350" s="3">
        <v>1</v>
      </c>
      <c r="D1350" s="3">
        <v>0</v>
      </c>
      <c r="E1350" s="3">
        <f>C1350 - D1350</f>
        <v>1</v>
      </c>
    </row>
    <row r="1351" spans="2:5" x14ac:dyDescent="0.35">
      <c r="B1351" s="38">
        <v>37852</v>
      </c>
      <c r="C1351" s="3">
        <v>1</v>
      </c>
      <c r="D1351" s="3">
        <v>1</v>
      </c>
      <c r="E1351" s="3">
        <f>C1351 - D1351</f>
        <v>0</v>
      </c>
    </row>
    <row r="1352" spans="2:5" x14ac:dyDescent="0.35">
      <c r="B1352" s="38">
        <v>37853</v>
      </c>
      <c r="C1352" s="3">
        <v>0</v>
      </c>
      <c r="D1352" s="3">
        <v>1</v>
      </c>
      <c r="E1352" s="3">
        <f>C1352 - D1352</f>
        <v>-1</v>
      </c>
    </row>
    <row r="1353" spans="2:5" x14ac:dyDescent="0.35">
      <c r="B1353" s="38">
        <v>37854</v>
      </c>
      <c r="C1353" s="3">
        <v>0</v>
      </c>
      <c r="D1353" s="3">
        <v>0</v>
      </c>
      <c r="E1353" s="3">
        <f>C1353 - D1353</f>
        <v>0</v>
      </c>
    </row>
    <row r="1354" spans="2:5" x14ac:dyDescent="0.35">
      <c r="B1354" s="38">
        <v>37855</v>
      </c>
      <c r="C1354" s="3">
        <v>0</v>
      </c>
      <c r="D1354" s="3">
        <v>0</v>
      </c>
      <c r="E1354" s="3">
        <f>C1354 - D1354</f>
        <v>0</v>
      </c>
    </row>
    <row r="1355" spans="2:5" x14ac:dyDescent="0.35">
      <c r="B1355" s="38">
        <v>37856</v>
      </c>
      <c r="C1355" s="3">
        <v>0</v>
      </c>
      <c r="D1355" s="3">
        <v>0</v>
      </c>
      <c r="E1355" s="3">
        <f>C1355 - D1355</f>
        <v>0</v>
      </c>
    </row>
    <row r="1356" spans="2:5" x14ac:dyDescent="0.35">
      <c r="B1356" s="38">
        <v>37857</v>
      </c>
      <c r="C1356" s="3">
        <v>1</v>
      </c>
      <c r="D1356" s="3">
        <v>0</v>
      </c>
      <c r="E1356" s="3">
        <f>C1356 - D1356</f>
        <v>1</v>
      </c>
    </row>
    <row r="1357" spans="2:5" x14ac:dyDescent="0.35">
      <c r="B1357" s="38">
        <v>37858</v>
      </c>
      <c r="C1357" s="3">
        <v>1</v>
      </c>
      <c r="D1357" s="3">
        <v>1</v>
      </c>
      <c r="E1357" s="3">
        <f>C1357 - D1357</f>
        <v>0</v>
      </c>
    </row>
    <row r="1358" spans="2:5" x14ac:dyDescent="0.35">
      <c r="B1358" s="38">
        <v>37859</v>
      </c>
      <c r="C1358" s="3">
        <v>1</v>
      </c>
      <c r="D1358" s="3">
        <v>1</v>
      </c>
      <c r="E1358" s="3">
        <f>C1358 - D1358</f>
        <v>0</v>
      </c>
    </row>
    <row r="1359" spans="2:5" x14ac:dyDescent="0.35">
      <c r="B1359" s="38">
        <v>37860</v>
      </c>
      <c r="C1359" s="3">
        <v>1</v>
      </c>
      <c r="D1359" s="3">
        <v>1</v>
      </c>
      <c r="E1359" s="3">
        <f>C1359 - D1359</f>
        <v>0</v>
      </c>
    </row>
    <row r="1360" spans="2:5" x14ac:dyDescent="0.35">
      <c r="B1360" s="38">
        <v>37861</v>
      </c>
      <c r="C1360" s="3">
        <v>0</v>
      </c>
      <c r="D1360" s="3">
        <v>1</v>
      </c>
      <c r="E1360" s="3">
        <f>C1360 - D1360</f>
        <v>-1</v>
      </c>
    </row>
    <row r="1361" spans="2:5" x14ac:dyDescent="0.35">
      <c r="B1361" s="38">
        <v>37862</v>
      </c>
      <c r="C1361" s="3">
        <v>0</v>
      </c>
      <c r="D1361" s="3">
        <v>0</v>
      </c>
      <c r="E1361" s="3">
        <f>C1361 - D1361</f>
        <v>0</v>
      </c>
    </row>
    <row r="1362" spans="2:5" x14ac:dyDescent="0.35">
      <c r="B1362" s="38">
        <v>37863</v>
      </c>
      <c r="C1362" s="3">
        <v>1</v>
      </c>
      <c r="D1362" s="3">
        <v>0</v>
      </c>
      <c r="E1362" s="3">
        <f>C1362 - D1362</f>
        <v>1</v>
      </c>
    </row>
    <row r="1363" spans="2:5" x14ac:dyDescent="0.35">
      <c r="B1363" s="38">
        <v>37864</v>
      </c>
      <c r="C1363" s="3">
        <v>0</v>
      </c>
      <c r="D1363" s="3">
        <v>1</v>
      </c>
      <c r="E1363" s="3">
        <f>C1363 - D1363</f>
        <v>-1</v>
      </c>
    </row>
    <row r="1364" spans="2:5" x14ac:dyDescent="0.35">
      <c r="B1364" s="38">
        <v>37865</v>
      </c>
      <c r="C1364" s="3">
        <v>1</v>
      </c>
      <c r="D1364" s="3">
        <v>0</v>
      </c>
      <c r="E1364" s="3">
        <f>C1364 - D1364</f>
        <v>1</v>
      </c>
    </row>
    <row r="1365" spans="2:5" x14ac:dyDescent="0.35">
      <c r="B1365" s="38">
        <v>37866</v>
      </c>
      <c r="C1365" s="3">
        <v>1</v>
      </c>
      <c r="D1365" s="3">
        <v>1</v>
      </c>
      <c r="E1365" s="3">
        <f>C1365 - D1365</f>
        <v>0</v>
      </c>
    </row>
    <row r="1366" spans="2:5" x14ac:dyDescent="0.35">
      <c r="B1366" s="38">
        <v>37867</v>
      </c>
      <c r="C1366" s="3">
        <v>0</v>
      </c>
      <c r="D1366" s="3">
        <v>1</v>
      </c>
      <c r="E1366" s="3">
        <f>C1366 - D1366</f>
        <v>-1</v>
      </c>
    </row>
    <row r="1367" spans="2:5" x14ac:dyDescent="0.35">
      <c r="B1367" s="38">
        <v>37868</v>
      </c>
      <c r="C1367" s="3">
        <v>0</v>
      </c>
      <c r="D1367" s="3">
        <v>0</v>
      </c>
      <c r="E1367" s="3">
        <f>C1367 - D1367</f>
        <v>0</v>
      </c>
    </row>
    <row r="1368" spans="2:5" x14ac:dyDescent="0.35">
      <c r="B1368" s="38">
        <v>37869</v>
      </c>
      <c r="C1368" s="3">
        <v>0</v>
      </c>
      <c r="D1368" s="3">
        <v>0</v>
      </c>
      <c r="E1368" s="3">
        <f>C1368 - D1368</f>
        <v>0</v>
      </c>
    </row>
    <row r="1369" spans="2:5" x14ac:dyDescent="0.35">
      <c r="B1369" s="38">
        <v>37870</v>
      </c>
      <c r="C1369" s="3">
        <v>0</v>
      </c>
      <c r="D1369" s="3">
        <v>0</v>
      </c>
      <c r="E1369" s="3">
        <f>C1369 - D1369</f>
        <v>0</v>
      </c>
    </row>
    <row r="1370" spans="2:5" x14ac:dyDescent="0.35">
      <c r="B1370" s="38">
        <v>37871</v>
      </c>
      <c r="C1370" s="3">
        <v>0</v>
      </c>
      <c r="D1370" s="3">
        <v>0</v>
      </c>
      <c r="E1370" s="3">
        <f>C1370 - D1370</f>
        <v>0</v>
      </c>
    </row>
    <row r="1371" spans="2:5" x14ac:dyDescent="0.35">
      <c r="B1371" s="38">
        <v>37872</v>
      </c>
      <c r="C1371" s="3">
        <v>0</v>
      </c>
      <c r="D1371" s="3">
        <v>0</v>
      </c>
      <c r="E1371" s="3">
        <f>C1371 - D1371</f>
        <v>0</v>
      </c>
    </row>
    <row r="1372" spans="2:5" x14ac:dyDescent="0.35">
      <c r="B1372" s="38">
        <v>37873</v>
      </c>
      <c r="C1372" s="3">
        <v>0</v>
      </c>
      <c r="D1372" s="3">
        <v>0</v>
      </c>
      <c r="E1372" s="3">
        <f>C1372 - D1372</f>
        <v>0</v>
      </c>
    </row>
    <row r="1373" spans="2:5" x14ac:dyDescent="0.35">
      <c r="B1373" s="38">
        <v>37874</v>
      </c>
      <c r="C1373" s="3">
        <v>1</v>
      </c>
      <c r="D1373" s="3">
        <v>0</v>
      </c>
      <c r="E1373" s="3">
        <f>C1373 - D1373</f>
        <v>1</v>
      </c>
    </row>
    <row r="1374" spans="2:5" x14ac:dyDescent="0.35">
      <c r="B1374" s="38">
        <v>37875</v>
      </c>
      <c r="C1374" s="3">
        <v>1</v>
      </c>
      <c r="D1374" s="3">
        <v>1</v>
      </c>
      <c r="E1374" s="3">
        <f>C1374 - D1374</f>
        <v>0</v>
      </c>
    </row>
    <row r="1375" spans="2:5" x14ac:dyDescent="0.35">
      <c r="B1375" s="38">
        <v>37876</v>
      </c>
      <c r="C1375" s="3">
        <v>0</v>
      </c>
      <c r="D1375" s="3">
        <v>1</v>
      </c>
      <c r="E1375" s="3">
        <f>C1375 - D1375</f>
        <v>-1</v>
      </c>
    </row>
    <row r="1376" spans="2:5" x14ac:dyDescent="0.35">
      <c r="B1376" s="38">
        <v>37877</v>
      </c>
      <c r="C1376" s="3">
        <v>0</v>
      </c>
      <c r="D1376" s="3">
        <v>0</v>
      </c>
      <c r="E1376" s="3">
        <f>C1376 - D1376</f>
        <v>0</v>
      </c>
    </row>
    <row r="1377" spans="2:5" x14ac:dyDescent="0.35">
      <c r="B1377" s="38">
        <v>37878</v>
      </c>
      <c r="C1377" s="3">
        <v>1</v>
      </c>
      <c r="D1377" s="3">
        <v>0</v>
      </c>
      <c r="E1377" s="3">
        <f>C1377 - D1377</f>
        <v>1</v>
      </c>
    </row>
    <row r="1378" spans="2:5" x14ac:dyDescent="0.35">
      <c r="B1378" s="38">
        <v>37879</v>
      </c>
      <c r="C1378" s="3">
        <v>1</v>
      </c>
      <c r="D1378" s="3">
        <v>1</v>
      </c>
      <c r="E1378" s="3">
        <f>C1378 - D1378</f>
        <v>0</v>
      </c>
    </row>
    <row r="1379" spans="2:5" x14ac:dyDescent="0.35">
      <c r="B1379" s="38">
        <v>37880</v>
      </c>
      <c r="C1379" s="3">
        <v>1</v>
      </c>
      <c r="D1379" s="3">
        <v>1</v>
      </c>
      <c r="E1379" s="3">
        <f>C1379 - D1379</f>
        <v>0</v>
      </c>
    </row>
    <row r="1380" spans="2:5" x14ac:dyDescent="0.35">
      <c r="B1380" s="38">
        <v>37881</v>
      </c>
      <c r="C1380" s="3">
        <v>1</v>
      </c>
      <c r="D1380" s="3">
        <v>1</v>
      </c>
      <c r="E1380" s="3">
        <f>C1380 - D1380</f>
        <v>0</v>
      </c>
    </row>
    <row r="1381" spans="2:5" x14ac:dyDescent="0.35">
      <c r="B1381" s="38">
        <v>37882</v>
      </c>
      <c r="C1381" s="3">
        <v>1</v>
      </c>
      <c r="D1381" s="3">
        <v>1</v>
      </c>
      <c r="E1381" s="3">
        <f>C1381 - D1381</f>
        <v>0</v>
      </c>
    </row>
    <row r="1382" spans="2:5" x14ac:dyDescent="0.35">
      <c r="B1382" s="38">
        <v>37883</v>
      </c>
      <c r="C1382" s="3">
        <v>0</v>
      </c>
      <c r="D1382" s="3">
        <v>1</v>
      </c>
      <c r="E1382" s="3">
        <f>C1382 - D1382</f>
        <v>-1</v>
      </c>
    </row>
    <row r="1383" spans="2:5" x14ac:dyDescent="0.35">
      <c r="B1383" s="38">
        <v>37884</v>
      </c>
      <c r="C1383" s="3">
        <v>1</v>
      </c>
      <c r="D1383" s="3">
        <v>0</v>
      </c>
      <c r="E1383" s="3">
        <f>C1383 - D1383</f>
        <v>1</v>
      </c>
    </row>
    <row r="1384" spans="2:5" x14ac:dyDescent="0.35">
      <c r="B1384" s="38">
        <v>37885</v>
      </c>
      <c r="C1384" s="3">
        <v>0</v>
      </c>
      <c r="D1384" s="3">
        <v>1</v>
      </c>
      <c r="E1384" s="3">
        <f>C1384 - D1384</f>
        <v>-1</v>
      </c>
    </row>
    <row r="1385" spans="2:5" x14ac:dyDescent="0.35">
      <c r="B1385" s="38">
        <v>37886</v>
      </c>
      <c r="C1385" s="3">
        <v>0</v>
      </c>
      <c r="D1385" s="3">
        <v>0</v>
      </c>
      <c r="E1385" s="3">
        <f>C1385 - D1385</f>
        <v>0</v>
      </c>
    </row>
    <row r="1386" spans="2:5" x14ac:dyDescent="0.35">
      <c r="B1386" s="38">
        <v>37887</v>
      </c>
      <c r="C1386" s="3">
        <v>1</v>
      </c>
      <c r="D1386" s="3">
        <v>0</v>
      </c>
      <c r="E1386" s="3">
        <f>C1386 - D1386</f>
        <v>1</v>
      </c>
    </row>
    <row r="1387" spans="2:5" x14ac:dyDescent="0.35">
      <c r="B1387" s="38">
        <v>37888</v>
      </c>
      <c r="C1387" s="3">
        <v>1</v>
      </c>
      <c r="D1387" s="3">
        <v>1</v>
      </c>
      <c r="E1387" s="3">
        <f>C1387 - D1387</f>
        <v>0</v>
      </c>
    </row>
    <row r="1388" spans="2:5" x14ac:dyDescent="0.35">
      <c r="B1388" s="38">
        <v>37889</v>
      </c>
      <c r="C1388" s="3">
        <v>0</v>
      </c>
      <c r="D1388" s="3">
        <v>1</v>
      </c>
      <c r="E1388" s="3">
        <f>C1388 - D1388</f>
        <v>-1</v>
      </c>
    </row>
    <row r="1389" spans="2:5" x14ac:dyDescent="0.35">
      <c r="B1389" s="38">
        <v>37890</v>
      </c>
      <c r="C1389" s="3">
        <v>1</v>
      </c>
      <c r="D1389" s="3">
        <v>0</v>
      </c>
      <c r="E1389" s="3">
        <f>C1389 - D1389</f>
        <v>1</v>
      </c>
    </row>
    <row r="1390" spans="2:5" x14ac:dyDescent="0.35">
      <c r="B1390" s="38">
        <v>37891</v>
      </c>
      <c r="C1390" s="3">
        <v>1</v>
      </c>
      <c r="D1390" s="3">
        <v>1</v>
      </c>
      <c r="E1390" s="3">
        <f>C1390 - D1390</f>
        <v>0</v>
      </c>
    </row>
    <row r="1391" spans="2:5" x14ac:dyDescent="0.35">
      <c r="B1391" s="38">
        <v>37892</v>
      </c>
      <c r="C1391" s="3">
        <v>1</v>
      </c>
      <c r="D1391" s="3">
        <v>1</v>
      </c>
      <c r="E1391" s="3">
        <f>C1391 - D1391</f>
        <v>0</v>
      </c>
    </row>
    <row r="1392" spans="2:5" x14ac:dyDescent="0.35">
      <c r="B1392" s="38">
        <v>37893</v>
      </c>
      <c r="C1392" s="3">
        <v>1</v>
      </c>
      <c r="D1392" s="3">
        <v>1</v>
      </c>
      <c r="E1392" s="3">
        <f>C1392 - D1392</f>
        <v>0</v>
      </c>
    </row>
    <row r="1393" spans="2:5" x14ac:dyDescent="0.35">
      <c r="B1393" s="38">
        <v>37894</v>
      </c>
      <c r="C1393" s="3">
        <v>1</v>
      </c>
      <c r="D1393" s="3">
        <v>1</v>
      </c>
      <c r="E1393" s="3">
        <f>C1393 - D1393</f>
        <v>0</v>
      </c>
    </row>
    <row r="1394" spans="2:5" x14ac:dyDescent="0.35">
      <c r="B1394" s="38">
        <v>37895</v>
      </c>
      <c r="C1394" s="3">
        <v>0</v>
      </c>
      <c r="D1394" s="3">
        <v>1</v>
      </c>
      <c r="E1394" s="3">
        <f>C1394 - D1394</f>
        <v>-1</v>
      </c>
    </row>
    <row r="1395" spans="2:5" x14ac:dyDescent="0.35">
      <c r="B1395" s="38">
        <v>37896</v>
      </c>
      <c r="C1395" s="3">
        <v>1</v>
      </c>
      <c r="D1395" s="3">
        <v>0</v>
      </c>
      <c r="E1395" s="3">
        <f>C1395 - D1395</f>
        <v>1</v>
      </c>
    </row>
    <row r="1396" spans="2:5" x14ac:dyDescent="0.35">
      <c r="B1396" s="38">
        <v>37897</v>
      </c>
      <c r="C1396" s="3">
        <v>1</v>
      </c>
      <c r="D1396" s="3">
        <v>1</v>
      </c>
      <c r="E1396" s="3">
        <f>C1396 - D1396</f>
        <v>0</v>
      </c>
    </row>
    <row r="1397" spans="2:5" x14ac:dyDescent="0.35">
      <c r="B1397" s="38">
        <v>37898</v>
      </c>
      <c r="C1397" s="3">
        <v>0</v>
      </c>
      <c r="D1397" s="3">
        <v>1</v>
      </c>
      <c r="E1397" s="3">
        <f>C1397 - D1397</f>
        <v>-1</v>
      </c>
    </row>
    <row r="1398" spans="2:5" x14ac:dyDescent="0.35">
      <c r="B1398" s="38">
        <v>37899</v>
      </c>
      <c r="C1398" s="3">
        <v>0</v>
      </c>
      <c r="D1398" s="3">
        <v>0</v>
      </c>
      <c r="E1398" s="3">
        <f>C1398 - D1398</f>
        <v>0</v>
      </c>
    </row>
    <row r="1399" spans="2:5" x14ac:dyDescent="0.35">
      <c r="B1399" s="38">
        <v>37900</v>
      </c>
      <c r="C1399" s="3">
        <v>0</v>
      </c>
      <c r="D1399" s="3">
        <v>0</v>
      </c>
      <c r="E1399" s="3">
        <f>C1399 - D1399</f>
        <v>0</v>
      </c>
    </row>
    <row r="1400" spans="2:5" x14ac:dyDescent="0.35">
      <c r="B1400" s="38">
        <v>37901</v>
      </c>
      <c r="C1400" s="3">
        <v>0</v>
      </c>
      <c r="D1400" s="3">
        <v>0</v>
      </c>
      <c r="E1400" s="3">
        <f>C1400 - D1400</f>
        <v>0</v>
      </c>
    </row>
    <row r="1401" spans="2:5" x14ac:dyDescent="0.35">
      <c r="B1401" s="38">
        <v>37902</v>
      </c>
      <c r="C1401" s="3">
        <v>1</v>
      </c>
      <c r="D1401" s="3">
        <v>0</v>
      </c>
      <c r="E1401" s="3">
        <f>C1401 - D1401</f>
        <v>1</v>
      </c>
    </row>
    <row r="1402" spans="2:5" x14ac:dyDescent="0.35">
      <c r="B1402" s="38">
        <v>37903</v>
      </c>
      <c r="C1402" s="3">
        <v>1</v>
      </c>
      <c r="D1402" s="3">
        <v>1</v>
      </c>
      <c r="E1402" s="3">
        <f>C1402 - D1402</f>
        <v>0</v>
      </c>
    </row>
    <row r="1403" spans="2:5" x14ac:dyDescent="0.35">
      <c r="B1403" s="38">
        <v>37904</v>
      </c>
      <c r="C1403" s="3">
        <v>1</v>
      </c>
      <c r="D1403" s="3">
        <v>1</v>
      </c>
      <c r="E1403" s="3">
        <f>C1403 - D1403</f>
        <v>0</v>
      </c>
    </row>
    <row r="1404" spans="2:5" x14ac:dyDescent="0.35">
      <c r="B1404" s="38">
        <v>37905</v>
      </c>
      <c r="C1404" s="3">
        <v>1</v>
      </c>
      <c r="D1404" s="3">
        <v>1</v>
      </c>
      <c r="E1404" s="3">
        <f>C1404 - D1404</f>
        <v>0</v>
      </c>
    </row>
    <row r="1405" spans="2:5" x14ac:dyDescent="0.35">
      <c r="B1405" s="38">
        <v>37906</v>
      </c>
      <c r="C1405" s="3">
        <v>1</v>
      </c>
      <c r="D1405" s="3">
        <v>1</v>
      </c>
      <c r="E1405" s="3">
        <f>C1405 - D1405</f>
        <v>0</v>
      </c>
    </row>
    <row r="1406" spans="2:5" x14ac:dyDescent="0.35">
      <c r="B1406" s="38">
        <v>37907</v>
      </c>
      <c r="C1406" s="3">
        <v>0</v>
      </c>
      <c r="D1406" s="3">
        <v>1</v>
      </c>
      <c r="E1406" s="3">
        <f>C1406 - D1406</f>
        <v>-1</v>
      </c>
    </row>
    <row r="1407" spans="2:5" x14ac:dyDescent="0.35">
      <c r="B1407" s="38">
        <v>37908</v>
      </c>
      <c r="C1407" s="3">
        <v>0</v>
      </c>
      <c r="D1407" s="3">
        <v>0</v>
      </c>
      <c r="E1407" s="3">
        <f>C1407 - D1407</f>
        <v>0</v>
      </c>
    </row>
    <row r="1408" spans="2:5" x14ac:dyDescent="0.35">
      <c r="B1408" s="38">
        <v>37909</v>
      </c>
      <c r="C1408" s="3">
        <v>0</v>
      </c>
      <c r="D1408" s="3">
        <v>0</v>
      </c>
      <c r="E1408" s="3">
        <f>C1408 - D1408</f>
        <v>0</v>
      </c>
    </row>
    <row r="1409" spans="2:5" x14ac:dyDescent="0.35">
      <c r="B1409" s="38">
        <v>37910</v>
      </c>
      <c r="C1409" s="3">
        <v>1</v>
      </c>
      <c r="D1409" s="3">
        <v>0</v>
      </c>
      <c r="E1409" s="3">
        <f>C1409 - D1409</f>
        <v>1</v>
      </c>
    </row>
    <row r="1410" spans="2:5" x14ac:dyDescent="0.35">
      <c r="B1410" s="38">
        <v>37911</v>
      </c>
      <c r="C1410" s="3">
        <v>0</v>
      </c>
      <c r="D1410" s="3">
        <v>1</v>
      </c>
      <c r="E1410" s="3">
        <f>C1410 - D1410</f>
        <v>-1</v>
      </c>
    </row>
    <row r="1411" spans="2:5" x14ac:dyDescent="0.35">
      <c r="B1411" s="38">
        <v>37912</v>
      </c>
      <c r="C1411" s="3">
        <v>0</v>
      </c>
      <c r="D1411" s="3">
        <v>0</v>
      </c>
      <c r="E1411" s="3">
        <f>C1411 - D1411</f>
        <v>0</v>
      </c>
    </row>
    <row r="1412" spans="2:5" x14ac:dyDescent="0.35">
      <c r="B1412" s="38">
        <v>37913</v>
      </c>
      <c r="C1412" s="3">
        <v>1</v>
      </c>
      <c r="D1412" s="3">
        <v>0</v>
      </c>
      <c r="E1412" s="3">
        <f>C1412 - D1412</f>
        <v>1</v>
      </c>
    </row>
    <row r="1413" spans="2:5" x14ac:dyDescent="0.35">
      <c r="B1413" s="38">
        <v>37914</v>
      </c>
      <c r="C1413" s="3">
        <v>1</v>
      </c>
      <c r="D1413" s="3">
        <v>1</v>
      </c>
      <c r="E1413" s="3">
        <f>C1413 - D1413</f>
        <v>0</v>
      </c>
    </row>
    <row r="1414" spans="2:5" x14ac:dyDescent="0.35">
      <c r="B1414" s="38">
        <v>37915</v>
      </c>
      <c r="C1414" s="3">
        <v>0</v>
      </c>
      <c r="D1414" s="3">
        <v>1</v>
      </c>
      <c r="E1414" s="3">
        <f>C1414 - D1414</f>
        <v>-1</v>
      </c>
    </row>
    <row r="1415" spans="2:5" x14ac:dyDescent="0.35">
      <c r="B1415" s="38">
        <v>37916</v>
      </c>
      <c r="C1415" s="3">
        <v>1</v>
      </c>
      <c r="D1415" s="3">
        <v>0</v>
      </c>
      <c r="E1415" s="3">
        <f>C1415 - D1415</f>
        <v>1</v>
      </c>
    </row>
    <row r="1416" spans="2:5" x14ac:dyDescent="0.35">
      <c r="B1416" s="38">
        <v>37917</v>
      </c>
      <c r="C1416" s="3">
        <v>1</v>
      </c>
      <c r="D1416" s="3">
        <v>1</v>
      </c>
      <c r="E1416" s="3">
        <f>C1416 - D1416</f>
        <v>0</v>
      </c>
    </row>
    <row r="1417" spans="2:5" x14ac:dyDescent="0.35">
      <c r="B1417" s="38">
        <v>37918</v>
      </c>
      <c r="C1417" s="3">
        <v>1</v>
      </c>
      <c r="D1417" s="3">
        <v>1</v>
      </c>
      <c r="E1417" s="3">
        <f>C1417 - D1417</f>
        <v>0</v>
      </c>
    </row>
    <row r="1418" spans="2:5" x14ac:dyDescent="0.35">
      <c r="B1418" s="38">
        <v>37919</v>
      </c>
      <c r="C1418" s="3">
        <v>0</v>
      </c>
      <c r="D1418" s="3">
        <v>1</v>
      </c>
      <c r="E1418" s="3">
        <f>C1418 - D1418</f>
        <v>-1</v>
      </c>
    </row>
    <row r="1419" spans="2:5" x14ac:dyDescent="0.35">
      <c r="B1419" s="38">
        <v>37920</v>
      </c>
      <c r="C1419" s="3">
        <v>1</v>
      </c>
      <c r="D1419" s="3">
        <v>0</v>
      </c>
      <c r="E1419" s="3">
        <f>C1419 - D1419</f>
        <v>1</v>
      </c>
    </row>
    <row r="1420" spans="2:5" x14ac:dyDescent="0.35">
      <c r="B1420" s="38">
        <v>37921</v>
      </c>
      <c r="C1420" s="3">
        <v>0</v>
      </c>
      <c r="D1420" s="3">
        <v>1</v>
      </c>
      <c r="E1420" s="3">
        <f>C1420 - D1420</f>
        <v>-1</v>
      </c>
    </row>
    <row r="1421" spans="2:5" x14ac:dyDescent="0.35">
      <c r="B1421" s="38">
        <v>37922</v>
      </c>
      <c r="C1421" s="3">
        <v>0</v>
      </c>
      <c r="D1421" s="3">
        <v>0</v>
      </c>
      <c r="E1421" s="3">
        <f>C1421 - D1421</f>
        <v>0</v>
      </c>
    </row>
    <row r="1422" spans="2:5" x14ac:dyDescent="0.35">
      <c r="B1422" s="38">
        <v>37923</v>
      </c>
      <c r="C1422" s="3">
        <v>1</v>
      </c>
      <c r="D1422" s="3">
        <v>0</v>
      </c>
      <c r="E1422" s="3">
        <f>C1422 - D1422</f>
        <v>1</v>
      </c>
    </row>
    <row r="1423" spans="2:5" x14ac:dyDescent="0.35">
      <c r="B1423" s="38">
        <v>37924</v>
      </c>
      <c r="C1423" s="3">
        <v>1</v>
      </c>
      <c r="D1423" s="3">
        <v>1</v>
      </c>
      <c r="E1423" s="3">
        <f>C1423 - D1423</f>
        <v>0</v>
      </c>
    </row>
    <row r="1424" spans="2:5" x14ac:dyDescent="0.35">
      <c r="B1424" s="38">
        <v>37925</v>
      </c>
      <c r="C1424" s="3">
        <v>1</v>
      </c>
      <c r="D1424" s="3">
        <v>1</v>
      </c>
      <c r="E1424" s="3">
        <f>C1424 - D1424</f>
        <v>0</v>
      </c>
    </row>
    <row r="1425" spans="2:5" x14ac:dyDescent="0.35">
      <c r="B1425" s="38">
        <v>37926</v>
      </c>
      <c r="C1425" s="3">
        <v>1</v>
      </c>
      <c r="D1425" s="3">
        <v>1</v>
      </c>
      <c r="E1425" s="3">
        <f>C1425 - D1425</f>
        <v>0</v>
      </c>
    </row>
    <row r="1426" spans="2:5" x14ac:dyDescent="0.35">
      <c r="B1426" s="38">
        <v>37927</v>
      </c>
      <c r="C1426" s="3">
        <v>1</v>
      </c>
      <c r="D1426" s="3">
        <v>1</v>
      </c>
      <c r="E1426" s="3">
        <f>C1426 - D1426</f>
        <v>0</v>
      </c>
    </row>
    <row r="1427" spans="2:5" x14ac:dyDescent="0.35">
      <c r="B1427" s="38">
        <v>37928</v>
      </c>
      <c r="C1427" s="3">
        <v>1</v>
      </c>
      <c r="D1427" s="3">
        <v>1</v>
      </c>
      <c r="E1427" s="3">
        <f>C1427 - D1427</f>
        <v>0</v>
      </c>
    </row>
    <row r="1428" spans="2:5" x14ac:dyDescent="0.35">
      <c r="B1428" s="38">
        <v>37929</v>
      </c>
      <c r="C1428" s="3">
        <v>0</v>
      </c>
      <c r="D1428" s="3">
        <v>1</v>
      </c>
      <c r="E1428" s="3">
        <f>C1428 - D1428</f>
        <v>-1</v>
      </c>
    </row>
    <row r="1429" spans="2:5" x14ac:dyDescent="0.35">
      <c r="B1429" s="38">
        <v>37930</v>
      </c>
      <c r="C1429" s="3">
        <v>0</v>
      </c>
      <c r="D1429" s="3">
        <v>0</v>
      </c>
      <c r="E1429" s="3">
        <f>C1429 - D1429</f>
        <v>0</v>
      </c>
    </row>
    <row r="1430" spans="2:5" x14ac:dyDescent="0.35">
      <c r="B1430" s="38">
        <v>37931</v>
      </c>
      <c r="C1430" s="3">
        <v>0</v>
      </c>
      <c r="D1430" s="3">
        <v>0</v>
      </c>
      <c r="E1430" s="3">
        <f>C1430 - D1430</f>
        <v>0</v>
      </c>
    </row>
    <row r="1431" spans="2:5" x14ac:dyDescent="0.35">
      <c r="B1431" s="38">
        <v>37932</v>
      </c>
      <c r="C1431" s="3">
        <v>0</v>
      </c>
      <c r="D1431" s="3">
        <v>0</v>
      </c>
      <c r="E1431" s="3">
        <f>C1431 - D1431</f>
        <v>0</v>
      </c>
    </row>
    <row r="1432" spans="2:5" x14ac:dyDescent="0.35">
      <c r="B1432" s="38">
        <v>37933</v>
      </c>
      <c r="C1432" s="3">
        <v>0</v>
      </c>
      <c r="D1432" s="3">
        <v>0</v>
      </c>
      <c r="E1432" s="3">
        <f>C1432 - D1432</f>
        <v>0</v>
      </c>
    </row>
    <row r="1433" spans="2:5" x14ac:dyDescent="0.35">
      <c r="B1433" s="38">
        <v>37934</v>
      </c>
      <c r="C1433" s="3">
        <v>0</v>
      </c>
      <c r="D1433" s="3">
        <v>0</v>
      </c>
      <c r="E1433" s="3">
        <f>C1433 - D1433</f>
        <v>0</v>
      </c>
    </row>
    <row r="1434" spans="2:5" x14ac:dyDescent="0.35">
      <c r="B1434" s="38">
        <v>37935</v>
      </c>
      <c r="C1434" s="3">
        <v>0</v>
      </c>
      <c r="D1434" s="3">
        <v>0</v>
      </c>
      <c r="E1434" s="3">
        <f>C1434 - D1434</f>
        <v>0</v>
      </c>
    </row>
    <row r="1435" spans="2:5" x14ac:dyDescent="0.35">
      <c r="B1435" s="38">
        <v>37936</v>
      </c>
      <c r="C1435" s="3">
        <v>0</v>
      </c>
      <c r="D1435" s="3">
        <v>0</v>
      </c>
      <c r="E1435" s="3">
        <f>C1435 - D1435</f>
        <v>0</v>
      </c>
    </row>
    <row r="1436" spans="2:5" x14ac:dyDescent="0.35">
      <c r="B1436" s="38">
        <v>37937</v>
      </c>
      <c r="C1436" s="3">
        <v>0</v>
      </c>
      <c r="D1436" s="3">
        <v>0</v>
      </c>
      <c r="E1436" s="3">
        <f>C1436 - D1436</f>
        <v>0</v>
      </c>
    </row>
    <row r="1437" spans="2:5" x14ac:dyDescent="0.35">
      <c r="B1437" s="38">
        <v>37938</v>
      </c>
      <c r="C1437" s="3">
        <v>0</v>
      </c>
      <c r="D1437" s="3">
        <v>0</v>
      </c>
      <c r="E1437" s="3">
        <f>C1437 - D1437</f>
        <v>0</v>
      </c>
    </row>
    <row r="1438" spans="2:5" x14ac:dyDescent="0.35">
      <c r="B1438" s="38">
        <v>37939</v>
      </c>
      <c r="C1438" s="3">
        <v>0</v>
      </c>
      <c r="D1438" s="3">
        <v>0</v>
      </c>
      <c r="E1438" s="3">
        <f>C1438 - D1438</f>
        <v>0</v>
      </c>
    </row>
    <row r="1439" spans="2:5" x14ac:dyDescent="0.35">
      <c r="B1439" s="38">
        <v>37940</v>
      </c>
      <c r="C1439" s="3">
        <v>0</v>
      </c>
      <c r="D1439" s="3">
        <v>0</v>
      </c>
      <c r="E1439" s="3">
        <f>C1439 - D1439</f>
        <v>0</v>
      </c>
    </row>
    <row r="1440" spans="2:5" x14ac:dyDescent="0.35">
      <c r="B1440" s="38">
        <v>37941</v>
      </c>
      <c r="C1440" s="3">
        <v>0</v>
      </c>
      <c r="D1440" s="3">
        <v>0</v>
      </c>
      <c r="E1440" s="3">
        <f>C1440 - D1440</f>
        <v>0</v>
      </c>
    </row>
    <row r="1441" spans="2:5" x14ac:dyDescent="0.35">
      <c r="B1441" s="38">
        <v>37942</v>
      </c>
      <c r="C1441" s="3">
        <v>0</v>
      </c>
      <c r="D1441" s="3">
        <v>0</v>
      </c>
      <c r="E1441" s="3">
        <f>C1441 - D1441</f>
        <v>0</v>
      </c>
    </row>
    <row r="1442" spans="2:5" x14ac:dyDescent="0.35">
      <c r="B1442" s="38">
        <v>37943</v>
      </c>
      <c r="C1442" s="3">
        <v>0</v>
      </c>
      <c r="D1442" s="3">
        <v>0</v>
      </c>
      <c r="E1442" s="3">
        <f>C1442 - D1442</f>
        <v>0</v>
      </c>
    </row>
    <row r="1443" spans="2:5" x14ac:dyDescent="0.35">
      <c r="B1443" s="38">
        <v>37944</v>
      </c>
      <c r="C1443" s="3">
        <v>0</v>
      </c>
      <c r="D1443" s="3">
        <v>0</v>
      </c>
      <c r="E1443" s="3">
        <f>C1443 - D1443</f>
        <v>0</v>
      </c>
    </row>
    <row r="1444" spans="2:5" x14ac:dyDescent="0.35">
      <c r="B1444" s="38">
        <v>37945</v>
      </c>
      <c r="C1444" s="3">
        <v>1</v>
      </c>
      <c r="D1444" s="3">
        <v>0</v>
      </c>
      <c r="E1444" s="3">
        <f>C1444 - D1444</f>
        <v>1</v>
      </c>
    </row>
    <row r="1445" spans="2:5" x14ac:dyDescent="0.35">
      <c r="B1445" s="38">
        <v>37946</v>
      </c>
      <c r="C1445" s="3">
        <v>1</v>
      </c>
      <c r="D1445" s="3">
        <v>1</v>
      </c>
      <c r="E1445" s="3">
        <f>C1445 - D1445</f>
        <v>0</v>
      </c>
    </row>
    <row r="1446" spans="2:5" x14ac:dyDescent="0.35">
      <c r="B1446" s="38">
        <v>37947</v>
      </c>
      <c r="C1446" s="3">
        <v>1</v>
      </c>
      <c r="D1446" s="3">
        <v>1</v>
      </c>
      <c r="E1446" s="3">
        <f>C1446 - D1446</f>
        <v>0</v>
      </c>
    </row>
    <row r="1447" spans="2:5" x14ac:dyDescent="0.35">
      <c r="B1447" s="38">
        <v>37948</v>
      </c>
      <c r="C1447" s="3">
        <v>1</v>
      </c>
      <c r="D1447" s="3">
        <v>1</v>
      </c>
      <c r="E1447" s="3">
        <f>C1447 - D1447</f>
        <v>0</v>
      </c>
    </row>
    <row r="1448" spans="2:5" x14ac:dyDescent="0.35">
      <c r="B1448" s="38">
        <v>37949</v>
      </c>
      <c r="C1448" s="3">
        <v>0</v>
      </c>
      <c r="D1448" s="3">
        <v>1</v>
      </c>
      <c r="E1448" s="3">
        <f>C1448 - D1448</f>
        <v>-1</v>
      </c>
    </row>
    <row r="1449" spans="2:5" x14ac:dyDescent="0.35">
      <c r="B1449" s="38">
        <v>37950</v>
      </c>
      <c r="C1449" s="3">
        <v>1</v>
      </c>
      <c r="D1449" s="3">
        <v>0</v>
      </c>
      <c r="E1449" s="3">
        <f>C1449 - D1449</f>
        <v>1</v>
      </c>
    </row>
    <row r="1450" spans="2:5" x14ac:dyDescent="0.35">
      <c r="B1450" s="38">
        <v>37951</v>
      </c>
      <c r="C1450" s="3">
        <v>0</v>
      </c>
      <c r="D1450" s="3">
        <v>1</v>
      </c>
      <c r="E1450" s="3">
        <f>C1450 - D1450</f>
        <v>-1</v>
      </c>
    </row>
    <row r="1451" spans="2:5" x14ac:dyDescent="0.35">
      <c r="B1451" s="38">
        <v>37952</v>
      </c>
      <c r="C1451" s="3">
        <v>0</v>
      </c>
      <c r="D1451" s="3">
        <v>0</v>
      </c>
      <c r="E1451" s="3">
        <f>C1451 - D1451</f>
        <v>0</v>
      </c>
    </row>
    <row r="1452" spans="2:5" x14ac:dyDescent="0.35">
      <c r="B1452" s="38">
        <v>37953</v>
      </c>
      <c r="C1452" s="3">
        <v>0</v>
      </c>
      <c r="D1452" s="3">
        <v>0</v>
      </c>
      <c r="E1452" s="3">
        <f>C1452 - D1452</f>
        <v>0</v>
      </c>
    </row>
    <row r="1453" spans="2:5" x14ac:dyDescent="0.35">
      <c r="B1453" s="38">
        <v>37954</v>
      </c>
      <c r="C1453" s="3">
        <v>0</v>
      </c>
      <c r="D1453" s="3">
        <v>0</v>
      </c>
      <c r="E1453" s="3">
        <f>C1453 - D1453</f>
        <v>0</v>
      </c>
    </row>
    <row r="1454" spans="2:5" x14ac:dyDescent="0.35">
      <c r="B1454" s="38">
        <v>37955</v>
      </c>
      <c r="C1454" s="3">
        <v>0</v>
      </c>
      <c r="D1454" s="3">
        <v>0</v>
      </c>
      <c r="E1454" s="3">
        <f>C1454 - D1454</f>
        <v>0</v>
      </c>
    </row>
    <row r="1455" spans="2:5" x14ac:dyDescent="0.35">
      <c r="B1455" s="38">
        <v>37956</v>
      </c>
      <c r="C1455" s="3">
        <v>1</v>
      </c>
      <c r="D1455" s="3">
        <v>0</v>
      </c>
      <c r="E1455" s="3">
        <f>C1455 - D1455</f>
        <v>1</v>
      </c>
    </row>
    <row r="1456" spans="2:5" x14ac:dyDescent="0.35">
      <c r="B1456" s="38">
        <v>37957</v>
      </c>
      <c r="C1456" s="3">
        <v>0</v>
      </c>
      <c r="D1456" s="3">
        <v>1</v>
      </c>
      <c r="E1456" s="3">
        <f>C1456 - D1456</f>
        <v>-1</v>
      </c>
    </row>
    <row r="1457" spans="2:5" x14ac:dyDescent="0.35">
      <c r="B1457" s="38">
        <v>37958</v>
      </c>
      <c r="C1457" s="3">
        <v>1</v>
      </c>
      <c r="D1457" s="3">
        <v>0</v>
      </c>
      <c r="E1457" s="3">
        <f>C1457 - D1457</f>
        <v>1</v>
      </c>
    </row>
    <row r="1458" spans="2:5" x14ac:dyDescent="0.35">
      <c r="B1458" s="38">
        <v>37959</v>
      </c>
      <c r="C1458" s="3">
        <v>0</v>
      </c>
      <c r="D1458" s="3">
        <v>1</v>
      </c>
      <c r="E1458" s="3">
        <f>C1458 - D1458</f>
        <v>-1</v>
      </c>
    </row>
    <row r="1459" spans="2:5" x14ac:dyDescent="0.35">
      <c r="B1459" s="38">
        <v>37960</v>
      </c>
      <c r="C1459" s="3">
        <v>1</v>
      </c>
      <c r="D1459" s="3">
        <v>0</v>
      </c>
      <c r="E1459" s="3">
        <f>C1459 - D1459</f>
        <v>1</v>
      </c>
    </row>
    <row r="1460" spans="2:5" x14ac:dyDescent="0.35">
      <c r="B1460" s="38">
        <v>37961</v>
      </c>
      <c r="C1460" s="3">
        <v>0</v>
      </c>
      <c r="D1460" s="3">
        <v>1</v>
      </c>
      <c r="E1460" s="3">
        <f>C1460 - D1460</f>
        <v>-1</v>
      </c>
    </row>
    <row r="1461" spans="2:5" x14ac:dyDescent="0.35">
      <c r="B1461" s="38">
        <v>37962</v>
      </c>
      <c r="C1461" s="3">
        <v>0</v>
      </c>
      <c r="D1461" s="3">
        <v>0</v>
      </c>
      <c r="E1461" s="3">
        <f>C1461 - D1461</f>
        <v>0</v>
      </c>
    </row>
    <row r="1462" spans="2:5" x14ac:dyDescent="0.35">
      <c r="B1462" s="38">
        <v>37963</v>
      </c>
      <c r="C1462" s="3">
        <v>0</v>
      </c>
      <c r="D1462" s="3">
        <v>0</v>
      </c>
      <c r="E1462" s="3">
        <f>C1462 - D1462</f>
        <v>0</v>
      </c>
    </row>
    <row r="1463" spans="2:5" x14ac:dyDescent="0.35">
      <c r="B1463" s="38">
        <v>37964</v>
      </c>
      <c r="C1463" s="3">
        <v>0</v>
      </c>
      <c r="D1463" s="3">
        <v>0</v>
      </c>
      <c r="E1463" s="3">
        <f>C1463 - D1463</f>
        <v>0</v>
      </c>
    </row>
    <row r="1464" spans="2:5" x14ac:dyDescent="0.35">
      <c r="B1464" s="38">
        <v>37965</v>
      </c>
      <c r="C1464" s="3">
        <v>0</v>
      </c>
      <c r="D1464" s="3">
        <v>0</v>
      </c>
      <c r="E1464" s="3">
        <f>C1464 - D1464</f>
        <v>0</v>
      </c>
    </row>
    <row r="1465" spans="2:5" x14ac:dyDescent="0.35">
      <c r="B1465" s="38">
        <v>37966</v>
      </c>
      <c r="C1465" s="3">
        <v>1</v>
      </c>
      <c r="D1465" s="3">
        <v>0</v>
      </c>
      <c r="E1465" s="3">
        <f>C1465 - D1465</f>
        <v>1</v>
      </c>
    </row>
    <row r="1466" spans="2:5" x14ac:dyDescent="0.35">
      <c r="B1466" s="38">
        <v>37967</v>
      </c>
      <c r="C1466" s="3">
        <v>0</v>
      </c>
      <c r="D1466" s="3">
        <v>1</v>
      </c>
      <c r="E1466" s="3">
        <f>C1466 - D1466</f>
        <v>-1</v>
      </c>
    </row>
    <row r="1467" spans="2:5" x14ac:dyDescent="0.35">
      <c r="B1467" s="38">
        <v>37968</v>
      </c>
      <c r="C1467" s="3">
        <v>1</v>
      </c>
      <c r="D1467" s="3">
        <v>0</v>
      </c>
      <c r="E1467" s="3">
        <f>C1467 - D1467</f>
        <v>1</v>
      </c>
    </row>
    <row r="1468" spans="2:5" x14ac:dyDescent="0.35">
      <c r="B1468" s="38">
        <v>37969</v>
      </c>
      <c r="C1468" s="3">
        <v>0</v>
      </c>
      <c r="D1468" s="3">
        <v>1</v>
      </c>
      <c r="E1468" s="3">
        <f>C1468 - D1468</f>
        <v>-1</v>
      </c>
    </row>
    <row r="1469" spans="2:5" x14ac:dyDescent="0.35">
      <c r="B1469" s="38">
        <v>37970</v>
      </c>
      <c r="C1469" s="3">
        <v>0</v>
      </c>
      <c r="D1469" s="3">
        <v>0</v>
      </c>
      <c r="E1469" s="3">
        <f>C1469 - D1469</f>
        <v>0</v>
      </c>
    </row>
    <row r="1470" spans="2:5" x14ac:dyDescent="0.35">
      <c r="B1470" s="38">
        <v>37971</v>
      </c>
      <c r="C1470" s="3">
        <v>0</v>
      </c>
      <c r="D1470" s="3">
        <v>0</v>
      </c>
      <c r="E1470" s="3">
        <f>C1470 - D1470</f>
        <v>0</v>
      </c>
    </row>
    <row r="1471" spans="2:5" x14ac:dyDescent="0.35">
      <c r="B1471" s="38">
        <v>37972</v>
      </c>
      <c r="C1471" s="3">
        <v>0</v>
      </c>
      <c r="D1471" s="3">
        <v>0</v>
      </c>
      <c r="E1471" s="3">
        <f>C1471 - D1471</f>
        <v>0</v>
      </c>
    </row>
    <row r="1472" spans="2:5" x14ac:dyDescent="0.35">
      <c r="B1472" s="38">
        <v>37973</v>
      </c>
      <c r="C1472" s="3">
        <v>0</v>
      </c>
      <c r="D1472" s="3">
        <v>0</v>
      </c>
      <c r="E1472" s="3">
        <f>C1472 - D1472</f>
        <v>0</v>
      </c>
    </row>
    <row r="1473" spans="2:5" x14ac:dyDescent="0.35">
      <c r="B1473" s="38">
        <v>37974</v>
      </c>
      <c r="C1473" s="3">
        <v>1</v>
      </c>
      <c r="D1473" s="3">
        <v>0</v>
      </c>
      <c r="E1473" s="3">
        <f>C1473 - D1473</f>
        <v>1</v>
      </c>
    </row>
    <row r="1474" spans="2:5" x14ac:dyDescent="0.35">
      <c r="B1474" s="38">
        <v>37975</v>
      </c>
      <c r="C1474" s="3">
        <v>0</v>
      </c>
      <c r="D1474" s="3">
        <v>1</v>
      </c>
      <c r="E1474" s="3">
        <f>C1474 - D1474</f>
        <v>-1</v>
      </c>
    </row>
    <row r="1475" spans="2:5" x14ac:dyDescent="0.35">
      <c r="B1475" s="38">
        <v>37976</v>
      </c>
      <c r="C1475" s="3">
        <v>1</v>
      </c>
      <c r="D1475" s="3">
        <v>0</v>
      </c>
      <c r="E1475" s="3">
        <f>C1475 - D1475</f>
        <v>1</v>
      </c>
    </row>
    <row r="1476" spans="2:5" x14ac:dyDescent="0.35">
      <c r="B1476" s="38">
        <v>37977</v>
      </c>
      <c r="C1476" s="3">
        <v>1</v>
      </c>
      <c r="D1476" s="3">
        <v>1</v>
      </c>
      <c r="E1476" s="3">
        <f>C1476 - D1476</f>
        <v>0</v>
      </c>
    </row>
    <row r="1477" spans="2:5" x14ac:dyDescent="0.35">
      <c r="B1477" s="38">
        <v>37978</v>
      </c>
      <c r="C1477" s="3">
        <v>1</v>
      </c>
      <c r="D1477" s="3">
        <v>1</v>
      </c>
      <c r="E1477" s="3">
        <f>C1477 - D1477</f>
        <v>0</v>
      </c>
    </row>
    <row r="1478" spans="2:5" x14ac:dyDescent="0.35">
      <c r="B1478" s="38">
        <v>37979</v>
      </c>
      <c r="C1478" s="3">
        <v>0</v>
      </c>
      <c r="D1478" s="3">
        <v>1</v>
      </c>
      <c r="E1478" s="3">
        <f>C1478 - D1478</f>
        <v>-1</v>
      </c>
    </row>
    <row r="1479" spans="2:5" x14ac:dyDescent="0.35">
      <c r="B1479" s="38">
        <v>37980</v>
      </c>
      <c r="C1479" s="3">
        <v>0</v>
      </c>
      <c r="D1479" s="3">
        <v>0</v>
      </c>
      <c r="E1479" s="3">
        <f>C1479 - D1479</f>
        <v>0</v>
      </c>
    </row>
    <row r="1480" spans="2:5" x14ac:dyDescent="0.35">
      <c r="B1480" s="38">
        <v>37981</v>
      </c>
      <c r="C1480" s="3">
        <v>0</v>
      </c>
      <c r="D1480" s="3">
        <v>0</v>
      </c>
      <c r="E1480" s="3">
        <f>C1480 - D1480</f>
        <v>0</v>
      </c>
    </row>
    <row r="1481" spans="2:5" x14ac:dyDescent="0.35">
      <c r="B1481" s="38">
        <v>37982</v>
      </c>
      <c r="C1481" s="3">
        <v>0</v>
      </c>
      <c r="D1481" s="3">
        <v>0</v>
      </c>
      <c r="E1481" s="3">
        <f>C1481 - D1481</f>
        <v>0</v>
      </c>
    </row>
    <row r="1482" spans="2:5" x14ac:dyDescent="0.35">
      <c r="B1482" s="38">
        <v>37983</v>
      </c>
      <c r="C1482" s="3">
        <v>0</v>
      </c>
      <c r="D1482" s="3">
        <v>0</v>
      </c>
      <c r="E1482" s="3">
        <f>C1482 - D1482</f>
        <v>0</v>
      </c>
    </row>
    <row r="1483" spans="2:5" x14ac:dyDescent="0.35">
      <c r="B1483" s="38">
        <v>37984</v>
      </c>
      <c r="C1483" s="3">
        <v>0</v>
      </c>
      <c r="D1483" s="3">
        <v>0</v>
      </c>
      <c r="E1483" s="3">
        <f>C1483 - D1483</f>
        <v>0</v>
      </c>
    </row>
    <row r="1484" spans="2:5" x14ac:dyDescent="0.35">
      <c r="B1484" s="38">
        <v>37985</v>
      </c>
      <c r="C1484" s="3">
        <v>0</v>
      </c>
      <c r="D1484" s="3">
        <v>0</v>
      </c>
      <c r="E1484" s="3">
        <f>C1484 - D1484</f>
        <v>0</v>
      </c>
    </row>
    <row r="1485" spans="2:5" x14ac:dyDescent="0.35">
      <c r="B1485" s="38">
        <v>37986</v>
      </c>
      <c r="C1485" s="3">
        <v>0</v>
      </c>
      <c r="D1485" s="3">
        <v>0</v>
      </c>
      <c r="E1485" s="3">
        <f>C1485 - D1485</f>
        <v>0</v>
      </c>
    </row>
    <row r="1486" spans="2:5" x14ac:dyDescent="0.35">
      <c r="B1486" s="38">
        <v>37987</v>
      </c>
      <c r="C1486" s="3">
        <v>0</v>
      </c>
      <c r="D1486" s="3">
        <v>0</v>
      </c>
      <c r="E1486" s="3">
        <f>C1486 - D1486</f>
        <v>0</v>
      </c>
    </row>
    <row r="1487" spans="2:5" x14ac:dyDescent="0.35">
      <c r="B1487" s="38">
        <v>37988</v>
      </c>
      <c r="C1487" s="3">
        <v>0</v>
      </c>
      <c r="D1487" s="3">
        <v>0</v>
      </c>
      <c r="E1487" s="3">
        <f>C1487 - D1487</f>
        <v>0</v>
      </c>
    </row>
    <row r="1488" spans="2:5" x14ac:dyDescent="0.35">
      <c r="B1488" s="38">
        <v>37989</v>
      </c>
      <c r="C1488" s="3">
        <v>0</v>
      </c>
      <c r="D1488" s="3">
        <v>0</v>
      </c>
      <c r="E1488" s="3">
        <f>C1488 - D1488</f>
        <v>0</v>
      </c>
    </row>
    <row r="1489" spans="2:5" x14ac:dyDescent="0.35">
      <c r="B1489" s="38">
        <v>37990</v>
      </c>
      <c r="C1489" s="3">
        <v>0</v>
      </c>
      <c r="D1489" s="3">
        <v>0</v>
      </c>
      <c r="E1489" s="3">
        <f>C1489 - D1489</f>
        <v>0</v>
      </c>
    </row>
    <row r="1490" spans="2:5" x14ac:dyDescent="0.35">
      <c r="B1490" s="38">
        <v>37991</v>
      </c>
      <c r="C1490" s="3">
        <v>1</v>
      </c>
      <c r="D1490" s="3">
        <v>0</v>
      </c>
      <c r="E1490" s="3">
        <f>C1490 - D1490</f>
        <v>1</v>
      </c>
    </row>
    <row r="1491" spans="2:5" x14ac:dyDescent="0.35">
      <c r="B1491" s="38">
        <v>37992</v>
      </c>
      <c r="C1491" s="3">
        <v>0</v>
      </c>
      <c r="D1491" s="3">
        <v>1</v>
      </c>
      <c r="E1491" s="3">
        <f>C1491 - D1491</f>
        <v>-1</v>
      </c>
    </row>
    <row r="1492" spans="2:5" x14ac:dyDescent="0.35">
      <c r="B1492" s="38">
        <v>37993</v>
      </c>
      <c r="C1492" s="3">
        <v>0</v>
      </c>
      <c r="D1492" s="3">
        <v>0</v>
      </c>
      <c r="E1492" s="3">
        <f>C1492 - D1492</f>
        <v>0</v>
      </c>
    </row>
    <row r="1493" spans="2:5" x14ac:dyDescent="0.35">
      <c r="B1493" s="38">
        <v>37994</v>
      </c>
      <c r="C1493" s="3">
        <v>1</v>
      </c>
      <c r="D1493" s="3">
        <v>0</v>
      </c>
      <c r="E1493" s="3">
        <f>C1493 - D1493</f>
        <v>1</v>
      </c>
    </row>
    <row r="1494" spans="2:5" x14ac:dyDescent="0.35">
      <c r="B1494" s="38">
        <v>37995</v>
      </c>
      <c r="C1494" s="3">
        <v>1</v>
      </c>
      <c r="D1494" s="3">
        <v>1</v>
      </c>
      <c r="E1494" s="3">
        <f>C1494 - D1494</f>
        <v>0</v>
      </c>
    </row>
    <row r="1495" spans="2:5" x14ac:dyDescent="0.35">
      <c r="B1495" s="38">
        <v>37996</v>
      </c>
      <c r="C1495" s="3">
        <v>0</v>
      </c>
      <c r="D1495" s="3">
        <v>1</v>
      </c>
      <c r="E1495" s="3">
        <f>C1495 - D1495</f>
        <v>-1</v>
      </c>
    </row>
    <row r="1496" spans="2:5" x14ac:dyDescent="0.35">
      <c r="B1496" s="38">
        <v>37997</v>
      </c>
      <c r="C1496" s="3">
        <v>0</v>
      </c>
      <c r="D1496" s="3">
        <v>0</v>
      </c>
      <c r="E1496" s="3">
        <f>C1496 - D1496</f>
        <v>0</v>
      </c>
    </row>
    <row r="1497" spans="2:5" x14ac:dyDescent="0.35">
      <c r="B1497" s="38">
        <v>37998</v>
      </c>
      <c r="C1497" s="3">
        <v>0</v>
      </c>
      <c r="D1497" s="3">
        <v>0</v>
      </c>
      <c r="E1497" s="3">
        <f>C1497 - D1497</f>
        <v>0</v>
      </c>
    </row>
    <row r="1498" spans="2:5" x14ac:dyDescent="0.35">
      <c r="B1498" s="38">
        <v>37999</v>
      </c>
      <c r="C1498" s="3">
        <v>0</v>
      </c>
      <c r="D1498" s="3">
        <v>0</v>
      </c>
      <c r="E1498" s="3">
        <f>C1498 - D1498</f>
        <v>0</v>
      </c>
    </row>
    <row r="1499" spans="2:5" x14ac:dyDescent="0.35">
      <c r="B1499" s="38">
        <v>38000</v>
      </c>
      <c r="C1499" s="3">
        <v>0</v>
      </c>
      <c r="D1499" s="3">
        <v>0</v>
      </c>
      <c r="E1499" s="3">
        <f>C1499 - D1499</f>
        <v>0</v>
      </c>
    </row>
    <row r="1500" spans="2:5" x14ac:dyDescent="0.35">
      <c r="B1500" s="38">
        <v>38001</v>
      </c>
      <c r="C1500" s="3">
        <v>0</v>
      </c>
      <c r="D1500" s="3">
        <v>0</v>
      </c>
      <c r="E1500" s="3">
        <f>C1500 - D1500</f>
        <v>0</v>
      </c>
    </row>
    <row r="1501" spans="2:5" x14ac:dyDescent="0.35">
      <c r="B1501" s="38">
        <v>38002</v>
      </c>
      <c r="C1501" s="3">
        <v>0</v>
      </c>
      <c r="D1501" s="3">
        <v>0</v>
      </c>
      <c r="E1501" s="3">
        <f>C1501 - D1501</f>
        <v>0</v>
      </c>
    </row>
    <row r="1502" spans="2:5" x14ac:dyDescent="0.35">
      <c r="B1502" s="38">
        <v>38003</v>
      </c>
      <c r="C1502" s="3">
        <v>1</v>
      </c>
      <c r="D1502" s="3">
        <v>0</v>
      </c>
      <c r="E1502" s="3">
        <f>C1502 - D1502</f>
        <v>1</v>
      </c>
    </row>
    <row r="1503" spans="2:5" x14ac:dyDescent="0.35">
      <c r="B1503" s="38">
        <v>38004</v>
      </c>
      <c r="C1503" s="3">
        <v>0</v>
      </c>
      <c r="D1503" s="3">
        <v>1</v>
      </c>
      <c r="E1503" s="3">
        <f>C1503 - D1503</f>
        <v>-1</v>
      </c>
    </row>
    <row r="1504" spans="2:5" x14ac:dyDescent="0.35">
      <c r="B1504" s="38">
        <v>38005</v>
      </c>
      <c r="C1504" s="3">
        <v>0</v>
      </c>
      <c r="D1504" s="3">
        <v>0</v>
      </c>
      <c r="E1504" s="3">
        <f>C1504 - D1504</f>
        <v>0</v>
      </c>
    </row>
    <row r="1505" spans="2:5" x14ac:dyDescent="0.35">
      <c r="B1505" s="38">
        <v>38006</v>
      </c>
      <c r="C1505" s="3">
        <v>0</v>
      </c>
      <c r="D1505" s="3">
        <v>0</v>
      </c>
      <c r="E1505" s="3">
        <f>C1505 - D1505</f>
        <v>0</v>
      </c>
    </row>
    <row r="1506" spans="2:5" x14ac:dyDescent="0.35">
      <c r="B1506" s="38">
        <v>38007</v>
      </c>
      <c r="C1506" s="3">
        <v>0</v>
      </c>
      <c r="D1506" s="3">
        <v>0</v>
      </c>
      <c r="E1506" s="3">
        <f>C1506 - D1506</f>
        <v>0</v>
      </c>
    </row>
    <row r="1507" spans="2:5" x14ac:dyDescent="0.35">
      <c r="B1507" s="38">
        <v>38008</v>
      </c>
      <c r="C1507" s="3">
        <v>0</v>
      </c>
      <c r="D1507" s="3">
        <v>0</v>
      </c>
      <c r="E1507" s="3">
        <f>C1507 - D1507</f>
        <v>0</v>
      </c>
    </row>
    <row r="1508" spans="2:5" x14ac:dyDescent="0.35">
      <c r="B1508" s="38">
        <v>38009</v>
      </c>
      <c r="C1508" s="3">
        <v>0</v>
      </c>
      <c r="D1508" s="3">
        <v>0</v>
      </c>
      <c r="E1508" s="3">
        <f>C1508 - D1508</f>
        <v>0</v>
      </c>
    </row>
    <row r="1509" spans="2:5" x14ac:dyDescent="0.35">
      <c r="B1509" s="38">
        <v>38010</v>
      </c>
      <c r="C1509" s="3">
        <v>0</v>
      </c>
      <c r="D1509" s="3">
        <v>0</v>
      </c>
      <c r="E1509" s="3">
        <f>C1509 - D1509</f>
        <v>0</v>
      </c>
    </row>
    <row r="1510" spans="2:5" x14ac:dyDescent="0.35">
      <c r="B1510" s="38">
        <v>38011</v>
      </c>
      <c r="C1510" s="3">
        <v>0</v>
      </c>
      <c r="D1510" s="3">
        <v>0</v>
      </c>
      <c r="E1510" s="3">
        <f>C1510 - D1510</f>
        <v>0</v>
      </c>
    </row>
    <row r="1511" spans="2:5" x14ac:dyDescent="0.35">
      <c r="B1511" s="38">
        <v>38012</v>
      </c>
      <c r="C1511" s="3">
        <v>0</v>
      </c>
      <c r="D1511" s="3">
        <v>0</v>
      </c>
      <c r="E1511" s="3">
        <f>C1511 - D1511</f>
        <v>0</v>
      </c>
    </row>
    <row r="1512" spans="2:5" x14ac:dyDescent="0.35">
      <c r="B1512" s="38">
        <v>38013</v>
      </c>
      <c r="C1512" s="3">
        <v>0</v>
      </c>
      <c r="D1512" s="3">
        <v>0</v>
      </c>
      <c r="E1512" s="3">
        <f>C1512 - D1512</f>
        <v>0</v>
      </c>
    </row>
    <row r="1513" spans="2:5" x14ac:dyDescent="0.35">
      <c r="B1513" s="38">
        <v>38014</v>
      </c>
      <c r="C1513" s="3">
        <v>0</v>
      </c>
      <c r="D1513" s="3">
        <v>0</v>
      </c>
      <c r="E1513" s="3">
        <f>C1513 - D1513</f>
        <v>0</v>
      </c>
    </row>
    <row r="1514" spans="2:5" x14ac:dyDescent="0.35">
      <c r="B1514" s="38">
        <v>38015</v>
      </c>
      <c r="C1514" s="3">
        <v>1</v>
      </c>
      <c r="D1514" s="3">
        <v>0</v>
      </c>
      <c r="E1514" s="3">
        <f>C1514 - D1514</f>
        <v>1</v>
      </c>
    </row>
    <row r="1515" spans="2:5" x14ac:dyDescent="0.35">
      <c r="B1515" s="38">
        <v>38016</v>
      </c>
      <c r="C1515" s="3">
        <v>1</v>
      </c>
      <c r="D1515" s="3">
        <v>1</v>
      </c>
      <c r="E1515" s="3">
        <f>C1515 - D1515</f>
        <v>0</v>
      </c>
    </row>
    <row r="1516" spans="2:5" x14ac:dyDescent="0.35">
      <c r="B1516" s="38">
        <v>38017</v>
      </c>
      <c r="C1516" s="3">
        <v>1</v>
      </c>
      <c r="D1516" s="3">
        <v>1</v>
      </c>
      <c r="E1516" s="3">
        <f>C1516 - D1516</f>
        <v>0</v>
      </c>
    </row>
    <row r="1517" spans="2:5" x14ac:dyDescent="0.35">
      <c r="B1517" s="38">
        <v>38018</v>
      </c>
      <c r="C1517" s="3">
        <v>1</v>
      </c>
      <c r="D1517" s="3">
        <v>1</v>
      </c>
      <c r="E1517" s="3">
        <f>C1517 - D1517</f>
        <v>0</v>
      </c>
    </row>
    <row r="1518" spans="2:5" x14ac:dyDescent="0.35">
      <c r="B1518" s="38">
        <v>38019</v>
      </c>
      <c r="C1518" s="3">
        <v>1</v>
      </c>
      <c r="D1518" s="3">
        <v>1</v>
      </c>
      <c r="E1518" s="3">
        <f>C1518 - D1518</f>
        <v>0</v>
      </c>
    </row>
    <row r="1519" spans="2:5" x14ac:dyDescent="0.35">
      <c r="B1519" s="38">
        <v>38020</v>
      </c>
      <c r="C1519" s="3">
        <v>0</v>
      </c>
      <c r="D1519" s="3">
        <v>1</v>
      </c>
      <c r="E1519" s="3">
        <f>C1519 - D1519</f>
        <v>-1</v>
      </c>
    </row>
    <row r="1520" spans="2:5" x14ac:dyDescent="0.35">
      <c r="B1520" s="38">
        <v>38021</v>
      </c>
      <c r="C1520" s="3">
        <v>0</v>
      </c>
      <c r="D1520" s="3">
        <v>0</v>
      </c>
      <c r="E1520" s="3">
        <f>C1520 - D1520</f>
        <v>0</v>
      </c>
    </row>
    <row r="1521" spans="2:5" x14ac:dyDescent="0.35">
      <c r="B1521" s="38">
        <v>38022</v>
      </c>
      <c r="C1521" s="3">
        <v>0</v>
      </c>
      <c r="D1521" s="3">
        <v>0</v>
      </c>
      <c r="E1521" s="3">
        <f>C1521 - D1521</f>
        <v>0</v>
      </c>
    </row>
    <row r="1522" spans="2:5" x14ac:dyDescent="0.35">
      <c r="B1522" s="38">
        <v>38023</v>
      </c>
      <c r="C1522" s="3">
        <v>0</v>
      </c>
      <c r="D1522" s="3">
        <v>0</v>
      </c>
      <c r="E1522" s="3">
        <f>C1522 - D1522</f>
        <v>0</v>
      </c>
    </row>
    <row r="1523" spans="2:5" x14ac:dyDescent="0.35">
      <c r="B1523" s="38">
        <v>38024</v>
      </c>
      <c r="C1523" s="3">
        <v>0</v>
      </c>
      <c r="D1523" s="3">
        <v>0</v>
      </c>
      <c r="E1523" s="3">
        <f>C1523 - D1523</f>
        <v>0</v>
      </c>
    </row>
    <row r="1524" spans="2:5" x14ac:dyDescent="0.35">
      <c r="B1524" s="38">
        <v>38025</v>
      </c>
      <c r="C1524" s="3">
        <v>0</v>
      </c>
      <c r="D1524" s="3">
        <v>0</v>
      </c>
      <c r="E1524" s="3">
        <f>C1524 - D1524</f>
        <v>0</v>
      </c>
    </row>
    <row r="1525" spans="2:5" x14ac:dyDescent="0.35">
      <c r="B1525" s="38">
        <v>38026</v>
      </c>
      <c r="C1525" s="3">
        <v>0</v>
      </c>
      <c r="D1525" s="3">
        <v>0</v>
      </c>
      <c r="E1525" s="3">
        <f>C1525 - D1525</f>
        <v>0</v>
      </c>
    </row>
    <row r="1526" spans="2:5" x14ac:dyDescent="0.35">
      <c r="B1526" s="38">
        <v>38027</v>
      </c>
      <c r="C1526" s="3">
        <v>0</v>
      </c>
      <c r="D1526" s="3">
        <v>0</v>
      </c>
      <c r="E1526" s="3">
        <f>C1526 - D1526</f>
        <v>0</v>
      </c>
    </row>
    <row r="1527" spans="2:5" x14ac:dyDescent="0.35">
      <c r="B1527" s="38">
        <v>38028</v>
      </c>
      <c r="C1527" s="3">
        <v>1</v>
      </c>
      <c r="D1527" s="3">
        <v>0</v>
      </c>
      <c r="E1527" s="3">
        <f>C1527 - D1527</f>
        <v>1</v>
      </c>
    </row>
    <row r="1528" spans="2:5" x14ac:dyDescent="0.35">
      <c r="B1528" s="38">
        <v>38029</v>
      </c>
      <c r="C1528" s="3">
        <v>1</v>
      </c>
      <c r="D1528" s="3">
        <v>1</v>
      </c>
      <c r="E1528" s="3">
        <f>C1528 - D1528</f>
        <v>0</v>
      </c>
    </row>
    <row r="1529" spans="2:5" x14ac:dyDescent="0.35">
      <c r="B1529" s="38">
        <v>38030</v>
      </c>
      <c r="C1529" s="3">
        <v>0</v>
      </c>
      <c r="D1529" s="3">
        <v>1</v>
      </c>
      <c r="E1529" s="3">
        <f>C1529 - D1529</f>
        <v>-1</v>
      </c>
    </row>
    <row r="1530" spans="2:5" x14ac:dyDescent="0.35">
      <c r="B1530" s="38">
        <v>38031</v>
      </c>
      <c r="C1530" s="3">
        <v>0</v>
      </c>
      <c r="D1530" s="3">
        <v>0</v>
      </c>
      <c r="E1530" s="3">
        <f>C1530 - D1530</f>
        <v>0</v>
      </c>
    </row>
    <row r="1531" spans="2:5" x14ac:dyDescent="0.35">
      <c r="B1531" s="38">
        <v>38032</v>
      </c>
      <c r="C1531" s="3">
        <v>1</v>
      </c>
      <c r="D1531" s="3">
        <v>0</v>
      </c>
      <c r="E1531" s="3">
        <f>C1531 - D1531</f>
        <v>1</v>
      </c>
    </row>
    <row r="1532" spans="2:5" x14ac:dyDescent="0.35">
      <c r="B1532" s="38">
        <v>38033</v>
      </c>
      <c r="C1532" s="3">
        <v>0</v>
      </c>
      <c r="D1532" s="3">
        <v>1</v>
      </c>
      <c r="E1532" s="3">
        <f>C1532 - D1532</f>
        <v>-1</v>
      </c>
    </row>
    <row r="1533" spans="2:5" x14ac:dyDescent="0.35">
      <c r="B1533" s="38">
        <v>38034</v>
      </c>
      <c r="C1533" s="3">
        <v>0</v>
      </c>
      <c r="D1533" s="3">
        <v>0</v>
      </c>
      <c r="E1533" s="3">
        <f>C1533 - D1533</f>
        <v>0</v>
      </c>
    </row>
    <row r="1534" spans="2:5" x14ac:dyDescent="0.35">
      <c r="B1534" s="38">
        <v>38035</v>
      </c>
      <c r="C1534" s="3">
        <v>0</v>
      </c>
      <c r="D1534" s="3">
        <v>0</v>
      </c>
      <c r="E1534" s="3">
        <f>C1534 - D1534</f>
        <v>0</v>
      </c>
    </row>
    <row r="1535" spans="2:5" x14ac:dyDescent="0.35">
      <c r="B1535" s="38">
        <v>38036</v>
      </c>
      <c r="C1535" s="3">
        <v>0</v>
      </c>
      <c r="D1535" s="3">
        <v>0</v>
      </c>
      <c r="E1535" s="3">
        <f>C1535 - D1535</f>
        <v>0</v>
      </c>
    </row>
    <row r="1536" spans="2:5" x14ac:dyDescent="0.35">
      <c r="B1536" s="38">
        <v>38037</v>
      </c>
      <c r="C1536" s="3">
        <v>0</v>
      </c>
      <c r="D1536" s="3">
        <v>0</v>
      </c>
      <c r="E1536" s="3">
        <f>C1536 - D1536</f>
        <v>0</v>
      </c>
    </row>
    <row r="1537" spans="2:5" x14ac:dyDescent="0.35">
      <c r="B1537" s="38">
        <v>38038</v>
      </c>
      <c r="C1537" s="3">
        <v>0</v>
      </c>
      <c r="D1537" s="3">
        <v>0</v>
      </c>
      <c r="E1537" s="3">
        <f>C1537 - D1537</f>
        <v>0</v>
      </c>
    </row>
    <row r="1538" spans="2:5" x14ac:dyDescent="0.35">
      <c r="B1538" s="38">
        <v>38039</v>
      </c>
      <c r="C1538" s="3">
        <v>1</v>
      </c>
      <c r="D1538" s="3">
        <v>0</v>
      </c>
      <c r="E1538" s="3">
        <f>C1538 - D1538</f>
        <v>1</v>
      </c>
    </row>
    <row r="1539" spans="2:5" x14ac:dyDescent="0.35">
      <c r="B1539" s="38">
        <v>38040</v>
      </c>
      <c r="C1539" s="3">
        <v>0</v>
      </c>
      <c r="D1539" s="3">
        <v>1</v>
      </c>
      <c r="E1539" s="3">
        <f>C1539 - D1539</f>
        <v>-1</v>
      </c>
    </row>
    <row r="1540" spans="2:5" x14ac:dyDescent="0.35">
      <c r="B1540" s="38">
        <v>38041</v>
      </c>
      <c r="C1540" s="3">
        <v>0</v>
      </c>
      <c r="D1540" s="3">
        <v>0</v>
      </c>
      <c r="E1540" s="3">
        <f>C1540 - D1540</f>
        <v>0</v>
      </c>
    </row>
    <row r="1541" spans="2:5" x14ac:dyDescent="0.35">
      <c r="B1541" s="38">
        <v>38042</v>
      </c>
      <c r="C1541" s="3">
        <v>0</v>
      </c>
      <c r="D1541" s="3">
        <v>0</v>
      </c>
      <c r="E1541" s="3">
        <f>C1541 - D1541</f>
        <v>0</v>
      </c>
    </row>
    <row r="1542" spans="2:5" x14ac:dyDescent="0.35">
      <c r="B1542" s="38">
        <v>38043</v>
      </c>
      <c r="C1542" s="3">
        <v>0</v>
      </c>
      <c r="D1542" s="3">
        <v>0</v>
      </c>
      <c r="E1542" s="3">
        <f>C1542 - D1542</f>
        <v>0</v>
      </c>
    </row>
    <row r="1543" spans="2:5" x14ac:dyDescent="0.35">
      <c r="B1543" s="38">
        <v>38044</v>
      </c>
      <c r="C1543" s="3">
        <v>0</v>
      </c>
      <c r="D1543" s="3">
        <v>0</v>
      </c>
      <c r="E1543" s="3">
        <f>C1543 - D1543</f>
        <v>0</v>
      </c>
    </row>
    <row r="1544" spans="2:5" x14ac:dyDescent="0.35">
      <c r="B1544" s="38">
        <v>38045</v>
      </c>
      <c r="C1544" s="3">
        <v>0</v>
      </c>
      <c r="D1544" s="3">
        <v>0</v>
      </c>
      <c r="E1544" s="3">
        <f>C1544 - D1544</f>
        <v>0</v>
      </c>
    </row>
    <row r="1545" spans="2:5" x14ac:dyDescent="0.35">
      <c r="B1545" s="38">
        <v>38046</v>
      </c>
      <c r="C1545" s="3">
        <v>0</v>
      </c>
      <c r="D1545" s="3">
        <v>0</v>
      </c>
      <c r="E1545" s="3">
        <f>C1545 - D1545</f>
        <v>0</v>
      </c>
    </row>
    <row r="1546" spans="2:5" x14ac:dyDescent="0.35">
      <c r="B1546" s="38">
        <v>38047</v>
      </c>
      <c r="C1546" s="3">
        <v>0</v>
      </c>
      <c r="D1546" s="3">
        <v>0</v>
      </c>
      <c r="E1546" s="3">
        <f>C1546 - D1546</f>
        <v>0</v>
      </c>
    </row>
    <row r="1547" spans="2:5" x14ac:dyDescent="0.35">
      <c r="B1547" s="38">
        <v>38048</v>
      </c>
      <c r="C1547" s="3">
        <v>0</v>
      </c>
      <c r="D1547" s="3">
        <v>0</v>
      </c>
      <c r="E1547" s="3">
        <f>C1547 - D1547</f>
        <v>0</v>
      </c>
    </row>
    <row r="1548" spans="2:5" x14ac:dyDescent="0.35">
      <c r="B1548" s="38">
        <v>38049</v>
      </c>
      <c r="C1548" s="3">
        <v>0</v>
      </c>
      <c r="D1548" s="3">
        <v>0</v>
      </c>
      <c r="E1548" s="3">
        <f>C1548 - D1548</f>
        <v>0</v>
      </c>
    </row>
    <row r="1549" spans="2:5" x14ac:dyDescent="0.35">
      <c r="B1549" s="38">
        <v>38050</v>
      </c>
      <c r="C1549" s="3">
        <v>0</v>
      </c>
      <c r="D1549" s="3">
        <v>0</v>
      </c>
      <c r="E1549" s="3">
        <f>C1549 - D1549</f>
        <v>0</v>
      </c>
    </row>
    <row r="1550" spans="2:5" x14ac:dyDescent="0.35">
      <c r="B1550" s="38">
        <v>38051</v>
      </c>
      <c r="C1550" s="3">
        <v>0</v>
      </c>
      <c r="D1550" s="3">
        <v>0</v>
      </c>
      <c r="E1550" s="3">
        <f>C1550 - D1550</f>
        <v>0</v>
      </c>
    </row>
    <row r="1551" spans="2:5" x14ac:dyDescent="0.35">
      <c r="B1551" s="38">
        <v>38052</v>
      </c>
      <c r="C1551" s="3">
        <v>0</v>
      </c>
      <c r="D1551" s="3">
        <v>0</v>
      </c>
      <c r="E1551" s="3">
        <f>C1551 - D1551</f>
        <v>0</v>
      </c>
    </row>
    <row r="1552" spans="2:5" x14ac:dyDescent="0.35">
      <c r="B1552" s="38">
        <v>38053</v>
      </c>
      <c r="C1552" s="3">
        <v>1</v>
      </c>
      <c r="D1552" s="3">
        <v>0</v>
      </c>
      <c r="E1552" s="3">
        <f>C1552 - D1552</f>
        <v>1</v>
      </c>
    </row>
    <row r="1553" spans="2:5" x14ac:dyDescent="0.35">
      <c r="B1553" s="38">
        <v>38054</v>
      </c>
      <c r="C1553" s="3">
        <v>1</v>
      </c>
      <c r="D1553" s="3">
        <v>1</v>
      </c>
      <c r="E1553" s="3">
        <f>C1553 - D1553</f>
        <v>0</v>
      </c>
    </row>
    <row r="1554" spans="2:5" x14ac:dyDescent="0.35">
      <c r="B1554" s="38">
        <v>38055</v>
      </c>
      <c r="C1554" s="3">
        <v>1</v>
      </c>
      <c r="D1554" s="3">
        <v>1</v>
      </c>
      <c r="E1554" s="3">
        <f>C1554 - D1554</f>
        <v>0</v>
      </c>
    </row>
    <row r="1555" spans="2:5" x14ac:dyDescent="0.35">
      <c r="B1555" s="38">
        <v>38056</v>
      </c>
      <c r="C1555" s="3">
        <v>1</v>
      </c>
      <c r="D1555" s="3">
        <v>1</v>
      </c>
      <c r="E1555" s="3">
        <f>C1555 - D1555</f>
        <v>0</v>
      </c>
    </row>
    <row r="1556" spans="2:5" x14ac:dyDescent="0.35">
      <c r="B1556" s="38">
        <v>38057</v>
      </c>
      <c r="C1556" s="3">
        <v>0</v>
      </c>
      <c r="D1556" s="3">
        <v>1</v>
      </c>
      <c r="E1556" s="3">
        <f>C1556 - D1556</f>
        <v>-1</v>
      </c>
    </row>
    <row r="1557" spans="2:5" x14ac:dyDescent="0.35">
      <c r="B1557" s="38">
        <v>38058</v>
      </c>
      <c r="C1557" s="3">
        <v>0</v>
      </c>
      <c r="D1557" s="3">
        <v>0</v>
      </c>
      <c r="E1557" s="3">
        <f>C1557 - D1557</f>
        <v>0</v>
      </c>
    </row>
    <row r="1558" spans="2:5" x14ac:dyDescent="0.35">
      <c r="B1558" s="38">
        <v>38059</v>
      </c>
      <c r="C1558" s="3">
        <v>0</v>
      </c>
      <c r="D1558" s="3">
        <v>0</v>
      </c>
      <c r="E1558" s="3">
        <f>C1558 - D1558</f>
        <v>0</v>
      </c>
    </row>
    <row r="1559" spans="2:5" x14ac:dyDescent="0.35">
      <c r="B1559" s="38">
        <v>38060</v>
      </c>
      <c r="C1559" s="3">
        <v>0</v>
      </c>
      <c r="D1559" s="3">
        <v>0</v>
      </c>
      <c r="E1559" s="3">
        <f>C1559 - D1559</f>
        <v>0</v>
      </c>
    </row>
    <row r="1560" spans="2:5" x14ac:dyDescent="0.35">
      <c r="B1560" s="38">
        <v>38061</v>
      </c>
      <c r="C1560" s="3">
        <v>0</v>
      </c>
      <c r="D1560" s="3">
        <v>0</v>
      </c>
      <c r="E1560" s="3">
        <f>C1560 - D1560</f>
        <v>0</v>
      </c>
    </row>
    <row r="1561" spans="2:5" x14ac:dyDescent="0.35">
      <c r="B1561" s="38">
        <v>38062</v>
      </c>
      <c r="C1561" s="3">
        <v>0</v>
      </c>
      <c r="D1561" s="3">
        <v>0</v>
      </c>
      <c r="E1561" s="3">
        <f>C1561 - D1561</f>
        <v>0</v>
      </c>
    </row>
    <row r="1562" spans="2:5" x14ac:dyDescent="0.35">
      <c r="B1562" s="38">
        <v>38063</v>
      </c>
      <c r="C1562" s="3">
        <v>0</v>
      </c>
      <c r="D1562" s="3">
        <v>0</v>
      </c>
      <c r="E1562" s="3">
        <f>C1562 - D1562</f>
        <v>0</v>
      </c>
    </row>
    <row r="1563" spans="2:5" x14ac:dyDescent="0.35">
      <c r="B1563" s="38">
        <v>38064</v>
      </c>
      <c r="C1563" s="3">
        <v>0</v>
      </c>
      <c r="D1563" s="3">
        <v>0</v>
      </c>
      <c r="E1563" s="3">
        <f>C1563 - D1563</f>
        <v>0</v>
      </c>
    </row>
    <row r="1564" spans="2:5" x14ac:dyDescent="0.35">
      <c r="B1564" s="38">
        <v>38065</v>
      </c>
      <c r="C1564" s="3">
        <v>0</v>
      </c>
      <c r="D1564" s="3">
        <v>0</v>
      </c>
      <c r="E1564" s="3">
        <f>C1564 - D1564</f>
        <v>0</v>
      </c>
    </row>
    <row r="1565" spans="2:5" x14ac:dyDescent="0.35">
      <c r="B1565" s="38">
        <v>38066</v>
      </c>
      <c r="C1565" s="3">
        <v>0</v>
      </c>
      <c r="D1565" s="3">
        <v>0</v>
      </c>
      <c r="E1565" s="3">
        <f>C1565 - D1565</f>
        <v>0</v>
      </c>
    </row>
    <row r="1566" spans="2:5" x14ac:dyDescent="0.35">
      <c r="B1566" s="38">
        <v>38067</v>
      </c>
      <c r="C1566" s="3">
        <v>0</v>
      </c>
      <c r="D1566" s="3">
        <v>0</v>
      </c>
      <c r="E1566" s="3">
        <f>C1566 - D1566</f>
        <v>0</v>
      </c>
    </row>
    <row r="1567" spans="2:5" x14ac:dyDescent="0.35">
      <c r="B1567" s="38">
        <v>38068</v>
      </c>
      <c r="C1567" s="3">
        <v>0</v>
      </c>
      <c r="D1567" s="3">
        <v>0</v>
      </c>
      <c r="E1567" s="3">
        <f>C1567 - D1567</f>
        <v>0</v>
      </c>
    </row>
    <row r="1568" spans="2:5" x14ac:dyDescent="0.35">
      <c r="B1568" s="38">
        <v>38069</v>
      </c>
      <c r="C1568" s="3">
        <v>0</v>
      </c>
      <c r="D1568" s="3">
        <v>0</v>
      </c>
      <c r="E1568" s="3">
        <f>C1568 - D1568</f>
        <v>0</v>
      </c>
    </row>
    <row r="1569" spans="2:5" x14ac:dyDescent="0.35">
      <c r="B1569" s="38">
        <v>38070</v>
      </c>
      <c r="C1569" s="3">
        <v>0</v>
      </c>
      <c r="D1569" s="3">
        <v>0</v>
      </c>
      <c r="E1569" s="3">
        <f>C1569 - D1569</f>
        <v>0</v>
      </c>
    </row>
    <row r="1570" spans="2:5" x14ac:dyDescent="0.35">
      <c r="B1570" s="38">
        <v>38071</v>
      </c>
      <c r="C1570" s="3">
        <v>0</v>
      </c>
      <c r="D1570" s="3">
        <v>0</v>
      </c>
      <c r="E1570" s="3">
        <f>C1570 - D1570</f>
        <v>0</v>
      </c>
    </row>
    <row r="1571" spans="2:5" x14ac:dyDescent="0.35">
      <c r="B1571" s="38">
        <v>38072</v>
      </c>
      <c r="C1571" s="3">
        <v>0</v>
      </c>
      <c r="D1571" s="3">
        <v>0</v>
      </c>
      <c r="E1571" s="3">
        <f>C1571 - D1571</f>
        <v>0</v>
      </c>
    </row>
    <row r="1572" spans="2:5" x14ac:dyDescent="0.35">
      <c r="B1572" s="38">
        <v>38073</v>
      </c>
      <c r="C1572" s="3">
        <v>0</v>
      </c>
      <c r="D1572" s="3">
        <v>0</v>
      </c>
      <c r="E1572" s="3">
        <f>C1572 - D1572</f>
        <v>0</v>
      </c>
    </row>
    <row r="1573" spans="2:5" x14ac:dyDescent="0.35">
      <c r="B1573" s="38">
        <v>38074</v>
      </c>
      <c r="C1573" s="3">
        <v>0</v>
      </c>
      <c r="D1573" s="3">
        <v>0</v>
      </c>
      <c r="E1573" s="3">
        <f>C1573 - D1573</f>
        <v>0</v>
      </c>
    </row>
    <row r="1574" spans="2:5" x14ac:dyDescent="0.35">
      <c r="B1574" s="38">
        <v>38075</v>
      </c>
      <c r="C1574" s="3">
        <v>1</v>
      </c>
      <c r="D1574" s="3">
        <v>0</v>
      </c>
      <c r="E1574" s="3">
        <f>C1574 - D1574</f>
        <v>1</v>
      </c>
    </row>
    <row r="1575" spans="2:5" x14ac:dyDescent="0.35">
      <c r="B1575" s="38">
        <v>38076</v>
      </c>
      <c r="C1575" s="3">
        <v>1</v>
      </c>
      <c r="D1575" s="3">
        <v>1</v>
      </c>
      <c r="E1575" s="3">
        <f>C1575 - D1575</f>
        <v>0</v>
      </c>
    </row>
    <row r="1576" spans="2:5" x14ac:dyDescent="0.35">
      <c r="B1576" s="38">
        <v>38077</v>
      </c>
      <c r="C1576" s="3">
        <v>1</v>
      </c>
      <c r="D1576" s="3">
        <v>1</v>
      </c>
      <c r="E1576" s="3">
        <f>C1576 - D1576</f>
        <v>0</v>
      </c>
    </row>
    <row r="1577" spans="2:5" x14ac:dyDescent="0.35">
      <c r="B1577" s="38">
        <v>38078</v>
      </c>
      <c r="C1577" s="3">
        <v>0</v>
      </c>
      <c r="D1577" s="3">
        <v>1</v>
      </c>
      <c r="E1577" s="3">
        <f>C1577 - D1577</f>
        <v>-1</v>
      </c>
    </row>
    <row r="1578" spans="2:5" x14ac:dyDescent="0.35">
      <c r="B1578" s="38">
        <v>38079</v>
      </c>
      <c r="C1578" s="3">
        <v>1</v>
      </c>
      <c r="D1578" s="3">
        <v>0</v>
      </c>
      <c r="E1578" s="3">
        <f>C1578 - D1578</f>
        <v>1</v>
      </c>
    </row>
    <row r="1579" spans="2:5" x14ac:dyDescent="0.35">
      <c r="B1579" s="38">
        <v>38080</v>
      </c>
      <c r="C1579" s="3">
        <v>0</v>
      </c>
      <c r="D1579" s="3">
        <v>1</v>
      </c>
      <c r="E1579" s="3">
        <f>C1579 - D1579</f>
        <v>-1</v>
      </c>
    </row>
    <row r="1580" spans="2:5" x14ac:dyDescent="0.35">
      <c r="B1580" s="38">
        <v>38081</v>
      </c>
      <c r="C1580" s="3">
        <v>0</v>
      </c>
      <c r="D1580" s="3">
        <v>0</v>
      </c>
      <c r="E1580" s="3">
        <f>C1580 - D1580</f>
        <v>0</v>
      </c>
    </row>
    <row r="1581" spans="2:5" x14ac:dyDescent="0.35">
      <c r="B1581" s="38">
        <v>38082</v>
      </c>
      <c r="C1581" s="3">
        <v>0</v>
      </c>
      <c r="D1581" s="3">
        <v>0</v>
      </c>
      <c r="E1581" s="3">
        <f>C1581 - D1581</f>
        <v>0</v>
      </c>
    </row>
    <row r="1582" spans="2:5" x14ac:dyDescent="0.35">
      <c r="B1582" s="38">
        <v>38083</v>
      </c>
      <c r="C1582" s="3">
        <v>0</v>
      </c>
      <c r="D1582" s="3">
        <v>0</v>
      </c>
      <c r="E1582" s="3">
        <f>C1582 - D1582</f>
        <v>0</v>
      </c>
    </row>
    <row r="1583" spans="2:5" x14ac:dyDescent="0.35">
      <c r="B1583" s="38">
        <v>38084</v>
      </c>
      <c r="C1583" s="3">
        <v>0</v>
      </c>
      <c r="D1583" s="3">
        <v>0</v>
      </c>
      <c r="E1583" s="3">
        <f>C1583 - D1583</f>
        <v>0</v>
      </c>
    </row>
    <row r="1584" spans="2:5" x14ac:dyDescent="0.35">
      <c r="B1584" s="38">
        <v>38085</v>
      </c>
      <c r="C1584" s="3">
        <v>0</v>
      </c>
      <c r="D1584" s="3">
        <v>0</v>
      </c>
      <c r="E1584" s="3">
        <f>C1584 - D1584</f>
        <v>0</v>
      </c>
    </row>
    <row r="1585" spans="2:5" x14ac:dyDescent="0.35">
      <c r="B1585" s="38">
        <v>38086</v>
      </c>
      <c r="C1585" s="3">
        <v>0</v>
      </c>
      <c r="D1585" s="3">
        <v>0</v>
      </c>
      <c r="E1585" s="3">
        <f>C1585 - D1585</f>
        <v>0</v>
      </c>
    </row>
    <row r="1586" spans="2:5" x14ac:dyDescent="0.35">
      <c r="B1586" s="38">
        <v>38087</v>
      </c>
      <c r="C1586" s="3">
        <v>0</v>
      </c>
      <c r="D1586" s="3">
        <v>0</v>
      </c>
      <c r="E1586" s="3">
        <f>C1586 - D1586</f>
        <v>0</v>
      </c>
    </row>
    <row r="1587" spans="2:5" x14ac:dyDescent="0.35">
      <c r="B1587" s="38">
        <v>38088</v>
      </c>
      <c r="C1587" s="3">
        <v>1</v>
      </c>
      <c r="D1587" s="3">
        <v>0</v>
      </c>
      <c r="E1587" s="3">
        <f>C1587 - D1587</f>
        <v>1</v>
      </c>
    </row>
    <row r="1588" spans="2:5" x14ac:dyDescent="0.35">
      <c r="B1588" s="38">
        <v>38089</v>
      </c>
      <c r="C1588" s="3">
        <v>0</v>
      </c>
      <c r="D1588" s="3">
        <v>1</v>
      </c>
      <c r="E1588" s="3">
        <f>C1588 - D1588</f>
        <v>-1</v>
      </c>
    </row>
    <row r="1589" spans="2:5" x14ac:dyDescent="0.35">
      <c r="B1589" s="38">
        <v>38090</v>
      </c>
      <c r="C1589" s="3">
        <v>0</v>
      </c>
      <c r="D1589" s="3">
        <v>0</v>
      </c>
      <c r="E1589" s="3">
        <f>C1589 - D1589</f>
        <v>0</v>
      </c>
    </row>
    <row r="1590" spans="2:5" x14ac:dyDescent="0.35">
      <c r="B1590" s="38">
        <v>38091</v>
      </c>
      <c r="C1590" s="3">
        <v>0</v>
      </c>
      <c r="D1590" s="3">
        <v>0</v>
      </c>
      <c r="E1590" s="3">
        <f>C1590 - D1590</f>
        <v>0</v>
      </c>
    </row>
    <row r="1591" spans="2:5" x14ac:dyDescent="0.35">
      <c r="B1591" s="38">
        <v>38092</v>
      </c>
      <c r="C1591" s="3">
        <v>0</v>
      </c>
      <c r="D1591" s="3">
        <v>0</v>
      </c>
      <c r="E1591" s="3">
        <f>C1591 - D1591</f>
        <v>0</v>
      </c>
    </row>
    <row r="1592" spans="2:5" x14ac:dyDescent="0.35">
      <c r="B1592" s="38">
        <v>38093</v>
      </c>
      <c r="C1592" s="3">
        <v>0</v>
      </c>
      <c r="D1592" s="3">
        <v>0</v>
      </c>
      <c r="E1592" s="3">
        <f>C1592 - D1592</f>
        <v>0</v>
      </c>
    </row>
    <row r="1593" spans="2:5" x14ac:dyDescent="0.35">
      <c r="B1593" s="38">
        <v>38094</v>
      </c>
      <c r="C1593" s="3">
        <v>0</v>
      </c>
      <c r="D1593" s="3">
        <v>0</v>
      </c>
      <c r="E1593" s="3">
        <f>C1593 - D1593</f>
        <v>0</v>
      </c>
    </row>
    <row r="1594" spans="2:5" x14ac:dyDescent="0.35">
      <c r="B1594" s="38">
        <v>38095</v>
      </c>
      <c r="C1594" s="3">
        <v>1</v>
      </c>
      <c r="D1594" s="3">
        <v>0</v>
      </c>
      <c r="E1594" s="3">
        <f>C1594 - D1594</f>
        <v>1</v>
      </c>
    </row>
    <row r="1595" spans="2:5" x14ac:dyDescent="0.35">
      <c r="B1595" s="38">
        <v>38096</v>
      </c>
      <c r="C1595" s="3">
        <v>0</v>
      </c>
      <c r="D1595" s="3">
        <v>1</v>
      </c>
      <c r="E1595" s="3">
        <f>C1595 - D1595</f>
        <v>-1</v>
      </c>
    </row>
    <row r="1596" spans="2:5" x14ac:dyDescent="0.35">
      <c r="B1596" s="38">
        <v>38097</v>
      </c>
      <c r="C1596" s="3">
        <v>0</v>
      </c>
      <c r="D1596" s="3">
        <v>0</v>
      </c>
      <c r="E1596" s="3">
        <f>C1596 - D1596</f>
        <v>0</v>
      </c>
    </row>
    <row r="1597" spans="2:5" x14ac:dyDescent="0.35">
      <c r="B1597" s="38">
        <v>38098</v>
      </c>
      <c r="C1597" s="3">
        <v>0</v>
      </c>
      <c r="D1597" s="3">
        <v>0</v>
      </c>
      <c r="E1597" s="3">
        <f>C1597 - D1597</f>
        <v>0</v>
      </c>
    </row>
    <row r="1598" spans="2:5" x14ac:dyDescent="0.35">
      <c r="B1598" s="38">
        <v>38099</v>
      </c>
      <c r="C1598" s="3">
        <v>0</v>
      </c>
      <c r="D1598" s="3">
        <v>0</v>
      </c>
      <c r="E1598" s="3">
        <f>C1598 - D1598</f>
        <v>0</v>
      </c>
    </row>
    <row r="1599" spans="2:5" x14ac:dyDescent="0.35">
      <c r="B1599" s="38">
        <v>38100</v>
      </c>
      <c r="C1599" s="3">
        <v>1</v>
      </c>
      <c r="D1599" s="3">
        <v>0</v>
      </c>
      <c r="E1599" s="3">
        <f>C1599 - D1599</f>
        <v>1</v>
      </c>
    </row>
    <row r="1600" spans="2:5" x14ac:dyDescent="0.35">
      <c r="B1600" s="38">
        <v>38101</v>
      </c>
      <c r="C1600" s="3">
        <v>1</v>
      </c>
      <c r="D1600" s="3">
        <v>1</v>
      </c>
      <c r="E1600" s="3">
        <f>C1600 - D1600</f>
        <v>0</v>
      </c>
    </row>
    <row r="1601" spans="2:5" x14ac:dyDescent="0.35">
      <c r="B1601" s="38">
        <v>38102</v>
      </c>
      <c r="C1601" s="3">
        <v>0</v>
      </c>
      <c r="D1601" s="3">
        <v>1</v>
      </c>
      <c r="E1601" s="3">
        <f>C1601 - D1601</f>
        <v>-1</v>
      </c>
    </row>
    <row r="1602" spans="2:5" x14ac:dyDescent="0.35">
      <c r="B1602" s="38">
        <v>38103</v>
      </c>
      <c r="C1602" s="3">
        <v>0</v>
      </c>
      <c r="D1602" s="3">
        <v>0</v>
      </c>
      <c r="E1602" s="3">
        <f>C1602 - D1602</f>
        <v>0</v>
      </c>
    </row>
    <row r="1603" spans="2:5" x14ac:dyDescent="0.35">
      <c r="B1603" s="38">
        <v>38104</v>
      </c>
      <c r="C1603" s="3">
        <v>1</v>
      </c>
      <c r="D1603" s="3">
        <v>0</v>
      </c>
      <c r="E1603" s="3">
        <f>C1603 - D1603</f>
        <v>1</v>
      </c>
    </row>
    <row r="1604" spans="2:5" x14ac:dyDescent="0.35">
      <c r="B1604" s="38">
        <v>38105</v>
      </c>
      <c r="C1604" s="3">
        <v>0</v>
      </c>
      <c r="D1604" s="3">
        <v>1</v>
      </c>
      <c r="E1604" s="3">
        <f>C1604 - D1604</f>
        <v>-1</v>
      </c>
    </row>
    <row r="1605" spans="2:5" x14ac:dyDescent="0.35">
      <c r="B1605" s="38">
        <v>38106</v>
      </c>
      <c r="C1605" s="3">
        <v>0</v>
      </c>
      <c r="D1605" s="3">
        <v>0</v>
      </c>
      <c r="E1605" s="3">
        <f>C1605 - D1605</f>
        <v>0</v>
      </c>
    </row>
    <row r="1606" spans="2:5" x14ac:dyDescent="0.35">
      <c r="B1606" s="38">
        <v>38107</v>
      </c>
      <c r="C1606" s="3">
        <v>0</v>
      </c>
      <c r="D1606" s="3">
        <v>0</v>
      </c>
      <c r="E1606" s="3">
        <f>C1606 - D1606</f>
        <v>0</v>
      </c>
    </row>
    <row r="1607" spans="2:5" x14ac:dyDescent="0.35">
      <c r="B1607" s="38">
        <v>38108</v>
      </c>
      <c r="C1607" s="3">
        <v>1</v>
      </c>
      <c r="D1607" s="3">
        <v>0</v>
      </c>
      <c r="E1607" s="3">
        <f>C1607 - D1607</f>
        <v>1</v>
      </c>
    </row>
    <row r="1608" spans="2:5" x14ac:dyDescent="0.35">
      <c r="B1608" s="38">
        <v>38109</v>
      </c>
      <c r="C1608" s="3">
        <v>1</v>
      </c>
      <c r="D1608" s="3">
        <v>1</v>
      </c>
      <c r="E1608" s="3">
        <f>C1608 - D1608</f>
        <v>0</v>
      </c>
    </row>
    <row r="1609" spans="2:5" x14ac:dyDescent="0.35">
      <c r="B1609" s="38">
        <v>38110</v>
      </c>
      <c r="C1609" s="3">
        <v>1</v>
      </c>
      <c r="D1609" s="3">
        <v>1</v>
      </c>
      <c r="E1609" s="3">
        <f>C1609 - D1609</f>
        <v>0</v>
      </c>
    </row>
    <row r="1610" spans="2:5" x14ac:dyDescent="0.35">
      <c r="B1610" s="38">
        <v>38111</v>
      </c>
      <c r="C1610" s="3">
        <v>0</v>
      </c>
      <c r="D1610" s="3">
        <v>1</v>
      </c>
      <c r="E1610" s="3">
        <f>C1610 - D1610</f>
        <v>-1</v>
      </c>
    </row>
    <row r="1611" spans="2:5" x14ac:dyDescent="0.35">
      <c r="B1611" s="38">
        <v>38112</v>
      </c>
      <c r="C1611" s="3">
        <v>1</v>
      </c>
      <c r="D1611" s="3">
        <v>0</v>
      </c>
      <c r="E1611" s="3">
        <f>C1611 - D1611</f>
        <v>1</v>
      </c>
    </row>
    <row r="1612" spans="2:5" x14ac:dyDescent="0.35">
      <c r="B1612" s="38">
        <v>38113</v>
      </c>
      <c r="C1612" s="3">
        <v>0</v>
      </c>
      <c r="D1612" s="3">
        <v>1</v>
      </c>
      <c r="E1612" s="3">
        <f>C1612 - D1612</f>
        <v>-1</v>
      </c>
    </row>
    <row r="1613" spans="2:5" x14ac:dyDescent="0.35">
      <c r="B1613" s="38">
        <v>38114</v>
      </c>
      <c r="C1613" s="3">
        <v>0</v>
      </c>
      <c r="D1613" s="3">
        <v>0</v>
      </c>
      <c r="E1613" s="3">
        <f>C1613 - D1613</f>
        <v>0</v>
      </c>
    </row>
    <row r="1614" spans="2:5" x14ac:dyDescent="0.35">
      <c r="B1614" s="38">
        <v>38115</v>
      </c>
      <c r="C1614" s="3">
        <v>1</v>
      </c>
      <c r="D1614" s="3">
        <v>0</v>
      </c>
      <c r="E1614" s="3">
        <f>C1614 - D1614</f>
        <v>1</v>
      </c>
    </row>
    <row r="1615" spans="2:5" x14ac:dyDescent="0.35">
      <c r="B1615" s="38">
        <v>38116</v>
      </c>
      <c r="C1615" s="3">
        <v>0</v>
      </c>
      <c r="D1615" s="3">
        <v>1</v>
      </c>
      <c r="E1615" s="3">
        <f>C1615 - D1615</f>
        <v>-1</v>
      </c>
    </row>
    <row r="1616" spans="2:5" x14ac:dyDescent="0.35">
      <c r="B1616" s="38">
        <v>38117</v>
      </c>
      <c r="C1616" s="3">
        <v>0</v>
      </c>
      <c r="D1616" s="3">
        <v>0</v>
      </c>
      <c r="E1616" s="3">
        <f>C1616 - D1616</f>
        <v>0</v>
      </c>
    </row>
    <row r="1617" spans="2:5" x14ac:dyDescent="0.35">
      <c r="B1617" s="38">
        <v>38118</v>
      </c>
      <c r="C1617" s="3">
        <v>0</v>
      </c>
      <c r="D1617" s="3">
        <v>0</v>
      </c>
      <c r="E1617" s="3">
        <f>C1617 - D1617</f>
        <v>0</v>
      </c>
    </row>
    <row r="1618" spans="2:5" x14ac:dyDescent="0.35">
      <c r="B1618" s="38">
        <v>38119</v>
      </c>
      <c r="C1618" s="3">
        <v>0</v>
      </c>
      <c r="D1618" s="3">
        <v>0</v>
      </c>
      <c r="E1618" s="3">
        <f>C1618 - D1618</f>
        <v>0</v>
      </c>
    </row>
    <row r="1619" spans="2:5" x14ac:dyDescent="0.35">
      <c r="B1619" s="38">
        <v>38120</v>
      </c>
      <c r="C1619" s="3">
        <v>0</v>
      </c>
      <c r="D1619" s="3">
        <v>0</v>
      </c>
      <c r="E1619" s="3">
        <f>C1619 - D1619</f>
        <v>0</v>
      </c>
    </row>
    <row r="1620" spans="2:5" x14ac:dyDescent="0.35">
      <c r="B1620" s="38">
        <v>38121</v>
      </c>
      <c r="C1620" s="3">
        <v>0</v>
      </c>
      <c r="D1620" s="3">
        <v>0</v>
      </c>
      <c r="E1620" s="3">
        <f>C1620 - D1620</f>
        <v>0</v>
      </c>
    </row>
    <row r="1621" spans="2:5" x14ac:dyDescent="0.35">
      <c r="B1621" s="38">
        <v>38122</v>
      </c>
      <c r="C1621" s="3">
        <v>0</v>
      </c>
      <c r="D1621" s="3">
        <v>0</v>
      </c>
      <c r="E1621" s="3">
        <f>C1621 - D1621</f>
        <v>0</v>
      </c>
    </row>
    <row r="1622" spans="2:5" x14ac:dyDescent="0.35">
      <c r="B1622" s="38">
        <v>38123</v>
      </c>
      <c r="C1622" s="3">
        <v>0</v>
      </c>
      <c r="D1622" s="3">
        <v>0</v>
      </c>
      <c r="E1622" s="3">
        <f>C1622 - D1622</f>
        <v>0</v>
      </c>
    </row>
    <row r="1623" spans="2:5" x14ac:dyDescent="0.35">
      <c r="B1623" s="38">
        <v>38124</v>
      </c>
      <c r="C1623" s="3">
        <v>0</v>
      </c>
      <c r="D1623" s="3">
        <v>0</v>
      </c>
      <c r="E1623" s="3">
        <f>C1623 - D1623</f>
        <v>0</v>
      </c>
    </row>
    <row r="1624" spans="2:5" x14ac:dyDescent="0.35">
      <c r="B1624" s="38">
        <v>38125</v>
      </c>
      <c r="C1624" s="3">
        <v>1</v>
      </c>
      <c r="D1624" s="3">
        <v>0</v>
      </c>
      <c r="E1624" s="3">
        <f>C1624 - D1624</f>
        <v>1</v>
      </c>
    </row>
    <row r="1625" spans="2:5" x14ac:dyDescent="0.35">
      <c r="B1625" s="38">
        <v>38126</v>
      </c>
      <c r="C1625" s="3">
        <v>1</v>
      </c>
      <c r="D1625" s="3">
        <v>1</v>
      </c>
      <c r="E1625" s="3">
        <f>C1625 - D1625</f>
        <v>0</v>
      </c>
    </row>
    <row r="1626" spans="2:5" x14ac:dyDescent="0.35">
      <c r="B1626" s="38">
        <v>38127</v>
      </c>
      <c r="C1626" s="3">
        <v>0</v>
      </c>
      <c r="D1626" s="3">
        <v>1</v>
      </c>
      <c r="E1626" s="3">
        <f>C1626 - D1626</f>
        <v>-1</v>
      </c>
    </row>
    <row r="1627" spans="2:5" x14ac:dyDescent="0.35">
      <c r="B1627" s="38">
        <v>38128</v>
      </c>
      <c r="C1627" s="3">
        <v>1</v>
      </c>
      <c r="D1627" s="3">
        <v>0</v>
      </c>
      <c r="E1627" s="3">
        <f>C1627 - D1627</f>
        <v>1</v>
      </c>
    </row>
    <row r="1628" spans="2:5" x14ac:dyDescent="0.35">
      <c r="B1628" s="38">
        <v>38129</v>
      </c>
      <c r="C1628" s="3">
        <v>0</v>
      </c>
      <c r="D1628" s="3">
        <v>1</v>
      </c>
      <c r="E1628" s="3">
        <f>C1628 - D1628</f>
        <v>-1</v>
      </c>
    </row>
    <row r="1629" spans="2:5" x14ac:dyDescent="0.35">
      <c r="B1629" s="38">
        <v>38130</v>
      </c>
      <c r="C1629" s="3">
        <v>0</v>
      </c>
      <c r="D1629" s="3">
        <v>0</v>
      </c>
      <c r="E1629" s="3">
        <f>C1629 - D1629</f>
        <v>0</v>
      </c>
    </row>
    <row r="1630" spans="2:5" x14ac:dyDescent="0.35">
      <c r="B1630" s="38">
        <v>38131</v>
      </c>
      <c r="C1630" s="3">
        <v>0</v>
      </c>
      <c r="D1630" s="3">
        <v>0</v>
      </c>
      <c r="E1630" s="3">
        <f>C1630 - D1630</f>
        <v>0</v>
      </c>
    </row>
    <row r="1631" spans="2:5" x14ac:dyDescent="0.35">
      <c r="B1631" s="38">
        <v>38132</v>
      </c>
      <c r="C1631" s="3">
        <v>0</v>
      </c>
      <c r="D1631" s="3">
        <v>0</v>
      </c>
      <c r="E1631" s="3">
        <f>C1631 - D1631</f>
        <v>0</v>
      </c>
    </row>
    <row r="1632" spans="2:5" x14ac:dyDescent="0.35">
      <c r="B1632" s="38">
        <v>38133</v>
      </c>
      <c r="C1632" s="3">
        <v>1</v>
      </c>
      <c r="D1632" s="3">
        <v>0</v>
      </c>
      <c r="E1632" s="3">
        <f>C1632 - D1632</f>
        <v>1</v>
      </c>
    </row>
    <row r="1633" spans="2:5" x14ac:dyDescent="0.35">
      <c r="B1633" s="38">
        <v>38134</v>
      </c>
      <c r="C1633" s="3">
        <v>1</v>
      </c>
      <c r="D1633" s="3">
        <v>1</v>
      </c>
      <c r="E1633" s="3">
        <f>C1633 - D1633</f>
        <v>0</v>
      </c>
    </row>
    <row r="1634" spans="2:5" x14ac:dyDescent="0.35">
      <c r="B1634" s="38">
        <v>38135</v>
      </c>
      <c r="C1634" s="3">
        <v>1</v>
      </c>
      <c r="D1634" s="3">
        <v>1</v>
      </c>
      <c r="E1634" s="3">
        <f>C1634 - D1634</f>
        <v>0</v>
      </c>
    </row>
    <row r="1635" spans="2:5" x14ac:dyDescent="0.35">
      <c r="B1635" s="38">
        <v>38136</v>
      </c>
      <c r="C1635" s="3">
        <v>1</v>
      </c>
      <c r="D1635" s="3">
        <v>1</v>
      </c>
      <c r="E1635" s="3">
        <f>C1635 - D1635</f>
        <v>0</v>
      </c>
    </row>
    <row r="1636" spans="2:5" x14ac:dyDescent="0.35">
      <c r="B1636" s="38">
        <v>38137</v>
      </c>
      <c r="C1636" s="3">
        <v>0</v>
      </c>
      <c r="D1636" s="3">
        <v>1</v>
      </c>
      <c r="E1636" s="3">
        <f>C1636 - D1636</f>
        <v>-1</v>
      </c>
    </row>
    <row r="1637" spans="2:5" x14ac:dyDescent="0.35">
      <c r="B1637" s="38">
        <v>38138</v>
      </c>
      <c r="C1637" s="3">
        <v>0</v>
      </c>
      <c r="D1637" s="3">
        <v>0</v>
      </c>
      <c r="E1637" s="3">
        <f>C1637 - D1637</f>
        <v>0</v>
      </c>
    </row>
    <row r="1638" spans="2:5" x14ac:dyDescent="0.35">
      <c r="B1638" s="38">
        <v>38139</v>
      </c>
      <c r="C1638" s="3">
        <v>0</v>
      </c>
      <c r="D1638" s="3">
        <v>0</v>
      </c>
      <c r="E1638" s="3">
        <f>C1638 - D1638</f>
        <v>0</v>
      </c>
    </row>
    <row r="1639" spans="2:5" x14ac:dyDescent="0.35">
      <c r="B1639" s="38">
        <v>38140</v>
      </c>
      <c r="C1639" s="3">
        <v>1</v>
      </c>
      <c r="D1639" s="3">
        <v>0</v>
      </c>
      <c r="E1639" s="3">
        <f>C1639 - D1639</f>
        <v>1</v>
      </c>
    </row>
    <row r="1640" spans="2:5" x14ac:dyDescent="0.35">
      <c r="B1640" s="38">
        <v>38141</v>
      </c>
      <c r="C1640" s="3">
        <v>0</v>
      </c>
      <c r="D1640" s="3">
        <v>1</v>
      </c>
      <c r="E1640" s="3">
        <f>C1640 - D1640</f>
        <v>-1</v>
      </c>
    </row>
    <row r="1641" spans="2:5" x14ac:dyDescent="0.35">
      <c r="B1641" s="38">
        <v>38142</v>
      </c>
      <c r="C1641" s="3">
        <v>1</v>
      </c>
      <c r="D1641" s="3">
        <v>0</v>
      </c>
      <c r="E1641" s="3">
        <f>C1641 - D1641</f>
        <v>1</v>
      </c>
    </row>
    <row r="1642" spans="2:5" x14ac:dyDescent="0.35">
      <c r="B1642" s="38">
        <v>38143</v>
      </c>
      <c r="C1642" s="3">
        <v>0</v>
      </c>
      <c r="D1642" s="3">
        <v>1</v>
      </c>
      <c r="E1642" s="3">
        <f>C1642 - D1642</f>
        <v>-1</v>
      </c>
    </row>
    <row r="1643" spans="2:5" x14ac:dyDescent="0.35">
      <c r="B1643" s="38">
        <v>38144</v>
      </c>
      <c r="C1643" s="3">
        <v>0</v>
      </c>
      <c r="D1643" s="3">
        <v>0</v>
      </c>
      <c r="E1643" s="3">
        <f>C1643 - D1643</f>
        <v>0</v>
      </c>
    </row>
    <row r="1644" spans="2:5" x14ac:dyDescent="0.35">
      <c r="B1644" s="38">
        <v>38145</v>
      </c>
      <c r="C1644" s="3">
        <v>0</v>
      </c>
      <c r="D1644" s="3">
        <v>0</v>
      </c>
      <c r="E1644" s="3">
        <f>C1644 - D1644</f>
        <v>0</v>
      </c>
    </row>
    <row r="1645" spans="2:5" x14ac:dyDescent="0.35">
      <c r="B1645" s="38">
        <v>38146</v>
      </c>
      <c r="C1645" s="3">
        <v>0</v>
      </c>
      <c r="D1645" s="3">
        <v>0</v>
      </c>
      <c r="E1645" s="3">
        <f>C1645 - D1645</f>
        <v>0</v>
      </c>
    </row>
    <row r="1646" spans="2:5" x14ac:dyDescent="0.35">
      <c r="B1646" s="38">
        <v>38147</v>
      </c>
      <c r="C1646" s="3">
        <v>1</v>
      </c>
      <c r="D1646" s="3">
        <v>0</v>
      </c>
      <c r="E1646" s="3">
        <f>C1646 - D1646</f>
        <v>1</v>
      </c>
    </row>
    <row r="1647" spans="2:5" x14ac:dyDescent="0.35">
      <c r="B1647" s="38">
        <v>38148</v>
      </c>
      <c r="C1647" s="3">
        <v>1</v>
      </c>
      <c r="D1647" s="3">
        <v>1</v>
      </c>
      <c r="E1647" s="3">
        <f>C1647 - D1647</f>
        <v>0</v>
      </c>
    </row>
    <row r="1648" spans="2:5" x14ac:dyDescent="0.35">
      <c r="B1648" s="38">
        <v>38149</v>
      </c>
      <c r="C1648" s="3">
        <v>0</v>
      </c>
      <c r="D1648" s="3">
        <v>1</v>
      </c>
      <c r="E1648" s="3">
        <f>C1648 - D1648</f>
        <v>-1</v>
      </c>
    </row>
    <row r="1649" spans="2:5" x14ac:dyDescent="0.35">
      <c r="B1649" s="38">
        <v>38150</v>
      </c>
      <c r="C1649" s="3">
        <v>0</v>
      </c>
      <c r="D1649" s="3">
        <v>0</v>
      </c>
      <c r="E1649" s="3">
        <f>C1649 - D1649</f>
        <v>0</v>
      </c>
    </row>
    <row r="1650" spans="2:5" x14ac:dyDescent="0.35">
      <c r="B1650" s="38">
        <v>38151</v>
      </c>
      <c r="C1650" s="3">
        <v>0</v>
      </c>
      <c r="D1650" s="3">
        <v>0</v>
      </c>
      <c r="E1650" s="3">
        <f>C1650 - D1650</f>
        <v>0</v>
      </c>
    </row>
    <row r="1651" spans="2:5" x14ac:dyDescent="0.35">
      <c r="B1651" s="38">
        <v>38152</v>
      </c>
      <c r="C1651" s="3">
        <v>0</v>
      </c>
      <c r="D1651" s="3">
        <v>0</v>
      </c>
      <c r="E1651" s="3">
        <f>C1651 - D1651</f>
        <v>0</v>
      </c>
    </row>
    <row r="1652" spans="2:5" x14ac:dyDescent="0.35">
      <c r="B1652" s="38">
        <v>38153</v>
      </c>
      <c r="C1652" s="3">
        <v>1</v>
      </c>
      <c r="D1652" s="3">
        <v>0</v>
      </c>
      <c r="E1652" s="3">
        <f>C1652 - D1652</f>
        <v>1</v>
      </c>
    </row>
    <row r="1653" spans="2:5" x14ac:dyDescent="0.35">
      <c r="B1653" s="38">
        <v>38154</v>
      </c>
      <c r="C1653" s="3">
        <v>1</v>
      </c>
      <c r="D1653" s="3">
        <v>1</v>
      </c>
      <c r="E1653" s="3">
        <f>C1653 - D1653</f>
        <v>0</v>
      </c>
    </row>
    <row r="1654" spans="2:5" x14ac:dyDescent="0.35">
      <c r="B1654" s="38">
        <v>38155</v>
      </c>
      <c r="C1654" s="3">
        <v>0</v>
      </c>
      <c r="D1654" s="3">
        <v>1</v>
      </c>
      <c r="E1654" s="3">
        <f>C1654 - D1654</f>
        <v>-1</v>
      </c>
    </row>
    <row r="1655" spans="2:5" x14ac:dyDescent="0.35">
      <c r="B1655" s="38">
        <v>38156</v>
      </c>
      <c r="C1655" s="3">
        <v>1</v>
      </c>
      <c r="D1655" s="3">
        <v>0</v>
      </c>
      <c r="E1655" s="3">
        <f>C1655 - D1655</f>
        <v>1</v>
      </c>
    </row>
    <row r="1656" spans="2:5" x14ac:dyDescent="0.35">
      <c r="B1656" s="38">
        <v>38157</v>
      </c>
      <c r="C1656" s="3">
        <v>1</v>
      </c>
      <c r="D1656" s="3">
        <v>1</v>
      </c>
      <c r="E1656" s="3">
        <f>C1656 - D1656</f>
        <v>0</v>
      </c>
    </row>
    <row r="1657" spans="2:5" x14ac:dyDescent="0.35">
      <c r="B1657" s="38">
        <v>38158</v>
      </c>
      <c r="C1657" s="3">
        <v>1</v>
      </c>
      <c r="D1657" s="3">
        <v>1</v>
      </c>
      <c r="E1657" s="3">
        <f>C1657 - D1657</f>
        <v>0</v>
      </c>
    </row>
    <row r="1658" spans="2:5" x14ac:dyDescent="0.35">
      <c r="B1658" s="38">
        <v>38159</v>
      </c>
      <c r="C1658" s="3">
        <v>1</v>
      </c>
      <c r="D1658" s="3">
        <v>1</v>
      </c>
      <c r="E1658" s="3">
        <f>C1658 - D1658</f>
        <v>0</v>
      </c>
    </row>
    <row r="1659" spans="2:5" x14ac:dyDescent="0.35">
      <c r="B1659" s="38">
        <v>38160</v>
      </c>
      <c r="C1659" s="3">
        <v>0</v>
      </c>
      <c r="D1659" s="3">
        <v>1</v>
      </c>
      <c r="E1659" s="3">
        <f>C1659 - D1659</f>
        <v>-1</v>
      </c>
    </row>
    <row r="1660" spans="2:5" x14ac:dyDescent="0.35">
      <c r="B1660" s="38">
        <v>38161</v>
      </c>
      <c r="C1660" s="3">
        <v>0</v>
      </c>
      <c r="D1660" s="3">
        <v>0</v>
      </c>
      <c r="E1660" s="3">
        <f>C1660 - D1660</f>
        <v>0</v>
      </c>
    </row>
    <row r="1661" spans="2:5" x14ac:dyDescent="0.35">
      <c r="B1661" s="38">
        <v>38162</v>
      </c>
      <c r="C1661" s="3">
        <v>0</v>
      </c>
      <c r="D1661" s="3">
        <v>0</v>
      </c>
      <c r="E1661" s="3">
        <f>C1661 - D1661</f>
        <v>0</v>
      </c>
    </row>
    <row r="1662" spans="2:5" x14ac:dyDescent="0.35">
      <c r="B1662" s="38">
        <v>38163</v>
      </c>
      <c r="C1662" s="3">
        <v>1</v>
      </c>
      <c r="D1662" s="3">
        <v>0</v>
      </c>
      <c r="E1662" s="3">
        <f>C1662 - D1662</f>
        <v>1</v>
      </c>
    </row>
    <row r="1663" spans="2:5" x14ac:dyDescent="0.35">
      <c r="B1663" s="38">
        <v>38164</v>
      </c>
      <c r="C1663" s="3">
        <v>1</v>
      </c>
      <c r="D1663" s="3">
        <v>1</v>
      </c>
      <c r="E1663" s="3">
        <f>C1663 - D1663</f>
        <v>0</v>
      </c>
    </row>
    <row r="1664" spans="2:5" x14ac:dyDescent="0.35">
      <c r="B1664" s="38">
        <v>38165</v>
      </c>
      <c r="C1664" s="3">
        <v>0</v>
      </c>
      <c r="D1664" s="3">
        <v>1</v>
      </c>
      <c r="E1664" s="3">
        <f>C1664 - D1664</f>
        <v>-1</v>
      </c>
    </row>
    <row r="1665" spans="2:5" x14ac:dyDescent="0.35">
      <c r="B1665" s="38">
        <v>38166</v>
      </c>
      <c r="C1665" s="3">
        <v>0</v>
      </c>
      <c r="D1665" s="3">
        <v>0</v>
      </c>
      <c r="E1665" s="3">
        <f>C1665 - D1665</f>
        <v>0</v>
      </c>
    </row>
    <row r="1666" spans="2:5" x14ac:dyDescent="0.35">
      <c r="B1666" s="38">
        <v>38167</v>
      </c>
      <c r="C1666" s="3">
        <v>0</v>
      </c>
      <c r="D1666" s="3">
        <v>0</v>
      </c>
      <c r="E1666" s="3">
        <f>C1666 - D1666</f>
        <v>0</v>
      </c>
    </row>
    <row r="1667" spans="2:5" x14ac:dyDescent="0.35">
      <c r="B1667" s="38">
        <v>38168</v>
      </c>
      <c r="C1667" s="3">
        <v>0</v>
      </c>
      <c r="D1667" s="3">
        <v>0</v>
      </c>
      <c r="E1667" s="3">
        <f>C1667 - D1667</f>
        <v>0</v>
      </c>
    </row>
    <row r="1668" spans="2:5" x14ac:dyDescent="0.35">
      <c r="B1668" s="38">
        <v>38169</v>
      </c>
      <c r="C1668" s="3">
        <v>1</v>
      </c>
      <c r="D1668" s="3">
        <v>0</v>
      </c>
      <c r="E1668" s="3">
        <f>C1668 - D1668</f>
        <v>1</v>
      </c>
    </row>
    <row r="1669" spans="2:5" x14ac:dyDescent="0.35">
      <c r="B1669" s="38">
        <v>38170</v>
      </c>
      <c r="C1669" s="3">
        <v>0</v>
      </c>
      <c r="D1669" s="3">
        <v>1</v>
      </c>
      <c r="E1669" s="3">
        <f>C1669 - D1669</f>
        <v>-1</v>
      </c>
    </row>
    <row r="1670" spans="2:5" x14ac:dyDescent="0.35">
      <c r="B1670" s="38">
        <v>38171</v>
      </c>
      <c r="C1670" s="3">
        <v>0</v>
      </c>
      <c r="D1670" s="3">
        <v>0</v>
      </c>
      <c r="E1670" s="3">
        <f>C1670 - D1670</f>
        <v>0</v>
      </c>
    </row>
    <row r="1671" spans="2:5" x14ac:dyDescent="0.35">
      <c r="B1671" s="38">
        <v>38172</v>
      </c>
      <c r="C1671" s="3">
        <v>0</v>
      </c>
      <c r="D1671" s="3">
        <v>0</v>
      </c>
      <c r="E1671" s="3">
        <f>C1671 - D1671</f>
        <v>0</v>
      </c>
    </row>
    <row r="1672" spans="2:5" x14ac:dyDescent="0.35">
      <c r="B1672" s="38">
        <v>38173</v>
      </c>
      <c r="C1672" s="3">
        <v>0</v>
      </c>
      <c r="D1672" s="3">
        <v>0</v>
      </c>
      <c r="E1672" s="3">
        <f>C1672 - D1672</f>
        <v>0</v>
      </c>
    </row>
    <row r="1673" spans="2:5" x14ac:dyDescent="0.35">
      <c r="B1673" s="38">
        <v>38174</v>
      </c>
      <c r="C1673" s="3">
        <v>1</v>
      </c>
      <c r="D1673" s="3">
        <v>0</v>
      </c>
      <c r="E1673" s="3">
        <f>C1673 - D1673</f>
        <v>1</v>
      </c>
    </row>
    <row r="1674" spans="2:5" x14ac:dyDescent="0.35">
      <c r="B1674" s="38">
        <v>38175</v>
      </c>
      <c r="C1674" s="3">
        <v>1</v>
      </c>
      <c r="D1674" s="3">
        <v>1</v>
      </c>
      <c r="E1674" s="3">
        <f>C1674 - D1674</f>
        <v>0</v>
      </c>
    </row>
    <row r="1675" spans="2:5" x14ac:dyDescent="0.35">
      <c r="B1675" s="38">
        <v>38176</v>
      </c>
      <c r="C1675" s="3">
        <v>1</v>
      </c>
      <c r="D1675" s="3">
        <v>1</v>
      </c>
      <c r="E1675" s="3">
        <f>C1675 - D1675</f>
        <v>0</v>
      </c>
    </row>
    <row r="1676" spans="2:5" x14ac:dyDescent="0.35">
      <c r="B1676" s="38">
        <v>38177</v>
      </c>
      <c r="C1676" s="3">
        <v>0</v>
      </c>
      <c r="D1676" s="3">
        <v>1</v>
      </c>
      <c r="E1676" s="3">
        <f>C1676 - D1676</f>
        <v>-1</v>
      </c>
    </row>
    <row r="1677" spans="2:5" x14ac:dyDescent="0.35">
      <c r="B1677" s="38">
        <v>38178</v>
      </c>
      <c r="C1677" s="3">
        <v>0</v>
      </c>
      <c r="D1677" s="3">
        <v>0</v>
      </c>
      <c r="E1677" s="3">
        <f>C1677 - D1677</f>
        <v>0</v>
      </c>
    </row>
    <row r="1678" spans="2:5" x14ac:dyDescent="0.35">
      <c r="B1678" s="38">
        <v>38179</v>
      </c>
      <c r="C1678" s="3">
        <v>0</v>
      </c>
      <c r="D1678" s="3">
        <v>0</v>
      </c>
      <c r="E1678" s="3">
        <f>C1678 - D1678</f>
        <v>0</v>
      </c>
    </row>
    <row r="1679" spans="2:5" x14ac:dyDescent="0.35">
      <c r="B1679" s="38">
        <v>38180</v>
      </c>
      <c r="C1679" s="3">
        <v>1</v>
      </c>
      <c r="D1679" s="3">
        <v>0</v>
      </c>
      <c r="E1679" s="3">
        <f>C1679 - D1679</f>
        <v>1</v>
      </c>
    </row>
    <row r="1680" spans="2:5" x14ac:dyDescent="0.35">
      <c r="B1680" s="38">
        <v>38181</v>
      </c>
      <c r="C1680" s="3">
        <v>1</v>
      </c>
      <c r="D1680" s="3">
        <v>1</v>
      </c>
      <c r="E1680" s="3">
        <f>C1680 - D1680</f>
        <v>0</v>
      </c>
    </row>
    <row r="1681" spans="2:5" x14ac:dyDescent="0.35">
      <c r="B1681" s="38">
        <v>38182</v>
      </c>
      <c r="C1681" s="3">
        <v>0</v>
      </c>
      <c r="D1681" s="3">
        <v>1</v>
      </c>
      <c r="E1681" s="3">
        <f>C1681 - D1681</f>
        <v>-1</v>
      </c>
    </row>
    <row r="1682" spans="2:5" x14ac:dyDescent="0.35">
      <c r="B1682" s="38">
        <v>38183</v>
      </c>
      <c r="C1682" s="3">
        <v>1</v>
      </c>
      <c r="D1682" s="3">
        <v>0</v>
      </c>
      <c r="E1682" s="3">
        <f>C1682 - D1682</f>
        <v>1</v>
      </c>
    </row>
    <row r="1683" spans="2:5" x14ac:dyDescent="0.35">
      <c r="B1683" s="38">
        <v>38184</v>
      </c>
      <c r="C1683" s="3">
        <v>0</v>
      </c>
      <c r="D1683" s="3">
        <v>1</v>
      </c>
      <c r="E1683" s="3">
        <f>C1683 - D1683</f>
        <v>-1</v>
      </c>
    </row>
    <row r="1684" spans="2:5" x14ac:dyDescent="0.35">
      <c r="B1684" s="38">
        <v>38185</v>
      </c>
      <c r="C1684" s="3">
        <v>1</v>
      </c>
      <c r="D1684" s="3">
        <v>0</v>
      </c>
      <c r="E1684" s="3">
        <f>C1684 - D1684</f>
        <v>1</v>
      </c>
    </row>
    <row r="1685" spans="2:5" x14ac:dyDescent="0.35">
      <c r="B1685" s="38">
        <v>38186</v>
      </c>
      <c r="C1685" s="3">
        <v>1</v>
      </c>
      <c r="D1685" s="3">
        <v>1</v>
      </c>
      <c r="E1685" s="3">
        <f>C1685 - D1685</f>
        <v>0</v>
      </c>
    </row>
    <row r="1686" spans="2:5" x14ac:dyDescent="0.35">
      <c r="B1686" s="38">
        <v>38187</v>
      </c>
      <c r="C1686" s="3">
        <v>0</v>
      </c>
      <c r="D1686" s="3">
        <v>1</v>
      </c>
      <c r="E1686" s="3">
        <f>C1686 - D1686</f>
        <v>-1</v>
      </c>
    </row>
    <row r="1687" spans="2:5" x14ac:dyDescent="0.35">
      <c r="B1687" s="38">
        <v>38188</v>
      </c>
      <c r="C1687" s="3">
        <v>0</v>
      </c>
      <c r="D1687" s="3">
        <v>0</v>
      </c>
      <c r="E1687" s="3">
        <f>C1687 - D1687</f>
        <v>0</v>
      </c>
    </row>
    <row r="1688" spans="2:5" x14ac:dyDescent="0.35">
      <c r="B1688" s="38">
        <v>38189</v>
      </c>
      <c r="C1688" s="3">
        <v>0</v>
      </c>
      <c r="D1688" s="3">
        <v>0</v>
      </c>
      <c r="E1688" s="3">
        <f>C1688 - D1688</f>
        <v>0</v>
      </c>
    </row>
    <row r="1689" spans="2:5" x14ac:dyDescent="0.35">
      <c r="B1689" s="38">
        <v>38190</v>
      </c>
      <c r="C1689" s="3">
        <v>0</v>
      </c>
      <c r="D1689" s="3">
        <v>0</v>
      </c>
      <c r="E1689" s="3">
        <f>C1689 - D1689</f>
        <v>0</v>
      </c>
    </row>
    <row r="1690" spans="2:5" x14ac:dyDescent="0.35">
      <c r="B1690" s="38">
        <v>38191</v>
      </c>
      <c r="C1690" s="3">
        <v>0</v>
      </c>
      <c r="D1690" s="3">
        <v>0</v>
      </c>
      <c r="E1690" s="3">
        <f>C1690 - D1690</f>
        <v>0</v>
      </c>
    </row>
    <row r="1691" spans="2:5" x14ac:dyDescent="0.35">
      <c r="B1691" s="38">
        <v>38192</v>
      </c>
      <c r="C1691" s="3">
        <v>1</v>
      </c>
      <c r="D1691" s="3">
        <v>0</v>
      </c>
      <c r="E1691" s="3">
        <f>C1691 - D1691</f>
        <v>1</v>
      </c>
    </row>
    <row r="1692" spans="2:5" x14ac:dyDescent="0.35">
      <c r="B1692" s="38">
        <v>38193</v>
      </c>
      <c r="C1692" s="3">
        <v>1</v>
      </c>
      <c r="D1692" s="3">
        <v>1</v>
      </c>
      <c r="E1692" s="3">
        <f>C1692 - D1692</f>
        <v>0</v>
      </c>
    </row>
    <row r="1693" spans="2:5" x14ac:dyDescent="0.35">
      <c r="B1693" s="38">
        <v>38194</v>
      </c>
      <c r="C1693" s="3">
        <v>0</v>
      </c>
      <c r="D1693" s="3">
        <v>1</v>
      </c>
      <c r="E1693" s="3">
        <f>C1693 - D1693</f>
        <v>-1</v>
      </c>
    </row>
    <row r="1694" spans="2:5" x14ac:dyDescent="0.35">
      <c r="B1694" s="38">
        <v>38195</v>
      </c>
      <c r="C1694" s="3">
        <v>1</v>
      </c>
      <c r="D1694" s="3">
        <v>0</v>
      </c>
      <c r="E1694" s="3">
        <f>C1694 - D1694</f>
        <v>1</v>
      </c>
    </row>
    <row r="1695" spans="2:5" x14ac:dyDescent="0.35">
      <c r="B1695" s="38">
        <v>38196</v>
      </c>
      <c r="C1695" s="3">
        <v>0</v>
      </c>
      <c r="D1695" s="3">
        <v>1</v>
      </c>
      <c r="E1695" s="3">
        <f>C1695 - D1695</f>
        <v>-1</v>
      </c>
    </row>
    <row r="1696" spans="2:5" x14ac:dyDescent="0.35">
      <c r="B1696" s="38">
        <v>38197</v>
      </c>
      <c r="C1696" s="3">
        <v>1</v>
      </c>
      <c r="D1696" s="3">
        <v>0</v>
      </c>
      <c r="E1696" s="3">
        <f>C1696 - D1696</f>
        <v>1</v>
      </c>
    </row>
    <row r="1697" spans="2:5" x14ac:dyDescent="0.35">
      <c r="B1697" s="38">
        <v>38198</v>
      </c>
      <c r="C1697" s="3">
        <v>0</v>
      </c>
      <c r="D1697" s="3">
        <v>1</v>
      </c>
      <c r="E1697" s="3">
        <f>C1697 - D1697</f>
        <v>-1</v>
      </c>
    </row>
    <row r="1698" spans="2:5" x14ac:dyDescent="0.35">
      <c r="B1698" s="38">
        <v>38199</v>
      </c>
      <c r="C1698" s="3">
        <v>0</v>
      </c>
      <c r="D1698" s="3">
        <v>0</v>
      </c>
      <c r="E1698" s="3">
        <f>C1698 - D1698</f>
        <v>0</v>
      </c>
    </row>
    <row r="1699" spans="2:5" x14ac:dyDescent="0.35">
      <c r="B1699" s="38">
        <v>38200</v>
      </c>
      <c r="C1699" s="3">
        <v>0</v>
      </c>
      <c r="D1699" s="3">
        <v>0</v>
      </c>
      <c r="E1699" s="3">
        <f>C1699 - D1699</f>
        <v>0</v>
      </c>
    </row>
    <row r="1700" spans="2:5" x14ac:dyDescent="0.35">
      <c r="B1700" s="38">
        <v>38201</v>
      </c>
      <c r="C1700" s="3">
        <v>1</v>
      </c>
      <c r="D1700" s="3">
        <v>0</v>
      </c>
      <c r="E1700" s="3">
        <f>C1700 - D1700</f>
        <v>1</v>
      </c>
    </row>
    <row r="1701" spans="2:5" x14ac:dyDescent="0.35">
      <c r="B1701" s="38">
        <v>38202</v>
      </c>
      <c r="C1701" s="3">
        <v>1</v>
      </c>
      <c r="D1701" s="3">
        <v>1</v>
      </c>
      <c r="E1701" s="3">
        <f>C1701 - D1701</f>
        <v>0</v>
      </c>
    </row>
    <row r="1702" spans="2:5" x14ac:dyDescent="0.35">
      <c r="B1702" s="38">
        <v>38203</v>
      </c>
      <c r="C1702" s="3">
        <v>1</v>
      </c>
      <c r="D1702" s="3">
        <v>1</v>
      </c>
      <c r="E1702" s="3">
        <f>C1702 - D1702</f>
        <v>0</v>
      </c>
    </row>
    <row r="1703" spans="2:5" x14ac:dyDescent="0.35">
      <c r="B1703" s="38">
        <v>38204</v>
      </c>
      <c r="C1703" s="3">
        <v>1</v>
      </c>
      <c r="D1703" s="3">
        <v>1</v>
      </c>
      <c r="E1703" s="3">
        <f>C1703 - D1703</f>
        <v>0</v>
      </c>
    </row>
    <row r="1704" spans="2:5" x14ac:dyDescent="0.35">
      <c r="B1704" s="38">
        <v>38205</v>
      </c>
      <c r="C1704" s="3">
        <v>1</v>
      </c>
      <c r="D1704" s="3">
        <v>1</v>
      </c>
      <c r="E1704" s="3">
        <f>C1704 - D1704</f>
        <v>0</v>
      </c>
    </row>
    <row r="1705" spans="2:5" x14ac:dyDescent="0.35">
      <c r="B1705" s="38">
        <v>38206</v>
      </c>
      <c r="C1705" s="3">
        <v>1</v>
      </c>
      <c r="D1705" s="3">
        <v>1</v>
      </c>
      <c r="E1705" s="3">
        <f>C1705 - D1705</f>
        <v>0</v>
      </c>
    </row>
    <row r="1706" spans="2:5" x14ac:dyDescent="0.35">
      <c r="B1706" s="38">
        <v>38207</v>
      </c>
      <c r="C1706" s="3">
        <v>1</v>
      </c>
      <c r="D1706" s="3">
        <v>1</v>
      </c>
      <c r="E1706" s="3">
        <f>C1706 - D1706</f>
        <v>0</v>
      </c>
    </row>
    <row r="1707" spans="2:5" x14ac:dyDescent="0.35">
      <c r="B1707" s="38">
        <v>38208</v>
      </c>
      <c r="C1707" s="3">
        <v>1</v>
      </c>
      <c r="D1707" s="3">
        <v>1</v>
      </c>
      <c r="E1707" s="3">
        <f>C1707 - D1707</f>
        <v>0</v>
      </c>
    </row>
    <row r="1708" spans="2:5" x14ac:dyDescent="0.35">
      <c r="B1708" s="38">
        <v>38209</v>
      </c>
      <c r="C1708" s="3">
        <v>1</v>
      </c>
      <c r="D1708" s="3">
        <v>1</v>
      </c>
      <c r="E1708" s="3">
        <f>C1708 - D1708</f>
        <v>0</v>
      </c>
    </row>
    <row r="1709" spans="2:5" x14ac:dyDescent="0.35">
      <c r="B1709" s="38">
        <v>38210</v>
      </c>
      <c r="C1709" s="3">
        <v>1</v>
      </c>
      <c r="D1709" s="3">
        <v>1</v>
      </c>
      <c r="E1709" s="3">
        <f>C1709 - D1709</f>
        <v>0</v>
      </c>
    </row>
    <row r="1710" spans="2:5" x14ac:dyDescent="0.35">
      <c r="B1710" s="38">
        <v>38211</v>
      </c>
      <c r="C1710" s="3">
        <v>0</v>
      </c>
      <c r="D1710" s="3">
        <v>1</v>
      </c>
      <c r="E1710" s="3">
        <f>C1710 - D1710</f>
        <v>-1</v>
      </c>
    </row>
    <row r="1711" spans="2:5" x14ac:dyDescent="0.35">
      <c r="B1711" s="38">
        <v>38212</v>
      </c>
      <c r="C1711" s="3">
        <v>0</v>
      </c>
      <c r="D1711" s="3">
        <v>0</v>
      </c>
      <c r="E1711" s="3">
        <f>C1711 - D1711</f>
        <v>0</v>
      </c>
    </row>
    <row r="1712" spans="2:5" x14ac:dyDescent="0.35">
      <c r="B1712" s="38">
        <v>38213</v>
      </c>
      <c r="C1712" s="3">
        <v>1</v>
      </c>
      <c r="D1712" s="3">
        <v>0</v>
      </c>
      <c r="E1712" s="3">
        <f>C1712 - D1712</f>
        <v>1</v>
      </c>
    </row>
    <row r="1713" spans="2:5" x14ac:dyDescent="0.35">
      <c r="B1713" s="38">
        <v>38214</v>
      </c>
      <c r="C1713" s="3">
        <v>1</v>
      </c>
      <c r="D1713" s="3">
        <v>1</v>
      </c>
      <c r="E1713" s="3">
        <f>C1713 - D1713</f>
        <v>0</v>
      </c>
    </row>
    <row r="1714" spans="2:5" x14ac:dyDescent="0.35">
      <c r="B1714" s="38">
        <v>38215</v>
      </c>
      <c r="C1714" s="3">
        <v>0</v>
      </c>
      <c r="D1714" s="3">
        <v>1</v>
      </c>
      <c r="E1714" s="3">
        <f>C1714 - D1714</f>
        <v>-1</v>
      </c>
    </row>
    <row r="1715" spans="2:5" x14ac:dyDescent="0.35">
      <c r="B1715" s="38">
        <v>38216</v>
      </c>
      <c r="C1715" s="3">
        <v>0</v>
      </c>
      <c r="D1715" s="3">
        <v>0</v>
      </c>
      <c r="E1715" s="3">
        <f>C1715 - D1715</f>
        <v>0</v>
      </c>
    </row>
    <row r="1716" spans="2:5" x14ac:dyDescent="0.35">
      <c r="B1716" s="38">
        <v>38217</v>
      </c>
      <c r="C1716" s="3">
        <v>0</v>
      </c>
      <c r="D1716" s="3">
        <v>0</v>
      </c>
      <c r="E1716" s="3">
        <f>C1716 - D1716</f>
        <v>0</v>
      </c>
    </row>
    <row r="1717" spans="2:5" x14ac:dyDescent="0.35">
      <c r="B1717" s="38">
        <v>38218</v>
      </c>
      <c r="C1717" s="3">
        <v>0</v>
      </c>
      <c r="D1717" s="3">
        <v>0</v>
      </c>
      <c r="E1717" s="3">
        <f>C1717 - D1717</f>
        <v>0</v>
      </c>
    </row>
    <row r="1718" spans="2:5" x14ac:dyDescent="0.35">
      <c r="B1718" s="38">
        <v>38219</v>
      </c>
      <c r="C1718" s="3">
        <v>0</v>
      </c>
      <c r="D1718" s="3">
        <v>0</v>
      </c>
      <c r="E1718" s="3">
        <f>C1718 - D1718</f>
        <v>0</v>
      </c>
    </row>
    <row r="1719" spans="2:5" x14ac:dyDescent="0.35">
      <c r="B1719" s="38">
        <v>38220</v>
      </c>
      <c r="C1719" s="3">
        <v>0</v>
      </c>
      <c r="D1719" s="3">
        <v>0</v>
      </c>
      <c r="E1719" s="3">
        <f>C1719 - D1719</f>
        <v>0</v>
      </c>
    </row>
    <row r="1720" spans="2:5" x14ac:dyDescent="0.35">
      <c r="B1720" s="38">
        <v>38221</v>
      </c>
      <c r="C1720" s="3">
        <v>0</v>
      </c>
      <c r="D1720" s="3">
        <v>0</v>
      </c>
      <c r="E1720" s="3">
        <f>C1720 - D1720</f>
        <v>0</v>
      </c>
    </row>
    <row r="1721" spans="2:5" x14ac:dyDescent="0.35">
      <c r="B1721" s="38">
        <v>38222</v>
      </c>
      <c r="C1721" s="3">
        <v>1</v>
      </c>
      <c r="D1721" s="3">
        <v>0</v>
      </c>
      <c r="E1721" s="3">
        <f>C1721 - D1721</f>
        <v>1</v>
      </c>
    </row>
    <row r="1722" spans="2:5" x14ac:dyDescent="0.35">
      <c r="B1722" s="38">
        <v>38223</v>
      </c>
      <c r="C1722" s="3">
        <v>0</v>
      </c>
      <c r="D1722" s="3">
        <v>1</v>
      </c>
      <c r="E1722" s="3">
        <f>C1722 - D1722</f>
        <v>-1</v>
      </c>
    </row>
    <row r="1723" spans="2:5" x14ac:dyDescent="0.35">
      <c r="B1723" s="38">
        <v>38224</v>
      </c>
      <c r="C1723" s="3">
        <v>0</v>
      </c>
      <c r="D1723" s="3">
        <v>0</v>
      </c>
      <c r="E1723" s="3">
        <f>C1723 - D1723</f>
        <v>0</v>
      </c>
    </row>
    <row r="1724" spans="2:5" x14ac:dyDescent="0.35">
      <c r="B1724" s="38">
        <v>38225</v>
      </c>
      <c r="C1724" s="3">
        <v>0</v>
      </c>
      <c r="D1724" s="3">
        <v>0</v>
      </c>
      <c r="E1724" s="3">
        <f>C1724 - D1724</f>
        <v>0</v>
      </c>
    </row>
    <row r="1725" spans="2:5" x14ac:dyDescent="0.35">
      <c r="B1725" s="38">
        <v>38226</v>
      </c>
      <c r="C1725" s="3">
        <v>1</v>
      </c>
      <c r="D1725" s="3">
        <v>0</v>
      </c>
      <c r="E1725" s="3">
        <f>C1725 - D1725</f>
        <v>1</v>
      </c>
    </row>
    <row r="1726" spans="2:5" x14ac:dyDescent="0.35">
      <c r="B1726" s="38">
        <v>38227</v>
      </c>
      <c r="C1726" s="3">
        <v>0</v>
      </c>
      <c r="D1726" s="3">
        <v>1</v>
      </c>
      <c r="E1726" s="3">
        <f>C1726 - D1726</f>
        <v>-1</v>
      </c>
    </row>
    <row r="1727" spans="2:5" x14ac:dyDescent="0.35">
      <c r="B1727" s="38">
        <v>38228</v>
      </c>
      <c r="C1727" s="3">
        <v>0</v>
      </c>
      <c r="D1727" s="3">
        <v>0</v>
      </c>
      <c r="E1727" s="3">
        <f>C1727 - D1727</f>
        <v>0</v>
      </c>
    </row>
    <row r="1728" spans="2:5" x14ac:dyDescent="0.35">
      <c r="B1728" s="38">
        <v>38229</v>
      </c>
      <c r="C1728" s="3">
        <v>1</v>
      </c>
      <c r="D1728" s="3">
        <v>0</v>
      </c>
      <c r="E1728" s="3">
        <f>C1728 - D1728</f>
        <v>1</v>
      </c>
    </row>
    <row r="1729" spans="2:5" x14ac:dyDescent="0.35">
      <c r="B1729" s="38">
        <v>38230</v>
      </c>
      <c r="C1729" s="3">
        <v>1</v>
      </c>
      <c r="D1729" s="3">
        <v>1</v>
      </c>
      <c r="E1729" s="3">
        <f>C1729 - D1729</f>
        <v>0</v>
      </c>
    </row>
    <row r="1730" spans="2:5" x14ac:dyDescent="0.35">
      <c r="B1730" s="38">
        <v>38231</v>
      </c>
      <c r="C1730" s="3">
        <v>1</v>
      </c>
      <c r="D1730" s="3">
        <v>1</v>
      </c>
      <c r="E1730" s="3">
        <f>C1730 - D1730</f>
        <v>0</v>
      </c>
    </row>
    <row r="1731" spans="2:5" x14ac:dyDescent="0.35">
      <c r="B1731" s="38">
        <v>38232</v>
      </c>
      <c r="C1731" s="3">
        <v>0</v>
      </c>
      <c r="D1731" s="3">
        <v>1</v>
      </c>
      <c r="E1731" s="3">
        <f>C1731 - D1731</f>
        <v>-1</v>
      </c>
    </row>
    <row r="1732" spans="2:5" x14ac:dyDescent="0.35">
      <c r="B1732" s="38">
        <v>38233</v>
      </c>
      <c r="C1732" s="3">
        <v>0</v>
      </c>
      <c r="D1732" s="3">
        <v>0</v>
      </c>
      <c r="E1732" s="3">
        <f>C1732 - D1732</f>
        <v>0</v>
      </c>
    </row>
    <row r="1733" spans="2:5" x14ac:dyDescent="0.35">
      <c r="B1733" s="38">
        <v>38234</v>
      </c>
      <c r="C1733" s="3">
        <v>1</v>
      </c>
      <c r="D1733" s="3">
        <v>0</v>
      </c>
      <c r="E1733" s="3">
        <f>C1733 - D1733</f>
        <v>1</v>
      </c>
    </row>
    <row r="1734" spans="2:5" x14ac:dyDescent="0.35">
      <c r="B1734" s="38">
        <v>38235</v>
      </c>
      <c r="C1734" s="3">
        <v>0</v>
      </c>
      <c r="D1734" s="3">
        <v>1</v>
      </c>
      <c r="E1734" s="3">
        <f>C1734 - D1734</f>
        <v>-1</v>
      </c>
    </row>
    <row r="1735" spans="2:5" x14ac:dyDescent="0.35">
      <c r="B1735" s="38">
        <v>38236</v>
      </c>
      <c r="C1735" s="3">
        <v>0</v>
      </c>
      <c r="D1735" s="3">
        <v>0</v>
      </c>
      <c r="E1735" s="3">
        <f>C1735 - D1735</f>
        <v>0</v>
      </c>
    </row>
    <row r="1736" spans="2:5" x14ac:dyDescent="0.35">
      <c r="B1736" s="38">
        <v>38237</v>
      </c>
      <c r="C1736" s="3">
        <v>0</v>
      </c>
      <c r="D1736" s="3">
        <v>0</v>
      </c>
      <c r="E1736" s="3">
        <f>C1736 - D1736</f>
        <v>0</v>
      </c>
    </row>
    <row r="1737" spans="2:5" x14ac:dyDescent="0.35">
      <c r="B1737" s="38">
        <v>38238</v>
      </c>
      <c r="C1737" s="3">
        <v>1</v>
      </c>
      <c r="D1737" s="3">
        <v>0</v>
      </c>
      <c r="E1737" s="3">
        <f>C1737 - D1737</f>
        <v>1</v>
      </c>
    </row>
    <row r="1738" spans="2:5" x14ac:dyDescent="0.35">
      <c r="B1738" s="38">
        <v>38239</v>
      </c>
      <c r="C1738" s="3">
        <v>1</v>
      </c>
      <c r="D1738" s="3">
        <v>1</v>
      </c>
      <c r="E1738" s="3">
        <f>C1738 - D1738</f>
        <v>0</v>
      </c>
    </row>
    <row r="1739" spans="2:5" x14ac:dyDescent="0.35">
      <c r="B1739" s="38">
        <v>38240</v>
      </c>
      <c r="C1739" s="3">
        <v>0</v>
      </c>
      <c r="D1739" s="3">
        <v>1</v>
      </c>
      <c r="E1739" s="3">
        <f>C1739 - D1739</f>
        <v>-1</v>
      </c>
    </row>
    <row r="1740" spans="2:5" x14ac:dyDescent="0.35">
      <c r="B1740" s="38">
        <v>38241</v>
      </c>
      <c r="C1740" s="3">
        <v>1</v>
      </c>
      <c r="D1740" s="3">
        <v>0</v>
      </c>
      <c r="E1740" s="3">
        <f>C1740 - D1740</f>
        <v>1</v>
      </c>
    </row>
    <row r="1741" spans="2:5" x14ac:dyDescent="0.35">
      <c r="B1741" s="38">
        <v>38242</v>
      </c>
      <c r="C1741" s="3">
        <v>1</v>
      </c>
      <c r="D1741" s="3">
        <v>1</v>
      </c>
      <c r="E1741" s="3">
        <f>C1741 - D1741</f>
        <v>0</v>
      </c>
    </row>
    <row r="1742" spans="2:5" x14ac:dyDescent="0.35">
      <c r="B1742" s="38">
        <v>38243</v>
      </c>
      <c r="C1742" s="3">
        <v>1</v>
      </c>
      <c r="D1742" s="3">
        <v>1</v>
      </c>
      <c r="E1742" s="3">
        <f>C1742 - D1742</f>
        <v>0</v>
      </c>
    </row>
    <row r="1743" spans="2:5" x14ac:dyDescent="0.35">
      <c r="B1743" s="38">
        <v>38244</v>
      </c>
      <c r="C1743" s="3">
        <v>1</v>
      </c>
      <c r="D1743" s="3">
        <v>1</v>
      </c>
      <c r="E1743" s="3">
        <f>C1743 - D1743</f>
        <v>0</v>
      </c>
    </row>
    <row r="1744" spans="2:5" x14ac:dyDescent="0.35">
      <c r="B1744" s="38">
        <v>38245</v>
      </c>
      <c r="C1744" s="3">
        <v>1</v>
      </c>
      <c r="D1744" s="3">
        <v>1</v>
      </c>
      <c r="E1744" s="3">
        <f>C1744 - D1744</f>
        <v>0</v>
      </c>
    </row>
    <row r="1745" spans="2:5" x14ac:dyDescent="0.35">
      <c r="B1745" s="38">
        <v>38246</v>
      </c>
      <c r="C1745" s="3">
        <v>1</v>
      </c>
      <c r="D1745" s="3">
        <v>1</v>
      </c>
      <c r="E1745" s="3">
        <f>C1745 - D1745</f>
        <v>0</v>
      </c>
    </row>
    <row r="1746" spans="2:5" x14ac:dyDescent="0.35">
      <c r="B1746" s="38">
        <v>38247</v>
      </c>
      <c r="C1746" s="3">
        <v>0</v>
      </c>
      <c r="D1746" s="3">
        <v>1</v>
      </c>
      <c r="E1746" s="3">
        <f>C1746 - D1746</f>
        <v>-1</v>
      </c>
    </row>
    <row r="1747" spans="2:5" x14ac:dyDescent="0.35">
      <c r="B1747" s="38">
        <v>38248</v>
      </c>
      <c r="C1747" s="3">
        <v>0</v>
      </c>
      <c r="D1747" s="3">
        <v>0</v>
      </c>
      <c r="E1747" s="3">
        <f>C1747 - D1747</f>
        <v>0</v>
      </c>
    </row>
    <row r="1748" spans="2:5" x14ac:dyDescent="0.35">
      <c r="B1748" s="38">
        <v>38249</v>
      </c>
      <c r="C1748" s="3">
        <v>0</v>
      </c>
      <c r="D1748" s="3">
        <v>0</v>
      </c>
      <c r="E1748" s="3">
        <f>C1748 - D1748</f>
        <v>0</v>
      </c>
    </row>
    <row r="1749" spans="2:5" x14ac:dyDescent="0.35">
      <c r="B1749" s="38">
        <v>38250</v>
      </c>
      <c r="C1749" s="3">
        <v>0</v>
      </c>
      <c r="D1749" s="3">
        <v>0</v>
      </c>
      <c r="E1749" s="3">
        <f>C1749 - D1749</f>
        <v>0</v>
      </c>
    </row>
    <row r="1750" spans="2:5" x14ac:dyDescent="0.35">
      <c r="B1750" s="38">
        <v>38251</v>
      </c>
      <c r="C1750" s="3">
        <v>0</v>
      </c>
      <c r="D1750" s="3">
        <v>0</v>
      </c>
      <c r="E1750" s="3">
        <f>C1750 - D1750</f>
        <v>0</v>
      </c>
    </row>
    <row r="1751" spans="2:5" x14ac:dyDescent="0.35">
      <c r="B1751" s="38">
        <v>38252</v>
      </c>
      <c r="C1751" s="3">
        <v>0</v>
      </c>
      <c r="D1751" s="3">
        <v>0</v>
      </c>
      <c r="E1751" s="3">
        <f>C1751 - D1751</f>
        <v>0</v>
      </c>
    </row>
    <row r="1752" spans="2:5" x14ac:dyDescent="0.35">
      <c r="B1752" s="38">
        <v>38253</v>
      </c>
      <c r="C1752" s="3">
        <v>1</v>
      </c>
      <c r="D1752" s="3">
        <v>0</v>
      </c>
      <c r="E1752" s="3">
        <f>C1752 - D1752</f>
        <v>1</v>
      </c>
    </row>
    <row r="1753" spans="2:5" x14ac:dyDescent="0.35">
      <c r="B1753" s="38">
        <v>38254</v>
      </c>
      <c r="C1753" s="3">
        <v>0</v>
      </c>
      <c r="D1753" s="3">
        <v>1</v>
      </c>
      <c r="E1753" s="3">
        <f>C1753 - D1753</f>
        <v>-1</v>
      </c>
    </row>
    <row r="1754" spans="2:5" x14ac:dyDescent="0.35">
      <c r="B1754" s="38">
        <v>38255</v>
      </c>
      <c r="C1754" s="3">
        <v>0</v>
      </c>
      <c r="D1754" s="3">
        <v>0</v>
      </c>
      <c r="E1754" s="3">
        <f>C1754 - D1754</f>
        <v>0</v>
      </c>
    </row>
    <row r="1755" spans="2:5" x14ac:dyDescent="0.35">
      <c r="B1755" s="38">
        <v>38256</v>
      </c>
      <c r="C1755" s="3">
        <v>0</v>
      </c>
      <c r="D1755" s="3">
        <v>0</v>
      </c>
      <c r="E1755" s="3">
        <f>C1755 - D1755</f>
        <v>0</v>
      </c>
    </row>
    <row r="1756" spans="2:5" x14ac:dyDescent="0.35">
      <c r="B1756" s="38">
        <v>38257</v>
      </c>
      <c r="C1756" s="3">
        <v>0</v>
      </c>
      <c r="D1756" s="3">
        <v>0</v>
      </c>
      <c r="E1756" s="3">
        <f>C1756 - D1756</f>
        <v>0</v>
      </c>
    </row>
    <row r="1757" spans="2:5" x14ac:dyDescent="0.35">
      <c r="B1757" s="38">
        <v>38258</v>
      </c>
      <c r="C1757" s="3">
        <v>0</v>
      </c>
      <c r="D1757" s="3">
        <v>0</v>
      </c>
      <c r="E1757" s="3">
        <f>C1757 - D1757</f>
        <v>0</v>
      </c>
    </row>
    <row r="1758" spans="2:5" x14ac:dyDescent="0.35">
      <c r="B1758" s="38">
        <v>38259</v>
      </c>
      <c r="C1758" s="3">
        <v>1</v>
      </c>
      <c r="D1758" s="3">
        <v>0</v>
      </c>
      <c r="E1758" s="3">
        <f>C1758 - D1758</f>
        <v>1</v>
      </c>
    </row>
    <row r="1759" spans="2:5" x14ac:dyDescent="0.35">
      <c r="B1759" s="38">
        <v>38260</v>
      </c>
      <c r="C1759" s="3">
        <v>1</v>
      </c>
      <c r="D1759" s="3">
        <v>1</v>
      </c>
      <c r="E1759" s="3">
        <f>C1759 - D1759</f>
        <v>0</v>
      </c>
    </row>
    <row r="1760" spans="2:5" x14ac:dyDescent="0.35">
      <c r="B1760" s="38">
        <v>38261</v>
      </c>
      <c r="C1760" s="3">
        <v>0</v>
      </c>
      <c r="D1760" s="3">
        <v>1</v>
      </c>
      <c r="E1760" s="3">
        <f>C1760 - D1760</f>
        <v>-1</v>
      </c>
    </row>
    <row r="1761" spans="2:5" x14ac:dyDescent="0.35">
      <c r="B1761" s="38">
        <v>38262</v>
      </c>
      <c r="C1761" s="3">
        <v>0</v>
      </c>
      <c r="D1761" s="3">
        <v>0</v>
      </c>
      <c r="E1761" s="3">
        <f>C1761 - D1761</f>
        <v>0</v>
      </c>
    </row>
    <row r="1762" spans="2:5" x14ac:dyDescent="0.35">
      <c r="B1762" s="38">
        <v>38263</v>
      </c>
      <c r="C1762" s="3">
        <v>0</v>
      </c>
      <c r="D1762" s="3">
        <v>0</v>
      </c>
      <c r="E1762" s="3">
        <f>C1762 - D1762</f>
        <v>0</v>
      </c>
    </row>
    <row r="1763" spans="2:5" x14ac:dyDescent="0.35">
      <c r="B1763" s="38">
        <v>38264</v>
      </c>
      <c r="C1763" s="3">
        <v>1</v>
      </c>
      <c r="D1763" s="3">
        <v>0</v>
      </c>
      <c r="E1763" s="3">
        <f>C1763 - D1763</f>
        <v>1</v>
      </c>
    </row>
    <row r="1764" spans="2:5" x14ac:dyDescent="0.35">
      <c r="B1764" s="38">
        <v>38265</v>
      </c>
      <c r="C1764" s="3">
        <v>1</v>
      </c>
      <c r="D1764" s="3">
        <v>1</v>
      </c>
      <c r="E1764" s="3">
        <f>C1764 - D1764</f>
        <v>0</v>
      </c>
    </row>
    <row r="1765" spans="2:5" x14ac:dyDescent="0.35">
      <c r="B1765" s="38">
        <v>38266</v>
      </c>
      <c r="C1765" s="3">
        <v>1</v>
      </c>
      <c r="D1765" s="3">
        <v>1</v>
      </c>
      <c r="E1765" s="3">
        <f>C1765 - D1765</f>
        <v>0</v>
      </c>
    </row>
    <row r="1766" spans="2:5" x14ac:dyDescent="0.35">
      <c r="B1766" s="38">
        <v>38267</v>
      </c>
      <c r="C1766" s="3">
        <v>0</v>
      </c>
      <c r="D1766" s="3">
        <v>1</v>
      </c>
      <c r="E1766" s="3">
        <f>C1766 - D1766</f>
        <v>-1</v>
      </c>
    </row>
    <row r="1767" spans="2:5" x14ac:dyDescent="0.35">
      <c r="B1767" s="38">
        <v>38268</v>
      </c>
      <c r="C1767" s="3">
        <v>1</v>
      </c>
      <c r="D1767" s="3">
        <v>0</v>
      </c>
      <c r="E1767" s="3">
        <f>C1767 - D1767</f>
        <v>1</v>
      </c>
    </row>
    <row r="1768" spans="2:5" x14ac:dyDescent="0.35">
      <c r="B1768" s="38">
        <v>38269</v>
      </c>
      <c r="C1768" s="3">
        <v>0</v>
      </c>
      <c r="D1768" s="3">
        <v>1</v>
      </c>
      <c r="E1768" s="3">
        <f>C1768 - D1768</f>
        <v>-1</v>
      </c>
    </row>
    <row r="1769" spans="2:5" x14ac:dyDescent="0.35">
      <c r="B1769" s="38">
        <v>38270</v>
      </c>
      <c r="C1769" s="3">
        <v>0</v>
      </c>
      <c r="D1769" s="3">
        <v>0</v>
      </c>
      <c r="E1769" s="3">
        <f>C1769 - D1769</f>
        <v>0</v>
      </c>
    </row>
    <row r="1770" spans="2:5" x14ac:dyDescent="0.35">
      <c r="B1770" s="38">
        <v>38271</v>
      </c>
      <c r="C1770" s="3">
        <v>0</v>
      </c>
      <c r="D1770" s="3">
        <v>0</v>
      </c>
      <c r="E1770" s="3">
        <f>C1770 - D1770</f>
        <v>0</v>
      </c>
    </row>
    <row r="1771" spans="2:5" x14ac:dyDescent="0.35">
      <c r="B1771" s="38">
        <v>38272</v>
      </c>
      <c r="C1771" s="3">
        <v>0</v>
      </c>
      <c r="D1771" s="3">
        <v>0</v>
      </c>
      <c r="E1771" s="3">
        <f>C1771 - D1771</f>
        <v>0</v>
      </c>
    </row>
    <row r="1772" spans="2:5" x14ac:dyDescent="0.35">
      <c r="B1772" s="38">
        <v>38273</v>
      </c>
      <c r="C1772" s="3">
        <v>0</v>
      </c>
      <c r="D1772" s="3">
        <v>0</v>
      </c>
      <c r="E1772" s="3">
        <f>C1772 - D1772</f>
        <v>0</v>
      </c>
    </row>
    <row r="1773" spans="2:5" x14ac:dyDescent="0.35">
      <c r="B1773" s="38">
        <v>38274</v>
      </c>
      <c r="C1773" s="3">
        <v>1</v>
      </c>
      <c r="D1773" s="3">
        <v>0</v>
      </c>
      <c r="E1773" s="3">
        <f>C1773 - D1773</f>
        <v>1</v>
      </c>
    </row>
    <row r="1774" spans="2:5" x14ac:dyDescent="0.35">
      <c r="B1774" s="38">
        <v>38275</v>
      </c>
      <c r="C1774" s="3">
        <v>1</v>
      </c>
      <c r="D1774" s="3">
        <v>1</v>
      </c>
      <c r="E1774" s="3">
        <f>C1774 - D1774</f>
        <v>0</v>
      </c>
    </row>
    <row r="1775" spans="2:5" x14ac:dyDescent="0.35">
      <c r="B1775" s="38">
        <v>38276</v>
      </c>
      <c r="C1775" s="3">
        <v>1</v>
      </c>
      <c r="D1775" s="3">
        <v>1</v>
      </c>
      <c r="E1775" s="3">
        <f>C1775 - D1775</f>
        <v>0</v>
      </c>
    </row>
    <row r="1776" spans="2:5" x14ac:dyDescent="0.35">
      <c r="B1776" s="38">
        <v>38277</v>
      </c>
      <c r="C1776" s="3">
        <v>0</v>
      </c>
      <c r="D1776" s="3">
        <v>1</v>
      </c>
      <c r="E1776" s="3">
        <f>C1776 - D1776</f>
        <v>-1</v>
      </c>
    </row>
    <row r="1777" spans="2:5" x14ac:dyDescent="0.35">
      <c r="B1777" s="38">
        <v>38278</v>
      </c>
      <c r="C1777" s="3">
        <v>0</v>
      </c>
      <c r="D1777" s="3">
        <v>0</v>
      </c>
      <c r="E1777" s="3">
        <f>C1777 - D1777</f>
        <v>0</v>
      </c>
    </row>
    <row r="1778" spans="2:5" x14ac:dyDescent="0.35">
      <c r="B1778" s="38">
        <v>38279</v>
      </c>
      <c r="C1778" s="3">
        <v>0</v>
      </c>
      <c r="D1778" s="3">
        <v>0</v>
      </c>
      <c r="E1778" s="3">
        <f>C1778 - D1778</f>
        <v>0</v>
      </c>
    </row>
    <row r="1779" spans="2:5" x14ac:dyDescent="0.35">
      <c r="B1779" s="38">
        <v>38280</v>
      </c>
      <c r="C1779" s="3">
        <v>0</v>
      </c>
      <c r="D1779" s="3">
        <v>0</v>
      </c>
      <c r="E1779" s="3">
        <f>C1779 - D1779</f>
        <v>0</v>
      </c>
    </row>
    <row r="1780" spans="2:5" x14ac:dyDescent="0.35">
      <c r="B1780" s="38">
        <v>38281</v>
      </c>
      <c r="C1780" s="3">
        <v>0</v>
      </c>
      <c r="D1780" s="3">
        <v>0</v>
      </c>
      <c r="E1780" s="3">
        <f>C1780 - D1780</f>
        <v>0</v>
      </c>
    </row>
    <row r="1781" spans="2:5" x14ac:dyDescent="0.35">
      <c r="B1781" s="38">
        <v>38282</v>
      </c>
      <c r="C1781" s="3">
        <v>0</v>
      </c>
      <c r="D1781" s="3">
        <v>0</v>
      </c>
      <c r="E1781" s="3">
        <f>C1781 - D1781</f>
        <v>0</v>
      </c>
    </row>
    <row r="1782" spans="2:5" x14ac:dyDescent="0.35">
      <c r="B1782" s="38">
        <v>38283</v>
      </c>
      <c r="C1782" s="3">
        <v>0</v>
      </c>
      <c r="D1782" s="3">
        <v>0</v>
      </c>
      <c r="E1782" s="3">
        <f>C1782 - D1782</f>
        <v>0</v>
      </c>
    </row>
    <row r="1783" spans="2:5" x14ac:dyDescent="0.35">
      <c r="B1783" s="38">
        <v>38284</v>
      </c>
      <c r="C1783" s="3">
        <v>0</v>
      </c>
      <c r="D1783" s="3">
        <v>0</v>
      </c>
      <c r="E1783" s="3">
        <f>C1783 - D1783</f>
        <v>0</v>
      </c>
    </row>
    <row r="1784" spans="2:5" x14ac:dyDescent="0.35">
      <c r="B1784" s="38">
        <v>38285</v>
      </c>
      <c r="C1784" s="3">
        <v>0</v>
      </c>
      <c r="D1784" s="3">
        <v>0</v>
      </c>
      <c r="E1784" s="3">
        <f>C1784 - D1784</f>
        <v>0</v>
      </c>
    </row>
    <row r="1785" spans="2:5" x14ac:dyDescent="0.35">
      <c r="B1785" s="38">
        <v>38286</v>
      </c>
      <c r="C1785" s="3">
        <v>0</v>
      </c>
      <c r="D1785" s="3">
        <v>0</v>
      </c>
      <c r="E1785" s="3">
        <f>C1785 - D1785</f>
        <v>0</v>
      </c>
    </row>
    <row r="1786" spans="2:5" x14ac:dyDescent="0.35">
      <c r="B1786" s="38">
        <v>38287</v>
      </c>
      <c r="C1786" s="3">
        <v>1</v>
      </c>
      <c r="D1786" s="3">
        <v>0</v>
      </c>
      <c r="E1786" s="3">
        <f>C1786 - D1786</f>
        <v>1</v>
      </c>
    </row>
    <row r="1787" spans="2:5" x14ac:dyDescent="0.35">
      <c r="B1787" s="38">
        <v>38288</v>
      </c>
      <c r="C1787" s="3">
        <v>1</v>
      </c>
      <c r="D1787" s="3">
        <v>1</v>
      </c>
      <c r="E1787" s="3">
        <f>C1787 - D1787</f>
        <v>0</v>
      </c>
    </row>
    <row r="1788" spans="2:5" x14ac:dyDescent="0.35">
      <c r="B1788" s="38">
        <v>38289</v>
      </c>
      <c r="C1788" s="3">
        <v>0</v>
      </c>
      <c r="D1788" s="3">
        <v>1</v>
      </c>
      <c r="E1788" s="3">
        <f>C1788 - D1788</f>
        <v>-1</v>
      </c>
    </row>
    <row r="1789" spans="2:5" x14ac:dyDescent="0.35">
      <c r="B1789" s="38">
        <v>38290</v>
      </c>
      <c r="C1789" s="3">
        <v>0</v>
      </c>
      <c r="D1789" s="3">
        <v>0</v>
      </c>
      <c r="E1789" s="3">
        <f>C1789 - D1789</f>
        <v>0</v>
      </c>
    </row>
    <row r="1790" spans="2:5" x14ac:dyDescent="0.35">
      <c r="B1790" s="38">
        <v>38291</v>
      </c>
      <c r="C1790" s="3">
        <v>0</v>
      </c>
      <c r="D1790" s="3">
        <v>0</v>
      </c>
      <c r="E1790" s="3">
        <f>C1790 - D1790</f>
        <v>0</v>
      </c>
    </row>
    <row r="1791" spans="2:5" x14ac:dyDescent="0.35">
      <c r="B1791" s="38">
        <v>38292</v>
      </c>
      <c r="C1791" s="3">
        <v>0</v>
      </c>
      <c r="D1791" s="3">
        <v>0</v>
      </c>
      <c r="E1791" s="3">
        <f>C1791 - D1791</f>
        <v>0</v>
      </c>
    </row>
    <row r="1792" spans="2:5" x14ac:dyDescent="0.35">
      <c r="B1792" s="38">
        <v>38293</v>
      </c>
      <c r="C1792" s="3">
        <v>0</v>
      </c>
      <c r="D1792" s="3">
        <v>0</v>
      </c>
      <c r="E1792" s="3">
        <f>C1792 - D1792</f>
        <v>0</v>
      </c>
    </row>
    <row r="1793" spans="2:5" x14ac:dyDescent="0.35">
      <c r="B1793" s="38">
        <v>38294</v>
      </c>
      <c r="C1793" s="3">
        <v>1</v>
      </c>
      <c r="D1793" s="3">
        <v>0</v>
      </c>
      <c r="E1793" s="3">
        <f>C1793 - D1793</f>
        <v>1</v>
      </c>
    </row>
    <row r="1794" spans="2:5" x14ac:dyDescent="0.35">
      <c r="B1794" s="38">
        <v>38295</v>
      </c>
      <c r="C1794" s="3">
        <v>0</v>
      </c>
      <c r="D1794" s="3">
        <v>1</v>
      </c>
      <c r="E1794" s="3">
        <f>C1794 - D1794</f>
        <v>-1</v>
      </c>
    </row>
    <row r="1795" spans="2:5" x14ac:dyDescent="0.35">
      <c r="B1795" s="38">
        <v>38296</v>
      </c>
      <c r="C1795" s="3">
        <v>1</v>
      </c>
      <c r="D1795" s="3">
        <v>0</v>
      </c>
      <c r="E1795" s="3">
        <f>C1795 - D1795</f>
        <v>1</v>
      </c>
    </row>
    <row r="1796" spans="2:5" x14ac:dyDescent="0.35">
      <c r="B1796" s="38">
        <v>38297</v>
      </c>
      <c r="C1796" s="3">
        <v>1</v>
      </c>
      <c r="D1796" s="3">
        <v>1</v>
      </c>
      <c r="E1796" s="3">
        <f>C1796 - D1796</f>
        <v>0</v>
      </c>
    </row>
    <row r="1797" spans="2:5" x14ac:dyDescent="0.35">
      <c r="B1797" s="38">
        <v>38298</v>
      </c>
      <c r="C1797" s="3">
        <v>1</v>
      </c>
      <c r="D1797" s="3">
        <v>1</v>
      </c>
      <c r="E1797" s="3">
        <f>C1797 - D1797</f>
        <v>0</v>
      </c>
    </row>
    <row r="1798" spans="2:5" x14ac:dyDescent="0.35">
      <c r="B1798" s="38">
        <v>38299</v>
      </c>
      <c r="C1798" s="3">
        <v>1</v>
      </c>
      <c r="D1798" s="3">
        <v>1</v>
      </c>
      <c r="E1798" s="3">
        <f>C1798 - D1798</f>
        <v>0</v>
      </c>
    </row>
    <row r="1799" spans="2:5" x14ac:dyDescent="0.35">
      <c r="B1799" s="38">
        <v>38300</v>
      </c>
      <c r="C1799" s="3">
        <v>0</v>
      </c>
      <c r="D1799" s="3">
        <v>1</v>
      </c>
      <c r="E1799" s="3">
        <f>C1799 - D1799</f>
        <v>-1</v>
      </c>
    </row>
    <row r="1800" spans="2:5" x14ac:dyDescent="0.35">
      <c r="B1800" s="38">
        <v>38301</v>
      </c>
      <c r="C1800" s="3">
        <v>0</v>
      </c>
      <c r="D1800" s="3">
        <v>0</v>
      </c>
      <c r="E1800" s="3">
        <f>C1800 - D1800</f>
        <v>0</v>
      </c>
    </row>
    <row r="1801" spans="2:5" x14ac:dyDescent="0.35">
      <c r="B1801" s="38">
        <v>38302</v>
      </c>
      <c r="C1801" s="3">
        <v>0</v>
      </c>
      <c r="D1801" s="3">
        <v>0</v>
      </c>
      <c r="E1801" s="3">
        <f>C1801 - D1801</f>
        <v>0</v>
      </c>
    </row>
    <row r="1802" spans="2:5" x14ac:dyDescent="0.35">
      <c r="B1802" s="38">
        <v>38303</v>
      </c>
      <c r="C1802" s="3">
        <v>1</v>
      </c>
      <c r="D1802" s="3">
        <v>0</v>
      </c>
      <c r="E1802" s="3">
        <f>C1802 - D1802</f>
        <v>1</v>
      </c>
    </row>
    <row r="1803" spans="2:5" x14ac:dyDescent="0.35">
      <c r="B1803" s="38">
        <v>38304</v>
      </c>
      <c r="C1803" s="3">
        <v>1</v>
      </c>
      <c r="D1803" s="3">
        <v>1</v>
      </c>
      <c r="E1803" s="3">
        <f>C1803 - D1803</f>
        <v>0</v>
      </c>
    </row>
    <row r="1804" spans="2:5" x14ac:dyDescent="0.35">
      <c r="B1804" s="38">
        <v>38305</v>
      </c>
      <c r="C1804" s="3">
        <v>1</v>
      </c>
      <c r="D1804" s="3">
        <v>1</v>
      </c>
      <c r="E1804" s="3">
        <f>C1804 - D1804</f>
        <v>0</v>
      </c>
    </row>
    <row r="1805" spans="2:5" x14ac:dyDescent="0.35">
      <c r="B1805" s="38">
        <v>38306</v>
      </c>
      <c r="C1805" s="3">
        <v>0</v>
      </c>
      <c r="D1805" s="3">
        <v>1</v>
      </c>
      <c r="E1805" s="3">
        <f>C1805 - D1805</f>
        <v>-1</v>
      </c>
    </row>
    <row r="1806" spans="2:5" x14ac:dyDescent="0.35">
      <c r="B1806" s="38">
        <v>38307</v>
      </c>
      <c r="C1806" s="3">
        <v>0</v>
      </c>
      <c r="D1806" s="3">
        <v>0</v>
      </c>
      <c r="E1806" s="3">
        <f>C1806 - D1806</f>
        <v>0</v>
      </c>
    </row>
    <row r="1807" spans="2:5" x14ac:dyDescent="0.35">
      <c r="B1807" s="38">
        <v>38308</v>
      </c>
      <c r="C1807" s="3">
        <v>0</v>
      </c>
      <c r="D1807" s="3">
        <v>0</v>
      </c>
      <c r="E1807" s="3">
        <f>C1807 - D1807</f>
        <v>0</v>
      </c>
    </row>
    <row r="1808" spans="2:5" x14ac:dyDescent="0.35">
      <c r="B1808" s="38">
        <v>38309</v>
      </c>
      <c r="C1808" s="3">
        <v>0</v>
      </c>
      <c r="D1808" s="3">
        <v>0</v>
      </c>
      <c r="E1808" s="3">
        <f>C1808 - D1808</f>
        <v>0</v>
      </c>
    </row>
    <row r="1809" spans="2:5" x14ac:dyDescent="0.35">
      <c r="B1809" s="38">
        <v>38310</v>
      </c>
      <c r="C1809" s="3">
        <v>1</v>
      </c>
      <c r="D1809" s="3">
        <v>0</v>
      </c>
      <c r="E1809" s="3">
        <f>C1809 - D1809</f>
        <v>1</v>
      </c>
    </row>
    <row r="1810" spans="2:5" x14ac:dyDescent="0.35">
      <c r="B1810" s="38">
        <v>38311</v>
      </c>
      <c r="C1810" s="3">
        <v>0</v>
      </c>
      <c r="D1810" s="3">
        <v>1</v>
      </c>
      <c r="E1810" s="3">
        <f>C1810 - D1810</f>
        <v>-1</v>
      </c>
    </row>
    <row r="1811" spans="2:5" x14ac:dyDescent="0.35">
      <c r="B1811" s="38">
        <v>38312</v>
      </c>
      <c r="C1811" s="3">
        <v>0</v>
      </c>
      <c r="D1811" s="3">
        <v>0</v>
      </c>
      <c r="E1811" s="3">
        <f>C1811 - D1811</f>
        <v>0</v>
      </c>
    </row>
    <row r="1812" spans="2:5" x14ac:dyDescent="0.35">
      <c r="B1812" s="38">
        <v>38313</v>
      </c>
      <c r="C1812" s="3">
        <v>1</v>
      </c>
      <c r="D1812" s="3">
        <v>0</v>
      </c>
      <c r="E1812" s="3">
        <f>C1812 - D1812</f>
        <v>1</v>
      </c>
    </row>
    <row r="1813" spans="2:5" x14ac:dyDescent="0.35">
      <c r="B1813" s="38">
        <v>38314</v>
      </c>
      <c r="C1813" s="3">
        <v>0</v>
      </c>
      <c r="D1813" s="3">
        <v>1</v>
      </c>
      <c r="E1813" s="3">
        <f>C1813 - D1813</f>
        <v>-1</v>
      </c>
    </row>
    <row r="1814" spans="2:5" x14ac:dyDescent="0.35">
      <c r="B1814" s="38">
        <v>38315</v>
      </c>
      <c r="C1814" s="3">
        <v>0</v>
      </c>
      <c r="D1814" s="3">
        <v>0</v>
      </c>
      <c r="E1814" s="3">
        <f>C1814 - D1814</f>
        <v>0</v>
      </c>
    </row>
    <row r="1815" spans="2:5" x14ac:dyDescent="0.35">
      <c r="B1815" s="38">
        <v>38316</v>
      </c>
      <c r="C1815" s="3">
        <v>0</v>
      </c>
      <c r="D1815" s="3">
        <v>0</v>
      </c>
      <c r="E1815" s="3">
        <f>C1815 - D1815</f>
        <v>0</v>
      </c>
    </row>
    <row r="1816" spans="2:5" x14ac:dyDescent="0.35">
      <c r="B1816" s="38">
        <v>38317</v>
      </c>
      <c r="C1816" s="3">
        <v>0</v>
      </c>
      <c r="D1816" s="3">
        <v>0</v>
      </c>
      <c r="E1816" s="3">
        <f>C1816 - D1816</f>
        <v>0</v>
      </c>
    </row>
    <row r="1817" spans="2:5" x14ac:dyDescent="0.35">
      <c r="B1817" s="38">
        <v>38318</v>
      </c>
      <c r="C1817" s="3">
        <v>0</v>
      </c>
      <c r="D1817" s="3">
        <v>0</v>
      </c>
      <c r="E1817" s="3">
        <f>C1817 - D1817</f>
        <v>0</v>
      </c>
    </row>
    <row r="1818" spans="2:5" x14ac:dyDescent="0.35">
      <c r="B1818" s="38">
        <v>38319</v>
      </c>
      <c r="C1818" s="3">
        <v>0</v>
      </c>
      <c r="D1818" s="3">
        <v>0</v>
      </c>
      <c r="E1818" s="3">
        <f>C1818 - D1818</f>
        <v>0</v>
      </c>
    </row>
    <row r="1819" spans="2:5" x14ac:dyDescent="0.35">
      <c r="B1819" s="38">
        <v>38320</v>
      </c>
      <c r="C1819" s="3">
        <v>0</v>
      </c>
      <c r="D1819" s="3">
        <v>0</v>
      </c>
      <c r="E1819" s="3">
        <f>C1819 - D1819</f>
        <v>0</v>
      </c>
    </row>
    <row r="1820" spans="2:5" x14ac:dyDescent="0.35">
      <c r="B1820" s="38">
        <v>38321</v>
      </c>
      <c r="C1820" s="3">
        <v>0</v>
      </c>
      <c r="D1820" s="3">
        <v>0</v>
      </c>
      <c r="E1820" s="3">
        <f>C1820 - D1820</f>
        <v>0</v>
      </c>
    </row>
    <row r="1821" spans="2:5" x14ac:dyDescent="0.35">
      <c r="B1821" s="38">
        <v>38322</v>
      </c>
      <c r="C1821" s="3">
        <v>1</v>
      </c>
      <c r="D1821" s="3">
        <v>0</v>
      </c>
      <c r="E1821" s="3">
        <f>C1821 - D1821</f>
        <v>1</v>
      </c>
    </row>
    <row r="1822" spans="2:5" x14ac:dyDescent="0.35">
      <c r="B1822" s="38">
        <v>38323</v>
      </c>
      <c r="C1822" s="3">
        <v>1</v>
      </c>
      <c r="D1822" s="3">
        <v>1</v>
      </c>
      <c r="E1822" s="3">
        <f>C1822 - D1822</f>
        <v>0</v>
      </c>
    </row>
    <row r="1823" spans="2:5" x14ac:dyDescent="0.35">
      <c r="B1823" s="38">
        <v>38324</v>
      </c>
      <c r="C1823" s="3">
        <v>0</v>
      </c>
      <c r="D1823" s="3">
        <v>1</v>
      </c>
      <c r="E1823" s="3">
        <f>C1823 - D1823</f>
        <v>-1</v>
      </c>
    </row>
    <row r="1824" spans="2:5" x14ac:dyDescent="0.35">
      <c r="B1824" s="38">
        <v>38325</v>
      </c>
      <c r="C1824" s="3">
        <v>0</v>
      </c>
      <c r="D1824" s="3">
        <v>0</v>
      </c>
      <c r="E1824" s="3">
        <f>C1824 - D1824</f>
        <v>0</v>
      </c>
    </row>
    <row r="1825" spans="2:5" x14ac:dyDescent="0.35">
      <c r="B1825" s="38">
        <v>38326</v>
      </c>
      <c r="C1825" s="3">
        <v>0</v>
      </c>
      <c r="D1825" s="3">
        <v>0</v>
      </c>
      <c r="E1825" s="3">
        <f>C1825 - D1825</f>
        <v>0</v>
      </c>
    </row>
    <row r="1826" spans="2:5" x14ac:dyDescent="0.35">
      <c r="B1826" s="38">
        <v>38327</v>
      </c>
      <c r="C1826" s="3">
        <v>0</v>
      </c>
      <c r="D1826" s="3">
        <v>0</v>
      </c>
      <c r="E1826" s="3">
        <f>C1826 - D1826</f>
        <v>0</v>
      </c>
    </row>
    <row r="1827" spans="2:5" x14ac:dyDescent="0.35">
      <c r="B1827" s="38">
        <v>38328</v>
      </c>
      <c r="C1827" s="3">
        <v>1</v>
      </c>
      <c r="D1827" s="3">
        <v>0</v>
      </c>
      <c r="E1827" s="3">
        <f>C1827 - D1827</f>
        <v>1</v>
      </c>
    </row>
    <row r="1828" spans="2:5" x14ac:dyDescent="0.35">
      <c r="B1828" s="38">
        <v>38329</v>
      </c>
      <c r="C1828" s="3">
        <v>0</v>
      </c>
      <c r="D1828" s="3">
        <v>1</v>
      </c>
      <c r="E1828" s="3">
        <f>C1828 - D1828</f>
        <v>-1</v>
      </c>
    </row>
    <row r="1829" spans="2:5" x14ac:dyDescent="0.35">
      <c r="B1829" s="38">
        <v>38330</v>
      </c>
      <c r="C1829" s="3">
        <v>1</v>
      </c>
      <c r="D1829" s="3">
        <v>0</v>
      </c>
      <c r="E1829" s="3">
        <f>C1829 - D1829</f>
        <v>1</v>
      </c>
    </row>
    <row r="1830" spans="2:5" x14ac:dyDescent="0.35">
      <c r="B1830" s="38">
        <v>38331</v>
      </c>
      <c r="C1830" s="3">
        <v>1</v>
      </c>
      <c r="D1830" s="3">
        <v>1</v>
      </c>
      <c r="E1830" s="3">
        <f>C1830 - D1830</f>
        <v>0</v>
      </c>
    </row>
    <row r="1831" spans="2:5" x14ac:dyDescent="0.35">
      <c r="B1831" s="38">
        <v>38332</v>
      </c>
      <c r="C1831" s="3">
        <v>1</v>
      </c>
      <c r="D1831" s="3">
        <v>1</v>
      </c>
      <c r="E1831" s="3">
        <f>C1831 - D1831</f>
        <v>0</v>
      </c>
    </row>
    <row r="1832" spans="2:5" x14ac:dyDescent="0.35">
      <c r="B1832" s="38">
        <v>38333</v>
      </c>
      <c r="C1832" s="3">
        <v>1</v>
      </c>
      <c r="D1832" s="3">
        <v>1</v>
      </c>
      <c r="E1832" s="3">
        <f>C1832 - D1832</f>
        <v>0</v>
      </c>
    </row>
    <row r="1833" spans="2:5" x14ac:dyDescent="0.35">
      <c r="B1833" s="38">
        <v>38334</v>
      </c>
      <c r="C1833" s="3">
        <v>1</v>
      </c>
      <c r="D1833" s="3">
        <v>1</v>
      </c>
      <c r="E1833" s="3">
        <f>C1833 - D1833</f>
        <v>0</v>
      </c>
    </row>
    <row r="1834" spans="2:5" x14ac:dyDescent="0.35">
      <c r="B1834" s="38">
        <v>38335</v>
      </c>
      <c r="C1834" s="3">
        <v>1</v>
      </c>
      <c r="D1834" s="3">
        <v>1</v>
      </c>
      <c r="E1834" s="3">
        <f>C1834 - D1834</f>
        <v>0</v>
      </c>
    </row>
    <row r="1835" spans="2:5" x14ac:dyDescent="0.35">
      <c r="B1835" s="38">
        <v>38336</v>
      </c>
      <c r="C1835" s="3">
        <v>1</v>
      </c>
      <c r="D1835" s="3">
        <v>1</v>
      </c>
      <c r="E1835" s="3">
        <f>C1835 - D1835</f>
        <v>0</v>
      </c>
    </row>
    <row r="1836" spans="2:5" x14ac:dyDescent="0.35">
      <c r="B1836" s="38">
        <v>38337</v>
      </c>
      <c r="C1836" s="3">
        <v>0</v>
      </c>
      <c r="D1836" s="3">
        <v>1</v>
      </c>
      <c r="E1836" s="3">
        <f>C1836 - D1836</f>
        <v>-1</v>
      </c>
    </row>
    <row r="1837" spans="2:5" x14ac:dyDescent="0.35">
      <c r="B1837" s="38">
        <v>38338</v>
      </c>
      <c r="C1837" s="3">
        <v>0</v>
      </c>
      <c r="D1837" s="3">
        <v>0</v>
      </c>
      <c r="E1837" s="3">
        <f>C1837 - D1837</f>
        <v>0</v>
      </c>
    </row>
    <row r="1838" spans="2:5" x14ac:dyDescent="0.35">
      <c r="B1838" s="38">
        <v>38339</v>
      </c>
      <c r="C1838" s="3">
        <v>0</v>
      </c>
      <c r="D1838" s="3">
        <v>0</v>
      </c>
      <c r="E1838" s="3">
        <f>C1838 - D1838</f>
        <v>0</v>
      </c>
    </row>
    <row r="1839" spans="2:5" x14ac:dyDescent="0.35">
      <c r="B1839" s="38">
        <v>38340</v>
      </c>
      <c r="C1839" s="3">
        <v>0</v>
      </c>
      <c r="D1839" s="3">
        <v>0</v>
      </c>
      <c r="E1839" s="3">
        <f>C1839 - D1839</f>
        <v>0</v>
      </c>
    </row>
    <row r="1840" spans="2:5" x14ac:dyDescent="0.35">
      <c r="B1840" s="38">
        <v>38341</v>
      </c>
      <c r="C1840" s="3">
        <v>0</v>
      </c>
      <c r="D1840" s="3">
        <v>0</v>
      </c>
      <c r="E1840" s="3">
        <f>C1840 - D1840</f>
        <v>0</v>
      </c>
    </row>
    <row r="1841" spans="2:5" x14ac:dyDescent="0.35">
      <c r="B1841" s="38">
        <v>38342</v>
      </c>
      <c r="C1841" s="3">
        <v>0</v>
      </c>
      <c r="D1841" s="3">
        <v>0</v>
      </c>
      <c r="E1841" s="3">
        <f>C1841 - D1841</f>
        <v>0</v>
      </c>
    </row>
    <row r="1842" spans="2:5" x14ac:dyDescent="0.35">
      <c r="B1842" s="38">
        <v>38343</v>
      </c>
      <c r="C1842" s="3">
        <v>0</v>
      </c>
      <c r="D1842" s="3">
        <v>0</v>
      </c>
      <c r="E1842" s="3">
        <f>C1842 - D1842</f>
        <v>0</v>
      </c>
    </row>
    <row r="1843" spans="2:5" x14ac:dyDescent="0.35">
      <c r="B1843" s="38">
        <v>38344</v>
      </c>
      <c r="C1843" s="3">
        <v>0</v>
      </c>
      <c r="D1843" s="3">
        <v>0</v>
      </c>
      <c r="E1843" s="3">
        <f>C1843 - D1843</f>
        <v>0</v>
      </c>
    </row>
    <row r="1844" spans="2:5" x14ac:dyDescent="0.35">
      <c r="B1844" s="38">
        <v>38345</v>
      </c>
      <c r="C1844" s="3">
        <v>0</v>
      </c>
      <c r="D1844" s="3">
        <v>0</v>
      </c>
      <c r="E1844" s="3">
        <f>C1844 - D1844</f>
        <v>0</v>
      </c>
    </row>
    <row r="1845" spans="2:5" x14ac:dyDescent="0.35">
      <c r="B1845" s="38">
        <v>38346</v>
      </c>
      <c r="C1845" s="3">
        <v>0</v>
      </c>
      <c r="D1845" s="3">
        <v>0</v>
      </c>
      <c r="E1845" s="3">
        <f>C1845 - D1845</f>
        <v>0</v>
      </c>
    </row>
    <row r="1846" spans="2:5" x14ac:dyDescent="0.35">
      <c r="B1846" s="38">
        <v>38347</v>
      </c>
      <c r="C1846" s="3">
        <v>0</v>
      </c>
      <c r="D1846" s="3">
        <v>0</v>
      </c>
      <c r="E1846" s="3">
        <f>C1846 - D1846</f>
        <v>0</v>
      </c>
    </row>
    <row r="1847" spans="2:5" x14ac:dyDescent="0.35">
      <c r="B1847" s="38">
        <v>38348</v>
      </c>
      <c r="C1847" s="3">
        <v>1</v>
      </c>
      <c r="D1847" s="3">
        <v>0</v>
      </c>
      <c r="E1847" s="3">
        <f>C1847 - D1847</f>
        <v>1</v>
      </c>
    </row>
    <row r="1848" spans="2:5" x14ac:dyDescent="0.35">
      <c r="B1848" s="38">
        <v>38349</v>
      </c>
      <c r="C1848" s="3">
        <v>1</v>
      </c>
      <c r="D1848" s="3">
        <v>1</v>
      </c>
      <c r="E1848" s="3">
        <f>C1848 - D1848</f>
        <v>0</v>
      </c>
    </row>
    <row r="1849" spans="2:5" x14ac:dyDescent="0.35">
      <c r="B1849" s="38">
        <v>38350</v>
      </c>
      <c r="C1849" s="3">
        <v>1</v>
      </c>
      <c r="D1849" s="3">
        <v>1</v>
      </c>
      <c r="E1849" s="3">
        <f>C1849 - D1849</f>
        <v>0</v>
      </c>
    </row>
    <row r="1850" spans="2:5" x14ac:dyDescent="0.35">
      <c r="B1850" s="38">
        <v>38351</v>
      </c>
      <c r="C1850" s="3">
        <v>0</v>
      </c>
      <c r="D1850" s="3">
        <v>1</v>
      </c>
      <c r="E1850" s="3">
        <f>C1850 - D1850</f>
        <v>-1</v>
      </c>
    </row>
    <row r="1851" spans="2:5" x14ac:dyDescent="0.35">
      <c r="B1851" s="38">
        <v>38352</v>
      </c>
      <c r="C1851" s="3">
        <v>0</v>
      </c>
      <c r="D1851" s="3">
        <v>0</v>
      </c>
      <c r="E1851" s="3">
        <f>C1851 - D1851</f>
        <v>0</v>
      </c>
    </row>
    <row r="1852" spans="2:5" x14ac:dyDescent="0.35">
      <c r="B1852" s="38">
        <v>38353</v>
      </c>
      <c r="C1852" s="3">
        <v>0</v>
      </c>
      <c r="D1852" s="3">
        <v>0</v>
      </c>
      <c r="E1852" s="3">
        <f>C1852 - D1852</f>
        <v>0</v>
      </c>
    </row>
    <row r="1853" spans="2:5" x14ac:dyDescent="0.35">
      <c r="B1853" s="38">
        <v>38354</v>
      </c>
      <c r="C1853" s="3">
        <v>0</v>
      </c>
      <c r="D1853" s="3">
        <v>0</v>
      </c>
      <c r="E1853" s="3">
        <f>C1853 - D1853</f>
        <v>0</v>
      </c>
    </row>
    <row r="1854" spans="2:5" x14ac:dyDescent="0.35">
      <c r="B1854" s="38">
        <v>38355</v>
      </c>
      <c r="C1854" s="3">
        <v>0</v>
      </c>
      <c r="D1854" s="3">
        <v>0</v>
      </c>
      <c r="E1854" s="3">
        <f>C1854 - D1854</f>
        <v>0</v>
      </c>
    </row>
    <row r="1855" spans="2:5" x14ac:dyDescent="0.35">
      <c r="B1855" s="38">
        <v>38356</v>
      </c>
      <c r="C1855" s="3">
        <v>1</v>
      </c>
      <c r="D1855" s="3">
        <v>0</v>
      </c>
      <c r="E1855" s="3">
        <f>C1855 - D1855</f>
        <v>1</v>
      </c>
    </row>
    <row r="1856" spans="2:5" x14ac:dyDescent="0.35">
      <c r="B1856" s="38">
        <v>38357</v>
      </c>
      <c r="C1856" s="3">
        <v>1</v>
      </c>
      <c r="D1856" s="3">
        <v>1</v>
      </c>
      <c r="E1856" s="3">
        <f>C1856 - D1856</f>
        <v>0</v>
      </c>
    </row>
    <row r="1857" spans="2:5" x14ac:dyDescent="0.35">
      <c r="B1857" s="38">
        <v>38358</v>
      </c>
      <c r="C1857" s="3">
        <v>1</v>
      </c>
      <c r="D1857" s="3">
        <v>1</v>
      </c>
      <c r="E1857" s="3">
        <f>C1857 - D1857</f>
        <v>0</v>
      </c>
    </row>
    <row r="1858" spans="2:5" x14ac:dyDescent="0.35">
      <c r="B1858" s="38">
        <v>38359</v>
      </c>
      <c r="C1858" s="3">
        <v>0</v>
      </c>
      <c r="D1858" s="3">
        <v>1</v>
      </c>
      <c r="E1858" s="3">
        <f>C1858 - D1858</f>
        <v>-1</v>
      </c>
    </row>
    <row r="1859" spans="2:5" x14ac:dyDescent="0.35">
      <c r="B1859" s="38">
        <v>38360</v>
      </c>
      <c r="C1859" s="3">
        <v>1</v>
      </c>
      <c r="D1859" s="3">
        <v>0</v>
      </c>
      <c r="E1859" s="3">
        <f>C1859 - D1859</f>
        <v>1</v>
      </c>
    </row>
    <row r="1860" spans="2:5" x14ac:dyDescent="0.35">
      <c r="B1860" s="38">
        <v>38361</v>
      </c>
      <c r="C1860" s="3">
        <v>1</v>
      </c>
      <c r="D1860" s="3">
        <v>1</v>
      </c>
      <c r="E1860" s="3">
        <f>C1860 - D1860</f>
        <v>0</v>
      </c>
    </row>
    <row r="1861" spans="2:5" x14ac:dyDescent="0.35">
      <c r="B1861" s="38">
        <v>38362</v>
      </c>
      <c r="C1861" s="3">
        <v>0</v>
      </c>
      <c r="D1861" s="3">
        <v>1</v>
      </c>
      <c r="E1861" s="3">
        <f>C1861 - D1861</f>
        <v>-1</v>
      </c>
    </row>
    <row r="1862" spans="2:5" x14ac:dyDescent="0.35">
      <c r="B1862" s="38">
        <v>38363</v>
      </c>
      <c r="C1862" s="3">
        <v>0</v>
      </c>
      <c r="D1862" s="3">
        <v>0</v>
      </c>
      <c r="E1862" s="3">
        <f>C1862 - D1862</f>
        <v>0</v>
      </c>
    </row>
    <row r="1863" spans="2:5" x14ac:dyDescent="0.35">
      <c r="B1863" s="38">
        <v>38364</v>
      </c>
      <c r="C1863" s="3">
        <v>0</v>
      </c>
      <c r="D1863" s="3">
        <v>0</v>
      </c>
      <c r="E1863" s="3">
        <f>C1863 - D1863</f>
        <v>0</v>
      </c>
    </row>
    <row r="1864" spans="2:5" x14ac:dyDescent="0.35">
      <c r="B1864" s="38">
        <v>38365</v>
      </c>
      <c r="C1864" s="3">
        <v>0</v>
      </c>
      <c r="D1864" s="3">
        <v>0</v>
      </c>
      <c r="E1864" s="3">
        <f>C1864 - D1864</f>
        <v>0</v>
      </c>
    </row>
    <row r="1865" spans="2:5" x14ac:dyDescent="0.35">
      <c r="B1865" s="38">
        <v>38366</v>
      </c>
      <c r="C1865" s="3">
        <v>0</v>
      </c>
      <c r="D1865" s="3">
        <v>0</v>
      </c>
      <c r="E1865" s="3">
        <f>C1865 - D1865</f>
        <v>0</v>
      </c>
    </row>
    <row r="1866" spans="2:5" x14ac:dyDescent="0.35">
      <c r="B1866" s="38">
        <v>38367</v>
      </c>
      <c r="C1866" s="3">
        <v>1</v>
      </c>
      <c r="D1866" s="3">
        <v>0</v>
      </c>
      <c r="E1866" s="3">
        <f>C1866 - D1866</f>
        <v>1</v>
      </c>
    </row>
    <row r="1867" spans="2:5" x14ac:dyDescent="0.35">
      <c r="B1867" s="38">
        <v>38368</v>
      </c>
      <c r="C1867" s="3">
        <v>1</v>
      </c>
      <c r="D1867" s="3">
        <v>1</v>
      </c>
      <c r="E1867" s="3">
        <f>C1867 - D1867</f>
        <v>0</v>
      </c>
    </row>
    <row r="1868" spans="2:5" x14ac:dyDescent="0.35">
      <c r="B1868" s="38">
        <v>38369</v>
      </c>
      <c r="C1868" s="3">
        <v>0</v>
      </c>
      <c r="D1868" s="3">
        <v>1</v>
      </c>
      <c r="E1868" s="3">
        <f>C1868 - D1868</f>
        <v>-1</v>
      </c>
    </row>
    <row r="1869" spans="2:5" x14ac:dyDescent="0.35">
      <c r="B1869" s="38">
        <v>38370</v>
      </c>
      <c r="C1869" s="3">
        <v>0</v>
      </c>
      <c r="D1869" s="3">
        <v>0</v>
      </c>
      <c r="E1869" s="3">
        <f>C1869 - D1869</f>
        <v>0</v>
      </c>
    </row>
    <row r="1870" spans="2:5" x14ac:dyDescent="0.35">
      <c r="B1870" s="38">
        <v>38371</v>
      </c>
      <c r="C1870" s="3">
        <v>0</v>
      </c>
      <c r="D1870" s="3">
        <v>0</v>
      </c>
      <c r="E1870" s="3">
        <f>C1870 - D1870</f>
        <v>0</v>
      </c>
    </row>
    <row r="1871" spans="2:5" x14ac:dyDescent="0.35">
      <c r="B1871" s="38">
        <v>38372</v>
      </c>
      <c r="C1871" s="3">
        <v>0</v>
      </c>
      <c r="D1871" s="3">
        <v>0</v>
      </c>
      <c r="E1871" s="3">
        <f>C1871 - D1871</f>
        <v>0</v>
      </c>
    </row>
    <row r="1872" spans="2:5" x14ac:dyDescent="0.35">
      <c r="B1872" s="38">
        <v>38373</v>
      </c>
      <c r="C1872" s="3">
        <v>0</v>
      </c>
      <c r="D1872" s="3">
        <v>0</v>
      </c>
      <c r="E1872" s="3">
        <f>C1872 - D1872</f>
        <v>0</v>
      </c>
    </row>
    <row r="1873" spans="2:5" x14ac:dyDescent="0.35">
      <c r="B1873" s="38">
        <v>38374</v>
      </c>
      <c r="C1873" s="3">
        <v>0</v>
      </c>
      <c r="D1873" s="3">
        <v>0</v>
      </c>
      <c r="E1873" s="3">
        <f>C1873 - D1873</f>
        <v>0</v>
      </c>
    </row>
    <row r="1874" spans="2:5" x14ac:dyDescent="0.35">
      <c r="B1874" s="38">
        <v>38375</v>
      </c>
      <c r="C1874" s="3">
        <v>0</v>
      </c>
      <c r="D1874" s="3">
        <v>0</v>
      </c>
      <c r="E1874" s="3">
        <f>C1874 - D1874</f>
        <v>0</v>
      </c>
    </row>
    <row r="1875" spans="2:5" x14ac:dyDescent="0.35">
      <c r="B1875" s="38">
        <v>38376</v>
      </c>
      <c r="C1875" s="3">
        <v>0</v>
      </c>
      <c r="D1875" s="3">
        <v>0</v>
      </c>
      <c r="E1875" s="3">
        <f>C1875 - D1875</f>
        <v>0</v>
      </c>
    </row>
    <row r="1876" spans="2:5" x14ac:dyDescent="0.35">
      <c r="B1876" s="38">
        <v>38377</v>
      </c>
      <c r="C1876" s="3">
        <v>0</v>
      </c>
      <c r="D1876" s="3">
        <v>0</v>
      </c>
      <c r="E1876" s="3">
        <f>C1876 - D1876</f>
        <v>0</v>
      </c>
    </row>
    <row r="1877" spans="2:5" x14ac:dyDescent="0.35">
      <c r="B1877" s="38">
        <v>38378</v>
      </c>
      <c r="C1877" s="3">
        <v>0</v>
      </c>
      <c r="D1877" s="3">
        <v>0</v>
      </c>
      <c r="E1877" s="3">
        <f>C1877 - D1877</f>
        <v>0</v>
      </c>
    </row>
    <row r="1878" spans="2:5" x14ac:dyDescent="0.35">
      <c r="B1878" s="38">
        <v>38379</v>
      </c>
      <c r="C1878" s="3">
        <v>1</v>
      </c>
      <c r="D1878" s="3">
        <v>0</v>
      </c>
      <c r="E1878" s="3">
        <f>C1878 - D1878</f>
        <v>1</v>
      </c>
    </row>
    <row r="1879" spans="2:5" x14ac:dyDescent="0.35">
      <c r="B1879" s="38">
        <v>38380</v>
      </c>
      <c r="C1879" s="3">
        <v>0</v>
      </c>
      <c r="D1879" s="3">
        <v>1</v>
      </c>
      <c r="E1879" s="3">
        <f>C1879 - D1879</f>
        <v>-1</v>
      </c>
    </row>
    <row r="1880" spans="2:5" x14ac:dyDescent="0.35">
      <c r="B1880" s="38">
        <v>38381</v>
      </c>
      <c r="C1880" s="3">
        <v>1</v>
      </c>
      <c r="D1880" s="3">
        <v>0</v>
      </c>
      <c r="E1880" s="3">
        <f>C1880 - D1880</f>
        <v>1</v>
      </c>
    </row>
    <row r="1881" spans="2:5" x14ac:dyDescent="0.35">
      <c r="B1881" s="38">
        <v>38382</v>
      </c>
      <c r="C1881" s="3">
        <v>1</v>
      </c>
      <c r="D1881" s="3">
        <v>1</v>
      </c>
      <c r="E1881" s="3">
        <f>C1881 - D1881</f>
        <v>0</v>
      </c>
    </row>
    <row r="1882" spans="2:5" x14ac:dyDescent="0.35">
      <c r="B1882" s="38">
        <v>38383</v>
      </c>
      <c r="C1882" s="3">
        <v>0</v>
      </c>
      <c r="D1882" s="3">
        <v>1</v>
      </c>
      <c r="E1882" s="3">
        <f>C1882 - D1882</f>
        <v>-1</v>
      </c>
    </row>
    <row r="1883" spans="2:5" x14ac:dyDescent="0.35">
      <c r="B1883" s="38">
        <v>38384</v>
      </c>
      <c r="C1883" s="3">
        <v>0</v>
      </c>
      <c r="D1883" s="3">
        <v>0</v>
      </c>
      <c r="E1883" s="3">
        <f>C1883 - D1883</f>
        <v>0</v>
      </c>
    </row>
    <row r="1884" spans="2:5" x14ac:dyDescent="0.35">
      <c r="B1884" s="38">
        <v>38385</v>
      </c>
      <c r="C1884" s="3">
        <v>1</v>
      </c>
      <c r="D1884" s="3">
        <v>0</v>
      </c>
      <c r="E1884" s="3">
        <f>C1884 - D1884</f>
        <v>1</v>
      </c>
    </row>
    <row r="1885" spans="2:5" x14ac:dyDescent="0.35">
      <c r="B1885" s="38">
        <v>38386</v>
      </c>
      <c r="C1885" s="3">
        <v>1</v>
      </c>
      <c r="D1885" s="3">
        <v>1</v>
      </c>
      <c r="E1885" s="3">
        <f>C1885 - D1885</f>
        <v>0</v>
      </c>
    </row>
    <row r="1886" spans="2:5" x14ac:dyDescent="0.35">
      <c r="B1886" s="38">
        <v>38387</v>
      </c>
      <c r="C1886" s="3">
        <v>1</v>
      </c>
      <c r="D1886" s="3">
        <v>1</v>
      </c>
      <c r="E1886" s="3">
        <f>C1886 - D1886</f>
        <v>0</v>
      </c>
    </row>
    <row r="1887" spans="2:5" x14ac:dyDescent="0.35">
      <c r="B1887" s="38">
        <v>38388</v>
      </c>
      <c r="C1887" s="3">
        <v>0</v>
      </c>
      <c r="D1887" s="3">
        <v>1</v>
      </c>
      <c r="E1887" s="3">
        <f>C1887 - D1887</f>
        <v>-1</v>
      </c>
    </row>
    <row r="1888" spans="2:5" x14ac:dyDescent="0.35">
      <c r="B1888" s="38">
        <v>38389</v>
      </c>
      <c r="C1888" s="3">
        <v>0</v>
      </c>
      <c r="D1888" s="3">
        <v>0</v>
      </c>
      <c r="E1888" s="3">
        <f>C1888 - D1888</f>
        <v>0</v>
      </c>
    </row>
    <row r="1889" spans="2:5" x14ac:dyDescent="0.35">
      <c r="B1889" s="38">
        <v>38390</v>
      </c>
      <c r="C1889" s="3">
        <v>0</v>
      </c>
      <c r="D1889" s="3">
        <v>0</v>
      </c>
      <c r="E1889" s="3">
        <f>C1889 - D1889</f>
        <v>0</v>
      </c>
    </row>
    <row r="1890" spans="2:5" x14ac:dyDescent="0.35">
      <c r="B1890" s="38">
        <v>38391</v>
      </c>
      <c r="C1890" s="3">
        <v>1</v>
      </c>
      <c r="D1890" s="3">
        <v>0</v>
      </c>
      <c r="E1890" s="3">
        <f>C1890 - D1890</f>
        <v>1</v>
      </c>
    </row>
    <row r="1891" spans="2:5" x14ac:dyDescent="0.35">
      <c r="B1891" s="38">
        <v>38392</v>
      </c>
      <c r="C1891" s="3">
        <v>1</v>
      </c>
      <c r="D1891" s="3">
        <v>1</v>
      </c>
      <c r="E1891" s="3">
        <f>C1891 - D1891</f>
        <v>0</v>
      </c>
    </row>
    <row r="1892" spans="2:5" x14ac:dyDescent="0.35">
      <c r="B1892" s="38">
        <v>38393</v>
      </c>
      <c r="C1892" s="3">
        <v>0</v>
      </c>
      <c r="D1892" s="3">
        <v>1</v>
      </c>
      <c r="E1892" s="3">
        <f>C1892 - D1892</f>
        <v>-1</v>
      </c>
    </row>
    <row r="1893" spans="2:5" x14ac:dyDescent="0.35">
      <c r="B1893" s="38">
        <v>38394</v>
      </c>
      <c r="C1893" s="3">
        <v>0</v>
      </c>
      <c r="D1893" s="3">
        <v>0</v>
      </c>
      <c r="E1893" s="3">
        <f>C1893 - D1893</f>
        <v>0</v>
      </c>
    </row>
    <row r="1894" spans="2:5" x14ac:dyDescent="0.35">
      <c r="B1894" s="38">
        <v>38395</v>
      </c>
      <c r="C1894" s="3">
        <v>1</v>
      </c>
      <c r="D1894" s="3">
        <v>0</v>
      </c>
      <c r="E1894" s="3">
        <f>C1894 - D1894</f>
        <v>1</v>
      </c>
    </row>
    <row r="1895" spans="2:5" x14ac:dyDescent="0.35">
      <c r="B1895" s="38">
        <v>38396</v>
      </c>
      <c r="C1895" s="3">
        <v>0</v>
      </c>
      <c r="D1895" s="3">
        <v>1</v>
      </c>
      <c r="E1895" s="3">
        <f>C1895 - D1895</f>
        <v>-1</v>
      </c>
    </row>
    <row r="1896" spans="2:5" x14ac:dyDescent="0.35">
      <c r="B1896" s="38">
        <v>38397</v>
      </c>
      <c r="C1896" s="3">
        <v>0</v>
      </c>
      <c r="D1896" s="3">
        <v>0</v>
      </c>
      <c r="E1896" s="3">
        <f>C1896 - D1896</f>
        <v>0</v>
      </c>
    </row>
    <row r="1897" spans="2:5" x14ac:dyDescent="0.35">
      <c r="B1897" s="38">
        <v>38398</v>
      </c>
      <c r="C1897" s="3">
        <v>1</v>
      </c>
      <c r="D1897" s="3">
        <v>0</v>
      </c>
      <c r="E1897" s="3">
        <f>C1897 - D1897</f>
        <v>1</v>
      </c>
    </row>
    <row r="1898" spans="2:5" x14ac:dyDescent="0.35">
      <c r="B1898" s="38">
        <v>38399</v>
      </c>
      <c r="C1898" s="3">
        <v>1</v>
      </c>
      <c r="D1898" s="3">
        <v>1</v>
      </c>
      <c r="E1898" s="3">
        <f>C1898 - D1898</f>
        <v>0</v>
      </c>
    </row>
    <row r="1899" spans="2:5" x14ac:dyDescent="0.35">
      <c r="B1899" s="38">
        <v>38400</v>
      </c>
      <c r="C1899" s="3">
        <v>0</v>
      </c>
      <c r="D1899" s="3">
        <v>1</v>
      </c>
      <c r="E1899" s="3">
        <f>C1899 - D1899</f>
        <v>-1</v>
      </c>
    </row>
    <row r="1900" spans="2:5" x14ac:dyDescent="0.35">
      <c r="B1900" s="38">
        <v>38401</v>
      </c>
      <c r="C1900" s="3">
        <v>0</v>
      </c>
      <c r="D1900" s="3">
        <v>0</v>
      </c>
      <c r="E1900" s="3">
        <f>C1900 - D1900</f>
        <v>0</v>
      </c>
    </row>
    <row r="1901" spans="2:5" x14ac:dyDescent="0.35">
      <c r="B1901" s="38">
        <v>38402</v>
      </c>
      <c r="C1901" s="3">
        <v>0</v>
      </c>
      <c r="D1901" s="3">
        <v>0</v>
      </c>
      <c r="E1901" s="3">
        <f>C1901 - D1901</f>
        <v>0</v>
      </c>
    </row>
    <row r="1902" spans="2:5" x14ac:dyDescent="0.35">
      <c r="B1902" s="38">
        <v>38403</v>
      </c>
      <c r="C1902" s="3">
        <v>0</v>
      </c>
      <c r="D1902" s="3">
        <v>0</v>
      </c>
      <c r="E1902" s="3">
        <f>C1902 - D1902</f>
        <v>0</v>
      </c>
    </row>
    <row r="1903" spans="2:5" x14ac:dyDescent="0.35">
      <c r="B1903" s="38">
        <v>38404</v>
      </c>
      <c r="C1903" s="3">
        <v>0</v>
      </c>
      <c r="D1903" s="3">
        <v>0</v>
      </c>
      <c r="E1903" s="3">
        <f>C1903 - D1903</f>
        <v>0</v>
      </c>
    </row>
    <row r="1904" spans="2:5" x14ac:dyDescent="0.35">
      <c r="B1904" s="38">
        <v>38405</v>
      </c>
      <c r="C1904" s="3">
        <v>0</v>
      </c>
      <c r="D1904" s="3">
        <v>0</v>
      </c>
      <c r="E1904" s="3">
        <f>C1904 - D1904</f>
        <v>0</v>
      </c>
    </row>
    <row r="1905" spans="2:5" x14ac:dyDescent="0.35">
      <c r="B1905" s="38">
        <v>38406</v>
      </c>
      <c r="C1905" s="3">
        <v>0</v>
      </c>
      <c r="D1905" s="3">
        <v>0</v>
      </c>
      <c r="E1905" s="3">
        <f>C1905 - D1905</f>
        <v>0</v>
      </c>
    </row>
    <row r="1906" spans="2:5" x14ac:dyDescent="0.35">
      <c r="B1906" s="38">
        <v>38407</v>
      </c>
      <c r="C1906" s="3">
        <v>0</v>
      </c>
      <c r="D1906" s="3">
        <v>0</v>
      </c>
      <c r="E1906" s="3">
        <f>C1906 - D1906</f>
        <v>0</v>
      </c>
    </row>
    <row r="1907" spans="2:5" x14ac:dyDescent="0.35">
      <c r="B1907" s="38">
        <v>38408</v>
      </c>
      <c r="C1907" s="3">
        <v>0</v>
      </c>
      <c r="D1907" s="3">
        <v>0</v>
      </c>
      <c r="E1907" s="3">
        <f>C1907 - D1907</f>
        <v>0</v>
      </c>
    </row>
    <row r="1908" spans="2:5" x14ac:dyDescent="0.35">
      <c r="B1908" s="38">
        <v>38409</v>
      </c>
      <c r="C1908" s="3">
        <v>0</v>
      </c>
      <c r="D1908" s="3">
        <v>0</v>
      </c>
      <c r="E1908" s="3">
        <f>C1908 - D1908</f>
        <v>0</v>
      </c>
    </row>
    <row r="1909" spans="2:5" x14ac:dyDescent="0.35">
      <c r="B1909" s="38">
        <v>38410</v>
      </c>
      <c r="C1909" s="3">
        <v>0</v>
      </c>
      <c r="D1909" s="3">
        <v>0</v>
      </c>
      <c r="E1909" s="3">
        <f>C1909 - D1909</f>
        <v>0</v>
      </c>
    </row>
    <row r="1910" spans="2:5" x14ac:dyDescent="0.35">
      <c r="B1910" s="38">
        <v>38411</v>
      </c>
      <c r="C1910" s="3">
        <v>0</v>
      </c>
      <c r="D1910" s="3">
        <v>0</v>
      </c>
      <c r="E1910" s="3">
        <f>C1910 - D1910</f>
        <v>0</v>
      </c>
    </row>
    <row r="1911" spans="2:5" x14ac:dyDescent="0.35">
      <c r="B1911" s="38">
        <v>38412</v>
      </c>
      <c r="C1911" s="3">
        <v>0</v>
      </c>
      <c r="D1911" s="3">
        <v>0</v>
      </c>
      <c r="E1911" s="3">
        <f>C1911 - D1911</f>
        <v>0</v>
      </c>
    </row>
    <row r="1912" spans="2:5" x14ac:dyDescent="0.35">
      <c r="B1912" s="38">
        <v>38413</v>
      </c>
      <c r="C1912" s="3">
        <v>0</v>
      </c>
      <c r="D1912" s="3">
        <v>0</v>
      </c>
      <c r="E1912" s="3">
        <f>C1912 - D1912</f>
        <v>0</v>
      </c>
    </row>
    <row r="1913" spans="2:5" x14ac:dyDescent="0.35">
      <c r="B1913" s="38">
        <v>38414</v>
      </c>
      <c r="C1913" s="3">
        <v>0</v>
      </c>
      <c r="D1913" s="3">
        <v>0</v>
      </c>
      <c r="E1913" s="3">
        <f>C1913 - D1913</f>
        <v>0</v>
      </c>
    </row>
    <row r="1914" spans="2:5" x14ac:dyDescent="0.35">
      <c r="B1914" s="38">
        <v>38415</v>
      </c>
      <c r="C1914" s="3">
        <v>0</v>
      </c>
      <c r="D1914" s="3">
        <v>0</v>
      </c>
      <c r="E1914" s="3">
        <f>C1914 - D1914</f>
        <v>0</v>
      </c>
    </row>
    <row r="1915" spans="2:5" x14ac:dyDescent="0.35">
      <c r="B1915" s="38">
        <v>38416</v>
      </c>
      <c r="C1915" s="3">
        <v>1</v>
      </c>
      <c r="D1915" s="3">
        <v>0</v>
      </c>
      <c r="E1915" s="3">
        <f>C1915 - D1915</f>
        <v>1</v>
      </c>
    </row>
    <row r="1916" spans="2:5" x14ac:dyDescent="0.35">
      <c r="B1916" s="38">
        <v>38417</v>
      </c>
      <c r="C1916" s="3">
        <v>1</v>
      </c>
      <c r="D1916" s="3">
        <v>1</v>
      </c>
      <c r="E1916" s="3">
        <f>C1916 - D1916</f>
        <v>0</v>
      </c>
    </row>
    <row r="1917" spans="2:5" x14ac:dyDescent="0.35">
      <c r="B1917" s="38">
        <v>38418</v>
      </c>
      <c r="C1917" s="3">
        <v>1</v>
      </c>
      <c r="D1917" s="3">
        <v>1</v>
      </c>
      <c r="E1917" s="3">
        <f>C1917 - D1917</f>
        <v>0</v>
      </c>
    </row>
    <row r="1918" spans="2:5" x14ac:dyDescent="0.35">
      <c r="B1918" s="38">
        <v>38419</v>
      </c>
      <c r="C1918" s="3">
        <v>1</v>
      </c>
      <c r="D1918" s="3">
        <v>1</v>
      </c>
      <c r="E1918" s="3">
        <f>C1918 - D1918</f>
        <v>0</v>
      </c>
    </row>
    <row r="1919" spans="2:5" x14ac:dyDescent="0.35">
      <c r="B1919" s="38">
        <v>38420</v>
      </c>
      <c r="C1919" s="3">
        <v>0</v>
      </c>
      <c r="D1919" s="3">
        <v>1</v>
      </c>
      <c r="E1919" s="3">
        <f>C1919 - D1919</f>
        <v>-1</v>
      </c>
    </row>
    <row r="1920" spans="2:5" x14ac:dyDescent="0.35">
      <c r="B1920" s="38">
        <v>38421</v>
      </c>
      <c r="C1920" s="3">
        <v>1</v>
      </c>
      <c r="D1920" s="3">
        <v>0</v>
      </c>
      <c r="E1920" s="3">
        <f>C1920 - D1920</f>
        <v>1</v>
      </c>
    </row>
    <row r="1921" spans="2:5" x14ac:dyDescent="0.35">
      <c r="B1921" s="38">
        <v>38422</v>
      </c>
      <c r="C1921" s="3">
        <v>0</v>
      </c>
      <c r="D1921" s="3">
        <v>1</v>
      </c>
      <c r="E1921" s="3">
        <f>C1921 - D1921</f>
        <v>-1</v>
      </c>
    </row>
    <row r="1922" spans="2:5" x14ac:dyDescent="0.35">
      <c r="B1922" s="38">
        <v>38423</v>
      </c>
      <c r="C1922" s="3">
        <v>0</v>
      </c>
      <c r="D1922" s="3">
        <v>0</v>
      </c>
      <c r="E1922" s="3">
        <f>C1922 - D1922</f>
        <v>0</v>
      </c>
    </row>
    <row r="1923" spans="2:5" x14ac:dyDescent="0.35">
      <c r="B1923" s="38">
        <v>38424</v>
      </c>
      <c r="C1923" s="3">
        <v>0</v>
      </c>
      <c r="D1923" s="3">
        <v>0</v>
      </c>
      <c r="E1923" s="3">
        <f>C1923 - D1923</f>
        <v>0</v>
      </c>
    </row>
    <row r="1924" spans="2:5" x14ac:dyDescent="0.35">
      <c r="B1924" s="38">
        <v>38425</v>
      </c>
      <c r="C1924" s="3">
        <v>0</v>
      </c>
      <c r="D1924" s="3">
        <v>0</v>
      </c>
      <c r="E1924" s="3">
        <f>C1924 - D1924</f>
        <v>0</v>
      </c>
    </row>
    <row r="1925" spans="2:5" x14ac:dyDescent="0.35">
      <c r="B1925" s="38">
        <v>38426</v>
      </c>
      <c r="C1925" s="3">
        <v>0</v>
      </c>
      <c r="D1925" s="3">
        <v>0</v>
      </c>
      <c r="E1925" s="3">
        <f>C1925 - D1925</f>
        <v>0</v>
      </c>
    </row>
    <row r="1926" spans="2:5" x14ac:dyDescent="0.35">
      <c r="B1926" s="38">
        <v>38427</v>
      </c>
      <c r="C1926" s="3">
        <v>1</v>
      </c>
      <c r="D1926" s="3">
        <v>0</v>
      </c>
      <c r="E1926" s="3">
        <f>C1926 - D1926</f>
        <v>1</v>
      </c>
    </row>
    <row r="1927" spans="2:5" x14ac:dyDescent="0.35">
      <c r="B1927" s="38">
        <v>38428</v>
      </c>
      <c r="C1927" s="3">
        <v>0</v>
      </c>
      <c r="D1927" s="3">
        <v>1</v>
      </c>
      <c r="E1927" s="3">
        <f>C1927 - D1927</f>
        <v>-1</v>
      </c>
    </row>
    <row r="1928" spans="2:5" x14ac:dyDescent="0.35">
      <c r="B1928" s="38">
        <v>38429</v>
      </c>
      <c r="C1928" s="3">
        <v>0</v>
      </c>
      <c r="D1928" s="3">
        <v>0</v>
      </c>
      <c r="E1928" s="3">
        <f>C1928 - D1928</f>
        <v>0</v>
      </c>
    </row>
    <row r="1929" spans="2:5" x14ac:dyDescent="0.35">
      <c r="B1929" s="38">
        <v>38430</v>
      </c>
      <c r="C1929" s="3">
        <v>0</v>
      </c>
      <c r="D1929" s="3">
        <v>0</v>
      </c>
      <c r="E1929" s="3">
        <f>C1929 - D1929</f>
        <v>0</v>
      </c>
    </row>
    <row r="1930" spans="2:5" x14ac:dyDescent="0.35">
      <c r="B1930" s="38">
        <v>38431</v>
      </c>
      <c r="C1930" s="3">
        <v>0</v>
      </c>
      <c r="D1930" s="3">
        <v>0</v>
      </c>
      <c r="E1930" s="3">
        <f>C1930 - D1930</f>
        <v>0</v>
      </c>
    </row>
    <row r="1931" spans="2:5" x14ac:dyDescent="0.35">
      <c r="B1931" s="38">
        <v>38432</v>
      </c>
      <c r="C1931" s="3">
        <v>0</v>
      </c>
      <c r="D1931" s="3">
        <v>0</v>
      </c>
      <c r="E1931" s="3">
        <f>C1931 - D1931</f>
        <v>0</v>
      </c>
    </row>
    <row r="1932" spans="2:5" x14ac:dyDescent="0.35">
      <c r="B1932" s="38">
        <v>38433</v>
      </c>
      <c r="C1932" s="3">
        <v>0</v>
      </c>
      <c r="D1932" s="3">
        <v>0</v>
      </c>
      <c r="E1932" s="3">
        <f>C1932 - D1932</f>
        <v>0</v>
      </c>
    </row>
    <row r="1933" spans="2:5" x14ac:dyDescent="0.35">
      <c r="B1933" s="38">
        <v>38434</v>
      </c>
      <c r="C1933" s="3">
        <v>0</v>
      </c>
      <c r="D1933" s="3">
        <v>0</v>
      </c>
      <c r="E1933" s="3">
        <f>C1933 - D1933</f>
        <v>0</v>
      </c>
    </row>
    <row r="1934" spans="2:5" x14ac:dyDescent="0.35">
      <c r="B1934" s="38">
        <v>38435</v>
      </c>
      <c r="C1934" s="3">
        <v>0</v>
      </c>
      <c r="D1934" s="3">
        <v>0</v>
      </c>
      <c r="E1934" s="3">
        <f>C1934 - D1934</f>
        <v>0</v>
      </c>
    </row>
    <row r="1935" spans="2:5" x14ac:dyDescent="0.35">
      <c r="B1935" s="38">
        <v>38436</v>
      </c>
      <c r="C1935" s="3">
        <v>1</v>
      </c>
      <c r="D1935" s="3">
        <v>0</v>
      </c>
      <c r="E1935" s="3">
        <f>C1935 - D1935</f>
        <v>1</v>
      </c>
    </row>
    <row r="1936" spans="2:5" x14ac:dyDescent="0.35">
      <c r="B1936" s="38">
        <v>38437</v>
      </c>
      <c r="C1936" s="3">
        <v>0</v>
      </c>
      <c r="D1936" s="3">
        <v>1</v>
      </c>
      <c r="E1936" s="3">
        <f>C1936 - D1936</f>
        <v>-1</v>
      </c>
    </row>
    <row r="1937" spans="2:5" x14ac:dyDescent="0.35">
      <c r="B1937" s="38">
        <v>38438</v>
      </c>
      <c r="C1937" s="3">
        <v>0</v>
      </c>
      <c r="D1937" s="3">
        <v>0</v>
      </c>
      <c r="E1937" s="3">
        <f>C1937 - D1937</f>
        <v>0</v>
      </c>
    </row>
    <row r="1938" spans="2:5" x14ac:dyDescent="0.35">
      <c r="B1938" s="38">
        <v>38439</v>
      </c>
      <c r="C1938" s="3">
        <v>1</v>
      </c>
      <c r="D1938" s="3">
        <v>0</v>
      </c>
      <c r="E1938" s="3">
        <f>C1938 - D1938</f>
        <v>1</v>
      </c>
    </row>
    <row r="1939" spans="2:5" x14ac:dyDescent="0.35">
      <c r="B1939" s="38">
        <v>38440</v>
      </c>
      <c r="C1939" s="3">
        <v>0</v>
      </c>
      <c r="D1939" s="3">
        <v>1</v>
      </c>
      <c r="E1939" s="3">
        <f>C1939 - D1939</f>
        <v>-1</v>
      </c>
    </row>
    <row r="1940" spans="2:5" x14ac:dyDescent="0.35">
      <c r="B1940" s="38">
        <v>38441</v>
      </c>
      <c r="C1940" s="3">
        <v>0</v>
      </c>
      <c r="D1940" s="3">
        <v>0</v>
      </c>
      <c r="E1940" s="3">
        <f>C1940 - D1940</f>
        <v>0</v>
      </c>
    </row>
    <row r="1941" spans="2:5" x14ac:dyDescent="0.35">
      <c r="B1941" s="38">
        <v>38442</v>
      </c>
      <c r="C1941" s="3">
        <v>0</v>
      </c>
      <c r="D1941" s="3">
        <v>0</v>
      </c>
      <c r="E1941" s="3">
        <f>C1941 - D1941</f>
        <v>0</v>
      </c>
    </row>
    <row r="1942" spans="2:5" x14ac:dyDescent="0.35">
      <c r="B1942" s="38">
        <v>38443</v>
      </c>
      <c r="C1942" s="3">
        <v>0</v>
      </c>
      <c r="D1942" s="3">
        <v>0</v>
      </c>
      <c r="E1942" s="3">
        <f>C1942 - D1942</f>
        <v>0</v>
      </c>
    </row>
    <row r="1943" spans="2:5" x14ac:dyDescent="0.35">
      <c r="B1943" s="38">
        <v>38444</v>
      </c>
      <c r="C1943" s="3">
        <v>0</v>
      </c>
      <c r="D1943" s="3">
        <v>0</v>
      </c>
      <c r="E1943" s="3">
        <f>C1943 - D1943</f>
        <v>0</v>
      </c>
    </row>
    <row r="1944" spans="2:5" x14ac:dyDescent="0.35">
      <c r="B1944" s="38">
        <v>38445</v>
      </c>
      <c r="C1944" s="3">
        <v>1</v>
      </c>
      <c r="D1944" s="3">
        <v>0</v>
      </c>
      <c r="E1944" s="3">
        <f>C1944 - D1944</f>
        <v>1</v>
      </c>
    </row>
    <row r="1945" spans="2:5" x14ac:dyDescent="0.35">
      <c r="B1945" s="38">
        <v>38446</v>
      </c>
      <c r="C1945" s="3">
        <v>1</v>
      </c>
      <c r="D1945" s="3">
        <v>1</v>
      </c>
      <c r="E1945" s="3">
        <f>C1945 - D1945</f>
        <v>0</v>
      </c>
    </row>
    <row r="1946" spans="2:5" x14ac:dyDescent="0.35">
      <c r="B1946" s="38">
        <v>38447</v>
      </c>
      <c r="C1946" s="3">
        <v>0</v>
      </c>
      <c r="D1946" s="3">
        <v>1</v>
      </c>
      <c r="E1946" s="3">
        <f>C1946 - D1946</f>
        <v>-1</v>
      </c>
    </row>
    <row r="1947" spans="2:5" x14ac:dyDescent="0.35">
      <c r="B1947" s="38">
        <v>38448</v>
      </c>
      <c r="C1947" s="3">
        <v>0</v>
      </c>
      <c r="D1947" s="3">
        <v>0</v>
      </c>
      <c r="E1947" s="3">
        <f>C1947 - D1947</f>
        <v>0</v>
      </c>
    </row>
    <row r="1948" spans="2:5" x14ac:dyDescent="0.35">
      <c r="B1948" s="38">
        <v>38449</v>
      </c>
      <c r="C1948" s="3">
        <v>0</v>
      </c>
      <c r="D1948" s="3">
        <v>0</v>
      </c>
      <c r="E1948" s="3">
        <f>C1948 - D1948</f>
        <v>0</v>
      </c>
    </row>
    <row r="1949" spans="2:5" x14ac:dyDescent="0.35">
      <c r="B1949" s="38">
        <v>38450</v>
      </c>
      <c r="C1949" s="3">
        <v>0</v>
      </c>
      <c r="D1949" s="3">
        <v>0</v>
      </c>
      <c r="E1949" s="3">
        <f>C1949 - D1949</f>
        <v>0</v>
      </c>
    </row>
    <row r="1950" spans="2:5" x14ac:dyDescent="0.35">
      <c r="B1950" s="38">
        <v>38451</v>
      </c>
      <c r="C1950" s="3">
        <v>0</v>
      </c>
      <c r="D1950" s="3">
        <v>0</v>
      </c>
      <c r="E1950" s="3">
        <f>C1950 - D1950</f>
        <v>0</v>
      </c>
    </row>
    <row r="1951" spans="2:5" x14ac:dyDescent="0.35">
      <c r="B1951" s="38">
        <v>38452</v>
      </c>
      <c r="C1951" s="3">
        <v>0</v>
      </c>
      <c r="D1951" s="3">
        <v>0</v>
      </c>
      <c r="E1951" s="3">
        <f>C1951 - D1951</f>
        <v>0</v>
      </c>
    </row>
    <row r="1952" spans="2:5" x14ac:dyDescent="0.35">
      <c r="B1952" s="38">
        <v>38453</v>
      </c>
      <c r="C1952" s="3">
        <v>1</v>
      </c>
      <c r="D1952" s="3">
        <v>0</v>
      </c>
      <c r="E1952" s="3">
        <f>C1952 - D1952</f>
        <v>1</v>
      </c>
    </row>
    <row r="1953" spans="2:5" x14ac:dyDescent="0.35">
      <c r="B1953" s="38">
        <v>38454</v>
      </c>
      <c r="C1953" s="3">
        <v>0</v>
      </c>
      <c r="D1953" s="3">
        <v>1</v>
      </c>
      <c r="E1953" s="3">
        <f>C1953 - D1953</f>
        <v>-1</v>
      </c>
    </row>
    <row r="1954" spans="2:5" x14ac:dyDescent="0.35">
      <c r="B1954" s="38">
        <v>38455</v>
      </c>
      <c r="C1954" s="3">
        <v>0</v>
      </c>
      <c r="D1954" s="3">
        <v>0</v>
      </c>
      <c r="E1954" s="3">
        <f>C1954 - D1954</f>
        <v>0</v>
      </c>
    </row>
    <row r="1955" spans="2:5" x14ac:dyDescent="0.35">
      <c r="B1955" s="38">
        <v>38456</v>
      </c>
      <c r="C1955" s="3">
        <v>1</v>
      </c>
      <c r="D1955" s="3">
        <v>0</v>
      </c>
      <c r="E1955" s="3">
        <f>C1955 - D1955</f>
        <v>1</v>
      </c>
    </row>
    <row r="1956" spans="2:5" x14ac:dyDescent="0.35">
      <c r="B1956" s="38">
        <v>38457</v>
      </c>
      <c r="C1956" s="3">
        <v>1</v>
      </c>
      <c r="D1956" s="3">
        <v>1</v>
      </c>
      <c r="E1956" s="3">
        <f>C1956 - D1956</f>
        <v>0</v>
      </c>
    </row>
    <row r="1957" spans="2:5" x14ac:dyDescent="0.35">
      <c r="B1957" s="38">
        <v>38458</v>
      </c>
      <c r="C1957" s="3">
        <v>0</v>
      </c>
      <c r="D1957" s="3">
        <v>1</v>
      </c>
      <c r="E1957" s="3">
        <f>C1957 - D1957</f>
        <v>-1</v>
      </c>
    </row>
    <row r="1958" spans="2:5" x14ac:dyDescent="0.35">
      <c r="B1958" s="38">
        <v>38459</v>
      </c>
      <c r="C1958" s="3">
        <v>0</v>
      </c>
      <c r="D1958" s="3">
        <v>0</v>
      </c>
      <c r="E1958" s="3">
        <f>C1958 - D1958</f>
        <v>0</v>
      </c>
    </row>
    <row r="1959" spans="2:5" x14ac:dyDescent="0.35">
      <c r="B1959" s="38">
        <v>38460</v>
      </c>
      <c r="C1959" s="3">
        <v>0</v>
      </c>
      <c r="D1959" s="3">
        <v>0</v>
      </c>
      <c r="E1959" s="3">
        <f>C1959 - D1959</f>
        <v>0</v>
      </c>
    </row>
    <row r="1960" spans="2:5" x14ac:dyDescent="0.35">
      <c r="B1960" s="38">
        <v>38461</v>
      </c>
      <c r="C1960" s="3">
        <v>0</v>
      </c>
      <c r="D1960" s="3">
        <v>0</v>
      </c>
      <c r="E1960" s="3">
        <f>C1960 - D1960</f>
        <v>0</v>
      </c>
    </row>
    <row r="1961" spans="2:5" x14ac:dyDescent="0.35">
      <c r="B1961" s="38">
        <v>38462</v>
      </c>
      <c r="C1961" s="3">
        <v>0</v>
      </c>
      <c r="D1961" s="3">
        <v>0</v>
      </c>
      <c r="E1961" s="3">
        <f>C1961 - D1961</f>
        <v>0</v>
      </c>
    </row>
    <row r="1962" spans="2:5" x14ac:dyDescent="0.35">
      <c r="B1962" s="38">
        <v>38463</v>
      </c>
      <c r="C1962" s="3">
        <v>0</v>
      </c>
      <c r="D1962" s="3">
        <v>0</v>
      </c>
      <c r="E1962" s="3">
        <f>C1962 - D1962</f>
        <v>0</v>
      </c>
    </row>
    <row r="1963" spans="2:5" x14ac:dyDescent="0.35">
      <c r="B1963" s="38">
        <v>38464</v>
      </c>
      <c r="C1963" s="3">
        <v>0</v>
      </c>
      <c r="D1963" s="3">
        <v>0</v>
      </c>
      <c r="E1963" s="3">
        <f>C1963 - D1963</f>
        <v>0</v>
      </c>
    </row>
    <row r="1964" spans="2:5" x14ac:dyDescent="0.35">
      <c r="B1964" s="38">
        <v>38465</v>
      </c>
      <c r="C1964" s="3">
        <v>0</v>
      </c>
      <c r="D1964" s="3">
        <v>0</v>
      </c>
      <c r="E1964" s="3">
        <f>C1964 - D1964</f>
        <v>0</v>
      </c>
    </row>
    <row r="1965" spans="2:5" x14ac:dyDescent="0.35">
      <c r="B1965" s="38">
        <v>38466</v>
      </c>
      <c r="C1965" s="3">
        <v>0</v>
      </c>
      <c r="D1965" s="3">
        <v>0</v>
      </c>
      <c r="E1965" s="3">
        <f>C1965 - D1965</f>
        <v>0</v>
      </c>
    </row>
    <row r="1966" spans="2:5" x14ac:dyDescent="0.35">
      <c r="B1966" s="38">
        <v>38467</v>
      </c>
      <c r="C1966" s="3">
        <v>0</v>
      </c>
      <c r="D1966" s="3">
        <v>0</v>
      </c>
      <c r="E1966" s="3">
        <f>C1966 - D1966</f>
        <v>0</v>
      </c>
    </row>
    <row r="1967" spans="2:5" x14ac:dyDescent="0.35">
      <c r="B1967" s="38">
        <v>38468</v>
      </c>
      <c r="C1967" s="3">
        <v>0</v>
      </c>
      <c r="D1967" s="3">
        <v>0</v>
      </c>
      <c r="E1967" s="3">
        <f>C1967 - D1967</f>
        <v>0</v>
      </c>
    </row>
    <row r="1968" spans="2:5" x14ac:dyDescent="0.35">
      <c r="B1968" s="38">
        <v>38469</v>
      </c>
      <c r="C1968" s="3">
        <v>0</v>
      </c>
      <c r="D1968" s="3">
        <v>0</v>
      </c>
      <c r="E1968" s="3">
        <f>C1968 - D1968</f>
        <v>0</v>
      </c>
    </row>
    <row r="1969" spans="2:5" x14ac:dyDescent="0.35">
      <c r="B1969" s="38">
        <v>38470</v>
      </c>
      <c r="C1969" s="3">
        <v>0</v>
      </c>
      <c r="D1969" s="3">
        <v>0</v>
      </c>
      <c r="E1969" s="3">
        <f>C1969 - D1969</f>
        <v>0</v>
      </c>
    </row>
    <row r="1970" spans="2:5" x14ac:dyDescent="0.35">
      <c r="B1970" s="38">
        <v>38471</v>
      </c>
      <c r="C1970" s="3">
        <v>1</v>
      </c>
      <c r="D1970" s="3">
        <v>0</v>
      </c>
      <c r="E1970" s="3">
        <f>C1970 - D1970</f>
        <v>1</v>
      </c>
    </row>
    <row r="1971" spans="2:5" x14ac:dyDescent="0.35">
      <c r="B1971" s="38">
        <v>38472</v>
      </c>
      <c r="C1971" s="3">
        <v>0</v>
      </c>
      <c r="D1971" s="3">
        <v>1</v>
      </c>
      <c r="E1971" s="3">
        <f>C1971 - D1971</f>
        <v>-1</v>
      </c>
    </row>
    <row r="1972" spans="2:5" x14ac:dyDescent="0.35">
      <c r="B1972" s="38">
        <v>38473</v>
      </c>
      <c r="C1972" s="3">
        <v>1</v>
      </c>
      <c r="D1972" s="3">
        <v>0</v>
      </c>
      <c r="E1972" s="3">
        <f>C1972 - D1972</f>
        <v>1</v>
      </c>
    </row>
    <row r="1973" spans="2:5" x14ac:dyDescent="0.35">
      <c r="B1973" s="38">
        <v>38474</v>
      </c>
      <c r="C1973" s="3">
        <v>0</v>
      </c>
      <c r="D1973" s="3">
        <v>1</v>
      </c>
      <c r="E1973" s="3">
        <f>C1973 - D1973</f>
        <v>-1</v>
      </c>
    </row>
    <row r="1974" spans="2:5" x14ac:dyDescent="0.35">
      <c r="B1974" s="38">
        <v>38475</v>
      </c>
      <c r="C1974" s="3">
        <v>0</v>
      </c>
      <c r="D1974" s="3">
        <v>0</v>
      </c>
      <c r="E1974" s="3">
        <f>C1974 - D1974</f>
        <v>0</v>
      </c>
    </row>
    <row r="1975" spans="2:5" x14ac:dyDescent="0.35">
      <c r="B1975" s="38">
        <v>38476</v>
      </c>
      <c r="C1975" s="3">
        <v>0</v>
      </c>
      <c r="D1975" s="3">
        <v>0</v>
      </c>
      <c r="E1975" s="3">
        <f>C1975 - D1975</f>
        <v>0</v>
      </c>
    </row>
    <row r="1976" spans="2:5" x14ac:dyDescent="0.35">
      <c r="B1976" s="38">
        <v>38477</v>
      </c>
      <c r="C1976" s="3">
        <v>0</v>
      </c>
      <c r="D1976" s="3">
        <v>0</v>
      </c>
      <c r="E1976" s="3">
        <f>C1976 - D1976</f>
        <v>0</v>
      </c>
    </row>
    <row r="1977" spans="2:5" x14ac:dyDescent="0.35">
      <c r="B1977" s="38">
        <v>38478</v>
      </c>
      <c r="C1977" s="3">
        <v>1</v>
      </c>
      <c r="D1977" s="3">
        <v>0</v>
      </c>
      <c r="E1977" s="3">
        <f>C1977 - D1977</f>
        <v>1</v>
      </c>
    </row>
    <row r="1978" spans="2:5" x14ac:dyDescent="0.35">
      <c r="B1978" s="38">
        <v>38479</v>
      </c>
      <c r="C1978" s="3">
        <v>0</v>
      </c>
      <c r="D1978" s="3">
        <v>1</v>
      </c>
      <c r="E1978" s="3">
        <f>C1978 - D1978</f>
        <v>-1</v>
      </c>
    </row>
    <row r="1979" spans="2:5" x14ac:dyDescent="0.35">
      <c r="B1979" s="38">
        <v>38480</v>
      </c>
      <c r="C1979" s="3">
        <v>0</v>
      </c>
      <c r="D1979" s="3">
        <v>0</v>
      </c>
      <c r="E1979" s="3">
        <f>C1979 - D1979</f>
        <v>0</v>
      </c>
    </row>
    <row r="1980" spans="2:5" x14ac:dyDescent="0.35">
      <c r="B1980" s="38">
        <v>38481</v>
      </c>
      <c r="C1980" s="3">
        <v>0</v>
      </c>
      <c r="D1980" s="3">
        <v>0</v>
      </c>
      <c r="E1980" s="3">
        <f>C1980 - D1980</f>
        <v>0</v>
      </c>
    </row>
    <row r="1981" spans="2:5" x14ac:dyDescent="0.35">
      <c r="B1981" s="38">
        <v>38482</v>
      </c>
      <c r="C1981" s="3">
        <v>0</v>
      </c>
      <c r="D1981" s="3">
        <v>0</v>
      </c>
      <c r="E1981" s="3">
        <f>C1981 - D1981</f>
        <v>0</v>
      </c>
    </row>
    <row r="1982" spans="2:5" x14ac:dyDescent="0.35">
      <c r="B1982" s="38">
        <v>38483</v>
      </c>
      <c r="C1982" s="3">
        <v>0</v>
      </c>
      <c r="D1982" s="3">
        <v>0</v>
      </c>
      <c r="E1982" s="3">
        <f>C1982 - D1982</f>
        <v>0</v>
      </c>
    </row>
    <row r="1983" spans="2:5" x14ac:dyDescent="0.35">
      <c r="B1983" s="38">
        <v>38484</v>
      </c>
      <c r="C1983" s="3">
        <v>1</v>
      </c>
      <c r="D1983" s="3">
        <v>0</v>
      </c>
      <c r="E1983" s="3">
        <f>C1983 - D1983</f>
        <v>1</v>
      </c>
    </row>
    <row r="1984" spans="2:5" x14ac:dyDescent="0.35">
      <c r="B1984" s="38">
        <v>38485</v>
      </c>
      <c r="C1984" s="3">
        <v>0</v>
      </c>
      <c r="D1984" s="3">
        <v>1</v>
      </c>
      <c r="E1984" s="3">
        <f>C1984 - D1984</f>
        <v>-1</v>
      </c>
    </row>
    <row r="1985" spans="2:5" x14ac:dyDescent="0.35">
      <c r="B1985" s="38">
        <v>38486</v>
      </c>
      <c r="C1985" s="3">
        <v>0</v>
      </c>
      <c r="D1985" s="3">
        <v>0</v>
      </c>
      <c r="E1985" s="3">
        <f>C1985 - D1985</f>
        <v>0</v>
      </c>
    </row>
    <row r="1986" spans="2:5" x14ac:dyDescent="0.35">
      <c r="B1986" s="38">
        <v>38487</v>
      </c>
      <c r="C1986" s="3">
        <v>0</v>
      </c>
      <c r="D1986" s="3">
        <v>0</v>
      </c>
      <c r="E1986" s="3">
        <f>C1986 - D1986</f>
        <v>0</v>
      </c>
    </row>
    <row r="1987" spans="2:5" x14ac:dyDescent="0.35">
      <c r="B1987" s="38">
        <v>38488</v>
      </c>
      <c r="C1987" s="3">
        <v>0</v>
      </c>
      <c r="D1987" s="3">
        <v>0</v>
      </c>
      <c r="E1987" s="3">
        <f>C1987 - D1987</f>
        <v>0</v>
      </c>
    </row>
    <row r="1988" spans="2:5" x14ac:dyDescent="0.35">
      <c r="B1988" s="38">
        <v>38489</v>
      </c>
      <c r="C1988" s="3">
        <v>0</v>
      </c>
      <c r="D1988" s="3">
        <v>0</v>
      </c>
      <c r="E1988" s="3">
        <f>C1988 - D1988</f>
        <v>0</v>
      </c>
    </row>
    <row r="1989" spans="2:5" x14ac:dyDescent="0.35">
      <c r="B1989" s="38">
        <v>38490</v>
      </c>
      <c r="C1989" s="3">
        <v>0</v>
      </c>
      <c r="D1989" s="3">
        <v>0</v>
      </c>
      <c r="E1989" s="3">
        <f>C1989 - D1989</f>
        <v>0</v>
      </c>
    </row>
    <row r="1990" spans="2:5" x14ac:dyDescent="0.35">
      <c r="B1990" s="38">
        <v>38491</v>
      </c>
      <c r="C1990" s="3">
        <v>0</v>
      </c>
      <c r="D1990" s="3">
        <v>0</v>
      </c>
      <c r="E1990" s="3">
        <f>C1990 - D1990</f>
        <v>0</v>
      </c>
    </row>
    <row r="1991" spans="2:5" x14ac:dyDescent="0.35">
      <c r="B1991" s="38">
        <v>38492</v>
      </c>
      <c r="C1991" s="3">
        <v>0</v>
      </c>
      <c r="D1991" s="3">
        <v>0</v>
      </c>
      <c r="E1991" s="3">
        <f>C1991 - D1991</f>
        <v>0</v>
      </c>
    </row>
    <row r="1992" spans="2:5" x14ac:dyDescent="0.35">
      <c r="B1992" s="38">
        <v>38493</v>
      </c>
      <c r="C1992" s="3">
        <v>0</v>
      </c>
      <c r="D1992" s="3">
        <v>0</v>
      </c>
      <c r="E1992" s="3">
        <f>C1992 - D1992</f>
        <v>0</v>
      </c>
    </row>
    <row r="1993" spans="2:5" x14ac:dyDescent="0.35">
      <c r="B1993" s="38">
        <v>38494</v>
      </c>
      <c r="C1993" s="3">
        <v>0</v>
      </c>
      <c r="D1993" s="3">
        <v>0</v>
      </c>
      <c r="E1993" s="3">
        <f>C1993 - D1993</f>
        <v>0</v>
      </c>
    </row>
    <row r="1994" spans="2:5" x14ac:dyDescent="0.35">
      <c r="B1994" s="38">
        <v>38495</v>
      </c>
      <c r="C1994" s="3">
        <v>0</v>
      </c>
      <c r="D1994" s="3">
        <v>0</v>
      </c>
      <c r="E1994" s="3">
        <f>C1994 - D1994</f>
        <v>0</v>
      </c>
    </row>
    <row r="1995" spans="2:5" x14ac:dyDescent="0.35">
      <c r="B1995" s="38">
        <v>38496</v>
      </c>
      <c r="C1995" s="3">
        <v>1</v>
      </c>
      <c r="D1995" s="3">
        <v>0</v>
      </c>
      <c r="E1995" s="3">
        <f>C1995 - D1995</f>
        <v>1</v>
      </c>
    </row>
    <row r="1996" spans="2:5" x14ac:dyDescent="0.35">
      <c r="B1996" s="38">
        <v>38497</v>
      </c>
      <c r="C1996" s="3">
        <v>1</v>
      </c>
      <c r="D1996" s="3">
        <v>1</v>
      </c>
      <c r="E1996" s="3">
        <f>C1996 - D1996</f>
        <v>0</v>
      </c>
    </row>
    <row r="1997" spans="2:5" x14ac:dyDescent="0.35">
      <c r="B1997" s="38">
        <v>38498</v>
      </c>
      <c r="C1997" s="3">
        <v>1</v>
      </c>
      <c r="D1997" s="3">
        <v>1</v>
      </c>
      <c r="E1997" s="3">
        <f>C1997 - D1997</f>
        <v>0</v>
      </c>
    </row>
    <row r="1998" spans="2:5" x14ac:dyDescent="0.35">
      <c r="B1998" s="38">
        <v>38499</v>
      </c>
      <c r="C1998" s="3">
        <v>1</v>
      </c>
      <c r="D1998" s="3">
        <v>1</v>
      </c>
      <c r="E1998" s="3">
        <f>C1998 - D1998</f>
        <v>0</v>
      </c>
    </row>
    <row r="1999" spans="2:5" x14ac:dyDescent="0.35">
      <c r="B1999" s="38">
        <v>38500</v>
      </c>
      <c r="C1999" s="3">
        <v>1</v>
      </c>
      <c r="D1999" s="3">
        <v>1</v>
      </c>
      <c r="E1999" s="3">
        <f>C1999 - D1999</f>
        <v>0</v>
      </c>
    </row>
    <row r="2000" spans="2:5" x14ac:dyDescent="0.35">
      <c r="B2000" s="38">
        <v>38501</v>
      </c>
      <c r="C2000" s="3">
        <v>1</v>
      </c>
      <c r="D2000" s="3">
        <v>1</v>
      </c>
      <c r="E2000" s="3">
        <f>C2000 - D2000</f>
        <v>0</v>
      </c>
    </row>
    <row r="2001" spans="2:5" x14ac:dyDescent="0.35">
      <c r="B2001" s="38">
        <v>38502</v>
      </c>
      <c r="C2001" s="3">
        <v>0</v>
      </c>
      <c r="D2001" s="3">
        <v>1</v>
      </c>
      <c r="E2001" s="3">
        <f>C2001 - D2001</f>
        <v>-1</v>
      </c>
    </row>
    <row r="2002" spans="2:5" x14ac:dyDescent="0.35">
      <c r="B2002" s="38">
        <v>38503</v>
      </c>
      <c r="C2002" s="3">
        <v>0</v>
      </c>
      <c r="D2002" s="3">
        <v>0</v>
      </c>
      <c r="E2002" s="3">
        <f>C2002 - D2002</f>
        <v>0</v>
      </c>
    </row>
    <row r="2003" spans="2:5" x14ac:dyDescent="0.35">
      <c r="B2003" s="38">
        <v>38504</v>
      </c>
      <c r="C2003" s="3">
        <v>1</v>
      </c>
      <c r="D2003" s="3">
        <v>0</v>
      </c>
      <c r="E2003" s="3">
        <f>C2003 - D2003</f>
        <v>1</v>
      </c>
    </row>
    <row r="2004" spans="2:5" x14ac:dyDescent="0.35">
      <c r="B2004" s="38">
        <v>38505</v>
      </c>
      <c r="C2004" s="3">
        <v>0</v>
      </c>
      <c r="D2004" s="3">
        <v>1</v>
      </c>
      <c r="E2004" s="3">
        <f>C2004 - D2004</f>
        <v>-1</v>
      </c>
    </row>
    <row r="2005" spans="2:5" x14ac:dyDescent="0.35">
      <c r="B2005" s="38">
        <v>38506</v>
      </c>
      <c r="C2005" s="3">
        <v>0</v>
      </c>
      <c r="D2005" s="3">
        <v>0</v>
      </c>
      <c r="E2005" s="3">
        <f>C2005 - D2005</f>
        <v>0</v>
      </c>
    </row>
    <row r="2006" spans="2:5" x14ac:dyDescent="0.35">
      <c r="B2006" s="38">
        <v>38507</v>
      </c>
      <c r="C2006" s="3">
        <v>0</v>
      </c>
      <c r="D2006" s="3">
        <v>0</v>
      </c>
      <c r="E2006" s="3">
        <f>C2006 - D2006</f>
        <v>0</v>
      </c>
    </row>
    <row r="2007" spans="2:5" x14ac:dyDescent="0.35">
      <c r="B2007" s="38">
        <v>38508</v>
      </c>
      <c r="C2007" s="3">
        <v>0</v>
      </c>
      <c r="D2007" s="3">
        <v>0</v>
      </c>
      <c r="E2007" s="3">
        <f>C2007 - D2007</f>
        <v>0</v>
      </c>
    </row>
    <row r="2008" spans="2:5" x14ac:dyDescent="0.35">
      <c r="B2008" s="38">
        <v>38509</v>
      </c>
      <c r="C2008" s="3">
        <v>0</v>
      </c>
      <c r="D2008" s="3">
        <v>0</v>
      </c>
      <c r="E2008" s="3">
        <f>C2008 - D2008</f>
        <v>0</v>
      </c>
    </row>
    <row r="2009" spans="2:5" x14ac:dyDescent="0.35">
      <c r="B2009" s="38">
        <v>38510</v>
      </c>
      <c r="C2009" s="3">
        <v>0</v>
      </c>
      <c r="D2009" s="3">
        <v>0</v>
      </c>
      <c r="E2009" s="3">
        <f>C2009 - D2009</f>
        <v>0</v>
      </c>
    </row>
    <row r="2010" spans="2:5" x14ac:dyDescent="0.35">
      <c r="B2010" s="38">
        <v>38511</v>
      </c>
      <c r="C2010" s="3">
        <v>0</v>
      </c>
      <c r="D2010" s="3">
        <v>0</v>
      </c>
      <c r="E2010" s="3">
        <f>C2010 - D2010</f>
        <v>0</v>
      </c>
    </row>
    <row r="2011" spans="2:5" x14ac:dyDescent="0.35">
      <c r="B2011" s="38">
        <v>38512</v>
      </c>
      <c r="C2011" s="3">
        <v>1</v>
      </c>
      <c r="D2011" s="3">
        <v>0</v>
      </c>
      <c r="E2011" s="3">
        <f>C2011 - D2011</f>
        <v>1</v>
      </c>
    </row>
    <row r="2012" spans="2:5" x14ac:dyDescent="0.35">
      <c r="B2012" s="38">
        <v>38513</v>
      </c>
      <c r="C2012" s="3">
        <v>1</v>
      </c>
      <c r="D2012" s="3">
        <v>1</v>
      </c>
      <c r="E2012" s="3">
        <f>C2012 - D2012</f>
        <v>0</v>
      </c>
    </row>
    <row r="2013" spans="2:5" x14ac:dyDescent="0.35">
      <c r="B2013" s="38">
        <v>38514</v>
      </c>
      <c r="C2013" s="3">
        <v>1</v>
      </c>
      <c r="D2013" s="3">
        <v>1</v>
      </c>
      <c r="E2013" s="3">
        <f>C2013 - D2013</f>
        <v>0</v>
      </c>
    </row>
    <row r="2014" spans="2:5" x14ac:dyDescent="0.35">
      <c r="B2014" s="38">
        <v>38515</v>
      </c>
      <c r="C2014" s="3">
        <v>1</v>
      </c>
      <c r="D2014" s="3">
        <v>1</v>
      </c>
      <c r="E2014" s="3">
        <f>C2014 - D2014</f>
        <v>0</v>
      </c>
    </row>
    <row r="2015" spans="2:5" x14ac:dyDescent="0.35">
      <c r="B2015" s="38">
        <v>38516</v>
      </c>
      <c r="C2015" s="3">
        <v>0</v>
      </c>
      <c r="D2015" s="3">
        <v>1</v>
      </c>
      <c r="E2015" s="3">
        <f>C2015 - D2015</f>
        <v>-1</v>
      </c>
    </row>
    <row r="2016" spans="2:5" x14ac:dyDescent="0.35">
      <c r="B2016" s="38">
        <v>38517</v>
      </c>
      <c r="C2016" s="3">
        <v>1</v>
      </c>
      <c r="D2016" s="3">
        <v>0</v>
      </c>
      <c r="E2016" s="3">
        <f>C2016 - D2016</f>
        <v>1</v>
      </c>
    </row>
    <row r="2017" spans="2:5" x14ac:dyDescent="0.35">
      <c r="B2017" s="38">
        <v>38518</v>
      </c>
      <c r="C2017" s="3">
        <v>0</v>
      </c>
      <c r="D2017" s="3">
        <v>1</v>
      </c>
      <c r="E2017" s="3">
        <f>C2017 - D2017</f>
        <v>-1</v>
      </c>
    </row>
    <row r="2018" spans="2:5" x14ac:dyDescent="0.35">
      <c r="B2018" s="38">
        <v>38519</v>
      </c>
      <c r="C2018" s="3">
        <v>1</v>
      </c>
      <c r="D2018" s="3">
        <v>0</v>
      </c>
      <c r="E2018" s="3">
        <f>C2018 - D2018</f>
        <v>1</v>
      </c>
    </row>
    <row r="2019" spans="2:5" x14ac:dyDescent="0.35">
      <c r="B2019" s="38">
        <v>38520</v>
      </c>
      <c r="C2019" s="3">
        <v>1</v>
      </c>
      <c r="D2019" s="3">
        <v>1</v>
      </c>
      <c r="E2019" s="3">
        <f>C2019 - D2019</f>
        <v>0</v>
      </c>
    </row>
    <row r="2020" spans="2:5" x14ac:dyDescent="0.35">
      <c r="B2020" s="38">
        <v>38521</v>
      </c>
      <c r="C2020" s="3">
        <v>0</v>
      </c>
      <c r="D2020" s="3">
        <v>1</v>
      </c>
      <c r="E2020" s="3">
        <f>C2020 - D2020</f>
        <v>-1</v>
      </c>
    </row>
    <row r="2021" spans="2:5" x14ac:dyDescent="0.35">
      <c r="B2021" s="38">
        <v>38522</v>
      </c>
      <c r="C2021" s="3">
        <v>1</v>
      </c>
      <c r="D2021" s="3">
        <v>0</v>
      </c>
      <c r="E2021" s="3">
        <f>C2021 - D2021</f>
        <v>1</v>
      </c>
    </row>
    <row r="2022" spans="2:5" x14ac:dyDescent="0.35">
      <c r="B2022" s="38">
        <v>38523</v>
      </c>
      <c r="C2022" s="3">
        <v>1</v>
      </c>
      <c r="D2022" s="3">
        <v>1</v>
      </c>
      <c r="E2022" s="3">
        <f>C2022 - D2022</f>
        <v>0</v>
      </c>
    </row>
    <row r="2023" spans="2:5" x14ac:dyDescent="0.35">
      <c r="B2023" s="38">
        <v>38524</v>
      </c>
      <c r="C2023" s="3">
        <v>1</v>
      </c>
      <c r="D2023" s="3">
        <v>1</v>
      </c>
      <c r="E2023" s="3">
        <f>C2023 - D2023</f>
        <v>0</v>
      </c>
    </row>
    <row r="2024" spans="2:5" x14ac:dyDescent="0.35">
      <c r="B2024" s="38">
        <v>38525</v>
      </c>
      <c r="C2024" s="3">
        <v>1</v>
      </c>
      <c r="D2024" s="3">
        <v>1</v>
      </c>
      <c r="E2024" s="3">
        <f>C2024 - D2024</f>
        <v>0</v>
      </c>
    </row>
    <row r="2025" spans="2:5" x14ac:dyDescent="0.35">
      <c r="B2025" s="38">
        <v>38526</v>
      </c>
      <c r="C2025" s="3">
        <v>1</v>
      </c>
      <c r="D2025" s="3">
        <v>1</v>
      </c>
      <c r="E2025" s="3">
        <f>C2025 - D2025</f>
        <v>0</v>
      </c>
    </row>
    <row r="2026" spans="2:5" x14ac:dyDescent="0.35">
      <c r="B2026" s="38">
        <v>38527</v>
      </c>
      <c r="C2026" s="3">
        <v>0</v>
      </c>
      <c r="D2026" s="3">
        <v>1</v>
      </c>
      <c r="E2026" s="3">
        <f>C2026 - D2026</f>
        <v>-1</v>
      </c>
    </row>
    <row r="2027" spans="2:5" x14ac:dyDescent="0.35">
      <c r="B2027" s="38">
        <v>38528</v>
      </c>
      <c r="C2027" s="3">
        <v>0</v>
      </c>
      <c r="D2027" s="3">
        <v>0</v>
      </c>
      <c r="E2027" s="3">
        <f>C2027 - D2027</f>
        <v>0</v>
      </c>
    </row>
    <row r="2028" spans="2:5" x14ac:dyDescent="0.35">
      <c r="B2028" s="38">
        <v>38529</v>
      </c>
      <c r="C2028" s="3">
        <v>0</v>
      </c>
      <c r="D2028" s="3">
        <v>0</v>
      </c>
      <c r="E2028" s="3">
        <f>C2028 - D2028</f>
        <v>0</v>
      </c>
    </row>
    <row r="2029" spans="2:5" x14ac:dyDescent="0.35">
      <c r="B2029" s="38">
        <v>38530</v>
      </c>
      <c r="C2029" s="3">
        <v>0</v>
      </c>
      <c r="D2029" s="3">
        <v>0</v>
      </c>
      <c r="E2029" s="3">
        <f>C2029 - D2029</f>
        <v>0</v>
      </c>
    </row>
    <row r="2030" spans="2:5" x14ac:dyDescent="0.35">
      <c r="B2030" s="38">
        <v>38531</v>
      </c>
      <c r="C2030" s="3">
        <v>0</v>
      </c>
      <c r="D2030" s="3">
        <v>0</v>
      </c>
      <c r="E2030" s="3">
        <f>C2030 - D2030</f>
        <v>0</v>
      </c>
    </row>
    <row r="2031" spans="2:5" x14ac:dyDescent="0.35">
      <c r="B2031" s="38">
        <v>38532</v>
      </c>
      <c r="C2031" s="3">
        <v>0</v>
      </c>
      <c r="D2031" s="3">
        <v>0</v>
      </c>
      <c r="E2031" s="3">
        <f>C2031 - D2031</f>
        <v>0</v>
      </c>
    </row>
    <row r="2032" spans="2:5" x14ac:dyDescent="0.35">
      <c r="B2032" s="38">
        <v>38533</v>
      </c>
      <c r="C2032" s="3">
        <v>0</v>
      </c>
      <c r="D2032" s="3">
        <v>0</v>
      </c>
      <c r="E2032" s="3">
        <f>C2032 - D2032</f>
        <v>0</v>
      </c>
    </row>
    <row r="2033" spans="2:5" x14ac:dyDescent="0.35">
      <c r="B2033" s="38">
        <v>38534</v>
      </c>
      <c r="C2033" s="3">
        <v>1</v>
      </c>
      <c r="D2033" s="3">
        <v>0</v>
      </c>
      <c r="E2033" s="3">
        <f>C2033 - D2033</f>
        <v>1</v>
      </c>
    </row>
    <row r="2034" spans="2:5" x14ac:dyDescent="0.35">
      <c r="B2034" s="38">
        <v>38535</v>
      </c>
      <c r="C2034" s="3">
        <v>1</v>
      </c>
      <c r="D2034" s="3">
        <v>1</v>
      </c>
      <c r="E2034" s="3">
        <f>C2034 - D2034</f>
        <v>0</v>
      </c>
    </row>
    <row r="2035" spans="2:5" x14ac:dyDescent="0.35">
      <c r="B2035" s="38">
        <v>38536</v>
      </c>
      <c r="C2035" s="3">
        <v>1</v>
      </c>
      <c r="D2035" s="3">
        <v>1</v>
      </c>
      <c r="E2035" s="3">
        <f>C2035 - D2035</f>
        <v>0</v>
      </c>
    </row>
    <row r="2036" spans="2:5" x14ac:dyDescent="0.35">
      <c r="B2036" s="38">
        <v>38537</v>
      </c>
      <c r="C2036" s="3">
        <v>0</v>
      </c>
      <c r="D2036" s="3">
        <v>1</v>
      </c>
      <c r="E2036" s="3">
        <f>C2036 - D2036</f>
        <v>-1</v>
      </c>
    </row>
    <row r="2037" spans="2:5" x14ac:dyDescent="0.35">
      <c r="B2037" s="38">
        <v>38538</v>
      </c>
      <c r="C2037" s="3">
        <v>0</v>
      </c>
      <c r="D2037" s="3">
        <v>0</v>
      </c>
      <c r="E2037" s="3">
        <f>C2037 - D2037</f>
        <v>0</v>
      </c>
    </row>
    <row r="2038" spans="2:5" x14ac:dyDescent="0.35">
      <c r="B2038" s="38">
        <v>38539</v>
      </c>
      <c r="C2038" s="3">
        <v>0</v>
      </c>
      <c r="D2038" s="3">
        <v>0</v>
      </c>
      <c r="E2038" s="3">
        <f>C2038 - D2038</f>
        <v>0</v>
      </c>
    </row>
    <row r="2039" spans="2:5" x14ac:dyDescent="0.35">
      <c r="B2039" s="38">
        <v>38540</v>
      </c>
      <c r="C2039" s="3">
        <v>0</v>
      </c>
      <c r="D2039" s="3">
        <v>0</v>
      </c>
      <c r="E2039" s="3">
        <f>C2039 - D2039</f>
        <v>0</v>
      </c>
    </row>
    <row r="2040" spans="2:5" x14ac:dyDescent="0.35">
      <c r="B2040" s="38">
        <v>38541</v>
      </c>
      <c r="C2040" s="3">
        <v>0</v>
      </c>
      <c r="D2040" s="3">
        <v>0</v>
      </c>
      <c r="E2040" s="3">
        <f>C2040 - D2040</f>
        <v>0</v>
      </c>
    </row>
    <row r="2041" spans="2:5" x14ac:dyDescent="0.35">
      <c r="B2041" s="38">
        <v>38542</v>
      </c>
      <c r="C2041" s="3">
        <v>1</v>
      </c>
      <c r="D2041" s="3">
        <v>0</v>
      </c>
      <c r="E2041" s="3">
        <f>C2041 - D2041</f>
        <v>1</v>
      </c>
    </row>
    <row r="2042" spans="2:5" x14ac:dyDescent="0.35">
      <c r="B2042" s="38">
        <v>38543</v>
      </c>
      <c r="C2042" s="3">
        <v>1</v>
      </c>
      <c r="D2042" s="3">
        <v>1</v>
      </c>
      <c r="E2042" s="3">
        <f>C2042 - D2042</f>
        <v>0</v>
      </c>
    </row>
    <row r="2043" spans="2:5" x14ac:dyDescent="0.35">
      <c r="B2043" s="38">
        <v>38544</v>
      </c>
      <c r="C2043" s="3">
        <v>1</v>
      </c>
      <c r="D2043" s="3">
        <v>1</v>
      </c>
      <c r="E2043" s="3">
        <f>C2043 - D2043</f>
        <v>0</v>
      </c>
    </row>
    <row r="2044" spans="2:5" x14ac:dyDescent="0.35">
      <c r="B2044" s="38">
        <v>38545</v>
      </c>
      <c r="C2044" s="3">
        <v>0</v>
      </c>
      <c r="D2044" s="3">
        <v>1</v>
      </c>
      <c r="E2044" s="3">
        <f>C2044 - D2044</f>
        <v>-1</v>
      </c>
    </row>
    <row r="2045" spans="2:5" x14ac:dyDescent="0.35">
      <c r="B2045" s="38">
        <v>38546</v>
      </c>
      <c r="C2045" s="3">
        <v>1</v>
      </c>
      <c r="D2045" s="3">
        <v>0</v>
      </c>
      <c r="E2045" s="3">
        <f>C2045 - D2045</f>
        <v>1</v>
      </c>
    </row>
    <row r="2046" spans="2:5" x14ac:dyDescent="0.35">
      <c r="B2046" s="38">
        <v>38547</v>
      </c>
      <c r="C2046" s="3">
        <v>1</v>
      </c>
      <c r="D2046" s="3">
        <v>1</v>
      </c>
      <c r="E2046" s="3">
        <f>C2046 - D2046</f>
        <v>0</v>
      </c>
    </row>
    <row r="2047" spans="2:5" x14ac:dyDescent="0.35">
      <c r="B2047" s="38">
        <v>38548</v>
      </c>
      <c r="C2047" s="3">
        <v>1</v>
      </c>
      <c r="D2047" s="3">
        <v>1</v>
      </c>
      <c r="E2047" s="3">
        <f>C2047 - D2047</f>
        <v>0</v>
      </c>
    </row>
    <row r="2048" spans="2:5" x14ac:dyDescent="0.35">
      <c r="B2048" s="38">
        <v>38549</v>
      </c>
      <c r="C2048" s="3">
        <v>0</v>
      </c>
      <c r="D2048" s="3">
        <v>1</v>
      </c>
      <c r="E2048" s="3">
        <f>C2048 - D2048</f>
        <v>-1</v>
      </c>
    </row>
    <row r="2049" spans="2:5" x14ac:dyDescent="0.35">
      <c r="B2049" s="38">
        <v>38550</v>
      </c>
      <c r="C2049" s="3">
        <v>1</v>
      </c>
      <c r="D2049" s="3">
        <v>0</v>
      </c>
      <c r="E2049" s="3">
        <f>C2049 - D2049</f>
        <v>1</v>
      </c>
    </row>
    <row r="2050" spans="2:5" x14ac:dyDescent="0.35">
      <c r="B2050" s="38">
        <v>38551</v>
      </c>
      <c r="C2050" s="3">
        <v>0</v>
      </c>
      <c r="D2050" s="3">
        <v>1</v>
      </c>
      <c r="E2050" s="3">
        <f>C2050 - D2050</f>
        <v>-1</v>
      </c>
    </row>
    <row r="2051" spans="2:5" x14ac:dyDescent="0.35">
      <c r="B2051" s="38">
        <v>38552</v>
      </c>
      <c r="C2051" s="3">
        <v>0</v>
      </c>
      <c r="D2051" s="3">
        <v>0</v>
      </c>
      <c r="E2051" s="3">
        <f>C2051 - D2051</f>
        <v>0</v>
      </c>
    </row>
    <row r="2052" spans="2:5" x14ac:dyDescent="0.35">
      <c r="B2052" s="38">
        <v>38553</v>
      </c>
      <c r="C2052" s="3">
        <v>0</v>
      </c>
      <c r="D2052" s="3">
        <v>0</v>
      </c>
      <c r="E2052" s="3">
        <f>C2052 - D2052</f>
        <v>0</v>
      </c>
    </row>
    <row r="2053" spans="2:5" x14ac:dyDescent="0.35">
      <c r="B2053" s="38">
        <v>38554</v>
      </c>
      <c r="C2053" s="3">
        <v>0</v>
      </c>
      <c r="D2053" s="3">
        <v>0</v>
      </c>
      <c r="E2053" s="3">
        <f>C2053 - D2053</f>
        <v>0</v>
      </c>
    </row>
    <row r="2054" spans="2:5" x14ac:dyDescent="0.35">
      <c r="B2054" s="38">
        <v>38555</v>
      </c>
      <c r="C2054" s="3">
        <v>0</v>
      </c>
      <c r="D2054" s="3">
        <v>0</v>
      </c>
      <c r="E2054" s="3">
        <f>C2054 - D2054</f>
        <v>0</v>
      </c>
    </row>
    <row r="2055" spans="2:5" x14ac:dyDescent="0.35">
      <c r="B2055" s="38">
        <v>38556</v>
      </c>
      <c r="C2055" s="3">
        <v>0</v>
      </c>
      <c r="D2055" s="3">
        <v>0</v>
      </c>
      <c r="E2055" s="3">
        <f>C2055 - D2055</f>
        <v>0</v>
      </c>
    </row>
    <row r="2056" spans="2:5" x14ac:dyDescent="0.35">
      <c r="B2056" s="38">
        <v>38557</v>
      </c>
      <c r="C2056" s="3">
        <v>0</v>
      </c>
      <c r="D2056" s="3">
        <v>0</v>
      </c>
      <c r="E2056" s="3">
        <f>C2056 - D2056</f>
        <v>0</v>
      </c>
    </row>
    <row r="2057" spans="2:5" x14ac:dyDescent="0.35">
      <c r="B2057" s="38">
        <v>38558</v>
      </c>
      <c r="C2057" s="3">
        <v>1</v>
      </c>
      <c r="D2057" s="3">
        <v>0</v>
      </c>
      <c r="E2057" s="3">
        <f>C2057 - D2057</f>
        <v>1</v>
      </c>
    </row>
    <row r="2058" spans="2:5" x14ac:dyDescent="0.35">
      <c r="B2058" s="38">
        <v>38559</v>
      </c>
      <c r="C2058" s="3">
        <v>1</v>
      </c>
      <c r="D2058" s="3">
        <v>1</v>
      </c>
      <c r="E2058" s="3">
        <f>C2058 - D2058</f>
        <v>0</v>
      </c>
    </row>
    <row r="2059" spans="2:5" x14ac:dyDescent="0.35">
      <c r="B2059" s="38">
        <v>38560</v>
      </c>
      <c r="C2059" s="3">
        <v>1</v>
      </c>
      <c r="D2059" s="3">
        <v>1</v>
      </c>
      <c r="E2059" s="3">
        <f>C2059 - D2059</f>
        <v>0</v>
      </c>
    </row>
    <row r="2060" spans="2:5" x14ac:dyDescent="0.35">
      <c r="B2060" s="38">
        <v>38561</v>
      </c>
      <c r="C2060" s="3">
        <v>0</v>
      </c>
      <c r="D2060" s="3">
        <v>1</v>
      </c>
      <c r="E2060" s="3">
        <f>C2060 - D2060</f>
        <v>-1</v>
      </c>
    </row>
    <row r="2061" spans="2:5" x14ac:dyDescent="0.35">
      <c r="B2061" s="38">
        <v>38562</v>
      </c>
      <c r="C2061" s="3">
        <v>0</v>
      </c>
      <c r="D2061" s="3">
        <v>0</v>
      </c>
      <c r="E2061" s="3">
        <f>C2061 - D2061</f>
        <v>0</v>
      </c>
    </row>
    <row r="2062" spans="2:5" x14ac:dyDescent="0.35">
      <c r="B2062" s="38">
        <v>38563</v>
      </c>
      <c r="C2062" s="3">
        <v>0</v>
      </c>
      <c r="D2062" s="3">
        <v>0</v>
      </c>
      <c r="E2062" s="3">
        <f>C2062 - D2062</f>
        <v>0</v>
      </c>
    </row>
    <row r="2063" spans="2:5" x14ac:dyDescent="0.35">
      <c r="B2063" s="38">
        <v>38564</v>
      </c>
      <c r="C2063" s="3">
        <v>0</v>
      </c>
      <c r="D2063" s="3">
        <v>0</v>
      </c>
      <c r="E2063" s="3">
        <f>C2063 - D2063</f>
        <v>0</v>
      </c>
    </row>
    <row r="2064" spans="2:5" x14ac:dyDescent="0.35">
      <c r="B2064" s="38">
        <v>38565</v>
      </c>
      <c r="C2064" s="3">
        <v>0</v>
      </c>
      <c r="D2064" s="3">
        <v>0</v>
      </c>
      <c r="E2064" s="3">
        <f>C2064 - D2064</f>
        <v>0</v>
      </c>
    </row>
    <row r="2065" spans="2:5" x14ac:dyDescent="0.35">
      <c r="B2065" s="38">
        <v>38566</v>
      </c>
      <c r="C2065" s="3">
        <v>0</v>
      </c>
      <c r="D2065" s="3">
        <v>0</v>
      </c>
      <c r="E2065" s="3">
        <f>C2065 - D2065</f>
        <v>0</v>
      </c>
    </row>
    <row r="2066" spans="2:5" x14ac:dyDescent="0.35">
      <c r="B2066" s="38">
        <v>38567</v>
      </c>
      <c r="C2066" s="3">
        <v>0</v>
      </c>
      <c r="D2066" s="3">
        <v>0</v>
      </c>
      <c r="E2066" s="3">
        <f>C2066 - D2066</f>
        <v>0</v>
      </c>
    </row>
    <row r="2067" spans="2:5" x14ac:dyDescent="0.35">
      <c r="B2067" s="38">
        <v>38568</v>
      </c>
      <c r="C2067" s="3">
        <v>1</v>
      </c>
      <c r="D2067" s="3">
        <v>0</v>
      </c>
      <c r="E2067" s="3">
        <f>C2067 - D2067</f>
        <v>1</v>
      </c>
    </row>
    <row r="2068" spans="2:5" x14ac:dyDescent="0.35">
      <c r="B2068" s="38">
        <v>38569</v>
      </c>
      <c r="C2068" s="3">
        <v>1</v>
      </c>
      <c r="D2068" s="3">
        <v>1</v>
      </c>
      <c r="E2068" s="3">
        <f>C2068 - D2068</f>
        <v>0</v>
      </c>
    </row>
    <row r="2069" spans="2:5" x14ac:dyDescent="0.35">
      <c r="B2069" s="38">
        <v>38570</v>
      </c>
      <c r="C2069" s="3">
        <v>0</v>
      </c>
      <c r="D2069" s="3">
        <v>1</v>
      </c>
      <c r="E2069" s="3">
        <f>C2069 - D2069</f>
        <v>-1</v>
      </c>
    </row>
    <row r="2070" spans="2:5" x14ac:dyDescent="0.35">
      <c r="B2070" s="38">
        <v>38571</v>
      </c>
      <c r="C2070" s="3">
        <v>0</v>
      </c>
      <c r="D2070" s="3">
        <v>0</v>
      </c>
      <c r="E2070" s="3">
        <f>C2070 - D2070</f>
        <v>0</v>
      </c>
    </row>
    <row r="2071" spans="2:5" x14ac:dyDescent="0.35">
      <c r="B2071" s="38">
        <v>38572</v>
      </c>
      <c r="C2071" s="3">
        <v>1</v>
      </c>
      <c r="D2071" s="3">
        <v>0</v>
      </c>
      <c r="E2071" s="3">
        <f>C2071 - D2071</f>
        <v>1</v>
      </c>
    </row>
    <row r="2072" spans="2:5" x14ac:dyDescent="0.35">
      <c r="B2072" s="38">
        <v>38573</v>
      </c>
      <c r="C2072" s="3">
        <v>0</v>
      </c>
      <c r="D2072" s="3">
        <v>1</v>
      </c>
      <c r="E2072" s="3">
        <f>C2072 - D2072</f>
        <v>-1</v>
      </c>
    </row>
    <row r="2073" spans="2:5" x14ac:dyDescent="0.35">
      <c r="B2073" s="38">
        <v>38574</v>
      </c>
      <c r="C2073" s="3">
        <v>1</v>
      </c>
      <c r="D2073" s="3">
        <v>0</v>
      </c>
      <c r="E2073" s="3">
        <f>C2073 - D2073</f>
        <v>1</v>
      </c>
    </row>
    <row r="2074" spans="2:5" x14ac:dyDescent="0.35">
      <c r="B2074" s="38">
        <v>38575</v>
      </c>
      <c r="C2074" s="3">
        <v>0</v>
      </c>
      <c r="D2074" s="3">
        <v>1</v>
      </c>
      <c r="E2074" s="3">
        <f>C2074 - D2074</f>
        <v>-1</v>
      </c>
    </row>
    <row r="2075" spans="2:5" x14ac:dyDescent="0.35">
      <c r="B2075" s="38">
        <v>38576</v>
      </c>
      <c r="C2075" s="3">
        <v>1</v>
      </c>
      <c r="D2075" s="3">
        <v>0</v>
      </c>
      <c r="E2075" s="3">
        <f>C2075 - D2075</f>
        <v>1</v>
      </c>
    </row>
    <row r="2076" spans="2:5" x14ac:dyDescent="0.35">
      <c r="B2076" s="38">
        <v>38577</v>
      </c>
      <c r="C2076" s="3">
        <v>1</v>
      </c>
      <c r="D2076" s="3">
        <v>1</v>
      </c>
      <c r="E2076" s="3">
        <f>C2076 - D2076</f>
        <v>0</v>
      </c>
    </row>
    <row r="2077" spans="2:5" x14ac:dyDescent="0.35">
      <c r="B2077" s="38">
        <v>38578</v>
      </c>
      <c r="C2077" s="3">
        <v>0</v>
      </c>
      <c r="D2077" s="3">
        <v>1</v>
      </c>
      <c r="E2077" s="3">
        <f>C2077 - D2077</f>
        <v>-1</v>
      </c>
    </row>
    <row r="2078" spans="2:5" x14ac:dyDescent="0.35">
      <c r="B2078" s="38">
        <v>38579</v>
      </c>
      <c r="C2078" s="3">
        <v>1</v>
      </c>
      <c r="D2078" s="3">
        <v>0</v>
      </c>
      <c r="E2078" s="3">
        <f>C2078 - D2078</f>
        <v>1</v>
      </c>
    </row>
    <row r="2079" spans="2:5" x14ac:dyDescent="0.35">
      <c r="B2079" s="38">
        <v>38580</v>
      </c>
      <c r="C2079" s="3">
        <v>1</v>
      </c>
      <c r="D2079" s="3">
        <v>1</v>
      </c>
      <c r="E2079" s="3">
        <f>C2079 - D2079</f>
        <v>0</v>
      </c>
    </row>
    <row r="2080" spans="2:5" x14ac:dyDescent="0.35">
      <c r="B2080" s="38">
        <v>38581</v>
      </c>
      <c r="C2080" s="3">
        <v>0</v>
      </c>
      <c r="D2080" s="3">
        <v>1</v>
      </c>
      <c r="E2080" s="3">
        <f>C2080 - D2080</f>
        <v>-1</v>
      </c>
    </row>
    <row r="2081" spans="2:5" x14ac:dyDescent="0.35">
      <c r="B2081" s="38">
        <v>38582</v>
      </c>
      <c r="C2081" s="3">
        <v>0</v>
      </c>
      <c r="D2081" s="3">
        <v>0</v>
      </c>
      <c r="E2081" s="3">
        <f>C2081 - D2081</f>
        <v>0</v>
      </c>
    </row>
    <row r="2082" spans="2:5" x14ac:dyDescent="0.35">
      <c r="B2082" s="38">
        <v>38583</v>
      </c>
      <c r="C2082" s="3">
        <v>0</v>
      </c>
      <c r="D2082" s="3">
        <v>0</v>
      </c>
      <c r="E2082" s="3">
        <f>C2082 - D2082</f>
        <v>0</v>
      </c>
    </row>
    <row r="2083" spans="2:5" x14ac:dyDescent="0.35">
      <c r="B2083" s="38">
        <v>38584</v>
      </c>
      <c r="C2083" s="3">
        <v>1</v>
      </c>
      <c r="D2083" s="3">
        <v>0</v>
      </c>
      <c r="E2083" s="3">
        <f>C2083 - D2083</f>
        <v>1</v>
      </c>
    </row>
    <row r="2084" spans="2:5" x14ac:dyDescent="0.35">
      <c r="B2084" s="38">
        <v>38585</v>
      </c>
      <c r="C2084" s="3">
        <v>1</v>
      </c>
      <c r="D2084" s="3">
        <v>1</v>
      </c>
      <c r="E2084" s="3">
        <f>C2084 - D2084</f>
        <v>0</v>
      </c>
    </row>
    <row r="2085" spans="2:5" x14ac:dyDescent="0.35">
      <c r="B2085" s="38">
        <v>38586</v>
      </c>
      <c r="C2085" s="3">
        <v>1</v>
      </c>
      <c r="D2085" s="3">
        <v>1</v>
      </c>
      <c r="E2085" s="3">
        <f>C2085 - D2085</f>
        <v>0</v>
      </c>
    </row>
    <row r="2086" spans="2:5" x14ac:dyDescent="0.35">
      <c r="B2086" s="38">
        <v>38587</v>
      </c>
      <c r="C2086" s="3">
        <v>1</v>
      </c>
      <c r="D2086" s="3">
        <v>1</v>
      </c>
      <c r="E2086" s="3">
        <f>C2086 - D2086</f>
        <v>0</v>
      </c>
    </row>
    <row r="2087" spans="2:5" x14ac:dyDescent="0.35">
      <c r="B2087" s="38">
        <v>38588</v>
      </c>
      <c r="C2087" s="3">
        <v>1</v>
      </c>
      <c r="D2087" s="3">
        <v>1</v>
      </c>
      <c r="E2087" s="3">
        <f>C2087 - D2087</f>
        <v>0</v>
      </c>
    </row>
    <row r="2088" spans="2:5" x14ac:dyDescent="0.35">
      <c r="B2088" s="38">
        <v>38589</v>
      </c>
      <c r="C2088" s="3">
        <v>0</v>
      </c>
      <c r="D2088" s="3">
        <v>1</v>
      </c>
      <c r="E2088" s="3">
        <f>C2088 - D2088</f>
        <v>-1</v>
      </c>
    </row>
    <row r="2089" spans="2:5" x14ac:dyDescent="0.35">
      <c r="B2089" s="38">
        <v>38590</v>
      </c>
      <c r="C2089" s="3">
        <v>0</v>
      </c>
      <c r="D2089" s="3">
        <v>0</v>
      </c>
      <c r="E2089" s="3">
        <f>C2089 - D2089</f>
        <v>0</v>
      </c>
    </row>
    <row r="2090" spans="2:5" x14ac:dyDescent="0.35">
      <c r="B2090" s="38">
        <v>38591</v>
      </c>
      <c r="C2090" s="3">
        <v>0</v>
      </c>
      <c r="D2090" s="3">
        <v>0</v>
      </c>
      <c r="E2090" s="3">
        <f>C2090 - D2090</f>
        <v>0</v>
      </c>
    </row>
    <row r="2091" spans="2:5" x14ac:dyDescent="0.35">
      <c r="B2091" s="38">
        <v>38592</v>
      </c>
      <c r="C2091" s="3">
        <v>0</v>
      </c>
      <c r="D2091" s="3">
        <v>0</v>
      </c>
      <c r="E2091" s="3">
        <f>C2091 - D2091</f>
        <v>0</v>
      </c>
    </row>
    <row r="2092" spans="2:5" x14ac:dyDescent="0.35">
      <c r="B2092" s="38">
        <v>38593</v>
      </c>
      <c r="C2092" s="3">
        <v>0</v>
      </c>
      <c r="D2092" s="3">
        <v>0</v>
      </c>
      <c r="E2092" s="3">
        <f>C2092 - D2092</f>
        <v>0</v>
      </c>
    </row>
    <row r="2093" spans="2:5" x14ac:dyDescent="0.35">
      <c r="B2093" s="38">
        <v>38594</v>
      </c>
      <c r="C2093" s="3">
        <v>1</v>
      </c>
      <c r="D2093" s="3">
        <v>0</v>
      </c>
      <c r="E2093" s="3">
        <f>C2093 - D2093</f>
        <v>1</v>
      </c>
    </row>
    <row r="2094" spans="2:5" x14ac:dyDescent="0.35">
      <c r="B2094" s="38">
        <v>38595</v>
      </c>
      <c r="C2094" s="3">
        <v>1</v>
      </c>
      <c r="D2094" s="3">
        <v>1</v>
      </c>
      <c r="E2094" s="3">
        <f>C2094 - D2094</f>
        <v>0</v>
      </c>
    </row>
    <row r="2095" spans="2:5" x14ac:dyDescent="0.35">
      <c r="B2095" s="38">
        <v>38596</v>
      </c>
      <c r="C2095" s="3">
        <v>0</v>
      </c>
      <c r="D2095" s="3">
        <v>1</v>
      </c>
      <c r="E2095" s="3">
        <f>C2095 - D2095</f>
        <v>-1</v>
      </c>
    </row>
    <row r="2096" spans="2:5" x14ac:dyDescent="0.35">
      <c r="B2096" s="38">
        <v>38597</v>
      </c>
      <c r="C2096" s="3">
        <v>0</v>
      </c>
      <c r="D2096" s="3">
        <v>0</v>
      </c>
      <c r="E2096" s="3">
        <f>C2096 - D2096</f>
        <v>0</v>
      </c>
    </row>
    <row r="2097" spans="2:5" x14ac:dyDescent="0.35">
      <c r="B2097" s="38">
        <v>38598</v>
      </c>
      <c r="C2097" s="3">
        <v>0</v>
      </c>
      <c r="D2097" s="3">
        <v>0</v>
      </c>
      <c r="E2097" s="3">
        <f>C2097 - D2097</f>
        <v>0</v>
      </c>
    </row>
    <row r="2098" spans="2:5" x14ac:dyDescent="0.35">
      <c r="B2098" s="38">
        <v>38599</v>
      </c>
      <c r="C2098" s="3">
        <v>0</v>
      </c>
      <c r="D2098" s="3">
        <v>0</v>
      </c>
      <c r="E2098" s="3">
        <f>C2098 - D2098</f>
        <v>0</v>
      </c>
    </row>
    <row r="2099" spans="2:5" x14ac:dyDescent="0.35">
      <c r="B2099" s="38">
        <v>38600</v>
      </c>
      <c r="C2099" s="3">
        <v>0</v>
      </c>
      <c r="D2099" s="3">
        <v>0</v>
      </c>
      <c r="E2099" s="3">
        <f>C2099 - D2099</f>
        <v>0</v>
      </c>
    </row>
    <row r="2100" spans="2:5" x14ac:dyDescent="0.35">
      <c r="B2100" s="38">
        <v>38601</v>
      </c>
      <c r="C2100" s="3">
        <v>0</v>
      </c>
      <c r="D2100" s="3">
        <v>0</v>
      </c>
      <c r="E2100" s="3">
        <f>C2100 - D2100</f>
        <v>0</v>
      </c>
    </row>
    <row r="2101" spans="2:5" x14ac:dyDescent="0.35">
      <c r="B2101" s="38">
        <v>38602</v>
      </c>
      <c r="C2101" s="3">
        <v>0</v>
      </c>
      <c r="D2101" s="3">
        <v>0</v>
      </c>
      <c r="E2101" s="3">
        <f>C2101 - D2101</f>
        <v>0</v>
      </c>
    </row>
    <row r="2102" spans="2:5" x14ac:dyDescent="0.35">
      <c r="B2102" s="38">
        <v>38603</v>
      </c>
      <c r="C2102" s="3">
        <v>0</v>
      </c>
      <c r="D2102" s="3">
        <v>0</v>
      </c>
      <c r="E2102" s="3">
        <f>C2102 - D2102</f>
        <v>0</v>
      </c>
    </row>
    <row r="2103" spans="2:5" x14ac:dyDescent="0.35">
      <c r="B2103" s="38">
        <v>38604</v>
      </c>
      <c r="C2103" s="3">
        <v>1</v>
      </c>
      <c r="D2103" s="3">
        <v>0</v>
      </c>
      <c r="E2103" s="3">
        <f>C2103 - D2103</f>
        <v>1</v>
      </c>
    </row>
    <row r="2104" spans="2:5" x14ac:dyDescent="0.35">
      <c r="B2104" s="38">
        <v>38605</v>
      </c>
      <c r="C2104" s="3">
        <v>1</v>
      </c>
      <c r="D2104" s="3">
        <v>1</v>
      </c>
      <c r="E2104" s="3">
        <f>C2104 - D2104</f>
        <v>0</v>
      </c>
    </row>
    <row r="2105" spans="2:5" x14ac:dyDescent="0.35">
      <c r="B2105" s="38">
        <v>38606</v>
      </c>
      <c r="C2105" s="3">
        <v>1</v>
      </c>
      <c r="D2105" s="3">
        <v>1</v>
      </c>
      <c r="E2105" s="3">
        <f>C2105 - D2105</f>
        <v>0</v>
      </c>
    </row>
    <row r="2106" spans="2:5" x14ac:dyDescent="0.35">
      <c r="B2106" s="38">
        <v>38607</v>
      </c>
      <c r="C2106" s="3">
        <v>1</v>
      </c>
      <c r="D2106" s="3">
        <v>1</v>
      </c>
      <c r="E2106" s="3">
        <f>C2106 - D2106</f>
        <v>0</v>
      </c>
    </row>
    <row r="2107" spans="2:5" x14ac:dyDescent="0.35">
      <c r="B2107" s="38">
        <v>38608</v>
      </c>
      <c r="C2107" s="3">
        <v>1</v>
      </c>
      <c r="D2107" s="3">
        <v>1</v>
      </c>
      <c r="E2107" s="3">
        <f>C2107 - D2107</f>
        <v>0</v>
      </c>
    </row>
    <row r="2108" spans="2:5" x14ac:dyDescent="0.35">
      <c r="B2108" s="38">
        <v>38609</v>
      </c>
      <c r="C2108" s="3">
        <v>1</v>
      </c>
      <c r="D2108" s="3">
        <v>1</v>
      </c>
      <c r="E2108" s="3">
        <f>C2108 - D2108</f>
        <v>0</v>
      </c>
    </row>
    <row r="2109" spans="2:5" x14ac:dyDescent="0.35">
      <c r="B2109" s="38">
        <v>38610</v>
      </c>
      <c r="C2109" s="3">
        <v>1</v>
      </c>
      <c r="D2109" s="3">
        <v>1</v>
      </c>
      <c r="E2109" s="3">
        <f>C2109 - D2109</f>
        <v>0</v>
      </c>
    </row>
    <row r="2110" spans="2:5" x14ac:dyDescent="0.35">
      <c r="B2110" s="38">
        <v>38611</v>
      </c>
      <c r="C2110" s="3">
        <v>1</v>
      </c>
      <c r="D2110" s="3">
        <v>1</v>
      </c>
      <c r="E2110" s="3">
        <f>C2110 - D2110</f>
        <v>0</v>
      </c>
    </row>
    <row r="2111" spans="2:5" x14ac:dyDescent="0.35">
      <c r="B2111" s="38">
        <v>38612</v>
      </c>
      <c r="C2111" s="3">
        <v>0</v>
      </c>
      <c r="D2111" s="3">
        <v>1</v>
      </c>
      <c r="E2111" s="3">
        <f>C2111 - D2111</f>
        <v>-1</v>
      </c>
    </row>
    <row r="2112" spans="2:5" x14ac:dyDescent="0.35">
      <c r="B2112" s="38">
        <v>38613</v>
      </c>
      <c r="C2112" s="3">
        <v>1</v>
      </c>
      <c r="D2112" s="3">
        <v>0</v>
      </c>
      <c r="E2112" s="3">
        <f>C2112 - D2112</f>
        <v>1</v>
      </c>
    </row>
    <row r="2113" spans="2:5" x14ac:dyDescent="0.35">
      <c r="B2113" s="38">
        <v>38614</v>
      </c>
      <c r="C2113" s="3">
        <v>1</v>
      </c>
      <c r="D2113" s="3">
        <v>1</v>
      </c>
      <c r="E2113" s="3">
        <f>C2113 - D2113</f>
        <v>0</v>
      </c>
    </row>
    <row r="2114" spans="2:5" x14ac:dyDescent="0.35">
      <c r="B2114" s="38">
        <v>38615</v>
      </c>
      <c r="C2114" s="3">
        <v>1</v>
      </c>
      <c r="D2114" s="3">
        <v>1</v>
      </c>
      <c r="E2114" s="3">
        <f>C2114 - D2114</f>
        <v>0</v>
      </c>
    </row>
    <row r="2115" spans="2:5" x14ac:dyDescent="0.35">
      <c r="B2115" s="38">
        <v>38616</v>
      </c>
      <c r="C2115" s="3">
        <v>0</v>
      </c>
      <c r="D2115" s="3">
        <v>1</v>
      </c>
      <c r="E2115" s="3">
        <f>C2115 - D2115</f>
        <v>-1</v>
      </c>
    </row>
    <row r="2116" spans="2:5" x14ac:dyDescent="0.35">
      <c r="B2116" s="38">
        <v>38617</v>
      </c>
      <c r="C2116" s="3">
        <v>0</v>
      </c>
      <c r="D2116" s="3">
        <v>0</v>
      </c>
      <c r="E2116" s="3">
        <f>C2116 - D2116</f>
        <v>0</v>
      </c>
    </row>
    <row r="2117" spans="2:5" x14ac:dyDescent="0.35">
      <c r="B2117" s="38">
        <v>38618</v>
      </c>
      <c r="C2117" s="3">
        <v>1</v>
      </c>
      <c r="D2117" s="3">
        <v>0</v>
      </c>
      <c r="E2117" s="3">
        <f>C2117 - D2117</f>
        <v>1</v>
      </c>
    </row>
    <row r="2118" spans="2:5" x14ac:dyDescent="0.35">
      <c r="B2118" s="38">
        <v>38619</v>
      </c>
      <c r="C2118" s="3">
        <v>1</v>
      </c>
      <c r="D2118" s="3">
        <v>1</v>
      </c>
      <c r="E2118" s="3">
        <f>C2118 - D2118</f>
        <v>0</v>
      </c>
    </row>
    <row r="2119" spans="2:5" x14ac:dyDescent="0.35">
      <c r="B2119" s="38">
        <v>38620</v>
      </c>
      <c r="C2119" s="3">
        <v>0</v>
      </c>
      <c r="D2119" s="3">
        <v>1</v>
      </c>
      <c r="E2119" s="3">
        <f>C2119 - D2119</f>
        <v>-1</v>
      </c>
    </row>
    <row r="2120" spans="2:5" x14ac:dyDescent="0.35">
      <c r="B2120" s="38">
        <v>38621</v>
      </c>
      <c r="C2120" s="3">
        <v>1</v>
      </c>
      <c r="D2120" s="3">
        <v>0</v>
      </c>
      <c r="E2120" s="3">
        <f>C2120 - D2120</f>
        <v>1</v>
      </c>
    </row>
    <row r="2121" spans="2:5" x14ac:dyDescent="0.35">
      <c r="B2121" s="38">
        <v>38622</v>
      </c>
      <c r="C2121" s="3">
        <v>1</v>
      </c>
      <c r="D2121" s="3">
        <v>1</v>
      </c>
      <c r="E2121" s="3">
        <f>C2121 - D2121</f>
        <v>0</v>
      </c>
    </row>
    <row r="2122" spans="2:5" x14ac:dyDescent="0.35">
      <c r="B2122" s="38">
        <v>38623</v>
      </c>
      <c r="C2122" s="3">
        <v>0</v>
      </c>
      <c r="D2122" s="3">
        <v>1</v>
      </c>
      <c r="E2122" s="3">
        <f>C2122 - D2122</f>
        <v>-1</v>
      </c>
    </row>
    <row r="2123" spans="2:5" x14ac:dyDescent="0.35">
      <c r="B2123" s="38">
        <v>38624</v>
      </c>
      <c r="C2123" s="3">
        <v>1</v>
      </c>
      <c r="D2123" s="3">
        <v>0</v>
      </c>
      <c r="E2123" s="3">
        <f>C2123 - D2123</f>
        <v>1</v>
      </c>
    </row>
    <row r="2124" spans="2:5" x14ac:dyDescent="0.35">
      <c r="B2124" s="38">
        <v>38625</v>
      </c>
      <c r="C2124" s="3">
        <v>0</v>
      </c>
      <c r="D2124" s="3">
        <v>1</v>
      </c>
      <c r="E2124" s="3">
        <f>C2124 - D2124</f>
        <v>-1</v>
      </c>
    </row>
    <row r="2125" spans="2:5" x14ac:dyDescent="0.35">
      <c r="B2125" s="38">
        <v>38626</v>
      </c>
      <c r="C2125" s="3">
        <v>0</v>
      </c>
      <c r="D2125" s="3">
        <v>0</v>
      </c>
      <c r="E2125" s="3">
        <f>C2125 - D2125</f>
        <v>0</v>
      </c>
    </row>
    <row r="2126" spans="2:5" x14ac:dyDescent="0.35">
      <c r="B2126" s="38">
        <v>38627</v>
      </c>
      <c r="C2126" s="3">
        <v>0</v>
      </c>
      <c r="D2126" s="3">
        <v>0</v>
      </c>
      <c r="E2126" s="3">
        <f>C2126 - D2126</f>
        <v>0</v>
      </c>
    </row>
    <row r="2127" spans="2:5" x14ac:dyDescent="0.35">
      <c r="B2127" s="38">
        <v>38628</v>
      </c>
      <c r="C2127" s="3">
        <v>0</v>
      </c>
      <c r="D2127" s="3">
        <v>0</v>
      </c>
      <c r="E2127" s="3">
        <f>C2127 - D2127</f>
        <v>0</v>
      </c>
    </row>
    <row r="2128" spans="2:5" x14ac:dyDescent="0.35">
      <c r="B2128" s="38">
        <v>38629</v>
      </c>
      <c r="C2128" s="3">
        <v>0</v>
      </c>
      <c r="D2128" s="3">
        <v>0</v>
      </c>
      <c r="E2128" s="3">
        <f>C2128 - D2128</f>
        <v>0</v>
      </c>
    </row>
    <row r="2129" spans="2:5" x14ac:dyDescent="0.35">
      <c r="B2129" s="38">
        <v>38630</v>
      </c>
      <c r="C2129" s="3">
        <v>0</v>
      </c>
      <c r="D2129" s="3">
        <v>0</v>
      </c>
      <c r="E2129" s="3">
        <f>C2129 - D2129</f>
        <v>0</v>
      </c>
    </row>
    <row r="2130" spans="2:5" x14ac:dyDescent="0.35">
      <c r="B2130" s="38">
        <v>38631</v>
      </c>
      <c r="C2130" s="3">
        <v>1</v>
      </c>
      <c r="D2130" s="3">
        <v>0</v>
      </c>
      <c r="E2130" s="3">
        <f>C2130 - D2130</f>
        <v>1</v>
      </c>
    </row>
    <row r="2131" spans="2:5" x14ac:dyDescent="0.35">
      <c r="B2131" s="38">
        <v>38632</v>
      </c>
      <c r="C2131" s="3">
        <v>0</v>
      </c>
      <c r="D2131" s="3">
        <v>1</v>
      </c>
      <c r="E2131" s="3">
        <f>C2131 - D2131</f>
        <v>-1</v>
      </c>
    </row>
    <row r="2132" spans="2:5" x14ac:dyDescent="0.35">
      <c r="B2132" s="38">
        <v>38633</v>
      </c>
      <c r="C2132" s="3">
        <v>1</v>
      </c>
      <c r="D2132" s="3">
        <v>0</v>
      </c>
      <c r="E2132" s="3">
        <f>C2132 - D2132</f>
        <v>1</v>
      </c>
    </row>
    <row r="2133" spans="2:5" x14ac:dyDescent="0.35">
      <c r="B2133" s="38">
        <v>38634</v>
      </c>
      <c r="C2133" s="3">
        <v>1</v>
      </c>
      <c r="D2133" s="3">
        <v>1</v>
      </c>
      <c r="E2133" s="3">
        <f>C2133 - D2133</f>
        <v>0</v>
      </c>
    </row>
    <row r="2134" spans="2:5" x14ac:dyDescent="0.35">
      <c r="B2134" s="38">
        <v>38635</v>
      </c>
      <c r="C2134" s="3">
        <v>0</v>
      </c>
      <c r="D2134" s="3">
        <v>1</v>
      </c>
      <c r="E2134" s="3">
        <f>C2134 - D2134</f>
        <v>-1</v>
      </c>
    </row>
    <row r="2135" spans="2:5" x14ac:dyDescent="0.35">
      <c r="B2135" s="38">
        <v>38636</v>
      </c>
      <c r="C2135" s="3">
        <v>1</v>
      </c>
      <c r="D2135" s="3">
        <v>0</v>
      </c>
      <c r="E2135" s="3">
        <f>C2135 - D2135</f>
        <v>1</v>
      </c>
    </row>
    <row r="2136" spans="2:5" x14ac:dyDescent="0.35">
      <c r="B2136" s="38">
        <v>38637</v>
      </c>
      <c r="C2136" s="3">
        <v>1</v>
      </c>
      <c r="D2136" s="3">
        <v>1</v>
      </c>
      <c r="E2136" s="3">
        <f>C2136 - D2136</f>
        <v>0</v>
      </c>
    </row>
    <row r="2137" spans="2:5" x14ac:dyDescent="0.35">
      <c r="B2137" s="38">
        <v>38638</v>
      </c>
      <c r="C2137" s="3">
        <v>0</v>
      </c>
      <c r="D2137" s="3">
        <v>1</v>
      </c>
      <c r="E2137" s="3">
        <f>C2137 - D2137</f>
        <v>-1</v>
      </c>
    </row>
    <row r="2138" spans="2:5" x14ac:dyDescent="0.35">
      <c r="B2138" s="38">
        <v>38639</v>
      </c>
      <c r="C2138" s="3">
        <v>0</v>
      </c>
      <c r="D2138" s="3">
        <v>0</v>
      </c>
      <c r="E2138" s="3">
        <f>C2138 - D2138</f>
        <v>0</v>
      </c>
    </row>
    <row r="2139" spans="2:5" x14ac:dyDescent="0.35">
      <c r="B2139" s="38">
        <v>38640</v>
      </c>
      <c r="C2139" s="3">
        <v>0</v>
      </c>
      <c r="D2139" s="3">
        <v>0</v>
      </c>
      <c r="E2139" s="3">
        <f>C2139 - D2139</f>
        <v>0</v>
      </c>
    </row>
    <row r="2140" spans="2:5" x14ac:dyDescent="0.35">
      <c r="B2140" s="38">
        <v>38641</v>
      </c>
      <c r="C2140" s="3">
        <v>0</v>
      </c>
      <c r="D2140" s="3">
        <v>0</v>
      </c>
      <c r="E2140" s="3">
        <f>C2140 - D2140</f>
        <v>0</v>
      </c>
    </row>
    <row r="2141" spans="2:5" x14ac:dyDescent="0.35">
      <c r="B2141" s="38">
        <v>38642</v>
      </c>
      <c r="C2141" s="3">
        <v>0</v>
      </c>
      <c r="D2141" s="3">
        <v>0</v>
      </c>
      <c r="E2141" s="3">
        <f>C2141 - D2141</f>
        <v>0</v>
      </c>
    </row>
    <row r="2142" spans="2:5" x14ac:dyDescent="0.35">
      <c r="B2142" s="38">
        <v>38643</v>
      </c>
      <c r="C2142" s="3">
        <v>0</v>
      </c>
      <c r="D2142" s="3">
        <v>0</v>
      </c>
      <c r="E2142" s="3">
        <f>C2142 - D2142</f>
        <v>0</v>
      </c>
    </row>
    <row r="2143" spans="2:5" x14ac:dyDescent="0.35">
      <c r="B2143" s="38">
        <v>38644</v>
      </c>
      <c r="C2143" s="3">
        <v>0</v>
      </c>
      <c r="D2143" s="3">
        <v>0</v>
      </c>
      <c r="E2143" s="3">
        <f>C2143 - D2143</f>
        <v>0</v>
      </c>
    </row>
    <row r="2144" spans="2:5" x14ac:dyDescent="0.35">
      <c r="B2144" s="38">
        <v>38645</v>
      </c>
      <c r="C2144" s="3">
        <v>1</v>
      </c>
      <c r="D2144" s="3">
        <v>0</v>
      </c>
      <c r="E2144" s="3">
        <f>C2144 - D2144</f>
        <v>1</v>
      </c>
    </row>
    <row r="2145" spans="2:5" x14ac:dyDescent="0.35">
      <c r="B2145" s="38">
        <v>38646</v>
      </c>
      <c r="C2145" s="3">
        <v>1</v>
      </c>
      <c r="D2145" s="3">
        <v>1</v>
      </c>
      <c r="E2145" s="3">
        <f>C2145 - D2145</f>
        <v>0</v>
      </c>
    </row>
    <row r="2146" spans="2:5" x14ac:dyDescent="0.35">
      <c r="B2146" s="38">
        <v>38647</v>
      </c>
      <c r="C2146" s="3">
        <v>1</v>
      </c>
      <c r="D2146" s="3">
        <v>1</v>
      </c>
      <c r="E2146" s="3">
        <f>C2146 - D2146</f>
        <v>0</v>
      </c>
    </row>
    <row r="2147" spans="2:5" x14ac:dyDescent="0.35">
      <c r="B2147" s="38">
        <v>38648</v>
      </c>
      <c r="C2147" s="3">
        <v>1</v>
      </c>
      <c r="D2147" s="3">
        <v>1</v>
      </c>
      <c r="E2147" s="3">
        <f>C2147 - D2147</f>
        <v>0</v>
      </c>
    </row>
    <row r="2148" spans="2:5" x14ac:dyDescent="0.35">
      <c r="B2148" s="38">
        <v>38649</v>
      </c>
      <c r="C2148" s="3">
        <v>1</v>
      </c>
      <c r="D2148" s="3">
        <v>1</v>
      </c>
      <c r="E2148" s="3">
        <f>C2148 - D2148</f>
        <v>0</v>
      </c>
    </row>
    <row r="2149" spans="2:5" x14ac:dyDescent="0.35">
      <c r="B2149" s="38">
        <v>38650</v>
      </c>
      <c r="C2149" s="3">
        <v>1</v>
      </c>
      <c r="D2149" s="3">
        <v>1</v>
      </c>
      <c r="E2149" s="3">
        <f>C2149 - D2149</f>
        <v>0</v>
      </c>
    </row>
    <row r="2150" spans="2:5" x14ac:dyDescent="0.35">
      <c r="B2150" s="38">
        <v>38651</v>
      </c>
      <c r="C2150" s="3">
        <v>1</v>
      </c>
      <c r="D2150" s="3">
        <v>1</v>
      </c>
      <c r="E2150" s="3">
        <f>C2150 - D2150</f>
        <v>0</v>
      </c>
    </row>
    <row r="2151" spans="2:5" x14ac:dyDescent="0.35">
      <c r="B2151" s="38">
        <v>38652</v>
      </c>
      <c r="C2151" s="3">
        <v>1</v>
      </c>
      <c r="D2151" s="3">
        <v>1</v>
      </c>
      <c r="E2151" s="3">
        <f>C2151 - D2151</f>
        <v>0</v>
      </c>
    </row>
    <row r="2152" spans="2:5" x14ac:dyDescent="0.35">
      <c r="B2152" s="38">
        <v>38653</v>
      </c>
      <c r="C2152" s="3">
        <v>0</v>
      </c>
      <c r="D2152" s="3">
        <v>1</v>
      </c>
      <c r="E2152" s="3">
        <f>C2152 - D2152</f>
        <v>-1</v>
      </c>
    </row>
    <row r="2153" spans="2:5" x14ac:dyDescent="0.35">
      <c r="B2153" s="38">
        <v>38654</v>
      </c>
      <c r="C2153" s="3">
        <v>0</v>
      </c>
      <c r="D2153" s="3">
        <v>0</v>
      </c>
      <c r="E2153" s="3">
        <f>C2153 - D2153</f>
        <v>0</v>
      </c>
    </row>
    <row r="2154" spans="2:5" x14ac:dyDescent="0.35">
      <c r="B2154" s="38">
        <v>38655</v>
      </c>
      <c r="C2154" s="3">
        <v>1</v>
      </c>
      <c r="D2154" s="3">
        <v>0</v>
      </c>
      <c r="E2154" s="3">
        <f>C2154 - D2154</f>
        <v>1</v>
      </c>
    </row>
    <row r="2155" spans="2:5" x14ac:dyDescent="0.35">
      <c r="B2155" s="38">
        <v>38656</v>
      </c>
      <c r="C2155" s="3">
        <v>0</v>
      </c>
      <c r="D2155" s="3">
        <v>1</v>
      </c>
      <c r="E2155" s="3">
        <f>C2155 - D2155</f>
        <v>-1</v>
      </c>
    </row>
    <row r="2156" spans="2:5" x14ac:dyDescent="0.35">
      <c r="B2156" s="38">
        <v>38657</v>
      </c>
      <c r="C2156" s="3">
        <v>0</v>
      </c>
      <c r="D2156" s="3">
        <v>0</v>
      </c>
      <c r="E2156" s="3">
        <f>C2156 - D2156</f>
        <v>0</v>
      </c>
    </row>
    <row r="2157" spans="2:5" x14ac:dyDescent="0.35">
      <c r="B2157" s="38">
        <v>38658</v>
      </c>
      <c r="C2157" s="3">
        <v>0</v>
      </c>
      <c r="D2157" s="3">
        <v>0</v>
      </c>
      <c r="E2157" s="3">
        <f>C2157 - D2157</f>
        <v>0</v>
      </c>
    </row>
    <row r="2158" spans="2:5" x14ac:dyDescent="0.35">
      <c r="B2158" s="38">
        <v>38659</v>
      </c>
      <c r="C2158" s="3">
        <v>1</v>
      </c>
      <c r="D2158" s="3">
        <v>0</v>
      </c>
      <c r="E2158" s="3">
        <f>C2158 - D2158</f>
        <v>1</v>
      </c>
    </row>
    <row r="2159" spans="2:5" x14ac:dyDescent="0.35">
      <c r="B2159" s="38">
        <v>38660</v>
      </c>
      <c r="C2159" s="3">
        <v>0</v>
      </c>
      <c r="D2159" s="3">
        <v>1</v>
      </c>
      <c r="E2159" s="3">
        <f>C2159 - D2159</f>
        <v>-1</v>
      </c>
    </row>
    <row r="2160" spans="2:5" x14ac:dyDescent="0.35">
      <c r="B2160" s="38">
        <v>38661</v>
      </c>
      <c r="C2160" s="3">
        <v>0</v>
      </c>
      <c r="D2160" s="3">
        <v>0</v>
      </c>
      <c r="E2160" s="3">
        <f>C2160 - D2160</f>
        <v>0</v>
      </c>
    </row>
    <row r="2161" spans="2:5" x14ac:dyDescent="0.35">
      <c r="B2161" s="38">
        <v>38662</v>
      </c>
      <c r="C2161" s="3">
        <v>0</v>
      </c>
      <c r="D2161" s="3">
        <v>0</v>
      </c>
      <c r="E2161" s="3">
        <f>C2161 - D2161</f>
        <v>0</v>
      </c>
    </row>
    <row r="2162" spans="2:5" x14ac:dyDescent="0.35">
      <c r="B2162" s="38">
        <v>38663</v>
      </c>
      <c r="C2162" s="3">
        <v>0</v>
      </c>
      <c r="D2162" s="3">
        <v>0</v>
      </c>
      <c r="E2162" s="3">
        <f>C2162 - D2162</f>
        <v>0</v>
      </c>
    </row>
    <row r="2163" spans="2:5" x14ac:dyDescent="0.35">
      <c r="B2163" s="38">
        <v>38664</v>
      </c>
      <c r="C2163" s="3">
        <v>1</v>
      </c>
      <c r="D2163" s="3">
        <v>0</v>
      </c>
      <c r="E2163" s="3">
        <f>C2163 - D2163</f>
        <v>1</v>
      </c>
    </row>
    <row r="2164" spans="2:5" x14ac:dyDescent="0.35">
      <c r="B2164" s="38">
        <v>38665</v>
      </c>
      <c r="C2164" s="3">
        <v>1</v>
      </c>
      <c r="D2164" s="3">
        <v>1</v>
      </c>
      <c r="E2164" s="3">
        <f>C2164 - D2164</f>
        <v>0</v>
      </c>
    </row>
    <row r="2165" spans="2:5" x14ac:dyDescent="0.35">
      <c r="B2165" s="38">
        <v>38666</v>
      </c>
      <c r="C2165" s="3">
        <v>1</v>
      </c>
      <c r="D2165" s="3">
        <v>1</v>
      </c>
      <c r="E2165" s="3">
        <f>C2165 - D2165</f>
        <v>0</v>
      </c>
    </row>
    <row r="2166" spans="2:5" x14ac:dyDescent="0.35">
      <c r="B2166" s="38">
        <v>38667</v>
      </c>
      <c r="C2166" s="3">
        <v>1</v>
      </c>
      <c r="D2166" s="3">
        <v>1</v>
      </c>
      <c r="E2166" s="3">
        <f>C2166 - D2166</f>
        <v>0</v>
      </c>
    </row>
    <row r="2167" spans="2:5" x14ac:dyDescent="0.35">
      <c r="B2167" s="38">
        <v>38668</v>
      </c>
      <c r="C2167" s="3">
        <v>1</v>
      </c>
      <c r="D2167" s="3">
        <v>1</v>
      </c>
      <c r="E2167" s="3">
        <f>C2167 - D2167</f>
        <v>0</v>
      </c>
    </row>
    <row r="2168" spans="2:5" x14ac:dyDescent="0.35">
      <c r="B2168" s="38">
        <v>38669</v>
      </c>
      <c r="C2168" s="3">
        <v>1</v>
      </c>
      <c r="D2168" s="3">
        <v>1</v>
      </c>
      <c r="E2168" s="3">
        <f>C2168 - D2168</f>
        <v>0</v>
      </c>
    </row>
    <row r="2169" spans="2:5" x14ac:dyDescent="0.35">
      <c r="B2169" s="38">
        <v>38670</v>
      </c>
      <c r="C2169" s="3">
        <v>0</v>
      </c>
      <c r="D2169" s="3">
        <v>1</v>
      </c>
      <c r="E2169" s="3">
        <f>C2169 - D2169</f>
        <v>-1</v>
      </c>
    </row>
    <row r="2170" spans="2:5" x14ac:dyDescent="0.35">
      <c r="B2170" s="38">
        <v>38671</v>
      </c>
      <c r="C2170" s="3">
        <v>1</v>
      </c>
      <c r="D2170" s="3">
        <v>0</v>
      </c>
      <c r="E2170" s="3">
        <f>C2170 - D2170</f>
        <v>1</v>
      </c>
    </row>
    <row r="2171" spans="2:5" x14ac:dyDescent="0.35">
      <c r="B2171" s="38">
        <v>38672</v>
      </c>
      <c r="C2171" s="3">
        <v>0</v>
      </c>
      <c r="D2171" s="3">
        <v>1</v>
      </c>
      <c r="E2171" s="3">
        <f>C2171 - D2171</f>
        <v>-1</v>
      </c>
    </row>
    <row r="2172" spans="2:5" x14ac:dyDescent="0.35">
      <c r="B2172" s="38">
        <v>38673</v>
      </c>
      <c r="C2172" s="3">
        <v>0</v>
      </c>
      <c r="D2172" s="3">
        <v>0</v>
      </c>
      <c r="E2172" s="3">
        <f>C2172 - D2172</f>
        <v>0</v>
      </c>
    </row>
    <row r="2173" spans="2:5" x14ac:dyDescent="0.35">
      <c r="B2173" s="38">
        <v>38674</v>
      </c>
      <c r="C2173" s="3">
        <v>0</v>
      </c>
      <c r="D2173" s="3">
        <v>0</v>
      </c>
      <c r="E2173" s="3">
        <f>C2173 - D2173</f>
        <v>0</v>
      </c>
    </row>
    <row r="2174" spans="2:5" x14ac:dyDescent="0.35">
      <c r="B2174" s="38">
        <v>38675</v>
      </c>
      <c r="C2174" s="3">
        <v>1</v>
      </c>
      <c r="D2174" s="3">
        <v>0</v>
      </c>
      <c r="E2174" s="3">
        <f>C2174 - D2174</f>
        <v>1</v>
      </c>
    </row>
    <row r="2175" spans="2:5" x14ac:dyDescent="0.35">
      <c r="B2175" s="38">
        <v>38676</v>
      </c>
      <c r="C2175" s="3">
        <v>0</v>
      </c>
      <c r="D2175" s="3">
        <v>1</v>
      </c>
      <c r="E2175" s="3">
        <f>C2175 - D2175</f>
        <v>-1</v>
      </c>
    </row>
    <row r="2176" spans="2:5" x14ac:dyDescent="0.35">
      <c r="B2176" s="38">
        <v>38677</v>
      </c>
      <c r="C2176" s="3">
        <v>0</v>
      </c>
      <c r="D2176" s="3">
        <v>0</v>
      </c>
      <c r="E2176" s="3">
        <f>C2176 - D2176</f>
        <v>0</v>
      </c>
    </row>
    <row r="2177" spans="2:5" x14ac:dyDescent="0.35">
      <c r="B2177" s="38">
        <v>38678</v>
      </c>
      <c r="C2177" s="3">
        <v>0</v>
      </c>
      <c r="D2177" s="3">
        <v>0</v>
      </c>
      <c r="E2177" s="3">
        <f>C2177 - D2177</f>
        <v>0</v>
      </c>
    </row>
    <row r="2178" spans="2:5" x14ac:dyDescent="0.35">
      <c r="B2178" s="38">
        <v>38679</v>
      </c>
      <c r="C2178" s="3">
        <v>0</v>
      </c>
      <c r="D2178" s="3">
        <v>0</v>
      </c>
      <c r="E2178" s="3">
        <f>C2178 - D2178</f>
        <v>0</v>
      </c>
    </row>
    <row r="2179" spans="2:5" x14ac:dyDescent="0.35">
      <c r="B2179" s="38">
        <v>38680</v>
      </c>
      <c r="C2179" s="3">
        <v>0</v>
      </c>
      <c r="D2179" s="3">
        <v>0</v>
      </c>
      <c r="E2179" s="3">
        <f>C2179 - D2179</f>
        <v>0</v>
      </c>
    </row>
    <row r="2180" spans="2:5" x14ac:dyDescent="0.35">
      <c r="B2180" s="38">
        <v>38681</v>
      </c>
      <c r="C2180" s="3">
        <v>1</v>
      </c>
      <c r="D2180" s="3">
        <v>0</v>
      </c>
      <c r="E2180" s="3">
        <f>C2180 - D2180</f>
        <v>1</v>
      </c>
    </row>
    <row r="2181" spans="2:5" x14ac:dyDescent="0.35">
      <c r="B2181" s="38">
        <v>38682</v>
      </c>
      <c r="C2181" s="3">
        <v>1</v>
      </c>
      <c r="D2181" s="3">
        <v>1</v>
      </c>
      <c r="E2181" s="3">
        <f>C2181 - D2181</f>
        <v>0</v>
      </c>
    </row>
    <row r="2182" spans="2:5" x14ac:dyDescent="0.35">
      <c r="B2182" s="38">
        <v>38683</v>
      </c>
      <c r="C2182" s="3">
        <v>0</v>
      </c>
      <c r="D2182" s="3">
        <v>1</v>
      </c>
      <c r="E2182" s="3">
        <f>C2182 - D2182</f>
        <v>-1</v>
      </c>
    </row>
    <row r="2183" spans="2:5" x14ac:dyDescent="0.35">
      <c r="B2183" s="38">
        <v>38684</v>
      </c>
      <c r="C2183" s="3">
        <v>0</v>
      </c>
      <c r="D2183" s="3">
        <v>0</v>
      </c>
      <c r="E2183" s="3">
        <f>C2183 - D2183</f>
        <v>0</v>
      </c>
    </row>
    <row r="2184" spans="2:5" x14ac:dyDescent="0.35">
      <c r="B2184" s="38">
        <v>38685</v>
      </c>
      <c r="C2184" s="3">
        <v>0</v>
      </c>
      <c r="D2184" s="3">
        <v>0</v>
      </c>
      <c r="E2184" s="3">
        <f>C2184 - D2184</f>
        <v>0</v>
      </c>
    </row>
    <row r="2185" spans="2:5" x14ac:dyDescent="0.35">
      <c r="B2185" s="38">
        <v>38686</v>
      </c>
      <c r="C2185" s="3">
        <v>0</v>
      </c>
      <c r="D2185" s="3">
        <v>0</v>
      </c>
      <c r="E2185" s="3">
        <f>C2185 - D2185</f>
        <v>0</v>
      </c>
    </row>
    <row r="2186" spans="2:5" x14ac:dyDescent="0.35">
      <c r="B2186" s="38">
        <v>38687</v>
      </c>
      <c r="C2186" s="3">
        <v>0</v>
      </c>
      <c r="D2186" s="3">
        <v>0</v>
      </c>
      <c r="E2186" s="3">
        <f>C2186 - D2186</f>
        <v>0</v>
      </c>
    </row>
    <row r="2187" spans="2:5" x14ac:dyDescent="0.35">
      <c r="B2187" s="38">
        <v>38688</v>
      </c>
      <c r="C2187" s="3">
        <v>0</v>
      </c>
      <c r="D2187" s="3">
        <v>0</v>
      </c>
      <c r="E2187" s="3">
        <f>C2187 - D2187</f>
        <v>0</v>
      </c>
    </row>
    <row r="2188" spans="2:5" x14ac:dyDescent="0.35">
      <c r="B2188" s="38">
        <v>38689</v>
      </c>
      <c r="C2188" s="3">
        <v>1</v>
      </c>
      <c r="D2188" s="3">
        <v>0</v>
      </c>
      <c r="E2188" s="3">
        <f>C2188 - D2188</f>
        <v>1</v>
      </c>
    </row>
    <row r="2189" spans="2:5" x14ac:dyDescent="0.35">
      <c r="B2189" s="38">
        <v>38690</v>
      </c>
      <c r="C2189" s="3">
        <v>0</v>
      </c>
      <c r="D2189" s="3">
        <v>1</v>
      </c>
      <c r="E2189" s="3">
        <f>C2189 - D2189</f>
        <v>-1</v>
      </c>
    </row>
    <row r="2190" spans="2:5" x14ac:dyDescent="0.35">
      <c r="B2190" s="38">
        <v>38691</v>
      </c>
      <c r="C2190" s="3">
        <v>0</v>
      </c>
      <c r="D2190" s="3">
        <v>0</v>
      </c>
      <c r="E2190" s="3">
        <f>C2190 - D2190</f>
        <v>0</v>
      </c>
    </row>
    <row r="2191" spans="2:5" x14ac:dyDescent="0.35">
      <c r="B2191" s="38">
        <v>38692</v>
      </c>
      <c r="C2191" s="3">
        <v>0</v>
      </c>
      <c r="D2191" s="3">
        <v>0</v>
      </c>
      <c r="E2191" s="3">
        <f>C2191 - D2191</f>
        <v>0</v>
      </c>
    </row>
    <row r="2192" spans="2:5" x14ac:dyDescent="0.35">
      <c r="B2192" s="38">
        <v>38693</v>
      </c>
      <c r="C2192" s="3">
        <v>1</v>
      </c>
      <c r="D2192" s="3">
        <v>0</v>
      </c>
      <c r="E2192" s="3">
        <f>C2192 - D2192</f>
        <v>1</v>
      </c>
    </row>
    <row r="2193" spans="2:5" x14ac:dyDescent="0.35">
      <c r="B2193" s="38">
        <v>38694</v>
      </c>
      <c r="C2193" s="3">
        <v>0</v>
      </c>
      <c r="D2193" s="3">
        <v>1</v>
      </c>
      <c r="E2193" s="3">
        <f>C2193 - D2193</f>
        <v>-1</v>
      </c>
    </row>
    <row r="2194" spans="2:5" x14ac:dyDescent="0.35">
      <c r="B2194" s="38">
        <v>38695</v>
      </c>
      <c r="C2194" s="3">
        <v>0</v>
      </c>
      <c r="D2194" s="3">
        <v>0</v>
      </c>
      <c r="E2194" s="3">
        <f>C2194 - D2194</f>
        <v>0</v>
      </c>
    </row>
    <row r="2195" spans="2:5" x14ac:dyDescent="0.35">
      <c r="B2195" s="38">
        <v>38696</v>
      </c>
      <c r="C2195" s="3">
        <v>0</v>
      </c>
      <c r="D2195" s="3">
        <v>0</v>
      </c>
      <c r="E2195" s="3">
        <f>C2195 - D2195</f>
        <v>0</v>
      </c>
    </row>
    <row r="2196" spans="2:5" x14ac:dyDescent="0.35">
      <c r="B2196" s="38">
        <v>38697</v>
      </c>
      <c r="C2196" s="3">
        <v>0</v>
      </c>
      <c r="D2196" s="3">
        <v>0</v>
      </c>
      <c r="E2196" s="3">
        <f>C2196 - D2196</f>
        <v>0</v>
      </c>
    </row>
    <row r="2197" spans="2:5" x14ac:dyDescent="0.35">
      <c r="B2197" s="38">
        <v>38698</v>
      </c>
      <c r="C2197" s="3">
        <v>0</v>
      </c>
      <c r="D2197" s="3">
        <v>0</v>
      </c>
      <c r="E2197" s="3">
        <f>C2197 - D2197</f>
        <v>0</v>
      </c>
    </row>
    <row r="2198" spans="2:5" x14ac:dyDescent="0.35">
      <c r="B2198" s="38">
        <v>38699</v>
      </c>
      <c r="C2198" s="3">
        <v>1</v>
      </c>
      <c r="D2198" s="3">
        <v>0</v>
      </c>
      <c r="E2198" s="3">
        <f>C2198 - D2198</f>
        <v>1</v>
      </c>
    </row>
    <row r="2199" spans="2:5" x14ac:dyDescent="0.35">
      <c r="B2199" s="38">
        <v>38700</v>
      </c>
      <c r="C2199" s="3">
        <v>0</v>
      </c>
      <c r="D2199" s="3">
        <v>1</v>
      </c>
      <c r="E2199" s="3">
        <f>C2199 - D2199</f>
        <v>-1</v>
      </c>
    </row>
    <row r="2200" spans="2:5" x14ac:dyDescent="0.35">
      <c r="B2200" s="38">
        <v>38701</v>
      </c>
      <c r="C2200" s="3">
        <v>0</v>
      </c>
      <c r="D2200" s="3">
        <v>0</v>
      </c>
      <c r="E2200" s="3">
        <f>C2200 - D2200</f>
        <v>0</v>
      </c>
    </row>
    <row r="2201" spans="2:5" x14ac:dyDescent="0.35">
      <c r="B2201" s="38">
        <v>38702</v>
      </c>
      <c r="C2201" s="3">
        <v>1</v>
      </c>
      <c r="D2201" s="3">
        <v>0</v>
      </c>
      <c r="E2201" s="3">
        <f>C2201 - D2201</f>
        <v>1</v>
      </c>
    </row>
    <row r="2202" spans="2:5" x14ac:dyDescent="0.35">
      <c r="B2202" s="38">
        <v>38703</v>
      </c>
      <c r="C2202" s="3">
        <v>0</v>
      </c>
      <c r="D2202" s="3">
        <v>1</v>
      </c>
      <c r="E2202" s="3">
        <f>C2202 - D2202</f>
        <v>-1</v>
      </c>
    </row>
    <row r="2203" spans="2:5" x14ac:dyDescent="0.35">
      <c r="B2203" s="38">
        <v>38704</v>
      </c>
      <c r="C2203" s="3">
        <v>0</v>
      </c>
      <c r="D2203" s="3">
        <v>0</v>
      </c>
      <c r="E2203" s="3">
        <f>C2203 - D2203</f>
        <v>0</v>
      </c>
    </row>
    <row r="2204" spans="2:5" x14ac:dyDescent="0.35">
      <c r="B2204" s="38">
        <v>38705</v>
      </c>
      <c r="C2204" s="3">
        <v>1</v>
      </c>
      <c r="D2204" s="3">
        <v>0</v>
      </c>
      <c r="E2204" s="3">
        <f>C2204 - D2204</f>
        <v>1</v>
      </c>
    </row>
    <row r="2205" spans="2:5" x14ac:dyDescent="0.35">
      <c r="B2205" s="38">
        <v>38706</v>
      </c>
      <c r="C2205" s="3">
        <v>0</v>
      </c>
      <c r="D2205" s="3">
        <v>1</v>
      </c>
      <c r="E2205" s="3">
        <f>C2205 - D2205</f>
        <v>-1</v>
      </c>
    </row>
    <row r="2206" spans="2:5" x14ac:dyDescent="0.35">
      <c r="B2206" s="38">
        <v>38707</v>
      </c>
      <c r="C2206" s="3">
        <v>0</v>
      </c>
      <c r="D2206" s="3">
        <v>0</v>
      </c>
      <c r="E2206" s="3">
        <f>C2206 - D2206</f>
        <v>0</v>
      </c>
    </row>
    <row r="2207" spans="2:5" x14ac:dyDescent="0.35">
      <c r="B2207" s="38">
        <v>38708</v>
      </c>
      <c r="C2207" s="3">
        <v>1</v>
      </c>
      <c r="D2207" s="3">
        <v>0</v>
      </c>
      <c r="E2207" s="3">
        <f>C2207 - D2207</f>
        <v>1</v>
      </c>
    </row>
    <row r="2208" spans="2:5" x14ac:dyDescent="0.35">
      <c r="B2208" s="38">
        <v>38709</v>
      </c>
      <c r="C2208" s="3">
        <v>0</v>
      </c>
      <c r="D2208" s="3">
        <v>1</v>
      </c>
      <c r="E2208" s="3">
        <f>C2208 - D2208</f>
        <v>-1</v>
      </c>
    </row>
    <row r="2209" spans="2:5" x14ac:dyDescent="0.35">
      <c r="B2209" s="38">
        <v>38710</v>
      </c>
      <c r="C2209" s="3">
        <v>1</v>
      </c>
      <c r="D2209" s="3">
        <v>0</v>
      </c>
      <c r="E2209" s="3">
        <f>C2209 - D2209</f>
        <v>1</v>
      </c>
    </row>
    <row r="2210" spans="2:5" x14ac:dyDescent="0.35">
      <c r="B2210" s="38">
        <v>38711</v>
      </c>
      <c r="C2210" s="3">
        <v>0</v>
      </c>
      <c r="D2210" s="3">
        <v>1</v>
      </c>
      <c r="E2210" s="3">
        <f>C2210 - D2210</f>
        <v>-1</v>
      </c>
    </row>
    <row r="2211" spans="2:5" x14ac:dyDescent="0.35">
      <c r="B2211" s="38">
        <v>38712</v>
      </c>
      <c r="C2211" s="3">
        <v>0</v>
      </c>
      <c r="D2211" s="3">
        <v>0</v>
      </c>
      <c r="E2211" s="3">
        <f>C2211 - D2211</f>
        <v>0</v>
      </c>
    </row>
    <row r="2212" spans="2:5" x14ac:dyDescent="0.35">
      <c r="B2212" s="38">
        <v>38713</v>
      </c>
      <c r="C2212" s="3">
        <v>0</v>
      </c>
      <c r="D2212" s="3">
        <v>0</v>
      </c>
      <c r="E2212" s="3">
        <f>C2212 - D2212</f>
        <v>0</v>
      </c>
    </row>
    <row r="2213" spans="2:5" x14ac:dyDescent="0.35">
      <c r="B2213" s="38">
        <v>38714</v>
      </c>
      <c r="C2213" s="3">
        <v>0</v>
      </c>
      <c r="D2213" s="3">
        <v>0</v>
      </c>
      <c r="E2213" s="3">
        <f>C2213 - D2213</f>
        <v>0</v>
      </c>
    </row>
    <row r="2214" spans="2:5" x14ac:dyDescent="0.35">
      <c r="B2214" s="38">
        <v>38715</v>
      </c>
      <c r="C2214" s="3">
        <v>0</v>
      </c>
      <c r="D2214" s="3">
        <v>0</v>
      </c>
      <c r="E2214" s="3">
        <f>C2214 - D2214</f>
        <v>0</v>
      </c>
    </row>
    <row r="2215" spans="2:5" x14ac:dyDescent="0.35">
      <c r="B2215" s="38">
        <v>38716</v>
      </c>
      <c r="C2215" s="3">
        <v>0</v>
      </c>
      <c r="D2215" s="3">
        <v>0</v>
      </c>
      <c r="E2215" s="3">
        <f>C2215 - D2215</f>
        <v>0</v>
      </c>
    </row>
    <row r="2216" spans="2:5" x14ac:dyDescent="0.35">
      <c r="B2216" s="38">
        <v>38717</v>
      </c>
      <c r="C2216" s="3">
        <v>0</v>
      </c>
      <c r="D2216" s="3">
        <v>0</v>
      </c>
      <c r="E2216" s="3">
        <f>C2216 - D2216</f>
        <v>0</v>
      </c>
    </row>
    <row r="2217" spans="2:5" x14ac:dyDescent="0.35">
      <c r="B2217" s="38">
        <v>38718</v>
      </c>
      <c r="C2217" s="3">
        <v>0</v>
      </c>
      <c r="D2217" s="3">
        <v>0</v>
      </c>
      <c r="E2217" s="3">
        <f>C2217 - D2217</f>
        <v>0</v>
      </c>
    </row>
    <row r="2218" spans="2:5" x14ac:dyDescent="0.35">
      <c r="B2218" s="38">
        <v>38719</v>
      </c>
      <c r="C2218" s="3">
        <v>1</v>
      </c>
      <c r="D2218" s="3">
        <v>0</v>
      </c>
      <c r="E2218" s="3">
        <f>C2218 - D2218</f>
        <v>1</v>
      </c>
    </row>
    <row r="2219" spans="2:5" x14ac:dyDescent="0.35">
      <c r="B2219" s="38">
        <v>38720</v>
      </c>
      <c r="C2219" s="3">
        <v>0</v>
      </c>
      <c r="D2219" s="3">
        <v>1</v>
      </c>
      <c r="E2219" s="3">
        <f>C2219 - D2219</f>
        <v>-1</v>
      </c>
    </row>
    <row r="2220" spans="2:5" x14ac:dyDescent="0.35">
      <c r="B2220" s="38">
        <v>38721</v>
      </c>
      <c r="C2220" s="3">
        <v>0</v>
      </c>
      <c r="D2220" s="3">
        <v>0</v>
      </c>
      <c r="E2220" s="3">
        <f>C2220 - D2220</f>
        <v>0</v>
      </c>
    </row>
    <row r="2221" spans="2:5" x14ac:dyDescent="0.35">
      <c r="B2221" s="38">
        <v>38722</v>
      </c>
      <c r="C2221" s="3">
        <v>0</v>
      </c>
      <c r="D2221" s="3">
        <v>0</v>
      </c>
      <c r="E2221" s="3">
        <f>C2221 - D2221</f>
        <v>0</v>
      </c>
    </row>
    <row r="2222" spans="2:5" x14ac:dyDescent="0.35">
      <c r="B2222" s="38">
        <v>38723</v>
      </c>
      <c r="C2222" s="3">
        <v>0</v>
      </c>
      <c r="D2222" s="3">
        <v>0</v>
      </c>
      <c r="E2222" s="3">
        <f>C2222 - D2222</f>
        <v>0</v>
      </c>
    </row>
    <row r="2223" spans="2:5" x14ac:dyDescent="0.35">
      <c r="B2223" s="38">
        <v>38724</v>
      </c>
      <c r="C2223" s="3">
        <v>0</v>
      </c>
      <c r="D2223" s="3">
        <v>0</v>
      </c>
      <c r="E2223" s="3">
        <f>C2223 - D2223</f>
        <v>0</v>
      </c>
    </row>
    <row r="2224" spans="2:5" x14ac:dyDescent="0.35">
      <c r="B2224" s="38">
        <v>38725</v>
      </c>
      <c r="C2224" s="3">
        <v>0</v>
      </c>
      <c r="D2224" s="3">
        <v>0</v>
      </c>
      <c r="E2224" s="3">
        <f>C2224 - D2224</f>
        <v>0</v>
      </c>
    </row>
    <row r="2225" spans="2:5" x14ac:dyDescent="0.35">
      <c r="B2225" s="38">
        <v>38726</v>
      </c>
      <c r="C2225" s="3">
        <v>0</v>
      </c>
      <c r="D2225" s="3">
        <v>0</v>
      </c>
      <c r="E2225" s="3">
        <f>C2225 - D2225</f>
        <v>0</v>
      </c>
    </row>
    <row r="2226" spans="2:5" x14ac:dyDescent="0.35">
      <c r="B2226" s="38">
        <v>38727</v>
      </c>
      <c r="C2226" s="3">
        <v>0</v>
      </c>
      <c r="D2226" s="3">
        <v>0</v>
      </c>
      <c r="E2226" s="3">
        <f>C2226 - D2226</f>
        <v>0</v>
      </c>
    </row>
    <row r="2227" spans="2:5" x14ac:dyDescent="0.35">
      <c r="B2227" s="38">
        <v>38728</v>
      </c>
      <c r="C2227" s="3">
        <v>1</v>
      </c>
      <c r="D2227" s="3">
        <v>0</v>
      </c>
      <c r="E2227" s="3">
        <f>C2227 - D2227</f>
        <v>1</v>
      </c>
    </row>
    <row r="2228" spans="2:5" x14ac:dyDescent="0.35">
      <c r="B2228" s="38">
        <v>38729</v>
      </c>
      <c r="C2228" s="3">
        <v>1</v>
      </c>
      <c r="D2228" s="3">
        <v>1</v>
      </c>
      <c r="E2228" s="3">
        <f>C2228 - D2228</f>
        <v>0</v>
      </c>
    </row>
    <row r="2229" spans="2:5" x14ac:dyDescent="0.35">
      <c r="B2229" s="38">
        <v>38730</v>
      </c>
      <c r="C2229" s="3">
        <v>1</v>
      </c>
      <c r="D2229" s="3">
        <v>1</v>
      </c>
      <c r="E2229" s="3">
        <f>C2229 - D2229</f>
        <v>0</v>
      </c>
    </row>
    <row r="2230" spans="2:5" x14ac:dyDescent="0.35">
      <c r="B2230" s="38">
        <v>38731</v>
      </c>
      <c r="C2230" s="3">
        <v>0</v>
      </c>
      <c r="D2230" s="3">
        <v>1</v>
      </c>
      <c r="E2230" s="3">
        <f>C2230 - D2230</f>
        <v>-1</v>
      </c>
    </row>
    <row r="2231" spans="2:5" x14ac:dyDescent="0.35">
      <c r="B2231" s="38">
        <v>38732</v>
      </c>
      <c r="C2231" s="3">
        <v>0</v>
      </c>
      <c r="D2231" s="3">
        <v>0</v>
      </c>
      <c r="E2231" s="3">
        <f>C2231 - D2231</f>
        <v>0</v>
      </c>
    </row>
    <row r="2232" spans="2:5" x14ac:dyDescent="0.35">
      <c r="B2232" s="38">
        <v>38733</v>
      </c>
      <c r="C2232" s="3">
        <v>0</v>
      </c>
      <c r="D2232" s="3">
        <v>0</v>
      </c>
      <c r="E2232" s="3">
        <f>C2232 - D2232</f>
        <v>0</v>
      </c>
    </row>
    <row r="2233" spans="2:5" x14ac:dyDescent="0.35">
      <c r="B2233" s="38">
        <v>38734</v>
      </c>
      <c r="C2233" s="3">
        <v>0</v>
      </c>
      <c r="D2233" s="3">
        <v>0</v>
      </c>
      <c r="E2233" s="3">
        <f>C2233 - D2233</f>
        <v>0</v>
      </c>
    </row>
    <row r="2234" spans="2:5" x14ac:dyDescent="0.35">
      <c r="B2234" s="38">
        <v>38735</v>
      </c>
      <c r="C2234" s="3">
        <v>0</v>
      </c>
      <c r="D2234" s="3">
        <v>0</v>
      </c>
      <c r="E2234" s="3">
        <f>C2234 - D2234</f>
        <v>0</v>
      </c>
    </row>
    <row r="2235" spans="2:5" x14ac:dyDescent="0.35">
      <c r="B2235" s="38">
        <v>38736</v>
      </c>
      <c r="C2235" s="3">
        <v>0</v>
      </c>
      <c r="D2235" s="3">
        <v>0</v>
      </c>
      <c r="E2235" s="3">
        <f>C2235 - D2235</f>
        <v>0</v>
      </c>
    </row>
    <row r="2236" spans="2:5" x14ac:dyDescent="0.35">
      <c r="B2236" s="38">
        <v>38737</v>
      </c>
      <c r="C2236" s="3">
        <v>0</v>
      </c>
      <c r="D2236" s="3">
        <v>0</v>
      </c>
      <c r="E2236" s="3">
        <f>C2236 - D2236</f>
        <v>0</v>
      </c>
    </row>
    <row r="2237" spans="2:5" x14ac:dyDescent="0.35">
      <c r="B2237" s="38">
        <v>38738</v>
      </c>
      <c r="C2237" s="3">
        <v>1</v>
      </c>
      <c r="D2237" s="3">
        <v>0</v>
      </c>
      <c r="E2237" s="3">
        <f>C2237 - D2237</f>
        <v>1</v>
      </c>
    </row>
    <row r="2238" spans="2:5" x14ac:dyDescent="0.35">
      <c r="B2238" s="38">
        <v>38739</v>
      </c>
      <c r="C2238" s="3">
        <v>0</v>
      </c>
      <c r="D2238" s="3">
        <v>1</v>
      </c>
      <c r="E2238" s="3">
        <f>C2238 - D2238</f>
        <v>-1</v>
      </c>
    </row>
    <row r="2239" spans="2:5" x14ac:dyDescent="0.35">
      <c r="B2239" s="38">
        <v>38740</v>
      </c>
      <c r="C2239" s="3">
        <v>0</v>
      </c>
      <c r="D2239" s="3">
        <v>0</v>
      </c>
      <c r="E2239" s="3">
        <f>C2239 - D2239</f>
        <v>0</v>
      </c>
    </row>
    <row r="2240" spans="2:5" x14ac:dyDescent="0.35">
      <c r="B2240" s="38">
        <v>38741</v>
      </c>
      <c r="C2240" s="3">
        <v>0</v>
      </c>
      <c r="D2240" s="3">
        <v>0</v>
      </c>
      <c r="E2240" s="3">
        <f>C2240 - D2240</f>
        <v>0</v>
      </c>
    </row>
    <row r="2241" spans="2:5" x14ac:dyDescent="0.35">
      <c r="B2241" s="38">
        <v>38742</v>
      </c>
      <c r="C2241" s="3">
        <v>0</v>
      </c>
      <c r="D2241" s="3">
        <v>0</v>
      </c>
      <c r="E2241" s="3">
        <f>C2241 - D2241</f>
        <v>0</v>
      </c>
    </row>
    <row r="2242" spans="2:5" x14ac:dyDescent="0.35">
      <c r="B2242" s="38">
        <v>38743</v>
      </c>
      <c r="C2242" s="3">
        <v>0</v>
      </c>
      <c r="D2242" s="3">
        <v>0</v>
      </c>
      <c r="E2242" s="3">
        <f>C2242 - D2242</f>
        <v>0</v>
      </c>
    </row>
    <row r="2243" spans="2:5" x14ac:dyDescent="0.35">
      <c r="B2243" s="38">
        <v>38744</v>
      </c>
      <c r="C2243" s="3">
        <v>1</v>
      </c>
      <c r="D2243" s="3">
        <v>0</v>
      </c>
      <c r="E2243" s="3">
        <f>C2243 - D2243</f>
        <v>1</v>
      </c>
    </row>
    <row r="2244" spans="2:5" x14ac:dyDescent="0.35">
      <c r="B2244" s="38">
        <v>38745</v>
      </c>
      <c r="C2244" s="3">
        <v>1</v>
      </c>
      <c r="D2244" s="3">
        <v>1</v>
      </c>
      <c r="E2244" s="3">
        <f>C2244 - D2244</f>
        <v>0</v>
      </c>
    </row>
    <row r="2245" spans="2:5" x14ac:dyDescent="0.35">
      <c r="B2245" s="38">
        <v>38746</v>
      </c>
      <c r="C2245" s="3">
        <v>1</v>
      </c>
      <c r="D2245" s="3">
        <v>1</v>
      </c>
      <c r="E2245" s="3">
        <f>C2245 - D2245</f>
        <v>0</v>
      </c>
    </row>
    <row r="2246" spans="2:5" x14ac:dyDescent="0.35">
      <c r="B2246" s="38">
        <v>38747</v>
      </c>
      <c r="C2246" s="3">
        <v>1</v>
      </c>
      <c r="D2246" s="3">
        <v>1</v>
      </c>
      <c r="E2246" s="3">
        <f>C2246 - D2246</f>
        <v>0</v>
      </c>
    </row>
    <row r="2247" spans="2:5" x14ac:dyDescent="0.35">
      <c r="B2247" s="38">
        <v>38748</v>
      </c>
      <c r="C2247" s="3">
        <v>1</v>
      </c>
      <c r="D2247" s="3">
        <v>1</v>
      </c>
      <c r="E2247" s="3">
        <f>C2247 - D2247</f>
        <v>0</v>
      </c>
    </row>
    <row r="2248" spans="2:5" x14ac:dyDescent="0.35">
      <c r="B2248" s="38">
        <v>38749</v>
      </c>
      <c r="C2248" s="3">
        <v>0</v>
      </c>
      <c r="D2248" s="3">
        <v>1</v>
      </c>
      <c r="E2248" s="3">
        <f>C2248 - D2248</f>
        <v>-1</v>
      </c>
    </row>
    <row r="2249" spans="2:5" x14ac:dyDescent="0.35">
      <c r="B2249" s="38">
        <v>38750</v>
      </c>
      <c r="C2249" s="3">
        <v>1</v>
      </c>
      <c r="D2249" s="3">
        <v>0</v>
      </c>
      <c r="E2249" s="3">
        <f>C2249 - D2249</f>
        <v>1</v>
      </c>
    </row>
    <row r="2250" spans="2:5" x14ac:dyDescent="0.35">
      <c r="B2250" s="38">
        <v>38751</v>
      </c>
      <c r="C2250" s="3">
        <v>0</v>
      </c>
      <c r="D2250" s="3">
        <v>1</v>
      </c>
      <c r="E2250" s="3">
        <f>C2250 - D2250</f>
        <v>-1</v>
      </c>
    </row>
    <row r="2251" spans="2:5" x14ac:dyDescent="0.35">
      <c r="B2251" s="38">
        <v>38752</v>
      </c>
      <c r="C2251" s="3">
        <v>0</v>
      </c>
      <c r="D2251" s="3">
        <v>0</v>
      </c>
      <c r="E2251" s="3">
        <f>C2251 - D2251</f>
        <v>0</v>
      </c>
    </row>
    <row r="2252" spans="2:5" x14ac:dyDescent="0.35">
      <c r="B2252" s="38">
        <v>38753</v>
      </c>
      <c r="C2252" s="3">
        <v>0</v>
      </c>
      <c r="D2252" s="3">
        <v>0</v>
      </c>
      <c r="E2252" s="3">
        <f>C2252 - D2252</f>
        <v>0</v>
      </c>
    </row>
    <row r="2253" spans="2:5" x14ac:dyDescent="0.35">
      <c r="B2253" s="38">
        <v>38754</v>
      </c>
      <c r="C2253" s="3">
        <v>0</v>
      </c>
      <c r="D2253" s="3">
        <v>0</v>
      </c>
      <c r="E2253" s="3">
        <f>C2253 - D2253</f>
        <v>0</v>
      </c>
    </row>
    <row r="2254" spans="2:5" x14ac:dyDescent="0.35">
      <c r="B2254" s="38">
        <v>38755</v>
      </c>
      <c r="C2254" s="3">
        <v>0</v>
      </c>
      <c r="D2254" s="3">
        <v>0</v>
      </c>
      <c r="E2254" s="3">
        <f>C2254 - D2254</f>
        <v>0</v>
      </c>
    </row>
    <row r="2255" spans="2:5" x14ac:dyDescent="0.35">
      <c r="B2255" s="38">
        <v>38756</v>
      </c>
      <c r="C2255" s="3">
        <v>0</v>
      </c>
      <c r="D2255" s="3">
        <v>0</v>
      </c>
      <c r="E2255" s="3">
        <f>C2255 - D2255</f>
        <v>0</v>
      </c>
    </row>
    <row r="2256" spans="2:5" x14ac:dyDescent="0.35">
      <c r="B2256" s="38">
        <v>38757</v>
      </c>
      <c r="C2256" s="3">
        <v>1</v>
      </c>
      <c r="D2256" s="3">
        <v>0</v>
      </c>
      <c r="E2256" s="3">
        <f>C2256 - D2256</f>
        <v>1</v>
      </c>
    </row>
    <row r="2257" spans="2:5" x14ac:dyDescent="0.35">
      <c r="B2257" s="38">
        <v>38758</v>
      </c>
      <c r="C2257" s="3">
        <v>1</v>
      </c>
      <c r="D2257" s="3">
        <v>1</v>
      </c>
      <c r="E2257" s="3">
        <f>C2257 - D2257</f>
        <v>0</v>
      </c>
    </row>
    <row r="2258" spans="2:5" x14ac:dyDescent="0.35">
      <c r="B2258" s="38">
        <v>38759</v>
      </c>
      <c r="C2258" s="3">
        <v>0</v>
      </c>
      <c r="D2258" s="3">
        <v>1</v>
      </c>
      <c r="E2258" s="3">
        <f>C2258 - D2258</f>
        <v>-1</v>
      </c>
    </row>
    <row r="2259" spans="2:5" x14ac:dyDescent="0.35">
      <c r="B2259" s="38">
        <v>38760</v>
      </c>
      <c r="C2259" s="3">
        <v>0</v>
      </c>
      <c r="D2259" s="3">
        <v>0</v>
      </c>
      <c r="E2259" s="3">
        <f>C2259 - D2259</f>
        <v>0</v>
      </c>
    </row>
    <row r="2260" spans="2:5" x14ac:dyDescent="0.35">
      <c r="B2260" s="38">
        <v>38761</v>
      </c>
      <c r="C2260" s="3">
        <v>1</v>
      </c>
      <c r="D2260" s="3">
        <v>0</v>
      </c>
      <c r="E2260" s="3">
        <f>C2260 - D2260</f>
        <v>1</v>
      </c>
    </row>
    <row r="2261" spans="2:5" x14ac:dyDescent="0.35">
      <c r="B2261" s="38">
        <v>38762</v>
      </c>
      <c r="C2261" s="3">
        <v>0</v>
      </c>
      <c r="D2261" s="3">
        <v>1</v>
      </c>
      <c r="E2261" s="3">
        <f>C2261 - D2261</f>
        <v>-1</v>
      </c>
    </row>
    <row r="2262" spans="2:5" x14ac:dyDescent="0.35">
      <c r="B2262" s="38">
        <v>38763</v>
      </c>
      <c r="C2262" s="3">
        <v>0</v>
      </c>
      <c r="D2262" s="3">
        <v>0</v>
      </c>
      <c r="E2262" s="3">
        <f>C2262 - D2262</f>
        <v>0</v>
      </c>
    </row>
    <row r="2263" spans="2:5" x14ac:dyDescent="0.35">
      <c r="B2263" s="38">
        <v>38764</v>
      </c>
      <c r="C2263" s="3">
        <v>0</v>
      </c>
      <c r="D2263" s="3">
        <v>0</v>
      </c>
      <c r="E2263" s="3">
        <f>C2263 - D2263</f>
        <v>0</v>
      </c>
    </row>
    <row r="2264" spans="2:5" x14ac:dyDescent="0.35">
      <c r="B2264" s="38">
        <v>38765</v>
      </c>
      <c r="C2264" s="3">
        <v>0</v>
      </c>
      <c r="D2264" s="3">
        <v>0</v>
      </c>
      <c r="E2264" s="3">
        <f>C2264 - D2264</f>
        <v>0</v>
      </c>
    </row>
    <row r="2265" spans="2:5" x14ac:dyDescent="0.35">
      <c r="B2265" s="38">
        <v>38766</v>
      </c>
      <c r="C2265" s="3">
        <v>0</v>
      </c>
      <c r="D2265" s="3">
        <v>0</v>
      </c>
      <c r="E2265" s="3">
        <f>C2265 - D2265</f>
        <v>0</v>
      </c>
    </row>
    <row r="2266" spans="2:5" x14ac:dyDescent="0.35">
      <c r="B2266" s="38">
        <v>38767</v>
      </c>
      <c r="C2266" s="3">
        <v>1</v>
      </c>
      <c r="D2266" s="3">
        <v>0</v>
      </c>
      <c r="E2266" s="3">
        <f>C2266 - D2266</f>
        <v>1</v>
      </c>
    </row>
    <row r="2267" spans="2:5" x14ac:dyDescent="0.35">
      <c r="B2267" s="38">
        <v>38768</v>
      </c>
      <c r="C2267" s="3">
        <v>0</v>
      </c>
      <c r="D2267" s="3">
        <v>1</v>
      </c>
      <c r="E2267" s="3">
        <f>C2267 - D2267</f>
        <v>-1</v>
      </c>
    </row>
    <row r="2268" spans="2:5" x14ac:dyDescent="0.35">
      <c r="B2268" s="38">
        <v>38769</v>
      </c>
      <c r="C2268" s="3">
        <v>0</v>
      </c>
      <c r="D2268" s="3">
        <v>0</v>
      </c>
      <c r="E2268" s="3">
        <f>C2268 - D2268</f>
        <v>0</v>
      </c>
    </row>
    <row r="2269" spans="2:5" x14ac:dyDescent="0.35">
      <c r="B2269" s="38">
        <v>38770</v>
      </c>
      <c r="C2269" s="3">
        <v>0</v>
      </c>
      <c r="D2269" s="3">
        <v>0</v>
      </c>
      <c r="E2269" s="3">
        <f>C2269 - D2269</f>
        <v>0</v>
      </c>
    </row>
    <row r="2270" spans="2:5" x14ac:dyDescent="0.35">
      <c r="B2270" s="38">
        <v>38771</v>
      </c>
      <c r="C2270" s="3">
        <v>0</v>
      </c>
      <c r="D2270" s="3">
        <v>0</v>
      </c>
      <c r="E2270" s="3">
        <f>C2270 - D2270</f>
        <v>0</v>
      </c>
    </row>
    <row r="2271" spans="2:5" x14ac:dyDescent="0.35">
      <c r="B2271" s="38">
        <v>38772</v>
      </c>
      <c r="C2271" s="3">
        <v>0</v>
      </c>
      <c r="D2271" s="3">
        <v>0</v>
      </c>
      <c r="E2271" s="3">
        <f>C2271 - D2271</f>
        <v>0</v>
      </c>
    </row>
    <row r="2272" spans="2:5" x14ac:dyDescent="0.35">
      <c r="B2272" s="38">
        <v>38773</v>
      </c>
      <c r="C2272" s="3">
        <v>1</v>
      </c>
      <c r="D2272" s="3">
        <v>0</v>
      </c>
      <c r="E2272" s="3">
        <f>C2272 - D2272</f>
        <v>1</v>
      </c>
    </row>
    <row r="2273" spans="2:5" x14ac:dyDescent="0.35">
      <c r="B2273" s="38">
        <v>38774</v>
      </c>
      <c r="C2273" s="3">
        <v>1</v>
      </c>
      <c r="D2273" s="3">
        <v>1</v>
      </c>
      <c r="E2273" s="3">
        <f>C2273 - D2273</f>
        <v>0</v>
      </c>
    </row>
    <row r="2274" spans="2:5" x14ac:dyDescent="0.35">
      <c r="B2274" s="38">
        <v>38775</v>
      </c>
      <c r="C2274" s="3">
        <v>0</v>
      </c>
      <c r="D2274" s="3">
        <v>1</v>
      </c>
      <c r="E2274" s="3">
        <f>C2274 - D2274</f>
        <v>-1</v>
      </c>
    </row>
    <row r="2275" spans="2:5" x14ac:dyDescent="0.35">
      <c r="B2275" s="38">
        <v>38776</v>
      </c>
      <c r="C2275" s="3">
        <v>0</v>
      </c>
      <c r="D2275" s="3">
        <v>0</v>
      </c>
      <c r="E2275" s="3">
        <f>C2275 - D2275</f>
        <v>0</v>
      </c>
    </row>
    <row r="2276" spans="2:5" x14ac:dyDescent="0.35">
      <c r="B2276" s="38">
        <v>38777</v>
      </c>
      <c r="C2276" s="3">
        <v>0</v>
      </c>
      <c r="D2276" s="3">
        <v>0</v>
      </c>
      <c r="E2276" s="3">
        <f>C2276 - D2276</f>
        <v>0</v>
      </c>
    </row>
    <row r="2277" spans="2:5" x14ac:dyDescent="0.35">
      <c r="B2277" s="38">
        <v>38778</v>
      </c>
      <c r="C2277" s="3">
        <v>0</v>
      </c>
      <c r="D2277" s="3">
        <v>0</v>
      </c>
      <c r="E2277" s="3">
        <f>C2277 - D2277</f>
        <v>0</v>
      </c>
    </row>
    <row r="2278" spans="2:5" x14ac:dyDescent="0.35">
      <c r="B2278" s="38">
        <v>38779</v>
      </c>
      <c r="C2278" s="3">
        <v>0</v>
      </c>
      <c r="D2278" s="3">
        <v>0</v>
      </c>
      <c r="E2278" s="3">
        <f>C2278 - D2278</f>
        <v>0</v>
      </c>
    </row>
    <row r="2279" spans="2:5" x14ac:dyDescent="0.35">
      <c r="B2279" s="38">
        <v>38780</v>
      </c>
      <c r="C2279" s="3">
        <v>0</v>
      </c>
      <c r="D2279" s="3">
        <v>0</v>
      </c>
      <c r="E2279" s="3">
        <f>C2279 - D2279</f>
        <v>0</v>
      </c>
    </row>
    <row r="2280" spans="2:5" x14ac:dyDescent="0.35">
      <c r="B2280" s="38">
        <v>38781</v>
      </c>
      <c r="C2280" s="3">
        <v>0</v>
      </c>
      <c r="D2280" s="3">
        <v>0</v>
      </c>
      <c r="E2280" s="3">
        <f>C2280 - D2280</f>
        <v>0</v>
      </c>
    </row>
    <row r="2281" spans="2:5" x14ac:dyDescent="0.35">
      <c r="B2281" s="38">
        <v>38782</v>
      </c>
      <c r="C2281" s="3">
        <v>0</v>
      </c>
      <c r="D2281" s="3">
        <v>0</v>
      </c>
      <c r="E2281" s="3">
        <f>C2281 - D2281</f>
        <v>0</v>
      </c>
    </row>
    <row r="2282" spans="2:5" x14ac:dyDescent="0.35">
      <c r="B2282" s="38">
        <v>38783</v>
      </c>
      <c r="C2282" s="3">
        <v>0</v>
      </c>
      <c r="D2282" s="3">
        <v>0</v>
      </c>
      <c r="E2282" s="3">
        <f>C2282 - D2282</f>
        <v>0</v>
      </c>
    </row>
    <row r="2283" spans="2:5" x14ac:dyDescent="0.35">
      <c r="B2283" s="38">
        <v>38784</v>
      </c>
      <c r="C2283" s="3">
        <v>0</v>
      </c>
      <c r="D2283" s="3">
        <v>0</v>
      </c>
      <c r="E2283" s="3">
        <f>C2283 - D2283</f>
        <v>0</v>
      </c>
    </row>
    <row r="2284" spans="2:5" x14ac:dyDescent="0.35">
      <c r="B2284" s="38">
        <v>38785</v>
      </c>
      <c r="C2284" s="3">
        <v>0</v>
      </c>
      <c r="D2284" s="3">
        <v>0</v>
      </c>
      <c r="E2284" s="3">
        <f>C2284 - D2284</f>
        <v>0</v>
      </c>
    </row>
    <row r="2285" spans="2:5" x14ac:dyDescent="0.35">
      <c r="B2285" s="38">
        <v>38786</v>
      </c>
      <c r="C2285" s="3">
        <v>0</v>
      </c>
      <c r="D2285" s="3">
        <v>0</v>
      </c>
      <c r="E2285" s="3">
        <f>C2285 - D2285</f>
        <v>0</v>
      </c>
    </row>
    <row r="2286" spans="2:5" x14ac:dyDescent="0.35">
      <c r="B2286" s="38">
        <v>38787</v>
      </c>
      <c r="C2286" s="3">
        <v>0</v>
      </c>
      <c r="D2286" s="3">
        <v>0</v>
      </c>
      <c r="E2286" s="3">
        <f>C2286 - D2286</f>
        <v>0</v>
      </c>
    </row>
    <row r="2287" spans="2:5" x14ac:dyDescent="0.35">
      <c r="B2287" s="38">
        <v>38788</v>
      </c>
      <c r="C2287" s="3">
        <v>0</v>
      </c>
      <c r="D2287" s="3">
        <v>0</v>
      </c>
      <c r="E2287" s="3">
        <f>C2287 - D2287</f>
        <v>0</v>
      </c>
    </row>
    <row r="2288" spans="2:5" x14ac:dyDescent="0.35">
      <c r="B2288" s="38">
        <v>38789</v>
      </c>
      <c r="C2288" s="3">
        <v>1</v>
      </c>
      <c r="D2288" s="3">
        <v>0</v>
      </c>
      <c r="E2288" s="3">
        <f>C2288 - D2288</f>
        <v>1</v>
      </c>
    </row>
    <row r="2289" spans="2:5" x14ac:dyDescent="0.35">
      <c r="B2289" s="38">
        <v>38790</v>
      </c>
      <c r="C2289" s="3">
        <v>1</v>
      </c>
      <c r="D2289" s="3">
        <v>1</v>
      </c>
      <c r="E2289" s="3">
        <f>C2289 - D2289</f>
        <v>0</v>
      </c>
    </row>
    <row r="2290" spans="2:5" x14ac:dyDescent="0.35">
      <c r="B2290" s="38">
        <v>38791</v>
      </c>
      <c r="C2290" s="3">
        <v>0</v>
      </c>
      <c r="D2290" s="3">
        <v>1</v>
      </c>
      <c r="E2290" s="3">
        <f>C2290 - D2290</f>
        <v>-1</v>
      </c>
    </row>
    <row r="2291" spans="2:5" x14ac:dyDescent="0.35">
      <c r="B2291" s="38">
        <v>38792</v>
      </c>
      <c r="C2291" s="3">
        <v>1</v>
      </c>
      <c r="D2291" s="3">
        <v>0</v>
      </c>
      <c r="E2291" s="3">
        <f>C2291 - D2291</f>
        <v>1</v>
      </c>
    </row>
    <row r="2292" spans="2:5" x14ac:dyDescent="0.35">
      <c r="B2292" s="38">
        <v>38793</v>
      </c>
      <c r="C2292" s="3">
        <v>1</v>
      </c>
      <c r="D2292" s="3">
        <v>1</v>
      </c>
      <c r="E2292" s="3">
        <f>C2292 - D2292</f>
        <v>0</v>
      </c>
    </row>
    <row r="2293" spans="2:5" x14ac:dyDescent="0.35">
      <c r="B2293" s="38">
        <v>38794</v>
      </c>
      <c r="C2293" s="3">
        <v>0</v>
      </c>
      <c r="D2293" s="3">
        <v>1</v>
      </c>
      <c r="E2293" s="3">
        <f>C2293 - D2293</f>
        <v>-1</v>
      </c>
    </row>
    <row r="2294" spans="2:5" x14ac:dyDescent="0.35">
      <c r="B2294" s="38">
        <v>38795</v>
      </c>
      <c r="C2294" s="3">
        <v>0</v>
      </c>
      <c r="D2294" s="3">
        <v>0</v>
      </c>
      <c r="E2294" s="3">
        <f>C2294 - D2294</f>
        <v>0</v>
      </c>
    </row>
    <row r="2295" spans="2:5" x14ac:dyDescent="0.35">
      <c r="B2295" s="38">
        <v>38796</v>
      </c>
      <c r="C2295" s="3">
        <v>0</v>
      </c>
      <c r="D2295" s="3">
        <v>0</v>
      </c>
      <c r="E2295" s="3">
        <f>C2295 - D2295</f>
        <v>0</v>
      </c>
    </row>
    <row r="2296" spans="2:5" x14ac:dyDescent="0.35">
      <c r="B2296" s="38">
        <v>38797</v>
      </c>
      <c r="C2296" s="3">
        <v>0</v>
      </c>
      <c r="D2296" s="3">
        <v>0</v>
      </c>
      <c r="E2296" s="3">
        <f>C2296 - D2296</f>
        <v>0</v>
      </c>
    </row>
    <row r="2297" spans="2:5" x14ac:dyDescent="0.35">
      <c r="B2297" s="38">
        <v>38798</v>
      </c>
      <c r="C2297" s="3">
        <v>0</v>
      </c>
      <c r="D2297" s="3">
        <v>0</v>
      </c>
      <c r="E2297" s="3">
        <f>C2297 - D2297</f>
        <v>0</v>
      </c>
    </row>
    <row r="2298" spans="2:5" x14ac:dyDescent="0.35">
      <c r="B2298" s="38">
        <v>38799</v>
      </c>
      <c r="C2298" s="3">
        <v>0</v>
      </c>
      <c r="D2298" s="3">
        <v>0</v>
      </c>
      <c r="E2298" s="3">
        <f>C2298 - D2298</f>
        <v>0</v>
      </c>
    </row>
    <row r="2299" spans="2:5" x14ac:dyDescent="0.35">
      <c r="B2299" s="38">
        <v>38800</v>
      </c>
      <c r="C2299" s="3">
        <v>0</v>
      </c>
      <c r="D2299" s="3">
        <v>0</v>
      </c>
      <c r="E2299" s="3">
        <f>C2299 - D2299</f>
        <v>0</v>
      </c>
    </row>
    <row r="2300" spans="2:5" x14ac:dyDescent="0.35">
      <c r="B2300" s="38">
        <v>38801</v>
      </c>
      <c r="C2300" s="3">
        <v>0</v>
      </c>
      <c r="D2300" s="3">
        <v>0</v>
      </c>
      <c r="E2300" s="3">
        <f>C2300 - D2300</f>
        <v>0</v>
      </c>
    </row>
    <row r="2301" spans="2:5" x14ac:dyDescent="0.35">
      <c r="B2301" s="38">
        <v>38802</v>
      </c>
      <c r="C2301" s="3">
        <v>0</v>
      </c>
      <c r="D2301" s="3">
        <v>0</v>
      </c>
      <c r="E2301" s="3">
        <f>C2301 - D2301</f>
        <v>0</v>
      </c>
    </row>
    <row r="2302" spans="2:5" x14ac:dyDescent="0.35">
      <c r="B2302" s="38">
        <v>38803</v>
      </c>
      <c r="C2302" s="3">
        <v>0</v>
      </c>
      <c r="D2302" s="3">
        <v>0</v>
      </c>
      <c r="E2302" s="3">
        <f>C2302 - D2302</f>
        <v>0</v>
      </c>
    </row>
    <row r="2303" spans="2:5" x14ac:dyDescent="0.35">
      <c r="B2303" s="38">
        <v>38804</v>
      </c>
      <c r="C2303" s="3">
        <v>0</v>
      </c>
      <c r="D2303" s="3">
        <v>0</v>
      </c>
      <c r="E2303" s="3">
        <f>C2303 - D2303</f>
        <v>0</v>
      </c>
    </row>
    <row r="2304" spans="2:5" x14ac:dyDescent="0.35">
      <c r="B2304" s="38">
        <v>38805</v>
      </c>
      <c r="C2304" s="3">
        <v>0</v>
      </c>
      <c r="D2304" s="3">
        <v>0</v>
      </c>
      <c r="E2304" s="3">
        <f>C2304 - D2304</f>
        <v>0</v>
      </c>
    </row>
    <row r="2305" spans="2:5" x14ac:dyDescent="0.35">
      <c r="B2305" s="38">
        <v>38806</v>
      </c>
      <c r="C2305" s="3">
        <v>0</v>
      </c>
      <c r="D2305" s="3">
        <v>0</v>
      </c>
      <c r="E2305" s="3">
        <f>C2305 - D2305</f>
        <v>0</v>
      </c>
    </row>
    <row r="2306" spans="2:5" x14ac:dyDescent="0.35">
      <c r="B2306" s="38">
        <v>38807</v>
      </c>
      <c r="C2306" s="3">
        <v>0</v>
      </c>
      <c r="D2306" s="3">
        <v>0</v>
      </c>
      <c r="E2306" s="3">
        <f>C2306 - D2306</f>
        <v>0</v>
      </c>
    </row>
    <row r="2307" spans="2:5" x14ac:dyDescent="0.35">
      <c r="B2307" s="38">
        <v>38808</v>
      </c>
      <c r="C2307" s="3">
        <v>1</v>
      </c>
      <c r="D2307" s="3">
        <v>0</v>
      </c>
      <c r="E2307" s="3">
        <f>C2307 - D2307</f>
        <v>1</v>
      </c>
    </row>
    <row r="2308" spans="2:5" x14ac:dyDescent="0.35">
      <c r="B2308" s="38">
        <v>38809</v>
      </c>
      <c r="C2308" s="3">
        <v>1</v>
      </c>
      <c r="D2308" s="3">
        <v>1</v>
      </c>
      <c r="E2308" s="3">
        <f>C2308 - D2308</f>
        <v>0</v>
      </c>
    </row>
    <row r="2309" spans="2:5" x14ac:dyDescent="0.35">
      <c r="B2309" s="38">
        <v>38810</v>
      </c>
      <c r="C2309" s="3">
        <v>0</v>
      </c>
      <c r="D2309" s="3">
        <v>1</v>
      </c>
      <c r="E2309" s="3">
        <f>C2309 - D2309</f>
        <v>-1</v>
      </c>
    </row>
    <row r="2310" spans="2:5" x14ac:dyDescent="0.35">
      <c r="B2310" s="38">
        <v>38811</v>
      </c>
      <c r="C2310" s="3">
        <v>0</v>
      </c>
      <c r="D2310" s="3">
        <v>0</v>
      </c>
      <c r="E2310" s="3">
        <f>C2310 - D2310</f>
        <v>0</v>
      </c>
    </row>
    <row r="2311" spans="2:5" x14ac:dyDescent="0.35">
      <c r="B2311" s="38">
        <v>38812</v>
      </c>
      <c r="C2311" s="3">
        <v>0</v>
      </c>
      <c r="D2311" s="3">
        <v>0</v>
      </c>
      <c r="E2311" s="3">
        <f>C2311 - D2311</f>
        <v>0</v>
      </c>
    </row>
    <row r="2312" spans="2:5" x14ac:dyDescent="0.35">
      <c r="B2312" s="38">
        <v>38813</v>
      </c>
      <c r="C2312" s="3">
        <v>1</v>
      </c>
      <c r="D2312" s="3">
        <v>0</v>
      </c>
      <c r="E2312" s="3">
        <f>C2312 - D2312</f>
        <v>1</v>
      </c>
    </row>
    <row r="2313" spans="2:5" x14ac:dyDescent="0.35">
      <c r="B2313" s="38">
        <v>38814</v>
      </c>
      <c r="C2313" s="3">
        <v>1</v>
      </c>
      <c r="D2313" s="3">
        <v>1</v>
      </c>
      <c r="E2313" s="3">
        <f>C2313 - D2313</f>
        <v>0</v>
      </c>
    </row>
    <row r="2314" spans="2:5" x14ac:dyDescent="0.35">
      <c r="B2314" s="38">
        <v>38815</v>
      </c>
      <c r="C2314" s="3">
        <v>0</v>
      </c>
      <c r="D2314" s="3">
        <v>1</v>
      </c>
      <c r="E2314" s="3">
        <f>C2314 - D2314</f>
        <v>-1</v>
      </c>
    </row>
    <row r="2315" spans="2:5" x14ac:dyDescent="0.35">
      <c r="B2315" s="38">
        <v>38816</v>
      </c>
      <c r="C2315" s="3">
        <v>0</v>
      </c>
      <c r="D2315" s="3">
        <v>0</v>
      </c>
      <c r="E2315" s="3">
        <f>C2315 - D2315</f>
        <v>0</v>
      </c>
    </row>
    <row r="2316" spans="2:5" x14ac:dyDescent="0.35">
      <c r="B2316" s="38">
        <v>38817</v>
      </c>
      <c r="C2316" s="3">
        <v>0</v>
      </c>
      <c r="D2316" s="3">
        <v>0</v>
      </c>
      <c r="E2316" s="3">
        <f>C2316 - D2316</f>
        <v>0</v>
      </c>
    </row>
    <row r="2317" spans="2:5" x14ac:dyDescent="0.35">
      <c r="B2317" s="38">
        <v>38818</v>
      </c>
      <c r="C2317" s="3">
        <v>0</v>
      </c>
      <c r="D2317" s="3">
        <v>0</v>
      </c>
      <c r="E2317" s="3">
        <f>C2317 - D2317</f>
        <v>0</v>
      </c>
    </row>
    <row r="2318" spans="2:5" x14ac:dyDescent="0.35">
      <c r="B2318" s="38">
        <v>38819</v>
      </c>
      <c r="C2318" s="3">
        <v>0</v>
      </c>
      <c r="D2318" s="3">
        <v>0</v>
      </c>
      <c r="E2318" s="3">
        <f>C2318 - D2318</f>
        <v>0</v>
      </c>
    </row>
    <row r="2319" spans="2:5" x14ac:dyDescent="0.35">
      <c r="B2319" s="38">
        <v>38820</v>
      </c>
      <c r="C2319" s="3">
        <v>0</v>
      </c>
      <c r="D2319" s="3">
        <v>0</v>
      </c>
      <c r="E2319" s="3">
        <f>C2319 - D2319</f>
        <v>0</v>
      </c>
    </row>
    <row r="2320" spans="2:5" x14ac:dyDescent="0.35">
      <c r="B2320" s="38">
        <v>38821</v>
      </c>
      <c r="C2320" s="3">
        <v>1</v>
      </c>
      <c r="D2320" s="3">
        <v>0</v>
      </c>
      <c r="E2320" s="3">
        <f>C2320 - D2320</f>
        <v>1</v>
      </c>
    </row>
    <row r="2321" spans="2:5" x14ac:dyDescent="0.35">
      <c r="B2321" s="38">
        <v>38822</v>
      </c>
      <c r="C2321" s="3">
        <v>1</v>
      </c>
      <c r="D2321" s="3">
        <v>1</v>
      </c>
      <c r="E2321" s="3">
        <f>C2321 - D2321</f>
        <v>0</v>
      </c>
    </row>
    <row r="2322" spans="2:5" x14ac:dyDescent="0.35">
      <c r="B2322" s="38">
        <v>38823</v>
      </c>
      <c r="C2322" s="3">
        <v>1</v>
      </c>
      <c r="D2322" s="3">
        <v>1</v>
      </c>
      <c r="E2322" s="3">
        <f>C2322 - D2322</f>
        <v>0</v>
      </c>
    </row>
    <row r="2323" spans="2:5" x14ac:dyDescent="0.35">
      <c r="B2323" s="38">
        <v>38824</v>
      </c>
      <c r="C2323" s="3">
        <v>0</v>
      </c>
      <c r="D2323" s="3">
        <v>1</v>
      </c>
      <c r="E2323" s="3">
        <f>C2323 - D2323</f>
        <v>-1</v>
      </c>
    </row>
    <row r="2324" spans="2:5" x14ac:dyDescent="0.35">
      <c r="B2324" s="38">
        <v>38825</v>
      </c>
      <c r="C2324" s="3">
        <v>0</v>
      </c>
      <c r="D2324" s="3">
        <v>0</v>
      </c>
      <c r="E2324" s="3">
        <f>C2324 - D2324</f>
        <v>0</v>
      </c>
    </row>
    <row r="2325" spans="2:5" x14ac:dyDescent="0.35">
      <c r="B2325" s="38">
        <v>38826</v>
      </c>
      <c r="C2325" s="3">
        <v>0</v>
      </c>
      <c r="D2325" s="3">
        <v>0</v>
      </c>
      <c r="E2325" s="3">
        <f>C2325 - D2325</f>
        <v>0</v>
      </c>
    </row>
    <row r="2326" spans="2:5" x14ac:dyDescent="0.35">
      <c r="B2326" s="38">
        <v>38827</v>
      </c>
      <c r="C2326" s="3">
        <v>1</v>
      </c>
      <c r="D2326" s="3">
        <v>0</v>
      </c>
      <c r="E2326" s="3">
        <f>C2326 - D2326</f>
        <v>1</v>
      </c>
    </row>
    <row r="2327" spans="2:5" x14ac:dyDescent="0.35">
      <c r="B2327" s="38">
        <v>38828</v>
      </c>
      <c r="C2327" s="3">
        <v>1</v>
      </c>
      <c r="D2327" s="3">
        <v>1</v>
      </c>
      <c r="E2327" s="3">
        <f>C2327 - D2327</f>
        <v>0</v>
      </c>
    </row>
    <row r="2328" spans="2:5" x14ac:dyDescent="0.35">
      <c r="B2328" s="38">
        <v>38829</v>
      </c>
      <c r="C2328" s="3">
        <v>1</v>
      </c>
      <c r="D2328" s="3">
        <v>1</v>
      </c>
      <c r="E2328" s="3">
        <f>C2328 - D2328</f>
        <v>0</v>
      </c>
    </row>
    <row r="2329" spans="2:5" x14ac:dyDescent="0.35">
      <c r="B2329" s="38">
        <v>38830</v>
      </c>
      <c r="C2329" s="3">
        <v>0</v>
      </c>
      <c r="D2329" s="3">
        <v>1</v>
      </c>
      <c r="E2329" s="3">
        <f>C2329 - D2329</f>
        <v>-1</v>
      </c>
    </row>
    <row r="2330" spans="2:5" x14ac:dyDescent="0.35">
      <c r="B2330" s="38">
        <v>38831</v>
      </c>
      <c r="C2330" s="3">
        <v>1</v>
      </c>
      <c r="D2330" s="3">
        <v>0</v>
      </c>
      <c r="E2330" s="3">
        <f>C2330 - D2330</f>
        <v>1</v>
      </c>
    </row>
    <row r="2331" spans="2:5" x14ac:dyDescent="0.35">
      <c r="B2331" s="38">
        <v>38832</v>
      </c>
      <c r="C2331" s="3">
        <v>0</v>
      </c>
      <c r="D2331" s="3">
        <v>1</v>
      </c>
      <c r="E2331" s="3">
        <f>C2331 - D2331</f>
        <v>-1</v>
      </c>
    </row>
    <row r="2332" spans="2:5" x14ac:dyDescent="0.35">
      <c r="B2332" s="38">
        <v>38833</v>
      </c>
      <c r="C2332" s="3">
        <v>0</v>
      </c>
      <c r="D2332" s="3">
        <v>0</v>
      </c>
      <c r="E2332" s="3">
        <f>C2332 - D2332</f>
        <v>0</v>
      </c>
    </row>
    <row r="2333" spans="2:5" x14ac:dyDescent="0.35">
      <c r="B2333" s="38">
        <v>38834</v>
      </c>
      <c r="C2333" s="3">
        <v>0</v>
      </c>
      <c r="D2333" s="3">
        <v>0</v>
      </c>
      <c r="E2333" s="3">
        <f>C2333 - D2333</f>
        <v>0</v>
      </c>
    </row>
    <row r="2334" spans="2:5" x14ac:dyDescent="0.35">
      <c r="B2334" s="38">
        <v>38835</v>
      </c>
      <c r="C2334" s="3">
        <v>0</v>
      </c>
      <c r="D2334" s="3">
        <v>0</v>
      </c>
      <c r="E2334" s="3">
        <f>C2334 - D2334</f>
        <v>0</v>
      </c>
    </row>
    <row r="2335" spans="2:5" x14ac:dyDescent="0.35">
      <c r="B2335" s="38">
        <v>38836</v>
      </c>
      <c r="C2335" s="3">
        <v>1</v>
      </c>
      <c r="D2335" s="3">
        <v>0</v>
      </c>
      <c r="E2335" s="3">
        <f>C2335 - D2335</f>
        <v>1</v>
      </c>
    </row>
    <row r="2336" spans="2:5" x14ac:dyDescent="0.35">
      <c r="B2336" s="38">
        <v>38837</v>
      </c>
      <c r="C2336" s="3">
        <v>1</v>
      </c>
      <c r="D2336" s="3">
        <v>1</v>
      </c>
      <c r="E2336" s="3">
        <f>C2336 - D2336</f>
        <v>0</v>
      </c>
    </row>
    <row r="2337" spans="2:5" x14ac:dyDescent="0.35">
      <c r="B2337" s="38">
        <v>38838</v>
      </c>
      <c r="C2337" s="3">
        <v>1</v>
      </c>
      <c r="D2337" s="3">
        <v>1</v>
      </c>
      <c r="E2337" s="3">
        <f>C2337 - D2337</f>
        <v>0</v>
      </c>
    </row>
    <row r="2338" spans="2:5" x14ac:dyDescent="0.35">
      <c r="B2338" s="38">
        <v>38839</v>
      </c>
      <c r="C2338" s="3">
        <v>1</v>
      </c>
      <c r="D2338" s="3">
        <v>1</v>
      </c>
      <c r="E2338" s="3">
        <f>C2338 - D2338</f>
        <v>0</v>
      </c>
    </row>
    <row r="2339" spans="2:5" x14ac:dyDescent="0.35">
      <c r="B2339" s="38">
        <v>38840</v>
      </c>
      <c r="C2339" s="3">
        <v>1</v>
      </c>
      <c r="D2339" s="3">
        <v>1</v>
      </c>
      <c r="E2339" s="3">
        <f>C2339 - D2339</f>
        <v>0</v>
      </c>
    </row>
    <row r="2340" spans="2:5" x14ac:dyDescent="0.35">
      <c r="B2340" s="38">
        <v>38841</v>
      </c>
      <c r="C2340" s="3">
        <v>0</v>
      </c>
      <c r="D2340" s="3">
        <v>1</v>
      </c>
      <c r="E2340" s="3">
        <f>C2340 - D2340</f>
        <v>-1</v>
      </c>
    </row>
    <row r="2341" spans="2:5" x14ac:dyDescent="0.35">
      <c r="B2341" s="38">
        <v>38842</v>
      </c>
      <c r="C2341" s="3">
        <v>0</v>
      </c>
      <c r="D2341" s="3">
        <v>0</v>
      </c>
      <c r="E2341" s="3">
        <f>C2341 - D2341</f>
        <v>0</v>
      </c>
    </row>
    <row r="2342" spans="2:5" x14ac:dyDescent="0.35">
      <c r="B2342" s="38">
        <v>38843</v>
      </c>
      <c r="C2342" s="3">
        <v>1</v>
      </c>
      <c r="D2342" s="3">
        <v>0</v>
      </c>
      <c r="E2342" s="3">
        <f>C2342 - D2342</f>
        <v>1</v>
      </c>
    </row>
    <row r="2343" spans="2:5" x14ac:dyDescent="0.35">
      <c r="B2343" s="38">
        <v>38844</v>
      </c>
      <c r="C2343" s="3">
        <v>1</v>
      </c>
      <c r="D2343" s="3">
        <v>1</v>
      </c>
      <c r="E2343" s="3">
        <f>C2343 - D2343</f>
        <v>0</v>
      </c>
    </row>
    <row r="2344" spans="2:5" x14ac:dyDescent="0.35">
      <c r="B2344" s="38">
        <v>38845</v>
      </c>
      <c r="C2344" s="3">
        <v>1</v>
      </c>
      <c r="D2344" s="3">
        <v>1</v>
      </c>
      <c r="E2344" s="3">
        <f>C2344 - D2344</f>
        <v>0</v>
      </c>
    </row>
    <row r="2345" spans="2:5" x14ac:dyDescent="0.35">
      <c r="B2345" s="38">
        <v>38846</v>
      </c>
      <c r="C2345" s="3">
        <v>0</v>
      </c>
      <c r="D2345" s="3">
        <v>1</v>
      </c>
      <c r="E2345" s="3">
        <f>C2345 - D2345</f>
        <v>-1</v>
      </c>
    </row>
    <row r="2346" spans="2:5" x14ac:dyDescent="0.35">
      <c r="B2346" s="38">
        <v>38847</v>
      </c>
      <c r="C2346" s="3">
        <v>1</v>
      </c>
      <c r="D2346" s="3">
        <v>0</v>
      </c>
      <c r="E2346" s="3">
        <f>C2346 - D2346</f>
        <v>1</v>
      </c>
    </row>
    <row r="2347" spans="2:5" x14ac:dyDescent="0.35">
      <c r="B2347" s="38">
        <v>38848</v>
      </c>
      <c r="C2347" s="3">
        <v>0</v>
      </c>
      <c r="D2347" s="3">
        <v>1</v>
      </c>
      <c r="E2347" s="3">
        <f>C2347 - D2347</f>
        <v>-1</v>
      </c>
    </row>
    <row r="2348" spans="2:5" x14ac:dyDescent="0.35">
      <c r="B2348" s="38">
        <v>38849</v>
      </c>
      <c r="C2348" s="3">
        <v>0</v>
      </c>
      <c r="D2348" s="3">
        <v>0</v>
      </c>
      <c r="E2348" s="3">
        <f>C2348 - D2348</f>
        <v>0</v>
      </c>
    </row>
    <row r="2349" spans="2:5" x14ac:dyDescent="0.35">
      <c r="B2349" s="38">
        <v>38850</v>
      </c>
      <c r="C2349" s="3">
        <v>0</v>
      </c>
      <c r="D2349" s="3">
        <v>0</v>
      </c>
      <c r="E2349" s="3">
        <f>C2349 - D2349</f>
        <v>0</v>
      </c>
    </row>
    <row r="2350" spans="2:5" x14ac:dyDescent="0.35">
      <c r="B2350" s="38">
        <v>38851</v>
      </c>
      <c r="C2350" s="3">
        <v>0</v>
      </c>
      <c r="D2350" s="3">
        <v>0</v>
      </c>
      <c r="E2350" s="3">
        <f>C2350 - D2350</f>
        <v>0</v>
      </c>
    </row>
    <row r="2351" spans="2:5" x14ac:dyDescent="0.35">
      <c r="B2351" s="38">
        <v>38852</v>
      </c>
      <c r="C2351" s="3">
        <v>1</v>
      </c>
      <c r="D2351" s="3">
        <v>0</v>
      </c>
      <c r="E2351" s="3">
        <f>C2351 - D2351</f>
        <v>1</v>
      </c>
    </row>
    <row r="2352" spans="2:5" x14ac:dyDescent="0.35">
      <c r="B2352" s="38">
        <v>38853</v>
      </c>
      <c r="C2352" s="3">
        <v>0</v>
      </c>
      <c r="D2352" s="3">
        <v>1</v>
      </c>
      <c r="E2352" s="3">
        <f>C2352 - D2352</f>
        <v>-1</v>
      </c>
    </row>
    <row r="2353" spans="2:5" x14ac:dyDescent="0.35">
      <c r="B2353" s="38">
        <v>38854</v>
      </c>
      <c r="C2353" s="3">
        <v>0</v>
      </c>
      <c r="D2353" s="3">
        <v>0</v>
      </c>
      <c r="E2353" s="3">
        <f>C2353 - D2353</f>
        <v>0</v>
      </c>
    </row>
    <row r="2354" spans="2:5" x14ac:dyDescent="0.35">
      <c r="B2354" s="38">
        <v>38855</v>
      </c>
      <c r="C2354" s="3">
        <v>0</v>
      </c>
      <c r="D2354" s="3">
        <v>0</v>
      </c>
      <c r="E2354" s="3">
        <f>C2354 - D2354</f>
        <v>0</v>
      </c>
    </row>
    <row r="2355" spans="2:5" x14ac:dyDescent="0.35">
      <c r="B2355" s="38">
        <v>38856</v>
      </c>
      <c r="C2355" s="3">
        <v>0</v>
      </c>
      <c r="D2355" s="3">
        <v>0</v>
      </c>
      <c r="E2355" s="3">
        <f>C2355 - D2355</f>
        <v>0</v>
      </c>
    </row>
    <row r="2356" spans="2:5" x14ac:dyDescent="0.35">
      <c r="B2356" s="38">
        <v>38857</v>
      </c>
      <c r="C2356" s="3">
        <v>0</v>
      </c>
      <c r="D2356" s="3">
        <v>0</v>
      </c>
      <c r="E2356" s="3">
        <f>C2356 - D2356</f>
        <v>0</v>
      </c>
    </row>
    <row r="2357" spans="2:5" x14ac:dyDescent="0.35">
      <c r="B2357" s="38">
        <v>38858</v>
      </c>
      <c r="C2357" s="3">
        <v>0</v>
      </c>
      <c r="D2357" s="3">
        <v>0</v>
      </c>
      <c r="E2357" s="3">
        <f>C2357 - D2357</f>
        <v>0</v>
      </c>
    </row>
    <row r="2358" spans="2:5" x14ac:dyDescent="0.35">
      <c r="B2358" s="38">
        <v>38859</v>
      </c>
      <c r="C2358" s="3">
        <v>1</v>
      </c>
      <c r="D2358" s="3">
        <v>0</v>
      </c>
      <c r="E2358" s="3">
        <f>C2358 - D2358</f>
        <v>1</v>
      </c>
    </row>
    <row r="2359" spans="2:5" x14ac:dyDescent="0.35">
      <c r="B2359" s="38">
        <v>38860</v>
      </c>
      <c r="C2359" s="3">
        <v>1</v>
      </c>
      <c r="D2359" s="3">
        <v>1</v>
      </c>
      <c r="E2359" s="3">
        <f>C2359 - D2359</f>
        <v>0</v>
      </c>
    </row>
    <row r="2360" spans="2:5" x14ac:dyDescent="0.35">
      <c r="B2360" s="38">
        <v>38861</v>
      </c>
      <c r="C2360" s="3">
        <v>0</v>
      </c>
      <c r="D2360" s="3">
        <v>1</v>
      </c>
      <c r="E2360" s="3">
        <f>C2360 - D2360</f>
        <v>-1</v>
      </c>
    </row>
    <row r="2361" spans="2:5" x14ac:dyDescent="0.35">
      <c r="B2361" s="38">
        <v>38862</v>
      </c>
      <c r="C2361" s="3">
        <v>0</v>
      </c>
      <c r="D2361" s="3">
        <v>0</v>
      </c>
      <c r="E2361" s="3">
        <f>C2361 - D2361</f>
        <v>0</v>
      </c>
    </row>
    <row r="2362" spans="2:5" x14ac:dyDescent="0.35">
      <c r="B2362" s="38">
        <v>38863</v>
      </c>
      <c r="C2362" s="3">
        <v>0</v>
      </c>
      <c r="D2362" s="3">
        <v>0</v>
      </c>
      <c r="E2362" s="3">
        <f>C2362 - D2362</f>
        <v>0</v>
      </c>
    </row>
    <row r="2363" spans="2:5" x14ac:dyDescent="0.35">
      <c r="B2363" s="38">
        <v>38864</v>
      </c>
      <c r="C2363" s="3">
        <v>0</v>
      </c>
      <c r="D2363" s="3">
        <v>0</v>
      </c>
      <c r="E2363" s="3">
        <f>C2363 - D2363</f>
        <v>0</v>
      </c>
    </row>
    <row r="2364" spans="2:5" x14ac:dyDescent="0.35">
      <c r="B2364" s="38">
        <v>38865</v>
      </c>
      <c r="C2364" s="3">
        <v>0</v>
      </c>
      <c r="D2364" s="3">
        <v>0</v>
      </c>
      <c r="E2364" s="3">
        <f>C2364 - D2364</f>
        <v>0</v>
      </c>
    </row>
    <row r="2365" spans="2:5" x14ac:dyDescent="0.35">
      <c r="B2365" s="38">
        <v>38866</v>
      </c>
      <c r="C2365" s="3">
        <v>1</v>
      </c>
      <c r="D2365" s="3">
        <v>0</v>
      </c>
      <c r="E2365" s="3">
        <f>C2365 - D2365</f>
        <v>1</v>
      </c>
    </row>
    <row r="2366" spans="2:5" x14ac:dyDescent="0.35">
      <c r="B2366" s="38">
        <v>38867</v>
      </c>
      <c r="C2366" s="3">
        <v>1</v>
      </c>
      <c r="D2366" s="3">
        <v>1</v>
      </c>
      <c r="E2366" s="3">
        <f>C2366 - D2366</f>
        <v>0</v>
      </c>
    </row>
    <row r="2367" spans="2:5" x14ac:dyDescent="0.35">
      <c r="B2367" s="38">
        <v>38868</v>
      </c>
      <c r="C2367" s="3">
        <v>0</v>
      </c>
      <c r="D2367" s="3">
        <v>1</v>
      </c>
      <c r="E2367" s="3">
        <f>C2367 - D2367</f>
        <v>-1</v>
      </c>
    </row>
    <row r="2368" spans="2:5" x14ac:dyDescent="0.35">
      <c r="B2368" s="38">
        <v>38869</v>
      </c>
      <c r="C2368" s="3">
        <v>0</v>
      </c>
      <c r="D2368" s="3">
        <v>0</v>
      </c>
      <c r="E2368" s="3">
        <f>C2368 - D2368</f>
        <v>0</v>
      </c>
    </row>
    <row r="2369" spans="2:5" x14ac:dyDescent="0.35">
      <c r="B2369" s="38">
        <v>38870</v>
      </c>
      <c r="C2369" s="3">
        <v>1</v>
      </c>
      <c r="D2369" s="3">
        <v>0</v>
      </c>
      <c r="E2369" s="3">
        <f>C2369 - D2369</f>
        <v>1</v>
      </c>
    </row>
    <row r="2370" spans="2:5" x14ac:dyDescent="0.35">
      <c r="B2370" s="38">
        <v>38871</v>
      </c>
      <c r="C2370" s="3">
        <v>1</v>
      </c>
      <c r="D2370" s="3">
        <v>1</v>
      </c>
      <c r="E2370" s="3">
        <f>C2370 - D2370</f>
        <v>0</v>
      </c>
    </row>
    <row r="2371" spans="2:5" x14ac:dyDescent="0.35">
      <c r="B2371" s="38">
        <v>38872</v>
      </c>
      <c r="C2371" s="3">
        <v>0</v>
      </c>
      <c r="D2371" s="3">
        <v>1</v>
      </c>
      <c r="E2371" s="3">
        <f>C2371 - D2371</f>
        <v>-1</v>
      </c>
    </row>
    <row r="2372" spans="2:5" x14ac:dyDescent="0.35">
      <c r="B2372" s="38">
        <v>38873</v>
      </c>
      <c r="C2372" s="3">
        <v>0</v>
      </c>
      <c r="D2372" s="3">
        <v>0</v>
      </c>
      <c r="E2372" s="3">
        <f>C2372 - D2372</f>
        <v>0</v>
      </c>
    </row>
    <row r="2373" spans="2:5" x14ac:dyDescent="0.35">
      <c r="B2373" s="38">
        <v>38874</v>
      </c>
      <c r="C2373" s="3">
        <v>0</v>
      </c>
      <c r="D2373" s="3">
        <v>0</v>
      </c>
      <c r="E2373" s="3">
        <f>C2373 - D2373</f>
        <v>0</v>
      </c>
    </row>
    <row r="2374" spans="2:5" x14ac:dyDescent="0.35">
      <c r="B2374" s="38">
        <v>38875</v>
      </c>
      <c r="C2374" s="3">
        <v>0</v>
      </c>
      <c r="D2374" s="3">
        <v>0</v>
      </c>
      <c r="E2374" s="3">
        <f>C2374 - D2374</f>
        <v>0</v>
      </c>
    </row>
    <row r="2375" spans="2:5" x14ac:dyDescent="0.35">
      <c r="B2375" s="38">
        <v>38876</v>
      </c>
      <c r="C2375" s="3">
        <v>0</v>
      </c>
      <c r="D2375" s="3">
        <v>0</v>
      </c>
      <c r="E2375" s="3">
        <f>C2375 - D2375</f>
        <v>0</v>
      </c>
    </row>
    <row r="2376" spans="2:5" x14ac:dyDescent="0.35">
      <c r="B2376" s="38">
        <v>38877</v>
      </c>
      <c r="C2376" s="3">
        <v>0</v>
      </c>
      <c r="D2376" s="3">
        <v>0</v>
      </c>
      <c r="E2376" s="3">
        <f>C2376 - D2376</f>
        <v>0</v>
      </c>
    </row>
    <row r="2377" spans="2:5" x14ac:dyDescent="0.35">
      <c r="B2377" s="38">
        <v>38878</v>
      </c>
      <c r="C2377" s="3">
        <v>0</v>
      </c>
      <c r="D2377" s="3">
        <v>0</v>
      </c>
      <c r="E2377" s="3">
        <f>C2377 - D2377</f>
        <v>0</v>
      </c>
    </row>
    <row r="2378" spans="2:5" x14ac:dyDescent="0.35">
      <c r="B2378" s="38">
        <v>38879</v>
      </c>
      <c r="C2378" s="3">
        <v>0</v>
      </c>
      <c r="D2378" s="3">
        <v>0</v>
      </c>
      <c r="E2378" s="3">
        <f>C2378 - D2378</f>
        <v>0</v>
      </c>
    </row>
    <row r="2379" spans="2:5" x14ac:dyDescent="0.35">
      <c r="B2379" s="38">
        <v>38880</v>
      </c>
      <c r="C2379" s="3">
        <v>1</v>
      </c>
      <c r="D2379" s="3">
        <v>0</v>
      </c>
      <c r="E2379" s="3">
        <f>C2379 - D2379</f>
        <v>1</v>
      </c>
    </row>
    <row r="2380" spans="2:5" x14ac:dyDescent="0.35">
      <c r="B2380" s="38">
        <v>38881</v>
      </c>
      <c r="C2380" s="3">
        <v>0</v>
      </c>
      <c r="D2380" s="3">
        <v>1</v>
      </c>
      <c r="E2380" s="3">
        <f>C2380 - D2380</f>
        <v>-1</v>
      </c>
    </row>
    <row r="2381" spans="2:5" x14ac:dyDescent="0.35">
      <c r="B2381" s="38">
        <v>38882</v>
      </c>
      <c r="C2381" s="3">
        <v>0</v>
      </c>
      <c r="D2381" s="3">
        <v>0</v>
      </c>
      <c r="E2381" s="3">
        <f>C2381 - D2381</f>
        <v>0</v>
      </c>
    </row>
    <row r="2382" spans="2:5" x14ac:dyDescent="0.35">
      <c r="B2382" s="38">
        <v>38883</v>
      </c>
      <c r="C2382" s="3">
        <v>0</v>
      </c>
      <c r="D2382" s="3">
        <v>0</v>
      </c>
      <c r="E2382" s="3">
        <f>C2382 - D2382</f>
        <v>0</v>
      </c>
    </row>
    <row r="2383" spans="2:5" x14ac:dyDescent="0.35">
      <c r="B2383" s="38">
        <v>38884</v>
      </c>
      <c r="C2383" s="3">
        <v>1</v>
      </c>
      <c r="D2383" s="3">
        <v>0</v>
      </c>
      <c r="E2383" s="3">
        <f>C2383 - D2383</f>
        <v>1</v>
      </c>
    </row>
    <row r="2384" spans="2:5" x14ac:dyDescent="0.35">
      <c r="B2384" s="38">
        <v>38885</v>
      </c>
      <c r="C2384" s="3">
        <v>0</v>
      </c>
      <c r="D2384" s="3">
        <v>1</v>
      </c>
      <c r="E2384" s="3">
        <f>C2384 - D2384</f>
        <v>-1</v>
      </c>
    </row>
    <row r="2385" spans="2:5" x14ac:dyDescent="0.35">
      <c r="B2385" s="38">
        <v>38886</v>
      </c>
      <c r="C2385" s="3">
        <v>0</v>
      </c>
      <c r="D2385" s="3">
        <v>0</v>
      </c>
      <c r="E2385" s="3">
        <f>C2385 - D2385</f>
        <v>0</v>
      </c>
    </row>
    <row r="2386" spans="2:5" x14ac:dyDescent="0.35">
      <c r="B2386" s="38">
        <v>38887</v>
      </c>
      <c r="C2386" s="3">
        <v>0</v>
      </c>
      <c r="D2386" s="3">
        <v>0</v>
      </c>
      <c r="E2386" s="3">
        <f>C2386 - D2386</f>
        <v>0</v>
      </c>
    </row>
    <row r="2387" spans="2:5" x14ac:dyDescent="0.35">
      <c r="B2387" s="38">
        <v>38888</v>
      </c>
      <c r="C2387" s="3">
        <v>0</v>
      </c>
      <c r="D2387" s="3">
        <v>0</v>
      </c>
      <c r="E2387" s="3">
        <f>C2387 - D2387</f>
        <v>0</v>
      </c>
    </row>
    <row r="2388" spans="2:5" x14ac:dyDescent="0.35">
      <c r="B2388" s="38">
        <v>38889</v>
      </c>
      <c r="C2388" s="3">
        <v>0</v>
      </c>
      <c r="D2388" s="3">
        <v>0</v>
      </c>
      <c r="E2388" s="3">
        <f>C2388 - D2388</f>
        <v>0</v>
      </c>
    </row>
    <row r="2389" spans="2:5" x14ac:dyDescent="0.35">
      <c r="B2389" s="38">
        <v>38890</v>
      </c>
      <c r="C2389" s="3">
        <v>0</v>
      </c>
      <c r="D2389" s="3">
        <v>0</v>
      </c>
      <c r="E2389" s="3">
        <f>C2389 - D2389</f>
        <v>0</v>
      </c>
    </row>
    <row r="2390" spans="2:5" x14ac:dyDescent="0.35">
      <c r="B2390" s="38">
        <v>38891</v>
      </c>
      <c r="C2390" s="3">
        <v>1</v>
      </c>
      <c r="D2390" s="3">
        <v>0</v>
      </c>
      <c r="E2390" s="3">
        <f>C2390 - D2390</f>
        <v>1</v>
      </c>
    </row>
    <row r="2391" spans="2:5" x14ac:dyDescent="0.35">
      <c r="B2391" s="38">
        <v>38892</v>
      </c>
      <c r="C2391" s="3">
        <v>0</v>
      </c>
      <c r="D2391" s="3">
        <v>1</v>
      </c>
      <c r="E2391" s="3">
        <f>C2391 - D2391</f>
        <v>-1</v>
      </c>
    </row>
    <row r="2392" spans="2:5" x14ac:dyDescent="0.35">
      <c r="B2392" s="38">
        <v>38893</v>
      </c>
      <c r="C2392" s="3">
        <v>1</v>
      </c>
      <c r="D2392" s="3">
        <v>0</v>
      </c>
      <c r="E2392" s="3">
        <f>C2392 - D2392</f>
        <v>1</v>
      </c>
    </row>
    <row r="2393" spans="2:5" x14ac:dyDescent="0.35">
      <c r="B2393" s="38">
        <v>38894</v>
      </c>
      <c r="C2393" s="3">
        <v>0</v>
      </c>
      <c r="D2393" s="3">
        <v>1</v>
      </c>
      <c r="E2393" s="3">
        <f>C2393 - D2393</f>
        <v>-1</v>
      </c>
    </row>
    <row r="2394" spans="2:5" x14ac:dyDescent="0.35">
      <c r="B2394" s="38">
        <v>38895</v>
      </c>
      <c r="C2394" s="3">
        <v>0</v>
      </c>
      <c r="D2394" s="3">
        <v>0</v>
      </c>
      <c r="E2394" s="3">
        <f>C2394 - D2394</f>
        <v>0</v>
      </c>
    </row>
    <row r="2395" spans="2:5" x14ac:dyDescent="0.35">
      <c r="B2395" s="38">
        <v>38896</v>
      </c>
      <c r="C2395" s="3">
        <v>0</v>
      </c>
      <c r="D2395" s="3">
        <v>0</v>
      </c>
      <c r="E2395" s="3">
        <f>C2395 - D2395</f>
        <v>0</v>
      </c>
    </row>
    <row r="2396" spans="2:5" x14ac:dyDescent="0.35">
      <c r="B2396" s="38">
        <v>38897</v>
      </c>
      <c r="C2396" s="3">
        <v>0</v>
      </c>
      <c r="D2396" s="3">
        <v>0</v>
      </c>
      <c r="E2396" s="3">
        <f>C2396 - D2396</f>
        <v>0</v>
      </c>
    </row>
    <row r="2397" spans="2:5" x14ac:dyDescent="0.35">
      <c r="B2397" s="38">
        <v>38898</v>
      </c>
      <c r="C2397" s="3">
        <v>0</v>
      </c>
      <c r="D2397" s="3">
        <v>0</v>
      </c>
      <c r="E2397" s="3">
        <f>C2397 - D2397</f>
        <v>0</v>
      </c>
    </row>
    <row r="2398" spans="2:5" x14ac:dyDescent="0.35">
      <c r="B2398" s="38">
        <v>38899</v>
      </c>
      <c r="C2398" s="3">
        <v>0</v>
      </c>
      <c r="D2398" s="3">
        <v>0</v>
      </c>
      <c r="E2398" s="3">
        <f>C2398 - D2398</f>
        <v>0</v>
      </c>
    </row>
    <row r="2399" spans="2:5" x14ac:dyDescent="0.35">
      <c r="B2399" s="38">
        <v>38900</v>
      </c>
      <c r="C2399" s="3">
        <v>1</v>
      </c>
      <c r="D2399" s="3">
        <v>0</v>
      </c>
      <c r="E2399" s="3">
        <f>C2399 - D2399</f>
        <v>1</v>
      </c>
    </row>
    <row r="2400" spans="2:5" x14ac:dyDescent="0.35">
      <c r="B2400" s="38">
        <v>38901</v>
      </c>
      <c r="C2400" s="3">
        <v>1</v>
      </c>
      <c r="D2400" s="3">
        <v>1</v>
      </c>
      <c r="E2400" s="3">
        <f>C2400 - D2400</f>
        <v>0</v>
      </c>
    </row>
    <row r="2401" spans="2:5" x14ac:dyDescent="0.35">
      <c r="B2401" s="38">
        <v>38902</v>
      </c>
      <c r="C2401" s="3">
        <v>0</v>
      </c>
      <c r="D2401" s="3">
        <v>1</v>
      </c>
      <c r="E2401" s="3">
        <f>C2401 - D2401</f>
        <v>-1</v>
      </c>
    </row>
    <row r="2402" spans="2:5" x14ac:dyDescent="0.35">
      <c r="B2402" s="38">
        <v>38903</v>
      </c>
      <c r="C2402" s="3">
        <v>0</v>
      </c>
      <c r="D2402" s="3">
        <v>0</v>
      </c>
      <c r="E2402" s="3">
        <f>C2402 - D2402</f>
        <v>0</v>
      </c>
    </row>
    <row r="2403" spans="2:5" x14ac:dyDescent="0.35">
      <c r="B2403" s="38">
        <v>38904</v>
      </c>
      <c r="C2403" s="3">
        <v>1</v>
      </c>
      <c r="D2403" s="3">
        <v>0</v>
      </c>
      <c r="E2403" s="3">
        <f>C2403 - D2403</f>
        <v>1</v>
      </c>
    </row>
    <row r="2404" spans="2:5" x14ac:dyDescent="0.35">
      <c r="B2404" s="38">
        <v>38905</v>
      </c>
      <c r="C2404" s="3">
        <v>0</v>
      </c>
      <c r="D2404" s="3">
        <v>1</v>
      </c>
      <c r="E2404" s="3">
        <f>C2404 - D2404</f>
        <v>-1</v>
      </c>
    </row>
    <row r="2405" spans="2:5" x14ac:dyDescent="0.35">
      <c r="B2405" s="38">
        <v>38906</v>
      </c>
      <c r="C2405" s="3">
        <v>1</v>
      </c>
      <c r="D2405" s="3">
        <v>0</v>
      </c>
      <c r="E2405" s="3">
        <f>C2405 - D2405</f>
        <v>1</v>
      </c>
    </row>
    <row r="2406" spans="2:5" x14ac:dyDescent="0.35">
      <c r="B2406" s="38">
        <v>38907</v>
      </c>
      <c r="C2406" s="3">
        <v>1</v>
      </c>
      <c r="D2406" s="3">
        <v>1</v>
      </c>
      <c r="E2406" s="3">
        <f>C2406 - D2406</f>
        <v>0</v>
      </c>
    </row>
    <row r="2407" spans="2:5" x14ac:dyDescent="0.35">
      <c r="B2407" s="38">
        <v>38908</v>
      </c>
      <c r="C2407" s="3">
        <v>0</v>
      </c>
      <c r="D2407" s="3">
        <v>1</v>
      </c>
      <c r="E2407" s="3">
        <f>C2407 - D2407</f>
        <v>-1</v>
      </c>
    </row>
    <row r="2408" spans="2:5" x14ac:dyDescent="0.35">
      <c r="B2408" s="38">
        <v>38909</v>
      </c>
      <c r="C2408" s="3">
        <v>0</v>
      </c>
      <c r="D2408" s="3">
        <v>0</v>
      </c>
      <c r="E2408" s="3">
        <f>C2408 - D2408</f>
        <v>0</v>
      </c>
    </row>
    <row r="2409" spans="2:5" x14ac:dyDescent="0.35">
      <c r="B2409" s="38">
        <v>38910</v>
      </c>
      <c r="C2409" s="3">
        <v>1</v>
      </c>
      <c r="D2409" s="3">
        <v>0</v>
      </c>
      <c r="E2409" s="3">
        <f>C2409 - D2409</f>
        <v>1</v>
      </c>
    </row>
    <row r="2410" spans="2:5" x14ac:dyDescent="0.35">
      <c r="B2410" s="38">
        <v>38911</v>
      </c>
      <c r="C2410" s="3">
        <v>1</v>
      </c>
      <c r="D2410" s="3">
        <v>1</v>
      </c>
      <c r="E2410" s="3">
        <f>C2410 - D2410</f>
        <v>0</v>
      </c>
    </row>
    <row r="2411" spans="2:5" x14ac:dyDescent="0.35">
      <c r="B2411" s="38">
        <v>38912</v>
      </c>
      <c r="C2411" s="3">
        <v>0</v>
      </c>
      <c r="D2411" s="3">
        <v>1</v>
      </c>
      <c r="E2411" s="3">
        <f>C2411 - D2411</f>
        <v>-1</v>
      </c>
    </row>
    <row r="2412" spans="2:5" x14ac:dyDescent="0.35">
      <c r="B2412" s="38">
        <v>38913</v>
      </c>
      <c r="C2412" s="3">
        <v>1</v>
      </c>
      <c r="D2412" s="3">
        <v>0</v>
      </c>
      <c r="E2412" s="3">
        <f>C2412 - D2412</f>
        <v>1</v>
      </c>
    </row>
    <row r="2413" spans="2:5" x14ac:dyDescent="0.35">
      <c r="B2413" s="38">
        <v>38914</v>
      </c>
      <c r="C2413" s="3">
        <v>1</v>
      </c>
      <c r="D2413" s="3">
        <v>1</v>
      </c>
      <c r="E2413" s="3">
        <f>C2413 - D2413</f>
        <v>0</v>
      </c>
    </row>
    <row r="2414" spans="2:5" x14ac:dyDescent="0.35">
      <c r="B2414" s="38">
        <v>38915</v>
      </c>
      <c r="C2414" s="3">
        <v>0</v>
      </c>
      <c r="D2414" s="3">
        <v>1</v>
      </c>
      <c r="E2414" s="3">
        <f>C2414 - D2414</f>
        <v>-1</v>
      </c>
    </row>
    <row r="2415" spans="2:5" x14ac:dyDescent="0.35">
      <c r="B2415" s="38">
        <v>38916</v>
      </c>
      <c r="C2415" s="3">
        <v>0</v>
      </c>
      <c r="D2415" s="3">
        <v>0</v>
      </c>
      <c r="E2415" s="3">
        <f>C2415 - D2415</f>
        <v>0</v>
      </c>
    </row>
    <row r="2416" spans="2:5" x14ac:dyDescent="0.35">
      <c r="B2416" s="38">
        <v>38917</v>
      </c>
      <c r="C2416" s="3">
        <v>0</v>
      </c>
      <c r="D2416" s="3">
        <v>0</v>
      </c>
      <c r="E2416" s="3">
        <f>C2416 - D2416</f>
        <v>0</v>
      </c>
    </row>
    <row r="2417" spans="2:5" x14ac:dyDescent="0.35">
      <c r="B2417" s="38">
        <v>38918</v>
      </c>
      <c r="C2417" s="3">
        <v>0</v>
      </c>
      <c r="D2417" s="3">
        <v>0</v>
      </c>
      <c r="E2417" s="3">
        <f>C2417 - D2417</f>
        <v>0</v>
      </c>
    </row>
    <row r="2418" spans="2:5" x14ac:dyDescent="0.35">
      <c r="B2418" s="38">
        <v>38919</v>
      </c>
      <c r="C2418" s="3">
        <v>0</v>
      </c>
      <c r="D2418" s="3">
        <v>0</v>
      </c>
      <c r="E2418" s="3">
        <f>C2418 - D2418</f>
        <v>0</v>
      </c>
    </row>
    <row r="2419" spans="2:5" x14ac:dyDescent="0.35">
      <c r="B2419" s="38">
        <v>38920</v>
      </c>
      <c r="C2419" s="3">
        <v>0</v>
      </c>
      <c r="D2419" s="3">
        <v>0</v>
      </c>
      <c r="E2419" s="3">
        <f>C2419 - D2419</f>
        <v>0</v>
      </c>
    </row>
    <row r="2420" spans="2:5" x14ac:dyDescent="0.35">
      <c r="B2420" s="38">
        <v>38921</v>
      </c>
      <c r="C2420" s="3">
        <v>1</v>
      </c>
      <c r="D2420" s="3">
        <v>0</v>
      </c>
      <c r="E2420" s="3">
        <f>C2420 - D2420</f>
        <v>1</v>
      </c>
    </row>
    <row r="2421" spans="2:5" x14ac:dyDescent="0.35">
      <c r="B2421" s="38">
        <v>38922</v>
      </c>
      <c r="C2421" s="3">
        <v>1</v>
      </c>
      <c r="D2421" s="3">
        <v>1</v>
      </c>
      <c r="E2421" s="3">
        <f>C2421 - D2421</f>
        <v>0</v>
      </c>
    </row>
    <row r="2422" spans="2:5" x14ac:dyDescent="0.35">
      <c r="B2422" s="38">
        <v>38923</v>
      </c>
      <c r="C2422" s="3">
        <v>0</v>
      </c>
      <c r="D2422" s="3">
        <v>1</v>
      </c>
      <c r="E2422" s="3">
        <f>C2422 - D2422</f>
        <v>-1</v>
      </c>
    </row>
    <row r="2423" spans="2:5" x14ac:dyDescent="0.35">
      <c r="B2423" s="38">
        <v>38924</v>
      </c>
      <c r="C2423" s="3">
        <v>1</v>
      </c>
      <c r="D2423" s="3">
        <v>0</v>
      </c>
      <c r="E2423" s="3">
        <f>C2423 - D2423</f>
        <v>1</v>
      </c>
    </row>
    <row r="2424" spans="2:5" x14ac:dyDescent="0.35">
      <c r="B2424" s="38">
        <v>38925</v>
      </c>
      <c r="C2424" s="3">
        <v>0</v>
      </c>
      <c r="D2424" s="3">
        <v>1</v>
      </c>
      <c r="E2424" s="3">
        <f>C2424 - D2424</f>
        <v>-1</v>
      </c>
    </row>
    <row r="2425" spans="2:5" x14ac:dyDescent="0.35">
      <c r="B2425" s="38">
        <v>38926</v>
      </c>
      <c r="C2425" s="3">
        <v>0</v>
      </c>
      <c r="D2425" s="3">
        <v>0</v>
      </c>
      <c r="E2425" s="3">
        <f>C2425 - D2425</f>
        <v>0</v>
      </c>
    </row>
    <row r="2426" spans="2:5" x14ac:dyDescent="0.35">
      <c r="B2426" s="38">
        <v>38927</v>
      </c>
      <c r="C2426" s="3">
        <v>0</v>
      </c>
      <c r="D2426" s="3">
        <v>0</v>
      </c>
      <c r="E2426" s="3">
        <f>C2426 - D2426</f>
        <v>0</v>
      </c>
    </row>
    <row r="2427" spans="2:5" x14ac:dyDescent="0.35">
      <c r="B2427" s="38">
        <v>38928</v>
      </c>
      <c r="C2427" s="3">
        <v>1</v>
      </c>
      <c r="D2427" s="3">
        <v>0</v>
      </c>
      <c r="E2427" s="3">
        <f>C2427 - D2427</f>
        <v>1</v>
      </c>
    </row>
    <row r="2428" spans="2:5" x14ac:dyDescent="0.35">
      <c r="B2428" s="38">
        <v>38929</v>
      </c>
      <c r="C2428" s="3">
        <v>1</v>
      </c>
      <c r="D2428" s="3">
        <v>1</v>
      </c>
      <c r="E2428" s="3">
        <f>C2428 - D2428</f>
        <v>0</v>
      </c>
    </row>
    <row r="2429" spans="2:5" x14ac:dyDescent="0.35">
      <c r="B2429" s="38">
        <v>38930</v>
      </c>
      <c r="C2429" s="3">
        <v>1</v>
      </c>
      <c r="D2429" s="3">
        <v>1</v>
      </c>
      <c r="E2429" s="3">
        <f>C2429 - D2429</f>
        <v>0</v>
      </c>
    </row>
    <row r="2430" spans="2:5" x14ac:dyDescent="0.35">
      <c r="B2430" s="38">
        <v>38931</v>
      </c>
      <c r="C2430" s="3">
        <v>0</v>
      </c>
      <c r="D2430" s="3">
        <v>1</v>
      </c>
      <c r="E2430" s="3">
        <f>C2430 - D2430</f>
        <v>-1</v>
      </c>
    </row>
    <row r="2431" spans="2:5" x14ac:dyDescent="0.35">
      <c r="B2431" s="38">
        <v>38932</v>
      </c>
      <c r="C2431" s="3">
        <v>1</v>
      </c>
      <c r="D2431" s="3">
        <v>0</v>
      </c>
      <c r="E2431" s="3">
        <f>C2431 - D2431</f>
        <v>1</v>
      </c>
    </row>
    <row r="2432" spans="2:5" x14ac:dyDescent="0.35">
      <c r="B2432" s="38">
        <v>38933</v>
      </c>
      <c r="C2432" s="3">
        <v>1</v>
      </c>
      <c r="D2432" s="3">
        <v>1</v>
      </c>
      <c r="E2432" s="3">
        <f>C2432 - D2432</f>
        <v>0</v>
      </c>
    </row>
    <row r="2433" spans="2:5" x14ac:dyDescent="0.35">
      <c r="B2433" s="38">
        <v>38934</v>
      </c>
      <c r="C2433" s="3">
        <v>0</v>
      </c>
      <c r="D2433" s="3">
        <v>1</v>
      </c>
      <c r="E2433" s="3">
        <f>C2433 - D2433</f>
        <v>-1</v>
      </c>
    </row>
    <row r="2434" spans="2:5" x14ac:dyDescent="0.35">
      <c r="B2434" s="38">
        <v>38935</v>
      </c>
      <c r="C2434" s="3">
        <v>0</v>
      </c>
      <c r="D2434" s="3">
        <v>0</v>
      </c>
      <c r="E2434" s="3">
        <f>C2434 - D2434</f>
        <v>0</v>
      </c>
    </row>
    <row r="2435" spans="2:5" x14ac:dyDescent="0.35">
      <c r="B2435" s="38">
        <v>38936</v>
      </c>
      <c r="C2435" s="3">
        <v>0</v>
      </c>
      <c r="D2435" s="3">
        <v>0</v>
      </c>
      <c r="E2435" s="3">
        <f>C2435 - D2435</f>
        <v>0</v>
      </c>
    </row>
    <row r="2436" spans="2:5" x14ac:dyDescent="0.35">
      <c r="B2436" s="38">
        <v>38937</v>
      </c>
      <c r="C2436" s="3">
        <v>0</v>
      </c>
      <c r="D2436" s="3">
        <v>0</v>
      </c>
      <c r="E2436" s="3">
        <f>C2436 - D2436</f>
        <v>0</v>
      </c>
    </row>
    <row r="2437" spans="2:5" x14ac:dyDescent="0.35">
      <c r="B2437" s="38">
        <v>38938</v>
      </c>
      <c r="C2437" s="3">
        <v>0</v>
      </c>
      <c r="D2437" s="3">
        <v>0</v>
      </c>
      <c r="E2437" s="3">
        <f>C2437 - D2437</f>
        <v>0</v>
      </c>
    </row>
    <row r="2438" spans="2:5" x14ac:dyDescent="0.35">
      <c r="B2438" s="38">
        <v>38939</v>
      </c>
      <c r="C2438" s="3">
        <v>0</v>
      </c>
      <c r="D2438" s="3">
        <v>0</v>
      </c>
      <c r="E2438" s="3">
        <f>C2438 - D2438</f>
        <v>0</v>
      </c>
    </row>
    <row r="2439" spans="2:5" x14ac:dyDescent="0.35">
      <c r="B2439" s="38">
        <v>38940</v>
      </c>
      <c r="C2439" s="3">
        <v>0</v>
      </c>
      <c r="D2439" s="3">
        <v>0</v>
      </c>
      <c r="E2439" s="3">
        <f>C2439 - D2439</f>
        <v>0</v>
      </c>
    </row>
    <row r="2440" spans="2:5" x14ac:dyDescent="0.35">
      <c r="B2440" s="38">
        <v>38941</v>
      </c>
      <c r="C2440" s="3">
        <v>0</v>
      </c>
      <c r="D2440" s="3">
        <v>0</v>
      </c>
      <c r="E2440" s="3">
        <f>C2440 - D2440</f>
        <v>0</v>
      </c>
    </row>
    <row r="2441" spans="2:5" x14ac:dyDescent="0.35">
      <c r="B2441" s="38">
        <v>38942</v>
      </c>
      <c r="C2441" s="3">
        <v>0</v>
      </c>
      <c r="D2441" s="3">
        <v>0</v>
      </c>
      <c r="E2441" s="3">
        <f>C2441 - D2441</f>
        <v>0</v>
      </c>
    </row>
    <row r="2442" spans="2:5" x14ac:dyDescent="0.35">
      <c r="B2442" s="38">
        <v>38943</v>
      </c>
      <c r="C2442" s="3">
        <v>0</v>
      </c>
      <c r="D2442" s="3">
        <v>0</v>
      </c>
      <c r="E2442" s="3">
        <f>C2442 - D2442</f>
        <v>0</v>
      </c>
    </row>
    <row r="2443" spans="2:5" x14ac:dyDescent="0.35">
      <c r="B2443" s="38">
        <v>38944</v>
      </c>
      <c r="C2443" s="3">
        <v>1</v>
      </c>
      <c r="D2443" s="3">
        <v>0</v>
      </c>
      <c r="E2443" s="3">
        <f>C2443 - D2443</f>
        <v>1</v>
      </c>
    </row>
    <row r="2444" spans="2:5" x14ac:dyDescent="0.35">
      <c r="B2444" s="38">
        <v>38945</v>
      </c>
      <c r="C2444" s="3">
        <v>0</v>
      </c>
      <c r="D2444" s="3">
        <v>1</v>
      </c>
      <c r="E2444" s="3">
        <f>C2444 - D2444</f>
        <v>-1</v>
      </c>
    </row>
    <row r="2445" spans="2:5" x14ac:dyDescent="0.35">
      <c r="B2445" s="38">
        <v>38946</v>
      </c>
      <c r="C2445" s="3">
        <v>1</v>
      </c>
      <c r="D2445" s="3">
        <v>0</v>
      </c>
      <c r="E2445" s="3">
        <f>C2445 - D2445</f>
        <v>1</v>
      </c>
    </row>
    <row r="2446" spans="2:5" x14ac:dyDescent="0.35">
      <c r="B2446" s="38">
        <v>38947</v>
      </c>
      <c r="C2446" s="3">
        <v>0</v>
      </c>
      <c r="D2446" s="3">
        <v>1</v>
      </c>
      <c r="E2446" s="3">
        <f>C2446 - D2446</f>
        <v>-1</v>
      </c>
    </row>
    <row r="2447" spans="2:5" x14ac:dyDescent="0.35">
      <c r="B2447" s="38">
        <v>38948</v>
      </c>
      <c r="C2447" s="3">
        <v>1</v>
      </c>
      <c r="D2447" s="3">
        <v>0</v>
      </c>
      <c r="E2447" s="3">
        <f>C2447 - D2447</f>
        <v>1</v>
      </c>
    </row>
    <row r="2448" spans="2:5" x14ac:dyDescent="0.35">
      <c r="B2448" s="38">
        <v>38949</v>
      </c>
      <c r="C2448" s="3">
        <v>0</v>
      </c>
      <c r="D2448" s="3">
        <v>1</v>
      </c>
      <c r="E2448" s="3">
        <f>C2448 - D2448</f>
        <v>-1</v>
      </c>
    </row>
    <row r="2449" spans="2:5" x14ac:dyDescent="0.35">
      <c r="B2449" s="38">
        <v>38950</v>
      </c>
      <c r="C2449" s="3">
        <v>0</v>
      </c>
      <c r="D2449" s="3">
        <v>0</v>
      </c>
      <c r="E2449" s="3">
        <f>C2449 - D2449</f>
        <v>0</v>
      </c>
    </row>
    <row r="2450" spans="2:5" x14ac:dyDescent="0.35">
      <c r="B2450" s="38">
        <v>38951</v>
      </c>
      <c r="C2450" s="3">
        <v>1</v>
      </c>
      <c r="D2450" s="3">
        <v>0</v>
      </c>
      <c r="E2450" s="3">
        <f>C2450 - D2450</f>
        <v>1</v>
      </c>
    </row>
    <row r="2451" spans="2:5" x14ac:dyDescent="0.35">
      <c r="B2451" s="38">
        <v>38952</v>
      </c>
      <c r="C2451" s="3">
        <v>1</v>
      </c>
      <c r="D2451" s="3">
        <v>1</v>
      </c>
      <c r="E2451" s="3">
        <f>C2451 - D2451</f>
        <v>0</v>
      </c>
    </row>
    <row r="2452" spans="2:5" x14ac:dyDescent="0.35">
      <c r="B2452" s="38">
        <v>38953</v>
      </c>
      <c r="C2452" s="3">
        <v>1</v>
      </c>
      <c r="D2452" s="3">
        <v>1</v>
      </c>
      <c r="E2452" s="3">
        <f>C2452 - D2452</f>
        <v>0</v>
      </c>
    </row>
    <row r="2453" spans="2:5" x14ac:dyDescent="0.35">
      <c r="B2453" s="38">
        <v>38954</v>
      </c>
      <c r="C2453" s="3">
        <v>1</v>
      </c>
      <c r="D2453" s="3">
        <v>1</v>
      </c>
      <c r="E2453" s="3">
        <f>C2453 - D2453</f>
        <v>0</v>
      </c>
    </row>
    <row r="2454" spans="2:5" x14ac:dyDescent="0.35">
      <c r="B2454" s="38">
        <v>38955</v>
      </c>
      <c r="C2454" s="3">
        <v>0</v>
      </c>
      <c r="D2454" s="3">
        <v>1</v>
      </c>
      <c r="E2454" s="3">
        <f>C2454 - D2454</f>
        <v>-1</v>
      </c>
    </row>
    <row r="2455" spans="2:5" x14ac:dyDescent="0.35">
      <c r="B2455" s="38">
        <v>38956</v>
      </c>
      <c r="C2455" s="3">
        <v>0</v>
      </c>
      <c r="D2455" s="3">
        <v>0</v>
      </c>
      <c r="E2455" s="3">
        <f>C2455 - D2455</f>
        <v>0</v>
      </c>
    </row>
    <row r="2456" spans="2:5" x14ac:dyDescent="0.35">
      <c r="B2456" s="38">
        <v>38957</v>
      </c>
      <c r="C2456" s="3">
        <v>0</v>
      </c>
      <c r="D2456" s="3">
        <v>0</v>
      </c>
      <c r="E2456" s="3">
        <f>C2456 - D2456</f>
        <v>0</v>
      </c>
    </row>
    <row r="2457" spans="2:5" x14ac:dyDescent="0.35">
      <c r="B2457" s="38">
        <v>38958</v>
      </c>
      <c r="C2457" s="3">
        <v>0</v>
      </c>
      <c r="D2457" s="3">
        <v>0</v>
      </c>
      <c r="E2457" s="3">
        <f>C2457 - D2457</f>
        <v>0</v>
      </c>
    </row>
    <row r="2458" spans="2:5" x14ac:dyDescent="0.35">
      <c r="B2458" s="38">
        <v>38959</v>
      </c>
      <c r="C2458" s="3">
        <v>0</v>
      </c>
      <c r="D2458" s="3">
        <v>0</v>
      </c>
      <c r="E2458" s="3">
        <f>C2458 - D2458</f>
        <v>0</v>
      </c>
    </row>
    <row r="2459" spans="2:5" x14ac:dyDescent="0.35">
      <c r="B2459" s="38">
        <v>38960</v>
      </c>
      <c r="C2459" s="3">
        <v>0</v>
      </c>
      <c r="D2459" s="3">
        <v>0</v>
      </c>
      <c r="E2459" s="3">
        <f>C2459 - D2459</f>
        <v>0</v>
      </c>
    </row>
    <row r="2460" spans="2:5" x14ac:dyDescent="0.35">
      <c r="B2460" s="38">
        <v>38961</v>
      </c>
      <c r="C2460" s="3">
        <v>0</v>
      </c>
      <c r="D2460" s="3">
        <v>0</v>
      </c>
      <c r="E2460" s="3">
        <f>C2460 - D2460</f>
        <v>0</v>
      </c>
    </row>
    <row r="2461" spans="2:5" x14ac:dyDescent="0.35">
      <c r="B2461" s="38">
        <v>38962</v>
      </c>
      <c r="C2461" s="3">
        <v>0</v>
      </c>
      <c r="D2461" s="3">
        <v>0</v>
      </c>
      <c r="E2461" s="3">
        <f>C2461 - D2461</f>
        <v>0</v>
      </c>
    </row>
    <row r="2462" spans="2:5" x14ac:dyDescent="0.35">
      <c r="B2462" s="38">
        <v>38963</v>
      </c>
      <c r="C2462" s="3">
        <v>1</v>
      </c>
      <c r="D2462" s="3">
        <v>0</v>
      </c>
      <c r="E2462" s="3">
        <f>C2462 - D2462</f>
        <v>1</v>
      </c>
    </row>
    <row r="2463" spans="2:5" x14ac:dyDescent="0.35">
      <c r="B2463" s="38">
        <v>38964</v>
      </c>
      <c r="C2463" s="3">
        <v>1</v>
      </c>
      <c r="D2463" s="3">
        <v>1</v>
      </c>
      <c r="E2463" s="3">
        <f>C2463 - D2463</f>
        <v>0</v>
      </c>
    </row>
    <row r="2464" spans="2:5" x14ac:dyDescent="0.35">
      <c r="B2464" s="38">
        <v>38965</v>
      </c>
      <c r="C2464" s="3">
        <v>0</v>
      </c>
      <c r="D2464" s="3">
        <v>1</v>
      </c>
      <c r="E2464" s="3">
        <f>C2464 - D2464</f>
        <v>-1</v>
      </c>
    </row>
    <row r="2465" spans="2:5" x14ac:dyDescent="0.35">
      <c r="B2465" s="38">
        <v>38966</v>
      </c>
      <c r="C2465" s="3">
        <v>1</v>
      </c>
      <c r="D2465" s="3">
        <v>0</v>
      </c>
      <c r="E2465" s="3">
        <f>C2465 - D2465</f>
        <v>1</v>
      </c>
    </row>
    <row r="2466" spans="2:5" x14ac:dyDescent="0.35">
      <c r="B2466" s="38">
        <v>38967</v>
      </c>
      <c r="C2466" s="3">
        <v>1</v>
      </c>
      <c r="D2466" s="3">
        <v>1</v>
      </c>
      <c r="E2466" s="3">
        <f>C2466 - D2466</f>
        <v>0</v>
      </c>
    </row>
    <row r="2467" spans="2:5" x14ac:dyDescent="0.35">
      <c r="B2467" s="38">
        <v>38968</v>
      </c>
      <c r="C2467" s="3">
        <v>1</v>
      </c>
      <c r="D2467" s="3">
        <v>1</v>
      </c>
      <c r="E2467" s="3">
        <f>C2467 - D2467</f>
        <v>0</v>
      </c>
    </row>
    <row r="2468" spans="2:5" x14ac:dyDescent="0.35">
      <c r="B2468" s="38">
        <v>38969</v>
      </c>
      <c r="C2468" s="3">
        <v>1</v>
      </c>
      <c r="D2468" s="3">
        <v>1</v>
      </c>
      <c r="E2468" s="3">
        <f>C2468 - D2468</f>
        <v>0</v>
      </c>
    </row>
    <row r="2469" spans="2:5" x14ac:dyDescent="0.35">
      <c r="B2469" s="38">
        <v>38970</v>
      </c>
      <c r="C2469" s="3">
        <v>1</v>
      </c>
      <c r="D2469" s="3">
        <v>1</v>
      </c>
      <c r="E2469" s="3">
        <f>C2469 - D2469</f>
        <v>0</v>
      </c>
    </row>
    <row r="2470" spans="2:5" x14ac:dyDescent="0.35">
      <c r="B2470" s="38">
        <v>38971</v>
      </c>
      <c r="C2470" s="3">
        <v>0</v>
      </c>
      <c r="D2470" s="3">
        <v>1</v>
      </c>
      <c r="E2470" s="3">
        <f>C2470 - D2470</f>
        <v>-1</v>
      </c>
    </row>
    <row r="2471" spans="2:5" x14ac:dyDescent="0.35">
      <c r="B2471" s="38">
        <v>38972</v>
      </c>
      <c r="C2471" s="3">
        <v>0</v>
      </c>
      <c r="D2471" s="3">
        <v>0</v>
      </c>
      <c r="E2471" s="3">
        <f>C2471 - D2471</f>
        <v>0</v>
      </c>
    </row>
    <row r="2472" spans="2:5" x14ac:dyDescent="0.35">
      <c r="B2472" s="38">
        <v>38973</v>
      </c>
      <c r="C2472" s="3">
        <v>0</v>
      </c>
      <c r="D2472" s="3">
        <v>0</v>
      </c>
      <c r="E2472" s="3">
        <f>C2472 - D2472</f>
        <v>0</v>
      </c>
    </row>
    <row r="2473" spans="2:5" x14ac:dyDescent="0.35">
      <c r="B2473" s="38">
        <v>38974</v>
      </c>
      <c r="C2473" s="3">
        <v>0</v>
      </c>
      <c r="D2473" s="3">
        <v>0</v>
      </c>
      <c r="E2473" s="3">
        <f>C2473 - D2473</f>
        <v>0</v>
      </c>
    </row>
    <row r="2474" spans="2:5" x14ac:dyDescent="0.35">
      <c r="B2474" s="38">
        <v>38975</v>
      </c>
      <c r="C2474" s="3">
        <v>0</v>
      </c>
      <c r="D2474" s="3">
        <v>0</v>
      </c>
      <c r="E2474" s="3">
        <f>C2474 - D2474</f>
        <v>0</v>
      </c>
    </row>
    <row r="2475" spans="2:5" x14ac:dyDescent="0.35">
      <c r="B2475" s="38">
        <v>38976</v>
      </c>
      <c r="C2475" s="3">
        <v>0</v>
      </c>
      <c r="D2475" s="3">
        <v>0</v>
      </c>
      <c r="E2475" s="3">
        <f>C2475 - D2475</f>
        <v>0</v>
      </c>
    </row>
    <row r="2476" spans="2:5" x14ac:dyDescent="0.35">
      <c r="B2476" s="38">
        <v>38977</v>
      </c>
      <c r="C2476" s="3">
        <v>0</v>
      </c>
      <c r="D2476" s="3">
        <v>0</v>
      </c>
      <c r="E2476" s="3">
        <f>C2476 - D2476</f>
        <v>0</v>
      </c>
    </row>
    <row r="2477" spans="2:5" x14ac:dyDescent="0.35">
      <c r="B2477" s="38">
        <v>38978</v>
      </c>
      <c r="C2477" s="3">
        <v>0</v>
      </c>
      <c r="D2477" s="3">
        <v>0</v>
      </c>
      <c r="E2477" s="3">
        <f>C2477 - D2477</f>
        <v>0</v>
      </c>
    </row>
    <row r="2478" spans="2:5" x14ac:dyDescent="0.35">
      <c r="B2478" s="38">
        <v>38979</v>
      </c>
      <c r="C2478" s="3">
        <v>0</v>
      </c>
      <c r="D2478" s="3">
        <v>0</v>
      </c>
      <c r="E2478" s="3">
        <f>C2478 - D2478</f>
        <v>0</v>
      </c>
    </row>
    <row r="2479" spans="2:5" x14ac:dyDescent="0.35">
      <c r="B2479" s="38">
        <v>38980</v>
      </c>
      <c r="C2479" s="3">
        <v>1</v>
      </c>
      <c r="D2479" s="3">
        <v>0</v>
      </c>
      <c r="E2479" s="3">
        <f>C2479 - D2479</f>
        <v>1</v>
      </c>
    </row>
    <row r="2480" spans="2:5" x14ac:dyDescent="0.35">
      <c r="B2480" s="38">
        <v>38981</v>
      </c>
      <c r="C2480" s="3">
        <v>1</v>
      </c>
      <c r="D2480" s="3">
        <v>1</v>
      </c>
      <c r="E2480" s="3">
        <f>C2480 - D2480</f>
        <v>0</v>
      </c>
    </row>
    <row r="2481" spans="2:5" x14ac:dyDescent="0.35">
      <c r="B2481" s="38">
        <v>38982</v>
      </c>
      <c r="C2481" s="3">
        <v>0</v>
      </c>
      <c r="D2481" s="3">
        <v>1</v>
      </c>
      <c r="E2481" s="3">
        <f>C2481 - D2481</f>
        <v>-1</v>
      </c>
    </row>
    <row r="2482" spans="2:5" x14ac:dyDescent="0.35">
      <c r="B2482" s="38">
        <v>38983</v>
      </c>
      <c r="C2482" s="3">
        <v>0</v>
      </c>
      <c r="D2482" s="3">
        <v>0</v>
      </c>
      <c r="E2482" s="3">
        <f>C2482 - D2482</f>
        <v>0</v>
      </c>
    </row>
    <row r="2483" spans="2:5" x14ac:dyDescent="0.35">
      <c r="B2483" s="38">
        <v>38984</v>
      </c>
      <c r="C2483" s="3">
        <v>1</v>
      </c>
      <c r="D2483" s="3">
        <v>0</v>
      </c>
      <c r="E2483" s="3">
        <f>C2483 - D2483</f>
        <v>1</v>
      </c>
    </row>
    <row r="2484" spans="2:5" x14ac:dyDescent="0.35">
      <c r="B2484" s="38">
        <v>38985</v>
      </c>
      <c r="C2484" s="3">
        <v>1</v>
      </c>
      <c r="D2484" s="3">
        <v>1</v>
      </c>
      <c r="E2484" s="3">
        <f>C2484 - D2484</f>
        <v>0</v>
      </c>
    </row>
    <row r="2485" spans="2:5" x14ac:dyDescent="0.35">
      <c r="B2485" s="38">
        <v>38986</v>
      </c>
      <c r="C2485" s="3">
        <v>0</v>
      </c>
      <c r="D2485" s="3">
        <v>1</v>
      </c>
      <c r="E2485" s="3">
        <f>C2485 - D2485</f>
        <v>-1</v>
      </c>
    </row>
    <row r="2486" spans="2:5" x14ac:dyDescent="0.35">
      <c r="B2486" s="38">
        <v>38987</v>
      </c>
      <c r="C2486" s="3">
        <v>0</v>
      </c>
      <c r="D2486" s="3">
        <v>0</v>
      </c>
      <c r="E2486" s="3">
        <f>C2486 - D2486</f>
        <v>0</v>
      </c>
    </row>
    <row r="2487" spans="2:5" x14ac:dyDescent="0.35">
      <c r="B2487" s="38">
        <v>38988</v>
      </c>
      <c r="C2487" s="3">
        <v>0</v>
      </c>
      <c r="D2487" s="3">
        <v>0</v>
      </c>
      <c r="E2487" s="3">
        <f>C2487 - D2487</f>
        <v>0</v>
      </c>
    </row>
    <row r="2488" spans="2:5" x14ac:dyDescent="0.35">
      <c r="B2488" s="38">
        <v>38989</v>
      </c>
      <c r="C2488" s="3">
        <v>0</v>
      </c>
      <c r="D2488" s="3">
        <v>0</v>
      </c>
      <c r="E2488" s="3">
        <f>C2488 - D2488</f>
        <v>0</v>
      </c>
    </row>
    <row r="2489" spans="2:5" x14ac:dyDescent="0.35">
      <c r="B2489" s="38">
        <v>38990</v>
      </c>
      <c r="C2489" s="3">
        <v>0</v>
      </c>
      <c r="D2489" s="3">
        <v>0</v>
      </c>
      <c r="E2489" s="3">
        <f>C2489 - D2489</f>
        <v>0</v>
      </c>
    </row>
    <row r="2490" spans="2:5" x14ac:dyDescent="0.35">
      <c r="B2490" s="38">
        <v>38991</v>
      </c>
      <c r="C2490" s="3">
        <v>0</v>
      </c>
      <c r="D2490" s="3">
        <v>0</v>
      </c>
      <c r="E2490" s="3">
        <f>C2490 - D2490</f>
        <v>0</v>
      </c>
    </row>
    <row r="2491" spans="2:5" x14ac:dyDescent="0.35">
      <c r="B2491" s="38">
        <v>38992</v>
      </c>
      <c r="C2491" s="3">
        <v>0</v>
      </c>
      <c r="D2491" s="3">
        <v>0</v>
      </c>
      <c r="E2491" s="3">
        <f>C2491 - D2491</f>
        <v>0</v>
      </c>
    </row>
    <row r="2492" spans="2:5" x14ac:dyDescent="0.35">
      <c r="B2492" s="38">
        <v>38993</v>
      </c>
      <c r="C2492" s="3">
        <v>0</v>
      </c>
      <c r="D2492" s="3">
        <v>0</v>
      </c>
      <c r="E2492" s="3">
        <f>C2492 - D2492</f>
        <v>0</v>
      </c>
    </row>
    <row r="2493" spans="2:5" x14ac:dyDescent="0.35">
      <c r="B2493" s="38">
        <v>38994</v>
      </c>
      <c r="C2493" s="3">
        <v>0</v>
      </c>
      <c r="D2493" s="3">
        <v>0</v>
      </c>
      <c r="E2493" s="3">
        <f>C2493 - D2493</f>
        <v>0</v>
      </c>
    </row>
    <row r="2494" spans="2:5" x14ac:dyDescent="0.35">
      <c r="B2494" s="38">
        <v>38995</v>
      </c>
      <c r="C2494" s="3">
        <v>1</v>
      </c>
      <c r="D2494" s="3">
        <v>0</v>
      </c>
      <c r="E2494" s="3">
        <f>C2494 - D2494</f>
        <v>1</v>
      </c>
    </row>
    <row r="2495" spans="2:5" x14ac:dyDescent="0.35">
      <c r="B2495" s="38">
        <v>38996</v>
      </c>
      <c r="C2495" s="3">
        <v>0</v>
      </c>
      <c r="D2495" s="3">
        <v>1</v>
      </c>
      <c r="E2495" s="3">
        <f>C2495 - D2495</f>
        <v>-1</v>
      </c>
    </row>
    <row r="2496" spans="2:5" x14ac:dyDescent="0.35">
      <c r="B2496" s="38">
        <v>38997</v>
      </c>
      <c r="C2496" s="3">
        <v>0</v>
      </c>
      <c r="D2496" s="3">
        <v>0</v>
      </c>
      <c r="E2496" s="3">
        <f>C2496 - D2496</f>
        <v>0</v>
      </c>
    </row>
    <row r="2497" spans="2:5" x14ac:dyDescent="0.35">
      <c r="B2497" s="38">
        <v>38998</v>
      </c>
      <c r="C2497" s="3">
        <v>1</v>
      </c>
      <c r="D2497" s="3">
        <v>0</v>
      </c>
      <c r="E2497" s="3">
        <f>C2497 - D2497</f>
        <v>1</v>
      </c>
    </row>
    <row r="2498" spans="2:5" x14ac:dyDescent="0.35">
      <c r="B2498" s="38">
        <v>38999</v>
      </c>
      <c r="C2498" s="3">
        <v>0</v>
      </c>
      <c r="D2498" s="3">
        <v>1</v>
      </c>
      <c r="E2498" s="3">
        <f>C2498 - D2498</f>
        <v>-1</v>
      </c>
    </row>
    <row r="2499" spans="2:5" x14ac:dyDescent="0.35">
      <c r="B2499" s="38">
        <v>39000</v>
      </c>
      <c r="C2499" s="3">
        <v>0</v>
      </c>
      <c r="D2499" s="3">
        <v>0</v>
      </c>
      <c r="E2499" s="3">
        <f>C2499 - D2499</f>
        <v>0</v>
      </c>
    </row>
    <row r="2500" spans="2:5" x14ac:dyDescent="0.35">
      <c r="B2500" s="38">
        <v>39001</v>
      </c>
      <c r="C2500" s="3">
        <v>0</v>
      </c>
      <c r="D2500" s="3">
        <v>0</v>
      </c>
      <c r="E2500" s="3">
        <f>C2500 - D2500</f>
        <v>0</v>
      </c>
    </row>
    <row r="2501" spans="2:5" x14ac:dyDescent="0.35">
      <c r="B2501" s="38">
        <v>39002</v>
      </c>
      <c r="C2501" s="3">
        <v>0</v>
      </c>
      <c r="D2501" s="3">
        <v>0</v>
      </c>
      <c r="E2501" s="3">
        <f>C2501 - D2501</f>
        <v>0</v>
      </c>
    </row>
    <row r="2502" spans="2:5" x14ac:dyDescent="0.35">
      <c r="B2502" s="38">
        <v>39003</v>
      </c>
      <c r="C2502" s="3">
        <v>0</v>
      </c>
      <c r="D2502" s="3">
        <v>0</v>
      </c>
      <c r="E2502" s="3">
        <f>C2502 - D2502</f>
        <v>0</v>
      </c>
    </row>
    <row r="2503" spans="2:5" x14ac:dyDescent="0.35">
      <c r="B2503" s="38">
        <v>39004</v>
      </c>
      <c r="C2503" s="3">
        <v>0</v>
      </c>
      <c r="D2503" s="3">
        <v>0</v>
      </c>
      <c r="E2503" s="3">
        <f>C2503 - D2503</f>
        <v>0</v>
      </c>
    </row>
    <row r="2504" spans="2:5" x14ac:dyDescent="0.35">
      <c r="B2504" s="38">
        <v>39005</v>
      </c>
      <c r="C2504" s="3">
        <v>0</v>
      </c>
      <c r="D2504" s="3">
        <v>0</v>
      </c>
      <c r="E2504" s="3">
        <f>C2504 - D2504</f>
        <v>0</v>
      </c>
    </row>
    <row r="2505" spans="2:5" x14ac:dyDescent="0.35">
      <c r="B2505" s="38">
        <v>39006</v>
      </c>
      <c r="C2505" s="3">
        <v>0</v>
      </c>
      <c r="D2505" s="3">
        <v>0</v>
      </c>
      <c r="E2505" s="3">
        <f>C2505 - D2505</f>
        <v>0</v>
      </c>
    </row>
    <row r="2506" spans="2:5" x14ac:dyDescent="0.35">
      <c r="B2506" s="38">
        <v>39007</v>
      </c>
      <c r="C2506" s="3">
        <v>0</v>
      </c>
      <c r="D2506" s="3">
        <v>0</v>
      </c>
      <c r="E2506" s="3">
        <f>C2506 - D2506</f>
        <v>0</v>
      </c>
    </row>
    <row r="2507" spans="2:5" x14ac:dyDescent="0.35">
      <c r="B2507" s="38">
        <v>39008</v>
      </c>
      <c r="C2507" s="3">
        <v>1</v>
      </c>
      <c r="D2507" s="3">
        <v>0</v>
      </c>
      <c r="E2507" s="3">
        <f>C2507 - D2507</f>
        <v>1</v>
      </c>
    </row>
    <row r="2508" spans="2:5" x14ac:dyDescent="0.35">
      <c r="B2508" s="38">
        <v>39009</v>
      </c>
      <c r="C2508" s="3">
        <v>1</v>
      </c>
      <c r="D2508" s="3">
        <v>1</v>
      </c>
      <c r="E2508" s="3">
        <f>C2508 - D2508</f>
        <v>0</v>
      </c>
    </row>
    <row r="2509" spans="2:5" x14ac:dyDescent="0.35">
      <c r="B2509" s="38">
        <v>39010</v>
      </c>
      <c r="C2509" s="3">
        <v>0</v>
      </c>
      <c r="D2509" s="3">
        <v>1</v>
      </c>
      <c r="E2509" s="3">
        <f>C2509 - D2509</f>
        <v>-1</v>
      </c>
    </row>
    <row r="2510" spans="2:5" x14ac:dyDescent="0.35">
      <c r="B2510" s="38">
        <v>39011</v>
      </c>
      <c r="C2510" s="3">
        <v>1</v>
      </c>
      <c r="D2510" s="3">
        <v>0</v>
      </c>
      <c r="E2510" s="3">
        <f>C2510 - D2510</f>
        <v>1</v>
      </c>
    </row>
    <row r="2511" spans="2:5" x14ac:dyDescent="0.35">
      <c r="B2511" s="38">
        <v>39012</v>
      </c>
      <c r="C2511" s="3">
        <v>1</v>
      </c>
      <c r="D2511" s="3">
        <v>1</v>
      </c>
      <c r="E2511" s="3">
        <f>C2511 - D2511</f>
        <v>0</v>
      </c>
    </row>
    <row r="2512" spans="2:5" x14ac:dyDescent="0.35">
      <c r="B2512" s="38">
        <v>39013</v>
      </c>
      <c r="C2512" s="3">
        <v>0</v>
      </c>
      <c r="D2512" s="3">
        <v>1</v>
      </c>
      <c r="E2512" s="3">
        <f>C2512 - D2512</f>
        <v>-1</v>
      </c>
    </row>
    <row r="2513" spans="2:5" x14ac:dyDescent="0.35">
      <c r="B2513" s="38">
        <v>39014</v>
      </c>
      <c r="C2513" s="3">
        <v>0</v>
      </c>
      <c r="D2513" s="3">
        <v>0</v>
      </c>
      <c r="E2513" s="3">
        <f>C2513 - D2513</f>
        <v>0</v>
      </c>
    </row>
    <row r="2514" spans="2:5" x14ac:dyDescent="0.35">
      <c r="B2514" s="38">
        <v>39015</v>
      </c>
      <c r="C2514" s="3">
        <v>1</v>
      </c>
      <c r="D2514" s="3">
        <v>0</v>
      </c>
      <c r="E2514" s="3">
        <f>C2514 - D2514</f>
        <v>1</v>
      </c>
    </row>
    <row r="2515" spans="2:5" x14ac:dyDescent="0.35">
      <c r="B2515" s="38">
        <v>39016</v>
      </c>
      <c r="C2515" s="3">
        <v>1</v>
      </c>
      <c r="D2515" s="3">
        <v>1</v>
      </c>
      <c r="E2515" s="3">
        <f>C2515 - D2515</f>
        <v>0</v>
      </c>
    </row>
    <row r="2516" spans="2:5" x14ac:dyDescent="0.35">
      <c r="B2516" s="38">
        <v>39017</v>
      </c>
      <c r="C2516" s="3">
        <v>0</v>
      </c>
      <c r="D2516" s="3">
        <v>1</v>
      </c>
      <c r="E2516" s="3">
        <f>C2516 - D2516</f>
        <v>-1</v>
      </c>
    </row>
    <row r="2517" spans="2:5" x14ac:dyDescent="0.35">
      <c r="B2517" s="38">
        <v>39018</v>
      </c>
      <c r="C2517" s="3">
        <v>1</v>
      </c>
      <c r="D2517" s="3">
        <v>0</v>
      </c>
      <c r="E2517" s="3">
        <f>C2517 - D2517</f>
        <v>1</v>
      </c>
    </row>
    <row r="2518" spans="2:5" x14ac:dyDescent="0.35">
      <c r="B2518" s="38">
        <v>39019</v>
      </c>
      <c r="C2518" s="3">
        <v>1</v>
      </c>
      <c r="D2518" s="3">
        <v>1</v>
      </c>
      <c r="E2518" s="3">
        <f>C2518 - D2518</f>
        <v>0</v>
      </c>
    </row>
    <row r="2519" spans="2:5" x14ac:dyDescent="0.35">
      <c r="B2519" s="38">
        <v>39020</v>
      </c>
      <c r="C2519" s="3">
        <v>0</v>
      </c>
      <c r="D2519" s="3">
        <v>1</v>
      </c>
      <c r="E2519" s="3">
        <f>C2519 - D2519</f>
        <v>-1</v>
      </c>
    </row>
    <row r="2520" spans="2:5" x14ac:dyDescent="0.35">
      <c r="B2520" s="38">
        <v>39021</v>
      </c>
      <c r="C2520" s="3">
        <v>0</v>
      </c>
      <c r="D2520" s="3">
        <v>0</v>
      </c>
      <c r="E2520" s="3">
        <f>C2520 - D2520</f>
        <v>0</v>
      </c>
    </row>
    <row r="2521" spans="2:5" x14ac:dyDescent="0.35">
      <c r="B2521" s="38">
        <v>39022</v>
      </c>
      <c r="C2521" s="3">
        <v>0</v>
      </c>
      <c r="D2521" s="3">
        <v>0</v>
      </c>
      <c r="E2521" s="3">
        <f>C2521 - D2521</f>
        <v>0</v>
      </c>
    </row>
    <row r="2522" spans="2:5" x14ac:dyDescent="0.35">
      <c r="B2522" s="38">
        <v>39023</v>
      </c>
      <c r="C2522" s="3">
        <v>1</v>
      </c>
      <c r="D2522" s="3">
        <v>0</v>
      </c>
      <c r="E2522" s="3">
        <f>C2522 - D2522</f>
        <v>1</v>
      </c>
    </row>
    <row r="2523" spans="2:5" x14ac:dyDescent="0.35">
      <c r="B2523" s="38">
        <v>39024</v>
      </c>
      <c r="C2523" s="3">
        <v>1</v>
      </c>
      <c r="D2523" s="3">
        <v>1</v>
      </c>
      <c r="E2523" s="3">
        <f>C2523 - D2523</f>
        <v>0</v>
      </c>
    </row>
    <row r="2524" spans="2:5" x14ac:dyDescent="0.35">
      <c r="B2524" s="38">
        <v>39025</v>
      </c>
      <c r="C2524" s="3">
        <v>0</v>
      </c>
      <c r="D2524" s="3">
        <v>1</v>
      </c>
      <c r="E2524" s="3">
        <f>C2524 - D2524</f>
        <v>-1</v>
      </c>
    </row>
    <row r="2525" spans="2:5" x14ac:dyDescent="0.35">
      <c r="B2525" s="38">
        <v>39026</v>
      </c>
      <c r="C2525" s="3">
        <v>0</v>
      </c>
      <c r="D2525" s="3">
        <v>0</v>
      </c>
      <c r="E2525" s="3">
        <f>C2525 - D2525</f>
        <v>0</v>
      </c>
    </row>
    <row r="2526" spans="2:5" x14ac:dyDescent="0.35">
      <c r="B2526" s="38">
        <v>39027</v>
      </c>
      <c r="C2526" s="3">
        <v>0</v>
      </c>
      <c r="D2526" s="3">
        <v>0</v>
      </c>
      <c r="E2526" s="3">
        <f>C2526 - D2526</f>
        <v>0</v>
      </c>
    </row>
    <row r="2527" spans="2:5" x14ac:dyDescent="0.35">
      <c r="B2527" s="38">
        <v>39028</v>
      </c>
      <c r="C2527" s="3">
        <v>0</v>
      </c>
      <c r="D2527" s="3">
        <v>0</v>
      </c>
      <c r="E2527" s="3">
        <f>C2527 - D2527</f>
        <v>0</v>
      </c>
    </row>
    <row r="2528" spans="2:5" x14ac:dyDescent="0.35">
      <c r="B2528" s="38">
        <v>39029</v>
      </c>
      <c r="C2528" s="3">
        <v>0</v>
      </c>
      <c r="D2528" s="3">
        <v>0</v>
      </c>
      <c r="E2528" s="3">
        <f>C2528 - D2528</f>
        <v>0</v>
      </c>
    </row>
    <row r="2529" spans="2:5" x14ac:dyDescent="0.35">
      <c r="B2529" s="38">
        <v>39030</v>
      </c>
      <c r="C2529" s="3">
        <v>0</v>
      </c>
      <c r="D2529" s="3">
        <v>0</v>
      </c>
      <c r="E2529" s="3">
        <f>C2529 - D2529</f>
        <v>0</v>
      </c>
    </row>
    <row r="2530" spans="2:5" x14ac:dyDescent="0.35">
      <c r="B2530" s="38">
        <v>39031</v>
      </c>
      <c r="C2530" s="3">
        <v>0</v>
      </c>
      <c r="D2530" s="3">
        <v>0</v>
      </c>
      <c r="E2530" s="3">
        <f>C2530 - D2530</f>
        <v>0</v>
      </c>
    </row>
    <row r="2531" spans="2:5" x14ac:dyDescent="0.35">
      <c r="B2531" s="38">
        <v>39032</v>
      </c>
      <c r="C2531" s="3">
        <v>0</v>
      </c>
      <c r="D2531" s="3">
        <v>0</v>
      </c>
      <c r="E2531" s="3">
        <f>C2531 - D2531</f>
        <v>0</v>
      </c>
    </row>
    <row r="2532" spans="2:5" x14ac:dyDescent="0.35">
      <c r="B2532" s="38">
        <v>39033</v>
      </c>
      <c r="C2532" s="3">
        <v>1</v>
      </c>
      <c r="D2532" s="3">
        <v>0</v>
      </c>
      <c r="E2532" s="3">
        <f>C2532 - D2532</f>
        <v>1</v>
      </c>
    </row>
    <row r="2533" spans="2:5" x14ac:dyDescent="0.35">
      <c r="B2533" s="38">
        <v>39034</v>
      </c>
      <c r="C2533" s="3">
        <v>1</v>
      </c>
      <c r="D2533" s="3">
        <v>1</v>
      </c>
      <c r="E2533" s="3">
        <f>C2533 - D2533</f>
        <v>0</v>
      </c>
    </row>
    <row r="2534" spans="2:5" x14ac:dyDescent="0.35">
      <c r="B2534" s="38">
        <v>39035</v>
      </c>
      <c r="C2534" s="3">
        <v>1</v>
      </c>
      <c r="D2534" s="3">
        <v>1</v>
      </c>
      <c r="E2534" s="3">
        <f>C2534 - D2534</f>
        <v>0</v>
      </c>
    </row>
    <row r="2535" spans="2:5" x14ac:dyDescent="0.35">
      <c r="B2535" s="38">
        <v>39036</v>
      </c>
      <c r="C2535" s="3">
        <v>1</v>
      </c>
      <c r="D2535" s="3">
        <v>1</v>
      </c>
      <c r="E2535" s="3">
        <f>C2535 - D2535</f>
        <v>0</v>
      </c>
    </row>
    <row r="2536" spans="2:5" x14ac:dyDescent="0.35">
      <c r="B2536" s="38">
        <v>39037</v>
      </c>
      <c r="C2536" s="3">
        <v>1</v>
      </c>
      <c r="D2536" s="3">
        <v>1</v>
      </c>
      <c r="E2536" s="3">
        <f>C2536 - D2536</f>
        <v>0</v>
      </c>
    </row>
    <row r="2537" spans="2:5" x14ac:dyDescent="0.35">
      <c r="B2537" s="38">
        <v>39038</v>
      </c>
      <c r="C2537" s="3">
        <v>1</v>
      </c>
      <c r="D2537" s="3">
        <v>1</v>
      </c>
      <c r="E2537" s="3">
        <f>C2537 - D2537</f>
        <v>0</v>
      </c>
    </row>
    <row r="2538" spans="2:5" x14ac:dyDescent="0.35">
      <c r="B2538" s="38">
        <v>39039</v>
      </c>
      <c r="C2538" s="3">
        <v>0</v>
      </c>
      <c r="D2538" s="3">
        <v>1</v>
      </c>
      <c r="E2538" s="3">
        <f>C2538 - D2538</f>
        <v>-1</v>
      </c>
    </row>
    <row r="2539" spans="2:5" x14ac:dyDescent="0.35">
      <c r="B2539" s="38">
        <v>39040</v>
      </c>
      <c r="C2539" s="3">
        <v>0</v>
      </c>
      <c r="D2539" s="3">
        <v>0</v>
      </c>
      <c r="E2539" s="3">
        <f>C2539 - D2539</f>
        <v>0</v>
      </c>
    </row>
    <row r="2540" spans="2:5" x14ac:dyDescent="0.35">
      <c r="B2540" s="38">
        <v>39041</v>
      </c>
      <c r="C2540" s="3">
        <v>0</v>
      </c>
      <c r="D2540" s="3">
        <v>0</v>
      </c>
      <c r="E2540" s="3">
        <f>C2540 - D2540</f>
        <v>0</v>
      </c>
    </row>
    <row r="2541" spans="2:5" x14ac:dyDescent="0.35">
      <c r="B2541" s="38">
        <v>39042</v>
      </c>
      <c r="C2541" s="3">
        <v>1</v>
      </c>
      <c r="D2541" s="3">
        <v>0</v>
      </c>
      <c r="E2541" s="3">
        <f>C2541 - D2541</f>
        <v>1</v>
      </c>
    </row>
    <row r="2542" spans="2:5" x14ac:dyDescent="0.35">
      <c r="B2542" s="38">
        <v>39043</v>
      </c>
      <c r="C2542" s="3">
        <v>0</v>
      </c>
      <c r="D2542" s="3">
        <v>1</v>
      </c>
      <c r="E2542" s="3">
        <f>C2542 - D2542</f>
        <v>-1</v>
      </c>
    </row>
    <row r="2543" spans="2:5" x14ac:dyDescent="0.35">
      <c r="B2543" s="38">
        <v>39044</v>
      </c>
      <c r="C2543" s="3">
        <v>0</v>
      </c>
      <c r="D2543" s="3">
        <v>0</v>
      </c>
      <c r="E2543" s="3">
        <f>C2543 - D2543</f>
        <v>0</v>
      </c>
    </row>
    <row r="2544" spans="2:5" x14ac:dyDescent="0.35">
      <c r="B2544" s="38">
        <v>39045</v>
      </c>
      <c r="C2544" s="3">
        <v>0</v>
      </c>
      <c r="D2544" s="3">
        <v>0</v>
      </c>
      <c r="E2544" s="3">
        <f>C2544 - D2544</f>
        <v>0</v>
      </c>
    </row>
    <row r="2545" spans="2:5" x14ac:dyDescent="0.35">
      <c r="B2545" s="38">
        <v>39046</v>
      </c>
      <c r="C2545" s="3">
        <v>0</v>
      </c>
      <c r="D2545" s="3">
        <v>0</v>
      </c>
      <c r="E2545" s="3">
        <f>C2545 - D2545</f>
        <v>0</v>
      </c>
    </row>
    <row r="2546" spans="2:5" x14ac:dyDescent="0.35">
      <c r="B2546" s="38">
        <v>39047</v>
      </c>
      <c r="C2546" s="3">
        <v>0</v>
      </c>
      <c r="D2546" s="3">
        <v>0</v>
      </c>
      <c r="E2546" s="3">
        <f>C2546 - D2546</f>
        <v>0</v>
      </c>
    </row>
    <row r="2547" spans="2:5" x14ac:dyDescent="0.35">
      <c r="B2547" s="38">
        <v>39048</v>
      </c>
      <c r="C2547" s="3">
        <v>0</v>
      </c>
      <c r="D2547" s="3">
        <v>0</v>
      </c>
      <c r="E2547" s="3">
        <f>C2547 - D2547</f>
        <v>0</v>
      </c>
    </row>
    <row r="2548" spans="2:5" x14ac:dyDescent="0.35">
      <c r="B2548" s="38">
        <v>39049</v>
      </c>
      <c r="C2548" s="3">
        <v>0</v>
      </c>
      <c r="D2548" s="3">
        <v>0</v>
      </c>
      <c r="E2548" s="3">
        <f>C2548 - D2548</f>
        <v>0</v>
      </c>
    </row>
    <row r="2549" spans="2:5" x14ac:dyDescent="0.35">
      <c r="B2549" s="38">
        <v>39050</v>
      </c>
      <c r="C2549" s="3">
        <v>1</v>
      </c>
      <c r="D2549" s="3">
        <v>0</v>
      </c>
      <c r="E2549" s="3">
        <f>C2549 - D2549</f>
        <v>1</v>
      </c>
    </row>
    <row r="2550" spans="2:5" x14ac:dyDescent="0.35">
      <c r="B2550" s="38">
        <v>39051</v>
      </c>
      <c r="C2550" s="3">
        <v>0</v>
      </c>
      <c r="D2550" s="3">
        <v>1</v>
      </c>
      <c r="E2550" s="3">
        <f>C2550 - D2550</f>
        <v>-1</v>
      </c>
    </row>
    <row r="2551" spans="2:5" x14ac:dyDescent="0.35">
      <c r="B2551" s="38">
        <v>39052</v>
      </c>
      <c r="C2551" s="3">
        <v>0</v>
      </c>
      <c r="D2551" s="3">
        <v>0</v>
      </c>
      <c r="E2551" s="3">
        <f>C2551 - D2551</f>
        <v>0</v>
      </c>
    </row>
    <row r="2552" spans="2:5" x14ac:dyDescent="0.35">
      <c r="B2552" s="38">
        <v>39053</v>
      </c>
      <c r="C2552" s="3">
        <v>0</v>
      </c>
      <c r="D2552" s="3">
        <v>0</v>
      </c>
      <c r="E2552" s="3">
        <f>C2552 - D2552</f>
        <v>0</v>
      </c>
    </row>
    <row r="2553" spans="2:5" x14ac:dyDescent="0.35">
      <c r="B2553" s="38">
        <v>39054</v>
      </c>
      <c r="C2553" s="3">
        <v>0</v>
      </c>
      <c r="D2553" s="3">
        <v>0</v>
      </c>
      <c r="E2553" s="3">
        <f>C2553 - D2553</f>
        <v>0</v>
      </c>
    </row>
    <row r="2554" spans="2:5" x14ac:dyDescent="0.35">
      <c r="B2554" s="38">
        <v>39055</v>
      </c>
      <c r="C2554" s="3">
        <v>0</v>
      </c>
      <c r="D2554" s="3">
        <v>0</v>
      </c>
      <c r="E2554" s="3">
        <f>C2554 - D2554</f>
        <v>0</v>
      </c>
    </row>
    <row r="2555" spans="2:5" x14ac:dyDescent="0.35">
      <c r="B2555" s="38">
        <v>39056</v>
      </c>
      <c r="C2555" s="3">
        <v>0</v>
      </c>
      <c r="D2555" s="3">
        <v>0</v>
      </c>
      <c r="E2555" s="3">
        <f>C2555 - D2555</f>
        <v>0</v>
      </c>
    </row>
    <row r="2556" spans="2:5" x14ac:dyDescent="0.35">
      <c r="B2556" s="38">
        <v>39057</v>
      </c>
      <c r="C2556" s="3">
        <v>0</v>
      </c>
      <c r="D2556" s="3">
        <v>0</v>
      </c>
      <c r="E2556" s="3">
        <f>C2556 - D2556</f>
        <v>0</v>
      </c>
    </row>
    <row r="2557" spans="2:5" x14ac:dyDescent="0.35">
      <c r="B2557" s="38">
        <v>39058</v>
      </c>
      <c r="C2557" s="3">
        <v>0</v>
      </c>
      <c r="D2557" s="3">
        <v>0</v>
      </c>
      <c r="E2557" s="3">
        <f>C2557 - D2557</f>
        <v>0</v>
      </c>
    </row>
    <row r="2558" spans="2:5" x14ac:dyDescent="0.35">
      <c r="B2558" s="38">
        <v>39059</v>
      </c>
      <c r="C2558" s="3">
        <v>0</v>
      </c>
      <c r="D2558" s="3">
        <v>0</v>
      </c>
      <c r="E2558" s="3">
        <f>C2558 - D2558</f>
        <v>0</v>
      </c>
    </row>
    <row r="2559" spans="2:5" x14ac:dyDescent="0.35">
      <c r="B2559" s="38">
        <v>39060</v>
      </c>
      <c r="C2559" s="3">
        <v>0</v>
      </c>
      <c r="D2559" s="3">
        <v>0</v>
      </c>
      <c r="E2559" s="3">
        <f>C2559 - D2559</f>
        <v>0</v>
      </c>
    </row>
    <row r="2560" spans="2:5" x14ac:dyDescent="0.35">
      <c r="B2560" s="38">
        <v>39061</v>
      </c>
      <c r="C2560" s="3">
        <v>0</v>
      </c>
      <c r="D2560" s="3">
        <v>0</v>
      </c>
      <c r="E2560" s="3">
        <f>C2560 - D2560</f>
        <v>0</v>
      </c>
    </row>
    <row r="2561" spans="2:5" x14ac:dyDescent="0.35">
      <c r="B2561" s="38">
        <v>39062</v>
      </c>
      <c r="C2561" s="3">
        <v>0</v>
      </c>
      <c r="D2561" s="3">
        <v>0</v>
      </c>
      <c r="E2561" s="3">
        <f>C2561 - D2561</f>
        <v>0</v>
      </c>
    </row>
    <row r="2562" spans="2:5" x14ac:dyDescent="0.35">
      <c r="B2562" s="38">
        <v>39063</v>
      </c>
      <c r="C2562" s="3">
        <v>0</v>
      </c>
      <c r="D2562" s="3">
        <v>0</v>
      </c>
      <c r="E2562" s="3">
        <f>C2562 - D2562</f>
        <v>0</v>
      </c>
    </row>
    <row r="2563" spans="2:5" x14ac:dyDescent="0.35">
      <c r="B2563" s="38">
        <v>39064</v>
      </c>
      <c r="C2563" s="3">
        <v>0</v>
      </c>
      <c r="D2563" s="3">
        <v>0</v>
      </c>
      <c r="E2563" s="3">
        <f>C2563 - D2563</f>
        <v>0</v>
      </c>
    </row>
    <row r="2564" spans="2:5" x14ac:dyDescent="0.35">
      <c r="B2564" s="38">
        <v>39065</v>
      </c>
      <c r="C2564" s="3">
        <v>0</v>
      </c>
      <c r="D2564" s="3">
        <v>0</v>
      </c>
      <c r="E2564" s="3">
        <f>C2564 - D2564</f>
        <v>0</v>
      </c>
    </row>
    <row r="2565" spans="2:5" x14ac:dyDescent="0.35">
      <c r="B2565" s="38">
        <v>39066</v>
      </c>
      <c r="C2565" s="3">
        <v>1</v>
      </c>
      <c r="D2565" s="3">
        <v>0</v>
      </c>
      <c r="E2565" s="3">
        <f>C2565 - D2565</f>
        <v>1</v>
      </c>
    </row>
    <row r="2566" spans="2:5" x14ac:dyDescent="0.35">
      <c r="B2566" s="38">
        <v>39067</v>
      </c>
      <c r="C2566" s="3">
        <v>0</v>
      </c>
      <c r="D2566" s="3">
        <v>1</v>
      </c>
      <c r="E2566" s="3">
        <f>C2566 - D2566</f>
        <v>-1</v>
      </c>
    </row>
    <row r="2567" spans="2:5" x14ac:dyDescent="0.35">
      <c r="B2567" s="38">
        <v>39068</v>
      </c>
      <c r="C2567" s="3">
        <v>0</v>
      </c>
      <c r="D2567" s="3">
        <v>0</v>
      </c>
      <c r="E2567" s="3">
        <f>C2567 - D2567</f>
        <v>0</v>
      </c>
    </row>
    <row r="2568" spans="2:5" x14ac:dyDescent="0.35">
      <c r="B2568" s="38">
        <v>39069</v>
      </c>
      <c r="C2568" s="3">
        <v>0</v>
      </c>
      <c r="D2568" s="3">
        <v>0</v>
      </c>
      <c r="E2568" s="3">
        <f>C2568 - D2568</f>
        <v>0</v>
      </c>
    </row>
    <row r="2569" spans="2:5" x14ac:dyDescent="0.35">
      <c r="B2569" s="38">
        <v>39070</v>
      </c>
      <c r="C2569" s="3">
        <v>0</v>
      </c>
      <c r="D2569" s="3">
        <v>0</v>
      </c>
      <c r="E2569" s="3">
        <f>C2569 - D2569</f>
        <v>0</v>
      </c>
    </row>
    <row r="2570" spans="2:5" x14ac:dyDescent="0.35">
      <c r="B2570" s="38">
        <v>39071</v>
      </c>
      <c r="C2570" s="3">
        <v>0</v>
      </c>
      <c r="D2570" s="3">
        <v>0</v>
      </c>
      <c r="E2570" s="3">
        <f>C2570 - D2570</f>
        <v>0</v>
      </c>
    </row>
    <row r="2571" spans="2:5" x14ac:dyDescent="0.35">
      <c r="B2571" s="38">
        <v>39072</v>
      </c>
      <c r="C2571" s="3">
        <v>0</v>
      </c>
      <c r="D2571" s="3">
        <v>0</v>
      </c>
      <c r="E2571" s="3">
        <f>C2571 - D2571</f>
        <v>0</v>
      </c>
    </row>
    <row r="2572" spans="2:5" x14ac:dyDescent="0.35">
      <c r="B2572" s="38">
        <v>39073</v>
      </c>
      <c r="C2572" s="3">
        <v>0</v>
      </c>
      <c r="D2572" s="3">
        <v>0</v>
      </c>
      <c r="E2572" s="3">
        <f>C2572 - D2572</f>
        <v>0</v>
      </c>
    </row>
    <row r="2573" spans="2:5" x14ac:dyDescent="0.35">
      <c r="B2573" s="38">
        <v>39074</v>
      </c>
      <c r="C2573" s="3">
        <v>1</v>
      </c>
      <c r="D2573" s="3">
        <v>0</v>
      </c>
      <c r="E2573" s="3">
        <f>C2573 - D2573</f>
        <v>1</v>
      </c>
    </row>
    <row r="2574" spans="2:5" x14ac:dyDescent="0.35">
      <c r="B2574" s="38">
        <v>39075</v>
      </c>
      <c r="C2574" s="3">
        <v>0</v>
      </c>
      <c r="D2574" s="3">
        <v>1</v>
      </c>
      <c r="E2574" s="3">
        <f>C2574 - D2574</f>
        <v>-1</v>
      </c>
    </row>
    <row r="2575" spans="2:5" x14ac:dyDescent="0.35">
      <c r="B2575" s="38">
        <v>39076</v>
      </c>
      <c r="C2575" s="3">
        <v>1</v>
      </c>
      <c r="D2575" s="3">
        <v>0</v>
      </c>
      <c r="E2575" s="3">
        <f>C2575 - D2575</f>
        <v>1</v>
      </c>
    </row>
    <row r="2576" spans="2:5" x14ac:dyDescent="0.35">
      <c r="B2576" s="38">
        <v>39077</v>
      </c>
      <c r="C2576" s="3">
        <v>1</v>
      </c>
      <c r="D2576" s="3">
        <v>1</v>
      </c>
      <c r="E2576" s="3">
        <f>C2576 - D2576</f>
        <v>0</v>
      </c>
    </row>
    <row r="2577" spans="2:5" x14ac:dyDescent="0.35">
      <c r="B2577" s="38">
        <v>39078</v>
      </c>
      <c r="C2577" s="3">
        <v>1</v>
      </c>
      <c r="D2577" s="3">
        <v>1</v>
      </c>
      <c r="E2577" s="3">
        <f>C2577 - D2577</f>
        <v>0</v>
      </c>
    </row>
    <row r="2578" spans="2:5" x14ac:dyDescent="0.35">
      <c r="B2578" s="38">
        <v>39079</v>
      </c>
      <c r="C2578" s="3">
        <v>0</v>
      </c>
      <c r="D2578" s="3">
        <v>1</v>
      </c>
      <c r="E2578" s="3">
        <f>C2578 - D2578</f>
        <v>-1</v>
      </c>
    </row>
    <row r="2579" spans="2:5" x14ac:dyDescent="0.35">
      <c r="B2579" s="38">
        <v>39080</v>
      </c>
      <c r="C2579" s="3">
        <v>0</v>
      </c>
      <c r="D2579" s="3">
        <v>0</v>
      </c>
      <c r="E2579" s="3">
        <f>C2579 - D2579</f>
        <v>0</v>
      </c>
    </row>
    <row r="2580" spans="2:5" x14ac:dyDescent="0.35">
      <c r="B2580" s="38">
        <v>39081</v>
      </c>
      <c r="C2580" s="3">
        <v>0</v>
      </c>
      <c r="D2580" s="3">
        <v>0</v>
      </c>
      <c r="E2580" s="3">
        <f>C2580 - D2580</f>
        <v>0</v>
      </c>
    </row>
    <row r="2581" spans="2:5" x14ac:dyDescent="0.35">
      <c r="B2581" s="38">
        <v>39082</v>
      </c>
      <c r="C2581" s="3">
        <v>0</v>
      </c>
      <c r="D2581" s="3">
        <v>0</v>
      </c>
      <c r="E2581" s="3">
        <f>C2581 - D2581</f>
        <v>0</v>
      </c>
    </row>
    <row r="2582" spans="2:5" x14ac:dyDescent="0.35">
      <c r="B2582" s="38">
        <v>39083</v>
      </c>
      <c r="C2582" s="3">
        <v>1</v>
      </c>
      <c r="D2582" s="3">
        <v>0</v>
      </c>
      <c r="E2582" s="3">
        <f>C2582 - D2582</f>
        <v>1</v>
      </c>
    </row>
    <row r="2583" spans="2:5" x14ac:dyDescent="0.35">
      <c r="B2583" s="38">
        <v>39084</v>
      </c>
      <c r="C2583" s="3">
        <v>1</v>
      </c>
      <c r="D2583" s="3">
        <v>1</v>
      </c>
      <c r="E2583" s="3">
        <f>C2583 - D2583</f>
        <v>0</v>
      </c>
    </row>
    <row r="2584" spans="2:5" x14ac:dyDescent="0.35">
      <c r="B2584" s="38">
        <v>39085</v>
      </c>
      <c r="C2584" s="3">
        <v>0</v>
      </c>
      <c r="D2584" s="3">
        <v>1</v>
      </c>
      <c r="E2584" s="3">
        <f>C2584 - D2584</f>
        <v>-1</v>
      </c>
    </row>
    <row r="2585" spans="2:5" x14ac:dyDescent="0.35">
      <c r="B2585" s="38">
        <v>39086</v>
      </c>
      <c r="C2585" s="3">
        <v>0</v>
      </c>
      <c r="D2585" s="3">
        <v>0</v>
      </c>
      <c r="E2585" s="3">
        <f>C2585 - D2585</f>
        <v>0</v>
      </c>
    </row>
    <row r="2586" spans="2:5" x14ac:dyDescent="0.35">
      <c r="B2586" s="38">
        <v>39087</v>
      </c>
      <c r="C2586" s="3">
        <v>0</v>
      </c>
      <c r="D2586" s="3">
        <v>0</v>
      </c>
      <c r="E2586" s="3">
        <f>C2586 - D2586</f>
        <v>0</v>
      </c>
    </row>
    <row r="2587" spans="2:5" x14ac:dyDescent="0.35">
      <c r="B2587" s="38">
        <v>39088</v>
      </c>
      <c r="C2587" s="3">
        <v>0</v>
      </c>
      <c r="D2587" s="3">
        <v>0</v>
      </c>
      <c r="E2587" s="3">
        <f>C2587 - D2587</f>
        <v>0</v>
      </c>
    </row>
    <row r="2588" spans="2:5" x14ac:dyDescent="0.35">
      <c r="B2588" s="38">
        <v>39089</v>
      </c>
      <c r="C2588" s="3">
        <v>0</v>
      </c>
      <c r="D2588" s="3">
        <v>0</v>
      </c>
      <c r="E2588" s="3">
        <f>C2588 - D2588</f>
        <v>0</v>
      </c>
    </row>
    <row r="2589" spans="2:5" x14ac:dyDescent="0.35">
      <c r="B2589" s="38">
        <v>39090</v>
      </c>
      <c r="C2589" s="3">
        <v>1</v>
      </c>
      <c r="D2589" s="3">
        <v>0</v>
      </c>
      <c r="E2589" s="3">
        <f>C2589 - D2589</f>
        <v>1</v>
      </c>
    </row>
    <row r="2590" spans="2:5" x14ac:dyDescent="0.35">
      <c r="B2590" s="38">
        <v>39091</v>
      </c>
      <c r="C2590" s="3">
        <v>0</v>
      </c>
      <c r="D2590" s="3">
        <v>1</v>
      </c>
      <c r="E2590" s="3">
        <f>C2590 - D2590</f>
        <v>-1</v>
      </c>
    </row>
    <row r="2591" spans="2:5" x14ac:dyDescent="0.35">
      <c r="B2591" s="38">
        <v>39092</v>
      </c>
      <c r="C2591" s="3">
        <v>0</v>
      </c>
      <c r="D2591" s="3">
        <v>0</v>
      </c>
      <c r="E2591" s="3">
        <f>C2591 - D2591</f>
        <v>0</v>
      </c>
    </row>
    <row r="2592" spans="2:5" x14ac:dyDescent="0.35">
      <c r="B2592" s="38">
        <v>39093</v>
      </c>
      <c r="C2592" s="3">
        <v>0</v>
      </c>
      <c r="D2592" s="3">
        <v>0</v>
      </c>
      <c r="E2592" s="3">
        <f>C2592 - D2592</f>
        <v>0</v>
      </c>
    </row>
    <row r="2593" spans="2:5" x14ac:dyDescent="0.35">
      <c r="B2593" s="38">
        <v>39094</v>
      </c>
      <c r="C2593" s="3">
        <v>0</v>
      </c>
      <c r="D2593" s="3">
        <v>0</v>
      </c>
      <c r="E2593" s="3">
        <f>C2593 - D2593</f>
        <v>0</v>
      </c>
    </row>
    <row r="2594" spans="2:5" x14ac:dyDescent="0.35">
      <c r="B2594" s="38">
        <v>39095</v>
      </c>
      <c r="C2594" s="3">
        <v>0</v>
      </c>
      <c r="D2594" s="3">
        <v>0</v>
      </c>
      <c r="E2594" s="3">
        <f>C2594 - D2594</f>
        <v>0</v>
      </c>
    </row>
    <row r="2595" spans="2:5" x14ac:dyDescent="0.35">
      <c r="B2595" s="38">
        <v>39096</v>
      </c>
      <c r="C2595" s="3">
        <v>0</v>
      </c>
      <c r="D2595" s="3">
        <v>0</v>
      </c>
      <c r="E2595" s="3">
        <f>C2595 - D2595</f>
        <v>0</v>
      </c>
    </row>
    <row r="2596" spans="2:5" x14ac:dyDescent="0.35">
      <c r="B2596" s="38">
        <v>39097</v>
      </c>
      <c r="C2596" s="3">
        <v>0</v>
      </c>
      <c r="D2596" s="3">
        <v>0</v>
      </c>
      <c r="E2596" s="3">
        <f>C2596 - D2596</f>
        <v>0</v>
      </c>
    </row>
    <row r="2597" spans="2:5" x14ac:dyDescent="0.35">
      <c r="B2597" s="38">
        <v>39098</v>
      </c>
      <c r="C2597" s="3">
        <v>0</v>
      </c>
      <c r="D2597" s="3">
        <v>0</v>
      </c>
      <c r="E2597" s="3">
        <f>C2597 - D2597</f>
        <v>0</v>
      </c>
    </row>
    <row r="2598" spans="2:5" x14ac:dyDescent="0.35">
      <c r="B2598" s="38">
        <v>39099</v>
      </c>
      <c r="C2598" s="3">
        <v>0</v>
      </c>
      <c r="D2598" s="3">
        <v>0</v>
      </c>
      <c r="E2598" s="3">
        <f>C2598 - D2598</f>
        <v>0</v>
      </c>
    </row>
    <row r="2599" spans="2:5" x14ac:dyDescent="0.35">
      <c r="B2599" s="38">
        <v>39100</v>
      </c>
      <c r="C2599" s="3">
        <v>0</v>
      </c>
      <c r="D2599" s="3">
        <v>0</v>
      </c>
      <c r="E2599" s="3">
        <f>C2599 - D2599</f>
        <v>0</v>
      </c>
    </row>
    <row r="2600" spans="2:5" x14ac:dyDescent="0.35">
      <c r="B2600" s="38">
        <v>39101</v>
      </c>
      <c r="C2600" s="3">
        <v>1</v>
      </c>
      <c r="D2600" s="3">
        <v>0</v>
      </c>
      <c r="E2600" s="3">
        <f>C2600 - D2600</f>
        <v>1</v>
      </c>
    </row>
    <row r="2601" spans="2:5" x14ac:dyDescent="0.35">
      <c r="B2601" s="38">
        <v>39102</v>
      </c>
      <c r="C2601" s="3">
        <v>1</v>
      </c>
      <c r="D2601" s="3">
        <v>1</v>
      </c>
      <c r="E2601" s="3">
        <f>C2601 - D2601</f>
        <v>0</v>
      </c>
    </row>
    <row r="2602" spans="2:5" x14ac:dyDescent="0.35">
      <c r="B2602" s="38">
        <v>39103</v>
      </c>
      <c r="C2602" s="3">
        <v>1</v>
      </c>
      <c r="D2602" s="3">
        <v>1</v>
      </c>
      <c r="E2602" s="3">
        <f>C2602 - D2602</f>
        <v>0</v>
      </c>
    </row>
    <row r="2603" spans="2:5" x14ac:dyDescent="0.35">
      <c r="B2603" s="38">
        <v>39104</v>
      </c>
      <c r="C2603" s="3">
        <v>1</v>
      </c>
      <c r="D2603" s="3">
        <v>1</v>
      </c>
      <c r="E2603" s="3">
        <f>C2603 - D2603</f>
        <v>0</v>
      </c>
    </row>
    <row r="2604" spans="2:5" x14ac:dyDescent="0.35">
      <c r="B2604" s="38">
        <v>39105</v>
      </c>
      <c r="C2604" s="3">
        <v>0</v>
      </c>
      <c r="D2604" s="3">
        <v>1</v>
      </c>
      <c r="E2604" s="3">
        <f>C2604 - D2604</f>
        <v>-1</v>
      </c>
    </row>
    <row r="2605" spans="2:5" x14ac:dyDescent="0.35">
      <c r="B2605" s="38">
        <v>39106</v>
      </c>
      <c r="C2605" s="3">
        <v>0</v>
      </c>
      <c r="D2605" s="3">
        <v>0</v>
      </c>
      <c r="E2605" s="3">
        <f>C2605 - D2605</f>
        <v>0</v>
      </c>
    </row>
    <row r="2606" spans="2:5" x14ac:dyDescent="0.35">
      <c r="B2606" s="38">
        <v>39107</v>
      </c>
      <c r="C2606" s="3">
        <v>0</v>
      </c>
      <c r="D2606" s="3">
        <v>0</v>
      </c>
      <c r="E2606" s="3">
        <f>C2606 - D2606</f>
        <v>0</v>
      </c>
    </row>
    <row r="2607" spans="2:5" x14ac:dyDescent="0.35">
      <c r="B2607" s="38">
        <v>39108</v>
      </c>
      <c r="C2607" s="3">
        <v>0</v>
      </c>
      <c r="D2607" s="3">
        <v>0</v>
      </c>
      <c r="E2607" s="3">
        <f>C2607 - D2607</f>
        <v>0</v>
      </c>
    </row>
    <row r="2608" spans="2:5" x14ac:dyDescent="0.35">
      <c r="B2608" s="38">
        <v>39109</v>
      </c>
      <c r="C2608" s="3">
        <v>1</v>
      </c>
      <c r="D2608" s="3">
        <v>0</v>
      </c>
      <c r="E2608" s="3">
        <f>C2608 - D2608</f>
        <v>1</v>
      </c>
    </row>
    <row r="2609" spans="2:5" x14ac:dyDescent="0.35">
      <c r="B2609" s="38">
        <v>39110</v>
      </c>
      <c r="C2609" s="3">
        <v>1</v>
      </c>
      <c r="D2609" s="3">
        <v>1</v>
      </c>
      <c r="E2609" s="3">
        <f>C2609 - D2609</f>
        <v>0</v>
      </c>
    </row>
    <row r="2610" spans="2:5" x14ac:dyDescent="0.35">
      <c r="B2610" s="38">
        <v>39111</v>
      </c>
      <c r="C2610" s="3">
        <v>0</v>
      </c>
      <c r="D2610" s="3">
        <v>1</v>
      </c>
      <c r="E2610" s="3">
        <f>C2610 - D2610</f>
        <v>-1</v>
      </c>
    </row>
    <row r="2611" spans="2:5" x14ac:dyDescent="0.35">
      <c r="B2611" s="38">
        <v>39112</v>
      </c>
      <c r="C2611" s="3">
        <v>0</v>
      </c>
      <c r="D2611" s="3">
        <v>0</v>
      </c>
      <c r="E2611" s="3">
        <f>C2611 - D2611</f>
        <v>0</v>
      </c>
    </row>
    <row r="2612" spans="2:5" x14ac:dyDescent="0.35">
      <c r="B2612" s="38">
        <v>39113</v>
      </c>
      <c r="C2612" s="3">
        <v>1</v>
      </c>
      <c r="D2612" s="3">
        <v>0</v>
      </c>
      <c r="E2612" s="3">
        <f>C2612 - D2612</f>
        <v>1</v>
      </c>
    </row>
    <row r="2613" spans="2:5" x14ac:dyDescent="0.35">
      <c r="B2613" s="38">
        <v>39114</v>
      </c>
      <c r="C2613" s="3">
        <v>0</v>
      </c>
      <c r="D2613" s="3">
        <v>1</v>
      </c>
      <c r="E2613" s="3">
        <f>C2613 - D2613</f>
        <v>-1</v>
      </c>
    </row>
    <row r="2614" spans="2:5" x14ac:dyDescent="0.35">
      <c r="B2614" s="38">
        <v>39115</v>
      </c>
      <c r="C2614" s="3">
        <v>0</v>
      </c>
      <c r="D2614" s="3">
        <v>0</v>
      </c>
      <c r="E2614" s="3">
        <f>C2614 - D2614</f>
        <v>0</v>
      </c>
    </row>
    <row r="2615" spans="2:5" x14ac:dyDescent="0.35">
      <c r="B2615" s="38">
        <v>39116</v>
      </c>
      <c r="C2615" s="3">
        <v>0</v>
      </c>
      <c r="D2615" s="3">
        <v>0</v>
      </c>
      <c r="E2615" s="3">
        <f>C2615 - D2615</f>
        <v>0</v>
      </c>
    </row>
    <row r="2616" spans="2:5" x14ac:dyDescent="0.35">
      <c r="B2616" s="38">
        <v>39117</v>
      </c>
      <c r="C2616" s="3">
        <v>0</v>
      </c>
      <c r="D2616" s="3">
        <v>0</v>
      </c>
      <c r="E2616" s="3">
        <f>C2616 - D2616</f>
        <v>0</v>
      </c>
    </row>
    <row r="2617" spans="2:5" x14ac:dyDescent="0.35">
      <c r="B2617" s="38">
        <v>39118</v>
      </c>
      <c r="C2617" s="3">
        <v>0</v>
      </c>
      <c r="D2617" s="3">
        <v>0</v>
      </c>
      <c r="E2617" s="3">
        <f>C2617 - D2617</f>
        <v>0</v>
      </c>
    </row>
    <row r="2618" spans="2:5" x14ac:dyDescent="0.35">
      <c r="B2618" s="38">
        <v>39119</v>
      </c>
      <c r="C2618" s="3">
        <v>0</v>
      </c>
      <c r="D2618" s="3">
        <v>0</v>
      </c>
      <c r="E2618" s="3">
        <f>C2618 - D2618</f>
        <v>0</v>
      </c>
    </row>
    <row r="2619" spans="2:5" x14ac:dyDescent="0.35">
      <c r="B2619" s="38">
        <v>39120</v>
      </c>
      <c r="C2619" s="3">
        <v>0</v>
      </c>
      <c r="D2619" s="3">
        <v>0</v>
      </c>
      <c r="E2619" s="3">
        <f>C2619 - D2619</f>
        <v>0</v>
      </c>
    </row>
    <row r="2620" spans="2:5" x14ac:dyDescent="0.35">
      <c r="B2620" s="38">
        <v>39121</v>
      </c>
      <c r="C2620" s="3">
        <v>0</v>
      </c>
      <c r="D2620" s="3">
        <v>0</v>
      </c>
      <c r="E2620" s="3">
        <f>C2620 - D2620</f>
        <v>0</v>
      </c>
    </row>
    <row r="2621" spans="2:5" x14ac:dyDescent="0.35">
      <c r="B2621" s="38">
        <v>39122</v>
      </c>
      <c r="C2621" s="3">
        <v>0</v>
      </c>
      <c r="D2621" s="3">
        <v>0</v>
      </c>
      <c r="E2621" s="3">
        <f>C2621 - D2621</f>
        <v>0</v>
      </c>
    </row>
    <row r="2622" spans="2:5" x14ac:dyDescent="0.35">
      <c r="B2622" s="38">
        <v>39123</v>
      </c>
      <c r="C2622" s="3">
        <v>0</v>
      </c>
      <c r="D2622" s="3">
        <v>0</v>
      </c>
      <c r="E2622" s="3">
        <f>C2622 - D2622</f>
        <v>0</v>
      </c>
    </row>
    <row r="2623" spans="2:5" x14ac:dyDescent="0.35">
      <c r="B2623" s="38">
        <v>39124</v>
      </c>
      <c r="C2623" s="3">
        <v>1</v>
      </c>
      <c r="D2623" s="3">
        <v>0</v>
      </c>
      <c r="E2623" s="3">
        <f>C2623 - D2623</f>
        <v>1</v>
      </c>
    </row>
    <row r="2624" spans="2:5" x14ac:dyDescent="0.35">
      <c r="B2624" s="38">
        <v>39125</v>
      </c>
      <c r="C2624" s="3">
        <v>0</v>
      </c>
      <c r="D2624" s="3">
        <v>1</v>
      </c>
      <c r="E2624" s="3">
        <f>C2624 - D2624</f>
        <v>-1</v>
      </c>
    </row>
    <row r="2625" spans="2:5" x14ac:dyDescent="0.35">
      <c r="B2625" s="38">
        <v>39126</v>
      </c>
      <c r="C2625" s="3">
        <v>0</v>
      </c>
      <c r="D2625" s="3">
        <v>0</v>
      </c>
      <c r="E2625" s="3">
        <f>C2625 - D2625</f>
        <v>0</v>
      </c>
    </row>
    <row r="2626" spans="2:5" x14ac:dyDescent="0.35">
      <c r="B2626" s="38">
        <v>39127</v>
      </c>
      <c r="C2626" s="3">
        <v>1</v>
      </c>
      <c r="D2626" s="3">
        <v>0</v>
      </c>
      <c r="E2626" s="3">
        <f>C2626 - D2626</f>
        <v>1</v>
      </c>
    </row>
    <row r="2627" spans="2:5" x14ac:dyDescent="0.35">
      <c r="B2627" s="38">
        <v>39128</v>
      </c>
      <c r="C2627" s="3">
        <v>0</v>
      </c>
      <c r="D2627" s="3">
        <v>1</v>
      </c>
      <c r="E2627" s="3">
        <f>C2627 - D2627</f>
        <v>-1</v>
      </c>
    </row>
    <row r="2628" spans="2:5" x14ac:dyDescent="0.35">
      <c r="B2628" s="38">
        <v>39129</v>
      </c>
      <c r="C2628" s="3">
        <v>0</v>
      </c>
      <c r="D2628" s="3">
        <v>0</v>
      </c>
      <c r="E2628" s="3">
        <f>C2628 - D2628</f>
        <v>0</v>
      </c>
    </row>
    <row r="2629" spans="2:5" x14ac:dyDescent="0.35">
      <c r="B2629" s="38">
        <v>39130</v>
      </c>
      <c r="C2629" s="3">
        <v>0</v>
      </c>
      <c r="D2629" s="3">
        <v>0</v>
      </c>
      <c r="E2629" s="3">
        <f>C2629 - D2629</f>
        <v>0</v>
      </c>
    </row>
    <row r="2630" spans="2:5" x14ac:dyDescent="0.35">
      <c r="B2630" s="38">
        <v>39131</v>
      </c>
      <c r="C2630" s="3">
        <v>0</v>
      </c>
      <c r="D2630" s="3">
        <v>0</v>
      </c>
      <c r="E2630" s="3">
        <f>C2630 - D2630</f>
        <v>0</v>
      </c>
    </row>
    <row r="2631" spans="2:5" x14ac:dyDescent="0.35">
      <c r="B2631" s="38">
        <v>39132</v>
      </c>
      <c r="C2631" s="3">
        <v>1</v>
      </c>
      <c r="D2631" s="3">
        <v>0</v>
      </c>
      <c r="E2631" s="3">
        <f>C2631 - D2631</f>
        <v>1</v>
      </c>
    </row>
    <row r="2632" spans="2:5" x14ac:dyDescent="0.35">
      <c r="B2632" s="38">
        <v>39133</v>
      </c>
      <c r="C2632" s="3">
        <v>0</v>
      </c>
      <c r="D2632" s="3">
        <v>1</v>
      </c>
      <c r="E2632" s="3">
        <f>C2632 - D2632</f>
        <v>-1</v>
      </c>
    </row>
    <row r="2633" spans="2:5" x14ac:dyDescent="0.35">
      <c r="B2633" s="38">
        <v>39134</v>
      </c>
      <c r="C2633" s="3">
        <v>0</v>
      </c>
      <c r="D2633" s="3">
        <v>0</v>
      </c>
      <c r="E2633" s="3">
        <f>C2633 - D2633</f>
        <v>0</v>
      </c>
    </row>
    <row r="2634" spans="2:5" x14ac:dyDescent="0.35">
      <c r="B2634" s="38">
        <v>39135</v>
      </c>
      <c r="C2634" s="3">
        <v>0</v>
      </c>
      <c r="D2634" s="3">
        <v>0</v>
      </c>
      <c r="E2634" s="3">
        <f>C2634 - D2634</f>
        <v>0</v>
      </c>
    </row>
    <row r="2635" spans="2:5" x14ac:dyDescent="0.35">
      <c r="B2635" s="38">
        <v>39136</v>
      </c>
      <c r="C2635" s="3">
        <v>0</v>
      </c>
      <c r="D2635" s="3">
        <v>0</v>
      </c>
      <c r="E2635" s="3">
        <f>C2635 - D2635</f>
        <v>0</v>
      </c>
    </row>
    <row r="2636" spans="2:5" x14ac:dyDescent="0.35">
      <c r="B2636" s="38">
        <v>39137</v>
      </c>
      <c r="C2636" s="3">
        <v>1</v>
      </c>
      <c r="D2636" s="3">
        <v>0</v>
      </c>
      <c r="E2636" s="3">
        <f>C2636 - D2636</f>
        <v>1</v>
      </c>
    </row>
    <row r="2637" spans="2:5" x14ac:dyDescent="0.35">
      <c r="B2637" s="38">
        <v>39138</v>
      </c>
      <c r="C2637" s="3">
        <v>0</v>
      </c>
      <c r="D2637" s="3">
        <v>1</v>
      </c>
      <c r="E2637" s="3">
        <f>C2637 - D2637</f>
        <v>-1</v>
      </c>
    </row>
    <row r="2638" spans="2:5" x14ac:dyDescent="0.35">
      <c r="B2638" s="38">
        <v>39139</v>
      </c>
      <c r="C2638" s="3">
        <v>0</v>
      </c>
      <c r="D2638" s="3">
        <v>0</v>
      </c>
      <c r="E2638" s="3">
        <f>C2638 - D2638</f>
        <v>0</v>
      </c>
    </row>
    <row r="2639" spans="2:5" x14ac:dyDescent="0.35">
      <c r="B2639" s="38">
        <v>39140</v>
      </c>
      <c r="C2639" s="3">
        <v>0</v>
      </c>
      <c r="D2639" s="3">
        <v>0</v>
      </c>
      <c r="E2639" s="3">
        <f>C2639 - D2639</f>
        <v>0</v>
      </c>
    </row>
    <row r="2640" spans="2:5" x14ac:dyDescent="0.35">
      <c r="B2640" s="38">
        <v>39141</v>
      </c>
      <c r="C2640" s="3">
        <v>1</v>
      </c>
      <c r="D2640" s="3">
        <v>0</v>
      </c>
      <c r="E2640" s="3">
        <f>C2640 - D2640</f>
        <v>1</v>
      </c>
    </row>
    <row r="2641" spans="2:5" x14ac:dyDescent="0.35">
      <c r="B2641" s="38">
        <v>39142</v>
      </c>
      <c r="C2641" s="3">
        <v>0</v>
      </c>
      <c r="D2641" s="3">
        <v>1</v>
      </c>
      <c r="E2641" s="3">
        <f>C2641 - D2641</f>
        <v>-1</v>
      </c>
    </row>
    <row r="2642" spans="2:5" x14ac:dyDescent="0.35">
      <c r="B2642" s="38">
        <v>39143</v>
      </c>
      <c r="C2642" s="3">
        <v>0</v>
      </c>
      <c r="D2642" s="3">
        <v>0</v>
      </c>
      <c r="E2642" s="3">
        <f>C2642 - D2642</f>
        <v>0</v>
      </c>
    </row>
    <row r="2643" spans="2:5" x14ac:dyDescent="0.35">
      <c r="B2643" s="38">
        <v>39144</v>
      </c>
      <c r="C2643" s="3">
        <v>0</v>
      </c>
      <c r="D2643" s="3">
        <v>0</v>
      </c>
      <c r="E2643" s="3">
        <f>C2643 - D2643</f>
        <v>0</v>
      </c>
    </row>
    <row r="2644" spans="2:5" x14ac:dyDescent="0.35">
      <c r="B2644" s="38">
        <v>39145</v>
      </c>
      <c r="C2644" s="3">
        <v>1</v>
      </c>
      <c r="D2644" s="3">
        <v>0</v>
      </c>
      <c r="E2644" s="3">
        <f>C2644 - D2644</f>
        <v>1</v>
      </c>
    </row>
    <row r="2645" spans="2:5" x14ac:dyDescent="0.35">
      <c r="B2645" s="38">
        <v>39146</v>
      </c>
      <c r="C2645" s="3">
        <v>0</v>
      </c>
      <c r="D2645" s="3">
        <v>1</v>
      </c>
      <c r="E2645" s="3">
        <f>C2645 - D2645</f>
        <v>-1</v>
      </c>
    </row>
    <row r="2646" spans="2:5" x14ac:dyDescent="0.35">
      <c r="B2646" s="38">
        <v>39147</v>
      </c>
      <c r="C2646" s="3">
        <v>0</v>
      </c>
      <c r="D2646" s="3">
        <v>0</v>
      </c>
      <c r="E2646" s="3">
        <f>C2646 - D2646</f>
        <v>0</v>
      </c>
    </row>
    <row r="2647" spans="2:5" x14ac:dyDescent="0.35">
      <c r="B2647" s="38">
        <v>39148</v>
      </c>
      <c r="C2647" s="3">
        <v>0</v>
      </c>
      <c r="D2647" s="3">
        <v>0</v>
      </c>
      <c r="E2647" s="3">
        <f>C2647 - D2647</f>
        <v>0</v>
      </c>
    </row>
    <row r="2648" spans="2:5" x14ac:dyDescent="0.35">
      <c r="B2648" s="38">
        <v>39149</v>
      </c>
      <c r="C2648" s="3">
        <v>0</v>
      </c>
      <c r="D2648" s="3">
        <v>0</v>
      </c>
      <c r="E2648" s="3">
        <f>C2648 - D2648</f>
        <v>0</v>
      </c>
    </row>
    <row r="2649" spans="2:5" x14ac:dyDescent="0.35">
      <c r="B2649" s="38">
        <v>39150</v>
      </c>
      <c r="C2649" s="3">
        <v>0</v>
      </c>
      <c r="D2649" s="3">
        <v>0</v>
      </c>
      <c r="E2649" s="3">
        <f>C2649 - D2649</f>
        <v>0</v>
      </c>
    </row>
    <row r="2650" spans="2:5" x14ac:dyDescent="0.35">
      <c r="B2650" s="38">
        <v>39151</v>
      </c>
      <c r="C2650" s="3">
        <v>0</v>
      </c>
      <c r="D2650" s="3">
        <v>0</v>
      </c>
      <c r="E2650" s="3">
        <f>C2650 - D2650</f>
        <v>0</v>
      </c>
    </row>
    <row r="2651" spans="2:5" x14ac:dyDescent="0.35">
      <c r="B2651" s="38">
        <v>39152</v>
      </c>
      <c r="C2651" s="3">
        <v>0</v>
      </c>
      <c r="D2651" s="3">
        <v>0</v>
      </c>
      <c r="E2651" s="3">
        <f>C2651 - D2651</f>
        <v>0</v>
      </c>
    </row>
    <row r="2652" spans="2:5" x14ac:dyDescent="0.35">
      <c r="B2652" s="38">
        <v>39153</v>
      </c>
      <c r="C2652" s="3">
        <v>0</v>
      </c>
      <c r="D2652" s="3">
        <v>0</v>
      </c>
      <c r="E2652" s="3">
        <f>C2652 - D2652</f>
        <v>0</v>
      </c>
    </row>
    <row r="2653" spans="2:5" x14ac:dyDescent="0.35">
      <c r="B2653" s="38">
        <v>39154</v>
      </c>
      <c r="C2653" s="3">
        <v>0</v>
      </c>
      <c r="D2653" s="3">
        <v>0</v>
      </c>
      <c r="E2653" s="3">
        <f>C2653 - D2653</f>
        <v>0</v>
      </c>
    </row>
    <row r="2654" spans="2:5" x14ac:dyDescent="0.35">
      <c r="B2654" s="38">
        <v>39155</v>
      </c>
      <c r="C2654" s="3">
        <v>0</v>
      </c>
      <c r="D2654" s="3">
        <v>0</v>
      </c>
      <c r="E2654" s="3">
        <f>C2654 - D2654</f>
        <v>0</v>
      </c>
    </row>
    <row r="2655" spans="2:5" x14ac:dyDescent="0.35">
      <c r="B2655" s="38">
        <v>39156</v>
      </c>
      <c r="C2655" s="3">
        <v>0</v>
      </c>
      <c r="D2655" s="3">
        <v>0</v>
      </c>
      <c r="E2655" s="3">
        <f>C2655 - D2655</f>
        <v>0</v>
      </c>
    </row>
    <row r="2656" spans="2:5" x14ac:dyDescent="0.35">
      <c r="B2656" s="38">
        <v>39157</v>
      </c>
      <c r="C2656" s="3">
        <v>1</v>
      </c>
      <c r="D2656" s="3">
        <v>0</v>
      </c>
      <c r="E2656" s="3">
        <f>C2656 - D2656</f>
        <v>1</v>
      </c>
    </row>
    <row r="2657" spans="2:5" x14ac:dyDescent="0.35">
      <c r="B2657" s="38">
        <v>39158</v>
      </c>
      <c r="C2657" s="3">
        <v>1</v>
      </c>
      <c r="D2657" s="3">
        <v>1</v>
      </c>
      <c r="E2657" s="3">
        <f>C2657 - D2657</f>
        <v>0</v>
      </c>
    </row>
    <row r="2658" spans="2:5" x14ac:dyDescent="0.35">
      <c r="B2658" s="38">
        <v>39159</v>
      </c>
      <c r="C2658" s="3">
        <v>0</v>
      </c>
      <c r="D2658" s="3">
        <v>1</v>
      </c>
      <c r="E2658" s="3">
        <f>C2658 - D2658</f>
        <v>-1</v>
      </c>
    </row>
    <row r="2659" spans="2:5" x14ac:dyDescent="0.35">
      <c r="B2659" s="38">
        <v>39160</v>
      </c>
      <c r="C2659" s="3">
        <v>0</v>
      </c>
      <c r="D2659" s="3">
        <v>0</v>
      </c>
      <c r="E2659" s="3">
        <f>C2659 - D2659</f>
        <v>0</v>
      </c>
    </row>
    <row r="2660" spans="2:5" x14ac:dyDescent="0.35">
      <c r="B2660" s="38">
        <v>39161</v>
      </c>
      <c r="C2660" s="3">
        <v>1</v>
      </c>
      <c r="D2660" s="3">
        <v>0</v>
      </c>
      <c r="E2660" s="3">
        <f>C2660 - D2660</f>
        <v>1</v>
      </c>
    </row>
    <row r="2661" spans="2:5" x14ac:dyDescent="0.35">
      <c r="B2661" s="38">
        <v>39162</v>
      </c>
      <c r="C2661" s="3">
        <v>1</v>
      </c>
      <c r="D2661" s="3">
        <v>1</v>
      </c>
      <c r="E2661" s="3">
        <f>C2661 - D2661</f>
        <v>0</v>
      </c>
    </row>
    <row r="2662" spans="2:5" x14ac:dyDescent="0.35">
      <c r="B2662" s="38">
        <v>39163</v>
      </c>
      <c r="C2662" s="3">
        <v>0</v>
      </c>
      <c r="D2662" s="3">
        <v>1</v>
      </c>
      <c r="E2662" s="3">
        <f>C2662 - D2662</f>
        <v>-1</v>
      </c>
    </row>
    <row r="2663" spans="2:5" x14ac:dyDescent="0.35">
      <c r="B2663" s="38">
        <v>39164</v>
      </c>
      <c r="C2663" s="3">
        <v>0</v>
      </c>
      <c r="D2663" s="3">
        <v>0</v>
      </c>
      <c r="E2663" s="3">
        <f>C2663 - D2663</f>
        <v>0</v>
      </c>
    </row>
    <row r="2664" spans="2:5" x14ac:dyDescent="0.35">
      <c r="B2664" s="38">
        <v>39165</v>
      </c>
      <c r="C2664" s="3">
        <v>1</v>
      </c>
      <c r="D2664" s="3">
        <v>0</v>
      </c>
      <c r="E2664" s="3">
        <f>C2664 - D2664</f>
        <v>1</v>
      </c>
    </row>
    <row r="2665" spans="2:5" x14ac:dyDescent="0.35">
      <c r="B2665" s="38">
        <v>39166</v>
      </c>
      <c r="C2665" s="3">
        <v>1</v>
      </c>
      <c r="D2665" s="3">
        <v>1</v>
      </c>
      <c r="E2665" s="3">
        <f>C2665 - D2665</f>
        <v>0</v>
      </c>
    </row>
    <row r="2666" spans="2:5" x14ac:dyDescent="0.35">
      <c r="B2666" s="38">
        <v>39167</v>
      </c>
      <c r="C2666" s="3">
        <v>0</v>
      </c>
      <c r="D2666" s="3">
        <v>1</v>
      </c>
      <c r="E2666" s="3">
        <f>C2666 - D2666</f>
        <v>-1</v>
      </c>
    </row>
    <row r="2667" spans="2:5" x14ac:dyDescent="0.35">
      <c r="B2667" s="38">
        <v>39168</v>
      </c>
      <c r="C2667" s="3">
        <v>0</v>
      </c>
      <c r="D2667" s="3">
        <v>0</v>
      </c>
      <c r="E2667" s="3">
        <f>C2667 - D2667</f>
        <v>0</v>
      </c>
    </row>
    <row r="2668" spans="2:5" x14ac:dyDescent="0.35">
      <c r="B2668" s="38">
        <v>39169</v>
      </c>
      <c r="C2668" s="3">
        <v>0</v>
      </c>
      <c r="D2668" s="3">
        <v>0</v>
      </c>
      <c r="E2668" s="3">
        <f>C2668 - D2668</f>
        <v>0</v>
      </c>
    </row>
    <row r="2669" spans="2:5" x14ac:dyDescent="0.35">
      <c r="B2669" s="38">
        <v>39170</v>
      </c>
      <c r="C2669" s="3">
        <v>1</v>
      </c>
      <c r="D2669" s="3">
        <v>0</v>
      </c>
      <c r="E2669" s="3">
        <f>C2669 - D2669</f>
        <v>1</v>
      </c>
    </row>
    <row r="2670" spans="2:5" x14ac:dyDescent="0.35">
      <c r="B2670" s="38">
        <v>39171</v>
      </c>
      <c r="C2670" s="3">
        <v>1</v>
      </c>
      <c r="D2670" s="3">
        <v>1</v>
      </c>
      <c r="E2670" s="3">
        <f>C2670 - D2670</f>
        <v>0</v>
      </c>
    </row>
    <row r="2671" spans="2:5" x14ac:dyDescent="0.35">
      <c r="B2671" s="38">
        <v>39172</v>
      </c>
      <c r="C2671" s="3">
        <v>1</v>
      </c>
      <c r="D2671" s="3">
        <v>1</v>
      </c>
      <c r="E2671" s="3">
        <f>C2671 - D2671</f>
        <v>0</v>
      </c>
    </row>
    <row r="2672" spans="2:5" x14ac:dyDescent="0.35">
      <c r="B2672" s="38">
        <v>39173</v>
      </c>
      <c r="C2672" s="3">
        <v>1</v>
      </c>
      <c r="D2672" s="3">
        <v>1</v>
      </c>
      <c r="E2672" s="3">
        <f>C2672 - D2672</f>
        <v>0</v>
      </c>
    </row>
    <row r="2673" spans="2:5" x14ac:dyDescent="0.35">
      <c r="B2673" s="38">
        <v>39174</v>
      </c>
      <c r="C2673" s="3">
        <v>0</v>
      </c>
      <c r="D2673" s="3">
        <v>1</v>
      </c>
      <c r="E2673" s="3">
        <f>C2673 - D2673</f>
        <v>-1</v>
      </c>
    </row>
    <row r="2674" spans="2:5" x14ac:dyDescent="0.35">
      <c r="B2674" s="38">
        <v>39175</v>
      </c>
      <c r="C2674" s="3">
        <v>0</v>
      </c>
      <c r="D2674" s="3">
        <v>0</v>
      </c>
      <c r="E2674" s="3">
        <f>C2674 - D2674</f>
        <v>0</v>
      </c>
    </row>
    <row r="2675" spans="2:5" x14ac:dyDescent="0.35">
      <c r="B2675" s="38">
        <v>39176</v>
      </c>
      <c r="C2675" s="3">
        <v>0</v>
      </c>
      <c r="D2675" s="3">
        <v>0</v>
      </c>
      <c r="E2675" s="3">
        <f>C2675 - D2675</f>
        <v>0</v>
      </c>
    </row>
    <row r="2676" spans="2:5" x14ac:dyDescent="0.35">
      <c r="B2676" s="38">
        <v>39177</v>
      </c>
      <c r="C2676" s="3">
        <v>1</v>
      </c>
      <c r="D2676" s="3">
        <v>0</v>
      </c>
      <c r="E2676" s="3">
        <f>C2676 - D2676</f>
        <v>1</v>
      </c>
    </row>
    <row r="2677" spans="2:5" x14ac:dyDescent="0.35">
      <c r="B2677" s="38">
        <v>39178</v>
      </c>
      <c r="C2677" s="3">
        <v>1</v>
      </c>
      <c r="D2677" s="3">
        <v>1</v>
      </c>
      <c r="E2677" s="3">
        <f>C2677 - D2677</f>
        <v>0</v>
      </c>
    </row>
    <row r="2678" spans="2:5" x14ac:dyDescent="0.35">
      <c r="B2678" s="38">
        <v>39179</v>
      </c>
      <c r="C2678" s="3">
        <v>0</v>
      </c>
      <c r="D2678" s="3">
        <v>1</v>
      </c>
      <c r="E2678" s="3">
        <f>C2678 - D2678</f>
        <v>-1</v>
      </c>
    </row>
    <row r="2679" spans="2:5" x14ac:dyDescent="0.35">
      <c r="B2679" s="38">
        <v>39180</v>
      </c>
      <c r="C2679" s="3">
        <v>0</v>
      </c>
      <c r="D2679" s="3">
        <v>0</v>
      </c>
      <c r="E2679" s="3">
        <f>C2679 - D2679</f>
        <v>0</v>
      </c>
    </row>
    <row r="2680" spans="2:5" x14ac:dyDescent="0.35">
      <c r="B2680" s="38">
        <v>39181</v>
      </c>
      <c r="C2680" s="3">
        <v>0</v>
      </c>
      <c r="D2680" s="3">
        <v>0</v>
      </c>
      <c r="E2680" s="3">
        <f>C2680 - D2680</f>
        <v>0</v>
      </c>
    </row>
    <row r="2681" spans="2:5" x14ac:dyDescent="0.35">
      <c r="B2681" s="38">
        <v>39182</v>
      </c>
      <c r="C2681" s="3">
        <v>0</v>
      </c>
      <c r="D2681" s="3">
        <v>0</v>
      </c>
      <c r="E2681" s="3">
        <f>C2681 - D2681</f>
        <v>0</v>
      </c>
    </row>
    <row r="2682" spans="2:5" x14ac:dyDescent="0.35">
      <c r="B2682" s="38">
        <v>39183</v>
      </c>
      <c r="C2682" s="3">
        <v>0</v>
      </c>
      <c r="D2682" s="3">
        <v>0</v>
      </c>
      <c r="E2682" s="3">
        <f>C2682 - D2682</f>
        <v>0</v>
      </c>
    </row>
    <row r="2683" spans="2:5" x14ac:dyDescent="0.35">
      <c r="B2683" s="38">
        <v>39184</v>
      </c>
      <c r="C2683" s="3">
        <v>0</v>
      </c>
      <c r="D2683" s="3">
        <v>0</v>
      </c>
      <c r="E2683" s="3">
        <f>C2683 - D2683</f>
        <v>0</v>
      </c>
    </row>
    <row r="2684" spans="2:5" x14ac:dyDescent="0.35">
      <c r="B2684" s="38">
        <v>39185</v>
      </c>
      <c r="C2684" s="3">
        <v>0</v>
      </c>
      <c r="D2684" s="3">
        <v>0</v>
      </c>
      <c r="E2684" s="3">
        <f>C2684 - D2684</f>
        <v>0</v>
      </c>
    </row>
    <row r="2685" spans="2:5" x14ac:dyDescent="0.35">
      <c r="B2685" s="38">
        <v>39186</v>
      </c>
      <c r="C2685" s="3">
        <v>0</v>
      </c>
      <c r="D2685" s="3">
        <v>0</v>
      </c>
      <c r="E2685" s="3">
        <f>C2685 - D2685</f>
        <v>0</v>
      </c>
    </row>
    <row r="2686" spans="2:5" x14ac:dyDescent="0.35">
      <c r="B2686" s="38">
        <v>39187</v>
      </c>
      <c r="C2686" s="3">
        <v>0</v>
      </c>
      <c r="D2686" s="3">
        <v>0</v>
      </c>
      <c r="E2686" s="3">
        <f>C2686 - D2686</f>
        <v>0</v>
      </c>
    </row>
    <row r="2687" spans="2:5" x14ac:dyDescent="0.35">
      <c r="B2687" s="38">
        <v>39188</v>
      </c>
      <c r="C2687" s="3">
        <v>1</v>
      </c>
      <c r="D2687" s="3">
        <v>0</v>
      </c>
      <c r="E2687" s="3">
        <f>C2687 - D2687</f>
        <v>1</v>
      </c>
    </row>
    <row r="2688" spans="2:5" x14ac:dyDescent="0.35">
      <c r="B2688" s="38">
        <v>39189</v>
      </c>
      <c r="C2688" s="3">
        <v>0</v>
      </c>
      <c r="D2688" s="3">
        <v>1</v>
      </c>
      <c r="E2688" s="3">
        <f>C2688 - D2688</f>
        <v>-1</v>
      </c>
    </row>
    <row r="2689" spans="2:5" x14ac:dyDescent="0.35">
      <c r="B2689" s="38">
        <v>39190</v>
      </c>
      <c r="C2689" s="3">
        <v>1</v>
      </c>
      <c r="D2689" s="3">
        <v>0</v>
      </c>
      <c r="E2689" s="3">
        <f>C2689 - D2689</f>
        <v>1</v>
      </c>
    </row>
    <row r="2690" spans="2:5" x14ac:dyDescent="0.35">
      <c r="B2690" s="38">
        <v>39191</v>
      </c>
      <c r="C2690" s="3">
        <v>0</v>
      </c>
      <c r="D2690" s="3">
        <v>1</v>
      </c>
      <c r="E2690" s="3">
        <f>C2690 - D2690</f>
        <v>-1</v>
      </c>
    </row>
    <row r="2691" spans="2:5" x14ac:dyDescent="0.35">
      <c r="B2691" s="38">
        <v>39192</v>
      </c>
      <c r="C2691" s="3">
        <v>0</v>
      </c>
      <c r="D2691" s="3">
        <v>0</v>
      </c>
      <c r="E2691" s="3">
        <f>C2691 - D2691</f>
        <v>0</v>
      </c>
    </row>
    <row r="2692" spans="2:5" x14ac:dyDescent="0.35">
      <c r="B2692" s="38">
        <v>39193</v>
      </c>
      <c r="C2692" s="3">
        <v>0</v>
      </c>
      <c r="D2692" s="3">
        <v>0</v>
      </c>
      <c r="E2692" s="3">
        <f>C2692 - D2692</f>
        <v>0</v>
      </c>
    </row>
    <row r="2693" spans="2:5" x14ac:dyDescent="0.35">
      <c r="B2693" s="38">
        <v>39194</v>
      </c>
      <c r="C2693" s="3">
        <v>1</v>
      </c>
      <c r="D2693" s="3">
        <v>0</v>
      </c>
      <c r="E2693" s="3">
        <f>C2693 - D2693</f>
        <v>1</v>
      </c>
    </row>
    <row r="2694" spans="2:5" x14ac:dyDescent="0.35">
      <c r="B2694" s="38">
        <v>39195</v>
      </c>
      <c r="C2694" s="3">
        <v>1</v>
      </c>
      <c r="D2694" s="3">
        <v>1</v>
      </c>
      <c r="E2694" s="3">
        <f>C2694 - D2694</f>
        <v>0</v>
      </c>
    </row>
    <row r="2695" spans="2:5" x14ac:dyDescent="0.35">
      <c r="B2695" s="38">
        <v>39196</v>
      </c>
      <c r="C2695" s="3">
        <v>0</v>
      </c>
      <c r="D2695" s="3">
        <v>1</v>
      </c>
      <c r="E2695" s="3">
        <f>C2695 - D2695</f>
        <v>-1</v>
      </c>
    </row>
    <row r="2696" spans="2:5" x14ac:dyDescent="0.35">
      <c r="B2696" s="38">
        <v>39197</v>
      </c>
      <c r="C2696" s="3">
        <v>0</v>
      </c>
      <c r="D2696" s="3">
        <v>0</v>
      </c>
      <c r="E2696" s="3">
        <f>C2696 - D2696</f>
        <v>0</v>
      </c>
    </row>
    <row r="2697" spans="2:5" x14ac:dyDescent="0.35">
      <c r="B2697" s="38">
        <v>39198</v>
      </c>
      <c r="C2697" s="3">
        <v>0</v>
      </c>
      <c r="D2697" s="3">
        <v>0</v>
      </c>
      <c r="E2697" s="3">
        <f>C2697 - D2697</f>
        <v>0</v>
      </c>
    </row>
    <row r="2698" spans="2:5" x14ac:dyDescent="0.35">
      <c r="B2698" s="38">
        <v>39199</v>
      </c>
      <c r="C2698" s="3">
        <v>0</v>
      </c>
      <c r="D2698" s="3">
        <v>0</v>
      </c>
      <c r="E2698" s="3">
        <f>C2698 - D2698</f>
        <v>0</v>
      </c>
    </row>
    <row r="2699" spans="2:5" x14ac:dyDescent="0.35">
      <c r="B2699" s="38">
        <v>39200</v>
      </c>
      <c r="C2699" s="3">
        <v>1</v>
      </c>
      <c r="D2699" s="3">
        <v>0</v>
      </c>
      <c r="E2699" s="3">
        <f>C2699 - D2699</f>
        <v>1</v>
      </c>
    </row>
    <row r="2700" spans="2:5" x14ac:dyDescent="0.35">
      <c r="B2700" s="38">
        <v>39201</v>
      </c>
      <c r="C2700" s="3">
        <v>1</v>
      </c>
      <c r="D2700" s="3">
        <v>1</v>
      </c>
      <c r="E2700" s="3">
        <f>C2700 - D2700</f>
        <v>0</v>
      </c>
    </row>
    <row r="2701" spans="2:5" x14ac:dyDescent="0.35">
      <c r="B2701" s="38">
        <v>39202</v>
      </c>
      <c r="C2701" s="3">
        <v>1</v>
      </c>
      <c r="D2701" s="3">
        <v>1</v>
      </c>
      <c r="E2701" s="3">
        <f>C2701 - D2701</f>
        <v>0</v>
      </c>
    </row>
    <row r="2702" spans="2:5" x14ac:dyDescent="0.35">
      <c r="B2702" s="38">
        <v>39203</v>
      </c>
      <c r="C2702" s="3">
        <v>1</v>
      </c>
      <c r="D2702" s="3">
        <v>1</v>
      </c>
      <c r="E2702" s="3">
        <f>C2702 - D2702</f>
        <v>0</v>
      </c>
    </row>
    <row r="2703" spans="2:5" x14ac:dyDescent="0.35">
      <c r="B2703" s="38">
        <v>39204</v>
      </c>
      <c r="C2703" s="3">
        <v>0</v>
      </c>
      <c r="D2703" s="3">
        <v>1</v>
      </c>
      <c r="E2703" s="3">
        <f>C2703 - D2703</f>
        <v>-1</v>
      </c>
    </row>
    <row r="2704" spans="2:5" x14ac:dyDescent="0.35">
      <c r="B2704" s="38">
        <v>39205</v>
      </c>
      <c r="C2704" s="3">
        <v>1</v>
      </c>
      <c r="D2704" s="3">
        <v>0</v>
      </c>
      <c r="E2704" s="3">
        <f>C2704 - D2704</f>
        <v>1</v>
      </c>
    </row>
    <row r="2705" spans="2:5" x14ac:dyDescent="0.35">
      <c r="B2705" s="38">
        <v>39206</v>
      </c>
      <c r="C2705" s="3">
        <v>1</v>
      </c>
      <c r="D2705" s="3">
        <v>1</v>
      </c>
      <c r="E2705" s="3">
        <f>C2705 - D2705</f>
        <v>0</v>
      </c>
    </row>
    <row r="2706" spans="2:5" x14ac:dyDescent="0.35">
      <c r="B2706" s="38">
        <v>39207</v>
      </c>
      <c r="C2706" s="3">
        <v>0</v>
      </c>
      <c r="D2706" s="3">
        <v>1</v>
      </c>
      <c r="E2706" s="3">
        <f>C2706 - D2706</f>
        <v>-1</v>
      </c>
    </row>
    <row r="2707" spans="2:5" x14ac:dyDescent="0.35">
      <c r="B2707" s="38">
        <v>39208</v>
      </c>
      <c r="C2707" s="3">
        <v>1</v>
      </c>
      <c r="D2707" s="3">
        <v>0</v>
      </c>
      <c r="E2707" s="3">
        <f>C2707 - D2707</f>
        <v>1</v>
      </c>
    </row>
    <row r="2708" spans="2:5" x14ac:dyDescent="0.35">
      <c r="B2708" s="38">
        <v>39209</v>
      </c>
      <c r="C2708" s="3">
        <v>0</v>
      </c>
      <c r="D2708" s="3">
        <v>1</v>
      </c>
      <c r="E2708" s="3">
        <f>C2708 - D2708</f>
        <v>-1</v>
      </c>
    </row>
    <row r="2709" spans="2:5" x14ac:dyDescent="0.35">
      <c r="B2709" s="38">
        <v>39210</v>
      </c>
      <c r="C2709" s="3">
        <v>0</v>
      </c>
      <c r="D2709" s="3">
        <v>0</v>
      </c>
      <c r="E2709" s="3">
        <f>C2709 - D2709</f>
        <v>0</v>
      </c>
    </row>
    <row r="2710" spans="2:5" x14ac:dyDescent="0.35">
      <c r="B2710" s="38">
        <v>39211</v>
      </c>
      <c r="C2710" s="3">
        <v>0</v>
      </c>
      <c r="D2710" s="3">
        <v>0</v>
      </c>
      <c r="E2710" s="3">
        <f>C2710 - D2710</f>
        <v>0</v>
      </c>
    </row>
    <row r="2711" spans="2:5" x14ac:dyDescent="0.35">
      <c r="B2711" s="38">
        <v>39212</v>
      </c>
      <c r="C2711" s="3">
        <v>0</v>
      </c>
      <c r="D2711" s="3">
        <v>0</v>
      </c>
      <c r="E2711" s="3">
        <f>C2711 - D2711</f>
        <v>0</v>
      </c>
    </row>
    <row r="2712" spans="2:5" x14ac:dyDescent="0.35">
      <c r="B2712" s="38">
        <v>39213</v>
      </c>
      <c r="C2712" s="3">
        <v>0</v>
      </c>
      <c r="D2712" s="3">
        <v>0</v>
      </c>
      <c r="E2712" s="3">
        <f>C2712 - D2712</f>
        <v>0</v>
      </c>
    </row>
    <row r="2713" spans="2:5" x14ac:dyDescent="0.35">
      <c r="B2713" s="38">
        <v>39214</v>
      </c>
      <c r="C2713" s="3">
        <v>0</v>
      </c>
      <c r="D2713" s="3">
        <v>0</v>
      </c>
      <c r="E2713" s="3">
        <f>C2713 - D2713</f>
        <v>0</v>
      </c>
    </row>
    <row r="2714" spans="2:5" x14ac:dyDescent="0.35">
      <c r="B2714" s="38">
        <v>39215</v>
      </c>
      <c r="C2714" s="3">
        <v>0</v>
      </c>
      <c r="D2714" s="3">
        <v>0</v>
      </c>
      <c r="E2714" s="3">
        <f>C2714 - D2714</f>
        <v>0</v>
      </c>
    </row>
    <row r="2715" spans="2:5" x14ac:dyDescent="0.35">
      <c r="B2715" s="38">
        <v>39216</v>
      </c>
      <c r="C2715" s="3">
        <v>0</v>
      </c>
      <c r="D2715" s="3">
        <v>0</v>
      </c>
      <c r="E2715" s="3">
        <f>C2715 - D2715</f>
        <v>0</v>
      </c>
    </row>
    <row r="2716" spans="2:5" x14ac:dyDescent="0.35">
      <c r="B2716" s="38">
        <v>39217</v>
      </c>
      <c r="C2716" s="3">
        <v>1</v>
      </c>
      <c r="D2716" s="3">
        <v>0</v>
      </c>
      <c r="E2716" s="3">
        <f>C2716 - D2716</f>
        <v>1</v>
      </c>
    </row>
    <row r="2717" spans="2:5" x14ac:dyDescent="0.35">
      <c r="B2717" s="38">
        <v>39218</v>
      </c>
      <c r="C2717" s="3">
        <v>1</v>
      </c>
      <c r="D2717" s="3">
        <v>1</v>
      </c>
      <c r="E2717" s="3">
        <f>C2717 - D2717</f>
        <v>0</v>
      </c>
    </row>
    <row r="2718" spans="2:5" x14ac:dyDescent="0.35">
      <c r="B2718" s="38">
        <v>39219</v>
      </c>
      <c r="C2718" s="3">
        <v>0</v>
      </c>
      <c r="D2718" s="3">
        <v>1</v>
      </c>
      <c r="E2718" s="3">
        <f>C2718 - D2718</f>
        <v>-1</v>
      </c>
    </row>
    <row r="2719" spans="2:5" x14ac:dyDescent="0.35">
      <c r="B2719" s="38">
        <v>39220</v>
      </c>
      <c r="C2719" s="3">
        <v>1</v>
      </c>
      <c r="D2719" s="3">
        <v>0</v>
      </c>
      <c r="E2719" s="3">
        <f>C2719 - D2719</f>
        <v>1</v>
      </c>
    </row>
    <row r="2720" spans="2:5" x14ac:dyDescent="0.35">
      <c r="B2720" s="38">
        <v>39221</v>
      </c>
      <c r="C2720" s="3">
        <v>1</v>
      </c>
      <c r="D2720" s="3">
        <v>1</v>
      </c>
      <c r="E2720" s="3">
        <f>C2720 - D2720</f>
        <v>0</v>
      </c>
    </row>
    <row r="2721" spans="2:5" x14ac:dyDescent="0.35">
      <c r="B2721" s="38">
        <v>39222</v>
      </c>
      <c r="C2721" s="3">
        <v>1</v>
      </c>
      <c r="D2721" s="3">
        <v>1</v>
      </c>
      <c r="E2721" s="3">
        <f>C2721 - D2721</f>
        <v>0</v>
      </c>
    </row>
    <row r="2722" spans="2:5" x14ac:dyDescent="0.35">
      <c r="B2722" s="38">
        <v>39223</v>
      </c>
      <c r="C2722" s="3">
        <v>0</v>
      </c>
      <c r="D2722" s="3">
        <v>1</v>
      </c>
      <c r="E2722" s="3">
        <f>C2722 - D2722</f>
        <v>-1</v>
      </c>
    </row>
    <row r="2723" spans="2:5" x14ac:dyDescent="0.35">
      <c r="B2723" s="38">
        <v>39224</v>
      </c>
      <c r="C2723" s="3">
        <v>1</v>
      </c>
      <c r="D2723" s="3">
        <v>0</v>
      </c>
      <c r="E2723" s="3">
        <f>C2723 - D2723</f>
        <v>1</v>
      </c>
    </row>
    <row r="2724" spans="2:5" x14ac:dyDescent="0.35">
      <c r="B2724" s="38">
        <v>39225</v>
      </c>
      <c r="C2724" s="3">
        <v>0</v>
      </c>
      <c r="D2724" s="3">
        <v>1</v>
      </c>
      <c r="E2724" s="3">
        <f>C2724 - D2724</f>
        <v>-1</v>
      </c>
    </row>
    <row r="2725" spans="2:5" x14ac:dyDescent="0.35">
      <c r="B2725" s="38">
        <v>39226</v>
      </c>
      <c r="C2725" s="3">
        <v>0</v>
      </c>
      <c r="D2725" s="3">
        <v>0</v>
      </c>
      <c r="E2725" s="3">
        <f>C2725 - D2725</f>
        <v>0</v>
      </c>
    </row>
    <row r="2726" spans="2:5" x14ac:dyDescent="0.35">
      <c r="B2726" s="38">
        <v>39227</v>
      </c>
      <c r="C2726" s="3">
        <v>0</v>
      </c>
      <c r="D2726" s="3">
        <v>0</v>
      </c>
      <c r="E2726" s="3">
        <f>C2726 - D2726</f>
        <v>0</v>
      </c>
    </row>
    <row r="2727" spans="2:5" x14ac:dyDescent="0.35">
      <c r="B2727" s="38">
        <v>39228</v>
      </c>
      <c r="C2727" s="3">
        <v>0</v>
      </c>
      <c r="D2727" s="3">
        <v>0</v>
      </c>
      <c r="E2727" s="3">
        <f>C2727 - D2727</f>
        <v>0</v>
      </c>
    </row>
    <row r="2728" spans="2:5" x14ac:dyDescent="0.35">
      <c r="B2728" s="38">
        <v>39229</v>
      </c>
      <c r="C2728" s="3">
        <v>0</v>
      </c>
      <c r="D2728" s="3">
        <v>0</v>
      </c>
      <c r="E2728" s="3">
        <f>C2728 - D2728</f>
        <v>0</v>
      </c>
    </row>
    <row r="2729" spans="2:5" x14ac:dyDescent="0.35">
      <c r="B2729" s="38">
        <v>39230</v>
      </c>
      <c r="C2729" s="3">
        <v>0</v>
      </c>
      <c r="D2729" s="3">
        <v>0</v>
      </c>
      <c r="E2729" s="3">
        <f>C2729 - D2729</f>
        <v>0</v>
      </c>
    </row>
    <row r="2730" spans="2:5" x14ac:dyDescent="0.35">
      <c r="B2730" s="38">
        <v>39231</v>
      </c>
      <c r="C2730" s="3">
        <v>0</v>
      </c>
      <c r="D2730" s="3">
        <v>0</v>
      </c>
      <c r="E2730" s="3">
        <f>C2730 - D2730</f>
        <v>0</v>
      </c>
    </row>
    <row r="2731" spans="2:5" x14ac:dyDescent="0.35">
      <c r="B2731" s="38">
        <v>39232</v>
      </c>
      <c r="C2731" s="3">
        <v>1</v>
      </c>
      <c r="D2731" s="3">
        <v>0</v>
      </c>
      <c r="E2731" s="3">
        <f>C2731 - D2731</f>
        <v>1</v>
      </c>
    </row>
    <row r="2732" spans="2:5" x14ac:dyDescent="0.35">
      <c r="B2732" s="38">
        <v>39233</v>
      </c>
      <c r="C2732" s="3">
        <v>1</v>
      </c>
      <c r="D2732" s="3">
        <v>1</v>
      </c>
      <c r="E2732" s="3">
        <f>C2732 - D2732</f>
        <v>0</v>
      </c>
    </row>
    <row r="2733" spans="2:5" x14ac:dyDescent="0.35">
      <c r="B2733" s="38">
        <v>39234</v>
      </c>
      <c r="C2733" s="3">
        <v>1</v>
      </c>
      <c r="D2733" s="3">
        <v>1</v>
      </c>
      <c r="E2733" s="3">
        <f>C2733 - D2733</f>
        <v>0</v>
      </c>
    </row>
    <row r="2734" spans="2:5" x14ac:dyDescent="0.35">
      <c r="B2734" s="38">
        <v>39235</v>
      </c>
      <c r="C2734" s="3">
        <v>1</v>
      </c>
      <c r="D2734" s="3">
        <v>1</v>
      </c>
      <c r="E2734" s="3">
        <f>C2734 - D2734</f>
        <v>0</v>
      </c>
    </row>
    <row r="2735" spans="2:5" x14ac:dyDescent="0.35">
      <c r="B2735" s="38">
        <v>39236</v>
      </c>
      <c r="C2735" s="3">
        <v>0</v>
      </c>
      <c r="D2735" s="3">
        <v>1</v>
      </c>
      <c r="E2735" s="3">
        <f>C2735 - D2735</f>
        <v>-1</v>
      </c>
    </row>
    <row r="2736" spans="2:5" x14ac:dyDescent="0.35">
      <c r="B2736" s="38">
        <v>39237</v>
      </c>
      <c r="C2736" s="3">
        <v>0</v>
      </c>
      <c r="D2736" s="3">
        <v>0</v>
      </c>
      <c r="E2736" s="3">
        <f>C2736 - D2736</f>
        <v>0</v>
      </c>
    </row>
    <row r="2737" spans="2:5" x14ac:dyDescent="0.35">
      <c r="B2737" s="38">
        <v>39238</v>
      </c>
      <c r="C2737" s="3">
        <v>0</v>
      </c>
      <c r="D2737" s="3">
        <v>0</v>
      </c>
      <c r="E2737" s="3">
        <f>C2737 - D2737</f>
        <v>0</v>
      </c>
    </row>
    <row r="2738" spans="2:5" x14ac:dyDescent="0.35">
      <c r="B2738" s="38">
        <v>39239</v>
      </c>
      <c r="C2738" s="3">
        <v>1</v>
      </c>
      <c r="D2738" s="3">
        <v>0</v>
      </c>
      <c r="E2738" s="3">
        <f>C2738 - D2738</f>
        <v>1</v>
      </c>
    </row>
    <row r="2739" spans="2:5" x14ac:dyDescent="0.35">
      <c r="B2739" s="38">
        <v>39240</v>
      </c>
      <c r="C2739" s="3">
        <v>1</v>
      </c>
      <c r="D2739" s="3">
        <v>1</v>
      </c>
      <c r="E2739" s="3">
        <f>C2739 - D2739</f>
        <v>0</v>
      </c>
    </row>
    <row r="2740" spans="2:5" x14ac:dyDescent="0.35">
      <c r="B2740" s="38">
        <v>39241</v>
      </c>
      <c r="C2740" s="3">
        <v>0</v>
      </c>
      <c r="D2740" s="3">
        <v>1</v>
      </c>
      <c r="E2740" s="3">
        <f>C2740 - D2740</f>
        <v>-1</v>
      </c>
    </row>
    <row r="2741" spans="2:5" x14ac:dyDescent="0.35">
      <c r="B2741" s="38">
        <v>39242</v>
      </c>
      <c r="C2741" s="3">
        <v>0</v>
      </c>
      <c r="D2741" s="3">
        <v>0</v>
      </c>
      <c r="E2741" s="3">
        <f>C2741 - D2741</f>
        <v>0</v>
      </c>
    </row>
    <row r="2742" spans="2:5" x14ac:dyDescent="0.35">
      <c r="B2742" s="38">
        <v>39243</v>
      </c>
      <c r="C2742" s="3">
        <v>0</v>
      </c>
      <c r="D2742" s="3">
        <v>0</v>
      </c>
      <c r="E2742" s="3">
        <f>C2742 - D2742</f>
        <v>0</v>
      </c>
    </row>
    <row r="2743" spans="2:5" x14ac:dyDescent="0.35">
      <c r="B2743" s="38">
        <v>39244</v>
      </c>
      <c r="C2743" s="3">
        <v>1</v>
      </c>
      <c r="D2743" s="3">
        <v>0</v>
      </c>
      <c r="E2743" s="3">
        <f>C2743 - D2743</f>
        <v>1</v>
      </c>
    </row>
    <row r="2744" spans="2:5" x14ac:dyDescent="0.35">
      <c r="B2744" s="38">
        <v>39245</v>
      </c>
      <c r="C2744" s="3">
        <v>1</v>
      </c>
      <c r="D2744" s="3">
        <v>1</v>
      </c>
      <c r="E2744" s="3">
        <f>C2744 - D2744</f>
        <v>0</v>
      </c>
    </row>
    <row r="2745" spans="2:5" x14ac:dyDescent="0.35">
      <c r="B2745" s="38">
        <v>39246</v>
      </c>
      <c r="C2745" s="3">
        <v>1</v>
      </c>
      <c r="D2745" s="3">
        <v>1</v>
      </c>
      <c r="E2745" s="3">
        <f>C2745 - D2745</f>
        <v>0</v>
      </c>
    </row>
    <row r="2746" spans="2:5" x14ac:dyDescent="0.35">
      <c r="B2746" s="38">
        <v>39247</v>
      </c>
      <c r="C2746" s="3">
        <v>1</v>
      </c>
      <c r="D2746" s="3">
        <v>1</v>
      </c>
      <c r="E2746" s="3">
        <f>C2746 - D2746</f>
        <v>0</v>
      </c>
    </row>
    <row r="2747" spans="2:5" x14ac:dyDescent="0.35">
      <c r="B2747" s="38">
        <v>39248</v>
      </c>
      <c r="C2747" s="3">
        <v>0</v>
      </c>
      <c r="D2747" s="3">
        <v>1</v>
      </c>
      <c r="E2747" s="3">
        <f>C2747 - D2747</f>
        <v>-1</v>
      </c>
    </row>
    <row r="2748" spans="2:5" x14ac:dyDescent="0.35">
      <c r="B2748" s="38">
        <v>39249</v>
      </c>
      <c r="C2748" s="3">
        <v>1</v>
      </c>
      <c r="D2748" s="3">
        <v>0</v>
      </c>
      <c r="E2748" s="3">
        <f>C2748 - D2748</f>
        <v>1</v>
      </c>
    </row>
    <row r="2749" spans="2:5" x14ac:dyDescent="0.35">
      <c r="B2749" s="38">
        <v>39250</v>
      </c>
      <c r="C2749" s="3">
        <v>0</v>
      </c>
      <c r="D2749" s="3">
        <v>1</v>
      </c>
      <c r="E2749" s="3">
        <f>C2749 - D2749</f>
        <v>-1</v>
      </c>
    </row>
    <row r="2750" spans="2:5" x14ac:dyDescent="0.35">
      <c r="B2750" s="38">
        <v>39251</v>
      </c>
      <c r="C2750" s="3">
        <v>1</v>
      </c>
      <c r="D2750" s="3">
        <v>0</v>
      </c>
      <c r="E2750" s="3">
        <f>C2750 - D2750</f>
        <v>1</v>
      </c>
    </row>
    <row r="2751" spans="2:5" x14ac:dyDescent="0.35">
      <c r="B2751" s="38">
        <v>39252</v>
      </c>
      <c r="C2751" s="3">
        <v>0</v>
      </c>
      <c r="D2751" s="3">
        <v>1</v>
      </c>
      <c r="E2751" s="3">
        <f>C2751 - D2751</f>
        <v>-1</v>
      </c>
    </row>
    <row r="2752" spans="2:5" x14ac:dyDescent="0.35">
      <c r="B2752" s="38">
        <v>39253</v>
      </c>
      <c r="C2752" s="3">
        <v>1</v>
      </c>
      <c r="D2752" s="3">
        <v>0</v>
      </c>
      <c r="E2752" s="3">
        <f>C2752 - D2752</f>
        <v>1</v>
      </c>
    </row>
    <row r="2753" spans="2:5" x14ac:dyDescent="0.35">
      <c r="B2753" s="38">
        <v>39254</v>
      </c>
      <c r="C2753" s="3">
        <v>1</v>
      </c>
      <c r="D2753" s="3">
        <v>1</v>
      </c>
      <c r="E2753" s="3">
        <f>C2753 - D2753</f>
        <v>0</v>
      </c>
    </row>
    <row r="2754" spans="2:5" x14ac:dyDescent="0.35">
      <c r="B2754" s="38">
        <v>39255</v>
      </c>
      <c r="C2754" s="3">
        <v>0</v>
      </c>
      <c r="D2754" s="3">
        <v>1</v>
      </c>
      <c r="E2754" s="3">
        <f>C2754 - D2754</f>
        <v>-1</v>
      </c>
    </row>
    <row r="2755" spans="2:5" x14ac:dyDescent="0.35">
      <c r="B2755" s="38">
        <v>39256</v>
      </c>
      <c r="C2755" s="3">
        <v>1</v>
      </c>
      <c r="D2755" s="3">
        <v>0</v>
      </c>
      <c r="E2755" s="3">
        <f>C2755 - D2755</f>
        <v>1</v>
      </c>
    </row>
    <row r="2756" spans="2:5" x14ac:dyDescent="0.35">
      <c r="B2756" s="38">
        <v>39257</v>
      </c>
      <c r="C2756" s="3">
        <v>0</v>
      </c>
      <c r="D2756" s="3">
        <v>1</v>
      </c>
      <c r="E2756" s="3">
        <f>C2756 - D2756</f>
        <v>-1</v>
      </c>
    </row>
    <row r="2757" spans="2:5" x14ac:dyDescent="0.35">
      <c r="B2757" s="38">
        <v>39258</v>
      </c>
      <c r="C2757" s="3">
        <v>0</v>
      </c>
      <c r="D2757" s="3">
        <v>0</v>
      </c>
      <c r="E2757" s="3">
        <f>C2757 - D2757</f>
        <v>0</v>
      </c>
    </row>
    <row r="2758" spans="2:5" x14ac:dyDescent="0.35">
      <c r="B2758" s="38">
        <v>39259</v>
      </c>
      <c r="C2758" s="3">
        <v>0</v>
      </c>
      <c r="D2758" s="3">
        <v>0</v>
      </c>
      <c r="E2758" s="3">
        <f>C2758 - D2758</f>
        <v>0</v>
      </c>
    </row>
    <row r="2759" spans="2:5" x14ac:dyDescent="0.35">
      <c r="B2759" s="38">
        <v>39260</v>
      </c>
      <c r="C2759" s="3">
        <v>1</v>
      </c>
      <c r="D2759" s="3">
        <v>0</v>
      </c>
      <c r="E2759" s="3">
        <f>C2759 - D2759</f>
        <v>1</v>
      </c>
    </row>
    <row r="2760" spans="2:5" x14ac:dyDescent="0.35">
      <c r="B2760" s="38">
        <v>39261</v>
      </c>
      <c r="C2760" s="3">
        <v>1</v>
      </c>
      <c r="D2760" s="3">
        <v>1</v>
      </c>
      <c r="E2760" s="3">
        <f>C2760 - D2760</f>
        <v>0</v>
      </c>
    </row>
    <row r="2761" spans="2:5" x14ac:dyDescent="0.35">
      <c r="B2761" s="38">
        <v>39262</v>
      </c>
      <c r="C2761" s="3">
        <v>1</v>
      </c>
      <c r="D2761" s="3">
        <v>1</v>
      </c>
      <c r="E2761" s="3">
        <f>C2761 - D2761</f>
        <v>0</v>
      </c>
    </row>
    <row r="2762" spans="2:5" x14ac:dyDescent="0.35">
      <c r="B2762" s="38">
        <v>39263</v>
      </c>
      <c r="C2762" s="3">
        <v>1</v>
      </c>
      <c r="D2762" s="3">
        <v>1</v>
      </c>
      <c r="E2762" s="3">
        <f>C2762 - D2762</f>
        <v>0</v>
      </c>
    </row>
    <row r="2763" spans="2:5" x14ac:dyDescent="0.35">
      <c r="B2763" s="38">
        <v>39264</v>
      </c>
      <c r="C2763" s="3">
        <v>1</v>
      </c>
      <c r="D2763" s="3">
        <v>1</v>
      </c>
      <c r="E2763" s="3">
        <f>C2763 - D2763</f>
        <v>0</v>
      </c>
    </row>
    <row r="2764" spans="2:5" x14ac:dyDescent="0.35">
      <c r="B2764" s="38">
        <v>39265</v>
      </c>
      <c r="C2764" s="3">
        <v>0</v>
      </c>
      <c r="D2764" s="3">
        <v>1</v>
      </c>
      <c r="E2764" s="3">
        <f>C2764 - D2764</f>
        <v>-1</v>
      </c>
    </row>
    <row r="2765" spans="2:5" x14ac:dyDescent="0.35">
      <c r="B2765" s="38">
        <v>39266</v>
      </c>
      <c r="C2765" s="3">
        <v>1</v>
      </c>
      <c r="D2765" s="3">
        <v>0</v>
      </c>
      <c r="E2765" s="3">
        <f>C2765 - D2765</f>
        <v>1</v>
      </c>
    </row>
    <row r="2766" spans="2:5" x14ac:dyDescent="0.35">
      <c r="B2766" s="38">
        <v>39267</v>
      </c>
      <c r="C2766" s="3">
        <v>1</v>
      </c>
      <c r="D2766" s="3">
        <v>1</v>
      </c>
      <c r="E2766" s="3">
        <f>C2766 - D2766</f>
        <v>0</v>
      </c>
    </row>
    <row r="2767" spans="2:5" x14ac:dyDescent="0.35">
      <c r="B2767" s="38">
        <v>39268</v>
      </c>
      <c r="C2767" s="3">
        <v>1</v>
      </c>
      <c r="D2767" s="3">
        <v>1</v>
      </c>
      <c r="E2767" s="3">
        <f>C2767 - D2767</f>
        <v>0</v>
      </c>
    </row>
    <row r="2768" spans="2:5" x14ac:dyDescent="0.35">
      <c r="B2768" s="38">
        <v>39269</v>
      </c>
      <c r="C2768" s="3">
        <v>1</v>
      </c>
      <c r="D2768" s="3">
        <v>1</v>
      </c>
      <c r="E2768" s="3">
        <f>C2768 - D2768</f>
        <v>0</v>
      </c>
    </row>
    <row r="2769" spans="2:5" x14ac:dyDescent="0.35">
      <c r="B2769" s="38">
        <v>39270</v>
      </c>
      <c r="C2769" s="3">
        <v>1</v>
      </c>
      <c r="D2769" s="3">
        <v>1</v>
      </c>
      <c r="E2769" s="3">
        <f>C2769 - D2769</f>
        <v>0</v>
      </c>
    </row>
    <row r="2770" spans="2:5" x14ac:dyDescent="0.35">
      <c r="B2770" s="38">
        <v>39271</v>
      </c>
      <c r="C2770" s="3">
        <v>1</v>
      </c>
      <c r="D2770" s="3">
        <v>1</v>
      </c>
      <c r="E2770" s="3">
        <f>C2770 - D2770</f>
        <v>0</v>
      </c>
    </row>
    <row r="2771" spans="2:5" x14ac:dyDescent="0.35">
      <c r="B2771" s="38">
        <v>39272</v>
      </c>
      <c r="C2771" s="3">
        <v>0</v>
      </c>
      <c r="D2771" s="3">
        <v>1</v>
      </c>
      <c r="E2771" s="3">
        <f>C2771 - D2771</f>
        <v>-1</v>
      </c>
    </row>
    <row r="2772" spans="2:5" x14ac:dyDescent="0.35">
      <c r="B2772" s="38">
        <v>39273</v>
      </c>
      <c r="C2772" s="3">
        <v>0</v>
      </c>
      <c r="D2772" s="3">
        <v>0</v>
      </c>
      <c r="E2772" s="3">
        <f>C2772 - D2772</f>
        <v>0</v>
      </c>
    </row>
    <row r="2773" spans="2:5" x14ac:dyDescent="0.35">
      <c r="B2773" s="38">
        <v>39274</v>
      </c>
      <c r="C2773" s="3">
        <v>0</v>
      </c>
      <c r="D2773" s="3">
        <v>0</v>
      </c>
      <c r="E2773" s="3">
        <f>C2773 - D2773</f>
        <v>0</v>
      </c>
    </row>
    <row r="2774" spans="2:5" x14ac:dyDescent="0.35">
      <c r="B2774" s="38">
        <v>39275</v>
      </c>
      <c r="C2774" s="3">
        <v>1</v>
      </c>
      <c r="D2774" s="3">
        <v>0</v>
      </c>
      <c r="E2774" s="3">
        <f>C2774 - D2774</f>
        <v>1</v>
      </c>
    </row>
    <row r="2775" spans="2:5" x14ac:dyDescent="0.35">
      <c r="B2775" s="38">
        <v>39276</v>
      </c>
      <c r="C2775" s="3">
        <v>1</v>
      </c>
      <c r="D2775" s="3">
        <v>1</v>
      </c>
      <c r="E2775" s="3">
        <f>C2775 - D2775</f>
        <v>0</v>
      </c>
    </row>
    <row r="2776" spans="2:5" x14ac:dyDescent="0.35">
      <c r="B2776" s="38">
        <v>39277</v>
      </c>
      <c r="C2776" s="3">
        <v>1</v>
      </c>
      <c r="D2776" s="3">
        <v>1</v>
      </c>
      <c r="E2776" s="3">
        <f>C2776 - D2776</f>
        <v>0</v>
      </c>
    </row>
    <row r="2777" spans="2:5" x14ac:dyDescent="0.35">
      <c r="B2777" s="38">
        <v>39278</v>
      </c>
      <c r="C2777" s="3">
        <v>1</v>
      </c>
      <c r="D2777" s="3">
        <v>1</v>
      </c>
      <c r="E2777" s="3">
        <f>C2777 - D2777</f>
        <v>0</v>
      </c>
    </row>
    <row r="2778" spans="2:5" x14ac:dyDescent="0.35">
      <c r="B2778" s="38">
        <v>39279</v>
      </c>
      <c r="C2778" s="3">
        <v>0</v>
      </c>
      <c r="D2778" s="3">
        <v>1</v>
      </c>
      <c r="E2778" s="3">
        <f>C2778 - D2778</f>
        <v>-1</v>
      </c>
    </row>
    <row r="2779" spans="2:5" x14ac:dyDescent="0.35">
      <c r="B2779" s="38">
        <v>39280</v>
      </c>
      <c r="C2779" s="3">
        <v>0</v>
      </c>
      <c r="D2779" s="3">
        <v>0</v>
      </c>
      <c r="E2779" s="3">
        <f>C2779 - D2779</f>
        <v>0</v>
      </c>
    </row>
    <row r="2780" spans="2:5" x14ac:dyDescent="0.35">
      <c r="B2780" s="38">
        <v>39281</v>
      </c>
      <c r="C2780" s="3">
        <v>1</v>
      </c>
      <c r="D2780" s="3">
        <v>0</v>
      </c>
      <c r="E2780" s="3">
        <f>C2780 - D2780</f>
        <v>1</v>
      </c>
    </row>
    <row r="2781" spans="2:5" x14ac:dyDescent="0.35">
      <c r="B2781" s="38">
        <v>39282</v>
      </c>
      <c r="C2781" s="3">
        <v>1</v>
      </c>
      <c r="D2781" s="3">
        <v>1</v>
      </c>
      <c r="E2781" s="3">
        <f>C2781 - D2781</f>
        <v>0</v>
      </c>
    </row>
    <row r="2782" spans="2:5" x14ac:dyDescent="0.35">
      <c r="B2782" s="38">
        <v>39283</v>
      </c>
      <c r="C2782" s="3">
        <v>1</v>
      </c>
      <c r="D2782" s="3">
        <v>1</v>
      </c>
      <c r="E2782" s="3">
        <f>C2782 - D2782</f>
        <v>0</v>
      </c>
    </row>
    <row r="2783" spans="2:5" x14ac:dyDescent="0.35">
      <c r="B2783" s="38">
        <v>39284</v>
      </c>
      <c r="C2783" s="3">
        <v>1</v>
      </c>
      <c r="D2783" s="3">
        <v>1</v>
      </c>
      <c r="E2783" s="3">
        <f>C2783 - D2783</f>
        <v>0</v>
      </c>
    </row>
    <row r="2784" spans="2:5" x14ac:dyDescent="0.35">
      <c r="B2784" s="38">
        <v>39285</v>
      </c>
      <c r="C2784" s="3">
        <v>0</v>
      </c>
      <c r="D2784" s="3">
        <v>1</v>
      </c>
      <c r="E2784" s="3">
        <f>C2784 - D2784</f>
        <v>-1</v>
      </c>
    </row>
    <row r="2785" spans="2:5" x14ac:dyDescent="0.35">
      <c r="B2785" s="38">
        <v>39286</v>
      </c>
      <c r="C2785" s="3">
        <v>0</v>
      </c>
      <c r="D2785" s="3">
        <v>0</v>
      </c>
      <c r="E2785" s="3">
        <f>C2785 - D2785</f>
        <v>0</v>
      </c>
    </row>
    <row r="2786" spans="2:5" x14ac:dyDescent="0.35">
      <c r="B2786" s="38">
        <v>39287</v>
      </c>
      <c r="C2786" s="3">
        <v>0</v>
      </c>
      <c r="D2786" s="3">
        <v>0</v>
      </c>
      <c r="E2786" s="3">
        <f>C2786 - D2786</f>
        <v>0</v>
      </c>
    </row>
    <row r="2787" spans="2:5" x14ac:dyDescent="0.35">
      <c r="B2787" s="38">
        <v>39288</v>
      </c>
      <c r="C2787" s="3">
        <v>0</v>
      </c>
      <c r="D2787" s="3">
        <v>0</v>
      </c>
      <c r="E2787" s="3">
        <f>C2787 - D2787</f>
        <v>0</v>
      </c>
    </row>
    <row r="2788" spans="2:5" x14ac:dyDescent="0.35">
      <c r="B2788" s="38">
        <v>39289</v>
      </c>
      <c r="C2788" s="3">
        <v>1</v>
      </c>
      <c r="D2788" s="3">
        <v>0</v>
      </c>
      <c r="E2788" s="3">
        <f>C2788 - D2788</f>
        <v>1</v>
      </c>
    </row>
    <row r="2789" spans="2:5" x14ac:dyDescent="0.35">
      <c r="B2789" s="38">
        <v>39290</v>
      </c>
      <c r="C2789" s="3">
        <v>0</v>
      </c>
      <c r="D2789" s="3">
        <v>1</v>
      </c>
      <c r="E2789" s="3">
        <f>C2789 - D2789</f>
        <v>-1</v>
      </c>
    </row>
    <row r="2790" spans="2:5" x14ac:dyDescent="0.35">
      <c r="B2790" s="38">
        <v>39291</v>
      </c>
      <c r="C2790" s="3">
        <v>1</v>
      </c>
      <c r="D2790" s="3">
        <v>0</v>
      </c>
      <c r="E2790" s="3">
        <f>C2790 - D2790</f>
        <v>1</v>
      </c>
    </row>
    <row r="2791" spans="2:5" x14ac:dyDescent="0.35">
      <c r="B2791" s="38">
        <v>39292</v>
      </c>
      <c r="C2791" s="3">
        <v>0</v>
      </c>
      <c r="D2791" s="3">
        <v>1</v>
      </c>
      <c r="E2791" s="3">
        <f>C2791 - D2791</f>
        <v>-1</v>
      </c>
    </row>
    <row r="2792" spans="2:5" x14ac:dyDescent="0.35">
      <c r="B2792" s="38">
        <v>39293</v>
      </c>
      <c r="C2792" s="3">
        <v>1</v>
      </c>
      <c r="D2792" s="3">
        <v>0</v>
      </c>
      <c r="E2792" s="3">
        <f>C2792 - D2792</f>
        <v>1</v>
      </c>
    </row>
    <row r="2793" spans="2:5" x14ac:dyDescent="0.35">
      <c r="B2793" s="38">
        <v>39294</v>
      </c>
      <c r="C2793" s="3">
        <v>0</v>
      </c>
      <c r="D2793" s="3">
        <v>1</v>
      </c>
      <c r="E2793" s="3">
        <f>C2793 - D2793</f>
        <v>-1</v>
      </c>
    </row>
    <row r="2794" spans="2:5" x14ac:dyDescent="0.35">
      <c r="B2794" s="38">
        <v>39295</v>
      </c>
      <c r="C2794" s="3">
        <v>1</v>
      </c>
      <c r="D2794" s="3">
        <v>0</v>
      </c>
      <c r="E2794" s="3">
        <f>C2794 - D2794</f>
        <v>1</v>
      </c>
    </row>
    <row r="2795" spans="2:5" x14ac:dyDescent="0.35">
      <c r="B2795" s="38">
        <v>39296</v>
      </c>
      <c r="C2795" s="3">
        <v>0</v>
      </c>
      <c r="D2795" s="3">
        <v>1</v>
      </c>
      <c r="E2795" s="3">
        <f>C2795 - D2795</f>
        <v>-1</v>
      </c>
    </row>
    <row r="2796" spans="2:5" x14ac:dyDescent="0.35">
      <c r="B2796" s="38">
        <v>39297</v>
      </c>
      <c r="C2796" s="3">
        <v>0</v>
      </c>
      <c r="D2796" s="3">
        <v>0</v>
      </c>
      <c r="E2796" s="3">
        <f>C2796 - D2796</f>
        <v>0</v>
      </c>
    </row>
    <row r="2797" spans="2:5" x14ac:dyDescent="0.35">
      <c r="B2797" s="38">
        <v>39298</v>
      </c>
      <c r="C2797" s="3">
        <v>1</v>
      </c>
      <c r="D2797" s="3">
        <v>0</v>
      </c>
      <c r="E2797" s="3">
        <f>C2797 - D2797</f>
        <v>1</v>
      </c>
    </row>
    <row r="2798" spans="2:5" x14ac:dyDescent="0.35">
      <c r="B2798" s="38">
        <v>39299</v>
      </c>
      <c r="C2798" s="3">
        <v>1</v>
      </c>
      <c r="D2798" s="3">
        <v>1</v>
      </c>
      <c r="E2798" s="3">
        <f>C2798 - D2798</f>
        <v>0</v>
      </c>
    </row>
    <row r="2799" spans="2:5" x14ac:dyDescent="0.35">
      <c r="B2799" s="38">
        <v>39300</v>
      </c>
      <c r="C2799" s="3">
        <v>1</v>
      </c>
      <c r="D2799" s="3">
        <v>1</v>
      </c>
      <c r="E2799" s="3">
        <f>C2799 - D2799</f>
        <v>0</v>
      </c>
    </row>
    <row r="2800" spans="2:5" x14ac:dyDescent="0.35">
      <c r="B2800" s="38">
        <v>39301</v>
      </c>
      <c r="C2800" s="3">
        <v>0</v>
      </c>
      <c r="D2800" s="3">
        <v>1</v>
      </c>
      <c r="E2800" s="3">
        <f>C2800 - D2800</f>
        <v>-1</v>
      </c>
    </row>
    <row r="2801" spans="2:5" x14ac:dyDescent="0.35">
      <c r="B2801" s="38">
        <v>39302</v>
      </c>
      <c r="C2801" s="3">
        <v>0</v>
      </c>
      <c r="D2801" s="3">
        <v>0</v>
      </c>
      <c r="E2801" s="3">
        <f>C2801 - D2801</f>
        <v>0</v>
      </c>
    </row>
    <row r="2802" spans="2:5" x14ac:dyDescent="0.35">
      <c r="B2802" s="38">
        <v>39303</v>
      </c>
      <c r="C2802" s="3">
        <v>0</v>
      </c>
      <c r="D2802" s="3">
        <v>0</v>
      </c>
      <c r="E2802" s="3">
        <f>C2802 - D2802</f>
        <v>0</v>
      </c>
    </row>
    <row r="2803" spans="2:5" x14ac:dyDescent="0.35">
      <c r="B2803" s="38">
        <v>39304</v>
      </c>
      <c r="C2803" s="3">
        <v>1</v>
      </c>
      <c r="D2803" s="3">
        <v>0</v>
      </c>
      <c r="E2803" s="3">
        <f>C2803 - D2803</f>
        <v>1</v>
      </c>
    </row>
    <row r="2804" spans="2:5" x14ac:dyDescent="0.35">
      <c r="B2804" s="38">
        <v>39305</v>
      </c>
      <c r="C2804" s="3">
        <v>1</v>
      </c>
      <c r="D2804" s="3">
        <v>1</v>
      </c>
      <c r="E2804" s="3">
        <f>C2804 - D2804</f>
        <v>0</v>
      </c>
    </row>
    <row r="2805" spans="2:5" x14ac:dyDescent="0.35">
      <c r="B2805" s="38">
        <v>39306</v>
      </c>
      <c r="C2805" s="3">
        <v>1</v>
      </c>
      <c r="D2805" s="3">
        <v>1</v>
      </c>
      <c r="E2805" s="3">
        <f>C2805 - D2805</f>
        <v>0</v>
      </c>
    </row>
    <row r="2806" spans="2:5" x14ac:dyDescent="0.35">
      <c r="B2806" s="38">
        <v>39307</v>
      </c>
      <c r="C2806" s="3">
        <v>1</v>
      </c>
      <c r="D2806" s="3">
        <v>1</v>
      </c>
      <c r="E2806" s="3">
        <f>C2806 - D2806</f>
        <v>0</v>
      </c>
    </row>
    <row r="2807" spans="2:5" x14ac:dyDescent="0.35">
      <c r="B2807" s="38">
        <v>39308</v>
      </c>
      <c r="C2807" s="3">
        <v>1</v>
      </c>
      <c r="D2807" s="3">
        <v>1</v>
      </c>
      <c r="E2807" s="3">
        <f>C2807 - D2807</f>
        <v>0</v>
      </c>
    </row>
    <row r="2808" spans="2:5" x14ac:dyDescent="0.35">
      <c r="B2808" s="38">
        <v>39309</v>
      </c>
      <c r="C2808" s="3">
        <v>0</v>
      </c>
      <c r="D2808" s="3">
        <v>1</v>
      </c>
      <c r="E2808" s="3">
        <f>C2808 - D2808</f>
        <v>-1</v>
      </c>
    </row>
    <row r="2809" spans="2:5" x14ac:dyDescent="0.35">
      <c r="B2809" s="38">
        <v>39310</v>
      </c>
      <c r="C2809" s="3">
        <v>0</v>
      </c>
      <c r="D2809" s="3">
        <v>0</v>
      </c>
      <c r="E2809" s="3">
        <f>C2809 - D2809</f>
        <v>0</v>
      </c>
    </row>
    <row r="2810" spans="2:5" x14ac:dyDescent="0.35">
      <c r="B2810" s="38">
        <v>39311</v>
      </c>
      <c r="C2810" s="3">
        <v>0</v>
      </c>
      <c r="D2810" s="3">
        <v>0</v>
      </c>
      <c r="E2810" s="3">
        <f>C2810 - D2810</f>
        <v>0</v>
      </c>
    </row>
    <row r="2811" spans="2:5" x14ac:dyDescent="0.35">
      <c r="B2811" s="38">
        <v>39312</v>
      </c>
      <c r="C2811" s="3">
        <v>1</v>
      </c>
      <c r="D2811" s="3">
        <v>0</v>
      </c>
      <c r="E2811" s="3">
        <f>C2811 - D2811</f>
        <v>1</v>
      </c>
    </row>
    <row r="2812" spans="2:5" x14ac:dyDescent="0.35">
      <c r="B2812" s="38">
        <v>39313</v>
      </c>
      <c r="C2812" s="3">
        <v>1</v>
      </c>
      <c r="D2812" s="3">
        <v>1</v>
      </c>
      <c r="E2812" s="3">
        <f>C2812 - D2812</f>
        <v>0</v>
      </c>
    </row>
    <row r="2813" spans="2:5" x14ac:dyDescent="0.35">
      <c r="B2813" s="38">
        <v>39314</v>
      </c>
      <c r="C2813" s="3">
        <v>0</v>
      </c>
      <c r="D2813" s="3">
        <v>1</v>
      </c>
      <c r="E2813" s="3">
        <f>C2813 - D2813</f>
        <v>-1</v>
      </c>
    </row>
    <row r="2814" spans="2:5" x14ac:dyDescent="0.35">
      <c r="B2814" s="38">
        <v>39315</v>
      </c>
      <c r="C2814" s="3">
        <v>0</v>
      </c>
      <c r="D2814" s="3">
        <v>0</v>
      </c>
      <c r="E2814" s="3">
        <f>C2814 - D2814</f>
        <v>0</v>
      </c>
    </row>
    <row r="2815" spans="2:5" x14ac:dyDescent="0.35">
      <c r="B2815" s="38">
        <v>39316</v>
      </c>
      <c r="C2815" s="3">
        <v>0</v>
      </c>
      <c r="D2815" s="3">
        <v>0</v>
      </c>
      <c r="E2815" s="3">
        <f>C2815 - D2815</f>
        <v>0</v>
      </c>
    </row>
    <row r="2816" spans="2:5" x14ac:dyDescent="0.35">
      <c r="B2816" s="38">
        <v>39317</v>
      </c>
      <c r="C2816" s="3">
        <v>0</v>
      </c>
      <c r="D2816" s="3">
        <v>0</v>
      </c>
      <c r="E2816" s="3">
        <f>C2816 - D2816</f>
        <v>0</v>
      </c>
    </row>
    <row r="2817" spans="2:5" x14ac:dyDescent="0.35">
      <c r="B2817" s="38">
        <v>39318</v>
      </c>
      <c r="C2817" s="3">
        <v>0</v>
      </c>
      <c r="D2817" s="3">
        <v>0</v>
      </c>
      <c r="E2817" s="3">
        <f>C2817 - D2817</f>
        <v>0</v>
      </c>
    </row>
    <row r="2818" spans="2:5" x14ac:dyDescent="0.35">
      <c r="B2818" s="38">
        <v>39319</v>
      </c>
      <c r="C2818" s="3">
        <v>0</v>
      </c>
      <c r="D2818" s="3">
        <v>0</v>
      </c>
      <c r="E2818" s="3">
        <f>C2818 - D2818</f>
        <v>0</v>
      </c>
    </row>
    <row r="2819" spans="2:5" x14ac:dyDescent="0.35">
      <c r="B2819" s="38">
        <v>39320</v>
      </c>
      <c r="C2819" s="3">
        <v>0</v>
      </c>
      <c r="D2819" s="3">
        <v>0</v>
      </c>
      <c r="E2819" s="3">
        <f>C2819 - D2819</f>
        <v>0</v>
      </c>
    </row>
    <row r="2820" spans="2:5" x14ac:dyDescent="0.35">
      <c r="B2820" s="38">
        <v>39321</v>
      </c>
      <c r="C2820" s="3">
        <v>0</v>
      </c>
      <c r="D2820" s="3">
        <v>0</v>
      </c>
      <c r="E2820" s="3">
        <f>C2820 - D2820</f>
        <v>0</v>
      </c>
    </row>
    <row r="2821" spans="2:5" x14ac:dyDescent="0.35">
      <c r="B2821" s="38">
        <v>39322</v>
      </c>
      <c r="C2821" s="3">
        <v>0</v>
      </c>
      <c r="D2821" s="3">
        <v>0</v>
      </c>
      <c r="E2821" s="3">
        <f>C2821 - D2821</f>
        <v>0</v>
      </c>
    </row>
    <row r="2822" spans="2:5" x14ac:dyDescent="0.35">
      <c r="B2822" s="38">
        <v>39323</v>
      </c>
      <c r="C2822" s="3">
        <v>0</v>
      </c>
      <c r="D2822" s="3">
        <v>0</v>
      </c>
      <c r="E2822" s="3">
        <f>C2822 - D2822</f>
        <v>0</v>
      </c>
    </row>
    <row r="2823" spans="2:5" x14ac:dyDescent="0.35">
      <c r="B2823" s="38">
        <v>39324</v>
      </c>
      <c r="C2823" s="3">
        <v>0</v>
      </c>
      <c r="D2823" s="3">
        <v>0</v>
      </c>
      <c r="E2823" s="3">
        <f>C2823 - D2823</f>
        <v>0</v>
      </c>
    </row>
    <row r="2824" spans="2:5" x14ac:dyDescent="0.35">
      <c r="B2824" s="38">
        <v>39325</v>
      </c>
      <c r="C2824" s="3">
        <v>0</v>
      </c>
      <c r="D2824" s="3">
        <v>0</v>
      </c>
      <c r="E2824" s="3">
        <f>C2824 - D2824</f>
        <v>0</v>
      </c>
    </row>
    <row r="2825" spans="2:5" x14ac:dyDescent="0.35">
      <c r="B2825" s="38">
        <v>39326</v>
      </c>
      <c r="C2825" s="3">
        <v>0</v>
      </c>
      <c r="D2825" s="3">
        <v>0</v>
      </c>
      <c r="E2825" s="3">
        <f>C2825 - D2825</f>
        <v>0</v>
      </c>
    </row>
    <row r="2826" spans="2:5" x14ac:dyDescent="0.35">
      <c r="B2826" s="38">
        <v>39327</v>
      </c>
      <c r="C2826" s="3">
        <v>0</v>
      </c>
      <c r="D2826" s="3">
        <v>0</v>
      </c>
      <c r="E2826" s="3">
        <f>C2826 - D2826</f>
        <v>0</v>
      </c>
    </row>
    <row r="2827" spans="2:5" x14ac:dyDescent="0.35">
      <c r="B2827" s="38">
        <v>39328</v>
      </c>
      <c r="C2827" s="3">
        <v>1</v>
      </c>
      <c r="D2827" s="3">
        <v>0</v>
      </c>
      <c r="E2827" s="3">
        <f>C2827 - D2827</f>
        <v>1</v>
      </c>
    </row>
    <row r="2828" spans="2:5" x14ac:dyDescent="0.35">
      <c r="B2828" s="38">
        <v>39329</v>
      </c>
      <c r="C2828" s="3">
        <v>1</v>
      </c>
      <c r="D2828" s="3">
        <v>1</v>
      </c>
      <c r="E2828" s="3">
        <f>C2828 - D2828</f>
        <v>0</v>
      </c>
    </row>
    <row r="2829" spans="2:5" x14ac:dyDescent="0.35">
      <c r="B2829" s="38">
        <v>39330</v>
      </c>
      <c r="C2829" s="3">
        <v>0</v>
      </c>
      <c r="D2829" s="3">
        <v>1</v>
      </c>
      <c r="E2829" s="3">
        <f>C2829 - D2829</f>
        <v>-1</v>
      </c>
    </row>
    <row r="2830" spans="2:5" x14ac:dyDescent="0.35">
      <c r="B2830" s="38">
        <v>39331</v>
      </c>
      <c r="C2830" s="3">
        <v>0</v>
      </c>
      <c r="D2830" s="3">
        <v>0</v>
      </c>
      <c r="E2830" s="3">
        <f>C2830 - D2830</f>
        <v>0</v>
      </c>
    </row>
    <row r="2831" spans="2:5" x14ac:dyDescent="0.35">
      <c r="B2831" s="38">
        <v>39332</v>
      </c>
      <c r="C2831" s="3">
        <v>0</v>
      </c>
      <c r="D2831" s="3">
        <v>0</v>
      </c>
      <c r="E2831" s="3">
        <f>C2831 - D2831</f>
        <v>0</v>
      </c>
    </row>
    <row r="2832" spans="2:5" x14ac:dyDescent="0.35">
      <c r="B2832" s="38">
        <v>39333</v>
      </c>
      <c r="C2832" s="3">
        <v>0</v>
      </c>
      <c r="D2832" s="3">
        <v>0</v>
      </c>
      <c r="E2832" s="3">
        <f>C2832 - D2832</f>
        <v>0</v>
      </c>
    </row>
    <row r="2833" spans="2:5" x14ac:dyDescent="0.35">
      <c r="B2833" s="38">
        <v>39334</v>
      </c>
      <c r="C2833" s="3">
        <v>0</v>
      </c>
      <c r="D2833" s="3">
        <v>0</v>
      </c>
      <c r="E2833" s="3">
        <f>C2833 - D2833</f>
        <v>0</v>
      </c>
    </row>
    <row r="2834" spans="2:5" x14ac:dyDescent="0.35">
      <c r="B2834" s="38">
        <v>39335</v>
      </c>
      <c r="C2834" s="3">
        <v>1</v>
      </c>
      <c r="D2834" s="3">
        <v>0</v>
      </c>
      <c r="E2834" s="3">
        <f>C2834 - D2834</f>
        <v>1</v>
      </c>
    </row>
    <row r="2835" spans="2:5" x14ac:dyDescent="0.35">
      <c r="B2835" s="38">
        <v>39336</v>
      </c>
      <c r="C2835" s="3">
        <v>1</v>
      </c>
      <c r="D2835" s="3">
        <v>1</v>
      </c>
      <c r="E2835" s="3">
        <f>C2835 - D2835</f>
        <v>0</v>
      </c>
    </row>
    <row r="2836" spans="2:5" x14ac:dyDescent="0.35">
      <c r="B2836" s="38">
        <v>39337</v>
      </c>
      <c r="C2836" s="3">
        <v>1</v>
      </c>
      <c r="D2836" s="3">
        <v>1</v>
      </c>
      <c r="E2836" s="3">
        <f>C2836 - D2836</f>
        <v>0</v>
      </c>
    </row>
    <row r="2837" spans="2:5" x14ac:dyDescent="0.35">
      <c r="B2837" s="38">
        <v>39338</v>
      </c>
      <c r="C2837" s="3">
        <v>0</v>
      </c>
      <c r="D2837" s="3">
        <v>1</v>
      </c>
      <c r="E2837" s="3">
        <f>C2837 - D2837</f>
        <v>-1</v>
      </c>
    </row>
    <row r="2838" spans="2:5" x14ac:dyDescent="0.35">
      <c r="B2838" s="38">
        <v>39339</v>
      </c>
      <c r="C2838" s="3">
        <v>0</v>
      </c>
      <c r="D2838" s="3">
        <v>0</v>
      </c>
      <c r="E2838" s="3">
        <f>C2838 - D2838</f>
        <v>0</v>
      </c>
    </row>
    <row r="2839" spans="2:5" x14ac:dyDescent="0.35">
      <c r="B2839" s="38">
        <v>39340</v>
      </c>
      <c r="C2839" s="3">
        <v>1</v>
      </c>
      <c r="D2839" s="3">
        <v>0</v>
      </c>
      <c r="E2839" s="3">
        <f>C2839 - D2839</f>
        <v>1</v>
      </c>
    </row>
    <row r="2840" spans="2:5" x14ac:dyDescent="0.35">
      <c r="B2840" s="38">
        <v>39341</v>
      </c>
      <c r="C2840" s="3">
        <v>0</v>
      </c>
      <c r="D2840" s="3">
        <v>1</v>
      </c>
      <c r="E2840" s="3">
        <f>C2840 - D2840</f>
        <v>-1</v>
      </c>
    </row>
    <row r="2841" spans="2:5" x14ac:dyDescent="0.35">
      <c r="B2841" s="38">
        <v>39342</v>
      </c>
      <c r="C2841" s="3">
        <v>1</v>
      </c>
      <c r="D2841" s="3">
        <v>0</v>
      </c>
      <c r="E2841" s="3">
        <f>C2841 - D2841</f>
        <v>1</v>
      </c>
    </row>
    <row r="2842" spans="2:5" x14ac:dyDescent="0.35">
      <c r="B2842" s="38">
        <v>39343</v>
      </c>
      <c r="C2842" s="3">
        <v>0</v>
      </c>
      <c r="D2842" s="3">
        <v>1</v>
      </c>
      <c r="E2842" s="3">
        <f>C2842 - D2842</f>
        <v>-1</v>
      </c>
    </row>
    <row r="2843" spans="2:5" x14ac:dyDescent="0.35">
      <c r="B2843" s="38">
        <v>39344</v>
      </c>
      <c r="C2843" s="3">
        <v>0</v>
      </c>
      <c r="D2843" s="3">
        <v>0</v>
      </c>
      <c r="E2843" s="3">
        <f>C2843 - D2843</f>
        <v>0</v>
      </c>
    </row>
    <row r="2844" spans="2:5" x14ac:dyDescent="0.35">
      <c r="B2844" s="38">
        <v>39345</v>
      </c>
      <c r="C2844" s="3">
        <v>1</v>
      </c>
      <c r="D2844" s="3">
        <v>0</v>
      </c>
      <c r="E2844" s="3">
        <f>C2844 - D2844</f>
        <v>1</v>
      </c>
    </row>
    <row r="2845" spans="2:5" x14ac:dyDescent="0.35">
      <c r="B2845" s="38">
        <v>39346</v>
      </c>
      <c r="C2845" s="3">
        <v>0</v>
      </c>
      <c r="D2845" s="3">
        <v>1</v>
      </c>
      <c r="E2845" s="3">
        <f>C2845 - D2845</f>
        <v>-1</v>
      </c>
    </row>
    <row r="2846" spans="2:5" x14ac:dyDescent="0.35">
      <c r="B2846" s="38">
        <v>39347</v>
      </c>
      <c r="C2846" s="3">
        <v>1</v>
      </c>
      <c r="D2846" s="3">
        <v>0</v>
      </c>
      <c r="E2846" s="3">
        <f>C2846 - D2846</f>
        <v>1</v>
      </c>
    </row>
    <row r="2847" spans="2:5" x14ac:dyDescent="0.35">
      <c r="B2847" s="38">
        <v>39348</v>
      </c>
      <c r="C2847" s="3">
        <v>0</v>
      </c>
      <c r="D2847" s="3">
        <v>1</v>
      </c>
      <c r="E2847" s="3">
        <f>C2847 - D2847</f>
        <v>-1</v>
      </c>
    </row>
    <row r="2848" spans="2:5" x14ac:dyDescent="0.35">
      <c r="B2848" s="38">
        <v>39349</v>
      </c>
      <c r="C2848" s="3">
        <v>0</v>
      </c>
      <c r="D2848" s="3">
        <v>0</v>
      </c>
      <c r="E2848" s="3">
        <f>C2848 - D2848</f>
        <v>0</v>
      </c>
    </row>
    <row r="2849" spans="2:5" x14ac:dyDescent="0.35">
      <c r="B2849" s="38">
        <v>39350</v>
      </c>
      <c r="C2849" s="3">
        <v>0</v>
      </c>
      <c r="D2849" s="3">
        <v>0</v>
      </c>
      <c r="E2849" s="3">
        <f>C2849 - D2849</f>
        <v>0</v>
      </c>
    </row>
    <row r="2850" spans="2:5" x14ac:dyDescent="0.35">
      <c r="B2850" s="38">
        <v>39351</v>
      </c>
      <c r="C2850" s="3">
        <v>0</v>
      </c>
      <c r="D2850" s="3">
        <v>0</v>
      </c>
      <c r="E2850" s="3">
        <f>C2850 - D2850</f>
        <v>0</v>
      </c>
    </row>
    <row r="2851" spans="2:5" x14ac:dyDescent="0.35">
      <c r="B2851" s="38">
        <v>39352</v>
      </c>
      <c r="C2851" s="3">
        <v>1</v>
      </c>
      <c r="D2851" s="3">
        <v>0</v>
      </c>
      <c r="E2851" s="3">
        <f>C2851 - D2851</f>
        <v>1</v>
      </c>
    </row>
    <row r="2852" spans="2:5" x14ac:dyDescent="0.35">
      <c r="B2852" s="38">
        <v>39353</v>
      </c>
      <c r="C2852" s="3">
        <v>1</v>
      </c>
      <c r="D2852" s="3">
        <v>1</v>
      </c>
      <c r="E2852" s="3">
        <f>C2852 - D2852</f>
        <v>0</v>
      </c>
    </row>
    <row r="2853" spans="2:5" x14ac:dyDescent="0.35">
      <c r="B2853" s="38">
        <v>39354</v>
      </c>
      <c r="C2853" s="3">
        <v>1</v>
      </c>
      <c r="D2853" s="3">
        <v>1</v>
      </c>
      <c r="E2853" s="3">
        <f>C2853 - D2853</f>
        <v>0</v>
      </c>
    </row>
    <row r="2854" spans="2:5" x14ac:dyDescent="0.35">
      <c r="B2854" s="38">
        <v>39355</v>
      </c>
      <c r="C2854" s="3">
        <v>0</v>
      </c>
      <c r="D2854" s="3">
        <v>1</v>
      </c>
      <c r="E2854" s="3">
        <f>C2854 - D2854</f>
        <v>-1</v>
      </c>
    </row>
    <row r="2855" spans="2:5" x14ac:dyDescent="0.35">
      <c r="B2855" s="38">
        <v>39356</v>
      </c>
      <c r="C2855" s="3">
        <v>1</v>
      </c>
      <c r="D2855" s="3">
        <v>0</v>
      </c>
      <c r="E2855" s="3">
        <f>C2855 - D2855</f>
        <v>1</v>
      </c>
    </row>
    <row r="2856" spans="2:5" x14ac:dyDescent="0.35">
      <c r="B2856" s="38">
        <v>39357</v>
      </c>
      <c r="C2856" s="3">
        <v>0</v>
      </c>
      <c r="D2856" s="3">
        <v>1</v>
      </c>
      <c r="E2856" s="3">
        <f>C2856 - D2856</f>
        <v>-1</v>
      </c>
    </row>
    <row r="2857" spans="2:5" x14ac:dyDescent="0.35">
      <c r="B2857" s="38">
        <v>39358</v>
      </c>
      <c r="C2857" s="3">
        <v>0</v>
      </c>
      <c r="D2857" s="3">
        <v>0</v>
      </c>
      <c r="E2857" s="3">
        <f>C2857 - D2857</f>
        <v>0</v>
      </c>
    </row>
    <row r="2858" spans="2:5" x14ac:dyDescent="0.35">
      <c r="B2858" s="38">
        <v>39359</v>
      </c>
      <c r="C2858" s="3">
        <v>0</v>
      </c>
      <c r="D2858" s="3">
        <v>0</v>
      </c>
      <c r="E2858" s="3">
        <f>C2858 - D2858</f>
        <v>0</v>
      </c>
    </row>
    <row r="2859" spans="2:5" x14ac:dyDescent="0.35">
      <c r="B2859" s="38">
        <v>39360</v>
      </c>
      <c r="C2859" s="3">
        <v>1</v>
      </c>
      <c r="D2859" s="3">
        <v>0</v>
      </c>
      <c r="E2859" s="3">
        <f>C2859 - D2859</f>
        <v>1</v>
      </c>
    </row>
    <row r="2860" spans="2:5" x14ac:dyDescent="0.35">
      <c r="B2860" s="38">
        <v>39361</v>
      </c>
      <c r="C2860" s="3">
        <v>1</v>
      </c>
      <c r="D2860" s="3">
        <v>1</v>
      </c>
      <c r="E2860" s="3">
        <f>C2860 - D2860</f>
        <v>0</v>
      </c>
    </row>
    <row r="2861" spans="2:5" x14ac:dyDescent="0.35">
      <c r="B2861" s="38">
        <v>39362</v>
      </c>
      <c r="C2861" s="3">
        <v>1</v>
      </c>
      <c r="D2861" s="3">
        <v>1</v>
      </c>
      <c r="E2861" s="3">
        <f>C2861 - D2861</f>
        <v>0</v>
      </c>
    </row>
    <row r="2862" spans="2:5" x14ac:dyDescent="0.35">
      <c r="B2862" s="38">
        <v>39363</v>
      </c>
      <c r="C2862" s="3">
        <v>0</v>
      </c>
      <c r="D2862" s="3">
        <v>1</v>
      </c>
      <c r="E2862" s="3">
        <f>C2862 - D2862</f>
        <v>-1</v>
      </c>
    </row>
    <row r="2863" spans="2:5" x14ac:dyDescent="0.35">
      <c r="B2863" s="38">
        <v>39364</v>
      </c>
      <c r="C2863" s="3">
        <v>0</v>
      </c>
      <c r="D2863" s="3">
        <v>0</v>
      </c>
      <c r="E2863" s="3">
        <f>C2863 - D2863</f>
        <v>0</v>
      </c>
    </row>
    <row r="2864" spans="2:5" x14ac:dyDescent="0.35">
      <c r="B2864" s="38">
        <v>39365</v>
      </c>
      <c r="C2864" s="3">
        <v>0</v>
      </c>
      <c r="D2864" s="3">
        <v>0</v>
      </c>
      <c r="E2864" s="3">
        <f>C2864 - D2864</f>
        <v>0</v>
      </c>
    </row>
    <row r="2865" spans="2:5" x14ac:dyDescent="0.35">
      <c r="B2865" s="38">
        <v>39366</v>
      </c>
      <c r="C2865" s="3">
        <v>0</v>
      </c>
      <c r="D2865" s="3">
        <v>0</v>
      </c>
      <c r="E2865" s="3">
        <f>C2865 - D2865</f>
        <v>0</v>
      </c>
    </row>
    <row r="2866" spans="2:5" x14ac:dyDescent="0.35">
      <c r="B2866" s="38">
        <v>39367</v>
      </c>
      <c r="C2866" s="3">
        <v>1</v>
      </c>
      <c r="D2866" s="3">
        <v>0</v>
      </c>
      <c r="E2866" s="3">
        <f>C2866 - D2866</f>
        <v>1</v>
      </c>
    </row>
    <row r="2867" spans="2:5" x14ac:dyDescent="0.35">
      <c r="B2867" s="38">
        <v>39368</v>
      </c>
      <c r="C2867" s="3">
        <v>1</v>
      </c>
      <c r="D2867" s="3">
        <v>1</v>
      </c>
      <c r="E2867" s="3">
        <f>C2867 - D2867</f>
        <v>0</v>
      </c>
    </row>
    <row r="2868" spans="2:5" x14ac:dyDescent="0.35">
      <c r="B2868" s="38">
        <v>39369</v>
      </c>
      <c r="C2868" s="3">
        <v>0</v>
      </c>
      <c r="D2868" s="3">
        <v>1</v>
      </c>
      <c r="E2868" s="3">
        <f>C2868 - D2868</f>
        <v>-1</v>
      </c>
    </row>
    <row r="2869" spans="2:5" x14ac:dyDescent="0.35">
      <c r="B2869" s="38">
        <v>39370</v>
      </c>
      <c r="C2869" s="3">
        <v>0</v>
      </c>
      <c r="D2869" s="3">
        <v>0</v>
      </c>
      <c r="E2869" s="3">
        <f>C2869 - D2869</f>
        <v>0</v>
      </c>
    </row>
    <row r="2870" spans="2:5" x14ac:dyDescent="0.35">
      <c r="B2870" s="38">
        <v>39371</v>
      </c>
      <c r="C2870" s="3">
        <v>0</v>
      </c>
      <c r="D2870" s="3">
        <v>0</v>
      </c>
      <c r="E2870" s="3">
        <f>C2870 - D2870</f>
        <v>0</v>
      </c>
    </row>
    <row r="2871" spans="2:5" x14ac:dyDescent="0.35">
      <c r="B2871" s="38">
        <v>39372</v>
      </c>
      <c r="C2871" s="3">
        <v>1</v>
      </c>
      <c r="D2871" s="3">
        <v>0</v>
      </c>
      <c r="E2871" s="3">
        <f>C2871 - D2871</f>
        <v>1</v>
      </c>
    </row>
    <row r="2872" spans="2:5" x14ac:dyDescent="0.35">
      <c r="B2872" s="38">
        <v>39373</v>
      </c>
      <c r="C2872" s="3">
        <v>0</v>
      </c>
      <c r="D2872" s="3">
        <v>1</v>
      </c>
      <c r="E2872" s="3">
        <f>C2872 - D2872</f>
        <v>-1</v>
      </c>
    </row>
    <row r="2873" spans="2:5" x14ac:dyDescent="0.35">
      <c r="B2873" s="38">
        <v>39374</v>
      </c>
      <c r="C2873" s="3">
        <v>0</v>
      </c>
      <c r="D2873" s="3">
        <v>0</v>
      </c>
      <c r="E2873" s="3">
        <f>C2873 - D2873</f>
        <v>0</v>
      </c>
    </row>
    <row r="2874" spans="2:5" x14ac:dyDescent="0.35">
      <c r="B2874" s="38">
        <v>39375</v>
      </c>
      <c r="C2874" s="3">
        <v>0</v>
      </c>
      <c r="D2874" s="3">
        <v>0</v>
      </c>
      <c r="E2874" s="3">
        <f>C2874 - D2874</f>
        <v>0</v>
      </c>
    </row>
    <row r="2875" spans="2:5" x14ac:dyDescent="0.35">
      <c r="B2875" s="38">
        <v>39376</v>
      </c>
      <c r="C2875" s="3">
        <v>0</v>
      </c>
      <c r="D2875" s="3">
        <v>0</v>
      </c>
      <c r="E2875" s="3">
        <f>C2875 - D2875</f>
        <v>0</v>
      </c>
    </row>
    <row r="2876" spans="2:5" x14ac:dyDescent="0.35">
      <c r="B2876" s="38">
        <v>39377</v>
      </c>
      <c r="C2876" s="3">
        <v>0</v>
      </c>
      <c r="D2876" s="3">
        <v>0</v>
      </c>
      <c r="E2876" s="3">
        <f>C2876 - D2876</f>
        <v>0</v>
      </c>
    </row>
    <row r="2877" spans="2:5" x14ac:dyDescent="0.35">
      <c r="B2877" s="38">
        <v>39378</v>
      </c>
      <c r="C2877" s="3">
        <v>1</v>
      </c>
      <c r="D2877" s="3">
        <v>0</v>
      </c>
      <c r="E2877" s="3">
        <f>C2877 - D2877</f>
        <v>1</v>
      </c>
    </row>
    <row r="2878" spans="2:5" x14ac:dyDescent="0.35">
      <c r="B2878" s="38">
        <v>39379</v>
      </c>
      <c r="C2878" s="3">
        <v>0</v>
      </c>
      <c r="D2878" s="3">
        <v>1</v>
      </c>
      <c r="E2878" s="3">
        <f>C2878 - D2878</f>
        <v>-1</v>
      </c>
    </row>
    <row r="2879" spans="2:5" x14ac:dyDescent="0.35">
      <c r="B2879" s="38">
        <v>39380</v>
      </c>
      <c r="C2879" s="3">
        <v>0</v>
      </c>
      <c r="D2879" s="3">
        <v>0</v>
      </c>
      <c r="E2879" s="3">
        <f>C2879 - D2879</f>
        <v>0</v>
      </c>
    </row>
    <row r="2880" spans="2:5" x14ac:dyDescent="0.35">
      <c r="B2880" s="38">
        <v>39381</v>
      </c>
      <c r="C2880" s="3">
        <v>1</v>
      </c>
      <c r="D2880" s="3">
        <v>0</v>
      </c>
      <c r="E2880" s="3">
        <f>C2880 - D2880</f>
        <v>1</v>
      </c>
    </row>
    <row r="2881" spans="2:5" x14ac:dyDescent="0.35">
      <c r="B2881" s="38">
        <v>39382</v>
      </c>
      <c r="C2881" s="3">
        <v>0</v>
      </c>
      <c r="D2881" s="3">
        <v>1</v>
      </c>
      <c r="E2881" s="3">
        <f>C2881 - D2881</f>
        <v>-1</v>
      </c>
    </row>
    <row r="2882" spans="2:5" x14ac:dyDescent="0.35">
      <c r="B2882" s="38">
        <v>39383</v>
      </c>
      <c r="C2882" s="3">
        <v>0</v>
      </c>
      <c r="D2882" s="3">
        <v>0</v>
      </c>
      <c r="E2882" s="3">
        <f>C2882 - D2882</f>
        <v>0</v>
      </c>
    </row>
    <row r="2883" spans="2:5" x14ac:dyDescent="0.35">
      <c r="B2883" s="38">
        <v>39384</v>
      </c>
      <c r="C2883" s="3">
        <v>0</v>
      </c>
      <c r="D2883" s="3">
        <v>0</v>
      </c>
      <c r="E2883" s="3">
        <f>C2883 - D2883</f>
        <v>0</v>
      </c>
    </row>
    <row r="2884" spans="2:5" x14ac:dyDescent="0.35">
      <c r="B2884" s="38">
        <v>39385</v>
      </c>
      <c r="C2884" s="3">
        <v>0</v>
      </c>
      <c r="D2884" s="3">
        <v>0</v>
      </c>
      <c r="E2884" s="3">
        <f>C2884 - D2884</f>
        <v>0</v>
      </c>
    </row>
    <row r="2885" spans="2:5" x14ac:dyDescent="0.35">
      <c r="B2885" s="38">
        <v>39386</v>
      </c>
      <c r="C2885" s="3">
        <v>0</v>
      </c>
      <c r="D2885" s="3">
        <v>0</v>
      </c>
      <c r="E2885" s="3">
        <f>C2885 - D2885</f>
        <v>0</v>
      </c>
    </row>
    <row r="2886" spans="2:5" x14ac:dyDescent="0.35">
      <c r="B2886" s="38">
        <v>39387</v>
      </c>
      <c r="C2886" s="3">
        <v>0</v>
      </c>
      <c r="D2886" s="3">
        <v>0</v>
      </c>
      <c r="E2886" s="3">
        <f>C2886 - D2886</f>
        <v>0</v>
      </c>
    </row>
    <row r="2887" spans="2:5" x14ac:dyDescent="0.35">
      <c r="B2887" s="38">
        <v>39388</v>
      </c>
      <c r="C2887" s="3">
        <v>1</v>
      </c>
      <c r="D2887" s="3">
        <v>0</v>
      </c>
      <c r="E2887" s="3">
        <f>C2887 - D2887</f>
        <v>1</v>
      </c>
    </row>
    <row r="2888" spans="2:5" x14ac:dyDescent="0.35">
      <c r="B2888" s="38">
        <v>39389</v>
      </c>
      <c r="C2888" s="3">
        <v>0</v>
      </c>
      <c r="D2888" s="3">
        <v>1</v>
      </c>
      <c r="E2888" s="3">
        <f>C2888 - D2888</f>
        <v>-1</v>
      </c>
    </row>
    <row r="2889" spans="2:5" x14ac:dyDescent="0.35">
      <c r="B2889" s="38">
        <v>39390</v>
      </c>
      <c r="C2889" s="3">
        <v>1</v>
      </c>
      <c r="D2889" s="3">
        <v>0</v>
      </c>
      <c r="E2889" s="3">
        <f>C2889 - D2889</f>
        <v>1</v>
      </c>
    </row>
    <row r="2890" spans="2:5" x14ac:dyDescent="0.35">
      <c r="B2890" s="38">
        <v>39391</v>
      </c>
      <c r="C2890" s="3">
        <v>1</v>
      </c>
      <c r="D2890" s="3">
        <v>1</v>
      </c>
      <c r="E2890" s="3">
        <f>C2890 - D2890</f>
        <v>0</v>
      </c>
    </row>
    <row r="2891" spans="2:5" x14ac:dyDescent="0.35">
      <c r="B2891" s="38">
        <v>39392</v>
      </c>
      <c r="C2891" s="3">
        <v>0</v>
      </c>
      <c r="D2891" s="3">
        <v>1</v>
      </c>
      <c r="E2891" s="3">
        <f>C2891 - D2891</f>
        <v>-1</v>
      </c>
    </row>
    <row r="2892" spans="2:5" x14ac:dyDescent="0.35">
      <c r="B2892" s="38">
        <v>39393</v>
      </c>
      <c r="C2892" s="3">
        <v>0</v>
      </c>
      <c r="D2892" s="3">
        <v>0</v>
      </c>
      <c r="E2892" s="3">
        <f>C2892 - D2892</f>
        <v>0</v>
      </c>
    </row>
    <row r="2893" spans="2:5" x14ac:dyDescent="0.35">
      <c r="B2893" s="38">
        <v>39394</v>
      </c>
      <c r="C2893" s="3">
        <v>0</v>
      </c>
      <c r="D2893" s="3">
        <v>0</v>
      </c>
      <c r="E2893" s="3">
        <f>C2893 - D2893</f>
        <v>0</v>
      </c>
    </row>
    <row r="2894" spans="2:5" x14ac:dyDescent="0.35">
      <c r="B2894" s="38">
        <v>39395</v>
      </c>
      <c r="C2894" s="3">
        <v>0</v>
      </c>
      <c r="D2894" s="3">
        <v>0</v>
      </c>
      <c r="E2894" s="3">
        <f>C2894 - D2894</f>
        <v>0</v>
      </c>
    </row>
    <row r="2895" spans="2:5" x14ac:dyDescent="0.35">
      <c r="B2895" s="38">
        <v>39396</v>
      </c>
      <c r="C2895" s="3">
        <v>0</v>
      </c>
      <c r="D2895" s="3">
        <v>0</v>
      </c>
      <c r="E2895" s="3">
        <f>C2895 - D2895</f>
        <v>0</v>
      </c>
    </row>
    <row r="2896" spans="2:5" x14ac:dyDescent="0.35">
      <c r="B2896" s="38">
        <v>39397</v>
      </c>
      <c r="C2896" s="3">
        <v>0</v>
      </c>
      <c r="D2896" s="3">
        <v>0</v>
      </c>
      <c r="E2896" s="3">
        <f>C2896 - D2896</f>
        <v>0</v>
      </c>
    </row>
    <row r="2897" spans="2:5" x14ac:dyDescent="0.35">
      <c r="B2897" s="38">
        <v>39398</v>
      </c>
      <c r="C2897" s="3">
        <v>0</v>
      </c>
      <c r="D2897" s="3">
        <v>0</v>
      </c>
      <c r="E2897" s="3">
        <f>C2897 - D2897</f>
        <v>0</v>
      </c>
    </row>
    <row r="2898" spans="2:5" x14ac:dyDescent="0.35">
      <c r="B2898" s="38">
        <v>39399</v>
      </c>
      <c r="C2898" s="3">
        <v>0</v>
      </c>
      <c r="D2898" s="3">
        <v>0</v>
      </c>
      <c r="E2898" s="3">
        <f>C2898 - D2898</f>
        <v>0</v>
      </c>
    </row>
    <row r="2899" spans="2:5" x14ac:dyDescent="0.35">
      <c r="B2899" s="38">
        <v>39400</v>
      </c>
      <c r="C2899" s="3">
        <v>0</v>
      </c>
      <c r="D2899" s="3">
        <v>0</v>
      </c>
      <c r="E2899" s="3">
        <f>C2899 - D2899</f>
        <v>0</v>
      </c>
    </row>
    <row r="2900" spans="2:5" x14ac:dyDescent="0.35">
      <c r="B2900" s="38">
        <v>39401</v>
      </c>
      <c r="C2900" s="3">
        <v>0</v>
      </c>
      <c r="D2900" s="3">
        <v>0</v>
      </c>
      <c r="E2900" s="3">
        <f>C2900 - D2900</f>
        <v>0</v>
      </c>
    </row>
    <row r="2901" spans="2:5" x14ac:dyDescent="0.35">
      <c r="B2901" s="38">
        <v>39402</v>
      </c>
      <c r="C2901" s="3">
        <v>0</v>
      </c>
      <c r="D2901" s="3">
        <v>0</v>
      </c>
      <c r="E2901" s="3">
        <f>C2901 - D2901</f>
        <v>0</v>
      </c>
    </row>
    <row r="2902" spans="2:5" x14ac:dyDescent="0.35">
      <c r="B2902" s="38">
        <v>39403</v>
      </c>
      <c r="C2902" s="3">
        <v>0</v>
      </c>
      <c r="D2902" s="3">
        <v>0</v>
      </c>
      <c r="E2902" s="3">
        <f>C2902 - D2902</f>
        <v>0</v>
      </c>
    </row>
    <row r="2903" spans="2:5" x14ac:dyDescent="0.35">
      <c r="B2903" s="38">
        <v>39404</v>
      </c>
      <c r="C2903" s="3">
        <v>1</v>
      </c>
      <c r="D2903" s="3">
        <v>0</v>
      </c>
      <c r="E2903" s="3">
        <f>C2903 - D2903</f>
        <v>1</v>
      </c>
    </row>
    <row r="2904" spans="2:5" x14ac:dyDescent="0.35">
      <c r="B2904" s="38">
        <v>39405</v>
      </c>
      <c r="C2904" s="3">
        <v>1</v>
      </c>
      <c r="D2904" s="3">
        <v>1</v>
      </c>
      <c r="E2904" s="3">
        <f>C2904 - D2904</f>
        <v>0</v>
      </c>
    </row>
    <row r="2905" spans="2:5" x14ac:dyDescent="0.35">
      <c r="B2905" s="38">
        <v>39406</v>
      </c>
      <c r="C2905" s="3">
        <v>0</v>
      </c>
      <c r="D2905" s="3">
        <v>1</v>
      </c>
      <c r="E2905" s="3">
        <f>C2905 - D2905</f>
        <v>-1</v>
      </c>
    </row>
    <row r="2906" spans="2:5" x14ac:dyDescent="0.35">
      <c r="B2906" s="38">
        <v>39407</v>
      </c>
      <c r="C2906" s="3">
        <v>1</v>
      </c>
      <c r="D2906" s="3">
        <v>0</v>
      </c>
      <c r="E2906" s="3">
        <f>C2906 - D2906</f>
        <v>1</v>
      </c>
    </row>
    <row r="2907" spans="2:5" x14ac:dyDescent="0.35">
      <c r="B2907" s="38">
        <v>39408</v>
      </c>
      <c r="C2907" s="3">
        <v>1</v>
      </c>
      <c r="D2907" s="3">
        <v>1</v>
      </c>
      <c r="E2907" s="3">
        <f>C2907 - D2907</f>
        <v>0</v>
      </c>
    </row>
    <row r="2908" spans="2:5" x14ac:dyDescent="0.35">
      <c r="B2908" s="38">
        <v>39409</v>
      </c>
      <c r="C2908" s="3">
        <v>1</v>
      </c>
      <c r="D2908" s="3">
        <v>1</v>
      </c>
      <c r="E2908" s="3">
        <f>C2908 - D2908</f>
        <v>0</v>
      </c>
    </row>
    <row r="2909" spans="2:5" x14ac:dyDescent="0.35">
      <c r="B2909" s="38">
        <v>39410</v>
      </c>
      <c r="C2909" s="3">
        <v>0</v>
      </c>
      <c r="D2909" s="3">
        <v>1</v>
      </c>
      <c r="E2909" s="3">
        <f>C2909 - D2909</f>
        <v>-1</v>
      </c>
    </row>
    <row r="2910" spans="2:5" x14ac:dyDescent="0.35">
      <c r="B2910" s="38">
        <v>39411</v>
      </c>
      <c r="C2910" s="3">
        <v>0</v>
      </c>
      <c r="D2910" s="3">
        <v>0</v>
      </c>
      <c r="E2910" s="3">
        <f>C2910 - D2910</f>
        <v>0</v>
      </c>
    </row>
    <row r="2911" spans="2:5" x14ac:dyDescent="0.35">
      <c r="B2911" s="38">
        <v>39412</v>
      </c>
      <c r="C2911" s="3">
        <v>0</v>
      </c>
      <c r="D2911" s="3">
        <v>0</v>
      </c>
      <c r="E2911" s="3">
        <f>C2911 - D2911</f>
        <v>0</v>
      </c>
    </row>
    <row r="2912" spans="2:5" x14ac:dyDescent="0.35">
      <c r="B2912" s="38">
        <v>39413</v>
      </c>
      <c r="C2912" s="3">
        <v>0</v>
      </c>
      <c r="D2912" s="3">
        <v>0</v>
      </c>
      <c r="E2912" s="3">
        <f>C2912 - D2912</f>
        <v>0</v>
      </c>
    </row>
    <row r="2913" spans="2:5" x14ac:dyDescent="0.35">
      <c r="B2913" s="38">
        <v>39414</v>
      </c>
      <c r="C2913" s="3">
        <v>0</v>
      </c>
      <c r="D2913" s="3">
        <v>0</v>
      </c>
      <c r="E2913" s="3">
        <f>C2913 - D2913</f>
        <v>0</v>
      </c>
    </row>
    <row r="2914" spans="2:5" x14ac:dyDescent="0.35">
      <c r="B2914" s="38">
        <v>39415</v>
      </c>
      <c r="C2914" s="3">
        <v>0</v>
      </c>
      <c r="D2914" s="3">
        <v>0</v>
      </c>
      <c r="E2914" s="3">
        <f>C2914 - D2914</f>
        <v>0</v>
      </c>
    </row>
    <row r="2915" spans="2:5" x14ac:dyDescent="0.35">
      <c r="B2915" s="38">
        <v>39416</v>
      </c>
      <c r="C2915" s="3">
        <v>0</v>
      </c>
      <c r="D2915" s="3">
        <v>0</v>
      </c>
      <c r="E2915" s="3">
        <f>C2915 - D2915</f>
        <v>0</v>
      </c>
    </row>
    <row r="2916" spans="2:5" x14ac:dyDescent="0.35">
      <c r="B2916" s="38">
        <v>39417</v>
      </c>
      <c r="C2916" s="3">
        <v>0</v>
      </c>
      <c r="D2916" s="3">
        <v>0</v>
      </c>
      <c r="E2916" s="3">
        <f>C2916 - D2916</f>
        <v>0</v>
      </c>
    </row>
    <row r="2917" spans="2:5" x14ac:dyDescent="0.35">
      <c r="B2917" s="38">
        <v>39418</v>
      </c>
      <c r="C2917" s="3">
        <v>0</v>
      </c>
      <c r="D2917" s="3">
        <v>0</v>
      </c>
      <c r="E2917" s="3">
        <f>C2917 - D2917</f>
        <v>0</v>
      </c>
    </row>
    <row r="2918" spans="2:5" x14ac:dyDescent="0.35">
      <c r="B2918" s="38">
        <v>39419</v>
      </c>
      <c r="C2918" s="3">
        <v>1</v>
      </c>
      <c r="D2918" s="3">
        <v>0</v>
      </c>
      <c r="E2918" s="3">
        <f>C2918 - D2918</f>
        <v>1</v>
      </c>
    </row>
    <row r="2919" spans="2:5" x14ac:dyDescent="0.35">
      <c r="B2919" s="38">
        <v>39420</v>
      </c>
      <c r="C2919" s="3">
        <v>1</v>
      </c>
      <c r="D2919" s="3">
        <v>1</v>
      </c>
      <c r="E2919" s="3">
        <f>C2919 - D2919</f>
        <v>0</v>
      </c>
    </row>
    <row r="2920" spans="2:5" x14ac:dyDescent="0.35">
      <c r="B2920" s="38">
        <v>39421</v>
      </c>
      <c r="C2920" s="3">
        <v>0</v>
      </c>
      <c r="D2920" s="3">
        <v>1</v>
      </c>
      <c r="E2920" s="3">
        <f>C2920 - D2920</f>
        <v>-1</v>
      </c>
    </row>
    <row r="2921" spans="2:5" x14ac:dyDescent="0.35">
      <c r="B2921" s="38">
        <v>39422</v>
      </c>
      <c r="C2921" s="3">
        <v>0</v>
      </c>
      <c r="D2921" s="3">
        <v>0</v>
      </c>
      <c r="E2921" s="3">
        <f>C2921 - D2921</f>
        <v>0</v>
      </c>
    </row>
    <row r="2922" spans="2:5" x14ac:dyDescent="0.35">
      <c r="B2922" s="38">
        <v>39423</v>
      </c>
      <c r="C2922" s="3">
        <v>0</v>
      </c>
      <c r="D2922" s="3">
        <v>0</v>
      </c>
      <c r="E2922" s="3">
        <f>C2922 - D2922</f>
        <v>0</v>
      </c>
    </row>
    <row r="2923" spans="2:5" x14ac:dyDescent="0.35">
      <c r="B2923" s="38">
        <v>39424</v>
      </c>
      <c r="C2923" s="3">
        <v>0</v>
      </c>
      <c r="D2923" s="3">
        <v>0</v>
      </c>
      <c r="E2923" s="3">
        <f>C2923 - D2923</f>
        <v>0</v>
      </c>
    </row>
    <row r="2924" spans="2:5" x14ac:dyDescent="0.35">
      <c r="B2924" s="38">
        <v>39425</v>
      </c>
      <c r="C2924" s="3">
        <v>0</v>
      </c>
      <c r="D2924" s="3">
        <v>0</v>
      </c>
      <c r="E2924" s="3">
        <f>C2924 - D2924</f>
        <v>0</v>
      </c>
    </row>
    <row r="2925" spans="2:5" x14ac:dyDescent="0.35">
      <c r="B2925" s="38">
        <v>39426</v>
      </c>
      <c r="C2925" s="3">
        <v>0</v>
      </c>
      <c r="D2925" s="3">
        <v>0</v>
      </c>
      <c r="E2925" s="3">
        <f>C2925 - D2925</f>
        <v>0</v>
      </c>
    </row>
    <row r="2926" spans="2:5" x14ac:dyDescent="0.35">
      <c r="B2926" s="38">
        <v>39427</v>
      </c>
      <c r="C2926" s="3">
        <v>0</v>
      </c>
      <c r="D2926" s="3">
        <v>0</v>
      </c>
      <c r="E2926" s="3">
        <f>C2926 - D2926</f>
        <v>0</v>
      </c>
    </row>
    <row r="2927" spans="2:5" x14ac:dyDescent="0.35">
      <c r="B2927" s="38">
        <v>39428</v>
      </c>
      <c r="C2927" s="3">
        <v>0</v>
      </c>
      <c r="D2927" s="3">
        <v>0</v>
      </c>
      <c r="E2927" s="3">
        <f>C2927 - D2927</f>
        <v>0</v>
      </c>
    </row>
    <row r="2928" spans="2:5" x14ac:dyDescent="0.35">
      <c r="B2928" s="38">
        <v>39429</v>
      </c>
      <c r="C2928" s="3">
        <v>0</v>
      </c>
      <c r="D2928" s="3">
        <v>0</v>
      </c>
      <c r="E2928" s="3">
        <f>C2928 - D2928</f>
        <v>0</v>
      </c>
    </row>
    <row r="2929" spans="2:5" x14ac:dyDescent="0.35">
      <c r="B2929" s="38">
        <v>39430</v>
      </c>
      <c r="C2929" s="3">
        <v>0</v>
      </c>
      <c r="D2929" s="3">
        <v>0</v>
      </c>
      <c r="E2929" s="3">
        <f>C2929 - D2929</f>
        <v>0</v>
      </c>
    </row>
    <row r="2930" spans="2:5" x14ac:dyDescent="0.35">
      <c r="B2930" s="38">
        <v>39431</v>
      </c>
      <c r="C2930" s="3">
        <v>1</v>
      </c>
      <c r="D2930" s="3">
        <v>0</v>
      </c>
      <c r="E2930" s="3">
        <f>C2930 - D2930</f>
        <v>1</v>
      </c>
    </row>
    <row r="2931" spans="2:5" x14ac:dyDescent="0.35">
      <c r="B2931" s="38">
        <v>39432</v>
      </c>
      <c r="C2931" s="3">
        <v>1</v>
      </c>
      <c r="D2931" s="3">
        <v>1</v>
      </c>
      <c r="E2931" s="3">
        <f>C2931 - D2931</f>
        <v>0</v>
      </c>
    </row>
    <row r="2932" spans="2:5" x14ac:dyDescent="0.35">
      <c r="B2932" s="38">
        <v>39433</v>
      </c>
      <c r="C2932" s="3">
        <v>0</v>
      </c>
      <c r="D2932" s="3">
        <v>1</v>
      </c>
      <c r="E2932" s="3">
        <f>C2932 - D2932</f>
        <v>-1</v>
      </c>
    </row>
    <row r="2933" spans="2:5" x14ac:dyDescent="0.35">
      <c r="B2933" s="38">
        <v>39434</v>
      </c>
      <c r="C2933" s="3">
        <v>0</v>
      </c>
      <c r="D2933" s="3">
        <v>0</v>
      </c>
      <c r="E2933" s="3">
        <f>C2933 - D2933</f>
        <v>0</v>
      </c>
    </row>
    <row r="2934" spans="2:5" x14ac:dyDescent="0.35">
      <c r="B2934" s="38">
        <v>39435</v>
      </c>
      <c r="C2934" s="3">
        <v>0</v>
      </c>
      <c r="D2934" s="3">
        <v>0</v>
      </c>
      <c r="E2934" s="3">
        <f>C2934 - D2934</f>
        <v>0</v>
      </c>
    </row>
    <row r="2935" spans="2:5" x14ac:dyDescent="0.35">
      <c r="B2935" s="38">
        <v>39436</v>
      </c>
      <c r="C2935" s="3">
        <v>1</v>
      </c>
      <c r="D2935" s="3">
        <v>0</v>
      </c>
      <c r="E2935" s="3">
        <f>C2935 - D2935</f>
        <v>1</v>
      </c>
    </row>
    <row r="2936" spans="2:5" x14ac:dyDescent="0.35">
      <c r="B2936" s="38">
        <v>39437</v>
      </c>
      <c r="C2936" s="3">
        <v>1</v>
      </c>
      <c r="D2936" s="3">
        <v>1</v>
      </c>
      <c r="E2936" s="3">
        <f>C2936 - D2936</f>
        <v>0</v>
      </c>
    </row>
    <row r="2937" spans="2:5" x14ac:dyDescent="0.35">
      <c r="B2937" s="38">
        <v>39438</v>
      </c>
      <c r="C2937" s="3">
        <v>1</v>
      </c>
      <c r="D2937" s="3">
        <v>1</v>
      </c>
      <c r="E2937" s="3">
        <f>C2937 - D2937</f>
        <v>0</v>
      </c>
    </row>
    <row r="2938" spans="2:5" x14ac:dyDescent="0.35">
      <c r="B2938" s="38">
        <v>39439</v>
      </c>
      <c r="C2938" s="3">
        <v>1</v>
      </c>
      <c r="D2938" s="3">
        <v>1</v>
      </c>
      <c r="E2938" s="3">
        <f>C2938 - D2938</f>
        <v>0</v>
      </c>
    </row>
    <row r="2939" spans="2:5" x14ac:dyDescent="0.35">
      <c r="B2939" s="38">
        <v>39440</v>
      </c>
      <c r="C2939" s="3">
        <v>0</v>
      </c>
      <c r="D2939" s="3">
        <v>1</v>
      </c>
      <c r="E2939" s="3">
        <f>C2939 - D2939</f>
        <v>-1</v>
      </c>
    </row>
    <row r="2940" spans="2:5" x14ac:dyDescent="0.35">
      <c r="B2940" s="38">
        <v>39441</v>
      </c>
      <c r="C2940" s="3">
        <v>1</v>
      </c>
      <c r="D2940" s="3">
        <v>0</v>
      </c>
      <c r="E2940" s="3">
        <f>C2940 - D2940</f>
        <v>1</v>
      </c>
    </row>
    <row r="2941" spans="2:5" x14ac:dyDescent="0.35">
      <c r="B2941" s="38">
        <v>39442</v>
      </c>
      <c r="C2941" s="3">
        <v>0</v>
      </c>
      <c r="D2941" s="3">
        <v>1</v>
      </c>
      <c r="E2941" s="3">
        <f>C2941 - D2941</f>
        <v>-1</v>
      </c>
    </row>
    <row r="2942" spans="2:5" x14ac:dyDescent="0.35">
      <c r="B2942" s="38">
        <v>39443</v>
      </c>
      <c r="C2942" s="3">
        <v>0</v>
      </c>
      <c r="D2942" s="3">
        <v>0</v>
      </c>
      <c r="E2942" s="3">
        <f>C2942 - D2942</f>
        <v>0</v>
      </c>
    </row>
    <row r="2943" spans="2:5" x14ac:dyDescent="0.35">
      <c r="B2943" s="38">
        <v>39444</v>
      </c>
      <c r="C2943" s="3">
        <v>0</v>
      </c>
      <c r="D2943" s="3">
        <v>0</v>
      </c>
      <c r="E2943" s="3">
        <f>C2943 - D2943</f>
        <v>0</v>
      </c>
    </row>
    <row r="2944" spans="2:5" x14ac:dyDescent="0.35">
      <c r="B2944" s="38">
        <v>39445</v>
      </c>
      <c r="C2944" s="3">
        <v>0</v>
      </c>
      <c r="D2944" s="3">
        <v>0</v>
      </c>
      <c r="E2944" s="3">
        <f>C2944 - D2944</f>
        <v>0</v>
      </c>
    </row>
    <row r="2945" spans="2:5" x14ac:dyDescent="0.35">
      <c r="B2945" s="38">
        <v>39446</v>
      </c>
      <c r="C2945" s="3">
        <v>0</v>
      </c>
      <c r="D2945" s="3">
        <v>0</v>
      </c>
      <c r="E2945" s="3">
        <f>C2945 - D2945</f>
        <v>0</v>
      </c>
    </row>
    <row r="2946" spans="2:5" x14ac:dyDescent="0.35">
      <c r="B2946" s="38">
        <v>39447</v>
      </c>
      <c r="C2946" s="3">
        <v>0</v>
      </c>
      <c r="D2946" s="3">
        <v>0</v>
      </c>
      <c r="E2946" s="3">
        <f>C2946 - D2946</f>
        <v>0</v>
      </c>
    </row>
    <row r="2947" spans="2:5" x14ac:dyDescent="0.35">
      <c r="B2947" s="38">
        <v>39448</v>
      </c>
      <c r="C2947" s="3">
        <v>0</v>
      </c>
      <c r="D2947" s="3">
        <v>0</v>
      </c>
      <c r="E2947" s="3">
        <f>C2947 - D2947</f>
        <v>0</v>
      </c>
    </row>
    <row r="2948" spans="2:5" x14ac:dyDescent="0.35">
      <c r="B2948" s="38">
        <v>39449</v>
      </c>
      <c r="C2948" s="3">
        <v>0</v>
      </c>
      <c r="D2948" s="3">
        <v>0</v>
      </c>
      <c r="E2948" s="3">
        <f>C2948 - D2948</f>
        <v>0</v>
      </c>
    </row>
    <row r="2949" spans="2:5" x14ac:dyDescent="0.35">
      <c r="B2949" s="38">
        <v>39450</v>
      </c>
      <c r="C2949" s="3">
        <v>0</v>
      </c>
      <c r="D2949" s="3">
        <v>0</v>
      </c>
      <c r="E2949" s="3">
        <f>C2949 - D2949</f>
        <v>0</v>
      </c>
    </row>
    <row r="2950" spans="2:5" x14ac:dyDescent="0.35">
      <c r="B2950" s="38">
        <v>39451</v>
      </c>
      <c r="C2950" s="3">
        <v>0</v>
      </c>
      <c r="D2950" s="3">
        <v>0</v>
      </c>
      <c r="E2950" s="3">
        <f>C2950 - D2950</f>
        <v>0</v>
      </c>
    </row>
    <row r="2951" spans="2:5" x14ac:dyDescent="0.35">
      <c r="B2951" s="38">
        <v>39452</v>
      </c>
      <c r="C2951" s="3">
        <v>0</v>
      </c>
      <c r="D2951" s="3">
        <v>0</v>
      </c>
      <c r="E2951" s="3">
        <f>C2951 - D2951</f>
        <v>0</v>
      </c>
    </row>
    <row r="2952" spans="2:5" x14ac:dyDescent="0.35">
      <c r="B2952" s="38">
        <v>39453</v>
      </c>
      <c r="C2952" s="3">
        <v>0</v>
      </c>
      <c r="D2952" s="3">
        <v>0</v>
      </c>
      <c r="E2952" s="3">
        <f>C2952 - D2952</f>
        <v>0</v>
      </c>
    </row>
    <row r="2953" spans="2:5" x14ac:dyDescent="0.35">
      <c r="B2953" s="38">
        <v>39454</v>
      </c>
      <c r="C2953" s="3">
        <v>0</v>
      </c>
      <c r="D2953" s="3">
        <v>0</v>
      </c>
      <c r="E2953" s="3">
        <f>C2953 - D2953</f>
        <v>0</v>
      </c>
    </row>
    <row r="2954" spans="2:5" x14ac:dyDescent="0.35">
      <c r="B2954" s="38">
        <v>39455</v>
      </c>
      <c r="C2954" s="3">
        <v>0</v>
      </c>
      <c r="D2954" s="3">
        <v>0</v>
      </c>
      <c r="E2954" s="3">
        <f>C2954 - D2954</f>
        <v>0</v>
      </c>
    </row>
    <row r="2955" spans="2:5" x14ac:dyDescent="0.35">
      <c r="B2955" s="38">
        <v>39456</v>
      </c>
      <c r="C2955" s="3">
        <v>0</v>
      </c>
      <c r="D2955" s="3">
        <v>0</v>
      </c>
      <c r="E2955" s="3">
        <f>C2955 - D2955</f>
        <v>0</v>
      </c>
    </row>
    <row r="2956" spans="2:5" x14ac:dyDescent="0.35">
      <c r="B2956" s="38">
        <v>39457</v>
      </c>
      <c r="C2956" s="3">
        <v>0</v>
      </c>
      <c r="D2956" s="3">
        <v>0</v>
      </c>
      <c r="E2956" s="3">
        <f>C2956 - D2956</f>
        <v>0</v>
      </c>
    </row>
    <row r="2957" spans="2:5" x14ac:dyDescent="0.35">
      <c r="B2957" s="38">
        <v>39458</v>
      </c>
      <c r="C2957" s="3">
        <v>0</v>
      </c>
      <c r="D2957" s="3">
        <v>0</v>
      </c>
      <c r="E2957" s="3">
        <f>C2957 - D2957</f>
        <v>0</v>
      </c>
    </row>
    <row r="2958" spans="2:5" x14ac:dyDescent="0.35">
      <c r="B2958" s="38">
        <v>39459</v>
      </c>
      <c r="C2958" s="3">
        <v>0</v>
      </c>
      <c r="D2958" s="3">
        <v>0</v>
      </c>
      <c r="E2958" s="3">
        <f>C2958 - D2958</f>
        <v>0</v>
      </c>
    </row>
    <row r="2959" spans="2:5" x14ac:dyDescent="0.35">
      <c r="B2959" s="38">
        <v>39460</v>
      </c>
      <c r="C2959" s="3">
        <v>0</v>
      </c>
      <c r="D2959" s="3">
        <v>0</v>
      </c>
      <c r="E2959" s="3">
        <f>C2959 - D2959</f>
        <v>0</v>
      </c>
    </row>
    <row r="2960" spans="2:5" x14ac:dyDescent="0.35">
      <c r="B2960" s="38">
        <v>39461</v>
      </c>
      <c r="C2960" s="3">
        <v>0</v>
      </c>
      <c r="D2960" s="3">
        <v>0</v>
      </c>
      <c r="E2960" s="3">
        <f>C2960 - D2960</f>
        <v>0</v>
      </c>
    </row>
    <row r="2961" spans="2:5" x14ac:dyDescent="0.35">
      <c r="B2961" s="38">
        <v>39462</v>
      </c>
      <c r="C2961" s="3">
        <v>0</v>
      </c>
      <c r="D2961" s="3">
        <v>0</v>
      </c>
      <c r="E2961" s="3">
        <f>C2961 - D2961</f>
        <v>0</v>
      </c>
    </row>
    <row r="2962" spans="2:5" x14ac:dyDescent="0.35">
      <c r="B2962" s="38">
        <v>39463</v>
      </c>
      <c r="C2962" s="3">
        <v>0</v>
      </c>
      <c r="D2962" s="3">
        <v>0</v>
      </c>
      <c r="E2962" s="3">
        <f>C2962 - D2962</f>
        <v>0</v>
      </c>
    </row>
    <row r="2963" spans="2:5" x14ac:dyDescent="0.35">
      <c r="B2963" s="38">
        <v>39464</v>
      </c>
      <c r="C2963" s="3">
        <v>0</v>
      </c>
      <c r="D2963" s="3">
        <v>0</v>
      </c>
      <c r="E2963" s="3">
        <f>C2963 - D2963</f>
        <v>0</v>
      </c>
    </row>
    <row r="2964" spans="2:5" x14ac:dyDescent="0.35">
      <c r="B2964" s="38">
        <v>39465</v>
      </c>
      <c r="C2964" s="3">
        <v>0</v>
      </c>
      <c r="D2964" s="3">
        <v>0</v>
      </c>
      <c r="E2964" s="3">
        <f>C2964 - D2964</f>
        <v>0</v>
      </c>
    </row>
    <row r="2965" spans="2:5" x14ac:dyDescent="0.35">
      <c r="B2965" s="38">
        <v>39466</v>
      </c>
      <c r="C2965" s="3">
        <v>1</v>
      </c>
      <c r="D2965" s="3">
        <v>0</v>
      </c>
      <c r="E2965" s="3">
        <f>C2965 - D2965</f>
        <v>1</v>
      </c>
    </row>
    <row r="2966" spans="2:5" x14ac:dyDescent="0.35">
      <c r="B2966" s="38">
        <v>39467</v>
      </c>
      <c r="C2966" s="3">
        <v>1</v>
      </c>
      <c r="D2966" s="3">
        <v>1</v>
      </c>
      <c r="E2966" s="3">
        <f>C2966 - D2966</f>
        <v>0</v>
      </c>
    </row>
    <row r="2967" spans="2:5" x14ac:dyDescent="0.35">
      <c r="B2967" s="38">
        <v>39468</v>
      </c>
      <c r="C2967" s="3">
        <v>1</v>
      </c>
      <c r="D2967" s="3">
        <v>1</v>
      </c>
      <c r="E2967" s="3">
        <f>C2967 - D2967</f>
        <v>0</v>
      </c>
    </row>
    <row r="2968" spans="2:5" x14ac:dyDescent="0.35">
      <c r="B2968" s="38">
        <v>39469</v>
      </c>
      <c r="C2968" s="3">
        <v>0</v>
      </c>
      <c r="D2968" s="3">
        <v>1</v>
      </c>
      <c r="E2968" s="3">
        <f>C2968 - D2968</f>
        <v>-1</v>
      </c>
    </row>
    <row r="2969" spans="2:5" x14ac:dyDescent="0.35">
      <c r="B2969" s="38">
        <v>39470</v>
      </c>
      <c r="C2969" s="3">
        <v>0</v>
      </c>
      <c r="D2969" s="3">
        <v>0</v>
      </c>
      <c r="E2969" s="3">
        <f>C2969 - D2969</f>
        <v>0</v>
      </c>
    </row>
    <row r="2970" spans="2:5" x14ac:dyDescent="0.35">
      <c r="B2970" s="38">
        <v>39471</v>
      </c>
      <c r="C2970" s="3">
        <v>0</v>
      </c>
      <c r="D2970" s="3">
        <v>0</v>
      </c>
      <c r="E2970" s="3">
        <f>C2970 - D2970</f>
        <v>0</v>
      </c>
    </row>
    <row r="2971" spans="2:5" x14ac:dyDescent="0.35">
      <c r="B2971" s="38">
        <v>39472</v>
      </c>
      <c r="C2971" s="3">
        <v>0</v>
      </c>
      <c r="D2971" s="3">
        <v>0</v>
      </c>
      <c r="E2971" s="3">
        <f>C2971 - D2971</f>
        <v>0</v>
      </c>
    </row>
    <row r="2972" spans="2:5" x14ac:dyDescent="0.35">
      <c r="B2972" s="38">
        <v>39473</v>
      </c>
      <c r="C2972" s="3">
        <v>0</v>
      </c>
      <c r="D2972" s="3">
        <v>0</v>
      </c>
      <c r="E2972" s="3">
        <f>C2972 - D2972</f>
        <v>0</v>
      </c>
    </row>
    <row r="2973" spans="2:5" x14ac:dyDescent="0.35">
      <c r="B2973" s="38">
        <v>39474</v>
      </c>
      <c r="C2973" s="3">
        <v>0</v>
      </c>
      <c r="D2973" s="3">
        <v>0</v>
      </c>
      <c r="E2973" s="3">
        <f>C2973 - D2973</f>
        <v>0</v>
      </c>
    </row>
    <row r="2974" spans="2:5" x14ac:dyDescent="0.35">
      <c r="B2974" s="38">
        <v>39475</v>
      </c>
      <c r="C2974" s="3">
        <v>0</v>
      </c>
      <c r="D2974" s="3">
        <v>0</v>
      </c>
      <c r="E2974" s="3">
        <f>C2974 - D2974</f>
        <v>0</v>
      </c>
    </row>
    <row r="2975" spans="2:5" x14ac:dyDescent="0.35">
      <c r="B2975" s="38">
        <v>39476</v>
      </c>
      <c r="C2975" s="3">
        <v>0</v>
      </c>
      <c r="D2975" s="3">
        <v>0</v>
      </c>
      <c r="E2975" s="3">
        <f>C2975 - D2975</f>
        <v>0</v>
      </c>
    </row>
    <row r="2976" spans="2:5" x14ac:dyDescent="0.35">
      <c r="B2976" s="38">
        <v>39477</v>
      </c>
      <c r="C2976" s="3">
        <v>0</v>
      </c>
      <c r="D2976" s="3">
        <v>0</v>
      </c>
      <c r="E2976" s="3">
        <f>C2976 - D2976</f>
        <v>0</v>
      </c>
    </row>
    <row r="2977" spans="2:5" x14ac:dyDescent="0.35">
      <c r="B2977" s="38">
        <v>39478</v>
      </c>
      <c r="C2977" s="3">
        <v>1</v>
      </c>
      <c r="D2977" s="3">
        <v>0</v>
      </c>
      <c r="E2977" s="3">
        <f>C2977 - D2977</f>
        <v>1</v>
      </c>
    </row>
    <row r="2978" spans="2:5" x14ac:dyDescent="0.35">
      <c r="B2978" s="38">
        <v>39479</v>
      </c>
      <c r="C2978" s="3">
        <v>1</v>
      </c>
      <c r="D2978" s="3">
        <v>1</v>
      </c>
      <c r="E2978" s="3">
        <f>C2978 - D2978</f>
        <v>0</v>
      </c>
    </row>
    <row r="2979" spans="2:5" x14ac:dyDescent="0.35">
      <c r="B2979" s="38">
        <v>39480</v>
      </c>
      <c r="C2979" s="3">
        <v>0</v>
      </c>
      <c r="D2979" s="3">
        <v>1</v>
      </c>
      <c r="E2979" s="3">
        <f>C2979 - D2979</f>
        <v>-1</v>
      </c>
    </row>
    <row r="2980" spans="2:5" x14ac:dyDescent="0.35">
      <c r="B2980" s="38">
        <v>39481</v>
      </c>
      <c r="C2980" s="3">
        <v>0</v>
      </c>
      <c r="D2980" s="3">
        <v>0</v>
      </c>
      <c r="E2980" s="3">
        <f>C2980 - D2980</f>
        <v>0</v>
      </c>
    </row>
    <row r="2981" spans="2:5" x14ac:dyDescent="0.35">
      <c r="B2981" s="38">
        <v>39482</v>
      </c>
      <c r="C2981" s="3">
        <v>0</v>
      </c>
      <c r="D2981" s="3">
        <v>0</v>
      </c>
      <c r="E2981" s="3">
        <f>C2981 - D2981</f>
        <v>0</v>
      </c>
    </row>
    <row r="2982" spans="2:5" x14ac:dyDescent="0.35">
      <c r="B2982" s="38">
        <v>39483</v>
      </c>
      <c r="C2982" s="3">
        <v>0</v>
      </c>
      <c r="D2982" s="3">
        <v>0</v>
      </c>
      <c r="E2982" s="3">
        <f>C2982 - D2982</f>
        <v>0</v>
      </c>
    </row>
    <row r="2983" spans="2:5" x14ac:dyDescent="0.35">
      <c r="B2983" s="38">
        <v>39484</v>
      </c>
      <c r="C2983" s="3">
        <v>0</v>
      </c>
      <c r="D2983" s="3">
        <v>0</v>
      </c>
      <c r="E2983" s="3">
        <f>C2983 - D2983</f>
        <v>0</v>
      </c>
    </row>
    <row r="2984" spans="2:5" x14ac:dyDescent="0.35">
      <c r="B2984" s="38">
        <v>39485</v>
      </c>
      <c r="C2984" s="3">
        <v>1</v>
      </c>
      <c r="D2984" s="3">
        <v>0</v>
      </c>
      <c r="E2984" s="3">
        <f>C2984 - D2984</f>
        <v>1</v>
      </c>
    </row>
    <row r="2985" spans="2:5" x14ac:dyDescent="0.35">
      <c r="B2985" s="38">
        <v>39486</v>
      </c>
      <c r="C2985" s="3">
        <v>1</v>
      </c>
      <c r="D2985" s="3">
        <v>1</v>
      </c>
      <c r="E2985" s="3">
        <f>C2985 - D2985</f>
        <v>0</v>
      </c>
    </row>
    <row r="2986" spans="2:5" x14ac:dyDescent="0.35">
      <c r="B2986" s="38">
        <v>39487</v>
      </c>
      <c r="C2986" s="3">
        <v>1</v>
      </c>
      <c r="D2986" s="3">
        <v>1</v>
      </c>
      <c r="E2986" s="3">
        <f>C2986 - D2986</f>
        <v>0</v>
      </c>
    </row>
    <row r="2987" spans="2:5" x14ac:dyDescent="0.35">
      <c r="B2987" s="38">
        <v>39488</v>
      </c>
      <c r="C2987" s="3">
        <v>1</v>
      </c>
      <c r="D2987" s="3">
        <v>1</v>
      </c>
      <c r="E2987" s="3">
        <f>C2987 - D2987</f>
        <v>0</v>
      </c>
    </row>
    <row r="2988" spans="2:5" x14ac:dyDescent="0.35">
      <c r="B2988" s="38">
        <v>39489</v>
      </c>
      <c r="C2988" s="3">
        <v>0</v>
      </c>
      <c r="D2988" s="3">
        <v>1</v>
      </c>
      <c r="E2988" s="3">
        <f>C2988 - D2988</f>
        <v>-1</v>
      </c>
    </row>
    <row r="2989" spans="2:5" x14ac:dyDescent="0.35">
      <c r="B2989" s="38">
        <v>39490</v>
      </c>
      <c r="C2989" s="3">
        <v>0</v>
      </c>
      <c r="D2989" s="3">
        <v>0</v>
      </c>
      <c r="E2989" s="3">
        <f>C2989 - D2989</f>
        <v>0</v>
      </c>
    </row>
    <row r="2990" spans="2:5" x14ac:dyDescent="0.35">
      <c r="B2990" s="38">
        <v>39491</v>
      </c>
      <c r="C2990" s="3">
        <v>1</v>
      </c>
      <c r="D2990" s="3">
        <v>0</v>
      </c>
      <c r="E2990" s="3">
        <f>C2990 - D2990</f>
        <v>1</v>
      </c>
    </row>
    <row r="2991" spans="2:5" x14ac:dyDescent="0.35">
      <c r="B2991" s="38">
        <v>39492</v>
      </c>
      <c r="C2991" s="3">
        <v>1</v>
      </c>
      <c r="D2991" s="3">
        <v>1</v>
      </c>
      <c r="E2991" s="3">
        <f>C2991 - D2991</f>
        <v>0</v>
      </c>
    </row>
    <row r="2992" spans="2:5" x14ac:dyDescent="0.35">
      <c r="B2992" s="38">
        <v>39493</v>
      </c>
      <c r="C2992" s="3">
        <v>0</v>
      </c>
      <c r="D2992" s="3">
        <v>1</v>
      </c>
      <c r="E2992" s="3">
        <f>C2992 - D2992</f>
        <v>-1</v>
      </c>
    </row>
    <row r="2993" spans="2:5" x14ac:dyDescent="0.35">
      <c r="B2993" s="38">
        <v>39494</v>
      </c>
      <c r="C2993" s="3">
        <v>0</v>
      </c>
      <c r="D2993" s="3">
        <v>0</v>
      </c>
      <c r="E2993" s="3">
        <f>C2993 - D2993</f>
        <v>0</v>
      </c>
    </row>
    <row r="2994" spans="2:5" x14ac:dyDescent="0.35">
      <c r="B2994" s="38">
        <v>39495</v>
      </c>
      <c r="C2994" s="3">
        <v>0</v>
      </c>
      <c r="D2994" s="3">
        <v>0</v>
      </c>
      <c r="E2994" s="3">
        <f>C2994 - D2994</f>
        <v>0</v>
      </c>
    </row>
    <row r="2995" spans="2:5" x14ac:dyDescent="0.35">
      <c r="B2995" s="38">
        <v>39496</v>
      </c>
      <c r="C2995" s="3">
        <v>0</v>
      </c>
      <c r="D2995" s="3">
        <v>0</v>
      </c>
      <c r="E2995" s="3">
        <f>C2995 - D2995</f>
        <v>0</v>
      </c>
    </row>
    <row r="2996" spans="2:5" x14ac:dyDescent="0.35">
      <c r="B2996" s="38">
        <v>39497</v>
      </c>
      <c r="C2996" s="3">
        <v>0</v>
      </c>
      <c r="D2996" s="3">
        <v>0</v>
      </c>
      <c r="E2996" s="3">
        <f>C2996 - D2996</f>
        <v>0</v>
      </c>
    </row>
    <row r="2997" spans="2:5" x14ac:dyDescent="0.35">
      <c r="B2997" s="38">
        <v>39498</v>
      </c>
      <c r="C2997" s="3">
        <v>1</v>
      </c>
      <c r="D2997" s="3">
        <v>0</v>
      </c>
      <c r="E2997" s="3">
        <f>C2997 - D2997</f>
        <v>1</v>
      </c>
    </row>
    <row r="2998" spans="2:5" x14ac:dyDescent="0.35">
      <c r="B2998" s="38">
        <v>39499</v>
      </c>
      <c r="C2998" s="3">
        <v>1</v>
      </c>
      <c r="D2998" s="3">
        <v>1</v>
      </c>
      <c r="E2998" s="3">
        <f>C2998 - D2998</f>
        <v>0</v>
      </c>
    </row>
    <row r="2999" spans="2:5" x14ac:dyDescent="0.35">
      <c r="B2999" s="38">
        <v>39500</v>
      </c>
      <c r="C2999" s="3">
        <v>0</v>
      </c>
      <c r="D2999" s="3">
        <v>1</v>
      </c>
      <c r="E2999" s="3">
        <f>C2999 - D2999</f>
        <v>-1</v>
      </c>
    </row>
    <row r="3000" spans="2:5" x14ac:dyDescent="0.35">
      <c r="B3000" s="38">
        <v>39501</v>
      </c>
      <c r="C3000" s="3">
        <v>1</v>
      </c>
      <c r="D3000" s="3">
        <v>0</v>
      </c>
      <c r="E3000" s="3">
        <f>C3000 - D3000</f>
        <v>1</v>
      </c>
    </row>
    <row r="3001" spans="2:5" x14ac:dyDescent="0.35">
      <c r="B3001" s="38">
        <v>39502</v>
      </c>
      <c r="C3001" s="3">
        <v>0</v>
      </c>
      <c r="D3001" s="3">
        <v>1</v>
      </c>
      <c r="E3001" s="3">
        <f>C3001 - D3001</f>
        <v>-1</v>
      </c>
    </row>
    <row r="3002" spans="2:5" x14ac:dyDescent="0.35">
      <c r="B3002" s="38">
        <v>39503</v>
      </c>
      <c r="C3002" s="3">
        <v>0</v>
      </c>
      <c r="D3002" s="3">
        <v>0</v>
      </c>
      <c r="E3002" s="3">
        <f>C3002 - D3002</f>
        <v>0</v>
      </c>
    </row>
    <row r="3003" spans="2:5" x14ac:dyDescent="0.35">
      <c r="B3003" s="38">
        <v>39504</v>
      </c>
      <c r="C3003" s="3">
        <v>0</v>
      </c>
      <c r="D3003" s="3">
        <v>0</v>
      </c>
      <c r="E3003" s="3">
        <f>C3003 - D3003</f>
        <v>0</v>
      </c>
    </row>
    <row r="3004" spans="2:5" x14ac:dyDescent="0.35">
      <c r="B3004" s="38">
        <v>39505</v>
      </c>
      <c r="C3004" s="3">
        <v>0</v>
      </c>
      <c r="D3004" s="3">
        <v>0</v>
      </c>
      <c r="E3004" s="3">
        <f>C3004 - D3004</f>
        <v>0</v>
      </c>
    </row>
    <row r="3005" spans="2:5" x14ac:dyDescent="0.35">
      <c r="B3005" s="38">
        <v>39506</v>
      </c>
      <c r="C3005" s="3">
        <v>1</v>
      </c>
      <c r="D3005" s="3">
        <v>0</v>
      </c>
      <c r="E3005" s="3">
        <f>C3005 - D3005</f>
        <v>1</v>
      </c>
    </row>
    <row r="3006" spans="2:5" x14ac:dyDescent="0.35">
      <c r="B3006" s="38">
        <v>39507</v>
      </c>
      <c r="C3006" s="3">
        <v>1</v>
      </c>
      <c r="D3006" s="3">
        <v>1</v>
      </c>
      <c r="E3006" s="3">
        <f>C3006 - D3006</f>
        <v>0</v>
      </c>
    </row>
    <row r="3007" spans="2:5" x14ac:dyDescent="0.35">
      <c r="B3007" s="38">
        <v>39508</v>
      </c>
      <c r="C3007" s="3">
        <v>0</v>
      </c>
      <c r="D3007" s="3">
        <v>1</v>
      </c>
      <c r="E3007" s="3">
        <f>C3007 - D3007</f>
        <v>-1</v>
      </c>
    </row>
    <row r="3008" spans="2:5" x14ac:dyDescent="0.35">
      <c r="B3008" s="38">
        <v>39509</v>
      </c>
      <c r="C3008" s="3">
        <v>0</v>
      </c>
      <c r="D3008" s="3">
        <v>0</v>
      </c>
      <c r="E3008" s="3">
        <f>C3008 - D3008</f>
        <v>0</v>
      </c>
    </row>
    <row r="3009" spans="2:5" x14ac:dyDescent="0.35">
      <c r="B3009" s="38">
        <v>39510</v>
      </c>
      <c r="C3009" s="3">
        <v>0</v>
      </c>
      <c r="D3009" s="3">
        <v>0</v>
      </c>
      <c r="E3009" s="3">
        <f>C3009 - D3009</f>
        <v>0</v>
      </c>
    </row>
    <row r="3010" spans="2:5" x14ac:dyDescent="0.35">
      <c r="B3010" s="38">
        <v>39511</v>
      </c>
      <c r="C3010" s="3">
        <v>0</v>
      </c>
      <c r="D3010" s="3">
        <v>0</v>
      </c>
      <c r="E3010" s="3">
        <f>C3010 - D3010</f>
        <v>0</v>
      </c>
    </row>
    <row r="3011" spans="2:5" x14ac:dyDescent="0.35">
      <c r="B3011" s="38">
        <v>39512</v>
      </c>
      <c r="C3011" s="3">
        <v>0</v>
      </c>
      <c r="D3011" s="3">
        <v>0</v>
      </c>
      <c r="E3011" s="3">
        <f>C3011 - D3011</f>
        <v>0</v>
      </c>
    </row>
    <row r="3012" spans="2:5" x14ac:dyDescent="0.35">
      <c r="B3012" s="38">
        <v>39513</v>
      </c>
      <c r="C3012" s="3">
        <v>0</v>
      </c>
      <c r="D3012" s="3">
        <v>0</v>
      </c>
      <c r="E3012" s="3">
        <f>C3012 - D3012</f>
        <v>0</v>
      </c>
    </row>
    <row r="3013" spans="2:5" x14ac:dyDescent="0.35">
      <c r="B3013" s="38">
        <v>39514</v>
      </c>
      <c r="C3013" s="3">
        <v>0</v>
      </c>
      <c r="D3013" s="3">
        <v>0</v>
      </c>
      <c r="E3013" s="3">
        <f>C3013 - D3013</f>
        <v>0</v>
      </c>
    </row>
    <row r="3014" spans="2:5" x14ac:dyDescent="0.35">
      <c r="B3014" s="38">
        <v>39515</v>
      </c>
      <c r="C3014" s="3">
        <v>1</v>
      </c>
      <c r="D3014" s="3">
        <v>0</v>
      </c>
      <c r="E3014" s="3">
        <f>C3014 - D3014</f>
        <v>1</v>
      </c>
    </row>
    <row r="3015" spans="2:5" x14ac:dyDescent="0.35">
      <c r="B3015" s="38">
        <v>39516</v>
      </c>
      <c r="C3015" s="3">
        <v>0</v>
      </c>
      <c r="D3015" s="3">
        <v>1</v>
      </c>
      <c r="E3015" s="3">
        <f>C3015 - D3015</f>
        <v>-1</v>
      </c>
    </row>
    <row r="3016" spans="2:5" x14ac:dyDescent="0.35">
      <c r="B3016" s="38">
        <v>39517</v>
      </c>
      <c r="C3016" s="3">
        <v>0</v>
      </c>
      <c r="D3016" s="3">
        <v>0</v>
      </c>
      <c r="E3016" s="3">
        <f>C3016 - D3016</f>
        <v>0</v>
      </c>
    </row>
    <row r="3017" spans="2:5" x14ac:dyDescent="0.35">
      <c r="B3017" s="38">
        <v>39518</v>
      </c>
      <c r="C3017" s="3">
        <v>0</v>
      </c>
      <c r="D3017" s="3">
        <v>0</v>
      </c>
      <c r="E3017" s="3">
        <f>C3017 - D3017</f>
        <v>0</v>
      </c>
    </row>
    <row r="3018" spans="2:5" x14ac:dyDescent="0.35">
      <c r="B3018" s="38">
        <v>39519</v>
      </c>
      <c r="C3018" s="3">
        <v>0</v>
      </c>
      <c r="D3018" s="3">
        <v>0</v>
      </c>
      <c r="E3018" s="3">
        <f>C3018 - D3018</f>
        <v>0</v>
      </c>
    </row>
    <row r="3019" spans="2:5" x14ac:dyDescent="0.35">
      <c r="B3019" s="38">
        <v>39520</v>
      </c>
      <c r="C3019" s="3">
        <v>0</v>
      </c>
      <c r="D3019" s="3">
        <v>0</v>
      </c>
      <c r="E3019" s="3">
        <f>C3019 - D3019</f>
        <v>0</v>
      </c>
    </row>
    <row r="3020" spans="2:5" x14ac:dyDescent="0.35">
      <c r="B3020" s="38">
        <v>39521</v>
      </c>
      <c r="C3020" s="3">
        <v>0</v>
      </c>
      <c r="D3020" s="3">
        <v>0</v>
      </c>
      <c r="E3020" s="3">
        <f>C3020 - D3020</f>
        <v>0</v>
      </c>
    </row>
    <row r="3021" spans="2:5" x14ac:dyDescent="0.35">
      <c r="B3021" s="38">
        <v>39522</v>
      </c>
      <c r="C3021" s="3">
        <v>0</v>
      </c>
      <c r="D3021" s="3">
        <v>0</v>
      </c>
      <c r="E3021" s="3">
        <f>C3021 - D3021</f>
        <v>0</v>
      </c>
    </row>
    <row r="3022" spans="2:5" x14ac:dyDescent="0.35">
      <c r="B3022" s="38">
        <v>39523</v>
      </c>
      <c r="C3022" s="3">
        <v>0</v>
      </c>
      <c r="D3022" s="3">
        <v>0</v>
      </c>
      <c r="E3022" s="3">
        <f>C3022 - D3022</f>
        <v>0</v>
      </c>
    </row>
    <row r="3023" spans="2:5" x14ac:dyDescent="0.35">
      <c r="B3023" s="38">
        <v>39524</v>
      </c>
      <c r="C3023" s="3">
        <v>0</v>
      </c>
      <c r="D3023" s="3">
        <v>0</v>
      </c>
      <c r="E3023" s="3">
        <f>C3023 - D3023</f>
        <v>0</v>
      </c>
    </row>
    <row r="3024" spans="2:5" x14ac:dyDescent="0.35">
      <c r="B3024" s="38">
        <v>39525</v>
      </c>
      <c r="C3024" s="3">
        <v>0</v>
      </c>
      <c r="D3024" s="3">
        <v>0</v>
      </c>
      <c r="E3024" s="3">
        <f>C3024 - D3024</f>
        <v>0</v>
      </c>
    </row>
    <row r="3025" spans="2:5" x14ac:dyDescent="0.35">
      <c r="B3025" s="38">
        <v>39526</v>
      </c>
      <c r="C3025" s="3">
        <v>0</v>
      </c>
      <c r="D3025" s="3">
        <v>0</v>
      </c>
      <c r="E3025" s="3">
        <f>C3025 - D3025</f>
        <v>0</v>
      </c>
    </row>
    <row r="3026" spans="2:5" x14ac:dyDescent="0.35">
      <c r="B3026" s="38">
        <v>39527</v>
      </c>
      <c r="C3026" s="3">
        <v>0</v>
      </c>
      <c r="D3026" s="3">
        <v>0</v>
      </c>
      <c r="E3026" s="3">
        <f>C3026 - D3026</f>
        <v>0</v>
      </c>
    </row>
    <row r="3027" spans="2:5" x14ac:dyDescent="0.35">
      <c r="B3027" s="38">
        <v>39528</v>
      </c>
      <c r="C3027" s="3">
        <v>0</v>
      </c>
      <c r="D3027" s="3">
        <v>0</v>
      </c>
      <c r="E3027" s="3">
        <f>C3027 - D3027</f>
        <v>0</v>
      </c>
    </row>
    <row r="3028" spans="2:5" x14ac:dyDescent="0.35">
      <c r="B3028" s="38">
        <v>39529</v>
      </c>
      <c r="C3028" s="3">
        <v>0</v>
      </c>
      <c r="D3028" s="3">
        <v>0</v>
      </c>
      <c r="E3028" s="3">
        <f>C3028 - D3028</f>
        <v>0</v>
      </c>
    </row>
    <row r="3029" spans="2:5" x14ac:dyDescent="0.35">
      <c r="B3029" s="38">
        <v>39530</v>
      </c>
      <c r="C3029" s="3">
        <v>0</v>
      </c>
      <c r="D3029" s="3">
        <v>0</v>
      </c>
      <c r="E3029" s="3">
        <f>C3029 - D3029</f>
        <v>0</v>
      </c>
    </row>
    <row r="3030" spans="2:5" x14ac:dyDescent="0.35">
      <c r="B3030" s="38">
        <v>39531</v>
      </c>
      <c r="C3030" s="3">
        <v>0</v>
      </c>
      <c r="D3030" s="3">
        <v>0</v>
      </c>
      <c r="E3030" s="3">
        <f>C3030 - D3030</f>
        <v>0</v>
      </c>
    </row>
    <row r="3031" spans="2:5" x14ac:dyDescent="0.35">
      <c r="B3031" s="38">
        <v>39532</v>
      </c>
      <c r="C3031" s="3">
        <v>1</v>
      </c>
      <c r="D3031" s="3">
        <v>0</v>
      </c>
      <c r="E3031" s="3">
        <f>C3031 - D3031</f>
        <v>1</v>
      </c>
    </row>
    <row r="3032" spans="2:5" x14ac:dyDescent="0.35">
      <c r="B3032" s="38">
        <v>39533</v>
      </c>
      <c r="C3032" s="3">
        <v>0</v>
      </c>
      <c r="D3032" s="3">
        <v>1</v>
      </c>
      <c r="E3032" s="3">
        <f>C3032 - D3032</f>
        <v>-1</v>
      </c>
    </row>
    <row r="3033" spans="2:5" x14ac:dyDescent="0.35">
      <c r="B3033" s="38">
        <v>39534</v>
      </c>
      <c r="C3033" s="3">
        <v>1</v>
      </c>
      <c r="D3033" s="3">
        <v>0</v>
      </c>
      <c r="E3033" s="3">
        <f>C3033 - D3033</f>
        <v>1</v>
      </c>
    </row>
    <row r="3034" spans="2:5" x14ac:dyDescent="0.35">
      <c r="B3034" s="38">
        <v>39535</v>
      </c>
      <c r="C3034" s="3">
        <v>1</v>
      </c>
      <c r="D3034" s="3">
        <v>1</v>
      </c>
      <c r="E3034" s="3">
        <f>C3034 - D3034</f>
        <v>0</v>
      </c>
    </row>
    <row r="3035" spans="2:5" x14ac:dyDescent="0.35">
      <c r="B3035" s="38">
        <v>39536</v>
      </c>
      <c r="C3035" s="3">
        <v>0</v>
      </c>
      <c r="D3035" s="3">
        <v>1</v>
      </c>
      <c r="E3035" s="3">
        <f>C3035 - D3035</f>
        <v>-1</v>
      </c>
    </row>
    <row r="3036" spans="2:5" x14ac:dyDescent="0.35">
      <c r="B3036" s="38">
        <v>39537</v>
      </c>
      <c r="C3036" s="3">
        <v>1</v>
      </c>
      <c r="D3036" s="3">
        <v>0</v>
      </c>
      <c r="E3036" s="3">
        <f>C3036 - D3036</f>
        <v>1</v>
      </c>
    </row>
    <row r="3037" spans="2:5" x14ac:dyDescent="0.35">
      <c r="B3037" s="38">
        <v>39538</v>
      </c>
      <c r="C3037" s="3">
        <v>0</v>
      </c>
      <c r="D3037" s="3">
        <v>1</v>
      </c>
      <c r="E3037" s="3">
        <f>C3037 - D3037</f>
        <v>-1</v>
      </c>
    </row>
    <row r="3038" spans="2:5" x14ac:dyDescent="0.35">
      <c r="B3038" s="38">
        <v>39539</v>
      </c>
      <c r="C3038" s="3">
        <v>1</v>
      </c>
      <c r="D3038" s="3">
        <v>0</v>
      </c>
      <c r="E3038" s="3">
        <f>C3038 - D3038</f>
        <v>1</v>
      </c>
    </row>
    <row r="3039" spans="2:5" x14ac:dyDescent="0.35">
      <c r="B3039" s="38">
        <v>39540</v>
      </c>
      <c r="C3039" s="3">
        <v>0</v>
      </c>
      <c r="D3039" s="3">
        <v>1</v>
      </c>
      <c r="E3039" s="3">
        <f>C3039 - D3039</f>
        <v>-1</v>
      </c>
    </row>
    <row r="3040" spans="2:5" x14ac:dyDescent="0.35">
      <c r="B3040" s="38">
        <v>39541</v>
      </c>
      <c r="C3040" s="3">
        <v>1</v>
      </c>
      <c r="D3040" s="3">
        <v>0</v>
      </c>
      <c r="E3040" s="3">
        <f>C3040 - D3040</f>
        <v>1</v>
      </c>
    </row>
    <row r="3041" spans="2:5" x14ac:dyDescent="0.35">
      <c r="B3041" s="38">
        <v>39542</v>
      </c>
      <c r="C3041" s="3">
        <v>1</v>
      </c>
      <c r="D3041" s="3">
        <v>1</v>
      </c>
      <c r="E3041" s="3">
        <f>C3041 - D3041</f>
        <v>0</v>
      </c>
    </row>
    <row r="3042" spans="2:5" x14ac:dyDescent="0.35">
      <c r="B3042" s="38">
        <v>39543</v>
      </c>
      <c r="C3042" s="3">
        <v>0</v>
      </c>
      <c r="D3042" s="3">
        <v>1</v>
      </c>
      <c r="E3042" s="3">
        <f>C3042 - D3042</f>
        <v>-1</v>
      </c>
    </row>
    <row r="3043" spans="2:5" x14ac:dyDescent="0.35">
      <c r="B3043" s="38">
        <v>39544</v>
      </c>
      <c r="C3043" s="3">
        <v>0</v>
      </c>
      <c r="D3043" s="3">
        <v>0</v>
      </c>
      <c r="E3043" s="3">
        <f>C3043 - D3043</f>
        <v>0</v>
      </c>
    </row>
    <row r="3044" spans="2:5" x14ac:dyDescent="0.35">
      <c r="B3044" s="38">
        <v>39545</v>
      </c>
      <c r="C3044" s="3">
        <v>0</v>
      </c>
      <c r="D3044" s="3">
        <v>0</v>
      </c>
      <c r="E3044" s="3">
        <f>C3044 - D3044</f>
        <v>0</v>
      </c>
    </row>
    <row r="3045" spans="2:5" x14ac:dyDescent="0.35">
      <c r="B3045" s="38">
        <v>39546</v>
      </c>
      <c r="C3045" s="3">
        <v>0</v>
      </c>
      <c r="D3045" s="3">
        <v>0</v>
      </c>
      <c r="E3045" s="3">
        <f>C3045 - D3045</f>
        <v>0</v>
      </c>
    </row>
    <row r="3046" spans="2:5" x14ac:dyDescent="0.35">
      <c r="B3046" s="38">
        <v>39547</v>
      </c>
      <c r="C3046" s="3">
        <v>0</v>
      </c>
      <c r="D3046" s="3">
        <v>0</v>
      </c>
      <c r="E3046" s="3">
        <f>C3046 - D3046</f>
        <v>0</v>
      </c>
    </row>
    <row r="3047" spans="2:5" x14ac:dyDescent="0.35">
      <c r="B3047" s="38">
        <v>39548</v>
      </c>
      <c r="C3047" s="3">
        <v>0</v>
      </c>
      <c r="D3047" s="3">
        <v>0</v>
      </c>
      <c r="E3047" s="3">
        <f>C3047 - D3047</f>
        <v>0</v>
      </c>
    </row>
    <row r="3048" spans="2:5" x14ac:dyDescent="0.35">
      <c r="B3048" s="38">
        <v>39549</v>
      </c>
      <c r="C3048" s="3">
        <v>1</v>
      </c>
      <c r="D3048" s="3">
        <v>0</v>
      </c>
      <c r="E3048" s="3">
        <f>C3048 - D3048</f>
        <v>1</v>
      </c>
    </row>
    <row r="3049" spans="2:5" x14ac:dyDescent="0.35">
      <c r="B3049" s="38">
        <v>39550</v>
      </c>
      <c r="C3049" s="3">
        <v>0</v>
      </c>
      <c r="D3049" s="3">
        <v>1</v>
      </c>
      <c r="E3049" s="3">
        <f>C3049 - D3049</f>
        <v>-1</v>
      </c>
    </row>
    <row r="3050" spans="2:5" x14ac:dyDescent="0.35">
      <c r="B3050" s="38">
        <v>39551</v>
      </c>
      <c r="C3050" s="3">
        <v>1</v>
      </c>
      <c r="D3050" s="3">
        <v>0</v>
      </c>
      <c r="E3050" s="3">
        <f>C3050 - D3050</f>
        <v>1</v>
      </c>
    </row>
    <row r="3051" spans="2:5" x14ac:dyDescent="0.35">
      <c r="B3051" s="38">
        <v>39552</v>
      </c>
      <c r="C3051" s="3">
        <v>0</v>
      </c>
      <c r="D3051" s="3">
        <v>1</v>
      </c>
      <c r="E3051" s="3">
        <f>C3051 - D3051</f>
        <v>-1</v>
      </c>
    </row>
    <row r="3052" spans="2:5" x14ac:dyDescent="0.35">
      <c r="B3052" s="38">
        <v>39553</v>
      </c>
      <c r="C3052" s="3">
        <v>1</v>
      </c>
      <c r="D3052" s="3">
        <v>0</v>
      </c>
      <c r="E3052" s="3">
        <f>C3052 - D3052</f>
        <v>1</v>
      </c>
    </row>
    <row r="3053" spans="2:5" x14ac:dyDescent="0.35">
      <c r="B3053" s="38">
        <v>39554</v>
      </c>
      <c r="C3053" s="3">
        <v>0</v>
      </c>
      <c r="D3053" s="3">
        <v>1</v>
      </c>
      <c r="E3053" s="3">
        <f>C3053 - D3053</f>
        <v>-1</v>
      </c>
    </row>
    <row r="3054" spans="2:5" x14ac:dyDescent="0.35">
      <c r="B3054" s="38">
        <v>39555</v>
      </c>
      <c r="C3054" s="3">
        <v>0</v>
      </c>
      <c r="D3054" s="3">
        <v>0</v>
      </c>
      <c r="E3054" s="3">
        <f>C3054 - D3054</f>
        <v>0</v>
      </c>
    </row>
    <row r="3055" spans="2:5" x14ac:dyDescent="0.35">
      <c r="B3055" s="38">
        <v>39556</v>
      </c>
      <c r="C3055" s="3">
        <v>0</v>
      </c>
      <c r="D3055" s="3">
        <v>0</v>
      </c>
      <c r="E3055" s="3">
        <f>C3055 - D3055</f>
        <v>0</v>
      </c>
    </row>
    <row r="3056" spans="2:5" x14ac:dyDescent="0.35">
      <c r="B3056" s="38">
        <v>39557</v>
      </c>
      <c r="C3056" s="3">
        <v>0</v>
      </c>
      <c r="D3056" s="3">
        <v>0</v>
      </c>
      <c r="E3056" s="3">
        <f>C3056 - D3056</f>
        <v>0</v>
      </c>
    </row>
    <row r="3057" spans="2:5" x14ac:dyDescent="0.35">
      <c r="B3057" s="38">
        <v>39558</v>
      </c>
      <c r="C3057" s="3">
        <v>0</v>
      </c>
      <c r="D3057" s="3">
        <v>0</v>
      </c>
      <c r="E3057" s="3">
        <f>C3057 - D3057</f>
        <v>0</v>
      </c>
    </row>
    <row r="3058" spans="2:5" x14ac:dyDescent="0.35">
      <c r="B3058" s="38">
        <v>39559</v>
      </c>
      <c r="C3058" s="3">
        <v>0</v>
      </c>
      <c r="D3058" s="3">
        <v>0</v>
      </c>
      <c r="E3058" s="3">
        <f>C3058 - D3058</f>
        <v>0</v>
      </c>
    </row>
    <row r="3059" spans="2:5" x14ac:dyDescent="0.35">
      <c r="B3059" s="38">
        <v>39560</v>
      </c>
      <c r="C3059" s="3">
        <v>0</v>
      </c>
      <c r="D3059" s="3">
        <v>0</v>
      </c>
      <c r="E3059" s="3">
        <f>C3059 - D3059</f>
        <v>0</v>
      </c>
    </row>
    <row r="3060" spans="2:5" x14ac:dyDescent="0.35">
      <c r="B3060" s="38">
        <v>39561</v>
      </c>
      <c r="C3060" s="3">
        <v>0</v>
      </c>
      <c r="D3060" s="3">
        <v>0</v>
      </c>
      <c r="E3060" s="3">
        <f>C3060 - D3060</f>
        <v>0</v>
      </c>
    </row>
    <row r="3061" spans="2:5" x14ac:dyDescent="0.35">
      <c r="B3061" s="38">
        <v>39562</v>
      </c>
      <c r="C3061" s="3">
        <v>0</v>
      </c>
      <c r="D3061" s="3">
        <v>0</v>
      </c>
      <c r="E3061" s="3">
        <f>C3061 - D3061</f>
        <v>0</v>
      </c>
    </row>
    <row r="3062" spans="2:5" x14ac:dyDescent="0.35">
      <c r="B3062" s="38">
        <v>39563</v>
      </c>
      <c r="C3062" s="3">
        <v>0</v>
      </c>
      <c r="D3062" s="3">
        <v>0</v>
      </c>
      <c r="E3062" s="3">
        <f>C3062 - D3062</f>
        <v>0</v>
      </c>
    </row>
    <row r="3063" spans="2:5" x14ac:dyDescent="0.35">
      <c r="B3063" s="38">
        <v>39564</v>
      </c>
      <c r="C3063" s="3">
        <v>1</v>
      </c>
      <c r="D3063" s="3">
        <v>0</v>
      </c>
      <c r="E3063" s="3">
        <f>C3063 - D3063</f>
        <v>1</v>
      </c>
    </row>
    <row r="3064" spans="2:5" x14ac:dyDescent="0.35">
      <c r="B3064" s="38">
        <v>39565</v>
      </c>
      <c r="C3064" s="3">
        <v>1</v>
      </c>
      <c r="D3064" s="3">
        <v>1</v>
      </c>
      <c r="E3064" s="3">
        <f>C3064 - D3064</f>
        <v>0</v>
      </c>
    </row>
    <row r="3065" spans="2:5" x14ac:dyDescent="0.35">
      <c r="B3065" s="38">
        <v>39566</v>
      </c>
      <c r="C3065" s="3">
        <v>0</v>
      </c>
      <c r="D3065" s="3">
        <v>1</v>
      </c>
      <c r="E3065" s="3">
        <f>C3065 - D3065</f>
        <v>-1</v>
      </c>
    </row>
    <row r="3066" spans="2:5" x14ac:dyDescent="0.35">
      <c r="B3066" s="38">
        <v>39567</v>
      </c>
      <c r="C3066" s="3">
        <v>1</v>
      </c>
      <c r="D3066" s="3">
        <v>0</v>
      </c>
      <c r="E3066" s="3">
        <f>C3066 - D3066</f>
        <v>1</v>
      </c>
    </row>
    <row r="3067" spans="2:5" x14ac:dyDescent="0.35">
      <c r="B3067" s="38">
        <v>39568</v>
      </c>
      <c r="C3067" s="3">
        <v>0</v>
      </c>
      <c r="D3067" s="3">
        <v>1</v>
      </c>
      <c r="E3067" s="3">
        <f>C3067 - D3067</f>
        <v>-1</v>
      </c>
    </row>
    <row r="3068" spans="2:5" x14ac:dyDescent="0.35">
      <c r="B3068" s="38">
        <v>39569</v>
      </c>
      <c r="C3068" s="3">
        <v>0</v>
      </c>
      <c r="D3068" s="3">
        <v>0</v>
      </c>
      <c r="E3068" s="3">
        <f>C3068 - D3068</f>
        <v>0</v>
      </c>
    </row>
    <row r="3069" spans="2:5" x14ac:dyDescent="0.35">
      <c r="B3069" s="38">
        <v>39570</v>
      </c>
      <c r="C3069" s="3">
        <v>1</v>
      </c>
      <c r="D3069" s="3">
        <v>0</v>
      </c>
      <c r="E3069" s="3">
        <f>C3069 - D3069</f>
        <v>1</v>
      </c>
    </row>
    <row r="3070" spans="2:5" x14ac:dyDescent="0.35">
      <c r="B3070" s="38">
        <v>39571</v>
      </c>
      <c r="C3070" s="3">
        <v>1</v>
      </c>
      <c r="D3070" s="3">
        <v>1</v>
      </c>
      <c r="E3070" s="3">
        <f>C3070 - D3070</f>
        <v>0</v>
      </c>
    </row>
    <row r="3071" spans="2:5" x14ac:dyDescent="0.35">
      <c r="B3071" s="38">
        <v>39572</v>
      </c>
      <c r="C3071" s="3">
        <v>0</v>
      </c>
      <c r="D3071" s="3">
        <v>1</v>
      </c>
      <c r="E3071" s="3">
        <f>C3071 - D3071</f>
        <v>-1</v>
      </c>
    </row>
    <row r="3072" spans="2:5" x14ac:dyDescent="0.35">
      <c r="B3072" s="38">
        <v>39573</v>
      </c>
      <c r="C3072" s="3">
        <v>0</v>
      </c>
      <c r="D3072" s="3">
        <v>0</v>
      </c>
      <c r="E3072" s="3">
        <f>C3072 - D3072</f>
        <v>0</v>
      </c>
    </row>
    <row r="3073" spans="2:5" x14ac:dyDescent="0.35">
      <c r="B3073" s="38">
        <v>39574</v>
      </c>
      <c r="C3073" s="3">
        <v>1</v>
      </c>
      <c r="D3073" s="3">
        <v>0</v>
      </c>
      <c r="E3073" s="3">
        <f>C3073 - D3073</f>
        <v>1</v>
      </c>
    </row>
    <row r="3074" spans="2:5" x14ac:dyDescent="0.35">
      <c r="B3074" s="38">
        <v>39575</v>
      </c>
      <c r="C3074" s="3">
        <v>1</v>
      </c>
      <c r="D3074" s="3">
        <v>1</v>
      </c>
      <c r="E3074" s="3">
        <f>C3074 - D3074</f>
        <v>0</v>
      </c>
    </row>
    <row r="3075" spans="2:5" x14ac:dyDescent="0.35">
      <c r="B3075" s="38">
        <v>39576</v>
      </c>
      <c r="C3075" s="3">
        <v>0</v>
      </c>
      <c r="D3075" s="3">
        <v>1</v>
      </c>
      <c r="E3075" s="3">
        <f>C3075 - D3075</f>
        <v>-1</v>
      </c>
    </row>
    <row r="3076" spans="2:5" x14ac:dyDescent="0.35">
      <c r="B3076" s="38">
        <v>39577</v>
      </c>
      <c r="C3076" s="3">
        <v>0</v>
      </c>
      <c r="D3076" s="3">
        <v>0</v>
      </c>
      <c r="E3076" s="3">
        <f>C3076 - D3076</f>
        <v>0</v>
      </c>
    </row>
    <row r="3077" spans="2:5" x14ac:dyDescent="0.35">
      <c r="B3077" s="38">
        <v>39578</v>
      </c>
      <c r="C3077" s="3">
        <v>0</v>
      </c>
      <c r="D3077" s="3">
        <v>0</v>
      </c>
      <c r="E3077" s="3">
        <f>C3077 - D3077</f>
        <v>0</v>
      </c>
    </row>
    <row r="3078" spans="2:5" x14ac:dyDescent="0.35">
      <c r="B3078" s="38">
        <v>39579</v>
      </c>
      <c r="C3078" s="3">
        <v>0</v>
      </c>
      <c r="D3078" s="3">
        <v>0</v>
      </c>
      <c r="E3078" s="3">
        <f>C3078 - D3078</f>
        <v>0</v>
      </c>
    </row>
    <row r="3079" spans="2:5" x14ac:dyDescent="0.35">
      <c r="B3079" s="38">
        <v>39580</v>
      </c>
      <c r="C3079" s="3">
        <v>0</v>
      </c>
      <c r="D3079" s="3">
        <v>0</v>
      </c>
      <c r="E3079" s="3">
        <f>C3079 - D3079</f>
        <v>0</v>
      </c>
    </row>
    <row r="3080" spans="2:5" x14ac:dyDescent="0.35">
      <c r="B3080" s="38">
        <v>39581</v>
      </c>
      <c r="C3080" s="3">
        <v>0</v>
      </c>
      <c r="D3080" s="3">
        <v>0</v>
      </c>
      <c r="E3080" s="3">
        <f>C3080 - D3080</f>
        <v>0</v>
      </c>
    </row>
    <row r="3081" spans="2:5" x14ac:dyDescent="0.35">
      <c r="B3081" s="38">
        <v>39582</v>
      </c>
      <c r="C3081" s="3">
        <v>0</v>
      </c>
      <c r="D3081" s="3">
        <v>0</v>
      </c>
      <c r="E3081" s="3">
        <f>C3081 - D3081</f>
        <v>0</v>
      </c>
    </row>
    <row r="3082" spans="2:5" x14ac:dyDescent="0.35">
      <c r="B3082" s="38">
        <v>39583</v>
      </c>
      <c r="C3082" s="3">
        <v>0</v>
      </c>
      <c r="D3082" s="3">
        <v>0</v>
      </c>
      <c r="E3082" s="3">
        <f>C3082 - D3082</f>
        <v>0</v>
      </c>
    </row>
    <row r="3083" spans="2:5" x14ac:dyDescent="0.35">
      <c r="B3083" s="38">
        <v>39584</v>
      </c>
      <c r="C3083" s="3">
        <v>0</v>
      </c>
      <c r="D3083" s="3">
        <v>0</v>
      </c>
      <c r="E3083" s="3">
        <f>C3083 - D3083</f>
        <v>0</v>
      </c>
    </row>
    <row r="3084" spans="2:5" x14ac:dyDescent="0.35">
      <c r="B3084" s="38">
        <v>39585</v>
      </c>
      <c r="C3084" s="3">
        <v>1</v>
      </c>
      <c r="D3084" s="3">
        <v>0</v>
      </c>
      <c r="E3084" s="3">
        <f>C3084 - D3084</f>
        <v>1</v>
      </c>
    </row>
    <row r="3085" spans="2:5" x14ac:dyDescent="0.35">
      <c r="B3085" s="38">
        <v>39586</v>
      </c>
      <c r="C3085" s="3">
        <v>1</v>
      </c>
      <c r="D3085" s="3">
        <v>1</v>
      </c>
      <c r="E3085" s="3">
        <f>C3085 - D3085</f>
        <v>0</v>
      </c>
    </row>
    <row r="3086" spans="2:5" x14ac:dyDescent="0.35">
      <c r="B3086" s="38">
        <v>39587</v>
      </c>
      <c r="C3086" s="3">
        <v>0</v>
      </c>
      <c r="D3086" s="3">
        <v>1</v>
      </c>
      <c r="E3086" s="3">
        <f>C3086 - D3086</f>
        <v>-1</v>
      </c>
    </row>
    <row r="3087" spans="2:5" x14ac:dyDescent="0.35">
      <c r="B3087" s="38">
        <v>39588</v>
      </c>
      <c r="C3087" s="3">
        <v>1</v>
      </c>
      <c r="D3087" s="3">
        <v>0</v>
      </c>
      <c r="E3087" s="3">
        <f>C3087 - D3087</f>
        <v>1</v>
      </c>
    </row>
    <row r="3088" spans="2:5" x14ac:dyDescent="0.35">
      <c r="B3088" s="38">
        <v>39589</v>
      </c>
      <c r="C3088" s="3">
        <v>1</v>
      </c>
      <c r="D3088" s="3">
        <v>1</v>
      </c>
      <c r="E3088" s="3">
        <f>C3088 - D3088</f>
        <v>0</v>
      </c>
    </row>
    <row r="3089" spans="2:5" x14ac:dyDescent="0.35">
      <c r="B3089" s="38">
        <v>39590</v>
      </c>
      <c r="C3089" s="3">
        <v>0</v>
      </c>
      <c r="D3089" s="3">
        <v>1</v>
      </c>
      <c r="E3089" s="3">
        <f>C3089 - D3089</f>
        <v>-1</v>
      </c>
    </row>
    <row r="3090" spans="2:5" x14ac:dyDescent="0.35">
      <c r="B3090" s="38">
        <v>39591</v>
      </c>
      <c r="C3090" s="3">
        <v>0</v>
      </c>
      <c r="D3090" s="3">
        <v>0</v>
      </c>
      <c r="E3090" s="3">
        <f>C3090 - D3090</f>
        <v>0</v>
      </c>
    </row>
    <row r="3091" spans="2:5" x14ac:dyDescent="0.35">
      <c r="B3091" s="38">
        <v>39592</v>
      </c>
      <c r="C3091" s="3">
        <v>0</v>
      </c>
      <c r="D3091" s="3">
        <v>0</v>
      </c>
      <c r="E3091" s="3">
        <f>C3091 - D3091</f>
        <v>0</v>
      </c>
    </row>
    <row r="3092" spans="2:5" x14ac:dyDescent="0.35">
      <c r="B3092" s="38">
        <v>39593</v>
      </c>
      <c r="C3092" s="3">
        <v>0</v>
      </c>
      <c r="D3092" s="3">
        <v>0</v>
      </c>
      <c r="E3092" s="3">
        <f>C3092 - D3092</f>
        <v>0</v>
      </c>
    </row>
    <row r="3093" spans="2:5" x14ac:dyDescent="0.35">
      <c r="B3093" s="38">
        <v>39594</v>
      </c>
      <c r="C3093" s="3">
        <v>0</v>
      </c>
      <c r="D3093" s="3">
        <v>0</v>
      </c>
      <c r="E3093" s="3">
        <f>C3093 - D3093</f>
        <v>0</v>
      </c>
    </row>
    <row r="3094" spans="2:5" x14ac:dyDescent="0.35">
      <c r="B3094" s="38">
        <v>39595</v>
      </c>
      <c r="C3094" s="3">
        <v>1</v>
      </c>
      <c r="D3094" s="3">
        <v>0</v>
      </c>
      <c r="E3094" s="3">
        <f>C3094 - D3094</f>
        <v>1</v>
      </c>
    </row>
    <row r="3095" spans="2:5" x14ac:dyDescent="0.35">
      <c r="B3095" s="38">
        <v>39596</v>
      </c>
      <c r="C3095" s="3">
        <v>1</v>
      </c>
      <c r="D3095" s="3">
        <v>1</v>
      </c>
      <c r="E3095" s="3">
        <f>C3095 - D3095</f>
        <v>0</v>
      </c>
    </row>
    <row r="3096" spans="2:5" x14ac:dyDescent="0.35">
      <c r="B3096" s="38">
        <v>39597</v>
      </c>
      <c r="C3096" s="3">
        <v>0</v>
      </c>
      <c r="D3096" s="3">
        <v>1</v>
      </c>
      <c r="E3096" s="3">
        <f>C3096 - D3096</f>
        <v>-1</v>
      </c>
    </row>
    <row r="3097" spans="2:5" x14ac:dyDescent="0.35">
      <c r="B3097" s="38">
        <v>39598</v>
      </c>
      <c r="C3097" s="3">
        <v>0</v>
      </c>
      <c r="D3097" s="3">
        <v>0</v>
      </c>
      <c r="E3097" s="3">
        <f>C3097 - D3097</f>
        <v>0</v>
      </c>
    </row>
    <row r="3098" spans="2:5" x14ac:dyDescent="0.35">
      <c r="B3098" s="38">
        <v>39599</v>
      </c>
      <c r="C3098" s="3">
        <v>0</v>
      </c>
      <c r="D3098" s="3">
        <v>0</v>
      </c>
      <c r="E3098" s="3">
        <f>C3098 - D3098</f>
        <v>0</v>
      </c>
    </row>
    <row r="3099" spans="2:5" x14ac:dyDescent="0.35">
      <c r="B3099" s="38">
        <v>39600</v>
      </c>
      <c r="C3099" s="3">
        <v>1</v>
      </c>
      <c r="D3099" s="3">
        <v>0</v>
      </c>
      <c r="E3099" s="3">
        <f>C3099 - D3099</f>
        <v>1</v>
      </c>
    </row>
    <row r="3100" spans="2:5" x14ac:dyDescent="0.35">
      <c r="B3100" s="38">
        <v>39601</v>
      </c>
      <c r="C3100" s="3">
        <v>0</v>
      </c>
      <c r="D3100" s="3">
        <v>1</v>
      </c>
      <c r="E3100" s="3">
        <f>C3100 - D3100</f>
        <v>-1</v>
      </c>
    </row>
    <row r="3101" spans="2:5" x14ac:dyDescent="0.35">
      <c r="B3101" s="38">
        <v>39602</v>
      </c>
      <c r="C3101" s="3">
        <v>0</v>
      </c>
      <c r="D3101" s="3">
        <v>0</v>
      </c>
      <c r="E3101" s="3">
        <f>C3101 - D3101</f>
        <v>0</v>
      </c>
    </row>
    <row r="3102" spans="2:5" x14ac:dyDescent="0.35">
      <c r="B3102" s="38">
        <v>39603</v>
      </c>
      <c r="C3102" s="3">
        <v>0</v>
      </c>
      <c r="D3102" s="3">
        <v>0</v>
      </c>
      <c r="E3102" s="3">
        <f>C3102 - D3102</f>
        <v>0</v>
      </c>
    </row>
    <row r="3103" spans="2:5" x14ac:dyDescent="0.35">
      <c r="B3103" s="38">
        <v>39604</v>
      </c>
      <c r="C3103" s="3">
        <v>0</v>
      </c>
      <c r="D3103" s="3">
        <v>0</v>
      </c>
      <c r="E3103" s="3">
        <f>C3103 - D3103</f>
        <v>0</v>
      </c>
    </row>
    <row r="3104" spans="2:5" x14ac:dyDescent="0.35">
      <c r="B3104" s="38">
        <v>39605</v>
      </c>
      <c r="C3104" s="3">
        <v>0</v>
      </c>
      <c r="D3104" s="3">
        <v>0</v>
      </c>
      <c r="E3104" s="3">
        <f>C3104 - D3104</f>
        <v>0</v>
      </c>
    </row>
    <row r="3105" spans="2:5" x14ac:dyDescent="0.35">
      <c r="B3105" s="38">
        <v>39606</v>
      </c>
      <c r="C3105" s="3">
        <v>1</v>
      </c>
      <c r="D3105" s="3">
        <v>0</v>
      </c>
      <c r="E3105" s="3">
        <f>C3105 - D3105</f>
        <v>1</v>
      </c>
    </row>
    <row r="3106" spans="2:5" x14ac:dyDescent="0.35">
      <c r="B3106" s="38">
        <v>39607</v>
      </c>
      <c r="C3106" s="3">
        <v>0</v>
      </c>
      <c r="D3106" s="3">
        <v>1</v>
      </c>
      <c r="E3106" s="3">
        <f>C3106 - D3106</f>
        <v>-1</v>
      </c>
    </row>
    <row r="3107" spans="2:5" x14ac:dyDescent="0.35">
      <c r="B3107" s="38">
        <v>39608</v>
      </c>
      <c r="C3107" s="3">
        <v>0</v>
      </c>
      <c r="D3107" s="3">
        <v>0</v>
      </c>
      <c r="E3107" s="3">
        <f>C3107 - D3107</f>
        <v>0</v>
      </c>
    </row>
    <row r="3108" spans="2:5" x14ac:dyDescent="0.35">
      <c r="B3108" s="38">
        <v>39609</v>
      </c>
      <c r="C3108" s="3">
        <v>0</v>
      </c>
      <c r="D3108" s="3">
        <v>0</v>
      </c>
      <c r="E3108" s="3">
        <f>C3108 - D3108</f>
        <v>0</v>
      </c>
    </row>
    <row r="3109" spans="2:5" x14ac:dyDescent="0.35">
      <c r="B3109" s="38">
        <v>39610</v>
      </c>
      <c r="C3109" s="3">
        <v>1</v>
      </c>
      <c r="D3109" s="3">
        <v>0</v>
      </c>
      <c r="E3109" s="3">
        <f>C3109 - D3109</f>
        <v>1</v>
      </c>
    </row>
    <row r="3110" spans="2:5" x14ac:dyDescent="0.35">
      <c r="B3110" s="38">
        <v>39611</v>
      </c>
      <c r="C3110" s="3">
        <v>0</v>
      </c>
      <c r="D3110" s="3">
        <v>1</v>
      </c>
      <c r="E3110" s="3">
        <f>C3110 - D3110</f>
        <v>-1</v>
      </c>
    </row>
    <row r="3111" spans="2:5" x14ac:dyDescent="0.35">
      <c r="B3111" s="38">
        <v>39612</v>
      </c>
      <c r="C3111" s="3">
        <v>1</v>
      </c>
      <c r="D3111" s="3">
        <v>0</v>
      </c>
      <c r="E3111" s="3">
        <f>C3111 - D3111</f>
        <v>1</v>
      </c>
    </row>
    <row r="3112" spans="2:5" x14ac:dyDescent="0.35">
      <c r="B3112" s="38">
        <v>39613</v>
      </c>
      <c r="C3112" s="3">
        <v>1</v>
      </c>
      <c r="D3112" s="3">
        <v>1</v>
      </c>
      <c r="E3112" s="3">
        <f>C3112 - D3112</f>
        <v>0</v>
      </c>
    </row>
    <row r="3113" spans="2:5" x14ac:dyDescent="0.35">
      <c r="B3113" s="38">
        <v>39614</v>
      </c>
      <c r="C3113" s="3">
        <v>1</v>
      </c>
      <c r="D3113" s="3">
        <v>1</v>
      </c>
      <c r="E3113" s="3">
        <f>C3113 - D3113</f>
        <v>0</v>
      </c>
    </row>
    <row r="3114" spans="2:5" x14ac:dyDescent="0.35">
      <c r="B3114" s="38">
        <v>39615</v>
      </c>
      <c r="C3114" s="3">
        <v>0</v>
      </c>
      <c r="D3114" s="3">
        <v>1</v>
      </c>
      <c r="E3114" s="3">
        <f>C3114 - D3114</f>
        <v>-1</v>
      </c>
    </row>
    <row r="3115" spans="2:5" x14ac:dyDescent="0.35">
      <c r="B3115" s="38">
        <v>39616</v>
      </c>
      <c r="C3115" s="3">
        <v>0</v>
      </c>
      <c r="D3115" s="3">
        <v>0</v>
      </c>
      <c r="E3115" s="3">
        <f>C3115 - D3115</f>
        <v>0</v>
      </c>
    </row>
    <row r="3116" spans="2:5" x14ac:dyDescent="0.35">
      <c r="B3116" s="38">
        <v>39617</v>
      </c>
      <c r="C3116" s="3">
        <v>0</v>
      </c>
      <c r="D3116" s="3">
        <v>0</v>
      </c>
      <c r="E3116" s="3">
        <f>C3116 - D3116</f>
        <v>0</v>
      </c>
    </row>
    <row r="3117" spans="2:5" x14ac:dyDescent="0.35">
      <c r="B3117" s="38">
        <v>39618</v>
      </c>
      <c r="C3117" s="3">
        <v>0</v>
      </c>
      <c r="D3117" s="3">
        <v>0</v>
      </c>
      <c r="E3117" s="3">
        <f>C3117 - D3117</f>
        <v>0</v>
      </c>
    </row>
    <row r="3118" spans="2:5" x14ac:dyDescent="0.35">
      <c r="B3118" s="38">
        <v>39619</v>
      </c>
      <c r="C3118" s="3">
        <v>1</v>
      </c>
      <c r="D3118" s="3">
        <v>0</v>
      </c>
      <c r="E3118" s="3">
        <f>C3118 - D3118</f>
        <v>1</v>
      </c>
    </row>
    <row r="3119" spans="2:5" x14ac:dyDescent="0.35">
      <c r="B3119" s="38">
        <v>39620</v>
      </c>
      <c r="C3119" s="3">
        <v>1</v>
      </c>
      <c r="D3119" s="3">
        <v>1</v>
      </c>
      <c r="E3119" s="3">
        <f>C3119 - D3119</f>
        <v>0</v>
      </c>
    </row>
    <row r="3120" spans="2:5" x14ac:dyDescent="0.35">
      <c r="B3120" s="38">
        <v>39621</v>
      </c>
      <c r="C3120" s="3">
        <v>1</v>
      </c>
      <c r="D3120" s="3">
        <v>1</v>
      </c>
      <c r="E3120" s="3">
        <f>C3120 - D3120</f>
        <v>0</v>
      </c>
    </row>
    <row r="3121" spans="2:5" x14ac:dyDescent="0.35">
      <c r="B3121" s="38">
        <v>39622</v>
      </c>
      <c r="C3121" s="3">
        <v>1</v>
      </c>
      <c r="D3121" s="3">
        <v>1</v>
      </c>
      <c r="E3121" s="3">
        <f>C3121 - D3121</f>
        <v>0</v>
      </c>
    </row>
    <row r="3122" spans="2:5" x14ac:dyDescent="0.35">
      <c r="B3122" s="38">
        <v>39623</v>
      </c>
      <c r="C3122" s="3">
        <v>1</v>
      </c>
      <c r="D3122" s="3">
        <v>1</v>
      </c>
      <c r="E3122" s="3">
        <f>C3122 - D3122</f>
        <v>0</v>
      </c>
    </row>
    <row r="3123" spans="2:5" x14ac:dyDescent="0.35">
      <c r="B3123" s="38">
        <v>39624</v>
      </c>
      <c r="C3123" s="3">
        <v>0</v>
      </c>
      <c r="D3123" s="3">
        <v>1</v>
      </c>
      <c r="E3123" s="3">
        <f>C3123 - D3123</f>
        <v>-1</v>
      </c>
    </row>
    <row r="3124" spans="2:5" x14ac:dyDescent="0.35">
      <c r="B3124" s="38">
        <v>39625</v>
      </c>
      <c r="C3124" s="3">
        <v>0</v>
      </c>
      <c r="D3124" s="3">
        <v>0</v>
      </c>
      <c r="E3124" s="3">
        <f>C3124 - D3124</f>
        <v>0</v>
      </c>
    </row>
    <row r="3125" spans="2:5" x14ac:dyDescent="0.35">
      <c r="B3125" s="38">
        <v>39626</v>
      </c>
      <c r="C3125" s="3">
        <v>0</v>
      </c>
      <c r="D3125" s="3">
        <v>0</v>
      </c>
      <c r="E3125" s="3">
        <f>C3125 - D3125</f>
        <v>0</v>
      </c>
    </row>
    <row r="3126" spans="2:5" x14ac:dyDescent="0.35">
      <c r="B3126" s="38">
        <v>39627</v>
      </c>
      <c r="C3126" s="3">
        <v>0</v>
      </c>
      <c r="D3126" s="3">
        <v>0</v>
      </c>
      <c r="E3126" s="3">
        <f>C3126 - D3126</f>
        <v>0</v>
      </c>
    </row>
    <row r="3127" spans="2:5" x14ac:dyDescent="0.35">
      <c r="B3127" s="38">
        <v>39628</v>
      </c>
      <c r="C3127" s="3">
        <v>0</v>
      </c>
      <c r="D3127" s="3">
        <v>0</v>
      </c>
      <c r="E3127" s="3">
        <f>C3127 - D3127</f>
        <v>0</v>
      </c>
    </row>
    <row r="3128" spans="2:5" x14ac:dyDescent="0.35">
      <c r="B3128" s="38">
        <v>39629</v>
      </c>
      <c r="C3128" s="3">
        <v>0</v>
      </c>
      <c r="D3128" s="3">
        <v>0</v>
      </c>
      <c r="E3128" s="3">
        <f>C3128 - D3128</f>
        <v>0</v>
      </c>
    </row>
    <row r="3129" spans="2:5" x14ac:dyDescent="0.35">
      <c r="B3129" s="38">
        <v>39630</v>
      </c>
      <c r="C3129" s="3">
        <v>1</v>
      </c>
      <c r="D3129" s="3">
        <v>0</v>
      </c>
      <c r="E3129" s="3">
        <f>C3129 - D3129</f>
        <v>1</v>
      </c>
    </row>
    <row r="3130" spans="2:5" x14ac:dyDescent="0.35">
      <c r="B3130" s="38">
        <v>39631</v>
      </c>
      <c r="C3130" s="3">
        <v>1</v>
      </c>
      <c r="D3130" s="3">
        <v>1</v>
      </c>
      <c r="E3130" s="3">
        <f>C3130 - D3130</f>
        <v>0</v>
      </c>
    </row>
    <row r="3131" spans="2:5" x14ac:dyDescent="0.35">
      <c r="B3131" s="38">
        <v>39632</v>
      </c>
      <c r="C3131" s="3">
        <v>1</v>
      </c>
      <c r="D3131" s="3">
        <v>1</v>
      </c>
      <c r="E3131" s="3">
        <f>C3131 - D3131</f>
        <v>0</v>
      </c>
    </row>
    <row r="3132" spans="2:5" x14ac:dyDescent="0.35">
      <c r="B3132" s="38">
        <v>39633</v>
      </c>
      <c r="C3132" s="3">
        <v>1</v>
      </c>
      <c r="D3132" s="3">
        <v>1</v>
      </c>
      <c r="E3132" s="3">
        <f>C3132 - D3132</f>
        <v>0</v>
      </c>
    </row>
    <row r="3133" spans="2:5" x14ac:dyDescent="0.35">
      <c r="B3133" s="38">
        <v>39634</v>
      </c>
      <c r="C3133" s="3">
        <v>0</v>
      </c>
      <c r="D3133" s="3">
        <v>1</v>
      </c>
      <c r="E3133" s="3">
        <f>C3133 - D3133</f>
        <v>-1</v>
      </c>
    </row>
    <row r="3134" spans="2:5" x14ac:dyDescent="0.35">
      <c r="B3134" s="38">
        <v>39635</v>
      </c>
      <c r="C3134" s="3">
        <v>0</v>
      </c>
      <c r="D3134" s="3">
        <v>0</v>
      </c>
      <c r="E3134" s="3">
        <f>C3134 - D3134</f>
        <v>0</v>
      </c>
    </row>
    <row r="3135" spans="2:5" x14ac:dyDescent="0.35">
      <c r="B3135" s="38">
        <v>39636</v>
      </c>
      <c r="C3135" s="3">
        <v>0</v>
      </c>
      <c r="D3135" s="3">
        <v>0</v>
      </c>
      <c r="E3135" s="3">
        <f>C3135 - D3135</f>
        <v>0</v>
      </c>
    </row>
    <row r="3136" spans="2:5" x14ac:dyDescent="0.35">
      <c r="B3136" s="38">
        <v>39637</v>
      </c>
      <c r="C3136" s="3">
        <v>1</v>
      </c>
      <c r="D3136" s="3">
        <v>0</v>
      </c>
      <c r="E3136" s="3">
        <f>C3136 - D3136</f>
        <v>1</v>
      </c>
    </row>
    <row r="3137" spans="2:5" x14ac:dyDescent="0.35">
      <c r="B3137" s="38">
        <v>39638</v>
      </c>
      <c r="C3137" s="3">
        <v>1</v>
      </c>
      <c r="D3137" s="3">
        <v>1</v>
      </c>
      <c r="E3137" s="3">
        <f>C3137 - D3137</f>
        <v>0</v>
      </c>
    </row>
    <row r="3138" spans="2:5" x14ac:dyDescent="0.35">
      <c r="B3138" s="38">
        <v>39639</v>
      </c>
      <c r="C3138" s="3">
        <v>1</v>
      </c>
      <c r="D3138" s="3">
        <v>1</v>
      </c>
      <c r="E3138" s="3">
        <f>C3138 - D3138</f>
        <v>0</v>
      </c>
    </row>
    <row r="3139" spans="2:5" x14ac:dyDescent="0.35">
      <c r="B3139" s="38">
        <v>39640</v>
      </c>
      <c r="C3139" s="3">
        <v>1</v>
      </c>
      <c r="D3139" s="3">
        <v>1</v>
      </c>
      <c r="E3139" s="3">
        <f>C3139 - D3139</f>
        <v>0</v>
      </c>
    </row>
    <row r="3140" spans="2:5" x14ac:dyDescent="0.35">
      <c r="B3140" s="38">
        <v>39641</v>
      </c>
      <c r="C3140" s="3">
        <v>0</v>
      </c>
      <c r="D3140" s="3">
        <v>1</v>
      </c>
      <c r="E3140" s="3">
        <f>C3140 - D3140</f>
        <v>-1</v>
      </c>
    </row>
    <row r="3141" spans="2:5" x14ac:dyDescent="0.35">
      <c r="B3141" s="38">
        <v>39642</v>
      </c>
      <c r="C3141" s="3">
        <v>0</v>
      </c>
      <c r="D3141" s="3">
        <v>0</v>
      </c>
      <c r="E3141" s="3">
        <f>C3141 - D3141</f>
        <v>0</v>
      </c>
    </row>
    <row r="3142" spans="2:5" x14ac:dyDescent="0.35">
      <c r="B3142" s="38">
        <v>39643</v>
      </c>
      <c r="C3142" s="3">
        <v>0</v>
      </c>
      <c r="D3142" s="3">
        <v>0</v>
      </c>
      <c r="E3142" s="3">
        <f>C3142 - D3142</f>
        <v>0</v>
      </c>
    </row>
    <row r="3143" spans="2:5" x14ac:dyDescent="0.35">
      <c r="B3143" s="38">
        <v>39644</v>
      </c>
      <c r="C3143" s="3">
        <v>0</v>
      </c>
      <c r="D3143" s="3">
        <v>0</v>
      </c>
      <c r="E3143" s="3">
        <f>C3143 - D3143</f>
        <v>0</v>
      </c>
    </row>
    <row r="3144" spans="2:5" x14ac:dyDescent="0.35">
      <c r="B3144" s="38">
        <v>39645</v>
      </c>
      <c r="C3144" s="3">
        <v>0</v>
      </c>
      <c r="D3144" s="3">
        <v>0</v>
      </c>
      <c r="E3144" s="3">
        <f>C3144 - D3144</f>
        <v>0</v>
      </c>
    </row>
    <row r="3145" spans="2:5" x14ac:dyDescent="0.35">
      <c r="B3145" s="38">
        <v>39646</v>
      </c>
      <c r="C3145" s="3">
        <v>0</v>
      </c>
      <c r="D3145" s="3">
        <v>0</v>
      </c>
      <c r="E3145" s="3">
        <f>C3145 - D3145</f>
        <v>0</v>
      </c>
    </row>
    <row r="3146" spans="2:5" x14ac:dyDescent="0.35">
      <c r="B3146" s="38">
        <v>39647</v>
      </c>
      <c r="C3146" s="3">
        <v>1</v>
      </c>
      <c r="D3146" s="3">
        <v>0</v>
      </c>
      <c r="E3146" s="3">
        <f>C3146 - D3146</f>
        <v>1</v>
      </c>
    </row>
    <row r="3147" spans="2:5" x14ac:dyDescent="0.35">
      <c r="B3147" s="38">
        <v>39648</v>
      </c>
      <c r="C3147" s="3">
        <v>1</v>
      </c>
      <c r="D3147" s="3">
        <v>1</v>
      </c>
      <c r="E3147" s="3">
        <f>C3147 - D3147</f>
        <v>0</v>
      </c>
    </row>
    <row r="3148" spans="2:5" x14ac:dyDescent="0.35">
      <c r="B3148" s="38">
        <v>39649</v>
      </c>
      <c r="C3148" s="3">
        <v>1</v>
      </c>
      <c r="D3148" s="3">
        <v>1</v>
      </c>
      <c r="E3148" s="3">
        <f>C3148 - D3148</f>
        <v>0</v>
      </c>
    </row>
    <row r="3149" spans="2:5" x14ac:dyDescent="0.35">
      <c r="B3149" s="38">
        <v>39650</v>
      </c>
      <c r="C3149" s="3">
        <v>1</v>
      </c>
      <c r="D3149" s="3">
        <v>1</v>
      </c>
      <c r="E3149" s="3">
        <f>C3149 - D3149</f>
        <v>0</v>
      </c>
    </row>
    <row r="3150" spans="2:5" x14ac:dyDescent="0.35">
      <c r="B3150" s="38">
        <v>39651</v>
      </c>
      <c r="C3150" s="3">
        <v>1</v>
      </c>
      <c r="D3150" s="3">
        <v>1</v>
      </c>
      <c r="E3150" s="3">
        <f>C3150 - D3150</f>
        <v>0</v>
      </c>
    </row>
    <row r="3151" spans="2:5" x14ac:dyDescent="0.35">
      <c r="B3151" s="38">
        <v>39652</v>
      </c>
      <c r="C3151" s="3">
        <v>1</v>
      </c>
      <c r="D3151" s="3">
        <v>1</v>
      </c>
      <c r="E3151" s="3">
        <f>C3151 - D3151</f>
        <v>0</v>
      </c>
    </row>
    <row r="3152" spans="2:5" x14ac:dyDescent="0.35">
      <c r="B3152" s="38">
        <v>39653</v>
      </c>
      <c r="C3152" s="3">
        <v>0</v>
      </c>
      <c r="D3152" s="3">
        <v>1</v>
      </c>
      <c r="E3152" s="3">
        <f>C3152 - D3152</f>
        <v>-1</v>
      </c>
    </row>
    <row r="3153" spans="2:5" x14ac:dyDescent="0.35">
      <c r="B3153" s="38">
        <v>39654</v>
      </c>
      <c r="C3153" s="3">
        <v>0</v>
      </c>
      <c r="D3153" s="3">
        <v>0</v>
      </c>
      <c r="E3153" s="3">
        <f>C3153 - D3153</f>
        <v>0</v>
      </c>
    </row>
    <row r="3154" spans="2:5" x14ac:dyDescent="0.35">
      <c r="B3154" s="38">
        <v>39655</v>
      </c>
      <c r="C3154" s="3">
        <v>0</v>
      </c>
      <c r="D3154" s="3">
        <v>0</v>
      </c>
      <c r="E3154" s="3">
        <f>C3154 - D3154</f>
        <v>0</v>
      </c>
    </row>
    <row r="3155" spans="2:5" x14ac:dyDescent="0.35">
      <c r="B3155" s="38">
        <v>39656</v>
      </c>
      <c r="C3155" s="3">
        <v>1</v>
      </c>
      <c r="D3155" s="3">
        <v>0</v>
      </c>
      <c r="E3155" s="3">
        <f>C3155 - D3155</f>
        <v>1</v>
      </c>
    </row>
    <row r="3156" spans="2:5" x14ac:dyDescent="0.35">
      <c r="B3156" s="38">
        <v>39657</v>
      </c>
      <c r="C3156" s="3">
        <v>1</v>
      </c>
      <c r="D3156" s="3">
        <v>1</v>
      </c>
      <c r="E3156" s="3">
        <f>C3156 - D3156</f>
        <v>0</v>
      </c>
    </row>
    <row r="3157" spans="2:5" x14ac:dyDescent="0.35">
      <c r="B3157" s="38">
        <v>39658</v>
      </c>
      <c r="C3157" s="3">
        <v>0</v>
      </c>
      <c r="D3157" s="3">
        <v>1</v>
      </c>
      <c r="E3157" s="3">
        <f>C3157 - D3157</f>
        <v>-1</v>
      </c>
    </row>
    <row r="3158" spans="2:5" x14ac:dyDescent="0.35">
      <c r="B3158" s="38">
        <v>39659</v>
      </c>
      <c r="C3158" s="3">
        <v>0</v>
      </c>
      <c r="D3158" s="3">
        <v>0</v>
      </c>
      <c r="E3158" s="3">
        <f>C3158 - D3158</f>
        <v>0</v>
      </c>
    </row>
    <row r="3159" spans="2:5" x14ac:dyDescent="0.35">
      <c r="B3159" s="38">
        <v>39660</v>
      </c>
      <c r="C3159" s="3">
        <v>1</v>
      </c>
      <c r="D3159" s="3">
        <v>0</v>
      </c>
      <c r="E3159" s="3">
        <f>C3159 - D3159</f>
        <v>1</v>
      </c>
    </row>
    <row r="3160" spans="2:5" x14ac:dyDescent="0.35">
      <c r="B3160" s="38">
        <v>39661</v>
      </c>
      <c r="C3160" s="3">
        <v>1</v>
      </c>
      <c r="D3160" s="3">
        <v>1</v>
      </c>
      <c r="E3160" s="3">
        <f>C3160 - D3160</f>
        <v>0</v>
      </c>
    </row>
    <row r="3161" spans="2:5" x14ac:dyDescent="0.35">
      <c r="B3161" s="38">
        <v>39662</v>
      </c>
      <c r="C3161" s="3">
        <v>1</v>
      </c>
      <c r="D3161" s="3">
        <v>1</v>
      </c>
      <c r="E3161" s="3">
        <f>C3161 - D3161</f>
        <v>0</v>
      </c>
    </row>
    <row r="3162" spans="2:5" x14ac:dyDescent="0.35">
      <c r="B3162" s="38">
        <v>39663</v>
      </c>
      <c r="C3162" s="3">
        <v>0</v>
      </c>
      <c r="D3162" s="3">
        <v>1</v>
      </c>
      <c r="E3162" s="3">
        <f>C3162 - D3162</f>
        <v>-1</v>
      </c>
    </row>
    <row r="3163" spans="2:5" x14ac:dyDescent="0.35">
      <c r="B3163" s="38">
        <v>39664</v>
      </c>
      <c r="C3163" s="3">
        <v>1</v>
      </c>
      <c r="D3163" s="3">
        <v>0</v>
      </c>
      <c r="E3163" s="3">
        <f>C3163 - D3163</f>
        <v>1</v>
      </c>
    </row>
    <row r="3164" spans="2:5" x14ac:dyDescent="0.35">
      <c r="B3164" s="38">
        <v>39665</v>
      </c>
      <c r="C3164" s="3">
        <v>1</v>
      </c>
      <c r="D3164" s="3">
        <v>1</v>
      </c>
      <c r="E3164" s="3">
        <f>C3164 - D3164</f>
        <v>0</v>
      </c>
    </row>
    <row r="3165" spans="2:5" x14ac:dyDescent="0.35">
      <c r="B3165" s="38">
        <v>39666</v>
      </c>
      <c r="C3165" s="3">
        <v>0</v>
      </c>
      <c r="D3165" s="3">
        <v>1</v>
      </c>
      <c r="E3165" s="3">
        <f>C3165 - D3165</f>
        <v>-1</v>
      </c>
    </row>
    <row r="3166" spans="2:5" x14ac:dyDescent="0.35">
      <c r="B3166" s="38">
        <v>39667</v>
      </c>
      <c r="C3166" s="3">
        <v>0</v>
      </c>
      <c r="D3166" s="3">
        <v>0</v>
      </c>
      <c r="E3166" s="3">
        <f>C3166 - D3166</f>
        <v>0</v>
      </c>
    </row>
    <row r="3167" spans="2:5" x14ac:dyDescent="0.35">
      <c r="B3167" s="38">
        <v>39668</v>
      </c>
      <c r="C3167" s="3">
        <v>1</v>
      </c>
      <c r="D3167" s="3">
        <v>0</v>
      </c>
      <c r="E3167" s="3">
        <f>C3167 - D3167</f>
        <v>1</v>
      </c>
    </row>
    <row r="3168" spans="2:5" x14ac:dyDescent="0.35">
      <c r="B3168" s="38">
        <v>39669</v>
      </c>
      <c r="C3168" s="3">
        <v>1</v>
      </c>
      <c r="D3168" s="3">
        <v>1</v>
      </c>
      <c r="E3168" s="3">
        <f>C3168 - D3168</f>
        <v>0</v>
      </c>
    </row>
    <row r="3169" spans="2:5" x14ac:dyDescent="0.35">
      <c r="B3169" s="38">
        <v>39670</v>
      </c>
      <c r="C3169" s="3">
        <v>1</v>
      </c>
      <c r="D3169" s="3">
        <v>1</v>
      </c>
      <c r="E3169" s="3">
        <f>C3169 - D3169</f>
        <v>0</v>
      </c>
    </row>
    <row r="3170" spans="2:5" x14ac:dyDescent="0.35">
      <c r="B3170" s="38">
        <v>39671</v>
      </c>
      <c r="C3170" s="3">
        <v>1</v>
      </c>
      <c r="D3170" s="3">
        <v>1</v>
      </c>
      <c r="E3170" s="3">
        <f>C3170 - D3170</f>
        <v>0</v>
      </c>
    </row>
    <row r="3171" spans="2:5" x14ac:dyDescent="0.35">
      <c r="B3171" s="38">
        <v>39672</v>
      </c>
      <c r="C3171" s="3">
        <v>1</v>
      </c>
      <c r="D3171" s="3">
        <v>1</v>
      </c>
      <c r="E3171" s="3">
        <f>C3171 - D3171</f>
        <v>0</v>
      </c>
    </row>
    <row r="3172" spans="2:5" x14ac:dyDescent="0.35">
      <c r="B3172" s="38">
        <v>39673</v>
      </c>
      <c r="C3172" s="3">
        <v>1</v>
      </c>
      <c r="D3172" s="3">
        <v>1</v>
      </c>
      <c r="E3172" s="3">
        <f>C3172 - D3172</f>
        <v>0</v>
      </c>
    </row>
    <row r="3173" spans="2:5" x14ac:dyDescent="0.35">
      <c r="B3173" s="38">
        <v>39674</v>
      </c>
      <c r="C3173" s="3">
        <v>1</v>
      </c>
      <c r="D3173" s="3">
        <v>1</v>
      </c>
      <c r="E3173" s="3">
        <f>C3173 - D3173</f>
        <v>0</v>
      </c>
    </row>
    <row r="3174" spans="2:5" x14ac:dyDescent="0.35">
      <c r="B3174" s="38">
        <v>39675</v>
      </c>
      <c r="C3174" s="3">
        <v>1</v>
      </c>
      <c r="D3174" s="3">
        <v>1</v>
      </c>
      <c r="E3174" s="3">
        <f>C3174 - D3174</f>
        <v>0</v>
      </c>
    </row>
    <row r="3175" spans="2:5" x14ac:dyDescent="0.35">
      <c r="B3175" s="38">
        <v>39676</v>
      </c>
      <c r="C3175" s="3">
        <v>1</v>
      </c>
      <c r="D3175" s="3">
        <v>1</v>
      </c>
      <c r="E3175" s="3">
        <f>C3175 - D3175</f>
        <v>0</v>
      </c>
    </row>
    <row r="3176" spans="2:5" x14ac:dyDescent="0.35">
      <c r="B3176" s="38">
        <v>39677</v>
      </c>
      <c r="C3176" s="3">
        <v>1</v>
      </c>
      <c r="D3176" s="3">
        <v>1</v>
      </c>
      <c r="E3176" s="3">
        <f>C3176 - D3176</f>
        <v>0</v>
      </c>
    </row>
    <row r="3177" spans="2:5" x14ac:dyDescent="0.35">
      <c r="B3177" s="38">
        <v>39678</v>
      </c>
      <c r="C3177" s="3">
        <v>1</v>
      </c>
      <c r="D3177" s="3">
        <v>1</v>
      </c>
      <c r="E3177" s="3">
        <f>C3177 - D3177</f>
        <v>0</v>
      </c>
    </row>
    <row r="3178" spans="2:5" x14ac:dyDescent="0.35">
      <c r="B3178" s="38">
        <v>39679</v>
      </c>
      <c r="C3178" s="3">
        <v>0</v>
      </c>
      <c r="D3178" s="3">
        <v>1</v>
      </c>
      <c r="E3178" s="3">
        <f>C3178 - D3178</f>
        <v>-1</v>
      </c>
    </row>
    <row r="3179" spans="2:5" x14ac:dyDescent="0.35">
      <c r="B3179" s="38">
        <v>39680</v>
      </c>
      <c r="C3179" s="3">
        <v>0</v>
      </c>
      <c r="D3179" s="3">
        <v>0</v>
      </c>
      <c r="E3179" s="3">
        <f>C3179 - D3179</f>
        <v>0</v>
      </c>
    </row>
    <row r="3180" spans="2:5" x14ac:dyDescent="0.35">
      <c r="B3180" s="38">
        <v>39681</v>
      </c>
      <c r="C3180" s="3">
        <v>0</v>
      </c>
      <c r="D3180" s="3">
        <v>0</v>
      </c>
      <c r="E3180" s="3">
        <f>C3180 - D3180</f>
        <v>0</v>
      </c>
    </row>
    <row r="3181" spans="2:5" x14ac:dyDescent="0.35">
      <c r="B3181" s="38">
        <v>39682</v>
      </c>
      <c r="C3181" s="3">
        <v>1</v>
      </c>
      <c r="D3181" s="3">
        <v>0</v>
      </c>
      <c r="E3181" s="3">
        <f>C3181 - D3181</f>
        <v>1</v>
      </c>
    </row>
    <row r="3182" spans="2:5" x14ac:dyDescent="0.35">
      <c r="B3182" s="38">
        <v>39683</v>
      </c>
      <c r="C3182" s="3">
        <v>1</v>
      </c>
      <c r="D3182" s="3">
        <v>1</v>
      </c>
      <c r="E3182" s="3">
        <f>C3182 - D3182</f>
        <v>0</v>
      </c>
    </row>
    <row r="3183" spans="2:5" x14ac:dyDescent="0.35">
      <c r="B3183" s="38">
        <v>39684</v>
      </c>
      <c r="C3183" s="3">
        <v>1</v>
      </c>
      <c r="D3183" s="3">
        <v>1</v>
      </c>
      <c r="E3183" s="3">
        <f>C3183 - D3183</f>
        <v>0</v>
      </c>
    </row>
    <row r="3184" spans="2:5" x14ac:dyDescent="0.35">
      <c r="B3184" s="38">
        <v>39685</v>
      </c>
      <c r="C3184" s="3">
        <v>0</v>
      </c>
      <c r="D3184" s="3">
        <v>1</v>
      </c>
      <c r="E3184" s="3">
        <f>C3184 - D3184</f>
        <v>-1</v>
      </c>
    </row>
    <row r="3185" spans="2:5" x14ac:dyDescent="0.35">
      <c r="B3185" s="38">
        <v>39686</v>
      </c>
      <c r="C3185" s="3">
        <v>0</v>
      </c>
      <c r="D3185" s="3">
        <v>0</v>
      </c>
      <c r="E3185" s="3">
        <f>C3185 - D3185</f>
        <v>0</v>
      </c>
    </row>
    <row r="3186" spans="2:5" x14ac:dyDescent="0.35">
      <c r="B3186" s="38">
        <v>39687</v>
      </c>
      <c r="C3186" s="3">
        <v>0</v>
      </c>
      <c r="D3186" s="3">
        <v>0</v>
      </c>
      <c r="E3186" s="3">
        <f>C3186 - D3186</f>
        <v>0</v>
      </c>
    </row>
    <row r="3187" spans="2:5" x14ac:dyDescent="0.35">
      <c r="B3187" s="38">
        <v>39688</v>
      </c>
      <c r="C3187" s="3">
        <v>0</v>
      </c>
      <c r="D3187" s="3">
        <v>0</v>
      </c>
      <c r="E3187" s="3">
        <f>C3187 - D3187</f>
        <v>0</v>
      </c>
    </row>
    <row r="3188" spans="2:5" x14ac:dyDescent="0.35">
      <c r="B3188" s="38">
        <v>39689</v>
      </c>
      <c r="C3188" s="3">
        <v>1</v>
      </c>
      <c r="D3188" s="3">
        <v>0</v>
      </c>
      <c r="E3188" s="3">
        <f>C3188 - D3188</f>
        <v>1</v>
      </c>
    </row>
    <row r="3189" spans="2:5" x14ac:dyDescent="0.35">
      <c r="B3189" s="38">
        <v>39690</v>
      </c>
      <c r="C3189" s="3">
        <v>0</v>
      </c>
      <c r="D3189" s="3">
        <v>1</v>
      </c>
      <c r="E3189" s="3">
        <f>C3189 - D3189</f>
        <v>-1</v>
      </c>
    </row>
    <row r="3190" spans="2:5" x14ac:dyDescent="0.35">
      <c r="B3190" s="38">
        <v>39691</v>
      </c>
      <c r="C3190" s="3">
        <v>1</v>
      </c>
      <c r="D3190" s="3">
        <v>0</v>
      </c>
      <c r="E3190" s="3">
        <f>C3190 - D3190</f>
        <v>1</v>
      </c>
    </row>
    <row r="3191" spans="2:5" x14ac:dyDescent="0.35">
      <c r="B3191" s="38">
        <v>39692</v>
      </c>
      <c r="C3191" s="3">
        <v>1</v>
      </c>
      <c r="D3191" s="3">
        <v>1</v>
      </c>
      <c r="E3191" s="3">
        <f>C3191 - D3191</f>
        <v>0</v>
      </c>
    </row>
    <row r="3192" spans="2:5" x14ac:dyDescent="0.35">
      <c r="B3192" s="38">
        <v>39693</v>
      </c>
      <c r="C3192" s="3">
        <v>1</v>
      </c>
      <c r="D3192" s="3">
        <v>1</v>
      </c>
      <c r="E3192" s="3">
        <f>C3192 - D3192</f>
        <v>0</v>
      </c>
    </row>
    <row r="3193" spans="2:5" x14ac:dyDescent="0.35">
      <c r="B3193" s="38">
        <v>39694</v>
      </c>
      <c r="C3193" s="3">
        <v>1</v>
      </c>
      <c r="D3193" s="3">
        <v>1</v>
      </c>
      <c r="E3193" s="3">
        <f>C3193 - D3193</f>
        <v>0</v>
      </c>
    </row>
    <row r="3194" spans="2:5" x14ac:dyDescent="0.35">
      <c r="B3194" s="38">
        <v>39695</v>
      </c>
      <c r="C3194" s="3">
        <v>0</v>
      </c>
      <c r="D3194" s="3">
        <v>1</v>
      </c>
      <c r="E3194" s="3">
        <f>C3194 - D3194</f>
        <v>-1</v>
      </c>
    </row>
    <row r="3195" spans="2:5" x14ac:dyDescent="0.35">
      <c r="B3195" s="38">
        <v>39696</v>
      </c>
      <c r="C3195" s="3">
        <v>0</v>
      </c>
      <c r="D3195" s="3">
        <v>0</v>
      </c>
      <c r="E3195" s="3">
        <f>C3195 - D3195</f>
        <v>0</v>
      </c>
    </row>
    <row r="3196" spans="2:5" x14ac:dyDescent="0.35">
      <c r="B3196" s="38">
        <v>39697</v>
      </c>
      <c r="C3196" s="3">
        <v>0</v>
      </c>
      <c r="D3196" s="3">
        <v>0</v>
      </c>
      <c r="E3196" s="3">
        <f>C3196 - D3196</f>
        <v>0</v>
      </c>
    </row>
    <row r="3197" spans="2:5" x14ac:dyDescent="0.35">
      <c r="B3197" s="38">
        <v>39698</v>
      </c>
      <c r="C3197" s="3">
        <v>0</v>
      </c>
      <c r="D3197" s="3">
        <v>0</v>
      </c>
      <c r="E3197" s="3">
        <f>C3197 - D3197</f>
        <v>0</v>
      </c>
    </row>
    <row r="3198" spans="2:5" x14ac:dyDescent="0.35">
      <c r="B3198" s="38">
        <v>39699</v>
      </c>
      <c r="C3198" s="3">
        <v>1</v>
      </c>
      <c r="D3198" s="3">
        <v>0</v>
      </c>
      <c r="E3198" s="3">
        <f>C3198 - D3198</f>
        <v>1</v>
      </c>
    </row>
    <row r="3199" spans="2:5" x14ac:dyDescent="0.35">
      <c r="B3199" s="38">
        <v>39700</v>
      </c>
      <c r="C3199" s="3">
        <v>1</v>
      </c>
      <c r="D3199" s="3">
        <v>1</v>
      </c>
      <c r="E3199" s="3">
        <f>C3199 - D3199</f>
        <v>0</v>
      </c>
    </row>
    <row r="3200" spans="2:5" x14ac:dyDescent="0.35">
      <c r="B3200" s="38">
        <v>39701</v>
      </c>
      <c r="C3200" s="3">
        <v>0</v>
      </c>
      <c r="D3200" s="3">
        <v>1</v>
      </c>
      <c r="E3200" s="3">
        <f>C3200 - D3200</f>
        <v>-1</v>
      </c>
    </row>
    <row r="3201" spans="2:5" x14ac:dyDescent="0.35">
      <c r="B3201" s="38">
        <v>39702</v>
      </c>
      <c r="C3201" s="3">
        <v>0</v>
      </c>
      <c r="D3201" s="3">
        <v>0</v>
      </c>
      <c r="E3201" s="3">
        <f>C3201 - D3201</f>
        <v>0</v>
      </c>
    </row>
    <row r="3202" spans="2:5" x14ac:dyDescent="0.35">
      <c r="B3202" s="38">
        <v>39703</v>
      </c>
      <c r="C3202" s="3">
        <v>0</v>
      </c>
      <c r="D3202" s="3">
        <v>0</v>
      </c>
      <c r="E3202" s="3">
        <f>C3202 - D3202</f>
        <v>0</v>
      </c>
    </row>
    <row r="3203" spans="2:5" x14ac:dyDescent="0.35">
      <c r="B3203" s="38">
        <v>39704</v>
      </c>
      <c r="C3203" s="3">
        <v>0</v>
      </c>
      <c r="D3203" s="3">
        <v>0</v>
      </c>
      <c r="E3203" s="3">
        <f>C3203 - D3203</f>
        <v>0</v>
      </c>
    </row>
    <row r="3204" spans="2:5" x14ac:dyDescent="0.35">
      <c r="B3204" s="38">
        <v>39705</v>
      </c>
      <c r="C3204" s="3">
        <v>0</v>
      </c>
      <c r="D3204" s="3">
        <v>0</v>
      </c>
      <c r="E3204" s="3">
        <f>C3204 - D3204</f>
        <v>0</v>
      </c>
    </row>
    <row r="3205" spans="2:5" x14ac:dyDescent="0.35">
      <c r="B3205" s="38">
        <v>39706</v>
      </c>
      <c r="C3205" s="3">
        <v>0</v>
      </c>
      <c r="D3205" s="3">
        <v>0</v>
      </c>
      <c r="E3205" s="3">
        <f>C3205 - D3205</f>
        <v>0</v>
      </c>
    </row>
    <row r="3206" spans="2:5" x14ac:dyDescent="0.35">
      <c r="B3206" s="38">
        <v>39707</v>
      </c>
      <c r="C3206" s="3">
        <v>1</v>
      </c>
      <c r="D3206" s="3">
        <v>0</v>
      </c>
      <c r="E3206" s="3">
        <f>C3206 - D3206</f>
        <v>1</v>
      </c>
    </row>
    <row r="3207" spans="2:5" x14ac:dyDescent="0.35">
      <c r="B3207" s="38">
        <v>39708</v>
      </c>
      <c r="C3207" s="3">
        <v>0</v>
      </c>
      <c r="D3207" s="3">
        <v>1</v>
      </c>
      <c r="E3207" s="3">
        <f>C3207 - D3207</f>
        <v>-1</v>
      </c>
    </row>
    <row r="3208" spans="2:5" x14ac:dyDescent="0.35">
      <c r="B3208" s="38">
        <v>39709</v>
      </c>
      <c r="C3208" s="3">
        <v>0</v>
      </c>
      <c r="D3208" s="3">
        <v>0</v>
      </c>
      <c r="E3208" s="3">
        <f>C3208 - D3208</f>
        <v>0</v>
      </c>
    </row>
    <row r="3209" spans="2:5" x14ac:dyDescent="0.35">
      <c r="B3209" s="38">
        <v>39710</v>
      </c>
      <c r="C3209" s="3">
        <v>0</v>
      </c>
      <c r="D3209" s="3">
        <v>0</v>
      </c>
      <c r="E3209" s="3">
        <f>C3209 - D3209</f>
        <v>0</v>
      </c>
    </row>
    <row r="3210" spans="2:5" x14ac:dyDescent="0.35">
      <c r="B3210" s="38">
        <v>39711</v>
      </c>
      <c r="C3210" s="3">
        <v>1</v>
      </c>
      <c r="D3210" s="3">
        <v>0</v>
      </c>
      <c r="E3210" s="3">
        <f>C3210 - D3210</f>
        <v>1</v>
      </c>
    </row>
    <row r="3211" spans="2:5" x14ac:dyDescent="0.35">
      <c r="B3211" s="38">
        <v>39712</v>
      </c>
      <c r="C3211" s="3">
        <v>1</v>
      </c>
      <c r="D3211" s="3">
        <v>1</v>
      </c>
      <c r="E3211" s="3">
        <f>C3211 - D3211</f>
        <v>0</v>
      </c>
    </row>
    <row r="3212" spans="2:5" x14ac:dyDescent="0.35">
      <c r="B3212" s="38">
        <v>39713</v>
      </c>
      <c r="C3212" s="3">
        <v>0</v>
      </c>
      <c r="D3212" s="3">
        <v>1</v>
      </c>
      <c r="E3212" s="3">
        <f>C3212 - D3212</f>
        <v>-1</v>
      </c>
    </row>
    <row r="3213" spans="2:5" x14ac:dyDescent="0.35">
      <c r="B3213" s="38">
        <v>39714</v>
      </c>
      <c r="C3213" s="3">
        <v>1</v>
      </c>
      <c r="D3213" s="3">
        <v>0</v>
      </c>
      <c r="E3213" s="3">
        <f>C3213 - D3213</f>
        <v>1</v>
      </c>
    </row>
    <row r="3214" spans="2:5" x14ac:dyDescent="0.35">
      <c r="B3214" s="38">
        <v>39715</v>
      </c>
      <c r="C3214" s="3">
        <v>0</v>
      </c>
      <c r="D3214" s="3">
        <v>1</v>
      </c>
      <c r="E3214" s="3">
        <f>C3214 - D3214</f>
        <v>-1</v>
      </c>
    </row>
    <row r="3215" spans="2:5" x14ac:dyDescent="0.35">
      <c r="B3215" s="38">
        <v>39716</v>
      </c>
      <c r="C3215" s="3">
        <v>0</v>
      </c>
      <c r="D3215" s="3">
        <v>0</v>
      </c>
      <c r="E3215" s="3">
        <f>C3215 - D3215</f>
        <v>0</v>
      </c>
    </row>
    <row r="3216" spans="2:5" x14ac:dyDescent="0.35">
      <c r="B3216" s="38">
        <v>39717</v>
      </c>
      <c r="C3216" s="3">
        <v>0</v>
      </c>
      <c r="D3216" s="3">
        <v>0</v>
      </c>
      <c r="E3216" s="3">
        <f>C3216 - D3216</f>
        <v>0</v>
      </c>
    </row>
    <row r="3217" spans="2:5" x14ac:dyDescent="0.35">
      <c r="B3217" s="38">
        <v>39718</v>
      </c>
      <c r="C3217" s="3">
        <v>0</v>
      </c>
      <c r="D3217" s="3">
        <v>0</v>
      </c>
      <c r="E3217" s="3">
        <f>C3217 - D3217</f>
        <v>0</v>
      </c>
    </row>
    <row r="3218" spans="2:5" x14ac:dyDescent="0.35">
      <c r="B3218" s="38">
        <v>39719</v>
      </c>
      <c r="C3218" s="3">
        <v>0</v>
      </c>
      <c r="D3218" s="3">
        <v>0</v>
      </c>
      <c r="E3218" s="3">
        <f>C3218 - D3218</f>
        <v>0</v>
      </c>
    </row>
    <row r="3219" spans="2:5" x14ac:dyDescent="0.35">
      <c r="B3219" s="38">
        <v>39720</v>
      </c>
      <c r="C3219" s="3">
        <v>1</v>
      </c>
      <c r="D3219" s="3">
        <v>0</v>
      </c>
      <c r="E3219" s="3">
        <f>C3219 - D3219</f>
        <v>1</v>
      </c>
    </row>
    <row r="3220" spans="2:5" x14ac:dyDescent="0.35">
      <c r="B3220" s="38">
        <v>39721</v>
      </c>
      <c r="C3220" s="3">
        <v>0</v>
      </c>
      <c r="D3220" s="3">
        <v>1</v>
      </c>
      <c r="E3220" s="3">
        <f>C3220 - D3220</f>
        <v>-1</v>
      </c>
    </row>
    <row r="3221" spans="2:5" x14ac:dyDescent="0.35">
      <c r="B3221" s="38">
        <v>39722</v>
      </c>
      <c r="C3221" s="3">
        <v>0</v>
      </c>
      <c r="D3221" s="3">
        <v>0</v>
      </c>
      <c r="E3221" s="3">
        <f>C3221 - D3221</f>
        <v>0</v>
      </c>
    </row>
    <row r="3222" spans="2:5" x14ac:dyDescent="0.35">
      <c r="B3222" s="38">
        <v>39723</v>
      </c>
      <c r="C3222" s="3">
        <v>0</v>
      </c>
      <c r="D3222" s="3">
        <v>0</v>
      </c>
      <c r="E3222" s="3">
        <f>C3222 - D3222</f>
        <v>0</v>
      </c>
    </row>
    <row r="3223" spans="2:5" x14ac:dyDescent="0.35">
      <c r="B3223" s="38">
        <v>39724</v>
      </c>
      <c r="C3223" s="3">
        <v>0</v>
      </c>
      <c r="D3223" s="3">
        <v>0</v>
      </c>
      <c r="E3223" s="3">
        <f>C3223 - D3223</f>
        <v>0</v>
      </c>
    </row>
    <row r="3224" spans="2:5" x14ac:dyDescent="0.35">
      <c r="B3224" s="38">
        <v>39725</v>
      </c>
      <c r="C3224" s="3">
        <v>1</v>
      </c>
      <c r="D3224" s="3">
        <v>0</v>
      </c>
      <c r="E3224" s="3">
        <f>C3224 - D3224</f>
        <v>1</v>
      </c>
    </row>
    <row r="3225" spans="2:5" x14ac:dyDescent="0.35">
      <c r="B3225" s="38">
        <v>39726</v>
      </c>
      <c r="C3225" s="3">
        <v>0</v>
      </c>
      <c r="D3225" s="3">
        <v>1</v>
      </c>
      <c r="E3225" s="3">
        <f>C3225 - D3225</f>
        <v>-1</v>
      </c>
    </row>
    <row r="3226" spans="2:5" x14ac:dyDescent="0.35">
      <c r="B3226" s="38">
        <v>39727</v>
      </c>
      <c r="C3226" s="3">
        <v>1</v>
      </c>
      <c r="D3226" s="3">
        <v>0</v>
      </c>
      <c r="E3226" s="3">
        <f>C3226 - D3226</f>
        <v>1</v>
      </c>
    </row>
    <row r="3227" spans="2:5" x14ac:dyDescent="0.35">
      <c r="B3227" s="38">
        <v>39728</v>
      </c>
      <c r="C3227" s="3">
        <v>1</v>
      </c>
      <c r="D3227" s="3">
        <v>1</v>
      </c>
      <c r="E3227" s="3">
        <f>C3227 - D3227</f>
        <v>0</v>
      </c>
    </row>
    <row r="3228" spans="2:5" x14ac:dyDescent="0.35">
      <c r="B3228" s="38">
        <v>39729</v>
      </c>
      <c r="C3228" s="3">
        <v>1</v>
      </c>
      <c r="D3228" s="3">
        <v>1</v>
      </c>
      <c r="E3228" s="3">
        <f>C3228 - D3228</f>
        <v>0</v>
      </c>
    </row>
    <row r="3229" spans="2:5" x14ac:dyDescent="0.35">
      <c r="B3229" s="38">
        <v>39730</v>
      </c>
      <c r="C3229" s="3">
        <v>0</v>
      </c>
      <c r="D3229" s="3">
        <v>1</v>
      </c>
      <c r="E3229" s="3">
        <f>C3229 - D3229</f>
        <v>-1</v>
      </c>
    </row>
    <row r="3230" spans="2:5" x14ac:dyDescent="0.35">
      <c r="B3230" s="38">
        <v>39731</v>
      </c>
      <c r="C3230" s="3">
        <v>0</v>
      </c>
      <c r="D3230" s="3">
        <v>0</v>
      </c>
      <c r="E3230" s="3">
        <f>C3230 - D3230</f>
        <v>0</v>
      </c>
    </row>
    <row r="3231" spans="2:5" x14ac:dyDescent="0.35">
      <c r="B3231" s="38">
        <v>39732</v>
      </c>
      <c r="C3231" s="3">
        <v>0</v>
      </c>
      <c r="D3231" s="3">
        <v>0</v>
      </c>
      <c r="E3231" s="3">
        <f>C3231 - D3231</f>
        <v>0</v>
      </c>
    </row>
    <row r="3232" spans="2:5" x14ac:dyDescent="0.35">
      <c r="B3232" s="38">
        <v>39733</v>
      </c>
      <c r="C3232" s="3">
        <v>0</v>
      </c>
      <c r="D3232" s="3">
        <v>0</v>
      </c>
      <c r="E3232" s="3">
        <f>C3232 - D3232</f>
        <v>0</v>
      </c>
    </row>
    <row r="3233" spans="2:5" x14ac:dyDescent="0.35">
      <c r="B3233" s="38">
        <v>39734</v>
      </c>
      <c r="C3233" s="3">
        <v>0</v>
      </c>
      <c r="D3233" s="3">
        <v>0</v>
      </c>
      <c r="E3233" s="3">
        <f>C3233 - D3233</f>
        <v>0</v>
      </c>
    </row>
    <row r="3234" spans="2:5" x14ac:dyDescent="0.35">
      <c r="B3234" s="38">
        <v>39735</v>
      </c>
      <c r="C3234" s="3">
        <v>0</v>
      </c>
      <c r="D3234" s="3">
        <v>0</v>
      </c>
      <c r="E3234" s="3">
        <f>C3234 - D3234</f>
        <v>0</v>
      </c>
    </row>
    <row r="3235" spans="2:5" x14ac:dyDescent="0.35">
      <c r="B3235" s="38">
        <v>39736</v>
      </c>
      <c r="C3235" s="3">
        <v>0</v>
      </c>
      <c r="D3235" s="3">
        <v>0</v>
      </c>
      <c r="E3235" s="3">
        <f>C3235 - D3235</f>
        <v>0</v>
      </c>
    </row>
    <row r="3236" spans="2:5" x14ac:dyDescent="0.35">
      <c r="B3236" s="38">
        <v>39737</v>
      </c>
      <c r="C3236" s="3">
        <v>0</v>
      </c>
      <c r="D3236" s="3">
        <v>0</v>
      </c>
      <c r="E3236" s="3">
        <f>C3236 - D3236</f>
        <v>0</v>
      </c>
    </row>
    <row r="3237" spans="2:5" x14ac:dyDescent="0.35">
      <c r="B3237" s="38">
        <v>39738</v>
      </c>
      <c r="C3237" s="3">
        <v>0</v>
      </c>
      <c r="D3237" s="3">
        <v>0</v>
      </c>
      <c r="E3237" s="3">
        <f>C3237 - D3237</f>
        <v>0</v>
      </c>
    </row>
    <row r="3238" spans="2:5" x14ac:dyDescent="0.35">
      <c r="B3238" s="38">
        <v>39739</v>
      </c>
      <c r="C3238" s="3">
        <v>0</v>
      </c>
      <c r="D3238" s="3">
        <v>0</v>
      </c>
      <c r="E3238" s="3">
        <f>C3238 - D3238</f>
        <v>0</v>
      </c>
    </row>
    <row r="3239" spans="2:5" x14ac:dyDescent="0.35">
      <c r="B3239" s="38">
        <v>39740</v>
      </c>
      <c r="C3239" s="3">
        <v>0</v>
      </c>
      <c r="D3239" s="3">
        <v>0</v>
      </c>
      <c r="E3239" s="3">
        <f>C3239 - D3239</f>
        <v>0</v>
      </c>
    </row>
    <row r="3240" spans="2:5" x14ac:dyDescent="0.35">
      <c r="B3240" s="38">
        <v>39741</v>
      </c>
      <c r="C3240" s="3">
        <v>0</v>
      </c>
      <c r="D3240" s="3">
        <v>0</v>
      </c>
      <c r="E3240" s="3">
        <f>C3240 - D3240</f>
        <v>0</v>
      </c>
    </row>
    <row r="3241" spans="2:5" x14ac:dyDescent="0.35">
      <c r="B3241" s="38">
        <v>39742</v>
      </c>
      <c r="C3241" s="3">
        <v>0</v>
      </c>
      <c r="D3241" s="3">
        <v>0</v>
      </c>
      <c r="E3241" s="3">
        <f>C3241 - D3241</f>
        <v>0</v>
      </c>
    </row>
    <row r="3242" spans="2:5" x14ac:dyDescent="0.35">
      <c r="B3242" s="38">
        <v>39743</v>
      </c>
      <c r="C3242" s="3">
        <v>1</v>
      </c>
      <c r="D3242" s="3">
        <v>0</v>
      </c>
      <c r="E3242" s="3">
        <f>C3242 - D3242</f>
        <v>1</v>
      </c>
    </row>
    <row r="3243" spans="2:5" x14ac:dyDescent="0.35">
      <c r="B3243" s="38">
        <v>39744</v>
      </c>
      <c r="C3243" s="3">
        <v>0</v>
      </c>
      <c r="D3243" s="3">
        <v>1</v>
      </c>
      <c r="E3243" s="3">
        <f>C3243 - D3243</f>
        <v>-1</v>
      </c>
    </row>
    <row r="3244" spans="2:5" x14ac:dyDescent="0.35">
      <c r="B3244" s="38">
        <v>39745</v>
      </c>
      <c r="C3244" s="3">
        <v>0</v>
      </c>
      <c r="D3244" s="3">
        <v>0</v>
      </c>
      <c r="E3244" s="3">
        <f>C3244 - D3244</f>
        <v>0</v>
      </c>
    </row>
    <row r="3245" spans="2:5" x14ac:dyDescent="0.35">
      <c r="B3245" s="38">
        <v>39746</v>
      </c>
      <c r="C3245" s="3">
        <v>0</v>
      </c>
      <c r="D3245" s="3">
        <v>0</v>
      </c>
      <c r="E3245" s="3">
        <f>C3245 - D3245</f>
        <v>0</v>
      </c>
    </row>
    <row r="3246" spans="2:5" x14ac:dyDescent="0.35">
      <c r="B3246" s="38">
        <v>39747</v>
      </c>
      <c r="C3246" s="3">
        <v>0</v>
      </c>
      <c r="D3246" s="3">
        <v>0</v>
      </c>
      <c r="E3246" s="3">
        <f>C3246 - D3246</f>
        <v>0</v>
      </c>
    </row>
    <row r="3247" spans="2:5" x14ac:dyDescent="0.35">
      <c r="B3247" s="38">
        <v>39748</v>
      </c>
      <c r="C3247" s="3">
        <v>0</v>
      </c>
      <c r="D3247" s="3">
        <v>0</v>
      </c>
      <c r="E3247" s="3">
        <f>C3247 - D3247</f>
        <v>0</v>
      </c>
    </row>
    <row r="3248" spans="2:5" x14ac:dyDescent="0.35">
      <c r="B3248" s="38">
        <v>39749</v>
      </c>
      <c r="C3248" s="3">
        <v>1</v>
      </c>
      <c r="D3248" s="3">
        <v>0</v>
      </c>
      <c r="E3248" s="3">
        <f>C3248 - D3248</f>
        <v>1</v>
      </c>
    </row>
    <row r="3249" spans="2:5" x14ac:dyDescent="0.35">
      <c r="B3249" s="38">
        <v>39750</v>
      </c>
      <c r="C3249" s="3">
        <v>0</v>
      </c>
      <c r="D3249" s="3">
        <v>1</v>
      </c>
      <c r="E3249" s="3">
        <f>C3249 - D3249</f>
        <v>-1</v>
      </c>
    </row>
    <row r="3250" spans="2:5" x14ac:dyDescent="0.35">
      <c r="B3250" s="38">
        <v>39751</v>
      </c>
      <c r="C3250" s="3">
        <v>0</v>
      </c>
      <c r="D3250" s="3">
        <v>0</v>
      </c>
      <c r="E3250" s="3">
        <f>C3250 - D3250</f>
        <v>0</v>
      </c>
    </row>
    <row r="3251" spans="2:5" x14ac:dyDescent="0.35">
      <c r="B3251" s="38">
        <v>39752</v>
      </c>
      <c r="C3251" s="3">
        <v>1</v>
      </c>
      <c r="D3251" s="3">
        <v>0</v>
      </c>
      <c r="E3251" s="3">
        <f>C3251 - D3251</f>
        <v>1</v>
      </c>
    </row>
    <row r="3252" spans="2:5" x14ac:dyDescent="0.35">
      <c r="B3252" s="38">
        <v>39753</v>
      </c>
      <c r="C3252" s="3">
        <v>1</v>
      </c>
      <c r="D3252" s="3">
        <v>1</v>
      </c>
      <c r="E3252" s="3">
        <f>C3252 - D3252</f>
        <v>0</v>
      </c>
    </row>
    <row r="3253" spans="2:5" x14ac:dyDescent="0.35">
      <c r="B3253" s="38">
        <v>39754</v>
      </c>
      <c r="C3253" s="3">
        <v>0</v>
      </c>
      <c r="D3253" s="3">
        <v>1</v>
      </c>
      <c r="E3253" s="3">
        <f>C3253 - D3253</f>
        <v>-1</v>
      </c>
    </row>
    <row r="3254" spans="2:5" x14ac:dyDescent="0.35">
      <c r="B3254" s="38">
        <v>39755</v>
      </c>
      <c r="C3254" s="3">
        <v>1</v>
      </c>
      <c r="D3254" s="3">
        <v>0</v>
      </c>
      <c r="E3254" s="3">
        <f>C3254 - D3254</f>
        <v>1</v>
      </c>
    </row>
    <row r="3255" spans="2:5" x14ac:dyDescent="0.35">
      <c r="B3255" s="38">
        <v>39756</v>
      </c>
      <c r="C3255" s="3">
        <v>1</v>
      </c>
      <c r="D3255" s="3">
        <v>1</v>
      </c>
      <c r="E3255" s="3">
        <f>C3255 - D3255</f>
        <v>0</v>
      </c>
    </row>
    <row r="3256" spans="2:5" x14ac:dyDescent="0.35">
      <c r="B3256" s="38">
        <v>39757</v>
      </c>
      <c r="C3256" s="3">
        <v>0</v>
      </c>
      <c r="D3256" s="3">
        <v>1</v>
      </c>
      <c r="E3256" s="3">
        <f>C3256 - D3256</f>
        <v>-1</v>
      </c>
    </row>
    <row r="3257" spans="2:5" x14ac:dyDescent="0.35">
      <c r="B3257" s="38">
        <v>39758</v>
      </c>
      <c r="C3257" s="3">
        <v>0</v>
      </c>
      <c r="D3257" s="3">
        <v>0</v>
      </c>
      <c r="E3257" s="3">
        <f>C3257 - D3257</f>
        <v>0</v>
      </c>
    </row>
    <row r="3258" spans="2:5" x14ac:dyDescent="0.35">
      <c r="B3258" s="38">
        <v>39759</v>
      </c>
      <c r="C3258" s="3">
        <v>0</v>
      </c>
      <c r="D3258" s="3">
        <v>0</v>
      </c>
      <c r="E3258" s="3">
        <f>C3258 - D3258</f>
        <v>0</v>
      </c>
    </row>
    <row r="3259" spans="2:5" x14ac:dyDescent="0.35">
      <c r="B3259" s="38">
        <v>39760</v>
      </c>
      <c r="C3259" s="3">
        <v>1</v>
      </c>
      <c r="D3259" s="3">
        <v>0</v>
      </c>
      <c r="E3259" s="3">
        <f>C3259 - D3259</f>
        <v>1</v>
      </c>
    </row>
    <row r="3260" spans="2:5" x14ac:dyDescent="0.35">
      <c r="B3260" s="38">
        <v>39761</v>
      </c>
      <c r="C3260" s="3">
        <v>0</v>
      </c>
      <c r="D3260" s="3">
        <v>1</v>
      </c>
      <c r="E3260" s="3">
        <f>C3260 - D3260</f>
        <v>-1</v>
      </c>
    </row>
    <row r="3261" spans="2:5" x14ac:dyDescent="0.35">
      <c r="B3261" s="38">
        <v>39762</v>
      </c>
      <c r="C3261" s="3">
        <v>0</v>
      </c>
      <c r="D3261" s="3">
        <v>0</v>
      </c>
      <c r="E3261" s="3">
        <f>C3261 - D3261</f>
        <v>0</v>
      </c>
    </row>
    <row r="3262" spans="2:5" x14ac:dyDescent="0.35">
      <c r="B3262" s="38">
        <v>39763</v>
      </c>
      <c r="C3262" s="3">
        <v>0</v>
      </c>
      <c r="D3262" s="3">
        <v>0</v>
      </c>
      <c r="E3262" s="3">
        <f>C3262 - D3262</f>
        <v>0</v>
      </c>
    </row>
    <row r="3263" spans="2:5" x14ac:dyDescent="0.35">
      <c r="B3263" s="38">
        <v>39764</v>
      </c>
      <c r="C3263" s="3">
        <v>0</v>
      </c>
      <c r="D3263" s="3">
        <v>0</v>
      </c>
      <c r="E3263" s="3">
        <f>C3263 - D3263</f>
        <v>0</v>
      </c>
    </row>
    <row r="3264" spans="2:5" x14ac:dyDescent="0.35">
      <c r="B3264" s="38">
        <v>39765</v>
      </c>
      <c r="C3264" s="3">
        <v>0</v>
      </c>
      <c r="D3264" s="3">
        <v>0</v>
      </c>
      <c r="E3264" s="3">
        <f>C3264 - D3264</f>
        <v>0</v>
      </c>
    </row>
    <row r="3265" spans="2:5" x14ac:dyDescent="0.35">
      <c r="B3265" s="38">
        <v>39766</v>
      </c>
      <c r="C3265" s="3">
        <v>1</v>
      </c>
      <c r="D3265" s="3">
        <v>0</v>
      </c>
      <c r="E3265" s="3">
        <f>C3265 - D3265</f>
        <v>1</v>
      </c>
    </row>
    <row r="3266" spans="2:5" x14ac:dyDescent="0.35">
      <c r="B3266" s="38">
        <v>39767</v>
      </c>
      <c r="C3266" s="3">
        <v>0</v>
      </c>
      <c r="D3266" s="3">
        <v>1</v>
      </c>
      <c r="E3266" s="3">
        <f>C3266 - D3266</f>
        <v>-1</v>
      </c>
    </row>
    <row r="3267" spans="2:5" x14ac:dyDescent="0.35">
      <c r="B3267" s="38">
        <v>39768</v>
      </c>
      <c r="C3267" s="3">
        <v>0</v>
      </c>
      <c r="D3267" s="3">
        <v>0</v>
      </c>
      <c r="E3267" s="3">
        <f>C3267 - D3267</f>
        <v>0</v>
      </c>
    </row>
    <row r="3268" spans="2:5" x14ac:dyDescent="0.35">
      <c r="B3268" s="38">
        <v>39769</v>
      </c>
      <c r="C3268" s="3">
        <v>0</v>
      </c>
      <c r="D3268" s="3">
        <v>0</v>
      </c>
      <c r="E3268" s="3">
        <f>C3268 - D3268</f>
        <v>0</v>
      </c>
    </row>
    <row r="3269" spans="2:5" x14ac:dyDescent="0.35">
      <c r="B3269" s="38">
        <v>39770</v>
      </c>
      <c r="C3269" s="3">
        <v>0</v>
      </c>
      <c r="D3269" s="3">
        <v>0</v>
      </c>
      <c r="E3269" s="3">
        <f>C3269 - D3269</f>
        <v>0</v>
      </c>
    </row>
    <row r="3270" spans="2:5" x14ac:dyDescent="0.35">
      <c r="B3270" s="38">
        <v>39771</v>
      </c>
      <c r="C3270" s="3">
        <v>1</v>
      </c>
      <c r="D3270" s="3">
        <v>0</v>
      </c>
      <c r="E3270" s="3">
        <f>C3270 - D3270</f>
        <v>1</v>
      </c>
    </row>
    <row r="3271" spans="2:5" x14ac:dyDescent="0.35">
      <c r="B3271" s="38">
        <v>39772</v>
      </c>
      <c r="C3271" s="3">
        <v>1</v>
      </c>
      <c r="D3271" s="3">
        <v>1</v>
      </c>
      <c r="E3271" s="3">
        <f>C3271 - D3271</f>
        <v>0</v>
      </c>
    </row>
    <row r="3272" spans="2:5" x14ac:dyDescent="0.35">
      <c r="B3272" s="38">
        <v>39773</v>
      </c>
      <c r="C3272" s="3">
        <v>1</v>
      </c>
      <c r="D3272" s="3">
        <v>1</v>
      </c>
      <c r="E3272" s="3">
        <f>C3272 - D3272</f>
        <v>0</v>
      </c>
    </row>
    <row r="3273" spans="2:5" x14ac:dyDescent="0.35">
      <c r="B3273" s="38">
        <v>39774</v>
      </c>
      <c r="C3273" s="3">
        <v>1</v>
      </c>
      <c r="D3273" s="3">
        <v>1</v>
      </c>
      <c r="E3273" s="3">
        <f>C3273 - D3273</f>
        <v>0</v>
      </c>
    </row>
    <row r="3274" spans="2:5" x14ac:dyDescent="0.35">
      <c r="B3274" s="38">
        <v>39775</v>
      </c>
      <c r="C3274" s="3">
        <v>1</v>
      </c>
      <c r="D3274" s="3">
        <v>1</v>
      </c>
      <c r="E3274" s="3">
        <f>C3274 - D3274</f>
        <v>0</v>
      </c>
    </row>
    <row r="3275" spans="2:5" x14ac:dyDescent="0.35">
      <c r="B3275" s="38">
        <v>39776</v>
      </c>
      <c r="C3275" s="3">
        <v>0</v>
      </c>
      <c r="D3275" s="3">
        <v>1</v>
      </c>
      <c r="E3275" s="3">
        <f>C3275 - D3275</f>
        <v>-1</v>
      </c>
    </row>
    <row r="3276" spans="2:5" x14ac:dyDescent="0.35">
      <c r="B3276" s="38">
        <v>39777</v>
      </c>
      <c r="C3276" s="3">
        <v>0</v>
      </c>
      <c r="D3276" s="3">
        <v>0</v>
      </c>
      <c r="E3276" s="3">
        <f>C3276 - D3276</f>
        <v>0</v>
      </c>
    </row>
    <row r="3277" spans="2:5" x14ac:dyDescent="0.35">
      <c r="B3277" s="38">
        <v>39778</v>
      </c>
      <c r="C3277" s="3">
        <v>0</v>
      </c>
      <c r="D3277" s="3">
        <v>0</v>
      </c>
      <c r="E3277" s="3">
        <f>C3277 - D3277</f>
        <v>0</v>
      </c>
    </row>
    <row r="3278" spans="2:5" x14ac:dyDescent="0.35">
      <c r="B3278" s="38">
        <v>39779</v>
      </c>
      <c r="C3278" s="3">
        <v>0</v>
      </c>
      <c r="D3278" s="3">
        <v>0</v>
      </c>
      <c r="E3278" s="3">
        <f>C3278 - D3278</f>
        <v>0</v>
      </c>
    </row>
    <row r="3279" spans="2:5" x14ac:dyDescent="0.35">
      <c r="B3279" s="38">
        <v>39780</v>
      </c>
      <c r="C3279" s="3">
        <v>1</v>
      </c>
      <c r="D3279" s="3">
        <v>0</v>
      </c>
      <c r="E3279" s="3">
        <f>C3279 - D3279</f>
        <v>1</v>
      </c>
    </row>
    <row r="3280" spans="2:5" x14ac:dyDescent="0.35">
      <c r="B3280" s="38">
        <v>39781</v>
      </c>
      <c r="C3280" s="3">
        <v>1</v>
      </c>
      <c r="D3280" s="3">
        <v>1</v>
      </c>
      <c r="E3280" s="3">
        <f>C3280 - D3280</f>
        <v>0</v>
      </c>
    </row>
    <row r="3281" spans="2:5" x14ac:dyDescent="0.35">
      <c r="B3281" s="38">
        <v>39782</v>
      </c>
      <c r="C3281" s="3">
        <v>0</v>
      </c>
      <c r="D3281" s="3">
        <v>1</v>
      </c>
      <c r="E3281" s="3">
        <f>C3281 - D3281</f>
        <v>-1</v>
      </c>
    </row>
    <row r="3282" spans="2:5" x14ac:dyDescent="0.35">
      <c r="B3282" s="38">
        <v>39783</v>
      </c>
      <c r="C3282" s="3">
        <v>1</v>
      </c>
      <c r="D3282" s="3">
        <v>0</v>
      </c>
      <c r="E3282" s="3">
        <f>C3282 - D3282</f>
        <v>1</v>
      </c>
    </row>
    <row r="3283" spans="2:5" x14ac:dyDescent="0.35">
      <c r="B3283" s="38">
        <v>39784</v>
      </c>
      <c r="C3283" s="3">
        <v>0</v>
      </c>
      <c r="D3283" s="3">
        <v>1</v>
      </c>
      <c r="E3283" s="3">
        <f>C3283 - D3283</f>
        <v>-1</v>
      </c>
    </row>
    <row r="3284" spans="2:5" x14ac:dyDescent="0.35">
      <c r="B3284" s="38">
        <v>39785</v>
      </c>
      <c r="C3284" s="3">
        <v>0</v>
      </c>
      <c r="D3284" s="3">
        <v>0</v>
      </c>
      <c r="E3284" s="3">
        <f>C3284 - D3284</f>
        <v>0</v>
      </c>
    </row>
    <row r="3285" spans="2:5" x14ac:dyDescent="0.35">
      <c r="B3285" s="38">
        <v>39786</v>
      </c>
      <c r="C3285" s="3">
        <v>0</v>
      </c>
      <c r="D3285" s="3">
        <v>0</v>
      </c>
      <c r="E3285" s="3">
        <f>C3285 - D3285</f>
        <v>0</v>
      </c>
    </row>
    <row r="3286" spans="2:5" x14ac:dyDescent="0.35">
      <c r="B3286" s="38">
        <v>39787</v>
      </c>
      <c r="C3286" s="3">
        <v>1</v>
      </c>
      <c r="D3286" s="3">
        <v>0</v>
      </c>
      <c r="E3286" s="3">
        <f>C3286 - D3286</f>
        <v>1</v>
      </c>
    </row>
    <row r="3287" spans="2:5" x14ac:dyDescent="0.35">
      <c r="B3287" s="38">
        <v>39788</v>
      </c>
      <c r="C3287" s="3">
        <v>0</v>
      </c>
      <c r="D3287" s="3">
        <v>1</v>
      </c>
      <c r="E3287" s="3">
        <f>C3287 - D3287</f>
        <v>-1</v>
      </c>
    </row>
    <row r="3288" spans="2:5" x14ac:dyDescent="0.35">
      <c r="B3288" s="38">
        <v>39789</v>
      </c>
      <c r="C3288" s="3">
        <v>1</v>
      </c>
      <c r="D3288" s="3">
        <v>0</v>
      </c>
      <c r="E3288" s="3">
        <f>C3288 - D3288</f>
        <v>1</v>
      </c>
    </row>
    <row r="3289" spans="2:5" x14ac:dyDescent="0.35">
      <c r="B3289" s="38">
        <v>39790</v>
      </c>
      <c r="C3289" s="3">
        <v>0</v>
      </c>
      <c r="D3289" s="3">
        <v>1</v>
      </c>
      <c r="E3289" s="3">
        <f>C3289 - D3289</f>
        <v>-1</v>
      </c>
    </row>
    <row r="3290" spans="2:5" x14ac:dyDescent="0.35">
      <c r="B3290" s="38">
        <v>39791</v>
      </c>
      <c r="C3290" s="3">
        <v>0</v>
      </c>
      <c r="D3290" s="3">
        <v>0</v>
      </c>
      <c r="E3290" s="3">
        <f>C3290 - D3290</f>
        <v>0</v>
      </c>
    </row>
    <row r="3291" spans="2:5" x14ac:dyDescent="0.35">
      <c r="B3291" s="38">
        <v>39792</v>
      </c>
      <c r="C3291" s="3">
        <v>1</v>
      </c>
      <c r="D3291" s="3">
        <v>0</v>
      </c>
      <c r="E3291" s="3">
        <f>C3291 - D3291</f>
        <v>1</v>
      </c>
    </row>
    <row r="3292" spans="2:5" x14ac:dyDescent="0.35">
      <c r="B3292" s="38">
        <v>39793</v>
      </c>
      <c r="C3292" s="3">
        <v>0</v>
      </c>
      <c r="D3292" s="3">
        <v>1</v>
      </c>
      <c r="E3292" s="3">
        <f>C3292 - D3292</f>
        <v>-1</v>
      </c>
    </row>
    <row r="3293" spans="2:5" x14ac:dyDescent="0.35">
      <c r="B3293" s="38">
        <v>39794</v>
      </c>
      <c r="C3293" s="3">
        <v>0</v>
      </c>
      <c r="D3293" s="3">
        <v>0</v>
      </c>
      <c r="E3293" s="3">
        <f>C3293 - D3293</f>
        <v>0</v>
      </c>
    </row>
    <row r="3294" spans="2:5" x14ac:dyDescent="0.35">
      <c r="B3294" s="38">
        <v>39795</v>
      </c>
      <c r="C3294" s="3">
        <v>1</v>
      </c>
      <c r="D3294" s="3">
        <v>0</v>
      </c>
      <c r="E3294" s="3">
        <f>C3294 - D3294</f>
        <v>1</v>
      </c>
    </row>
    <row r="3295" spans="2:5" x14ac:dyDescent="0.35">
      <c r="B3295" s="38">
        <v>39796</v>
      </c>
      <c r="C3295" s="3">
        <v>1</v>
      </c>
      <c r="D3295" s="3">
        <v>1</v>
      </c>
      <c r="E3295" s="3">
        <f>C3295 - D3295</f>
        <v>0</v>
      </c>
    </row>
    <row r="3296" spans="2:5" x14ac:dyDescent="0.35">
      <c r="B3296" s="38">
        <v>39797</v>
      </c>
      <c r="C3296" s="3">
        <v>1</v>
      </c>
      <c r="D3296" s="3">
        <v>1</v>
      </c>
      <c r="E3296" s="3">
        <f>C3296 - D3296</f>
        <v>0</v>
      </c>
    </row>
    <row r="3297" spans="2:5" x14ac:dyDescent="0.35">
      <c r="B3297" s="38">
        <v>39798</v>
      </c>
      <c r="C3297" s="3">
        <v>0</v>
      </c>
      <c r="D3297" s="3">
        <v>1</v>
      </c>
      <c r="E3297" s="3">
        <f>C3297 - D3297</f>
        <v>-1</v>
      </c>
    </row>
    <row r="3298" spans="2:5" x14ac:dyDescent="0.35">
      <c r="B3298" s="38">
        <v>39799</v>
      </c>
      <c r="C3298" s="3">
        <v>1</v>
      </c>
      <c r="D3298" s="3">
        <v>0</v>
      </c>
      <c r="E3298" s="3">
        <f>C3298 - D3298</f>
        <v>1</v>
      </c>
    </row>
    <row r="3299" spans="2:5" x14ac:dyDescent="0.35">
      <c r="B3299" s="38">
        <v>39800</v>
      </c>
      <c r="C3299" s="3">
        <v>1</v>
      </c>
      <c r="D3299" s="3">
        <v>1</v>
      </c>
      <c r="E3299" s="3">
        <f>C3299 - D3299</f>
        <v>0</v>
      </c>
    </row>
    <row r="3300" spans="2:5" x14ac:dyDescent="0.35">
      <c r="B3300" s="38">
        <v>39801</v>
      </c>
      <c r="C3300" s="3">
        <v>1</v>
      </c>
      <c r="D3300" s="3">
        <v>1</v>
      </c>
      <c r="E3300" s="3">
        <f>C3300 - D3300</f>
        <v>0</v>
      </c>
    </row>
    <row r="3301" spans="2:5" x14ac:dyDescent="0.35">
      <c r="B3301" s="38">
        <v>39802</v>
      </c>
      <c r="C3301" s="3">
        <v>1</v>
      </c>
      <c r="D3301" s="3">
        <v>1</v>
      </c>
      <c r="E3301" s="3">
        <f>C3301 - D3301</f>
        <v>0</v>
      </c>
    </row>
    <row r="3302" spans="2:5" x14ac:dyDescent="0.35">
      <c r="B3302" s="38">
        <v>39803</v>
      </c>
      <c r="C3302" s="3">
        <v>0</v>
      </c>
      <c r="D3302" s="3">
        <v>1</v>
      </c>
      <c r="E3302" s="3">
        <f>C3302 - D3302</f>
        <v>-1</v>
      </c>
    </row>
    <row r="3303" spans="2:5" x14ac:dyDescent="0.35">
      <c r="B3303" s="38">
        <v>39804</v>
      </c>
      <c r="C3303" s="3">
        <v>0</v>
      </c>
      <c r="D3303" s="3">
        <v>0</v>
      </c>
      <c r="E3303" s="3">
        <f>C3303 - D3303</f>
        <v>0</v>
      </c>
    </row>
    <row r="3304" spans="2:5" x14ac:dyDescent="0.35">
      <c r="B3304" s="38">
        <v>39805</v>
      </c>
      <c r="C3304" s="3">
        <v>0</v>
      </c>
      <c r="D3304" s="3">
        <v>0</v>
      </c>
      <c r="E3304" s="3">
        <f>C3304 - D3304</f>
        <v>0</v>
      </c>
    </row>
    <row r="3305" spans="2:5" x14ac:dyDescent="0.35">
      <c r="B3305" s="38">
        <v>39806</v>
      </c>
      <c r="C3305" s="3">
        <v>0</v>
      </c>
      <c r="D3305" s="3">
        <v>0</v>
      </c>
      <c r="E3305" s="3">
        <f>C3305 - D3305</f>
        <v>0</v>
      </c>
    </row>
    <row r="3306" spans="2:5" x14ac:dyDescent="0.35">
      <c r="B3306" s="38">
        <v>39807</v>
      </c>
      <c r="C3306" s="3">
        <v>0</v>
      </c>
      <c r="D3306" s="3">
        <v>0</v>
      </c>
      <c r="E3306" s="3">
        <f>C3306 - D3306</f>
        <v>0</v>
      </c>
    </row>
    <row r="3307" spans="2:5" x14ac:dyDescent="0.35">
      <c r="B3307" s="38">
        <v>39808</v>
      </c>
      <c r="C3307" s="3">
        <v>0</v>
      </c>
      <c r="D3307" s="3">
        <v>0</v>
      </c>
      <c r="E3307" s="3">
        <f>C3307 - D3307</f>
        <v>0</v>
      </c>
    </row>
    <row r="3308" spans="2:5" x14ac:dyDescent="0.35">
      <c r="B3308" s="38">
        <v>39809</v>
      </c>
      <c r="C3308" s="3">
        <v>0</v>
      </c>
      <c r="D3308" s="3">
        <v>0</v>
      </c>
      <c r="E3308" s="3">
        <f>C3308 - D3308</f>
        <v>0</v>
      </c>
    </row>
    <row r="3309" spans="2:5" x14ac:dyDescent="0.35">
      <c r="B3309" s="38">
        <v>39810</v>
      </c>
      <c r="C3309" s="3">
        <v>0</v>
      </c>
      <c r="D3309" s="3">
        <v>0</v>
      </c>
      <c r="E3309" s="3">
        <f>C3309 - D3309</f>
        <v>0</v>
      </c>
    </row>
    <row r="3310" spans="2:5" x14ac:dyDescent="0.35">
      <c r="B3310" s="38">
        <v>39811</v>
      </c>
      <c r="C3310" s="3">
        <v>0</v>
      </c>
      <c r="D3310" s="3">
        <v>0</v>
      </c>
      <c r="E3310" s="3">
        <f>C3310 - D3310</f>
        <v>0</v>
      </c>
    </row>
    <row r="3311" spans="2:5" x14ac:dyDescent="0.35">
      <c r="B3311" s="38">
        <v>39812</v>
      </c>
      <c r="C3311" s="3">
        <v>1</v>
      </c>
      <c r="D3311" s="3">
        <v>0</v>
      </c>
      <c r="E3311" s="3">
        <f>C3311 - D3311</f>
        <v>1</v>
      </c>
    </row>
    <row r="3312" spans="2:5" x14ac:dyDescent="0.35">
      <c r="B3312" s="38">
        <v>39813</v>
      </c>
      <c r="C3312" s="3">
        <v>0</v>
      </c>
      <c r="D3312" s="3">
        <v>1</v>
      </c>
      <c r="E3312" s="3">
        <f>C3312 - D3312</f>
        <v>-1</v>
      </c>
    </row>
    <row r="3313" spans="2:5" x14ac:dyDescent="0.35">
      <c r="B3313" s="38">
        <v>39814</v>
      </c>
      <c r="C3313" s="3">
        <v>0</v>
      </c>
      <c r="D3313" s="3">
        <v>0</v>
      </c>
      <c r="E3313" s="3">
        <f>C3313 - D3313</f>
        <v>0</v>
      </c>
    </row>
    <row r="3314" spans="2:5" x14ac:dyDescent="0.35">
      <c r="B3314" s="38">
        <v>39815</v>
      </c>
      <c r="C3314" s="3">
        <v>1</v>
      </c>
      <c r="D3314" s="3">
        <v>0</v>
      </c>
      <c r="E3314" s="3">
        <f>C3314 - D3314</f>
        <v>1</v>
      </c>
    </row>
    <row r="3315" spans="2:5" x14ac:dyDescent="0.35">
      <c r="B3315" s="38">
        <v>39816</v>
      </c>
      <c r="C3315" s="3">
        <v>1</v>
      </c>
      <c r="D3315" s="3">
        <v>1</v>
      </c>
      <c r="E3315" s="3">
        <f>C3315 - D3315</f>
        <v>0</v>
      </c>
    </row>
    <row r="3316" spans="2:5" x14ac:dyDescent="0.35">
      <c r="B3316" s="38">
        <v>39817</v>
      </c>
      <c r="C3316" s="3">
        <v>0</v>
      </c>
      <c r="D3316" s="3">
        <v>1</v>
      </c>
      <c r="E3316" s="3">
        <f>C3316 - D3316</f>
        <v>-1</v>
      </c>
    </row>
    <row r="3317" spans="2:5" x14ac:dyDescent="0.35">
      <c r="B3317" s="38">
        <v>39818</v>
      </c>
      <c r="C3317" s="3">
        <v>0</v>
      </c>
      <c r="D3317" s="3">
        <v>0</v>
      </c>
      <c r="E3317" s="3">
        <f>C3317 - D3317</f>
        <v>0</v>
      </c>
    </row>
    <row r="3318" spans="2:5" x14ac:dyDescent="0.35">
      <c r="B3318" s="38">
        <v>39819</v>
      </c>
      <c r="C3318" s="3">
        <v>0</v>
      </c>
      <c r="D3318" s="3">
        <v>0</v>
      </c>
      <c r="E3318" s="3">
        <f>C3318 - D3318</f>
        <v>0</v>
      </c>
    </row>
    <row r="3319" spans="2:5" x14ac:dyDescent="0.35">
      <c r="B3319" s="38">
        <v>39820</v>
      </c>
      <c r="C3319" s="3">
        <v>0</v>
      </c>
      <c r="D3319" s="3">
        <v>0</v>
      </c>
      <c r="E3319" s="3">
        <f>C3319 - D3319</f>
        <v>0</v>
      </c>
    </row>
    <row r="3320" spans="2:5" x14ac:dyDescent="0.35">
      <c r="B3320" s="38">
        <v>39821</v>
      </c>
      <c r="C3320" s="3">
        <v>0</v>
      </c>
      <c r="D3320" s="3">
        <v>0</v>
      </c>
      <c r="E3320" s="3">
        <f>C3320 - D3320</f>
        <v>0</v>
      </c>
    </row>
    <row r="3321" spans="2:5" x14ac:dyDescent="0.35">
      <c r="B3321" s="38">
        <v>39822</v>
      </c>
      <c r="C3321" s="3">
        <v>0</v>
      </c>
      <c r="D3321" s="3">
        <v>0</v>
      </c>
      <c r="E3321" s="3">
        <f>C3321 - D3321</f>
        <v>0</v>
      </c>
    </row>
    <row r="3322" spans="2:5" x14ac:dyDescent="0.35">
      <c r="B3322" s="38">
        <v>39823</v>
      </c>
      <c r="C3322" s="3">
        <v>0</v>
      </c>
      <c r="D3322" s="3">
        <v>0</v>
      </c>
      <c r="E3322" s="3">
        <f>C3322 - D3322</f>
        <v>0</v>
      </c>
    </row>
    <row r="3323" spans="2:5" x14ac:dyDescent="0.35">
      <c r="B3323" s="38">
        <v>39824</v>
      </c>
      <c r="C3323" s="3">
        <v>0</v>
      </c>
      <c r="D3323" s="3">
        <v>0</v>
      </c>
      <c r="E3323" s="3">
        <f>C3323 - D3323</f>
        <v>0</v>
      </c>
    </row>
    <row r="3324" spans="2:5" x14ac:dyDescent="0.35">
      <c r="B3324" s="38">
        <v>39825</v>
      </c>
      <c r="C3324" s="3">
        <v>0</v>
      </c>
      <c r="D3324" s="3">
        <v>0</v>
      </c>
      <c r="E3324" s="3">
        <f>C3324 - D3324</f>
        <v>0</v>
      </c>
    </row>
    <row r="3325" spans="2:5" x14ac:dyDescent="0.35">
      <c r="B3325" s="38">
        <v>39826</v>
      </c>
      <c r="C3325" s="3">
        <v>0</v>
      </c>
      <c r="D3325" s="3">
        <v>0</v>
      </c>
      <c r="E3325" s="3">
        <f>C3325 - D3325</f>
        <v>0</v>
      </c>
    </row>
    <row r="3326" spans="2:5" x14ac:dyDescent="0.35">
      <c r="B3326" s="38">
        <v>39827</v>
      </c>
      <c r="C3326" s="3">
        <v>0</v>
      </c>
      <c r="D3326" s="3">
        <v>0</v>
      </c>
      <c r="E3326" s="3">
        <f>C3326 - D3326</f>
        <v>0</v>
      </c>
    </row>
    <row r="3327" spans="2:5" x14ac:dyDescent="0.35">
      <c r="B3327" s="38">
        <v>39828</v>
      </c>
      <c r="C3327" s="3">
        <v>0</v>
      </c>
      <c r="D3327" s="3">
        <v>0</v>
      </c>
      <c r="E3327" s="3">
        <f>C3327 - D3327</f>
        <v>0</v>
      </c>
    </row>
    <row r="3328" spans="2:5" x14ac:dyDescent="0.35">
      <c r="B3328" s="38">
        <v>39829</v>
      </c>
      <c r="C3328" s="3">
        <v>0</v>
      </c>
      <c r="D3328" s="3">
        <v>0</v>
      </c>
      <c r="E3328" s="3">
        <f>C3328 - D3328</f>
        <v>0</v>
      </c>
    </row>
    <row r="3329" spans="2:5" x14ac:dyDescent="0.35">
      <c r="B3329" s="38">
        <v>39830</v>
      </c>
      <c r="C3329" s="3">
        <v>0</v>
      </c>
      <c r="D3329" s="3">
        <v>0</v>
      </c>
      <c r="E3329" s="3">
        <f>C3329 - D3329</f>
        <v>0</v>
      </c>
    </row>
    <row r="3330" spans="2:5" x14ac:dyDescent="0.35">
      <c r="B3330" s="38">
        <v>39831</v>
      </c>
      <c r="C3330" s="3">
        <v>0</v>
      </c>
      <c r="D3330" s="3">
        <v>0</v>
      </c>
      <c r="E3330" s="3">
        <f>C3330 - D3330</f>
        <v>0</v>
      </c>
    </row>
    <row r="3331" spans="2:5" x14ac:dyDescent="0.35">
      <c r="B3331" s="38">
        <v>39832</v>
      </c>
      <c r="C3331" s="3">
        <v>0</v>
      </c>
      <c r="D3331" s="3">
        <v>0</v>
      </c>
      <c r="E3331" s="3">
        <f>C3331 - D3331</f>
        <v>0</v>
      </c>
    </row>
    <row r="3332" spans="2:5" x14ac:dyDescent="0.35">
      <c r="B3332" s="38">
        <v>39833</v>
      </c>
      <c r="C3332" s="3">
        <v>0</v>
      </c>
      <c r="D3332" s="3">
        <v>0</v>
      </c>
      <c r="E3332" s="3">
        <f>C3332 - D3332</f>
        <v>0</v>
      </c>
    </row>
    <row r="3333" spans="2:5" x14ac:dyDescent="0.35">
      <c r="B3333" s="38">
        <v>39834</v>
      </c>
      <c r="C3333" s="3">
        <v>0</v>
      </c>
      <c r="D3333" s="3">
        <v>0</v>
      </c>
      <c r="E3333" s="3">
        <f>C3333 - D3333</f>
        <v>0</v>
      </c>
    </row>
    <row r="3334" spans="2:5" x14ac:dyDescent="0.35">
      <c r="B3334" s="38">
        <v>39835</v>
      </c>
      <c r="C3334" s="3">
        <v>0</v>
      </c>
      <c r="D3334" s="3">
        <v>0</v>
      </c>
      <c r="E3334" s="3">
        <f>C3334 - D3334</f>
        <v>0</v>
      </c>
    </row>
    <row r="3335" spans="2:5" x14ac:dyDescent="0.35">
      <c r="B3335" s="38">
        <v>39836</v>
      </c>
      <c r="C3335" s="3">
        <v>0</v>
      </c>
      <c r="D3335" s="3">
        <v>0</v>
      </c>
      <c r="E3335" s="3">
        <f>C3335 - D3335</f>
        <v>0</v>
      </c>
    </row>
    <row r="3336" spans="2:5" x14ac:dyDescent="0.35">
      <c r="B3336" s="38">
        <v>39837</v>
      </c>
      <c r="C3336" s="3">
        <v>0</v>
      </c>
      <c r="D3336" s="3">
        <v>0</v>
      </c>
      <c r="E3336" s="3">
        <f>C3336 - D3336</f>
        <v>0</v>
      </c>
    </row>
    <row r="3337" spans="2:5" x14ac:dyDescent="0.35">
      <c r="B3337" s="38">
        <v>39838</v>
      </c>
      <c r="C3337" s="3">
        <v>0</v>
      </c>
      <c r="D3337" s="3">
        <v>0</v>
      </c>
      <c r="E3337" s="3">
        <f>C3337 - D3337</f>
        <v>0</v>
      </c>
    </row>
    <row r="3338" spans="2:5" x14ac:dyDescent="0.35">
      <c r="B3338" s="38">
        <v>39839</v>
      </c>
      <c r="C3338" s="3">
        <v>0</v>
      </c>
      <c r="D3338" s="3">
        <v>0</v>
      </c>
      <c r="E3338" s="3">
        <f>C3338 - D3338</f>
        <v>0</v>
      </c>
    </row>
    <row r="3339" spans="2:5" x14ac:dyDescent="0.35">
      <c r="B3339" s="38">
        <v>39840</v>
      </c>
      <c r="C3339" s="3">
        <v>0</v>
      </c>
      <c r="D3339" s="3">
        <v>0</v>
      </c>
      <c r="E3339" s="3">
        <f>C3339 - D3339</f>
        <v>0</v>
      </c>
    </row>
    <row r="3340" spans="2:5" x14ac:dyDescent="0.35">
      <c r="B3340" s="38">
        <v>39841</v>
      </c>
      <c r="C3340" s="3">
        <v>0</v>
      </c>
      <c r="D3340" s="3">
        <v>0</v>
      </c>
      <c r="E3340" s="3">
        <f>C3340 - D3340</f>
        <v>0</v>
      </c>
    </row>
    <row r="3341" spans="2:5" x14ac:dyDescent="0.35">
      <c r="B3341" s="38">
        <v>39842</v>
      </c>
      <c r="C3341" s="3">
        <v>0</v>
      </c>
      <c r="D3341" s="3">
        <v>0</v>
      </c>
      <c r="E3341" s="3">
        <f>C3341 - D3341</f>
        <v>0</v>
      </c>
    </row>
    <row r="3342" spans="2:5" x14ac:dyDescent="0.35">
      <c r="B3342" s="38">
        <v>39843</v>
      </c>
      <c r="C3342" s="3">
        <v>0</v>
      </c>
      <c r="D3342" s="3">
        <v>0</v>
      </c>
      <c r="E3342" s="3">
        <f>C3342 - D3342</f>
        <v>0</v>
      </c>
    </row>
    <row r="3343" spans="2:5" x14ac:dyDescent="0.35">
      <c r="B3343" s="38">
        <v>39844</v>
      </c>
      <c r="C3343" s="3">
        <v>0</v>
      </c>
      <c r="D3343" s="3">
        <v>0</v>
      </c>
      <c r="E3343" s="3">
        <f>C3343 - D3343</f>
        <v>0</v>
      </c>
    </row>
    <row r="3344" spans="2:5" x14ac:dyDescent="0.35">
      <c r="B3344" s="38">
        <v>39845</v>
      </c>
      <c r="C3344" s="3">
        <v>0</v>
      </c>
      <c r="D3344" s="3">
        <v>0</v>
      </c>
      <c r="E3344" s="3">
        <f>C3344 - D3344</f>
        <v>0</v>
      </c>
    </row>
    <row r="3345" spans="2:5" x14ac:dyDescent="0.35">
      <c r="B3345" s="38">
        <v>39846</v>
      </c>
      <c r="C3345" s="3">
        <v>0</v>
      </c>
      <c r="D3345" s="3">
        <v>0</v>
      </c>
      <c r="E3345" s="3">
        <f>C3345 - D3345</f>
        <v>0</v>
      </c>
    </row>
    <row r="3346" spans="2:5" x14ac:dyDescent="0.35">
      <c r="B3346" s="38">
        <v>39847</v>
      </c>
      <c r="C3346" s="3">
        <v>0</v>
      </c>
      <c r="D3346" s="3">
        <v>0</v>
      </c>
      <c r="E3346" s="3">
        <f>C3346 - D3346</f>
        <v>0</v>
      </c>
    </row>
    <row r="3347" spans="2:5" x14ac:dyDescent="0.35">
      <c r="B3347" s="38">
        <v>39848</v>
      </c>
      <c r="C3347" s="3">
        <v>0</v>
      </c>
      <c r="D3347" s="3">
        <v>0</v>
      </c>
      <c r="E3347" s="3">
        <f>C3347 - D3347</f>
        <v>0</v>
      </c>
    </row>
    <row r="3348" spans="2:5" x14ac:dyDescent="0.35">
      <c r="B3348" s="38">
        <v>39849</v>
      </c>
      <c r="C3348" s="3">
        <v>0</v>
      </c>
      <c r="D3348" s="3">
        <v>0</v>
      </c>
      <c r="E3348" s="3">
        <f>C3348 - D3348</f>
        <v>0</v>
      </c>
    </row>
    <row r="3349" spans="2:5" x14ac:dyDescent="0.35">
      <c r="B3349" s="38">
        <v>39850</v>
      </c>
      <c r="C3349" s="3">
        <v>0</v>
      </c>
      <c r="D3349" s="3">
        <v>0</v>
      </c>
      <c r="E3349" s="3">
        <f>C3349 - D3349</f>
        <v>0</v>
      </c>
    </row>
    <row r="3350" spans="2:5" x14ac:dyDescent="0.35">
      <c r="B3350" s="38">
        <v>39851</v>
      </c>
      <c r="C3350" s="3">
        <v>0</v>
      </c>
      <c r="D3350" s="3">
        <v>0</v>
      </c>
      <c r="E3350" s="3">
        <f>C3350 - D3350</f>
        <v>0</v>
      </c>
    </row>
    <row r="3351" spans="2:5" x14ac:dyDescent="0.35">
      <c r="B3351" s="38">
        <v>39852</v>
      </c>
      <c r="C3351" s="3">
        <v>1</v>
      </c>
      <c r="D3351" s="3">
        <v>0</v>
      </c>
      <c r="E3351" s="3">
        <f>C3351 - D3351</f>
        <v>1</v>
      </c>
    </row>
    <row r="3352" spans="2:5" x14ac:dyDescent="0.35">
      <c r="B3352" s="38">
        <v>39853</v>
      </c>
      <c r="C3352" s="3">
        <v>1</v>
      </c>
      <c r="D3352" s="3">
        <v>1</v>
      </c>
      <c r="E3352" s="3">
        <f>C3352 - D3352</f>
        <v>0</v>
      </c>
    </row>
    <row r="3353" spans="2:5" x14ac:dyDescent="0.35">
      <c r="B3353" s="38">
        <v>39854</v>
      </c>
      <c r="C3353" s="3">
        <v>0</v>
      </c>
      <c r="D3353" s="3">
        <v>1</v>
      </c>
      <c r="E3353" s="3">
        <f>C3353 - D3353</f>
        <v>-1</v>
      </c>
    </row>
    <row r="3354" spans="2:5" x14ac:dyDescent="0.35">
      <c r="B3354" s="38">
        <v>39855</v>
      </c>
      <c r="C3354" s="3">
        <v>0</v>
      </c>
      <c r="D3354" s="3">
        <v>0</v>
      </c>
      <c r="E3354" s="3">
        <f>C3354 - D3354</f>
        <v>0</v>
      </c>
    </row>
    <row r="3355" spans="2:5" x14ac:dyDescent="0.35">
      <c r="B3355" s="38">
        <v>39856</v>
      </c>
      <c r="C3355" s="3">
        <v>0</v>
      </c>
      <c r="D3355" s="3">
        <v>0</v>
      </c>
      <c r="E3355" s="3">
        <f>C3355 - D3355</f>
        <v>0</v>
      </c>
    </row>
    <row r="3356" spans="2:5" x14ac:dyDescent="0.35">
      <c r="B3356" s="38">
        <v>39857</v>
      </c>
      <c r="C3356" s="3">
        <v>0</v>
      </c>
      <c r="D3356" s="3">
        <v>0</v>
      </c>
      <c r="E3356" s="3">
        <f>C3356 - D3356</f>
        <v>0</v>
      </c>
    </row>
    <row r="3357" spans="2:5" x14ac:dyDescent="0.35">
      <c r="B3357" s="38">
        <v>39858</v>
      </c>
      <c r="C3357" s="3">
        <v>0</v>
      </c>
      <c r="D3357" s="3">
        <v>0</v>
      </c>
      <c r="E3357" s="3">
        <f>C3357 - D3357</f>
        <v>0</v>
      </c>
    </row>
    <row r="3358" spans="2:5" x14ac:dyDescent="0.35">
      <c r="B3358" s="38">
        <v>39859</v>
      </c>
      <c r="C3358" s="3">
        <v>0</v>
      </c>
      <c r="D3358" s="3">
        <v>0</v>
      </c>
      <c r="E3358" s="3">
        <f>C3358 - D3358</f>
        <v>0</v>
      </c>
    </row>
    <row r="3359" spans="2:5" x14ac:dyDescent="0.35">
      <c r="B3359" s="38">
        <v>39860</v>
      </c>
      <c r="C3359" s="3">
        <v>0</v>
      </c>
      <c r="D3359" s="3">
        <v>0</v>
      </c>
      <c r="E3359" s="3">
        <f>C3359 - D3359</f>
        <v>0</v>
      </c>
    </row>
    <row r="3360" spans="2:5" x14ac:dyDescent="0.35">
      <c r="B3360" s="38">
        <v>39861</v>
      </c>
      <c r="C3360" s="3">
        <v>0</v>
      </c>
      <c r="D3360" s="3">
        <v>0</v>
      </c>
      <c r="E3360" s="3">
        <f>C3360 - D3360</f>
        <v>0</v>
      </c>
    </row>
    <row r="3361" spans="2:5" x14ac:dyDescent="0.35">
      <c r="B3361" s="38">
        <v>39862</v>
      </c>
      <c r="C3361" s="3">
        <v>0</v>
      </c>
      <c r="D3361" s="3">
        <v>0</v>
      </c>
      <c r="E3361" s="3">
        <f>C3361 - D3361</f>
        <v>0</v>
      </c>
    </row>
    <row r="3362" spans="2:5" x14ac:dyDescent="0.35">
      <c r="B3362" s="38">
        <v>39863</v>
      </c>
      <c r="C3362" s="3">
        <v>0</v>
      </c>
      <c r="D3362" s="3">
        <v>0</v>
      </c>
      <c r="E3362" s="3">
        <f>C3362 - D3362</f>
        <v>0</v>
      </c>
    </row>
    <row r="3363" spans="2:5" x14ac:dyDescent="0.35">
      <c r="B3363" s="38">
        <v>39864</v>
      </c>
      <c r="C3363" s="3">
        <v>0</v>
      </c>
      <c r="D3363" s="3">
        <v>0</v>
      </c>
      <c r="E3363" s="3">
        <f>C3363 - D3363</f>
        <v>0</v>
      </c>
    </row>
    <row r="3364" spans="2:5" x14ac:dyDescent="0.35">
      <c r="B3364" s="38">
        <v>39865</v>
      </c>
      <c r="C3364" s="3">
        <v>1</v>
      </c>
      <c r="D3364" s="3">
        <v>0</v>
      </c>
      <c r="E3364" s="3">
        <f>C3364 - D3364</f>
        <v>1</v>
      </c>
    </row>
    <row r="3365" spans="2:5" x14ac:dyDescent="0.35">
      <c r="B3365" s="38">
        <v>39866</v>
      </c>
      <c r="C3365" s="3">
        <v>0</v>
      </c>
      <c r="D3365" s="3">
        <v>1</v>
      </c>
      <c r="E3365" s="3">
        <f>C3365 - D3365</f>
        <v>-1</v>
      </c>
    </row>
    <row r="3366" spans="2:5" x14ac:dyDescent="0.35">
      <c r="B3366" s="38">
        <v>39867</v>
      </c>
      <c r="C3366" s="3">
        <v>0</v>
      </c>
      <c r="D3366" s="3">
        <v>0</v>
      </c>
      <c r="E3366" s="3">
        <f>C3366 - D3366</f>
        <v>0</v>
      </c>
    </row>
    <row r="3367" spans="2:5" x14ac:dyDescent="0.35">
      <c r="B3367" s="38">
        <v>39868</v>
      </c>
      <c r="C3367" s="3">
        <v>0</v>
      </c>
      <c r="D3367" s="3">
        <v>0</v>
      </c>
      <c r="E3367" s="3">
        <f>C3367 - D3367</f>
        <v>0</v>
      </c>
    </row>
    <row r="3368" spans="2:5" x14ac:dyDescent="0.35">
      <c r="B3368" s="38">
        <v>39869</v>
      </c>
      <c r="C3368" s="3">
        <v>1</v>
      </c>
      <c r="D3368" s="3">
        <v>0</v>
      </c>
      <c r="E3368" s="3">
        <f>C3368 - D3368</f>
        <v>1</v>
      </c>
    </row>
    <row r="3369" spans="2:5" x14ac:dyDescent="0.35">
      <c r="B3369" s="38">
        <v>39870</v>
      </c>
      <c r="C3369" s="3">
        <v>1</v>
      </c>
      <c r="D3369" s="3">
        <v>1</v>
      </c>
      <c r="E3369" s="3">
        <f>C3369 - D3369</f>
        <v>0</v>
      </c>
    </row>
    <row r="3370" spans="2:5" x14ac:dyDescent="0.35">
      <c r="B3370" s="38">
        <v>39871</v>
      </c>
      <c r="C3370" s="3">
        <v>0</v>
      </c>
      <c r="D3370" s="3">
        <v>1</v>
      </c>
      <c r="E3370" s="3">
        <f>C3370 - D3370</f>
        <v>-1</v>
      </c>
    </row>
    <row r="3371" spans="2:5" x14ac:dyDescent="0.35">
      <c r="B3371" s="38">
        <v>39872</v>
      </c>
      <c r="C3371" s="3">
        <v>0</v>
      </c>
      <c r="D3371" s="3">
        <v>0</v>
      </c>
      <c r="E3371" s="3">
        <f>C3371 - D3371</f>
        <v>0</v>
      </c>
    </row>
    <row r="3372" spans="2:5" x14ac:dyDescent="0.35">
      <c r="B3372" s="38">
        <v>39873</v>
      </c>
      <c r="C3372" s="3">
        <v>1</v>
      </c>
      <c r="D3372" s="3">
        <v>0</v>
      </c>
      <c r="E3372" s="3">
        <f>C3372 - D3372</f>
        <v>1</v>
      </c>
    </row>
    <row r="3373" spans="2:5" x14ac:dyDescent="0.35">
      <c r="B3373" s="38">
        <v>39874</v>
      </c>
      <c r="C3373" s="3">
        <v>0</v>
      </c>
      <c r="D3373" s="3">
        <v>1</v>
      </c>
      <c r="E3373" s="3">
        <f>C3373 - D3373</f>
        <v>-1</v>
      </c>
    </row>
    <row r="3374" spans="2:5" x14ac:dyDescent="0.35">
      <c r="B3374" s="38">
        <v>39875</v>
      </c>
      <c r="C3374" s="3">
        <v>1</v>
      </c>
      <c r="D3374" s="3">
        <v>0</v>
      </c>
      <c r="E3374" s="3">
        <f>C3374 - D3374</f>
        <v>1</v>
      </c>
    </row>
    <row r="3375" spans="2:5" x14ac:dyDescent="0.35">
      <c r="B3375" s="38">
        <v>39876</v>
      </c>
      <c r="C3375" s="3">
        <v>1</v>
      </c>
      <c r="D3375" s="3">
        <v>1</v>
      </c>
      <c r="E3375" s="3">
        <f>C3375 - D3375</f>
        <v>0</v>
      </c>
    </row>
    <row r="3376" spans="2:5" x14ac:dyDescent="0.35">
      <c r="B3376" s="38">
        <v>39877</v>
      </c>
      <c r="C3376" s="3">
        <v>1</v>
      </c>
      <c r="D3376" s="3">
        <v>1</v>
      </c>
      <c r="E3376" s="3">
        <f>C3376 - D3376</f>
        <v>0</v>
      </c>
    </row>
    <row r="3377" spans="2:5" x14ac:dyDescent="0.35">
      <c r="B3377" s="38">
        <v>39878</v>
      </c>
      <c r="C3377" s="3">
        <v>1</v>
      </c>
      <c r="D3377" s="3">
        <v>1</v>
      </c>
      <c r="E3377" s="3">
        <f>C3377 - D3377</f>
        <v>0</v>
      </c>
    </row>
    <row r="3378" spans="2:5" x14ac:dyDescent="0.35">
      <c r="B3378" s="38">
        <v>39879</v>
      </c>
      <c r="C3378" s="3">
        <v>1</v>
      </c>
      <c r="D3378" s="3">
        <v>1</v>
      </c>
      <c r="E3378" s="3">
        <f>C3378 - D3378</f>
        <v>0</v>
      </c>
    </row>
    <row r="3379" spans="2:5" x14ac:dyDescent="0.35">
      <c r="B3379" s="38">
        <v>39880</v>
      </c>
      <c r="C3379" s="3">
        <v>0</v>
      </c>
      <c r="D3379" s="3">
        <v>1</v>
      </c>
      <c r="E3379" s="3">
        <f>C3379 - D3379</f>
        <v>-1</v>
      </c>
    </row>
    <row r="3380" spans="2:5" x14ac:dyDescent="0.35">
      <c r="B3380" s="38">
        <v>39881</v>
      </c>
      <c r="C3380" s="3">
        <v>0</v>
      </c>
      <c r="D3380" s="3">
        <v>0</v>
      </c>
      <c r="E3380" s="3">
        <f>C3380 - D3380</f>
        <v>0</v>
      </c>
    </row>
    <row r="3381" spans="2:5" x14ac:dyDescent="0.35">
      <c r="B3381" s="38">
        <v>39882</v>
      </c>
      <c r="C3381" s="3">
        <v>0</v>
      </c>
      <c r="D3381" s="3">
        <v>0</v>
      </c>
      <c r="E3381" s="3">
        <f>C3381 - D3381</f>
        <v>0</v>
      </c>
    </row>
    <row r="3382" spans="2:5" x14ac:dyDescent="0.35">
      <c r="B3382" s="38">
        <v>39883</v>
      </c>
      <c r="C3382" s="3">
        <v>0</v>
      </c>
      <c r="D3382" s="3">
        <v>0</v>
      </c>
      <c r="E3382" s="3">
        <f>C3382 - D3382</f>
        <v>0</v>
      </c>
    </row>
    <row r="3383" spans="2:5" x14ac:dyDescent="0.35">
      <c r="B3383" s="38">
        <v>39884</v>
      </c>
      <c r="C3383" s="3">
        <v>1</v>
      </c>
      <c r="D3383" s="3">
        <v>0</v>
      </c>
      <c r="E3383" s="3">
        <f>C3383 - D3383</f>
        <v>1</v>
      </c>
    </row>
    <row r="3384" spans="2:5" x14ac:dyDescent="0.35">
      <c r="B3384" s="38">
        <v>39885</v>
      </c>
      <c r="C3384" s="3">
        <v>1</v>
      </c>
      <c r="D3384" s="3">
        <v>1</v>
      </c>
      <c r="E3384" s="3">
        <f>C3384 - D3384</f>
        <v>0</v>
      </c>
    </row>
    <row r="3385" spans="2:5" x14ac:dyDescent="0.35">
      <c r="B3385" s="38">
        <v>39886</v>
      </c>
      <c r="C3385" s="3">
        <v>1</v>
      </c>
      <c r="D3385" s="3">
        <v>1</v>
      </c>
      <c r="E3385" s="3">
        <f>C3385 - D3385</f>
        <v>0</v>
      </c>
    </row>
    <row r="3386" spans="2:5" x14ac:dyDescent="0.35">
      <c r="B3386" s="38">
        <v>39887</v>
      </c>
      <c r="C3386" s="3">
        <v>1</v>
      </c>
      <c r="D3386" s="3">
        <v>1</v>
      </c>
      <c r="E3386" s="3">
        <f>C3386 - D3386</f>
        <v>0</v>
      </c>
    </row>
    <row r="3387" spans="2:5" x14ac:dyDescent="0.35">
      <c r="B3387" s="38">
        <v>39888</v>
      </c>
      <c r="C3387" s="3">
        <v>1</v>
      </c>
      <c r="D3387" s="3">
        <v>1</v>
      </c>
      <c r="E3387" s="3">
        <f>C3387 - D3387</f>
        <v>0</v>
      </c>
    </row>
    <row r="3388" spans="2:5" x14ac:dyDescent="0.35">
      <c r="B3388" s="38">
        <v>39889</v>
      </c>
      <c r="C3388" s="3">
        <v>1</v>
      </c>
      <c r="D3388" s="3">
        <v>1</v>
      </c>
      <c r="E3388" s="3">
        <f>C3388 - D3388</f>
        <v>0</v>
      </c>
    </row>
    <row r="3389" spans="2:5" x14ac:dyDescent="0.35">
      <c r="B3389" s="38">
        <v>39890</v>
      </c>
      <c r="C3389" s="3">
        <v>0</v>
      </c>
      <c r="D3389" s="3">
        <v>1</v>
      </c>
      <c r="E3389" s="3">
        <f>C3389 - D3389</f>
        <v>-1</v>
      </c>
    </row>
    <row r="3390" spans="2:5" x14ac:dyDescent="0.35">
      <c r="B3390" s="38">
        <v>39891</v>
      </c>
      <c r="C3390" s="3">
        <v>0</v>
      </c>
      <c r="D3390" s="3">
        <v>0</v>
      </c>
      <c r="E3390" s="3">
        <f>C3390 - D3390</f>
        <v>0</v>
      </c>
    </row>
    <row r="3391" spans="2:5" x14ac:dyDescent="0.35">
      <c r="B3391" s="38">
        <v>39892</v>
      </c>
      <c r="C3391" s="3">
        <v>0</v>
      </c>
      <c r="D3391" s="3">
        <v>0</v>
      </c>
      <c r="E3391" s="3">
        <f>C3391 - D3391</f>
        <v>0</v>
      </c>
    </row>
    <row r="3392" spans="2:5" x14ac:dyDescent="0.35">
      <c r="B3392" s="38">
        <v>39893</v>
      </c>
      <c r="C3392" s="3">
        <v>0</v>
      </c>
      <c r="D3392" s="3">
        <v>0</v>
      </c>
      <c r="E3392" s="3">
        <f>C3392 - D3392</f>
        <v>0</v>
      </c>
    </row>
    <row r="3393" spans="2:5" x14ac:dyDescent="0.35">
      <c r="B3393" s="38">
        <v>39894</v>
      </c>
      <c r="C3393" s="3">
        <v>0</v>
      </c>
      <c r="D3393" s="3">
        <v>0</v>
      </c>
      <c r="E3393" s="3">
        <f>C3393 - D3393</f>
        <v>0</v>
      </c>
    </row>
    <row r="3394" spans="2:5" x14ac:dyDescent="0.35">
      <c r="B3394" s="38">
        <v>39895</v>
      </c>
      <c r="C3394" s="3">
        <v>1</v>
      </c>
      <c r="D3394" s="3">
        <v>0</v>
      </c>
      <c r="E3394" s="3">
        <f>C3394 - D3394</f>
        <v>1</v>
      </c>
    </row>
    <row r="3395" spans="2:5" x14ac:dyDescent="0.35">
      <c r="B3395" s="38">
        <v>39896</v>
      </c>
      <c r="C3395" s="3">
        <v>0</v>
      </c>
      <c r="D3395" s="3">
        <v>1</v>
      </c>
      <c r="E3395" s="3">
        <f>C3395 - D3395</f>
        <v>-1</v>
      </c>
    </row>
    <row r="3396" spans="2:5" x14ac:dyDescent="0.35">
      <c r="B3396" s="38">
        <v>39897</v>
      </c>
      <c r="C3396" s="3">
        <v>1</v>
      </c>
      <c r="D3396" s="3">
        <v>0</v>
      </c>
      <c r="E3396" s="3">
        <f>C3396 - D3396</f>
        <v>1</v>
      </c>
    </row>
    <row r="3397" spans="2:5" x14ac:dyDescent="0.35">
      <c r="B3397" s="38">
        <v>39898</v>
      </c>
      <c r="C3397" s="3">
        <v>0</v>
      </c>
      <c r="D3397" s="3">
        <v>1</v>
      </c>
      <c r="E3397" s="3">
        <f>C3397 - D3397</f>
        <v>-1</v>
      </c>
    </row>
    <row r="3398" spans="2:5" x14ac:dyDescent="0.35">
      <c r="B3398" s="38">
        <v>39899</v>
      </c>
      <c r="C3398" s="3">
        <v>0</v>
      </c>
      <c r="D3398" s="3">
        <v>0</v>
      </c>
      <c r="E3398" s="3">
        <f>C3398 - D3398</f>
        <v>0</v>
      </c>
    </row>
    <row r="3399" spans="2:5" x14ac:dyDescent="0.35">
      <c r="B3399" s="38">
        <v>39900</v>
      </c>
      <c r="C3399" s="3">
        <v>0</v>
      </c>
      <c r="D3399" s="3">
        <v>0</v>
      </c>
      <c r="E3399" s="3">
        <f>C3399 - D3399</f>
        <v>0</v>
      </c>
    </row>
    <row r="3400" spans="2:5" x14ac:dyDescent="0.35">
      <c r="B3400" s="38">
        <v>39901</v>
      </c>
      <c r="C3400" s="3">
        <v>0</v>
      </c>
      <c r="D3400" s="3">
        <v>0</v>
      </c>
      <c r="E3400" s="3">
        <f>C3400 - D3400</f>
        <v>0</v>
      </c>
    </row>
    <row r="3401" spans="2:5" x14ac:dyDescent="0.35">
      <c r="B3401" s="38">
        <v>39902</v>
      </c>
      <c r="C3401" s="3">
        <v>0</v>
      </c>
      <c r="D3401" s="3">
        <v>0</v>
      </c>
      <c r="E3401" s="3">
        <f>C3401 - D3401</f>
        <v>0</v>
      </c>
    </row>
    <row r="3402" spans="2:5" x14ac:dyDescent="0.35">
      <c r="B3402" s="38">
        <v>39903</v>
      </c>
      <c r="C3402" s="3">
        <v>0</v>
      </c>
      <c r="D3402" s="3">
        <v>0</v>
      </c>
      <c r="E3402" s="3">
        <f>C3402 - D3402</f>
        <v>0</v>
      </c>
    </row>
    <row r="3403" spans="2:5" x14ac:dyDescent="0.35">
      <c r="B3403" s="38">
        <v>39904</v>
      </c>
      <c r="C3403" s="3">
        <v>0</v>
      </c>
      <c r="D3403" s="3">
        <v>0</v>
      </c>
      <c r="E3403" s="3">
        <f>C3403 - D3403</f>
        <v>0</v>
      </c>
    </row>
    <row r="3404" spans="2:5" x14ac:dyDescent="0.35">
      <c r="B3404" s="38">
        <v>39905</v>
      </c>
      <c r="C3404" s="3">
        <v>0</v>
      </c>
      <c r="D3404" s="3">
        <v>0</v>
      </c>
      <c r="E3404" s="3">
        <f>C3404 - D3404</f>
        <v>0</v>
      </c>
    </row>
    <row r="3405" spans="2:5" x14ac:dyDescent="0.35">
      <c r="B3405" s="38">
        <v>39906</v>
      </c>
      <c r="C3405" s="3">
        <v>0</v>
      </c>
      <c r="D3405" s="3">
        <v>0</v>
      </c>
      <c r="E3405" s="3">
        <f>C3405 - D3405</f>
        <v>0</v>
      </c>
    </row>
    <row r="3406" spans="2:5" x14ac:dyDescent="0.35">
      <c r="B3406" s="38">
        <v>39907</v>
      </c>
      <c r="C3406" s="3">
        <v>1</v>
      </c>
      <c r="D3406" s="3">
        <v>0</v>
      </c>
      <c r="E3406" s="3">
        <f>C3406 - D3406</f>
        <v>1</v>
      </c>
    </row>
    <row r="3407" spans="2:5" x14ac:dyDescent="0.35">
      <c r="B3407" s="38">
        <v>39908</v>
      </c>
      <c r="C3407" s="3">
        <v>0</v>
      </c>
      <c r="D3407" s="3">
        <v>1</v>
      </c>
      <c r="E3407" s="3">
        <f>C3407 - D3407</f>
        <v>-1</v>
      </c>
    </row>
    <row r="3408" spans="2:5" x14ac:dyDescent="0.35">
      <c r="B3408" s="38">
        <v>39909</v>
      </c>
      <c r="C3408" s="3">
        <v>1</v>
      </c>
      <c r="D3408" s="3">
        <v>0</v>
      </c>
      <c r="E3408" s="3">
        <f>C3408 - D3408</f>
        <v>1</v>
      </c>
    </row>
    <row r="3409" spans="2:5" x14ac:dyDescent="0.35">
      <c r="B3409" s="38">
        <v>39910</v>
      </c>
      <c r="C3409" s="3">
        <v>1</v>
      </c>
      <c r="D3409" s="3">
        <v>1</v>
      </c>
      <c r="E3409" s="3">
        <f>C3409 - D3409</f>
        <v>0</v>
      </c>
    </row>
    <row r="3410" spans="2:5" x14ac:dyDescent="0.35">
      <c r="B3410" s="38">
        <v>39911</v>
      </c>
      <c r="C3410" s="3">
        <v>1</v>
      </c>
      <c r="D3410" s="3">
        <v>1</v>
      </c>
      <c r="E3410" s="3">
        <f>C3410 - D3410</f>
        <v>0</v>
      </c>
    </row>
    <row r="3411" spans="2:5" x14ac:dyDescent="0.35">
      <c r="B3411" s="38">
        <v>39912</v>
      </c>
      <c r="C3411" s="3">
        <v>0</v>
      </c>
      <c r="D3411" s="3">
        <v>1</v>
      </c>
      <c r="E3411" s="3">
        <f>C3411 - D3411</f>
        <v>-1</v>
      </c>
    </row>
    <row r="3412" spans="2:5" x14ac:dyDescent="0.35">
      <c r="B3412" s="38">
        <v>39913</v>
      </c>
      <c r="C3412" s="3">
        <v>0</v>
      </c>
      <c r="D3412" s="3">
        <v>0</v>
      </c>
      <c r="E3412" s="3">
        <f>C3412 - D3412</f>
        <v>0</v>
      </c>
    </row>
    <row r="3413" spans="2:5" x14ac:dyDescent="0.35">
      <c r="B3413" s="38">
        <v>39914</v>
      </c>
      <c r="C3413" s="3">
        <v>0</v>
      </c>
      <c r="D3413" s="3">
        <v>0</v>
      </c>
      <c r="E3413" s="3">
        <f>C3413 - D3413</f>
        <v>0</v>
      </c>
    </row>
    <row r="3414" spans="2:5" x14ac:dyDescent="0.35">
      <c r="B3414" s="38">
        <v>39915</v>
      </c>
      <c r="C3414" s="3">
        <v>0</v>
      </c>
      <c r="D3414" s="3">
        <v>0</v>
      </c>
      <c r="E3414" s="3">
        <f>C3414 - D3414</f>
        <v>0</v>
      </c>
    </row>
    <row r="3415" spans="2:5" x14ac:dyDescent="0.35">
      <c r="B3415" s="38">
        <v>39916</v>
      </c>
      <c r="C3415" s="3">
        <v>0</v>
      </c>
      <c r="D3415" s="3">
        <v>0</v>
      </c>
      <c r="E3415" s="3">
        <f>C3415 - D3415</f>
        <v>0</v>
      </c>
    </row>
    <row r="3416" spans="2:5" x14ac:dyDescent="0.35">
      <c r="B3416" s="38">
        <v>39917</v>
      </c>
      <c r="C3416" s="3">
        <v>0</v>
      </c>
      <c r="D3416" s="3">
        <v>0</v>
      </c>
      <c r="E3416" s="3">
        <f>C3416 - D3416</f>
        <v>0</v>
      </c>
    </row>
    <row r="3417" spans="2:5" x14ac:dyDescent="0.35">
      <c r="B3417" s="38">
        <v>39918</v>
      </c>
      <c r="C3417" s="3">
        <v>1</v>
      </c>
      <c r="D3417" s="3">
        <v>0</v>
      </c>
      <c r="E3417" s="3">
        <f>C3417 - D3417</f>
        <v>1</v>
      </c>
    </row>
    <row r="3418" spans="2:5" x14ac:dyDescent="0.35">
      <c r="B3418" s="38">
        <v>39919</v>
      </c>
      <c r="C3418" s="3">
        <v>0</v>
      </c>
      <c r="D3418" s="3">
        <v>1</v>
      </c>
      <c r="E3418" s="3">
        <f>C3418 - D3418</f>
        <v>-1</v>
      </c>
    </row>
    <row r="3419" spans="2:5" x14ac:dyDescent="0.35">
      <c r="B3419" s="38">
        <v>39920</v>
      </c>
      <c r="C3419" s="3">
        <v>0</v>
      </c>
      <c r="D3419" s="3">
        <v>0</v>
      </c>
      <c r="E3419" s="3">
        <f>C3419 - D3419</f>
        <v>0</v>
      </c>
    </row>
    <row r="3420" spans="2:5" x14ac:dyDescent="0.35">
      <c r="B3420" s="38">
        <v>39921</v>
      </c>
      <c r="C3420" s="3">
        <v>0</v>
      </c>
      <c r="D3420" s="3">
        <v>0</v>
      </c>
      <c r="E3420" s="3">
        <f>C3420 - D3420</f>
        <v>0</v>
      </c>
    </row>
    <row r="3421" spans="2:5" x14ac:dyDescent="0.35">
      <c r="B3421" s="38">
        <v>39922</v>
      </c>
      <c r="C3421" s="3">
        <v>0</v>
      </c>
      <c r="D3421" s="3">
        <v>0</v>
      </c>
      <c r="E3421" s="3">
        <f>C3421 - D3421</f>
        <v>0</v>
      </c>
    </row>
    <row r="3422" spans="2:5" x14ac:dyDescent="0.35">
      <c r="B3422" s="38">
        <v>39923</v>
      </c>
      <c r="C3422" s="3">
        <v>0</v>
      </c>
      <c r="D3422" s="3">
        <v>0</v>
      </c>
      <c r="E3422" s="3">
        <f>C3422 - D3422</f>
        <v>0</v>
      </c>
    </row>
    <row r="3423" spans="2:5" x14ac:dyDescent="0.35">
      <c r="B3423" s="38">
        <v>39924</v>
      </c>
      <c r="C3423" s="3">
        <v>0</v>
      </c>
      <c r="D3423" s="3">
        <v>0</v>
      </c>
      <c r="E3423" s="3">
        <f>C3423 - D3423</f>
        <v>0</v>
      </c>
    </row>
    <row r="3424" spans="2:5" x14ac:dyDescent="0.35">
      <c r="B3424" s="38">
        <v>39925</v>
      </c>
      <c r="C3424" s="3">
        <v>0</v>
      </c>
      <c r="D3424" s="3">
        <v>0</v>
      </c>
      <c r="E3424" s="3">
        <f>C3424 - D3424</f>
        <v>0</v>
      </c>
    </row>
    <row r="3425" spans="2:5" x14ac:dyDescent="0.35">
      <c r="B3425" s="38">
        <v>39926</v>
      </c>
      <c r="C3425" s="3">
        <v>0</v>
      </c>
      <c r="D3425" s="3">
        <v>0</v>
      </c>
      <c r="E3425" s="3">
        <f>C3425 - D3425</f>
        <v>0</v>
      </c>
    </row>
    <row r="3426" spans="2:5" x14ac:dyDescent="0.35">
      <c r="B3426" s="38">
        <v>39927</v>
      </c>
      <c r="C3426" s="3">
        <v>0</v>
      </c>
      <c r="D3426" s="3">
        <v>0</v>
      </c>
      <c r="E3426" s="3">
        <f>C3426 - D3426</f>
        <v>0</v>
      </c>
    </row>
    <row r="3427" spans="2:5" x14ac:dyDescent="0.35">
      <c r="B3427" s="38">
        <v>39928</v>
      </c>
      <c r="C3427" s="3">
        <v>1</v>
      </c>
      <c r="D3427" s="3">
        <v>0</v>
      </c>
      <c r="E3427" s="3">
        <f>C3427 - D3427</f>
        <v>1</v>
      </c>
    </row>
    <row r="3428" spans="2:5" x14ac:dyDescent="0.35">
      <c r="B3428" s="38">
        <v>39929</v>
      </c>
      <c r="C3428" s="3">
        <v>1</v>
      </c>
      <c r="D3428" s="3">
        <v>1</v>
      </c>
      <c r="E3428" s="3">
        <f>C3428 - D3428</f>
        <v>0</v>
      </c>
    </row>
    <row r="3429" spans="2:5" x14ac:dyDescent="0.35">
      <c r="B3429" s="38">
        <v>39930</v>
      </c>
      <c r="C3429" s="3">
        <v>1</v>
      </c>
      <c r="D3429" s="3">
        <v>1</v>
      </c>
      <c r="E3429" s="3">
        <f>C3429 - D3429</f>
        <v>0</v>
      </c>
    </row>
    <row r="3430" spans="2:5" x14ac:dyDescent="0.35">
      <c r="B3430" s="38">
        <v>39931</v>
      </c>
      <c r="C3430" s="3">
        <v>1</v>
      </c>
      <c r="D3430" s="3">
        <v>1</v>
      </c>
      <c r="E3430" s="3">
        <f>C3430 - D3430</f>
        <v>0</v>
      </c>
    </row>
    <row r="3431" spans="2:5" x14ac:dyDescent="0.35">
      <c r="B3431" s="38">
        <v>39932</v>
      </c>
      <c r="C3431" s="3">
        <v>1</v>
      </c>
      <c r="D3431" s="3">
        <v>1</v>
      </c>
      <c r="E3431" s="3">
        <f>C3431 - D3431</f>
        <v>0</v>
      </c>
    </row>
    <row r="3432" spans="2:5" x14ac:dyDescent="0.35">
      <c r="B3432" s="38">
        <v>39933</v>
      </c>
      <c r="C3432" s="3">
        <v>0</v>
      </c>
      <c r="D3432" s="3">
        <v>1</v>
      </c>
      <c r="E3432" s="3">
        <f>C3432 - D3432</f>
        <v>-1</v>
      </c>
    </row>
    <row r="3433" spans="2:5" x14ac:dyDescent="0.35">
      <c r="B3433" s="38">
        <v>39934</v>
      </c>
      <c r="C3433" s="3">
        <v>0</v>
      </c>
      <c r="D3433" s="3">
        <v>0</v>
      </c>
      <c r="E3433" s="3">
        <f>C3433 - D3433</f>
        <v>0</v>
      </c>
    </row>
    <row r="3434" spans="2:5" x14ac:dyDescent="0.35">
      <c r="B3434" s="38">
        <v>39935</v>
      </c>
      <c r="C3434" s="3">
        <v>0</v>
      </c>
      <c r="D3434" s="3">
        <v>0</v>
      </c>
      <c r="E3434" s="3">
        <f>C3434 - D3434</f>
        <v>0</v>
      </c>
    </row>
    <row r="3435" spans="2:5" x14ac:dyDescent="0.35">
      <c r="B3435" s="38">
        <v>39936</v>
      </c>
      <c r="C3435" s="3">
        <v>0</v>
      </c>
      <c r="D3435" s="3">
        <v>0</v>
      </c>
      <c r="E3435" s="3">
        <f>C3435 - D3435</f>
        <v>0</v>
      </c>
    </row>
    <row r="3436" spans="2:5" x14ac:dyDescent="0.35">
      <c r="B3436" s="38">
        <v>39937</v>
      </c>
      <c r="C3436" s="3">
        <v>0</v>
      </c>
      <c r="D3436" s="3">
        <v>0</v>
      </c>
      <c r="E3436" s="3">
        <f>C3436 - D3436</f>
        <v>0</v>
      </c>
    </row>
    <row r="3437" spans="2:5" x14ac:dyDescent="0.35">
      <c r="B3437" s="38">
        <v>39938</v>
      </c>
      <c r="C3437" s="3">
        <v>0</v>
      </c>
      <c r="D3437" s="3">
        <v>0</v>
      </c>
      <c r="E3437" s="3">
        <f>C3437 - D3437</f>
        <v>0</v>
      </c>
    </row>
    <row r="3438" spans="2:5" x14ac:dyDescent="0.35">
      <c r="B3438" s="38">
        <v>39939</v>
      </c>
      <c r="C3438" s="3">
        <v>0</v>
      </c>
      <c r="D3438" s="3">
        <v>0</v>
      </c>
      <c r="E3438" s="3">
        <f>C3438 - D3438</f>
        <v>0</v>
      </c>
    </row>
    <row r="3439" spans="2:5" x14ac:dyDescent="0.35">
      <c r="B3439" s="38">
        <v>39940</v>
      </c>
      <c r="C3439" s="3">
        <v>0</v>
      </c>
      <c r="D3439" s="3">
        <v>0</v>
      </c>
      <c r="E3439" s="3">
        <f>C3439 - D3439</f>
        <v>0</v>
      </c>
    </row>
    <row r="3440" spans="2:5" x14ac:dyDescent="0.35">
      <c r="B3440" s="38">
        <v>39941</v>
      </c>
      <c r="C3440" s="3">
        <v>1</v>
      </c>
      <c r="D3440" s="3">
        <v>0</v>
      </c>
      <c r="E3440" s="3">
        <f>C3440 - D3440</f>
        <v>1</v>
      </c>
    </row>
    <row r="3441" spans="2:5" x14ac:dyDescent="0.35">
      <c r="B3441" s="38">
        <v>39942</v>
      </c>
      <c r="C3441" s="3">
        <v>1</v>
      </c>
      <c r="D3441" s="3">
        <v>1</v>
      </c>
      <c r="E3441" s="3">
        <f>C3441 - D3441</f>
        <v>0</v>
      </c>
    </row>
    <row r="3442" spans="2:5" x14ac:dyDescent="0.35">
      <c r="B3442" s="38">
        <v>39943</v>
      </c>
      <c r="C3442" s="3">
        <v>0</v>
      </c>
      <c r="D3442" s="3">
        <v>1</v>
      </c>
      <c r="E3442" s="3">
        <f>C3442 - D3442</f>
        <v>-1</v>
      </c>
    </row>
    <row r="3443" spans="2:5" x14ac:dyDescent="0.35">
      <c r="B3443" s="38">
        <v>39944</v>
      </c>
      <c r="C3443" s="3">
        <v>1</v>
      </c>
      <c r="D3443" s="3">
        <v>0</v>
      </c>
      <c r="E3443" s="3">
        <f>C3443 - D3443</f>
        <v>1</v>
      </c>
    </row>
    <row r="3444" spans="2:5" x14ac:dyDescent="0.35">
      <c r="B3444" s="38">
        <v>39945</v>
      </c>
      <c r="C3444" s="3">
        <v>0</v>
      </c>
      <c r="D3444" s="3">
        <v>1</v>
      </c>
      <c r="E3444" s="3">
        <f>C3444 - D3444</f>
        <v>-1</v>
      </c>
    </row>
    <row r="3445" spans="2:5" x14ac:dyDescent="0.35">
      <c r="B3445" s="38">
        <v>39946</v>
      </c>
      <c r="C3445" s="3">
        <v>1</v>
      </c>
      <c r="D3445" s="3">
        <v>0</v>
      </c>
      <c r="E3445" s="3">
        <f>C3445 - D3445</f>
        <v>1</v>
      </c>
    </row>
    <row r="3446" spans="2:5" x14ac:dyDescent="0.35">
      <c r="B3446" s="38">
        <v>39947</v>
      </c>
      <c r="C3446" s="3">
        <v>0</v>
      </c>
      <c r="D3446" s="3">
        <v>1</v>
      </c>
      <c r="E3446" s="3">
        <f>C3446 - D3446</f>
        <v>-1</v>
      </c>
    </row>
    <row r="3447" spans="2:5" x14ac:dyDescent="0.35">
      <c r="B3447" s="38">
        <v>39948</v>
      </c>
      <c r="C3447" s="3">
        <v>0</v>
      </c>
      <c r="D3447" s="3">
        <v>0</v>
      </c>
      <c r="E3447" s="3">
        <f>C3447 - D3447</f>
        <v>0</v>
      </c>
    </row>
    <row r="3448" spans="2:5" x14ac:dyDescent="0.35">
      <c r="B3448" s="38">
        <v>39949</v>
      </c>
      <c r="C3448" s="3">
        <v>1</v>
      </c>
      <c r="D3448" s="3">
        <v>0</v>
      </c>
      <c r="E3448" s="3">
        <f>C3448 - D3448</f>
        <v>1</v>
      </c>
    </row>
    <row r="3449" spans="2:5" x14ac:dyDescent="0.35">
      <c r="B3449" s="38">
        <v>39950</v>
      </c>
      <c r="C3449" s="3">
        <v>0</v>
      </c>
      <c r="D3449" s="3">
        <v>1</v>
      </c>
      <c r="E3449" s="3">
        <f>C3449 - D3449</f>
        <v>-1</v>
      </c>
    </row>
    <row r="3450" spans="2:5" x14ac:dyDescent="0.35">
      <c r="B3450" s="38">
        <v>39951</v>
      </c>
      <c r="C3450" s="3">
        <v>0</v>
      </c>
      <c r="D3450" s="3">
        <v>0</v>
      </c>
      <c r="E3450" s="3">
        <f>C3450 - D3450</f>
        <v>0</v>
      </c>
    </row>
    <row r="3451" spans="2:5" x14ac:dyDescent="0.35">
      <c r="B3451" s="38">
        <v>39952</v>
      </c>
      <c r="C3451" s="3">
        <v>0</v>
      </c>
      <c r="D3451" s="3">
        <v>0</v>
      </c>
      <c r="E3451" s="3">
        <f>C3451 - D3451</f>
        <v>0</v>
      </c>
    </row>
    <row r="3452" spans="2:5" x14ac:dyDescent="0.35">
      <c r="B3452" s="38">
        <v>39953</v>
      </c>
      <c r="C3452" s="3">
        <v>0</v>
      </c>
      <c r="D3452" s="3">
        <v>0</v>
      </c>
      <c r="E3452" s="3">
        <f>C3452 - D3452</f>
        <v>0</v>
      </c>
    </row>
    <row r="3453" spans="2:5" x14ac:dyDescent="0.35">
      <c r="B3453" s="38">
        <v>39954</v>
      </c>
      <c r="C3453" s="3">
        <v>0</v>
      </c>
      <c r="D3453" s="3">
        <v>0</v>
      </c>
      <c r="E3453" s="3">
        <f>C3453 - D3453</f>
        <v>0</v>
      </c>
    </row>
    <row r="3454" spans="2:5" x14ac:dyDescent="0.35">
      <c r="B3454" s="38">
        <v>39955</v>
      </c>
      <c r="C3454" s="3">
        <v>0</v>
      </c>
      <c r="D3454" s="3">
        <v>0</v>
      </c>
      <c r="E3454" s="3">
        <f>C3454 - D3454</f>
        <v>0</v>
      </c>
    </row>
    <row r="3455" spans="2:5" x14ac:dyDescent="0.35">
      <c r="B3455" s="38">
        <v>39956</v>
      </c>
      <c r="C3455" s="3">
        <v>0</v>
      </c>
      <c r="D3455" s="3">
        <v>0</v>
      </c>
      <c r="E3455" s="3">
        <f>C3455 - D3455</f>
        <v>0</v>
      </c>
    </row>
    <row r="3456" spans="2:5" x14ac:dyDescent="0.35">
      <c r="B3456" s="38">
        <v>39957</v>
      </c>
      <c r="C3456" s="3">
        <v>0</v>
      </c>
      <c r="D3456" s="3">
        <v>0</v>
      </c>
      <c r="E3456" s="3">
        <f>C3456 - D3456</f>
        <v>0</v>
      </c>
    </row>
    <row r="3457" spans="2:5" x14ac:dyDescent="0.35">
      <c r="B3457" s="38">
        <v>39958</v>
      </c>
      <c r="C3457" s="3">
        <v>0</v>
      </c>
      <c r="D3457" s="3">
        <v>0</v>
      </c>
      <c r="E3457" s="3">
        <f>C3457 - D3457</f>
        <v>0</v>
      </c>
    </row>
    <row r="3458" spans="2:5" x14ac:dyDescent="0.35">
      <c r="B3458" s="38">
        <v>39959</v>
      </c>
      <c r="C3458" s="3">
        <v>1</v>
      </c>
      <c r="D3458" s="3">
        <v>0</v>
      </c>
      <c r="E3458" s="3">
        <f>C3458 - D3458</f>
        <v>1</v>
      </c>
    </row>
    <row r="3459" spans="2:5" x14ac:dyDescent="0.35">
      <c r="B3459" s="38">
        <v>39960</v>
      </c>
      <c r="C3459" s="3">
        <v>0</v>
      </c>
      <c r="D3459" s="3">
        <v>1</v>
      </c>
      <c r="E3459" s="3">
        <f>C3459 - D3459</f>
        <v>-1</v>
      </c>
    </row>
    <row r="3460" spans="2:5" x14ac:dyDescent="0.35">
      <c r="B3460" s="38">
        <v>39961</v>
      </c>
      <c r="C3460" s="3">
        <v>1</v>
      </c>
      <c r="D3460" s="3">
        <v>0</v>
      </c>
      <c r="E3460" s="3">
        <f>C3460 - D3460</f>
        <v>1</v>
      </c>
    </row>
    <row r="3461" spans="2:5" x14ac:dyDescent="0.35">
      <c r="B3461" s="38">
        <v>39962</v>
      </c>
      <c r="C3461" s="3">
        <v>1</v>
      </c>
      <c r="D3461" s="3">
        <v>1</v>
      </c>
      <c r="E3461" s="3">
        <f>C3461 - D3461</f>
        <v>0</v>
      </c>
    </row>
    <row r="3462" spans="2:5" x14ac:dyDescent="0.35">
      <c r="B3462" s="38">
        <v>39963</v>
      </c>
      <c r="C3462" s="3">
        <v>0</v>
      </c>
      <c r="D3462" s="3">
        <v>1</v>
      </c>
      <c r="E3462" s="3">
        <f>C3462 - D3462</f>
        <v>-1</v>
      </c>
    </row>
    <row r="3463" spans="2:5" x14ac:dyDescent="0.35">
      <c r="B3463" s="38">
        <v>39964</v>
      </c>
      <c r="C3463" s="3">
        <v>0</v>
      </c>
      <c r="D3463" s="3">
        <v>0</v>
      </c>
      <c r="E3463" s="3">
        <f>C3463 - D3463</f>
        <v>0</v>
      </c>
    </row>
    <row r="3464" spans="2:5" x14ac:dyDescent="0.35">
      <c r="B3464" s="38">
        <v>39965</v>
      </c>
      <c r="C3464" s="3">
        <v>0</v>
      </c>
      <c r="D3464" s="3">
        <v>0</v>
      </c>
      <c r="E3464" s="3">
        <f>C3464 - D3464</f>
        <v>0</v>
      </c>
    </row>
    <row r="3465" spans="2:5" x14ac:dyDescent="0.35">
      <c r="B3465" s="38">
        <v>39966</v>
      </c>
      <c r="C3465" s="3">
        <v>1</v>
      </c>
      <c r="D3465" s="3">
        <v>0</v>
      </c>
      <c r="E3465" s="3">
        <f>C3465 - D3465</f>
        <v>1</v>
      </c>
    </row>
    <row r="3466" spans="2:5" x14ac:dyDescent="0.35">
      <c r="B3466" s="38">
        <v>39967</v>
      </c>
      <c r="C3466" s="3">
        <v>1</v>
      </c>
      <c r="D3466" s="3">
        <v>1</v>
      </c>
      <c r="E3466" s="3">
        <f>C3466 - D3466</f>
        <v>0</v>
      </c>
    </row>
    <row r="3467" spans="2:5" x14ac:dyDescent="0.35">
      <c r="B3467" s="38">
        <v>39968</v>
      </c>
      <c r="C3467" s="3">
        <v>1</v>
      </c>
      <c r="D3467" s="3">
        <v>1</v>
      </c>
      <c r="E3467" s="3">
        <f>C3467 - D3467</f>
        <v>0</v>
      </c>
    </row>
    <row r="3468" spans="2:5" x14ac:dyDescent="0.35">
      <c r="B3468" s="38">
        <v>39969</v>
      </c>
      <c r="C3468" s="3">
        <v>0</v>
      </c>
      <c r="D3468" s="3">
        <v>1</v>
      </c>
      <c r="E3468" s="3">
        <f>C3468 - D3468</f>
        <v>-1</v>
      </c>
    </row>
    <row r="3469" spans="2:5" x14ac:dyDescent="0.35">
      <c r="B3469" s="38">
        <v>39970</v>
      </c>
      <c r="C3469" s="3">
        <v>0</v>
      </c>
      <c r="D3469" s="3">
        <v>0</v>
      </c>
      <c r="E3469" s="3">
        <f>C3469 - D3469</f>
        <v>0</v>
      </c>
    </row>
    <row r="3470" spans="2:5" x14ac:dyDescent="0.35">
      <c r="B3470" s="38">
        <v>39971</v>
      </c>
      <c r="C3470" s="3">
        <v>1</v>
      </c>
      <c r="D3470" s="3">
        <v>0</v>
      </c>
      <c r="E3470" s="3">
        <f>C3470 - D3470</f>
        <v>1</v>
      </c>
    </row>
    <row r="3471" spans="2:5" x14ac:dyDescent="0.35">
      <c r="B3471" s="38">
        <v>39972</v>
      </c>
      <c r="C3471" s="3">
        <v>1</v>
      </c>
      <c r="D3471" s="3">
        <v>1</v>
      </c>
      <c r="E3471" s="3">
        <f>C3471 - D3471</f>
        <v>0</v>
      </c>
    </row>
    <row r="3472" spans="2:5" x14ac:dyDescent="0.35">
      <c r="B3472" s="38">
        <v>39973</v>
      </c>
      <c r="C3472" s="3">
        <v>1</v>
      </c>
      <c r="D3472" s="3">
        <v>1</v>
      </c>
      <c r="E3472" s="3">
        <f>C3472 - D3472</f>
        <v>0</v>
      </c>
    </row>
    <row r="3473" spans="2:5" x14ac:dyDescent="0.35">
      <c r="B3473" s="38">
        <v>39974</v>
      </c>
      <c r="C3473" s="3">
        <v>1</v>
      </c>
      <c r="D3473" s="3">
        <v>1</v>
      </c>
      <c r="E3473" s="3">
        <f>C3473 - D3473</f>
        <v>0</v>
      </c>
    </row>
    <row r="3474" spans="2:5" x14ac:dyDescent="0.35">
      <c r="B3474" s="38">
        <v>39975</v>
      </c>
      <c r="C3474" s="3">
        <v>1</v>
      </c>
      <c r="D3474" s="3">
        <v>1</v>
      </c>
      <c r="E3474" s="3">
        <f>C3474 - D3474</f>
        <v>0</v>
      </c>
    </row>
    <row r="3475" spans="2:5" x14ac:dyDescent="0.35">
      <c r="B3475" s="38">
        <v>39976</v>
      </c>
      <c r="C3475" s="3">
        <v>0</v>
      </c>
      <c r="D3475" s="3">
        <v>1</v>
      </c>
      <c r="E3475" s="3">
        <f>C3475 - D3475</f>
        <v>-1</v>
      </c>
    </row>
    <row r="3476" spans="2:5" x14ac:dyDescent="0.35">
      <c r="B3476" s="38">
        <v>39977</v>
      </c>
      <c r="C3476" s="3">
        <v>0</v>
      </c>
      <c r="D3476" s="3">
        <v>0</v>
      </c>
      <c r="E3476" s="3">
        <f>C3476 - D3476</f>
        <v>0</v>
      </c>
    </row>
    <row r="3477" spans="2:5" x14ac:dyDescent="0.35">
      <c r="B3477" s="38">
        <v>39978</v>
      </c>
      <c r="C3477" s="3">
        <v>1</v>
      </c>
      <c r="D3477" s="3">
        <v>0</v>
      </c>
      <c r="E3477" s="3">
        <f>C3477 - D3477</f>
        <v>1</v>
      </c>
    </row>
    <row r="3478" spans="2:5" x14ac:dyDescent="0.35">
      <c r="B3478" s="38">
        <v>39979</v>
      </c>
      <c r="C3478" s="3">
        <v>0</v>
      </c>
      <c r="D3478" s="3">
        <v>1</v>
      </c>
      <c r="E3478" s="3">
        <f>C3478 - D3478</f>
        <v>-1</v>
      </c>
    </row>
    <row r="3479" spans="2:5" x14ac:dyDescent="0.35">
      <c r="B3479" s="38">
        <v>39980</v>
      </c>
      <c r="C3479" s="3">
        <v>0</v>
      </c>
      <c r="D3479" s="3">
        <v>0</v>
      </c>
      <c r="E3479" s="3">
        <f>C3479 - D3479</f>
        <v>0</v>
      </c>
    </row>
    <row r="3480" spans="2:5" x14ac:dyDescent="0.35">
      <c r="B3480" s="38">
        <v>39981</v>
      </c>
      <c r="C3480" s="3">
        <v>0</v>
      </c>
      <c r="D3480" s="3">
        <v>0</v>
      </c>
      <c r="E3480" s="3">
        <f>C3480 - D3480</f>
        <v>0</v>
      </c>
    </row>
    <row r="3481" spans="2:5" x14ac:dyDescent="0.35">
      <c r="B3481" s="38">
        <v>39982</v>
      </c>
      <c r="C3481" s="3">
        <v>0</v>
      </c>
      <c r="D3481" s="3">
        <v>0</v>
      </c>
      <c r="E3481" s="3">
        <f>C3481 - D3481</f>
        <v>0</v>
      </c>
    </row>
    <row r="3482" spans="2:5" x14ac:dyDescent="0.35">
      <c r="B3482" s="38">
        <v>39983</v>
      </c>
      <c r="C3482" s="3">
        <v>0</v>
      </c>
      <c r="D3482" s="3">
        <v>0</v>
      </c>
      <c r="E3482" s="3">
        <f>C3482 - D3482</f>
        <v>0</v>
      </c>
    </row>
    <row r="3483" spans="2:5" x14ac:dyDescent="0.35">
      <c r="B3483" s="38">
        <v>39984</v>
      </c>
      <c r="C3483" s="3">
        <v>0</v>
      </c>
      <c r="D3483" s="3">
        <v>0</v>
      </c>
      <c r="E3483" s="3">
        <f>C3483 - D3483</f>
        <v>0</v>
      </c>
    </row>
    <row r="3484" spans="2:5" x14ac:dyDescent="0.35">
      <c r="B3484" s="38">
        <v>39985</v>
      </c>
      <c r="C3484" s="3">
        <v>0</v>
      </c>
      <c r="D3484" s="3">
        <v>0</v>
      </c>
      <c r="E3484" s="3">
        <f>C3484 - D3484</f>
        <v>0</v>
      </c>
    </row>
    <row r="3485" spans="2:5" x14ac:dyDescent="0.35">
      <c r="B3485" s="38">
        <v>39986</v>
      </c>
      <c r="C3485" s="3">
        <v>1</v>
      </c>
      <c r="D3485" s="3">
        <v>0</v>
      </c>
      <c r="E3485" s="3">
        <f>C3485 - D3485</f>
        <v>1</v>
      </c>
    </row>
    <row r="3486" spans="2:5" x14ac:dyDescent="0.35">
      <c r="B3486" s="38">
        <v>39987</v>
      </c>
      <c r="C3486" s="3">
        <v>0</v>
      </c>
      <c r="D3486" s="3">
        <v>1</v>
      </c>
      <c r="E3486" s="3">
        <f>C3486 - D3486</f>
        <v>-1</v>
      </c>
    </row>
    <row r="3487" spans="2:5" x14ac:dyDescent="0.35">
      <c r="B3487" s="38">
        <v>39988</v>
      </c>
      <c r="C3487" s="3">
        <v>1</v>
      </c>
      <c r="D3487" s="3">
        <v>0</v>
      </c>
      <c r="E3487" s="3">
        <f>C3487 - D3487</f>
        <v>1</v>
      </c>
    </row>
    <row r="3488" spans="2:5" x14ac:dyDescent="0.35">
      <c r="B3488" s="38">
        <v>39989</v>
      </c>
      <c r="C3488" s="3">
        <v>0</v>
      </c>
      <c r="D3488" s="3">
        <v>1</v>
      </c>
      <c r="E3488" s="3">
        <f>C3488 - D3488</f>
        <v>-1</v>
      </c>
    </row>
    <row r="3489" spans="2:5" x14ac:dyDescent="0.35">
      <c r="B3489" s="38">
        <v>39990</v>
      </c>
      <c r="C3489" s="3">
        <v>0</v>
      </c>
      <c r="D3489" s="3">
        <v>0</v>
      </c>
      <c r="E3489" s="3">
        <f>C3489 - D3489</f>
        <v>0</v>
      </c>
    </row>
    <row r="3490" spans="2:5" x14ac:dyDescent="0.35">
      <c r="B3490" s="38">
        <v>39991</v>
      </c>
      <c r="C3490" s="3">
        <v>0</v>
      </c>
      <c r="D3490" s="3">
        <v>0</v>
      </c>
      <c r="E3490" s="3">
        <f>C3490 - D3490</f>
        <v>0</v>
      </c>
    </row>
    <row r="3491" spans="2:5" x14ac:dyDescent="0.35">
      <c r="B3491" s="38">
        <v>39992</v>
      </c>
      <c r="C3491" s="3">
        <v>0</v>
      </c>
      <c r="D3491" s="3">
        <v>0</v>
      </c>
      <c r="E3491" s="3">
        <f>C3491 - D3491</f>
        <v>0</v>
      </c>
    </row>
    <row r="3492" spans="2:5" x14ac:dyDescent="0.35">
      <c r="B3492" s="38">
        <v>39993</v>
      </c>
      <c r="C3492" s="3">
        <v>0</v>
      </c>
      <c r="D3492" s="3">
        <v>0</v>
      </c>
      <c r="E3492" s="3">
        <f>C3492 - D3492</f>
        <v>0</v>
      </c>
    </row>
    <row r="3493" spans="2:5" x14ac:dyDescent="0.35">
      <c r="B3493" s="38">
        <v>39994</v>
      </c>
      <c r="C3493" s="3">
        <v>0</v>
      </c>
      <c r="D3493" s="3">
        <v>0</v>
      </c>
      <c r="E3493" s="3">
        <f>C3493 - D3493</f>
        <v>0</v>
      </c>
    </row>
    <row r="3494" spans="2:5" x14ac:dyDescent="0.35">
      <c r="B3494" s="38">
        <v>39995</v>
      </c>
      <c r="C3494" s="3">
        <v>1</v>
      </c>
      <c r="D3494" s="3">
        <v>0</v>
      </c>
      <c r="E3494" s="3">
        <f>C3494 - D3494</f>
        <v>1</v>
      </c>
    </row>
    <row r="3495" spans="2:5" x14ac:dyDescent="0.35">
      <c r="B3495" s="38">
        <v>39996</v>
      </c>
      <c r="C3495" s="3">
        <v>1</v>
      </c>
      <c r="D3495" s="3">
        <v>1</v>
      </c>
      <c r="E3495" s="3">
        <f>C3495 - D3495</f>
        <v>0</v>
      </c>
    </row>
    <row r="3496" spans="2:5" x14ac:dyDescent="0.35">
      <c r="B3496" s="38">
        <v>39997</v>
      </c>
      <c r="C3496" s="3">
        <v>1</v>
      </c>
      <c r="D3496" s="3">
        <v>1</v>
      </c>
      <c r="E3496" s="3">
        <f>C3496 - D3496</f>
        <v>0</v>
      </c>
    </row>
    <row r="3497" spans="2:5" x14ac:dyDescent="0.35">
      <c r="B3497" s="38">
        <v>39998</v>
      </c>
      <c r="C3497" s="3">
        <v>1</v>
      </c>
      <c r="D3497" s="3">
        <v>1</v>
      </c>
      <c r="E3497" s="3">
        <f>C3497 - D3497</f>
        <v>0</v>
      </c>
    </row>
    <row r="3498" spans="2:5" x14ac:dyDescent="0.35">
      <c r="B3498" s="38">
        <v>39999</v>
      </c>
      <c r="C3498" s="3">
        <v>1</v>
      </c>
      <c r="D3498" s="3">
        <v>1</v>
      </c>
      <c r="E3498" s="3">
        <f>C3498 - D3498</f>
        <v>0</v>
      </c>
    </row>
    <row r="3499" spans="2:5" x14ac:dyDescent="0.35">
      <c r="B3499" s="38">
        <v>40000</v>
      </c>
      <c r="C3499" s="3">
        <v>0</v>
      </c>
      <c r="D3499" s="3">
        <v>1</v>
      </c>
      <c r="E3499" s="3">
        <f>C3499 - D3499</f>
        <v>-1</v>
      </c>
    </row>
    <row r="3500" spans="2:5" x14ac:dyDescent="0.35">
      <c r="B3500" s="38">
        <v>40001</v>
      </c>
      <c r="C3500" s="3">
        <v>1</v>
      </c>
      <c r="D3500" s="3">
        <v>0</v>
      </c>
      <c r="E3500" s="3">
        <f>C3500 - D3500</f>
        <v>1</v>
      </c>
    </row>
    <row r="3501" spans="2:5" x14ac:dyDescent="0.35">
      <c r="B3501" s="38">
        <v>40002</v>
      </c>
      <c r="C3501" s="3">
        <v>0</v>
      </c>
      <c r="D3501" s="3">
        <v>1</v>
      </c>
      <c r="E3501" s="3">
        <f>C3501 - D3501</f>
        <v>-1</v>
      </c>
    </row>
    <row r="3502" spans="2:5" x14ac:dyDescent="0.35">
      <c r="B3502" s="38">
        <v>40003</v>
      </c>
      <c r="C3502" s="3">
        <v>0</v>
      </c>
      <c r="D3502" s="3">
        <v>0</v>
      </c>
      <c r="E3502" s="3">
        <f>C3502 - D3502</f>
        <v>0</v>
      </c>
    </row>
    <row r="3503" spans="2:5" x14ac:dyDescent="0.35">
      <c r="B3503" s="38">
        <v>40004</v>
      </c>
      <c r="C3503" s="3">
        <v>0</v>
      </c>
      <c r="D3503" s="3">
        <v>0</v>
      </c>
      <c r="E3503" s="3">
        <f>C3503 - D3503</f>
        <v>0</v>
      </c>
    </row>
    <row r="3504" spans="2:5" x14ac:dyDescent="0.35">
      <c r="B3504" s="38">
        <v>40005</v>
      </c>
      <c r="C3504" s="3">
        <v>1</v>
      </c>
      <c r="D3504" s="3">
        <v>0</v>
      </c>
      <c r="E3504" s="3">
        <f>C3504 - D3504</f>
        <v>1</v>
      </c>
    </row>
    <row r="3505" spans="2:5" x14ac:dyDescent="0.35">
      <c r="B3505" s="38">
        <v>40006</v>
      </c>
      <c r="C3505" s="3">
        <v>1</v>
      </c>
      <c r="D3505" s="3">
        <v>1</v>
      </c>
      <c r="E3505" s="3">
        <f>C3505 - D3505</f>
        <v>0</v>
      </c>
    </row>
    <row r="3506" spans="2:5" x14ac:dyDescent="0.35">
      <c r="B3506" s="38">
        <v>40007</v>
      </c>
      <c r="C3506" s="3">
        <v>0</v>
      </c>
      <c r="D3506" s="3">
        <v>1</v>
      </c>
      <c r="E3506" s="3">
        <f>C3506 - D3506</f>
        <v>-1</v>
      </c>
    </row>
    <row r="3507" spans="2:5" x14ac:dyDescent="0.35">
      <c r="B3507" s="38">
        <v>40008</v>
      </c>
      <c r="C3507" s="3">
        <v>1</v>
      </c>
      <c r="D3507" s="3">
        <v>0</v>
      </c>
      <c r="E3507" s="3">
        <f>C3507 - D3507</f>
        <v>1</v>
      </c>
    </row>
    <row r="3508" spans="2:5" x14ac:dyDescent="0.35">
      <c r="B3508" s="38">
        <v>40009</v>
      </c>
      <c r="C3508" s="3">
        <v>0</v>
      </c>
      <c r="D3508" s="3">
        <v>1</v>
      </c>
      <c r="E3508" s="3">
        <f>C3508 - D3508</f>
        <v>-1</v>
      </c>
    </row>
    <row r="3509" spans="2:5" x14ac:dyDescent="0.35">
      <c r="B3509" s="38">
        <v>40010</v>
      </c>
      <c r="C3509" s="3">
        <v>0</v>
      </c>
      <c r="D3509" s="3">
        <v>0</v>
      </c>
      <c r="E3509" s="3">
        <f>C3509 - D3509</f>
        <v>0</v>
      </c>
    </row>
    <row r="3510" spans="2:5" x14ac:dyDescent="0.35">
      <c r="B3510" s="38">
        <v>40011</v>
      </c>
      <c r="C3510" s="3">
        <v>0</v>
      </c>
      <c r="D3510" s="3">
        <v>0</v>
      </c>
      <c r="E3510" s="3">
        <f>C3510 - D3510</f>
        <v>0</v>
      </c>
    </row>
    <row r="3511" spans="2:5" x14ac:dyDescent="0.35">
      <c r="B3511" s="38">
        <v>40012</v>
      </c>
      <c r="C3511" s="3">
        <v>0</v>
      </c>
      <c r="D3511" s="3">
        <v>0</v>
      </c>
      <c r="E3511" s="3">
        <f>C3511 - D3511</f>
        <v>0</v>
      </c>
    </row>
    <row r="3512" spans="2:5" x14ac:dyDescent="0.35">
      <c r="B3512" s="38">
        <v>40013</v>
      </c>
      <c r="C3512" s="3">
        <v>0</v>
      </c>
      <c r="D3512" s="3">
        <v>0</v>
      </c>
      <c r="E3512" s="3">
        <f>C3512 - D3512</f>
        <v>0</v>
      </c>
    </row>
    <row r="3513" spans="2:5" x14ac:dyDescent="0.35">
      <c r="B3513" s="38">
        <v>40014</v>
      </c>
      <c r="C3513" s="3">
        <v>0</v>
      </c>
      <c r="D3513" s="3">
        <v>0</v>
      </c>
      <c r="E3513" s="3">
        <f>C3513 - D3513</f>
        <v>0</v>
      </c>
    </row>
    <row r="3514" spans="2:5" x14ac:dyDescent="0.35">
      <c r="B3514" s="38">
        <v>40015</v>
      </c>
      <c r="C3514" s="3">
        <v>0</v>
      </c>
      <c r="D3514" s="3">
        <v>0</v>
      </c>
      <c r="E3514" s="3">
        <f>C3514 - D3514</f>
        <v>0</v>
      </c>
    </row>
    <row r="3515" spans="2:5" x14ac:dyDescent="0.35">
      <c r="B3515" s="38">
        <v>40016</v>
      </c>
      <c r="C3515" s="3">
        <v>0</v>
      </c>
      <c r="D3515" s="3">
        <v>0</v>
      </c>
      <c r="E3515" s="3">
        <f>C3515 - D3515</f>
        <v>0</v>
      </c>
    </row>
    <row r="3516" spans="2:5" x14ac:dyDescent="0.35">
      <c r="B3516" s="38">
        <v>40017</v>
      </c>
      <c r="C3516" s="3">
        <v>1</v>
      </c>
      <c r="D3516" s="3">
        <v>0</v>
      </c>
      <c r="E3516" s="3">
        <f>C3516 - D3516</f>
        <v>1</v>
      </c>
    </row>
    <row r="3517" spans="2:5" x14ac:dyDescent="0.35">
      <c r="B3517" s="38">
        <v>40018</v>
      </c>
      <c r="C3517" s="3">
        <v>0</v>
      </c>
      <c r="D3517" s="3">
        <v>1</v>
      </c>
      <c r="E3517" s="3">
        <f>C3517 - D3517</f>
        <v>-1</v>
      </c>
    </row>
    <row r="3518" spans="2:5" x14ac:dyDescent="0.35">
      <c r="B3518" s="38">
        <v>40019</v>
      </c>
      <c r="C3518" s="3">
        <v>0</v>
      </c>
      <c r="D3518" s="3">
        <v>0</v>
      </c>
      <c r="E3518" s="3">
        <f>C3518 - D3518</f>
        <v>0</v>
      </c>
    </row>
    <row r="3519" spans="2:5" x14ac:dyDescent="0.35">
      <c r="B3519" s="38">
        <v>40020</v>
      </c>
      <c r="C3519" s="3">
        <v>0</v>
      </c>
      <c r="D3519" s="3">
        <v>0</v>
      </c>
      <c r="E3519" s="3">
        <f>C3519 - D3519</f>
        <v>0</v>
      </c>
    </row>
    <row r="3520" spans="2:5" x14ac:dyDescent="0.35">
      <c r="B3520" s="38">
        <v>40021</v>
      </c>
      <c r="C3520" s="3">
        <v>0</v>
      </c>
      <c r="D3520" s="3">
        <v>0</v>
      </c>
      <c r="E3520" s="3">
        <f>C3520 - D3520</f>
        <v>0</v>
      </c>
    </row>
    <row r="3521" spans="2:5" x14ac:dyDescent="0.35">
      <c r="B3521" s="38">
        <v>40022</v>
      </c>
      <c r="C3521" s="3">
        <v>0</v>
      </c>
      <c r="D3521" s="3">
        <v>0</v>
      </c>
      <c r="E3521" s="3">
        <f>C3521 - D3521</f>
        <v>0</v>
      </c>
    </row>
    <row r="3522" spans="2:5" x14ac:dyDescent="0.35">
      <c r="B3522" s="38">
        <v>40023</v>
      </c>
      <c r="C3522" s="3">
        <v>0</v>
      </c>
      <c r="D3522" s="3">
        <v>0</v>
      </c>
      <c r="E3522" s="3">
        <f>C3522 - D3522</f>
        <v>0</v>
      </c>
    </row>
    <row r="3523" spans="2:5" x14ac:dyDescent="0.35">
      <c r="B3523" s="38">
        <v>40024</v>
      </c>
      <c r="C3523" s="3">
        <v>1</v>
      </c>
      <c r="D3523" s="3">
        <v>0</v>
      </c>
      <c r="E3523" s="3">
        <f>C3523 - D3523</f>
        <v>1</v>
      </c>
    </row>
    <row r="3524" spans="2:5" x14ac:dyDescent="0.35">
      <c r="B3524" s="38">
        <v>40025</v>
      </c>
      <c r="C3524" s="3">
        <v>1</v>
      </c>
      <c r="D3524" s="3">
        <v>1</v>
      </c>
      <c r="E3524" s="3">
        <f>C3524 - D3524</f>
        <v>0</v>
      </c>
    </row>
    <row r="3525" spans="2:5" x14ac:dyDescent="0.35">
      <c r="B3525" s="38">
        <v>40026</v>
      </c>
      <c r="C3525" s="3">
        <v>1</v>
      </c>
      <c r="D3525" s="3">
        <v>1</v>
      </c>
      <c r="E3525" s="3">
        <f>C3525 - D3525</f>
        <v>0</v>
      </c>
    </row>
    <row r="3526" spans="2:5" x14ac:dyDescent="0.35">
      <c r="B3526" s="38">
        <v>40027</v>
      </c>
      <c r="C3526" s="3">
        <v>1</v>
      </c>
      <c r="D3526" s="3">
        <v>1</v>
      </c>
      <c r="E3526" s="3">
        <f>C3526 - D3526</f>
        <v>0</v>
      </c>
    </row>
    <row r="3527" spans="2:5" x14ac:dyDescent="0.35">
      <c r="B3527" s="38">
        <v>40028</v>
      </c>
      <c r="C3527" s="3">
        <v>1</v>
      </c>
      <c r="D3527" s="3">
        <v>1</v>
      </c>
      <c r="E3527" s="3">
        <f>C3527 - D3527</f>
        <v>0</v>
      </c>
    </row>
    <row r="3528" spans="2:5" x14ac:dyDescent="0.35">
      <c r="B3528" s="38">
        <v>40029</v>
      </c>
      <c r="C3528" s="3">
        <v>0</v>
      </c>
      <c r="D3528" s="3">
        <v>1</v>
      </c>
      <c r="E3528" s="3">
        <f>C3528 - D3528</f>
        <v>-1</v>
      </c>
    </row>
    <row r="3529" spans="2:5" x14ac:dyDescent="0.35">
      <c r="B3529" s="38">
        <v>40030</v>
      </c>
      <c r="C3529" s="3">
        <v>1</v>
      </c>
      <c r="D3529" s="3">
        <v>0</v>
      </c>
      <c r="E3529" s="3">
        <f>C3529 - D3529</f>
        <v>1</v>
      </c>
    </row>
    <row r="3530" spans="2:5" x14ac:dyDescent="0.35">
      <c r="B3530" s="38">
        <v>40031</v>
      </c>
      <c r="C3530" s="3">
        <v>0</v>
      </c>
      <c r="D3530" s="3">
        <v>1</v>
      </c>
      <c r="E3530" s="3">
        <f>C3530 - D3530</f>
        <v>-1</v>
      </c>
    </row>
    <row r="3531" spans="2:5" x14ac:dyDescent="0.35">
      <c r="B3531" s="38">
        <v>40032</v>
      </c>
      <c r="C3531" s="3">
        <v>1</v>
      </c>
      <c r="D3531" s="3">
        <v>0</v>
      </c>
      <c r="E3531" s="3">
        <f>C3531 - D3531</f>
        <v>1</v>
      </c>
    </row>
    <row r="3532" spans="2:5" x14ac:dyDescent="0.35">
      <c r="B3532" s="38">
        <v>40033</v>
      </c>
      <c r="C3532" s="3">
        <v>0</v>
      </c>
      <c r="D3532" s="3">
        <v>1</v>
      </c>
      <c r="E3532" s="3">
        <f>C3532 - D3532</f>
        <v>-1</v>
      </c>
    </row>
    <row r="3533" spans="2:5" x14ac:dyDescent="0.35">
      <c r="B3533" s="38">
        <v>40034</v>
      </c>
      <c r="C3533" s="3">
        <v>0</v>
      </c>
      <c r="D3533" s="3">
        <v>0</v>
      </c>
      <c r="E3533" s="3">
        <f>C3533 - D3533</f>
        <v>0</v>
      </c>
    </row>
    <row r="3534" spans="2:5" x14ac:dyDescent="0.35">
      <c r="B3534" s="38">
        <v>40035</v>
      </c>
      <c r="C3534" s="3">
        <v>0</v>
      </c>
      <c r="D3534" s="3">
        <v>0</v>
      </c>
      <c r="E3534" s="3">
        <f>C3534 - D3534</f>
        <v>0</v>
      </c>
    </row>
    <row r="3535" spans="2:5" x14ac:dyDescent="0.35">
      <c r="B3535" s="38">
        <v>40036</v>
      </c>
      <c r="C3535" s="3">
        <v>1</v>
      </c>
      <c r="D3535" s="3">
        <v>0</v>
      </c>
      <c r="E3535" s="3">
        <f>C3535 - D3535</f>
        <v>1</v>
      </c>
    </row>
    <row r="3536" spans="2:5" x14ac:dyDescent="0.35">
      <c r="B3536" s="38">
        <v>40037</v>
      </c>
      <c r="C3536" s="3">
        <v>1</v>
      </c>
      <c r="D3536" s="3">
        <v>1</v>
      </c>
      <c r="E3536" s="3">
        <f>C3536 - D3536</f>
        <v>0</v>
      </c>
    </row>
    <row r="3537" spans="2:5" x14ac:dyDescent="0.35">
      <c r="B3537" s="38">
        <v>40038</v>
      </c>
      <c r="C3537" s="3">
        <v>1</v>
      </c>
      <c r="D3537" s="3">
        <v>1</v>
      </c>
      <c r="E3537" s="3">
        <f>C3537 - D3537</f>
        <v>0</v>
      </c>
    </row>
    <row r="3538" spans="2:5" x14ac:dyDescent="0.35">
      <c r="B3538" s="38">
        <v>40039</v>
      </c>
      <c r="C3538" s="3">
        <v>1</v>
      </c>
      <c r="D3538" s="3">
        <v>1</v>
      </c>
      <c r="E3538" s="3">
        <f>C3538 - D3538</f>
        <v>0</v>
      </c>
    </row>
    <row r="3539" spans="2:5" x14ac:dyDescent="0.35">
      <c r="B3539" s="38">
        <v>40040</v>
      </c>
      <c r="C3539" s="3">
        <v>0</v>
      </c>
      <c r="D3539" s="3">
        <v>1</v>
      </c>
      <c r="E3539" s="3">
        <f>C3539 - D3539</f>
        <v>-1</v>
      </c>
    </row>
    <row r="3540" spans="2:5" x14ac:dyDescent="0.35">
      <c r="B3540" s="38">
        <v>40041</v>
      </c>
      <c r="C3540" s="3">
        <v>0</v>
      </c>
      <c r="D3540" s="3">
        <v>0</v>
      </c>
      <c r="E3540" s="3">
        <f>C3540 - D3540</f>
        <v>0</v>
      </c>
    </row>
    <row r="3541" spans="2:5" x14ac:dyDescent="0.35">
      <c r="B3541" s="38">
        <v>40042</v>
      </c>
      <c r="C3541" s="3">
        <v>1</v>
      </c>
      <c r="D3541" s="3">
        <v>0</v>
      </c>
      <c r="E3541" s="3">
        <f>C3541 - D3541</f>
        <v>1</v>
      </c>
    </row>
    <row r="3542" spans="2:5" x14ac:dyDescent="0.35">
      <c r="B3542" s="38">
        <v>40043</v>
      </c>
      <c r="C3542" s="3">
        <v>0</v>
      </c>
      <c r="D3542" s="3">
        <v>1</v>
      </c>
      <c r="E3542" s="3">
        <f>C3542 - D3542</f>
        <v>-1</v>
      </c>
    </row>
    <row r="3543" spans="2:5" x14ac:dyDescent="0.35">
      <c r="B3543" s="38">
        <v>40044</v>
      </c>
      <c r="C3543" s="3">
        <v>0</v>
      </c>
      <c r="D3543" s="3">
        <v>0</v>
      </c>
      <c r="E3543" s="3">
        <f>C3543 - D3543</f>
        <v>0</v>
      </c>
    </row>
    <row r="3544" spans="2:5" x14ac:dyDescent="0.35">
      <c r="B3544" s="38">
        <v>40045</v>
      </c>
      <c r="C3544" s="3">
        <v>1</v>
      </c>
      <c r="D3544" s="3">
        <v>0</v>
      </c>
      <c r="E3544" s="3">
        <f>C3544 - D3544</f>
        <v>1</v>
      </c>
    </row>
    <row r="3545" spans="2:5" x14ac:dyDescent="0.35">
      <c r="B3545" s="38">
        <v>40046</v>
      </c>
      <c r="C3545" s="3">
        <v>1</v>
      </c>
      <c r="D3545" s="3">
        <v>1</v>
      </c>
      <c r="E3545" s="3">
        <f>C3545 - D3545</f>
        <v>0</v>
      </c>
    </row>
    <row r="3546" spans="2:5" x14ac:dyDescent="0.35">
      <c r="B3546" s="38">
        <v>40047</v>
      </c>
      <c r="C3546" s="3">
        <v>1</v>
      </c>
      <c r="D3546" s="3">
        <v>1</v>
      </c>
      <c r="E3546" s="3">
        <f>C3546 - D3546</f>
        <v>0</v>
      </c>
    </row>
    <row r="3547" spans="2:5" x14ac:dyDescent="0.35">
      <c r="B3547" s="38">
        <v>40048</v>
      </c>
      <c r="C3547" s="3">
        <v>0</v>
      </c>
      <c r="D3547" s="3">
        <v>1</v>
      </c>
      <c r="E3547" s="3">
        <f>C3547 - D3547</f>
        <v>-1</v>
      </c>
    </row>
    <row r="3548" spans="2:5" x14ac:dyDescent="0.35">
      <c r="B3548" s="38">
        <v>40049</v>
      </c>
      <c r="C3548" s="3">
        <v>1</v>
      </c>
      <c r="D3548" s="3">
        <v>0</v>
      </c>
      <c r="E3548" s="3">
        <f>C3548 - D3548</f>
        <v>1</v>
      </c>
    </row>
    <row r="3549" spans="2:5" x14ac:dyDescent="0.35">
      <c r="B3549" s="38">
        <v>40050</v>
      </c>
      <c r="C3549" s="3">
        <v>1</v>
      </c>
      <c r="D3549" s="3">
        <v>1</v>
      </c>
      <c r="E3549" s="3">
        <f>C3549 - D3549</f>
        <v>0</v>
      </c>
    </row>
    <row r="3550" spans="2:5" x14ac:dyDescent="0.35">
      <c r="B3550" s="38">
        <v>40051</v>
      </c>
      <c r="C3550" s="3">
        <v>1</v>
      </c>
      <c r="D3550" s="3">
        <v>1</v>
      </c>
      <c r="E3550" s="3">
        <f>C3550 - D3550</f>
        <v>0</v>
      </c>
    </row>
    <row r="3551" spans="2:5" x14ac:dyDescent="0.35">
      <c r="B3551" s="38">
        <v>40052</v>
      </c>
      <c r="C3551" s="3">
        <v>0</v>
      </c>
      <c r="D3551" s="3">
        <v>1</v>
      </c>
      <c r="E3551" s="3">
        <f>C3551 - D3551</f>
        <v>-1</v>
      </c>
    </row>
    <row r="3552" spans="2:5" x14ac:dyDescent="0.35">
      <c r="B3552" s="38">
        <v>40053</v>
      </c>
      <c r="C3552" s="3">
        <v>0</v>
      </c>
      <c r="D3552" s="3">
        <v>0</v>
      </c>
      <c r="E3552" s="3">
        <f>C3552 - D3552</f>
        <v>0</v>
      </c>
    </row>
    <row r="3553" spans="2:5" x14ac:dyDescent="0.35">
      <c r="B3553" s="38">
        <v>40054</v>
      </c>
      <c r="C3553" s="3">
        <v>0</v>
      </c>
      <c r="D3553" s="3">
        <v>0</v>
      </c>
      <c r="E3553" s="3">
        <f>C3553 - D3553</f>
        <v>0</v>
      </c>
    </row>
    <row r="3554" spans="2:5" x14ac:dyDescent="0.35">
      <c r="B3554" s="38">
        <v>40055</v>
      </c>
      <c r="C3554" s="3">
        <v>1</v>
      </c>
      <c r="D3554" s="3">
        <v>0</v>
      </c>
      <c r="E3554" s="3">
        <f>C3554 - D3554</f>
        <v>1</v>
      </c>
    </row>
    <row r="3555" spans="2:5" x14ac:dyDescent="0.35">
      <c r="B3555" s="38">
        <v>40056</v>
      </c>
      <c r="C3555" s="3">
        <v>0</v>
      </c>
      <c r="D3555" s="3">
        <v>1</v>
      </c>
      <c r="E3555" s="3">
        <f>C3555 - D3555</f>
        <v>-1</v>
      </c>
    </row>
    <row r="3556" spans="2:5" x14ac:dyDescent="0.35">
      <c r="B3556" s="38">
        <v>40057</v>
      </c>
      <c r="C3556" s="3">
        <v>1</v>
      </c>
      <c r="D3556" s="3">
        <v>0</v>
      </c>
      <c r="E3556" s="3">
        <f>C3556 - D3556</f>
        <v>1</v>
      </c>
    </row>
    <row r="3557" spans="2:5" x14ac:dyDescent="0.35">
      <c r="B3557" s="38">
        <v>40058</v>
      </c>
      <c r="C3557" s="3">
        <v>0</v>
      </c>
      <c r="D3557" s="3">
        <v>1</v>
      </c>
      <c r="E3557" s="3">
        <f>C3557 - D3557</f>
        <v>-1</v>
      </c>
    </row>
    <row r="3558" spans="2:5" x14ac:dyDescent="0.35">
      <c r="B3558" s="38">
        <v>40059</v>
      </c>
      <c r="C3558" s="3">
        <v>0</v>
      </c>
      <c r="D3558" s="3">
        <v>0</v>
      </c>
      <c r="E3558" s="3">
        <f>C3558 - D3558</f>
        <v>0</v>
      </c>
    </row>
    <row r="3559" spans="2:5" x14ac:dyDescent="0.35">
      <c r="B3559" s="38">
        <v>40060</v>
      </c>
      <c r="C3559" s="3">
        <v>1</v>
      </c>
      <c r="D3559" s="3">
        <v>0</v>
      </c>
      <c r="E3559" s="3">
        <f>C3559 - D3559</f>
        <v>1</v>
      </c>
    </row>
    <row r="3560" spans="2:5" x14ac:dyDescent="0.35">
      <c r="B3560" s="38">
        <v>40061</v>
      </c>
      <c r="C3560" s="3">
        <v>1</v>
      </c>
      <c r="D3560" s="3">
        <v>1</v>
      </c>
      <c r="E3560" s="3">
        <f>C3560 - D3560</f>
        <v>0</v>
      </c>
    </row>
    <row r="3561" spans="2:5" x14ac:dyDescent="0.35">
      <c r="B3561" s="38">
        <v>40062</v>
      </c>
      <c r="C3561" s="3">
        <v>0</v>
      </c>
      <c r="D3561" s="3">
        <v>1</v>
      </c>
      <c r="E3561" s="3">
        <f>C3561 - D3561</f>
        <v>-1</v>
      </c>
    </row>
    <row r="3562" spans="2:5" x14ac:dyDescent="0.35">
      <c r="B3562" s="38">
        <v>40063</v>
      </c>
      <c r="C3562" s="3">
        <v>1</v>
      </c>
      <c r="D3562" s="3">
        <v>0</v>
      </c>
      <c r="E3562" s="3">
        <f>C3562 - D3562</f>
        <v>1</v>
      </c>
    </row>
    <row r="3563" spans="2:5" x14ac:dyDescent="0.35">
      <c r="B3563" s="38">
        <v>40064</v>
      </c>
      <c r="C3563" s="3">
        <v>1</v>
      </c>
      <c r="D3563" s="3">
        <v>1</v>
      </c>
      <c r="E3563" s="3">
        <f>C3563 - D3563</f>
        <v>0</v>
      </c>
    </row>
    <row r="3564" spans="2:5" x14ac:dyDescent="0.35">
      <c r="B3564" s="38">
        <v>40065</v>
      </c>
      <c r="C3564" s="3">
        <v>1</v>
      </c>
      <c r="D3564" s="3">
        <v>1</v>
      </c>
      <c r="E3564" s="3">
        <f>C3564 - D3564</f>
        <v>0</v>
      </c>
    </row>
    <row r="3565" spans="2:5" x14ac:dyDescent="0.35">
      <c r="B3565" s="38">
        <v>40066</v>
      </c>
      <c r="C3565" s="3">
        <v>0</v>
      </c>
      <c r="D3565" s="3">
        <v>1</v>
      </c>
      <c r="E3565" s="3">
        <f>C3565 - D3565</f>
        <v>-1</v>
      </c>
    </row>
    <row r="3566" spans="2:5" x14ac:dyDescent="0.35">
      <c r="B3566" s="38">
        <v>40067</v>
      </c>
      <c r="C3566" s="3">
        <v>0</v>
      </c>
      <c r="D3566" s="3">
        <v>0</v>
      </c>
      <c r="E3566" s="3">
        <f>C3566 - D3566</f>
        <v>0</v>
      </c>
    </row>
    <row r="3567" spans="2:5" x14ac:dyDescent="0.35">
      <c r="B3567" s="38">
        <v>40068</v>
      </c>
      <c r="C3567" s="3">
        <v>0</v>
      </c>
      <c r="D3567" s="3">
        <v>0</v>
      </c>
      <c r="E3567" s="3">
        <f>C3567 - D3567</f>
        <v>0</v>
      </c>
    </row>
    <row r="3568" spans="2:5" x14ac:dyDescent="0.35">
      <c r="B3568" s="38">
        <v>40069</v>
      </c>
      <c r="C3568" s="3">
        <v>0</v>
      </c>
      <c r="D3568" s="3">
        <v>0</v>
      </c>
      <c r="E3568" s="3">
        <f>C3568 - D3568</f>
        <v>0</v>
      </c>
    </row>
    <row r="3569" spans="2:5" x14ac:dyDescent="0.35">
      <c r="B3569" s="38">
        <v>40070</v>
      </c>
      <c r="C3569" s="3">
        <v>0</v>
      </c>
      <c r="D3569" s="3">
        <v>0</v>
      </c>
      <c r="E3569" s="3">
        <f>C3569 - D3569</f>
        <v>0</v>
      </c>
    </row>
    <row r="3570" spans="2:5" x14ac:dyDescent="0.35">
      <c r="B3570" s="38">
        <v>40071</v>
      </c>
      <c r="C3570" s="3">
        <v>0</v>
      </c>
      <c r="D3570" s="3">
        <v>0</v>
      </c>
      <c r="E3570" s="3">
        <f>C3570 - D3570</f>
        <v>0</v>
      </c>
    </row>
    <row r="3571" spans="2:5" x14ac:dyDescent="0.35">
      <c r="B3571" s="38">
        <v>40072</v>
      </c>
      <c r="C3571" s="3">
        <v>0</v>
      </c>
      <c r="D3571" s="3">
        <v>0</v>
      </c>
      <c r="E3571" s="3">
        <f>C3571 - D3571</f>
        <v>0</v>
      </c>
    </row>
    <row r="3572" spans="2:5" x14ac:dyDescent="0.35">
      <c r="B3572" s="38">
        <v>40073</v>
      </c>
      <c r="C3572" s="3">
        <v>0</v>
      </c>
      <c r="D3572" s="3">
        <v>0</v>
      </c>
      <c r="E3572" s="3">
        <f>C3572 - D3572</f>
        <v>0</v>
      </c>
    </row>
    <row r="3573" spans="2:5" x14ac:dyDescent="0.35">
      <c r="B3573" s="38">
        <v>40074</v>
      </c>
      <c r="C3573" s="3">
        <v>1</v>
      </c>
      <c r="D3573" s="3">
        <v>0</v>
      </c>
      <c r="E3573" s="3">
        <f>C3573 - D3573</f>
        <v>1</v>
      </c>
    </row>
    <row r="3574" spans="2:5" x14ac:dyDescent="0.35">
      <c r="B3574" s="38">
        <v>40075</v>
      </c>
      <c r="C3574" s="3">
        <v>0</v>
      </c>
      <c r="D3574" s="3">
        <v>1</v>
      </c>
      <c r="E3574" s="3">
        <f>C3574 - D3574</f>
        <v>-1</v>
      </c>
    </row>
    <row r="3575" spans="2:5" x14ac:dyDescent="0.35">
      <c r="B3575" s="38">
        <v>40076</v>
      </c>
      <c r="C3575" s="3">
        <v>1</v>
      </c>
      <c r="D3575" s="3">
        <v>0</v>
      </c>
      <c r="E3575" s="3">
        <f>C3575 - D3575</f>
        <v>1</v>
      </c>
    </row>
    <row r="3576" spans="2:5" x14ac:dyDescent="0.35">
      <c r="B3576" s="38">
        <v>40077</v>
      </c>
      <c r="C3576" s="3">
        <v>0</v>
      </c>
      <c r="D3576" s="3">
        <v>1</v>
      </c>
      <c r="E3576" s="3">
        <f>C3576 - D3576</f>
        <v>-1</v>
      </c>
    </row>
    <row r="3577" spans="2:5" x14ac:dyDescent="0.35">
      <c r="B3577" s="38">
        <v>40078</v>
      </c>
      <c r="C3577" s="3">
        <v>1</v>
      </c>
      <c r="D3577" s="3">
        <v>0</v>
      </c>
      <c r="E3577" s="3">
        <f>C3577 - D3577</f>
        <v>1</v>
      </c>
    </row>
    <row r="3578" spans="2:5" x14ac:dyDescent="0.35">
      <c r="B3578" s="38">
        <v>40079</v>
      </c>
      <c r="C3578" s="3">
        <v>0</v>
      </c>
      <c r="D3578" s="3">
        <v>1</v>
      </c>
      <c r="E3578" s="3">
        <f>C3578 - D3578</f>
        <v>-1</v>
      </c>
    </row>
    <row r="3579" spans="2:5" x14ac:dyDescent="0.35">
      <c r="B3579" s="38">
        <v>40080</v>
      </c>
      <c r="C3579" s="3">
        <v>1</v>
      </c>
      <c r="D3579" s="3">
        <v>0</v>
      </c>
      <c r="E3579" s="3">
        <f>C3579 - D3579</f>
        <v>1</v>
      </c>
    </row>
    <row r="3580" spans="2:5" x14ac:dyDescent="0.35">
      <c r="B3580" s="38">
        <v>40081</v>
      </c>
      <c r="C3580" s="3">
        <v>1</v>
      </c>
      <c r="D3580" s="3">
        <v>1</v>
      </c>
      <c r="E3580" s="3">
        <f>C3580 - D3580</f>
        <v>0</v>
      </c>
    </row>
    <row r="3581" spans="2:5" x14ac:dyDescent="0.35">
      <c r="B3581" s="38">
        <v>40082</v>
      </c>
      <c r="C3581" s="3">
        <v>1</v>
      </c>
      <c r="D3581" s="3">
        <v>1</v>
      </c>
      <c r="E3581" s="3">
        <f>C3581 - D3581</f>
        <v>0</v>
      </c>
    </row>
    <row r="3582" spans="2:5" x14ac:dyDescent="0.35">
      <c r="B3582" s="38">
        <v>40083</v>
      </c>
      <c r="C3582" s="3">
        <v>1</v>
      </c>
      <c r="D3582" s="3">
        <v>1</v>
      </c>
      <c r="E3582" s="3">
        <f>C3582 - D3582</f>
        <v>0</v>
      </c>
    </row>
    <row r="3583" spans="2:5" x14ac:dyDescent="0.35">
      <c r="B3583" s="38">
        <v>40084</v>
      </c>
      <c r="C3583" s="3">
        <v>1</v>
      </c>
      <c r="D3583" s="3">
        <v>1</v>
      </c>
      <c r="E3583" s="3">
        <f>C3583 - D3583</f>
        <v>0</v>
      </c>
    </row>
    <row r="3584" spans="2:5" x14ac:dyDescent="0.35">
      <c r="B3584" s="38">
        <v>40085</v>
      </c>
      <c r="C3584" s="3">
        <v>1</v>
      </c>
      <c r="D3584" s="3">
        <v>1</v>
      </c>
      <c r="E3584" s="3">
        <f>C3584 - D3584</f>
        <v>0</v>
      </c>
    </row>
    <row r="3585" spans="2:5" x14ac:dyDescent="0.35">
      <c r="B3585" s="38">
        <v>40086</v>
      </c>
      <c r="C3585" s="3">
        <v>0</v>
      </c>
      <c r="D3585" s="3">
        <v>1</v>
      </c>
      <c r="E3585" s="3">
        <f>C3585 - D3585</f>
        <v>-1</v>
      </c>
    </row>
    <row r="3586" spans="2:5" x14ac:dyDescent="0.35">
      <c r="B3586" s="38">
        <v>40087</v>
      </c>
      <c r="C3586" s="3">
        <v>0</v>
      </c>
      <c r="D3586" s="3">
        <v>0</v>
      </c>
      <c r="E3586" s="3">
        <f>C3586 - D3586</f>
        <v>0</v>
      </c>
    </row>
    <row r="3587" spans="2:5" x14ac:dyDescent="0.35">
      <c r="B3587" s="38">
        <v>40088</v>
      </c>
      <c r="C3587" s="3">
        <v>0</v>
      </c>
      <c r="D3587" s="3">
        <v>0</v>
      </c>
      <c r="E3587" s="3">
        <f>C3587 - D3587</f>
        <v>0</v>
      </c>
    </row>
    <row r="3588" spans="2:5" x14ac:dyDescent="0.35">
      <c r="B3588" s="38">
        <v>40089</v>
      </c>
      <c r="C3588" s="3">
        <v>0</v>
      </c>
      <c r="D3588" s="3">
        <v>0</v>
      </c>
      <c r="E3588" s="3">
        <f>C3588 - D3588</f>
        <v>0</v>
      </c>
    </row>
    <row r="3589" spans="2:5" x14ac:dyDescent="0.35">
      <c r="B3589" s="38">
        <v>40090</v>
      </c>
      <c r="C3589" s="3">
        <v>0</v>
      </c>
      <c r="D3589" s="3">
        <v>0</v>
      </c>
      <c r="E3589" s="3">
        <f>C3589 - D3589</f>
        <v>0</v>
      </c>
    </row>
    <row r="3590" spans="2:5" x14ac:dyDescent="0.35">
      <c r="B3590" s="38">
        <v>40091</v>
      </c>
      <c r="C3590" s="3">
        <v>0</v>
      </c>
      <c r="D3590" s="3">
        <v>0</v>
      </c>
      <c r="E3590" s="3">
        <f>C3590 - D3590</f>
        <v>0</v>
      </c>
    </row>
    <row r="3591" spans="2:5" x14ac:dyDescent="0.35">
      <c r="B3591" s="38">
        <v>40092</v>
      </c>
      <c r="C3591" s="3">
        <v>1</v>
      </c>
      <c r="D3591" s="3">
        <v>0</v>
      </c>
      <c r="E3591" s="3">
        <f>C3591 - D3591</f>
        <v>1</v>
      </c>
    </row>
    <row r="3592" spans="2:5" x14ac:dyDescent="0.35">
      <c r="B3592" s="38">
        <v>40093</v>
      </c>
      <c r="C3592" s="3">
        <v>1</v>
      </c>
      <c r="D3592" s="3">
        <v>1</v>
      </c>
      <c r="E3592" s="3">
        <f>C3592 - D3592</f>
        <v>0</v>
      </c>
    </row>
    <row r="3593" spans="2:5" x14ac:dyDescent="0.35">
      <c r="B3593" s="38">
        <v>40094</v>
      </c>
      <c r="C3593" s="3">
        <v>1</v>
      </c>
      <c r="D3593" s="3">
        <v>1</v>
      </c>
      <c r="E3593" s="3">
        <f>C3593 - D3593</f>
        <v>0</v>
      </c>
    </row>
    <row r="3594" spans="2:5" x14ac:dyDescent="0.35">
      <c r="B3594" s="38">
        <v>40095</v>
      </c>
      <c r="C3594" s="3">
        <v>0</v>
      </c>
      <c r="D3594" s="3">
        <v>1</v>
      </c>
      <c r="E3594" s="3">
        <f>C3594 - D3594</f>
        <v>-1</v>
      </c>
    </row>
    <row r="3595" spans="2:5" x14ac:dyDescent="0.35">
      <c r="B3595" s="38">
        <v>40096</v>
      </c>
      <c r="C3595" s="3">
        <v>0</v>
      </c>
      <c r="D3595" s="3">
        <v>0</v>
      </c>
      <c r="E3595" s="3">
        <f>C3595 - D3595</f>
        <v>0</v>
      </c>
    </row>
    <row r="3596" spans="2:5" x14ac:dyDescent="0.35">
      <c r="B3596" s="38">
        <v>40097</v>
      </c>
      <c r="C3596" s="3">
        <v>0</v>
      </c>
      <c r="D3596" s="3">
        <v>0</v>
      </c>
      <c r="E3596" s="3">
        <f>C3596 - D3596</f>
        <v>0</v>
      </c>
    </row>
    <row r="3597" spans="2:5" x14ac:dyDescent="0.35">
      <c r="B3597" s="38">
        <v>40098</v>
      </c>
      <c r="C3597" s="3">
        <v>1</v>
      </c>
      <c r="D3597" s="3">
        <v>0</v>
      </c>
      <c r="E3597" s="3">
        <f>C3597 - D3597</f>
        <v>1</v>
      </c>
    </row>
    <row r="3598" spans="2:5" x14ac:dyDescent="0.35">
      <c r="B3598" s="38">
        <v>40099</v>
      </c>
      <c r="C3598" s="3">
        <v>1</v>
      </c>
      <c r="D3598" s="3">
        <v>1</v>
      </c>
      <c r="E3598" s="3">
        <f>C3598 - D3598</f>
        <v>0</v>
      </c>
    </row>
    <row r="3599" spans="2:5" x14ac:dyDescent="0.35">
      <c r="B3599" s="38">
        <v>40100</v>
      </c>
      <c r="C3599" s="3">
        <v>1</v>
      </c>
      <c r="D3599" s="3">
        <v>1</v>
      </c>
      <c r="E3599" s="3">
        <f>C3599 - D3599</f>
        <v>0</v>
      </c>
    </row>
    <row r="3600" spans="2:5" x14ac:dyDescent="0.35">
      <c r="B3600" s="38">
        <v>40101</v>
      </c>
      <c r="C3600" s="3">
        <v>1</v>
      </c>
      <c r="D3600" s="3">
        <v>1</v>
      </c>
      <c r="E3600" s="3">
        <f>C3600 - D3600</f>
        <v>0</v>
      </c>
    </row>
    <row r="3601" spans="2:5" x14ac:dyDescent="0.35">
      <c r="B3601" s="38">
        <v>40102</v>
      </c>
      <c r="C3601" s="3">
        <v>1</v>
      </c>
      <c r="D3601" s="3">
        <v>1</v>
      </c>
      <c r="E3601" s="3">
        <f>C3601 - D3601</f>
        <v>0</v>
      </c>
    </row>
    <row r="3602" spans="2:5" x14ac:dyDescent="0.35">
      <c r="B3602" s="38">
        <v>40103</v>
      </c>
      <c r="C3602" s="3">
        <v>1</v>
      </c>
      <c r="D3602" s="3">
        <v>1</v>
      </c>
      <c r="E3602" s="3">
        <f>C3602 - D3602</f>
        <v>0</v>
      </c>
    </row>
    <row r="3603" spans="2:5" x14ac:dyDescent="0.35">
      <c r="B3603" s="38">
        <v>40104</v>
      </c>
      <c r="C3603" s="3">
        <v>0</v>
      </c>
      <c r="D3603" s="3">
        <v>1</v>
      </c>
      <c r="E3603" s="3">
        <f>C3603 - D3603</f>
        <v>-1</v>
      </c>
    </row>
    <row r="3604" spans="2:5" x14ac:dyDescent="0.35">
      <c r="B3604" s="38">
        <v>40105</v>
      </c>
      <c r="C3604" s="3">
        <v>0</v>
      </c>
      <c r="D3604" s="3">
        <v>0</v>
      </c>
      <c r="E3604" s="3">
        <f>C3604 - D3604</f>
        <v>0</v>
      </c>
    </row>
    <row r="3605" spans="2:5" x14ac:dyDescent="0.35">
      <c r="B3605" s="38">
        <v>40106</v>
      </c>
      <c r="C3605" s="3">
        <v>0</v>
      </c>
      <c r="D3605" s="3">
        <v>0</v>
      </c>
      <c r="E3605" s="3">
        <f>C3605 - D3605</f>
        <v>0</v>
      </c>
    </row>
    <row r="3606" spans="2:5" x14ac:dyDescent="0.35">
      <c r="B3606" s="38">
        <v>40107</v>
      </c>
      <c r="C3606" s="3">
        <v>0</v>
      </c>
      <c r="D3606" s="3">
        <v>0</v>
      </c>
      <c r="E3606" s="3">
        <f>C3606 - D3606</f>
        <v>0</v>
      </c>
    </row>
    <row r="3607" spans="2:5" x14ac:dyDescent="0.35">
      <c r="B3607" s="38">
        <v>40108</v>
      </c>
      <c r="C3607" s="3">
        <v>0</v>
      </c>
      <c r="D3607" s="3">
        <v>0</v>
      </c>
      <c r="E3607" s="3">
        <f>C3607 - D3607</f>
        <v>0</v>
      </c>
    </row>
    <row r="3608" spans="2:5" x14ac:dyDescent="0.35">
      <c r="B3608" s="38">
        <v>40109</v>
      </c>
      <c r="C3608" s="3">
        <v>0</v>
      </c>
      <c r="D3608" s="3">
        <v>0</v>
      </c>
      <c r="E3608" s="3">
        <f>C3608 - D3608</f>
        <v>0</v>
      </c>
    </row>
    <row r="3609" spans="2:5" x14ac:dyDescent="0.35">
      <c r="B3609" s="38">
        <v>40110</v>
      </c>
      <c r="C3609" s="3">
        <v>0</v>
      </c>
      <c r="D3609" s="3">
        <v>0</v>
      </c>
      <c r="E3609" s="3">
        <f>C3609 - D3609</f>
        <v>0</v>
      </c>
    </row>
    <row r="3610" spans="2:5" x14ac:dyDescent="0.35">
      <c r="B3610" s="38">
        <v>40111</v>
      </c>
      <c r="C3610" s="3">
        <v>0</v>
      </c>
      <c r="D3610" s="3">
        <v>0</v>
      </c>
      <c r="E3610" s="3">
        <f>C3610 - D3610</f>
        <v>0</v>
      </c>
    </row>
    <row r="3611" spans="2:5" x14ac:dyDescent="0.35">
      <c r="B3611" s="38">
        <v>40112</v>
      </c>
      <c r="C3611" s="3">
        <v>0</v>
      </c>
      <c r="D3611" s="3">
        <v>0</v>
      </c>
      <c r="E3611" s="3">
        <f>C3611 - D3611</f>
        <v>0</v>
      </c>
    </row>
    <row r="3612" spans="2:5" x14ac:dyDescent="0.35">
      <c r="B3612" s="38">
        <v>40113</v>
      </c>
      <c r="C3612" s="3">
        <v>0</v>
      </c>
      <c r="D3612" s="3">
        <v>0</v>
      </c>
      <c r="E3612" s="3">
        <f>C3612 - D3612</f>
        <v>0</v>
      </c>
    </row>
    <row r="3613" spans="2:5" x14ac:dyDescent="0.35">
      <c r="B3613" s="38">
        <v>40114</v>
      </c>
      <c r="C3613" s="3">
        <v>0</v>
      </c>
      <c r="D3613" s="3">
        <v>0</v>
      </c>
      <c r="E3613" s="3">
        <f>C3613 - D3613</f>
        <v>0</v>
      </c>
    </row>
    <row r="3614" spans="2:5" x14ac:dyDescent="0.35">
      <c r="B3614" s="38">
        <v>40115</v>
      </c>
      <c r="C3614" s="3">
        <v>0</v>
      </c>
      <c r="D3614" s="3">
        <v>0</v>
      </c>
      <c r="E3614" s="3">
        <f>C3614 - D3614</f>
        <v>0</v>
      </c>
    </row>
    <row r="3615" spans="2:5" x14ac:dyDescent="0.35">
      <c r="B3615" s="38">
        <v>40116</v>
      </c>
      <c r="C3615" s="3">
        <v>1</v>
      </c>
      <c r="D3615" s="3">
        <v>0</v>
      </c>
      <c r="E3615" s="3">
        <f>C3615 - D3615</f>
        <v>1</v>
      </c>
    </row>
    <row r="3616" spans="2:5" x14ac:dyDescent="0.35">
      <c r="B3616" s="38">
        <v>40117</v>
      </c>
      <c r="C3616" s="3">
        <v>1</v>
      </c>
      <c r="D3616" s="3">
        <v>1</v>
      </c>
      <c r="E3616" s="3">
        <f>C3616 - D3616</f>
        <v>0</v>
      </c>
    </row>
    <row r="3617" spans="2:5" x14ac:dyDescent="0.35">
      <c r="B3617" s="38">
        <v>40118</v>
      </c>
      <c r="C3617" s="3">
        <v>1</v>
      </c>
      <c r="D3617" s="3">
        <v>1</v>
      </c>
      <c r="E3617" s="3">
        <f>C3617 - D3617</f>
        <v>0</v>
      </c>
    </row>
    <row r="3618" spans="2:5" x14ac:dyDescent="0.35">
      <c r="B3618" s="38">
        <v>40119</v>
      </c>
      <c r="C3618" s="3">
        <v>0</v>
      </c>
      <c r="D3618" s="3">
        <v>1</v>
      </c>
      <c r="E3618" s="3">
        <f>C3618 - D3618</f>
        <v>-1</v>
      </c>
    </row>
    <row r="3619" spans="2:5" x14ac:dyDescent="0.35">
      <c r="B3619" s="38">
        <v>40120</v>
      </c>
      <c r="C3619" s="3">
        <v>1</v>
      </c>
      <c r="D3619" s="3">
        <v>0</v>
      </c>
      <c r="E3619" s="3">
        <f>C3619 - D3619</f>
        <v>1</v>
      </c>
    </row>
    <row r="3620" spans="2:5" x14ac:dyDescent="0.35">
      <c r="B3620" s="38">
        <v>40121</v>
      </c>
      <c r="C3620" s="3">
        <v>0</v>
      </c>
      <c r="D3620" s="3">
        <v>1</v>
      </c>
      <c r="E3620" s="3">
        <f>C3620 - D3620</f>
        <v>-1</v>
      </c>
    </row>
    <row r="3621" spans="2:5" x14ac:dyDescent="0.35">
      <c r="B3621" s="38">
        <v>40122</v>
      </c>
      <c r="C3621" s="3">
        <v>0</v>
      </c>
      <c r="D3621" s="3">
        <v>0</v>
      </c>
      <c r="E3621" s="3">
        <f>C3621 - D3621</f>
        <v>0</v>
      </c>
    </row>
    <row r="3622" spans="2:5" x14ac:dyDescent="0.35">
      <c r="B3622" s="38">
        <v>40123</v>
      </c>
      <c r="C3622" s="3">
        <v>0</v>
      </c>
      <c r="D3622" s="3">
        <v>0</v>
      </c>
      <c r="E3622" s="3">
        <f>C3622 - D3622</f>
        <v>0</v>
      </c>
    </row>
    <row r="3623" spans="2:5" x14ac:dyDescent="0.35">
      <c r="B3623" s="38">
        <v>40124</v>
      </c>
      <c r="C3623" s="3">
        <v>0</v>
      </c>
      <c r="D3623" s="3">
        <v>0</v>
      </c>
      <c r="E3623" s="3">
        <f>C3623 - D3623</f>
        <v>0</v>
      </c>
    </row>
    <row r="3624" spans="2:5" x14ac:dyDescent="0.35">
      <c r="B3624" s="38">
        <v>40125</v>
      </c>
      <c r="C3624" s="3">
        <v>0</v>
      </c>
      <c r="D3624" s="3">
        <v>0</v>
      </c>
      <c r="E3624" s="3">
        <f>C3624 - D3624</f>
        <v>0</v>
      </c>
    </row>
    <row r="3625" spans="2:5" x14ac:dyDescent="0.35">
      <c r="B3625" s="38">
        <v>40126</v>
      </c>
      <c r="C3625" s="3">
        <v>0</v>
      </c>
      <c r="D3625" s="3">
        <v>0</v>
      </c>
      <c r="E3625" s="3">
        <f>C3625 - D3625</f>
        <v>0</v>
      </c>
    </row>
    <row r="3626" spans="2:5" x14ac:dyDescent="0.35">
      <c r="B3626" s="38">
        <v>40127</v>
      </c>
      <c r="C3626" s="3">
        <v>0</v>
      </c>
      <c r="D3626" s="3">
        <v>0</v>
      </c>
      <c r="E3626" s="3">
        <f>C3626 - D3626</f>
        <v>0</v>
      </c>
    </row>
    <row r="3627" spans="2:5" x14ac:dyDescent="0.35">
      <c r="B3627" s="38">
        <v>40128</v>
      </c>
      <c r="C3627" s="3">
        <v>0</v>
      </c>
      <c r="D3627" s="3">
        <v>0</v>
      </c>
      <c r="E3627" s="3">
        <f>C3627 - D3627</f>
        <v>0</v>
      </c>
    </row>
    <row r="3628" spans="2:5" x14ac:dyDescent="0.35">
      <c r="B3628" s="38">
        <v>40129</v>
      </c>
      <c r="C3628" s="3">
        <v>0</v>
      </c>
      <c r="D3628" s="3">
        <v>0</v>
      </c>
      <c r="E3628" s="3">
        <f>C3628 - D3628</f>
        <v>0</v>
      </c>
    </row>
    <row r="3629" spans="2:5" x14ac:dyDescent="0.35">
      <c r="B3629" s="38">
        <v>40130</v>
      </c>
      <c r="C3629" s="3">
        <v>0</v>
      </c>
      <c r="D3629" s="3">
        <v>0</v>
      </c>
      <c r="E3629" s="3">
        <f>C3629 - D3629</f>
        <v>0</v>
      </c>
    </row>
    <row r="3630" spans="2:5" x14ac:dyDescent="0.35">
      <c r="B3630" s="38">
        <v>40131</v>
      </c>
      <c r="C3630" s="3">
        <v>0</v>
      </c>
      <c r="D3630" s="3">
        <v>0</v>
      </c>
      <c r="E3630" s="3">
        <f>C3630 - D3630</f>
        <v>0</v>
      </c>
    </row>
    <row r="3631" spans="2:5" x14ac:dyDescent="0.35">
      <c r="B3631" s="38">
        <v>40132</v>
      </c>
      <c r="C3631" s="3">
        <v>0</v>
      </c>
      <c r="D3631" s="3">
        <v>0</v>
      </c>
      <c r="E3631" s="3">
        <f>C3631 - D3631</f>
        <v>0</v>
      </c>
    </row>
    <row r="3632" spans="2:5" x14ac:dyDescent="0.35">
      <c r="B3632" s="38">
        <v>40133</v>
      </c>
      <c r="C3632" s="3">
        <v>0</v>
      </c>
      <c r="D3632" s="3">
        <v>0</v>
      </c>
      <c r="E3632" s="3">
        <f>C3632 - D3632</f>
        <v>0</v>
      </c>
    </row>
    <row r="3633" spans="2:5" x14ac:dyDescent="0.35">
      <c r="B3633" s="38">
        <v>40134</v>
      </c>
      <c r="C3633" s="3">
        <v>0</v>
      </c>
      <c r="D3633" s="3">
        <v>0</v>
      </c>
      <c r="E3633" s="3">
        <f>C3633 - D3633</f>
        <v>0</v>
      </c>
    </row>
    <row r="3634" spans="2:5" x14ac:dyDescent="0.35">
      <c r="B3634" s="38">
        <v>40135</v>
      </c>
      <c r="C3634" s="3">
        <v>0</v>
      </c>
      <c r="D3634" s="3">
        <v>0</v>
      </c>
      <c r="E3634" s="3">
        <f>C3634 - D3634</f>
        <v>0</v>
      </c>
    </row>
    <row r="3635" spans="2:5" x14ac:dyDescent="0.35">
      <c r="B3635" s="38">
        <v>40136</v>
      </c>
      <c r="C3635" s="3">
        <v>0</v>
      </c>
      <c r="D3635" s="3">
        <v>0</v>
      </c>
      <c r="E3635" s="3">
        <f>C3635 - D3635</f>
        <v>0</v>
      </c>
    </row>
    <row r="3636" spans="2:5" x14ac:dyDescent="0.35">
      <c r="B3636" s="38">
        <v>40137</v>
      </c>
      <c r="C3636" s="3">
        <v>0</v>
      </c>
      <c r="D3636" s="3">
        <v>0</v>
      </c>
      <c r="E3636" s="3">
        <f>C3636 - D3636</f>
        <v>0</v>
      </c>
    </row>
    <row r="3637" spans="2:5" x14ac:dyDescent="0.35">
      <c r="B3637" s="38">
        <v>40138</v>
      </c>
      <c r="C3637" s="3">
        <v>1</v>
      </c>
      <c r="D3637" s="3">
        <v>0</v>
      </c>
      <c r="E3637" s="3">
        <f>C3637 - D3637</f>
        <v>1</v>
      </c>
    </row>
    <row r="3638" spans="2:5" x14ac:dyDescent="0.35">
      <c r="B3638" s="38">
        <v>40139</v>
      </c>
      <c r="C3638" s="3">
        <v>1</v>
      </c>
      <c r="D3638" s="3">
        <v>1</v>
      </c>
      <c r="E3638" s="3">
        <f>C3638 - D3638</f>
        <v>0</v>
      </c>
    </row>
    <row r="3639" spans="2:5" x14ac:dyDescent="0.35">
      <c r="B3639" s="38">
        <v>40140</v>
      </c>
      <c r="C3639" s="3">
        <v>1</v>
      </c>
      <c r="D3639" s="3">
        <v>1</v>
      </c>
      <c r="E3639" s="3">
        <f>C3639 - D3639</f>
        <v>0</v>
      </c>
    </row>
    <row r="3640" spans="2:5" x14ac:dyDescent="0.35">
      <c r="B3640" s="38">
        <v>40141</v>
      </c>
      <c r="C3640" s="3">
        <v>0</v>
      </c>
      <c r="D3640" s="3">
        <v>1</v>
      </c>
      <c r="E3640" s="3">
        <f>C3640 - D3640</f>
        <v>-1</v>
      </c>
    </row>
    <row r="3641" spans="2:5" x14ac:dyDescent="0.35">
      <c r="B3641" s="38">
        <v>40142</v>
      </c>
      <c r="C3641" s="3">
        <v>0</v>
      </c>
      <c r="D3641" s="3">
        <v>0</v>
      </c>
      <c r="E3641" s="3">
        <f>C3641 - D3641</f>
        <v>0</v>
      </c>
    </row>
    <row r="3642" spans="2:5" x14ac:dyDescent="0.35">
      <c r="B3642" s="38">
        <v>40143</v>
      </c>
      <c r="C3642" s="3">
        <v>1</v>
      </c>
      <c r="D3642" s="3">
        <v>0</v>
      </c>
      <c r="E3642" s="3">
        <f>C3642 - D3642</f>
        <v>1</v>
      </c>
    </row>
    <row r="3643" spans="2:5" x14ac:dyDescent="0.35">
      <c r="B3643" s="38">
        <v>40144</v>
      </c>
      <c r="C3643" s="3">
        <v>1</v>
      </c>
      <c r="D3643" s="3">
        <v>1</v>
      </c>
      <c r="E3643" s="3">
        <f>C3643 - D3643</f>
        <v>0</v>
      </c>
    </row>
    <row r="3644" spans="2:5" x14ac:dyDescent="0.35">
      <c r="B3644" s="38">
        <v>40145</v>
      </c>
      <c r="C3644" s="3">
        <v>1</v>
      </c>
      <c r="D3644" s="3">
        <v>1</v>
      </c>
      <c r="E3644" s="3">
        <f>C3644 - D3644</f>
        <v>0</v>
      </c>
    </row>
    <row r="3645" spans="2:5" x14ac:dyDescent="0.35">
      <c r="B3645" s="38">
        <v>40146</v>
      </c>
      <c r="C3645" s="3">
        <v>1</v>
      </c>
      <c r="D3645" s="3">
        <v>1</v>
      </c>
      <c r="E3645" s="3">
        <f>C3645 - D3645</f>
        <v>0</v>
      </c>
    </row>
    <row r="3646" spans="2:5" x14ac:dyDescent="0.35">
      <c r="B3646" s="38">
        <v>40147</v>
      </c>
      <c r="C3646" s="3">
        <v>1</v>
      </c>
      <c r="D3646" s="3">
        <v>1</v>
      </c>
      <c r="E3646" s="3">
        <f>C3646 - D3646</f>
        <v>0</v>
      </c>
    </row>
    <row r="3647" spans="2:5" x14ac:dyDescent="0.35">
      <c r="B3647" s="38">
        <v>40148</v>
      </c>
      <c r="C3647" s="3">
        <v>0</v>
      </c>
      <c r="D3647" s="3">
        <v>1</v>
      </c>
      <c r="E3647" s="3">
        <f>C3647 - D3647</f>
        <v>-1</v>
      </c>
    </row>
    <row r="3648" spans="2:5" x14ac:dyDescent="0.35">
      <c r="B3648" s="38">
        <v>40149</v>
      </c>
      <c r="C3648" s="3">
        <v>0</v>
      </c>
      <c r="D3648" s="3">
        <v>0</v>
      </c>
      <c r="E3648" s="3">
        <f>C3648 - D3648</f>
        <v>0</v>
      </c>
    </row>
    <row r="3649" spans="2:5" x14ac:dyDescent="0.35">
      <c r="B3649" s="38">
        <v>40150</v>
      </c>
      <c r="C3649" s="3">
        <v>0</v>
      </c>
      <c r="D3649" s="3">
        <v>0</v>
      </c>
      <c r="E3649" s="3">
        <f>C3649 - D3649</f>
        <v>0</v>
      </c>
    </row>
    <row r="3650" spans="2:5" x14ac:dyDescent="0.35">
      <c r="B3650" s="38">
        <v>40151</v>
      </c>
      <c r="C3650" s="3">
        <v>0</v>
      </c>
      <c r="D3650" s="3">
        <v>0</v>
      </c>
      <c r="E3650" s="3">
        <f>C3650 - D3650</f>
        <v>0</v>
      </c>
    </row>
    <row r="3651" spans="2:5" x14ac:dyDescent="0.35">
      <c r="B3651" s="38">
        <v>40152</v>
      </c>
      <c r="C3651" s="3">
        <v>0</v>
      </c>
      <c r="D3651" s="3">
        <v>0</v>
      </c>
      <c r="E3651" s="3">
        <f>C3651 - D3651</f>
        <v>0</v>
      </c>
    </row>
    <row r="3652" spans="2:5" x14ac:dyDescent="0.35">
      <c r="B3652" s="38">
        <v>40153</v>
      </c>
      <c r="C3652" s="3">
        <v>0</v>
      </c>
      <c r="D3652" s="3">
        <v>0</v>
      </c>
      <c r="E3652" s="3">
        <f>C3652 - D3652</f>
        <v>0</v>
      </c>
    </row>
    <row r="3653" spans="2:5" x14ac:dyDescent="0.35">
      <c r="B3653" s="38">
        <v>40154</v>
      </c>
      <c r="C3653" s="3">
        <v>0</v>
      </c>
      <c r="D3653" s="3">
        <v>0</v>
      </c>
      <c r="E3653" s="3">
        <f>C3653 - D3653</f>
        <v>0</v>
      </c>
    </row>
    <row r="3654" spans="2:5" x14ac:dyDescent="0.35">
      <c r="B3654" s="38">
        <v>40155</v>
      </c>
      <c r="C3654" s="3">
        <v>1</v>
      </c>
      <c r="D3654" s="3">
        <v>0</v>
      </c>
      <c r="E3654" s="3">
        <f>C3654 - D3654</f>
        <v>1</v>
      </c>
    </row>
    <row r="3655" spans="2:5" x14ac:dyDescent="0.35">
      <c r="B3655" s="38">
        <v>40156</v>
      </c>
      <c r="C3655" s="3">
        <v>1</v>
      </c>
      <c r="D3655" s="3">
        <v>1</v>
      </c>
      <c r="E3655" s="3">
        <f>C3655 - D3655</f>
        <v>0</v>
      </c>
    </row>
    <row r="3656" spans="2:5" x14ac:dyDescent="0.35">
      <c r="B3656" s="38">
        <v>40157</v>
      </c>
      <c r="C3656" s="3">
        <v>0</v>
      </c>
      <c r="D3656" s="3">
        <v>1</v>
      </c>
      <c r="E3656" s="3">
        <f>C3656 - D3656</f>
        <v>-1</v>
      </c>
    </row>
    <row r="3657" spans="2:5" x14ac:dyDescent="0.35">
      <c r="B3657" s="38">
        <v>40158</v>
      </c>
      <c r="C3657" s="3">
        <v>1</v>
      </c>
      <c r="D3657" s="3">
        <v>0</v>
      </c>
      <c r="E3657" s="3">
        <f>C3657 - D3657</f>
        <v>1</v>
      </c>
    </row>
    <row r="3658" spans="2:5" x14ac:dyDescent="0.35">
      <c r="B3658" s="38">
        <v>40159</v>
      </c>
      <c r="C3658" s="3">
        <v>0</v>
      </c>
      <c r="D3658" s="3">
        <v>1</v>
      </c>
      <c r="E3658" s="3">
        <f>C3658 - D3658</f>
        <v>-1</v>
      </c>
    </row>
    <row r="3659" spans="2:5" x14ac:dyDescent="0.35">
      <c r="B3659" s="38">
        <v>40160</v>
      </c>
      <c r="C3659" s="3">
        <v>0</v>
      </c>
      <c r="D3659" s="3">
        <v>0</v>
      </c>
      <c r="E3659" s="3">
        <f>C3659 - D3659</f>
        <v>0</v>
      </c>
    </row>
    <row r="3660" spans="2:5" x14ac:dyDescent="0.35">
      <c r="B3660" s="38">
        <v>40161</v>
      </c>
      <c r="C3660" s="3">
        <v>0</v>
      </c>
      <c r="D3660" s="3">
        <v>0</v>
      </c>
      <c r="E3660" s="3">
        <f>C3660 - D3660</f>
        <v>0</v>
      </c>
    </row>
    <row r="3661" spans="2:5" x14ac:dyDescent="0.35">
      <c r="B3661" s="38">
        <v>40162</v>
      </c>
      <c r="C3661" s="3">
        <v>0</v>
      </c>
      <c r="D3661" s="3">
        <v>0</v>
      </c>
      <c r="E3661" s="3">
        <f>C3661 - D3661</f>
        <v>0</v>
      </c>
    </row>
    <row r="3662" spans="2:5" x14ac:dyDescent="0.35">
      <c r="B3662" s="38">
        <v>40163</v>
      </c>
      <c r="C3662" s="3">
        <v>0</v>
      </c>
      <c r="D3662" s="3">
        <v>0</v>
      </c>
      <c r="E3662" s="3">
        <f>C3662 - D3662</f>
        <v>0</v>
      </c>
    </row>
    <row r="3663" spans="2:5" x14ac:dyDescent="0.35">
      <c r="B3663" s="38">
        <v>40164</v>
      </c>
      <c r="C3663" s="3">
        <v>0</v>
      </c>
      <c r="D3663" s="3">
        <v>0</v>
      </c>
      <c r="E3663" s="3">
        <f>C3663 - D3663</f>
        <v>0</v>
      </c>
    </row>
    <row r="3664" spans="2:5" x14ac:dyDescent="0.35">
      <c r="B3664" s="38">
        <v>40165</v>
      </c>
      <c r="C3664" s="3">
        <v>1</v>
      </c>
      <c r="D3664" s="3">
        <v>0</v>
      </c>
      <c r="E3664" s="3">
        <f>C3664 - D3664</f>
        <v>1</v>
      </c>
    </row>
    <row r="3665" spans="2:5" x14ac:dyDescent="0.35">
      <c r="B3665" s="38">
        <v>40166</v>
      </c>
      <c r="C3665" s="3">
        <v>1</v>
      </c>
      <c r="D3665" s="3">
        <v>1</v>
      </c>
      <c r="E3665" s="3">
        <f>C3665 - D3665</f>
        <v>0</v>
      </c>
    </row>
    <row r="3666" spans="2:5" x14ac:dyDescent="0.35">
      <c r="B3666" s="38">
        <v>40167</v>
      </c>
      <c r="C3666" s="3">
        <v>0</v>
      </c>
      <c r="D3666" s="3">
        <v>1</v>
      </c>
      <c r="E3666" s="3">
        <f>C3666 - D3666</f>
        <v>-1</v>
      </c>
    </row>
    <row r="3667" spans="2:5" x14ac:dyDescent="0.35">
      <c r="B3667" s="38">
        <v>40168</v>
      </c>
      <c r="C3667" s="3">
        <v>0</v>
      </c>
      <c r="D3667" s="3">
        <v>0</v>
      </c>
      <c r="E3667" s="3">
        <f>C3667 - D3667</f>
        <v>0</v>
      </c>
    </row>
    <row r="3668" spans="2:5" x14ac:dyDescent="0.35">
      <c r="B3668" s="38">
        <v>40169</v>
      </c>
      <c r="C3668" s="3">
        <v>0</v>
      </c>
      <c r="D3668" s="3">
        <v>0</v>
      </c>
      <c r="E3668" s="3">
        <f>C3668 - D3668</f>
        <v>0</v>
      </c>
    </row>
    <row r="3669" spans="2:5" x14ac:dyDescent="0.35">
      <c r="B3669" s="38">
        <v>40170</v>
      </c>
      <c r="C3669" s="3">
        <v>0</v>
      </c>
      <c r="D3669" s="3">
        <v>0</v>
      </c>
      <c r="E3669" s="3">
        <f>C3669 - D3669</f>
        <v>0</v>
      </c>
    </row>
    <row r="3670" spans="2:5" x14ac:dyDescent="0.35">
      <c r="B3670" s="38">
        <v>40171</v>
      </c>
      <c r="C3670" s="3">
        <v>0</v>
      </c>
      <c r="D3670" s="3">
        <v>0</v>
      </c>
      <c r="E3670" s="3">
        <f>C3670 - D3670</f>
        <v>0</v>
      </c>
    </row>
    <row r="3671" spans="2:5" x14ac:dyDescent="0.35">
      <c r="B3671" s="38">
        <v>40172</v>
      </c>
      <c r="C3671" s="3">
        <v>1</v>
      </c>
      <c r="D3671" s="3">
        <v>0</v>
      </c>
      <c r="E3671" s="3">
        <f>C3671 - D3671</f>
        <v>1</v>
      </c>
    </row>
    <row r="3672" spans="2:5" x14ac:dyDescent="0.35">
      <c r="B3672" s="38">
        <v>40173</v>
      </c>
      <c r="C3672" s="3">
        <v>0</v>
      </c>
      <c r="D3672" s="3">
        <v>1</v>
      </c>
      <c r="E3672" s="3">
        <f>C3672 - D3672</f>
        <v>-1</v>
      </c>
    </row>
    <row r="3673" spans="2:5" x14ac:dyDescent="0.35">
      <c r="B3673" s="38">
        <v>40174</v>
      </c>
      <c r="C3673" s="3">
        <v>0</v>
      </c>
      <c r="D3673" s="3">
        <v>0</v>
      </c>
      <c r="E3673" s="3">
        <f>C3673 - D3673</f>
        <v>0</v>
      </c>
    </row>
    <row r="3674" spans="2:5" x14ac:dyDescent="0.35">
      <c r="B3674" s="38">
        <v>40175</v>
      </c>
      <c r="C3674" s="3">
        <v>0</v>
      </c>
      <c r="D3674" s="3">
        <v>0</v>
      </c>
      <c r="E3674" s="3">
        <f>C3674 - D3674</f>
        <v>0</v>
      </c>
    </row>
    <row r="3675" spans="2:5" x14ac:dyDescent="0.35">
      <c r="B3675" s="38">
        <v>40176</v>
      </c>
      <c r="C3675" s="3">
        <v>0</v>
      </c>
      <c r="D3675" s="3">
        <v>0</v>
      </c>
      <c r="E3675" s="3">
        <f>C3675 - D3675</f>
        <v>0</v>
      </c>
    </row>
    <row r="3676" spans="2:5" x14ac:dyDescent="0.35">
      <c r="B3676" s="38">
        <v>40177</v>
      </c>
      <c r="C3676" s="3">
        <v>0</v>
      </c>
      <c r="D3676" s="3">
        <v>0</v>
      </c>
      <c r="E3676" s="3">
        <f>C3676 - D3676</f>
        <v>0</v>
      </c>
    </row>
    <row r="3677" spans="2:5" x14ac:dyDescent="0.35">
      <c r="B3677" s="38">
        <v>40178</v>
      </c>
      <c r="C3677" s="3">
        <v>0</v>
      </c>
      <c r="D3677" s="3">
        <v>0</v>
      </c>
      <c r="E3677" s="3">
        <f>C3677 - D3677</f>
        <v>0</v>
      </c>
    </row>
    <row r="3678" spans="2:5" x14ac:dyDescent="0.35">
      <c r="B3678" s="38">
        <v>40179</v>
      </c>
      <c r="C3678" s="3">
        <v>1</v>
      </c>
      <c r="D3678" s="3">
        <v>0</v>
      </c>
      <c r="E3678" s="3">
        <f>C3678 - D3678</f>
        <v>1</v>
      </c>
    </row>
    <row r="3679" spans="2:5" x14ac:dyDescent="0.35">
      <c r="B3679" s="38">
        <v>40180</v>
      </c>
      <c r="C3679" s="3">
        <v>1</v>
      </c>
      <c r="D3679" s="3">
        <v>1</v>
      </c>
      <c r="E3679" s="3">
        <f>C3679 - D3679</f>
        <v>0</v>
      </c>
    </row>
    <row r="3680" spans="2:5" x14ac:dyDescent="0.35">
      <c r="B3680" s="38">
        <v>40181</v>
      </c>
      <c r="C3680" s="3">
        <v>0</v>
      </c>
      <c r="D3680" s="3">
        <v>1</v>
      </c>
      <c r="E3680" s="3">
        <f>C3680 - D3680</f>
        <v>-1</v>
      </c>
    </row>
    <row r="3681" spans="2:5" x14ac:dyDescent="0.35">
      <c r="B3681" s="38">
        <v>40182</v>
      </c>
      <c r="C3681" s="3">
        <v>0</v>
      </c>
      <c r="D3681" s="3">
        <v>0</v>
      </c>
      <c r="E3681" s="3">
        <f>C3681 - D3681</f>
        <v>0</v>
      </c>
    </row>
    <row r="3682" spans="2:5" x14ac:dyDescent="0.35">
      <c r="B3682" s="38">
        <v>40183</v>
      </c>
      <c r="C3682" s="3">
        <v>0</v>
      </c>
      <c r="D3682" s="3">
        <v>0</v>
      </c>
      <c r="E3682" s="3">
        <f>C3682 - D3682</f>
        <v>0</v>
      </c>
    </row>
    <row r="3683" spans="2:5" x14ac:dyDescent="0.35">
      <c r="B3683" s="38">
        <v>40184</v>
      </c>
      <c r="C3683" s="3">
        <v>0</v>
      </c>
      <c r="D3683" s="3">
        <v>0</v>
      </c>
      <c r="E3683" s="3">
        <f>C3683 - D3683</f>
        <v>0</v>
      </c>
    </row>
    <row r="3684" spans="2:5" x14ac:dyDescent="0.35">
      <c r="B3684" s="38">
        <v>40185</v>
      </c>
      <c r="C3684" s="3">
        <v>0</v>
      </c>
      <c r="D3684" s="3">
        <v>0</v>
      </c>
      <c r="E3684" s="3">
        <f>C3684 - D3684</f>
        <v>0</v>
      </c>
    </row>
    <row r="3685" spans="2:5" x14ac:dyDescent="0.35">
      <c r="B3685" s="38">
        <v>40186</v>
      </c>
      <c r="C3685" s="3">
        <v>0</v>
      </c>
      <c r="D3685" s="3">
        <v>0</v>
      </c>
      <c r="E3685" s="3">
        <f>C3685 - D3685</f>
        <v>0</v>
      </c>
    </row>
    <row r="3686" spans="2:5" x14ac:dyDescent="0.35">
      <c r="B3686" s="38">
        <v>40187</v>
      </c>
      <c r="C3686" s="3">
        <v>0</v>
      </c>
      <c r="D3686" s="3">
        <v>0</v>
      </c>
      <c r="E3686" s="3">
        <f>C3686 - D3686</f>
        <v>0</v>
      </c>
    </row>
    <row r="3687" spans="2:5" x14ac:dyDescent="0.35">
      <c r="B3687" s="38">
        <v>40188</v>
      </c>
      <c r="C3687" s="3">
        <v>0</v>
      </c>
      <c r="D3687" s="3">
        <v>0</v>
      </c>
      <c r="E3687" s="3">
        <f>C3687 - D3687</f>
        <v>0</v>
      </c>
    </row>
    <row r="3688" spans="2:5" x14ac:dyDescent="0.35">
      <c r="B3688" s="38">
        <v>40189</v>
      </c>
      <c r="C3688" s="3">
        <v>0</v>
      </c>
      <c r="D3688" s="3">
        <v>0</v>
      </c>
      <c r="E3688" s="3">
        <f>C3688 - D3688</f>
        <v>0</v>
      </c>
    </row>
    <row r="3689" spans="2:5" x14ac:dyDescent="0.35">
      <c r="B3689" s="38">
        <v>40190</v>
      </c>
      <c r="C3689" s="3">
        <v>0</v>
      </c>
      <c r="D3689" s="3">
        <v>0</v>
      </c>
      <c r="E3689" s="3">
        <f>C3689 - D3689</f>
        <v>0</v>
      </c>
    </row>
    <row r="3690" spans="2:5" x14ac:dyDescent="0.35">
      <c r="B3690" s="38">
        <v>40191</v>
      </c>
      <c r="C3690" s="3">
        <v>1</v>
      </c>
      <c r="D3690" s="3">
        <v>0</v>
      </c>
      <c r="E3690" s="3">
        <f>C3690 - D3690</f>
        <v>1</v>
      </c>
    </row>
    <row r="3691" spans="2:5" x14ac:dyDescent="0.35">
      <c r="B3691" s="38">
        <v>40192</v>
      </c>
      <c r="C3691" s="3">
        <v>0</v>
      </c>
      <c r="D3691" s="3">
        <v>1</v>
      </c>
      <c r="E3691" s="3">
        <f>C3691 - D3691</f>
        <v>-1</v>
      </c>
    </row>
    <row r="3692" spans="2:5" x14ac:dyDescent="0.35">
      <c r="B3692" s="38">
        <v>40193</v>
      </c>
      <c r="C3692" s="3">
        <v>0</v>
      </c>
      <c r="D3692" s="3">
        <v>0</v>
      </c>
      <c r="E3692" s="3">
        <f>C3692 - D3692</f>
        <v>0</v>
      </c>
    </row>
    <row r="3693" spans="2:5" x14ac:dyDescent="0.35">
      <c r="B3693" s="38">
        <v>40194</v>
      </c>
      <c r="C3693" s="3">
        <v>0</v>
      </c>
      <c r="D3693" s="3">
        <v>0</v>
      </c>
      <c r="E3693" s="3">
        <f>C3693 - D3693</f>
        <v>0</v>
      </c>
    </row>
    <row r="3694" spans="2:5" x14ac:dyDescent="0.35">
      <c r="B3694" s="38">
        <v>40195</v>
      </c>
      <c r="C3694" s="3">
        <v>0</v>
      </c>
      <c r="D3694" s="3">
        <v>0</v>
      </c>
      <c r="E3694" s="3">
        <f>C3694 - D3694</f>
        <v>0</v>
      </c>
    </row>
    <row r="3695" spans="2:5" x14ac:dyDescent="0.35">
      <c r="B3695" s="38">
        <v>40196</v>
      </c>
      <c r="C3695" s="3">
        <v>1</v>
      </c>
      <c r="D3695" s="3">
        <v>0</v>
      </c>
      <c r="E3695" s="3">
        <f>C3695 - D3695</f>
        <v>1</v>
      </c>
    </row>
    <row r="3696" spans="2:5" x14ac:dyDescent="0.35">
      <c r="B3696" s="38">
        <v>40197</v>
      </c>
      <c r="C3696" s="3">
        <v>1</v>
      </c>
      <c r="D3696" s="3">
        <v>1</v>
      </c>
      <c r="E3696" s="3">
        <f>C3696 - D3696</f>
        <v>0</v>
      </c>
    </row>
    <row r="3697" spans="2:5" x14ac:dyDescent="0.35">
      <c r="B3697" s="38">
        <v>40198</v>
      </c>
      <c r="C3697" s="3">
        <v>0</v>
      </c>
      <c r="D3697" s="3">
        <v>1</v>
      </c>
      <c r="E3697" s="3">
        <f>C3697 - D3697</f>
        <v>-1</v>
      </c>
    </row>
    <row r="3698" spans="2:5" x14ac:dyDescent="0.35">
      <c r="B3698" s="38">
        <v>40199</v>
      </c>
      <c r="C3698" s="3">
        <v>0</v>
      </c>
      <c r="D3698" s="3">
        <v>0</v>
      </c>
      <c r="E3698" s="3">
        <f>C3698 - D3698</f>
        <v>0</v>
      </c>
    </row>
    <row r="3699" spans="2:5" x14ac:dyDescent="0.35">
      <c r="B3699" s="38">
        <v>40200</v>
      </c>
      <c r="C3699" s="3">
        <v>0</v>
      </c>
      <c r="D3699" s="3">
        <v>0</v>
      </c>
      <c r="E3699" s="3">
        <f>C3699 - D3699</f>
        <v>0</v>
      </c>
    </row>
    <row r="3700" spans="2:5" x14ac:dyDescent="0.35">
      <c r="B3700" s="38">
        <v>40201</v>
      </c>
      <c r="C3700" s="3">
        <v>0</v>
      </c>
      <c r="D3700" s="3">
        <v>0</v>
      </c>
      <c r="E3700" s="3">
        <f>C3700 - D3700</f>
        <v>0</v>
      </c>
    </row>
    <row r="3701" spans="2:5" x14ac:dyDescent="0.35">
      <c r="B3701" s="38">
        <v>40202</v>
      </c>
      <c r="C3701" s="3">
        <v>0</v>
      </c>
      <c r="D3701" s="3">
        <v>0</v>
      </c>
      <c r="E3701" s="3">
        <f>C3701 - D3701</f>
        <v>0</v>
      </c>
    </row>
    <row r="3702" spans="2:5" x14ac:dyDescent="0.35">
      <c r="B3702" s="38">
        <v>40203</v>
      </c>
      <c r="C3702" s="3">
        <v>0</v>
      </c>
      <c r="D3702" s="3">
        <v>0</v>
      </c>
      <c r="E3702" s="3">
        <f>C3702 - D3702</f>
        <v>0</v>
      </c>
    </row>
    <row r="3703" spans="2:5" x14ac:dyDescent="0.35">
      <c r="B3703" s="38">
        <v>40204</v>
      </c>
      <c r="C3703" s="3">
        <v>0</v>
      </c>
      <c r="D3703" s="3">
        <v>0</v>
      </c>
      <c r="E3703" s="3">
        <f>C3703 - D3703</f>
        <v>0</v>
      </c>
    </row>
    <row r="3704" spans="2:5" x14ac:dyDescent="0.35">
      <c r="B3704" s="38">
        <v>40205</v>
      </c>
      <c r="C3704" s="3">
        <v>0</v>
      </c>
      <c r="D3704" s="3">
        <v>0</v>
      </c>
      <c r="E3704" s="3">
        <f>C3704 - D3704</f>
        <v>0</v>
      </c>
    </row>
    <row r="3705" spans="2:5" x14ac:dyDescent="0.35">
      <c r="B3705" s="38">
        <v>40206</v>
      </c>
      <c r="C3705" s="3">
        <v>0</v>
      </c>
      <c r="D3705" s="3">
        <v>0</v>
      </c>
      <c r="E3705" s="3">
        <f>C3705 - D3705</f>
        <v>0</v>
      </c>
    </row>
    <row r="3706" spans="2:5" x14ac:dyDescent="0.35">
      <c r="B3706" s="38">
        <v>40207</v>
      </c>
      <c r="C3706" s="3">
        <v>0</v>
      </c>
      <c r="D3706" s="3">
        <v>0</v>
      </c>
      <c r="E3706" s="3">
        <f>C3706 - D3706</f>
        <v>0</v>
      </c>
    </row>
    <row r="3707" spans="2:5" x14ac:dyDescent="0.35">
      <c r="B3707" s="38">
        <v>40208</v>
      </c>
      <c r="C3707" s="3">
        <v>0</v>
      </c>
      <c r="D3707" s="3">
        <v>0</v>
      </c>
      <c r="E3707" s="3">
        <f>C3707 - D3707</f>
        <v>0</v>
      </c>
    </row>
    <row r="3708" spans="2:5" x14ac:dyDescent="0.35">
      <c r="B3708" s="38">
        <v>40209</v>
      </c>
      <c r="C3708" s="3">
        <v>0</v>
      </c>
      <c r="D3708" s="3">
        <v>0</v>
      </c>
      <c r="E3708" s="3">
        <f>C3708 - D3708</f>
        <v>0</v>
      </c>
    </row>
    <row r="3709" spans="2:5" x14ac:dyDescent="0.35">
      <c r="B3709" s="38">
        <v>40210</v>
      </c>
      <c r="C3709" s="3">
        <v>1</v>
      </c>
      <c r="D3709" s="3">
        <v>0</v>
      </c>
      <c r="E3709" s="3">
        <f>C3709 - D3709</f>
        <v>1</v>
      </c>
    </row>
    <row r="3710" spans="2:5" x14ac:dyDescent="0.35">
      <c r="B3710" s="38">
        <v>40211</v>
      </c>
      <c r="C3710" s="3">
        <v>0</v>
      </c>
      <c r="D3710" s="3">
        <v>1</v>
      </c>
      <c r="E3710" s="3">
        <f>C3710 - D3710</f>
        <v>-1</v>
      </c>
    </row>
    <row r="3711" spans="2:5" x14ac:dyDescent="0.35">
      <c r="B3711" s="38">
        <v>40212</v>
      </c>
      <c r="C3711" s="3">
        <v>0</v>
      </c>
      <c r="D3711" s="3">
        <v>0</v>
      </c>
      <c r="E3711" s="3">
        <f>C3711 - D3711</f>
        <v>0</v>
      </c>
    </row>
    <row r="3712" spans="2:5" x14ac:dyDescent="0.35">
      <c r="B3712" s="38">
        <v>40213</v>
      </c>
      <c r="C3712" s="3">
        <v>0</v>
      </c>
      <c r="D3712" s="3">
        <v>0</v>
      </c>
      <c r="E3712" s="3">
        <f>C3712 - D3712</f>
        <v>0</v>
      </c>
    </row>
    <row r="3713" spans="2:5" x14ac:dyDescent="0.35">
      <c r="B3713" s="38">
        <v>40214</v>
      </c>
      <c r="C3713" s="3">
        <v>1</v>
      </c>
      <c r="D3713" s="3">
        <v>0</v>
      </c>
      <c r="E3713" s="3">
        <f>C3713 - D3713</f>
        <v>1</v>
      </c>
    </row>
    <row r="3714" spans="2:5" x14ac:dyDescent="0.35">
      <c r="B3714" s="38">
        <v>40215</v>
      </c>
      <c r="C3714" s="3">
        <v>1</v>
      </c>
      <c r="D3714" s="3">
        <v>1</v>
      </c>
      <c r="E3714" s="3">
        <f>C3714 - D3714</f>
        <v>0</v>
      </c>
    </row>
    <row r="3715" spans="2:5" x14ac:dyDescent="0.35">
      <c r="B3715" s="38">
        <v>40216</v>
      </c>
      <c r="C3715" s="3">
        <v>0</v>
      </c>
      <c r="D3715" s="3">
        <v>1</v>
      </c>
      <c r="E3715" s="3">
        <f>C3715 - D3715</f>
        <v>-1</v>
      </c>
    </row>
    <row r="3716" spans="2:5" x14ac:dyDescent="0.35">
      <c r="B3716" s="38">
        <v>40217</v>
      </c>
      <c r="C3716" s="3">
        <v>0</v>
      </c>
      <c r="D3716" s="3">
        <v>0</v>
      </c>
      <c r="E3716" s="3">
        <f>C3716 - D3716</f>
        <v>0</v>
      </c>
    </row>
    <row r="3717" spans="2:5" x14ac:dyDescent="0.35">
      <c r="B3717" s="38">
        <v>40218</v>
      </c>
      <c r="C3717" s="3">
        <v>0</v>
      </c>
      <c r="D3717" s="3">
        <v>0</v>
      </c>
      <c r="E3717" s="3">
        <f>C3717 - D3717</f>
        <v>0</v>
      </c>
    </row>
    <row r="3718" spans="2:5" x14ac:dyDescent="0.35">
      <c r="B3718" s="38">
        <v>40219</v>
      </c>
      <c r="C3718" s="3">
        <v>0</v>
      </c>
      <c r="D3718" s="3">
        <v>0</v>
      </c>
      <c r="E3718" s="3">
        <f>C3718 - D3718</f>
        <v>0</v>
      </c>
    </row>
    <row r="3719" spans="2:5" x14ac:dyDescent="0.35">
      <c r="B3719" s="38">
        <v>40220</v>
      </c>
      <c r="C3719" s="3">
        <v>0</v>
      </c>
      <c r="D3719" s="3">
        <v>0</v>
      </c>
      <c r="E3719" s="3">
        <f>C3719 - D3719</f>
        <v>0</v>
      </c>
    </row>
    <row r="3720" spans="2:5" x14ac:dyDescent="0.35">
      <c r="B3720" s="38">
        <v>40221</v>
      </c>
      <c r="C3720" s="3">
        <v>1</v>
      </c>
      <c r="D3720" s="3">
        <v>0</v>
      </c>
      <c r="E3720" s="3">
        <f>C3720 - D3720</f>
        <v>1</v>
      </c>
    </row>
    <row r="3721" spans="2:5" x14ac:dyDescent="0.35">
      <c r="B3721" s="38">
        <v>40222</v>
      </c>
      <c r="C3721" s="3">
        <v>0</v>
      </c>
      <c r="D3721" s="3">
        <v>1</v>
      </c>
      <c r="E3721" s="3">
        <f>C3721 - D3721</f>
        <v>-1</v>
      </c>
    </row>
    <row r="3722" spans="2:5" x14ac:dyDescent="0.35">
      <c r="B3722" s="38">
        <v>40223</v>
      </c>
      <c r="C3722" s="3">
        <v>1</v>
      </c>
      <c r="D3722" s="3">
        <v>0</v>
      </c>
      <c r="E3722" s="3">
        <f>C3722 - D3722</f>
        <v>1</v>
      </c>
    </row>
    <row r="3723" spans="2:5" x14ac:dyDescent="0.35">
      <c r="B3723" s="38">
        <v>40224</v>
      </c>
      <c r="C3723" s="3">
        <v>0</v>
      </c>
      <c r="D3723" s="3">
        <v>1</v>
      </c>
      <c r="E3723" s="3">
        <f>C3723 - D3723</f>
        <v>-1</v>
      </c>
    </row>
    <row r="3724" spans="2:5" x14ac:dyDescent="0.35">
      <c r="B3724" s="38">
        <v>40225</v>
      </c>
      <c r="C3724" s="3">
        <v>0</v>
      </c>
      <c r="D3724" s="3">
        <v>0</v>
      </c>
      <c r="E3724" s="3">
        <f>C3724 - D3724</f>
        <v>0</v>
      </c>
    </row>
    <row r="3725" spans="2:5" x14ac:dyDescent="0.35">
      <c r="B3725" s="38">
        <v>40226</v>
      </c>
      <c r="C3725" s="3">
        <v>0</v>
      </c>
      <c r="D3725" s="3">
        <v>0</v>
      </c>
      <c r="E3725" s="3">
        <f>C3725 - D3725</f>
        <v>0</v>
      </c>
    </row>
    <row r="3726" spans="2:5" x14ac:dyDescent="0.35">
      <c r="B3726" s="38">
        <v>40227</v>
      </c>
      <c r="C3726" s="3">
        <v>0</v>
      </c>
      <c r="D3726" s="3">
        <v>0</v>
      </c>
      <c r="E3726" s="3">
        <f>C3726 - D3726</f>
        <v>0</v>
      </c>
    </row>
    <row r="3727" spans="2:5" x14ac:dyDescent="0.35">
      <c r="B3727" s="38">
        <v>40228</v>
      </c>
      <c r="C3727" s="3">
        <v>0</v>
      </c>
      <c r="D3727" s="3">
        <v>0</v>
      </c>
      <c r="E3727" s="3">
        <f>C3727 - D3727</f>
        <v>0</v>
      </c>
    </row>
    <row r="3728" spans="2:5" x14ac:dyDescent="0.35">
      <c r="B3728" s="38">
        <v>40229</v>
      </c>
      <c r="C3728" s="3">
        <v>0</v>
      </c>
      <c r="D3728" s="3">
        <v>0</v>
      </c>
      <c r="E3728" s="3">
        <f>C3728 - D3728</f>
        <v>0</v>
      </c>
    </row>
    <row r="3729" spans="2:5" x14ac:dyDescent="0.35">
      <c r="B3729" s="38">
        <v>40230</v>
      </c>
      <c r="C3729" s="3">
        <v>0</v>
      </c>
      <c r="D3729" s="3">
        <v>0</v>
      </c>
      <c r="E3729" s="3">
        <f>C3729 - D3729</f>
        <v>0</v>
      </c>
    </row>
    <row r="3730" spans="2:5" x14ac:dyDescent="0.35">
      <c r="B3730" s="38">
        <v>40231</v>
      </c>
      <c r="C3730" s="3">
        <v>0</v>
      </c>
      <c r="D3730" s="3">
        <v>0</v>
      </c>
      <c r="E3730" s="3">
        <f>C3730 - D3730</f>
        <v>0</v>
      </c>
    </row>
    <row r="3731" spans="2:5" x14ac:dyDescent="0.35">
      <c r="B3731" s="38">
        <v>40232</v>
      </c>
      <c r="C3731" s="3">
        <v>0</v>
      </c>
      <c r="D3731" s="3">
        <v>0</v>
      </c>
      <c r="E3731" s="3">
        <f>C3731 - D3731</f>
        <v>0</v>
      </c>
    </row>
    <row r="3732" spans="2:5" x14ac:dyDescent="0.35">
      <c r="B3732" s="38">
        <v>40233</v>
      </c>
      <c r="C3732" s="3">
        <v>0</v>
      </c>
      <c r="D3732" s="3">
        <v>0</v>
      </c>
      <c r="E3732" s="3">
        <f>C3732 - D3732</f>
        <v>0</v>
      </c>
    </row>
    <row r="3733" spans="2:5" x14ac:dyDescent="0.35">
      <c r="B3733" s="38">
        <v>40234</v>
      </c>
      <c r="C3733" s="3">
        <v>0</v>
      </c>
      <c r="D3733" s="3">
        <v>0</v>
      </c>
      <c r="E3733" s="3">
        <f>C3733 - D3733</f>
        <v>0</v>
      </c>
    </row>
    <row r="3734" spans="2:5" x14ac:dyDescent="0.35">
      <c r="B3734" s="38">
        <v>40235</v>
      </c>
      <c r="C3734" s="3">
        <v>0</v>
      </c>
      <c r="D3734" s="3">
        <v>0</v>
      </c>
      <c r="E3734" s="3">
        <f>C3734 - D3734</f>
        <v>0</v>
      </c>
    </row>
    <row r="3735" spans="2:5" x14ac:dyDescent="0.35">
      <c r="B3735" s="38">
        <v>40236</v>
      </c>
      <c r="C3735" s="3">
        <v>0</v>
      </c>
      <c r="D3735" s="3">
        <v>0</v>
      </c>
      <c r="E3735" s="3">
        <f>C3735 - D3735</f>
        <v>0</v>
      </c>
    </row>
    <row r="3736" spans="2:5" x14ac:dyDescent="0.35">
      <c r="B3736" s="38">
        <v>40237</v>
      </c>
      <c r="C3736" s="3">
        <v>0</v>
      </c>
      <c r="D3736" s="3">
        <v>0</v>
      </c>
      <c r="E3736" s="3">
        <f>C3736 - D3736</f>
        <v>0</v>
      </c>
    </row>
    <row r="3737" spans="2:5" x14ac:dyDescent="0.35">
      <c r="B3737" s="38">
        <v>40238</v>
      </c>
      <c r="C3737" s="3">
        <v>1</v>
      </c>
      <c r="D3737" s="3">
        <v>0</v>
      </c>
      <c r="E3737" s="3">
        <f>C3737 - D3737</f>
        <v>1</v>
      </c>
    </row>
    <row r="3738" spans="2:5" x14ac:dyDescent="0.35">
      <c r="B3738" s="38">
        <v>40239</v>
      </c>
      <c r="C3738" s="3">
        <v>0</v>
      </c>
      <c r="D3738" s="3">
        <v>1</v>
      </c>
      <c r="E3738" s="3">
        <f>C3738 - D3738</f>
        <v>-1</v>
      </c>
    </row>
    <row r="3739" spans="2:5" x14ac:dyDescent="0.35">
      <c r="B3739" s="38">
        <v>40240</v>
      </c>
      <c r="C3739" s="3">
        <v>0</v>
      </c>
      <c r="D3739" s="3">
        <v>0</v>
      </c>
      <c r="E3739" s="3">
        <f>C3739 - D3739</f>
        <v>0</v>
      </c>
    </row>
    <row r="3740" spans="2:5" x14ac:dyDescent="0.35">
      <c r="B3740" s="38">
        <v>40241</v>
      </c>
      <c r="C3740" s="3">
        <v>0</v>
      </c>
      <c r="D3740" s="3">
        <v>0</v>
      </c>
      <c r="E3740" s="3">
        <f>C3740 - D3740</f>
        <v>0</v>
      </c>
    </row>
    <row r="3741" spans="2:5" x14ac:dyDescent="0.35">
      <c r="B3741" s="38">
        <v>40242</v>
      </c>
      <c r="C3741" s="3">
        <v>1</v>
      </c>
      <c r="D3741" s="3">
        <v>0</v>
      </c>
      <c r="E3741" s="3">
        <f>C3741 - D3741</f>
        <v>1</v>
      </c>
    </row>
    <row r="3742" spans="2:5" x14ac:dyDescent="0.35">
      <c r="B3742" s="38">
        <v>40243</v>
      </c>
      <c r="C3742" s="3">
        <v>1</v>
      </c>
      <c r="D3742" s="3">
        <v>1</v>
      </c>
      <c r="E3742" s="3">
        <f>C3742 - D3742</f>
        <v>0</v>
      </c>
    </row>
    <row r="3743" spans="2:5" x14ac:dyDescent="0.35">
      <c r="B3743" s="38">
        <v>40244</v>
      </c>
      <c r="C3743" s="3">
        <v>1</v>
      </c>
      <c r="D3743" s="3">
        <v>1</v>
      </c>
      <c r="E3743" s="3">
        <f>C3743 - D3743</f>
        <v>0</v>
      </c>
    </row>
    <row r="3744" spans="2:5" x14ac:dyDescent="0.35">
      <c r="B3744" s="38">
        <v>40245</v>
      </c>
      <c r="C3744" s="3">
        <v>1</v>
      </c>
      <c r="D3744" s="3">
        <v>1</v>
      </c>
      <c r="E3744" s="3">
        <f>C3744 - D3744</f>
        <v>0</v>
      </c>
    </row>
    <row r="3745" spans="2:5" x14ac:dyDescent="0.35">
      <c r="B3745" s="38">
        <v>40246</v>
      </c>
      <c r="C3745" s="3">
        <v>1</v>
      </c>
      <c r="D3745" s="3">
        <v>1</v>
      </c>
      <c r="E3745" s="3">
        <f>C3745 - D3745</f>
        <v>0</v>
      </c>
    </row>
    <row r="3746" spans="2:5" x14ac:dyDescent="0.35">
      <c r="B3746" s="38">
        <v>40247</v>
      </c>
      <c r="C3746" s="3">
        <v>0</v>
      </c>
      <c r="D3746" s="3">
        <v>1</v>
      </c>
      <c r="E3746" s="3">
        <f>C3746 - D3746</f>
        <v>-1</v>
      </c>
    </row>
    <row r="3747" spans="2:5" x14ac:dyDescent="0.35">
      <c r="B3747" s="38">
        <v>40248</v>
      </c>
      <c r="C3747" s="3">
        <v>1</v>
      </c>
      <c r="D3747" s="3">
        <v>0</v>
      </c>
      <c r="E3747" s="3">
        <f>C3747 - D3747</f>
        <v>1</v>
      </c>
    </row>
    <row r="3748" spans="2:5" x14ac:dyDescent="0.35">
      <c r="B3748" s="38">
        <v>40249</v>
      </c>
      <c r="C3748" s="3">
        <v>0</v>
      </c>
      <c r="D3748" s="3">
        <v>1</v>
      </c>
      <c r="E3748" s="3">
        <f>C3748 - D3748</f>
        <v>-1</v>
      </c>
    </row>
    <row r="3749" spans="2:5" x14ac:dyDescent="0.35">
      <c r="B3749" s="38">
        <v>40250</v>
      </c>
      <c r="C3749" s="3">
        <v>0</v>
      </c>
      <c r="D3749" s="3">
        <v>0</v>
      </c>
      <c r="E3749" s="3">
        <f>C3749 - D3749</f>
        <v>0</v>
      </c>
    </row>
    <row r="3750" spans="2:5" x14ac:dyDescent="0.35">
      <c r="B3750" s="38">
        <v>40251</v>
      </c>
      <c r="C3750" s="3">
        <v>0</v>
      </c>
      <c r="D3750" s="3">
        <v>0</v>
      </c>
      <c r="E3750" s="3">
        <f>C3750 - D3750</f>
        <v>0</v>
      </c>
    </row>
    <row r="3751" spans="2:5" x14ac:dyDescent="0.35">
      <c r="B3751" s="38">
        <v>40252</v>
      </c>
      <c r="C3751" s="3">
        <v>0</v>
      </c>
      <c r="D3751" s="3">
        <v>0</v>
      </c>
      <c r="E3751" s="3">
        <f>C3751 - D3751</f>
        <v>0</v>
      </c>
    </row>
    <row r="3752" spans="2:5" x14ac:dyDescent="0.35">
      <c r="B3752" s="38">
        <v>40253</v>
      </c>
      <c r="C3752" s="3">
        <v>0</v>
      </c>
      <c r="D3752" s="3">
        <v>0</v>
      </c>
      <c r="E3752" s="3">
        <f>C3752 - D3752</f>
        <v>0</v>
      </c>
    </row>
    <row r="3753" spans="2:5" x14ac:dyDescent="0.35">
      <c r="B3753" s="38">
        <v>40254</v>
      </c>
      <c r="C3753" s="3">
        <v>0</v>
      </c>
      <c r="D3753" s="3">
        <v>0</v>
      </c>
      <c r="E3753" s="3">
        <f>C3753 - D3753</f>
        <v>0</v>
      </c>
    </row>
    <row r="3754" spans="2:5" x14ac:dyDescent="0.35">
      <c r="B3754" s="38">
        <v>40255</v>
      </c>
      <c r="C3754" s="3">
        <v>0</v>
      </c>
      <c r="D3754" s="3">
        <v>0</v>
      </c>
      <c r="E3754" s="3">
        <f>C3754 - D3754</f>
        <v>0</v>
      </c>
    </row>
    <row r="3755" spans="2:5" x14ac:dyDescent="0.35">
      <c r="B3755" s="38">
        <v>40256</v>
      </c>
      <c r="C3755" s="3">
        <v>0</v>
      </c>
      <c r="D3755" s="3">
        <v>0</v>
      </c>
      <c r="E3755" s="3">
        <f>C3755 - D3755</f>
        <v>0</v>
      </c>
    </row>
    <row r="3756" spans="2:5" x14ac:dyDescent="0.35">
      <c r="B3756" s="38">
        <v>40257</v>
      </c>
      <c r="C3756" s="3">
        <v>1</v>
      </c>
      <c r="D3756" s="3">
        <v>0</v>
      </c>
      <c r="E3756" s="3">
        <f>C3756 - D3756</f>
        <v>1</v>
      </c>
    </row>
    <row r="3757" spans="2:5" x14ac:dyDescent="0.35">
      <c r="B3757" s="38">
        <v>40258</v>
      </c>
      <c r="C3757" s="3">
        <v>0</v>
      </c>
      <c r="D3757" s="3">
        <v>1</v>
      </c>
      <c r="E3757" s="3">
        <f>C3757 - D3757</f>
        <v>-1</v>
      </c>
    </row>
    <row r="3758" spans="2:5" x14ac:dyDescent="0.35">
      <c r="B3758" s="38">
        <v>40259</v>
      </c>
      <c r="C3758" s="3">
        <v>0</v>
      </c>
      <c r="D3758" s="3">
        <v>0</v>
      </c>
      <c r="E3758" s="3">
        <f>C3758 - D3758</f>
        <v>0</v>
      </c>
    </row>
    <row r="3759" spans="2:5" x14ac:dyDescent="0.35">
      <c r="B3759" s="38">
        <v>40260</v>
      </c>
      <c r="C3759" s="3">
        <v>0</v>
      </c>
      <c r="D3759" s="3">
        <v>0</v>
      </c>
      <c r="E3759" s="3">
        <f>C3759 - D3759</f>
        <v>0</v>
      </c>
    </row>
    <row r="3760" spans="2:5" x14ac:dyDescent="0.35">
      <c r="B3760" s="38">
        <v>40261</v>
      </c>
      <c r="C3760" s="3">
        <v>0</v>
      </c>
      <c r="D3760" s="3">
        <v>0</v>
      </c>
      <c r="E3760" s="3">
        <f>C3760 - D3760</f>
        <v>0</v>
      </c>
    </row>
    <row r="3761" spans="2:5" x14ac:dyDescent="0.35">
      <c r="B3761" s="38">
        <v>40262</v>
      </c>
      <c r="C3761" s="3">
        <v>0</v>
      </c>
      <c r="D3761" s="3">
        <v>0</v>
      </c>
      <c r="E3761" s="3">
        <f>C3761 - D3761</f>
        <v>0</v>
      </c>
    </row>
    <row r="3762" spans="2:5" x14ac:dyDescent="0.35">
      <c r="B3762" s="38">
        <v>40263</v>
      </c>
      <c r="C3762" s="3">
        <v>0</v>
      </c>
      <c r="D3762" s="3">
        <v>0</v>
      </c>
      <c r="E3762" s="3">
        <f>C3762 - D3762</f>
        <v>0</v>
      </c>
    </row>
    <row r="3763" spans="2:5" x14ac:dyDescent="0.35">
      <c r="B3763" s="38">
        <v>40264</v>
      </c>
      <c r="C3763" s="3">
        <v>0</v>
      </c>
      <c r="D3763" s="3">
        <v>0</v>
      </c>
      <c r="E3763" s="3">
        <f>C3763 - D3763</f>
        <v>0</v>
      </c>
    </row>
    <row r="3764" spans="2:5" x14ac:dyDescent="0.35">
      <c r="B3764" s="38">
        <v>40265</v>
      </c>
      <c r="C3764" s="3">
        <v>0</v>
      </c>
      <c r="D3764" s="3">
        <v>0</v>
      </c>
      <c r="E3764" s="3">
        <f>C3764 - D3764</f>
        <v>0</v>
      </c>
    </row>
    <row r="3765" spans="2:5" x14ac:dyDescent="0.35">
      <c r="B3765" s="38">
        <v>40266</v>
      </c>
      <c r="C3765" s="3">
        <v>1</v>
      </c>
      <c r="D3765" s="3">
        <v>0</v>
      </c>
      <c r="E3765" s="3">
        <f>C3765 - D3765</f>
        <v>1</v>
      </c>
    </row>
    <row r="3766" spans="2:5" x14ac:dyDescent="0.35">
      <c r="B3766" s="38">
        <v>40267</v>
      </c>
      <c r="C3766" s="3">
        <v>1</v>
      </c>
      <c r="D3766" s="3">
        <v>1</v>
      </c>
      <c r="E3766" s="3">
        <f>C3766 - D3766</f>
        <v>0</v>
      </c>
    </row>
    <row r="3767" spans="2:5" x14ac:dyDescent="0.35">
      <c r="B3767" s="38">
        <v>40268</v>
      </c>
      <c r="C3767" s="3">
        <v>0</v>
      </c>
      <c r="D3767" s="3">
        <v>1</v>
      </c>
      <c r="E3767" s="3">
        <f>C3767 - D3767</f>
        <v>-1</v>
      </c>
    </row>
    <row r="3768" spans="2:5" x14ac:dyDescent="0.35">
      <c r="B3768" s="38">
        <v>40269</v>
      </c>
      <c r="C3768" s="3">
        <v>0</v>
      </c>
      <c r="D3768" s="3">
        <v>0</v>
      </c>
      <c r="E3768" s="3">
        <f>C3768 - D3768</f>
        <v>0</v>
      </c>
    </row>
    <row r="3769" spans="2:5" x14ac:dyDescent="0.35">
      <c r="B3769" s="38">
        <v>40270</v>
      </c>
      <c r="C3769" s="3">
        <v>0</v>
      </c>
      <c r="D3769" s="3">
        <v>0</v>
      </c>
      <c r="E3769" s="3">
        <f>C3769 - D3769</f>
        <v>0</v>
      </c>
    </row>
    <row r="3770" spans="2:5" x14ac:dyDescent="0.35">
      <c r="B3770" s="38">
        <v>40271</v>
      </c>
      <c r="C3770" s="3">
        <v>0</v>
      </c>
      <c r="D3770" s="3">
        <v>0</v>
      </c>
      <c r="E3770" s="3">
        <f>C3770 - D3770</f>
        <v>0</v>
      </c>
    </row>
    <row r="3771" spans="2:5" x14ac:dyDescent="0.35">
      <c r="B3771" s="38">
        <v>40272</v>
      </c>
      <c r="C3771" s="3">
        <v>0</v>
      </c>
      <c r="D3771" s="3">
        <v>0</v>
      </c>
      <c r="E3771" s="3">
        <f>C3771 - D3771</f>
        <v>0</v>
      </c>
    </row>
    <row r="3772" spans="2:5" x14ac:dyDescent="0.35">
      <c r="B3772" s="38">
        <v>40273</v>
      </c>
      <c r="C3772" s="3">
        <v>0</v>
      </c>
      <c r="D3772" s="3">
        <v>0</v>
      </c>
      <c r="E3772" s="3">
        <f>C3772 - D3772</f>
        <v>0</v>
      </c>
    </row>
    <row r="3773" spans="2:5" x14ac:dyDescent="0.35">
      <c r="B3773" s="38">
        <v>40274</v>
      </c>
      <c r="C3773" s="3">
        <v>0</v>
      </c>
      <c r="D3773" s="3">
        <v>0</v>
      </c>
      <c r="E3773" s="3">
        <f>C3773 - D3773</f>
        <v>0</v>
      </c>
    </row>
    <row r="3774" spans="2:5" x14ac:dyDescent="0.35">
      <c r="B3774" s="38">
        <v>40275</v>
      </c>
      <c r="C3774" s="3">
        <v>1</v>
      </c>
      <c r="D3774" s="3">
        <v>0</v>
      </c>
      <c r="E3774" s="3">
        <f>C3774 - D3774</f>
        <v>1</v>
      </c>
    </row>
    <row r="3775" spans="2:5" x14ac:dyDescent="0.35">
      <c r="B3775" s="38">
        <v>40276</v>
      </c>
      <c r="C3775" s="3">
        <v>1</v>
      </c>
      <c r="D3775" s="3">
        <v>1</v>
      </c>
      <c r="E3775" s="3">
        <f>C3775 - D3775</f>
        <v>0</v>
      </c>
    </row>
    <row r="3776" spans="2:5" x14ac:dyDescent="0.35">
      <c r="B3776" s="38">
        <v>40277</v>
      </c>
      <c r="C3776" s="3">
        <v>0</v>
      </c>
      <c r="D3776" s="3">
        <v>1</v>
      </c>
      <c r="E3776" s="3">
        <f>C3776 - D3776</f>
        <v>-1</v>
      </c>
    </row>
    <row r="3777" spans="2:5" x14ac:dyDescent="0.35">
      <c r="B3777" s="38">
        <v>40278</v>
      </c>
      <c r="C3777" s="3">
        <v>1</v>
      </c>
      <c r="D3777" s="3">
        <v>0</v>
      </c>
      <c r="E3777" s="3">
        <f>C3777 - D3777</f>
        <v>1</v>
      </c>
    </row>
    <row r="3778" spans="2:5" x14ac:dyDescent="0.35">
      <c r="B3778" s="38">
        <v>40279</v>
      </c>
      <c r="C3778" s="3">
        <v>1</v>
      </c>
      <c r="D3778" s="3">
        <v>1</v>
      </c>
      <c r="E3778" s="3">
        <f>C3778 - D3778</f>
        <v>0</v>
      </c>
    </row>
    <row r="3779" spans="2:5" x14ac:dyDescent="0.35">
      <c r="B3779" s="38">
        <v>40280</v>
      </c>
      <c r="C3779" s="3">
        <v>1</v>
      </c>
      <c r="D3779" s="3">
        <v>1</v>
      </c>
      <c r="E3779" s="3">
        <f>C3779 - D3779</f>
        <v>0</v>
      </c>
    </row>
    <row r="3780" spans="2:5" x14ac:dyDescent="0.35">
      <c r="B3780" s="38">
        <v>40281</v>
      </c>
      <c r="C3780" s="3">
        <v>1</v>
      </c>
      <c r="D3780" s="3">
        <v>1</v>
      </c>
      <c r="E3780" s="3">
        <f>C3780 - D3780</f>
        <v>0</v>
      </c>
    </row>
    <row r="3781" spans="2:5" x14ac:dyDescent="0.35">
      <c r="B3781" s="38">
        <v>40282</v>
      </c>
      <c r="C3781" s="3">
        <v>0</v>
      </c>
      <c r="D3781" s="3">
        <v>1</v>
      </c>
      <c r="E3781" s="3">
        <f>C3781 - D3781</f>
        <v>-1</v>
      </c>
    </row>
    <row r="3782" spans="2:5" x14ac:dyDescent="0.35">
      <c r="B3782" s="38">
        <v>40283</v>
      </c>
      <c r="C3782" s="3">
        <v>0</v>
      </c>
      <c r="D3782" s="3">
        <v>0</v>
      </c>
      <c r="E3782" s="3">
        <f>C3782 - D3782</f>
        <v>0</v>
      </c>
    </row>
    <row r="3783" spans="2:5" x14ac:dyDescent="0.35">
      <c r="B3783" s="38">
        <v>40284</v>
      </c>
      <c r="C3783" s="3">
        <v>0</v>
      </c>
      <c r="D3783" s="3">
        <v>0</v>
      </c>
      <c r="E3783" s="3">
        <f>C3783 - D3783</f>
        <v>0</v>
      </c>
    </row>
    <row r="3784" spans="2:5" x14ac:dyDescent="0.35">
      <c r="B3784" s="38">
        <v>40285</v>
      </c>
      <c r="C3784" s="3">
        <v>0</v>
      </c>
      <c r="D3784" s="3">
        <v>0</v>
      </c>
      <c r="E3784" s="3">
        <f>C3784 - D3784</f>
        <v>0</v>
      </c>
    </row>
    <row r="3785" spans="2:5" x14ac:dyDescent="0.35">
      <c r="B3785" s="38">
        <v>40286</v>
      </c>
      <c r="C3785" s="3">
        <v>0</v>
      </c>
      <c r="D3785" s="3">
        <v>0</v>
      </c>
      <c r="E3785" s="3">
        <f>C3785 - D3785</f>
        <v>0</v>
      </c>
    </row>
    <row r="3786" spans="2:5" x14ac:dyDescent="0.35">
      <c r="B3786" s="38">
        <v>40287</v>
      </c>
      <c r="C3786" s="3">
        <v>0</v>
      </c>
      <c r="D3786" s="3">
        <v>0</v>
      </c>
      <c r="E3786" s="3">
        <f>C3786 - D3786</f>
        <v>0</v>
      </c>
    </row>
    <row r="3787" spans="2:5" x14ac:dyDescent="0.35">
      <c r="B3787" s="38">
        <v>40288</v>
      </c>
      <c r="C3787" s="3">
        <v>0</v>
      </c>
      <c r="D3787" s="3">
        <v>0</v>
      </c>
      <c r="E3787" s="3">
        <f>C3787 - D3787</f>
        <v>0</v>
      </c>
    </row>
    <row r="3788" spans="2:5" x14ac:dyDescent="0.35">
      <c r="B3788" s="38">
        <v>40289</v>
      </c>
      <c r="C3788" s="3">
        <v>1</v>
      </c>
      <c r="D3788" s="3">
        <v>0</v>
      </c>
      <c r="E3788" s="3">
        <f>C3788 - D3788</f>
        <v>1</v>
      </c>
    </row>
    <row r="3789" spans="2:5" x14ac:dyDescent="0.35">
      <c r="B3789" s="38">
        <v>40290</v>
      </c>
      <c r="C3789" s="3">
        <v>0</v>
      </c>
      <c r="D3789" s="3">
        <v>1</v>
      </c>
      <c r="E3789" s="3">
        <f>C3789 - D3789</f>
        <v>-1</v>
      </c>
    </row>
    <row r="3790" spans="2:5" x14ac:dyDescent="0.35">
      <c r="B3790" s="38">
        <v>40291</v>
      </c>
      <c r="C3790" s="3">
        <v>0</v>
      </c>
      <c r="D3790" s="3">
        <v>0</v>
      </c>
      <c r="E3790" s="3">
        <f>C3790 - D3790</f>
        <v>0</v>
      </c>
    </row>
    <row r="3791" spans="2:5" x14ac:dyDescent="0.35">
      <c r="B3791" s="38">
        <v>40292</v>
      </c>
      <c r="C3791" s="3">
        <v>1</v>
      </c>
      <c r="D3791" s="3">
        <v>0</v>
      </c>
      <c r="E3791" s="3">
        <f>C3791 - D3791</f>
        <v>1</v>
      </c>
    </row>
    <row r="3792" spans="2:5" x14ac:dyDescent="0.35">
      <c r="B3792" s="38">
        <v>40293</v>
      </c>
      <c r="C3792" s="3">
        <v>1</v>
      </c>
      <c r="D3792" s="3">
        <v>1</v>
      </c>
      <c r="E3792" s="3">
        <f>C3792 - D3792</f>
        <v>0</v>
      </c>
    </row>
    <row r="3793" spans="2:5" x14ac:dyDescent="0.35">
      <c r="B3793" s="38">
        <v>40294</v>
      </c>
      <c r="C3793" s="3">
        <v>0</v>
      </c>
      <c r="D3793" s="3">
        <v>1</v>
      </c>
      <c r="E3793" s="3">
        <f>C3793 - D3793</f>
        <v>-1</v>
      </c>
    </row>
    <row r="3794" spans="2:5" x14ac:dyDescent="0.35">
      <c r="B3794" s="38">
        <v>40295</v>
      </c>
      <c r="C3794" s="3">
        <v>0</v>
      </c>
      <c r="D3794" s="3">
        <v>0</v>
      </c>
      <c r="E3794" s="3">
        <f>C3794 - D3794</f>
        <v>0</v>
      </c>
    </row>
    <row r="3795" spans="2:5" x14ac:dyDescent="0.35">
      <c r="B3795" s="38">
        <v>40296</v>
      </c>
      <c r="C3795" s="3">
        <v>1</v>
      </c>
      <c r="D3795" s="3">
        <v>0</v>
      </c>
      <c r="E3795" s="3">
        <f>C3795 - D3795</f>
        <v>1</v>
      </c>
    </row>
    <row r="3796" spans="2:5" x14ac:dyDescent="0.35">
      <c r="B3796" s="38">
        <v>40297</v>
      </c>
      <c r="C3796" s="3">
        <v>1</v>
      </c>
      <c r="D3796" s="3">
        <v>1</v>
      </c>
      <c r="E3796" s="3">
        <f>C3796 - D3796</f>
        <v>0</v>
      </c>
    </row>
    <row r="3797" spans="2:5" x14ac:dyDescent="0.35">
      <c r="B3797" s="38">
        <v>40298</v>
      </c>
      <c r="C3797" s="3">
        <v>1</v>
      </c>
      <c r="D3797" s="3">
        <v>1</v>
      </c>
      <c r="E3797" s="3">
        <f>C3797 - D3797</f>
        <v>0</v>
      </c>
    </row>
    <row r="3798" spans="2:5" x14ac:dyDescent="0.35">
      <c r="B3798" s="38">
        <v>40299</v>
      </c>
      <c r="C3798" s="3">
        <v>0</v>
      </c>
      <c r="D3798" s="3">
        <v>1</v>
      </c>
      <c r="E3798" s="3">
        <f>C3798 - D3798</f>
        <v>-1</v>
      </c>
    </row>
    <row r="3799" spans="2:5" x14ac:dyDescent="0.35">
      <c r="B3799" s="38">
        <v>40300</v>
      </c>
      <c r="C3799" s="3">
        <v>0</v>
      </c>
      <c r="D3799" s="3">
        <v>0</v>
      </c>
      <c r="E3799" s="3">
        <f>C3799 - D3799</f>
        <v>0</v>
      </c>
    </row>
    <row r="3800" spans="2:5" x14ac:dyDescent="0.35">
      <c r="B3800" s="38">
        <v>40301</v>
      </c>
      <c r="C3800" s="3">
        <v>0</v>
      </c>
      <c r="D3800" s="3">
        <v>0</v>
      </c>
      <c r="E3800" s="3">
        <f>C3800 - D3800</f>
        <v>0</v>
      </c>
    </row>
    <row r="3801" spans="2:5" x14ac:dyDescent="0.35">
      <c r="B3801" s="38">
        <v>40302</v>
      </c>
      <c r="C3801" s="3">
        <v>0</v>
      </c>
      <c r="D3801" s="3">
        <v>0</v>
      </c>
      <c r="E3801" s="3">
        <f>C3801 - D3801</f>
        <v>0</v>
      </c>
    </row>
    <row r="3802" spans="2:5" x14ac:dyDescent="0.35">
      <c r="B3802" s="38">
        <v>40303</v>
      </c>
      <c r="C3802" s="3">
        <v>1</v>
      </c>
      <c r="D3802" s="3">
        <v>0</v>
      </c>
      <c r="E3802" s="3">
        <f>C3802 - D3802</f>
        <v>1</v>
      </c>
    </row>
    <row r="3803" spans="2:5" x14ac:dyDescent="0.35">
      <c r="B3803" s="38">
        <v>40304</v>
      </c>
      <c r="C3803" s="3">
        <v>1</v>
      </c>
      <c r="D3803" s="3">
        <v>1</v>
      </c>
      <c r="E3803" s="3">
        <f>C3803 - D3803</f>
        <v>0</v>
      </c>
    </row>
    <row r="3804" spans="2:5" x14ac:dyDescent="0.35">
      <c r="B3804" s="38">
        <v>40305</v>
      </c>
      <c r="C3804" s="3">
        <v>0</v>
      </c>
      <c r="D3804" s="3">
        <v>1</v>
      </c>
      <c r="E3804" s="3">
        <f>C3804 - D3804</f>
        <v>-1</v>
      </c>
    </row>
    <row r="3805" spans="2:5" x14ac:dyDescent="0.35">
      <c r="B3805" s="38">
        <v>40306</v>
      </c>
      <c r="C3805" s="3">
        <v>1</v>
      </c>
      <c r="D3805" s="3">
        <v>0</v>
      </c>
      <c r="E3805" s="3">
        <f>C3805 - D3805</f>
        <v>1</v>
      </c>
    </row>
    <row r="3806" spans="2:5" x14ac:dyDescent="0.35">
      <c r="B3806" s="38">
        <v>40307</v>
      </c>
      <c r="C3806" s="3">
        <v>0</v>
      </c>
      <c r="D3806" s="3">
        <v>1</v>
      </c>
      <c r="E3806" s="3">
        <f>C3806 - D3806</f>
        <v>-1</v>
      </c>
    </row>
    <row r="3807" spans="2:5" x14ac:dyDescent="0.35">
      <c r="B3807" s="38">
        <v>40308</v>
      </c>
      <c r="C3807" s="3">
        <v>0</v>
      </c>
      <c r="D3807" s="3">
        <v>0</v>
      </c>
      <c r="E3807" s="3">
        <f>C3807 - D3807</f>
        <v>0</v>
      </c>
    </row>
    <row r="3808" spans="2:5" x14ac:dyDescent="0.35">
      <c r="B3808" s="38">
        <v>40309</v>
      </c>
      <c r="C3808" s="3">
        <v>1</v>
      </c>
      <c r="D3808" s="3">
        <v>0</v>
      </c>
      <c r="E3808" s="3">
        <f>C3808 - D3808</f>
        <v>1</v>
      </c>
    </row>
    <row r="3809" spans="2:5" x14ac:dyDescent="0.35">
      <c r="B3809" s="38">
        <v>40310</v>
      </c>
      <c r="C3809" s="3">
        <v>0</v>
      </c>
      <c r="D3809" s="3">
        <v>1</v>
      </c>
      <c r="E3809" s="3">
        <f>C3809 - D3809</f>
        <v>-1</v>
      </c>
    </row>
    <row r="3810" spans="2:5" x14ac:dyDescent="0.35">
      <c r="B3810" s="38">
        <v>40311</v>
      </c>
      <c r="C3810" s="3">
        <v>1</v>
      </c>
      <c r="D3810" s="3">
        <v>0</v>
      </c>
      <c r="E3810" s="3">
        <f>C3810 - D3810</f>
        <v>1</v>
      </c>
    </row>
    <row r="3811" spans="2:5" x14ac:dyDescent="0.35">
      <c r="B3811" s="38">
        <v>40312</v>
      </c>
      <c r="C3811" s="3">
        <v>1</v>
      </c>
      <c r="D3811" s="3">
        <v>1</v>
      </c>
      <c r="E3811" s="3">
        <f>C3811 - D3811</f>
        <v>0</v>
      </c>
    </row>
    <row r="3812" spans="2:5" x14ac:dyDescent="0.35">
      <c r="B3812" s="38">
        <v>40313</v>
      </c>
      <c r="C3812" s="3">
        <v>0</v>
      </c>
      <c r="D3812" s="3">
        <v>1</v>
      </c>
      <c r="E3812" s="3">
        <f>C3812 - D3812</f>
        <v>-1</v>
      </c>
    </row>
    <row r="3813" spans="2:5" x14ac:dyDescent="0.35">
      <c r="B3813" s="38">
        <v>40314</v>
      </c>
      <c r="C3813" s="3">
        <v>0</v>
      </c>
      <c r="D3813" s="3">
        <v>0</v>
      </c>
      <c r="E3813" s="3">
        <f>C3813 - D3813</f>
        <v>0</v>
      </c>
    </row>
    <row r="3814" spans="2:5" x14ac:dyDescent="0.35">
      <c r="B3814" s="38">
        <v>40315</v>
      </c>
      <c r="C3814" s="3">
        <v>0</v>
      </c>
      <c r="D3814" s="3">
        <v>0</v>
      </c>
      <c r="E3814" s="3">
        <f>C3814 - D3814</f>
        <v>0</v>
      </c>
    </row>
    <row r="3815" spans="2:5" x14ac:dyDescent="0.35">
      <c r="B3815" s="38">
        <v>40316</v>
      </c>
      <c r="C3815" s="3">
        <v>0</v>
      </c>
      <c r="D3815" s="3">
        <v>0</v>
      </c>
      <c r="E3815" s="3">
        <f>C3815 - D3815</f>
        <v>0</v>
      </c>
    </row>
    <row r="3816" spans="2:5" x14ac:dyDescent="0.35">
      <c r="B3816" s="38">
        <v>40317</v>
      </c>
      <c r="C3816" s="3">
        <v>0</v>
      </c>
      <c r="D3816" s="3">
        <v>0</v>
      </c>
      <c r="E3816" s="3">
        <f>C3816 - D3816</f>
        <v>0</v>
      </c>
    </row>
    <row r="3817" spans="2:5" x14ac:dyDescent="0.35">
      <c r="B3817" s="38">
        <v>40318</v>
      </c>
      <c r="C3817" s="3">
        <v>0</v>
      </c>
      <c r="D3817" s="3">
        <v>0</v>
      </c>
      <c r="E3817" s="3">
        <f>C3817 - D3817</f>
        <v>0</v>
      </c>
    </row>
    <row r="3818" spans="2:5" x14ac:dyDescent="0.35">
      <c r="B3818" s="38">
        <v>40319</v>
      </c>
      <c r="C3818" s="3">
        <v>0</v>
      </c>
      <c r="D3818" s="3">
        <v>0</v>
      </c>
      <c r="E3818" s="3">
        <f>C3818 - D3818</f>
        <v>0</v>
      </c>
    </row>
    <row r="3819" spans="2:5" x14ac:dyDescent="0.35">
      <c r="B3819" s="38">
        <v>40320</v>
      </c>
      <c r="C3819" s="3">
        <v>0</v>
      </c>
      <c r="D3819" s="3">
        <v>0</v>
      </c>
      <c r="E3819" s="3">
        <f>C3819 - D3819</f>
        <v>0</v>
      </c>
    </row>
    <row r="3820" spans="2:5" x14ac:dyDescent="0.35">
      <c r="B3820" s="38">
        <v>40321</v>
      </c>
      <c r="C3820" s="3">
        <v>0</v>
      </c>
      <c r="D3820" s="3">
        <v>0</v>
      </c>
      <c r="E3820" s="3">
        <f>C3820 - D3820</f>
        <v>0</v>
      </c>
    </row>
    <row r="3821" spans="2:5" x14ac:dyDescent="0.35">
      <c r="B3821" s="38">
        <v>40322</v>
      </c>
      <c r="C3821" s="3">
        <v>0</v>
      </c>
      <c r="D3821" s="3">
        <v>0</v>
      </c>
      <c r="E3821" s="3">
        <f>C3821 - D3821</f>
        <v>0</v>
      </c>
    </row>
    <row r="3822" spans="2:5" x14ac:dyDescent="0.35">
      <c r="B3822" s="38">
        <v>40323</v>
      </c>
      <c r="C3822" s="3">
        <v>1</v>
      </c>
      <c r="D3822" s="3">
        <v>0</v>
      </c>
      <c r="E3822" s="3">
        <f>C3822 - D3822</f>
        <v>1</v>
      </c>
    </row>
    <row r="3823" spans="2:5" x14ac:dyDescent="0.35">
      <c r="B3823" s="38">
        <v>40324</v>
      </c>
      <c r="C3823" s="3">
        <v>1</v>
      </c>
      <c r="D3823" s="3">
        <v>1</v>
      </c>
      <c r="E3823" s="3">
        <f>C3823 - D3823</f>
        <v>0</v>
      </c>
    </row>
    <row r="3824" spans="2:5" x14ac:dyDescent="0.35">
      <c r="B3824" s="38">
        <v>40325</v>
      </c>
      <c r="C3824" s="3">
        <v>0</v>
      </c>
      <c r="D3824" s="3">
        <v>1</v>
      </c>
      <c r="E3824" s="3">
        <f>C3824 - D3824</f>
        <v>-1</v>
      </c>
    </row>
    <row r="3825" spans="2:5" x14ac:dyDescent="0.35">
      <c r="B3825" s="38">
        <v>40326</v>
      </c>
      <c r="C3825" s="3">
        <v>1</v>
      </c>
      <c r="D3825" s="3">
        <v>0</v>
      </c>
      <c r="E3825" s="3">
        <f>C3825 - D3825</f>
        <v>1</v>
      </c>
    </row>
    <row r="3826" spans="2:5" x14ac:dyDescent="0.35">
      <c r="B3826" s="38">
        <v>40327</v>
      </c>
      <c r="C3826" s="3">
        <v>1</v>
      </c>
      <c r="D3826" s="3">
        <v>1</v>
      </c>
      <c r="E3826" s="3">
        <f>C3826 - D3826</f>
        <v>0</v>
      </c>
    </row>
    <row r="3827" spans="2:5" x14ac:dyDescent="0.35">
      <c r="B3827" s="38">
        <v>40328</v>
      </c>
      <c r="C3827" s="3">
        <v>1</v>
      </c>
      <c r="D3827" s="3">
        <v>1</v>
      </c>
      <c r="E3827" s="3">
        <f>C3827 - D3827</f>
        <v>0</v>
      </c>
    </row>
    <row r="3828" spans="2:5" x14ac:dyDescent="0.35">
      <c r="B3828" s="38">
        <v>40329</v>
      </c>
      <c r="C3828" s="3">
        <v>0</v>
      </c>
      <c r="D3828" s="3">
        <v>1</v>
      </c>
      <c r="E3828" s="3">
        <f>C3828 - D3828</f>
        <v>-1</v>
      </c>
    </row>
    <row r="3829" spans="2:5" x14ac:dyDescent="0.35">
      <c r="B3829" s="38">
        <v>40330</v>
      </c>
      <c r="C3829" s="3">
        <v>0</v>
      </c>
      <c r="D3829" s="3">
        <v>0</v>
      </c>
      <c r="E3829" s="3">
        <f>C3829 - D3829</f>
        <v>0</v>
      </c>
    </row>
    <row r="3830" spans="2:5" x14ac:dyDescent="0.35">
      <c r="B3830" s="38">
        <v>40331</v>
      </c>
      <c r="C3830" s="3">
        <v>0</v>
      </c>
      <c r="D3830" s="3">
        <v>0</v>
      </c>
      <c r="E3830" s="3">
        <f>C3830 - D3830</f>
        <v>0</v>
      </c>
    </row>
    <row r="3831" spans="2:5" x14ac:dyDescent="0.35">
      <c r="B3831" s="38">
        <v>40332</v>
      </c>
      <c r="C3831" s="3">
        <v>0</v>
      </c>
      <c r="D3831" s="3">
        <v>0</v>
      </c>
      <c r="E3831" s="3">
        <f>C3831 - D3831</f>
        <v>0</v>
      </c>
    </row>
    <row r="3832" spans="2:5" x14ac:dyDescent="0.35">
      <c r="B3832" s="38">
        <v>40333</v>
      </c>
      <c r="C3832" s="3">
        <v>0</v>
      </c>
      <c r="D3832" s="3">
        <v>0</v>
      </c>
      <c r="E3832" s="3">
        <f>C3832 - D3832</f>
        <v>0</v>
      </c>
    </row>
    <row r="3833" spans="2:5" x14ac:dyDescent="0.35">
      <c r="B3833" s="38">
        <v>40334</v>
      </c>
      <c r="C3833" s="3">
        <v>0</v>
      </c>
      <c r="D3833" s="3">
        <v>0</v>
      </c>
      <c r="E3833" s="3">
        <f>C3833 - D3833</f>
        <v>0</v>
      </c>
    </row>
    <row r="3834" spans="2:5" x14ac:dyDescent="0.35">
      <c r="B3834" s="38">
        <v>40335</v>
      </c>
      <c r="C3834" s="3">
        <v>1</v>
      </c>
      <c r="D3834" s="3">
        <v>0</v>
      </c>
      <c r="E3834" s="3">
        <f>C3834 - D3834</f>
        <v>1</v>
      </c>
    </row>
    <row r="3835" spans="2:5" x14ac:dyDescent="0.35">
      <c r="B3835" s="38">
        <v>40336</v>
      </c>
      <c r="C3835" s="3">
        <v>1</v>
      </c>
      <c r="D3835" s="3">
        <v>1</v>
      </c>
      <c r="E3835" s="3">
        <f>C3835 - D3835</f>
        <v>0</v>
      </c>
    </row>
    <row r="3836" spans="2:5" x14ac:dyDescent="0.35">
      <c r="B3836" s="38">
        <v>40337</v>
      </c>
      <c r="C3836" s="3">
        <v>0</v>
      </c>
      <c r="D3836" s="3">
        <v>1</v>
      </c>
      <c r="E3836" s="3">
        <f>C3836 - D3836</f>
        <v>-1</v>
      </c>
    </row>
    <row r="3837" spans="2:5" x14ac:dyDescent="0.35">
      <c r="B3837" s="38">
        <v>40338</v>
      </c>
      <c r="C3837" s="3">
        <v>1</v>
      </c>
      <c r="D3837" s="3">
        <v>0</v>
      </c>
      <c r="E3837" s="3">
        <f>C3837 - D3837</f>
        <v>1</v>
      </c>
    </row>
    <row r="3838" spans="2:5" x14ac:dyDescent="0.35">
      <c r="B3838" s="38">
        <v>40339</v>
      </c>
      <c r="C3838" s="3">
        <v>1</v>
      </c>
      <c r="D3838" s="3">
        <v>1</v>
      </c>
      <c r="E3838" s="3">
        <f>C3838 - D3838</f>
        <v>0</v>
      </c>
    </row>
    <row r="3839" spans="2:5" x14ac:dyDescent="0.35">
      <c r="B3839" s="38">
        <v>40340</v>
      </c>
      <c r="C3839" s="3">
        <v>1</v>
      </c>
      <c r="D3839" s="3">
        <v>1</v>
      </c>
      <c r="E3839" s="3">
        <f>C3839 - D3839</f>
        <v>0</v>
      </c>
    </row>
    <row r="3840" spans="2:5" x14ac:dyDescent="0.35">
      <c r="B3840" s="38">
        <v>40341</v>
      </c>
      <c r="C3840" s="3">
        <v>1</v>
      </c>
      <c r="D3840" s="3">
        <v>1</v>
      </c>
      <c r="E3840" s="3">
        <f>C3840 - D3840</f>
        <v>0</v>
      </c>
    </row>
    <row r="3841" spans="2:5" x14ac:dyDescent="0.35">
      <c r="B3841" s="38">
        <v>40342</v>
      </c>
      <c r="C3841" s="3">
        <v>1</v>
      </c>
      <c r="D3841" s="3">
        <v>1</v>
      </c>
      <c r="E3841" s="3">
        <f>C3841 - D3841</f>
        <v>0</v>
      </c>
    </row>
    <row r="3842" spans="2:5" x14ac:dyDescent="0.35">
      <c r="B3842" s="38">
        <v>40343</v>
      </c>
      <c r="C3842" s="3">
        <v>0</v>
      </c>
      <c r="D3842" s="3">
        <v>1</v>
      </c>
      <c r="E3842" s="3">
        <f>C3842 - D3842</f>
        <v>-1</v>
      </c>
    </row>
    <row r="3843" spans="2:5" x14ac:dyDescent="0.35">
      <c r="B3843" s="38">
        <v>40344</v>
      </c>
      <c r="C3843" s="3">
        <v>0</v>
      </c>
      <c r="D3843" s="3">
        <v>0</v>
      </c>
      <c r="E3843" s="3">
        <f>C3843 - D3843</f>
        <v>0</v>
      </c>
    </row>
    <row r="3844" spans="2:5" x14ac:dyDescent="0.35">
      <c r="B3844" s="38">
        <v>40345</v>
      </c>
      <c r="C3844" s="3">
        <v>0</v>
      </c>
      <c r="D3844" s="3">
        <v>0</v>
      </c>
      <c r="E3844" s="3">
        <f>C3844 - D3844</f>
        <v>0</v>
      </c>
    </row>
    <row r="3845" spans="2:5" x14ac:dyDescent="0.35">
      <c r="B3845" s="38">
        <v>40346</v>
      </c>
      <c r="C3845" s="3">
        <v>0</v>
      </c>
      <c r="D3845" s="3">
        <v>0</v>
      </c>
      <c r="E3845" s="3">
        <f>C3845 - D3845</f>
        <v>0</v>
      </c>
    </row>
    <row r="3846" spans="2:5" x14ac:dyDescent="0.35">
      <c r="B3846" s="38">
        <v>40347</v>
      </c>
      <c r="C3846" s="3">
        <v>1</v>
      </c>
      <c r="D3846" s="3">
        <v>0</v>
      </c>
      <c r="E3846" s="3">
        <f>C3846 - D3846</f>
        <v>1</v>
      </c>
    </row>
    <row r="3847" spans="2:5" x14ac:dyDescent="0.35">
      <c r="B3847" s="38">
        <v>40348</v>
      </c>
      <c r="C3847" s="3">
        <v>1</v>
      </c>
      <c r="D3847" s="3">
        <v>1</v>
      </c>
      <c r="E3847" s="3">
        <f>C3847 - D3847</f>
        <v>0</v>
      </c>
    </row>
    <row r="3848" spans="2:5" x14ac:dyDescent="0.35">
      <c r="B3848" s="38">
        <v>40349</v>
      </c>
      <c r="C3848" s="3">
        <v>1</v>
      </c>
      <c r="D3848" s="3">
        <v>1</v>
      </c>
      <c r="E3848" s="3">
        <f>C3848 - D3848</f>
        <v>0</v>
      </c>
    </row>
    <row r="3849" spans="2:5" x14ac:dyDescent="0.35">
      <c r="B3849" s="38">
        <v>40350</v>
      </c>
      <c r="C3849" s="3">
        <v>1</v>
      </c>
      <c r="D3849" s="3">
        <v>1</v>
      </c>
      <c r="E3849" s="3">
        <f>C3849 - D3849</f>
        <v>0</v>
      </c>
    </row>
    <row r="3850" spans="2:5" x14ac:dyDescent="0.35">
      <c r="B3850" s="38">
        <v>40351</v>
      </c>
      <c r="C3850" s="3">
        <v>0</v>
      </c>
      <c r="D3850" s="3">
        <v>1</v>
      </c>
      <c r="E3850" s="3">
        <f>C3850 - D3850</f>
        <v>-1</v>
      </c>
    </row>
    <row r="3851" spans="2:5" x14ac:dyDescent="0.35">
      <c r="B3851" s="38">
        <v>40352</v>
      </c>
      <c r="C3851" s="3">
        <v>0</v>
      </c>
      <c r="D3851" s="3">
        <v>0</v>
      </c>
      <c r="E3851" s="3">
        <f>C3851 - D3851</f>
        <v>0</v>
      </c>
    </row>
    <row r="3852" spans="2:5" x14ac:dyDescent="0.35">
      <c r="B3852" s="38">
        <v>40353</v>
      </c>
      <c r="C3852" s="3">
        <v>0</v>
      </c>
      <c r="D3852" s="3">
        <v>0</v>
      </c>
      <c r="E3852" s="3">
        <f>C3852 - D3852</f>
        <v>0</v>
      </c>
    </row>
    <row r="3853" spans="2:5" x14ac:dyDescent="0.35">
      <c r="B3853" s="38">
        <v>40354</v>
      </c>
      <c r="C3853" s="3">
        <v>1</v>
      </c>
      <c r="D3853" s="3">
        <v>0</v>
      </c>
      <c r="E3853" s="3">
        <f>C3853 - D3853</f>
        <v>1</v>
      </c>
    </row>
    <row r="3854" spans="2:5" x14ac:dyDescent="0.35">
      <c r="B3854" s="38">
        <v>40355</v>
      </c>
      <c r="C3854" s="3">
        <v>1</v>
      </c>
      <c r="D3854" s="3">
        <v>1</v>
      </c>
      <c r="E3854" s="3">
        <f>C3854 - D3854</f>
        <v>0</v>
      </c>
    </row>
    <row r="3855" spans="2:5" x14ac:dyDescent="0.35">
      <c r="B3855" s="38">
        <v>40356</v>
      </c>
      <c r="C3855" s="3">
        <v>1</v>
      </c>
      <c r="D3855" s="3">
        <v>1</v>
      </c>
      <c r="E3855" s="3">
        <f>C3855 - D3855</f>
        <v>0</v>
      </c>
    </row>
    <row r="3856" spans="2:5" x14ac:dyDescent="0.35">
      <c r="B3856" s="38">
        <v>40357</v>
      </c>
      <c r="C3856" s="3">
        <v>0</v>
      </c>
      <c r="D3856" s="3">
        <v>1</v>
      </c>
      <c r="E3856" s="3">
        <f>C3856 - D3856</f>
        <v>-1</v>
      </c>
    </row>
    <row r="3857" spans="2:5" x14ac:dyDescent="0.35">
      <c r="B3857" s="38">
        <v>40358</v>
      </c>
      <c r="C3857" s="3">
        <v>0</v>
      </c>
      <c r="D3857" s="3">
        <v>0</v>
      </c>
      <c r="E3857" s="3">
        <f>C3857 - D3857</f>
        <v>0</v>
      </c>
    </row>
    <row r="3858" spans="2:5" x14ac:dyDescent="0.35">
      <c r="B3858" s="38">
        <v>40359</v>
      </c>
      <c r="C3858" s="3">
        <v>1</v>
      </c>
      <c r="D3858" s="3">
        <v>0</v>
      </c>
      <c r="E3858" s="3">
        <f>C3858 - D3858</f>
        <v>1</v>
      </c>
    </row>
    <row r="3859" spans="2:5" x14ac:dyDescent="0.35">
      <c r="B3859" s="38">
        <v>40360</v>
      </c>
      <c r="C3859" s="3">
        <v>0</v>
      </c>
      <c r="D3859" s="3">
        <v>1</v>
      </c>
      <c r="E3859" s="3">
        <f>C3859 - D3859</f>
        <v>-1</v>
      </c>
    </row>
    <row r="3860" spans="2:5" x14ac:dyDescent="0.35">
      <c r="B3860" s="38">
        <v>40361</v>
      </c>
      <c r="C3860" s="3">
        <v>0</v>
      </c>
      <c r="D3860" s="3">
        <v>0</v>
      </c>
      <c r="E3860" s="3">
        <f>C3860 - D3860</f>
        <v>0</v>
      </c>
    </row>
    <row r="3861" spans="2:5" x14ac:dyDescent="0.35">
      <c r="B3861" s="38">
        <v>40362</v>
      </c>
      <c r="C3861" s="3">
        <v>1</v>
      </c>
      <c r="D3861" s="3">
        <v>0</v>
      </c>
      <c r="E3861" s="3">
        <f>C3861 - D3861</f>
        <v>1</v>
      </c>
    </row>
    <row r="3862" spans="2:5" x14ac:dyDescent="0.35">
      <c r="B3862" s="38">
        <v>40363</v>
      </c>
      <c r="C3862" s="3">
        <v>0</v>
      </c>
      <c r="D3862" s="3">
        <v>1</v>
      </c>
      <c r="E3862" s="3">
        <f>C3862 - D3862</f>
        <v>-1</v>
      </c>
    </row>
    <row r="3863" spans="2:5" x14ac:dyDescent="0.35">
      <c r="B3863" s="38">
        <v>40364</v>
      </c>
      <c r="C3863" s="3">
        <v>0</v>
      </c>
      <c r="D3863" s="3">
        <v>0</v>
      </c>
      <c r="E3863" s="3">
        <f>C3863 - D3863</f>
        <v>0</v>
      </c>
    </row>
    <row r="3864" spans="2:5" x14ac:dyDescent="0.35">
      <c r="B3864" s="38">
        <v>40365</v>
      </c>
      <c r="C3864" s="3">
        <v>0</v>
      </c>
      <c r="D3864" s="3">
        <v>0</v>
      </c>
      <c r="E3864" s="3">
        <f>C3864 - D3864</f>
        <v>0</v>
      </c>
    </row>
    <row r="3865" spans="2:5" x14ac:dyDescent="0.35">
      <c r="B3865" s="38">
        <v>40366</v>
      </c>
      <c r="C3865" s="3">
        <v>0</v>
      </c>
      <c r="D3865" s="3">
        <v>0</v>
      </c>
      <c r="E3865" s="3">
        <f>C3865 - D3865</f>
        <v>0</v>
      </c>
    </row>
    <row r="3866" spans="2:5" x14ac:dyDescent="0.35">
      <c r="B3866" s="38">
        <v>40367</v>
      </c>
      <c r="C3866" s="3">
        <v>0</v>
      </c>
      <c r="D3866" s="3">
        <v>0</v>
      </c>
      <c r="E3866" s="3">
        <f>C3866 - D3866</f>
        <v>0</v>
      </c>
    </row>
    <row r="3867" spans="2:5" x14ac:dyDescent="0.35">
      <c r="B3867" s="38">
        <v>40368</v>
      </c>
      <c r="C3867" s="3">
        <v>0</v>
      </c>
      <c r="D3867" s="3">
        <v>0</v>
      </c>
      <c r="E3867" s="3">
        <f>C3867 - D3867</f>
        <v>0</v>
      </c>
    </row>
    <row r="3868" spans="2:5" x14ac:dyDescent="0.35">
      <c r="B3868" s="38">
        <v>40369</v>
      </c>
      <c r="C3868" s="3">
        <v>0</v>
      </c>
      <c r="D3868" s="3">
        <v>0</v>
      </c>
      <c r="E3868" s="3">
        <f>C3868 - D3868</f>
        <v>0</v>
      </c>
    </row>
    <row r="3869" spans="2:5" x14ac:dyDescent="0.35">
      <c r="B3869" s="38">
        <v>40370</v>
      </c>
      <c r="C3869" s="3">
        <v>0</v>
      </c>
      <c r="D3869" s="3">
        <v>0</v>
      </c>
      <c r="E3869" s="3">
        <f>C3869 - D3869</f>
        <v>0</v>
      </c>
    </row>
    <row r="3870" spans="2:5" x14ac:dyDescent="0.35">
      <c r="B3870" s="38">
        <v>40371</v>
      </c>
      <c r="C3870" s="3">
        <v>0</v>
      </c>
      <c r="D3870" s="3">
        <v>0</v>
      </c>
      <c r="E3870" s="3">
        <f>C3870 - D3870</f>
        <v>0</v>
      </c>
    </row>
    <row r="3871" spans="2:5" x14ac:dyDescent="0.35">
      <c r="B3871" s="38">
        <v>40372</v>
      </c>
      <c r="C3871" s="3">
        <v>0</v>
      </c>
      <c r="D3871" s="3">
        <v>0</v>
      </c>
      <c r="E3871" s="3">
        <f>C3871 - D3871</f>
        <v>0</v>
      </c>
    </row>
    <row r="3872" spans="2:5" x14ac:dyDescent="0.35">
      <c r="B3872" s="38">
        <v>40373</v>
      </c>
      <c r="C3872" s="3">
        <v>1</v>
      </c>
      <c r="D3872" s="3">
        <v>0</v>
      </c>
      <c r="E3872" s="3">
        <f>C3872 - D3872</f>
        <v>1</v>
      </c>
    </row>
    <row r="3873" spans="2:5" x14ac:dyDescent="0.35">
      <c r="B3873" s="38">
        <v>40374</v>
      </c>
      <c r="C3873" s="3">
        <v>1</v>
      </c>
      <c r="D3873" s="3">
        <v>1</v>
      </c>
      <c r="E3873" s="3">
        <f>C3873 - D3873</f>
        <v>0</v>
      </c>
    </row>
    <row r="3874" spans="2:5" x14ac:dyDescent="0.35">
      <c r="B3874" s="38">
        <v>40375</v>
      </c>
      <c r="C3874" s="3">
        <v>0</v>
      </c>
      <c r="D3874" s="3">
        <v>1</v>
      </c>
      <c r="E3874" s="3">
        <f>C3874 - D3874</f>
        <v>-1</v>
      </c>
    </row>
    <row r="3875" spans="2:5" x14ac:dyDescent="0.35">
      <c r="B3875" s="38">
        <v>40376</v>
      </c>
      <c r="C3875" s="3">
        <v>0</v>
      </c>
      <c r="D3875" s="3">
        <v>0</v>
      </c>
      <c r="E3875" s="3">
        <f>C3875 - D3875</f>
        <v>0</v>
      </c>
    </row>
    <row r="3876" spans="2:5" x14ac:dyDescent="0.35">
      <c r="B3876" s="38">
        <v>40377</v>
      </c>
      <c r="C3876" s="3">
        <v>0</v>
      </c>
      <c r="D3876" s="3">
        <v>0</v>
      </c>
      <c r="E3876" s="3">
        <f>C3876 - D3876</f>
        <v>0</v>
      </c>
    </row>
    <row r="3877" spans="2:5" x14ac:dyDescent="0.35">
      <c r="B3877" s="38">
        <v>40378</v>
      </c>
      <c r="C3877" s="3">
        <v>1</v>
      </c>
      <c r="D3877" s="3">
        <v>0</v>
      </c>
      <c r="E3877" s="3">
        <f>C3877 - D3877</f>
        <v>1</v>
      </c>
    </row>
    <row r="3878" spans="2:5" x14ac:dyDescent="0.35">
      <c r="B3878" s="38">
        <v>40379</v>
      </c>
      <c r="C3878" s="3">
        <v>0</v>
      </c>
      <c r="D3878" s="3">
        <v>1</v>
      </c>
      <c r="E3878" s="3">
        <f>C3878 - D3878</f>
        <v>-1</v>
      </c>
    </row>
    <row r="3879" spans="2:5" x14ac:dyDescent="0.35">
      <c r="B3879" s="38">
        <v>40380</v>
      </c>
      <c r="C3879" s="3">
        <v>1</v>
      </c>
      <c r="D3879" s="3">
        <v>0</v>
      </c>
      <c r="E3879" s="3">
        <f>C3879 - D3879</f>
        <v>1</v>
      </c>
    </row>
    <row r="3880" spans="2:5" x14ac:dyDescent="0.35">
      <c r="B3880" s="38">
        <v>40381</v>
      </c>
      <c r="C3880" s="3">
        <v>0</v>
      </c>
      <c r="D3880" s="3">
        <v>1</v>
      </c>
      <c r="E3880" s="3">
        <f>C3880 - D3880</f>
        <v>-1</v>
      </c>
    </row>
    <row r="3881" spans="2:5" x14ac:dyDescent="0.35">
      <c r="B3881" s="38">
        <v>40382</v>
      </c>
      <c r="C3881" s="3">
        <v>1</v>
      </c>
      <c r="D3881" s="3">
        <v>0</v>
      </c>
      <c r="E3881" s="3">
        <f>C3881 - D3881</f>
        <v>1</v>
      </c>
    </row>
    <row r="3882" spans="2:5" x14ac:dyDescent="0.35">
      <c r="B3882" s="38">
        <v>40383</v>
      </c>
      <c r="C3882" s="3">
        <v>0</v>
      </c>
      <c r="D3882" s="3">
        <v>1</v>
      </c>
      <c r="E3882" s="3">
        <f>C3882 - D3882</f>
        <v>-1</v>
      </c>
    </row>
    <row r="3883" spans="2:5" x14ac:dyDescent="0.35">
      <c r="B3883" s="38">
        <v>40384</v>
      </c>
      <c r="C3883" s="3">
        <v>0</v>
      </c>
      <c r="D3883" s="3">
        <v>0</v>
      </c>
      <c r="E3883" s="3">
        <f>C3883 - D3883</f>
        <v>0</v>
      </c>
    </row>
    <row r="3884" spans="2:5" x14ac:dyDescent="0.35">
      <c r="B3884" s="38">
        <v>40385</v>
      </c>
      <c r="C3884" s="3">
        <v>0</v>
      </c>
      <c r="D3884" s="3">
        <v>0</v>
      </c>
      <c r="E3884" s="3">
        <f>C3884 - D3884</f>
        <v>0</v>
      </c>
    </row>
    <row r="3885" spans="2:5" x14ac:dyDescent="0.35">
      <c r="B3885" s="38">
        <v>40386</v>
      </c>
      <c r="C3885" s="3">
        <v>0</v>
      </c>
      <c r="D3885" s="3">
        <v>0</v>
      </c>
      <c r="E3885" s="3">
        <f>C3885 - D3885</f>
        <v>0</v>
      </c>
    </row>
    <row r="3886" spans="2:5" x14ac:dyDescent="0.35">
      <c r="B3886" s="38">
        <v>40387</v>
      </c>
      <c r="C3886" s="3">
        <v>0</v>
      </c>
      <c r="D3886" s="3">
        <v>0</v>
      </c>
      <c r="E3886" s="3">
        <f>C3886 - D3886</f>
        <v>0</v>
      </c>
    </row>
    <row r="3887" spans="2:5" x14ac:dyDescent="0.35">
      <c r="B3887" s="38">
        <v>40388</v>
      </c>
      <c r="C3887" s="3">
        <v>1</v>
      </c>
      <c r="D3887" s="3">
        <v>0</v>
      </c>
      <c r="E3887" s="3">
        <f>C3887 - D3887</f>
        <v>1</v>
      </c>
    </row>
    <row r="3888" spans="2:5" x14ac:dyDescent="0.35">
      <c r="B3888" s="38">
        <v>40389</v>
      </c>
      <c r="C3888" s="3">
        <v>0</v>
      </c>
      <c r="D3888" s="3">
        <v>1</v>
      </c>
      <c r="E3888" s="3">
        <f>C3888 - D3888</f>
        <v>-1</v>
      </c>
    </row>
    <row r="3889" spans="2:5" x14ac:dyDescent="0.35">
      <c r="B3889" s="38">
        <v>40390</v>
      </c>
      <c r="C3889" s="3">
        <v>0</v>
      </c>
      <c r="D3889" s="3">
        <v>0</v>
      </c>
      <c r="E3889" s="3">
        <f>C3889 - D3889</f>
        <v>0</v>
      </c>
    </row>
    <row r="3890" spans="2:5" x14ac:dyDescent="0.35">
      <c r="B3890" s="38">
        <v>40391</v>
      </c>
      <c r="C3890" s="3">
        <v>1</v>
      </c>
      <c r="D3890" s="3">
        <v>0</v>
      </c>
      <c r="E3890" s="3">
        <f>C3890 - D3890</f>
        <v>1</v>
      </c>
    </row>
    <row r="3891" spans="2:5" x14ac:dyDescent="0.35">
      <c r="B3891" s="38">
        <v>40392</v>
      </c>
      <c r="C3891" s="3">
        <v>1</v>
      </c>
      <c r="D3891" s="3">
        <v>1</v>
      </c>
      <c r="E3891" s="3">
        <f>C3891 - D3891</f>
        <v>0</v>
      </c>
    </row>
    <row r="3892" spans="2:5" x14ac:dyDescent="0.35">
      <c r="B3892" s="38">
        <v>40393</v>
      </c>
      <c r="C3892" s="3">
        <v>1</v>
      </c>
      <c r="D3892" s="3">
        <v>1</v>
      </c>
      <c r="E3892" s="3">
        <f>C3892 - D3892</f>
        <v>0</v>
      </c>
    </row>
    <row r="3893" spans="2:5" x14ac:dyDescent="0.35">
      <c r="B3893" s="38">
        <v>40394</v>
      </c>
      <c r="C3893" s="3">
        <v>0</v>
      </c>
      <c r="D3893" s="3">
        <v>1</v>
      </c>
      <c r="E3893" s="3">
        <f>C3893 - D3893</f>
        <v>-1</v>
      </c>
    </row>
    <row r="3894" spans="2:5" x14ac:dyDescent="0.35">
      <c r="B3894" s="38">
        <v>40395</v>
      </c>
      <c r="C3894" s="3">
        <v>1</v>
      </c>
      <c r="D3894" s="3">
        <v>0</v>
      </c>
      <c r="E3894" s="3">
        <f>C3894 - D3894</f>
        <v>1</v>
      </c>
    </row>
    <row r="3895" spans="2:5" x14ac:dyDescent="0.35">
      <c r="B3895" s="38">
        <v>40396</v>
      </c>
      <c r="C3895" s="3">
        <v>1</v>
      </c>
      <c r="D3895" s="3">
        <v>1</v>
      </c>
      <c r="E3895" s="3">
        <f>C3895 - D3895</f>
        <v>0</v>
      </c>
    </row>
    <row r="3896" spans="2:5" x14ac:dyDescent="0.35">
      <c r="B3896" s="38">
        <v>40397</v>
      </c>
      <c r="C3896" s="3">
        <v>0</v>
      </c>
      <c r="D3896" s="3">
        <v>1</v>
      </c>
      <c r="E3896" s="3">
        <f>C3896 - D3896</f>
        <v>-1</v>
      </c>
    </row>
    <row r="3897" spans="2:5" x14ac:dyDescent="0.35">
      <c r="B3897" s="38">
        <v>40398</v>
      </c>
      <c r="C3897" s="3">
        <v>0</v>
      </c>
      <c r="D3897" s="3">
        <v>0</v>
      </c>
      <c r="E3897" s="3">
        <f>C3897 - D3897</f>
        <v>0</v>
      </c>
    </row>
    <row r="3898" spans="2:5" x14ac:dyDescent="0.35">
      <c r="B3898" s="38">
        <v>40399</v>
      </c>
      <c r="C3898" s="3">
        <v>0</v>
      </c>
      <c r="D3898" s="3">
        <v>0</v>
      </c>
      <c r="E3898" s="3">
        <f>C3898 - D3898</f>
        <v>0</v>
      </c>
    </row>
    <row r="3899" spans="2:5" x14ac:dyDescent="0.35">
      <c r="B3899" s="38">
        <v>40400</v>
      </c>
      <c r="C3899" s="3">
        <v>1</v>
      </c>
      <c r="D3899" s="3">
        <v>0</v>
      </c>
      <c r="E3899" s="3">
        <f>C3899 - D3899</f>
        <v>1</v>
      </c>
    </row>
    <row r="3900" spans="2:5" x14ac:dyDescent="0.35">
      <c r="B3900" s="38">
        <v>40401</v>
      </c>
      <c r="C3900" s="3">
        <v>1</v>
      </c>
      <c r="D3900" s="3">
        <v>1</v>
      </c>
      <c r="E3900" s="3">
        <f>C3900 - D3900</f>
        <v>0</v>
      </c>
    </row>
    <row r="3901" spans="2:5" x14ac:dyDescent="0.35">
      <c r="B3901" s="38">
        <v>40402</v>
      </c>
      <c r="C3901" s="3">
        <v>1</v>
      </c>
      <c r="D3901" s="3">
        <v>1</v>
      </c>
      <c r="E3901" s="3">
        <f>C3901 - D3901</f>
        <v>0</v>
      </c>
    </row>
    <row r="3902" spans="2:5" x14ac:dyDescent="0.35">
      <c r="B3902" s="38">
        <v>40403</v>
      </c>
      <c r="C3902" s="3">
        <v>1</v>
      </c>
      <c r="D3902" s="3">
        <v>1</v>
      </c>
      <c r="E3902" s="3">
        <f>C3902 - D3902</f>
        <v>0</v>
      </c>
    </row>
    <row r="3903" spans="2:5" x14ac:dyDescent="0.35">
      <c r="B3903" s="38">
        <v>40404</v>
      </c>
      <c r="C3903" s="3">
        <v>0</v>
      </c>
      <c r="D3903" s="3">
        <v>1</v>
      </c>
      <c r="E3903" s="3">
        <f>C3903 - D3903</f>
        <v>-1</v>
      </c>
    </row>
    <row r="3904" spans="2:5" x14ac:dyDescent="0.35">
      <c r="B3904" s="38">
        <v>40405</v>
      </c>
      <c r="C3904" s="3">
        <v>0</v>
      </c>
      <c r="D3904" s="3">
        <v>0</v>
      </c>
      <c r="E3904" s="3">
        <f>C3904 - D3904</f>
        <v>0</v>
      </c>
    </row>
    <row r="3905" spans="2:5" x14ac:dyDescent="0.35">
      <c r="B3905" s="38">
        <v>40406</v>
      </c>
      <c r="C3905" s="3">
        <v>1</v>
      </c>
      <c r="D3905" s="3">
        <v>0</v>
      </c>
      <c r="E3905" s="3">
        <f>C3905 - D3905</f>
        <v>1</v>
      </c>
    </row>
    <row r="3906" spans="2:5" x14ac:dyDescent="0.35">
      <c r="B3906" s="38">
        <v>40407</v>
      </c>
      <c r="C3906" s="3">
        <v>1</v>
      </c>
      <c r="D3906" s="3">
        <v>1</v>
      </c>
      <c r="E3906" s="3">
        <f>C3906 - D3906</f>
        <v>0</v>
      </c>
    </row>
    <row r="3907" spans="2:5" x14ac:dyDescent="0.35">
      <c r="B3907" s="38">
        <v>40408</v>
      </c>
      <c r="C3907" s="3">
        <v>0</v>
      </c>
      <c r="D3907" s="3">
        <v>1</v>
      </c>
      <c r="E3907" s="3">
        <f>C3907 - D3907</f>
        <v>-1</v>
      </c>
    </row>
    <row r="3908" spans="2:5" x14ac:dyDescent="0.35">
      <c r="B3908" s="38">
        <v>40409</v>
      </c>
      <c r="C3908" s="3">
        <v>0</v>
      </c>
      <c r="D3908" s="3">
        <v>0</v>
      </c>
      <c r="E3908" s="3">
        <f>C3908 - D3908</f>
        <v>0</v>
      </c>
    </row>
    <row r="3909" spans="2:5" x14ac:dyDescent="0.35">
      <c r="B3909" s="38">
        <v>40410</v>
      </c>
      <c r="C3909" s="3">
        <v>1</v>
      </c>
      <c r="D3909" s="3">
        <v>0</v>
      </c>
      <c r="E3909" s="3">
        <f>C3909 - D3909</f>
        <v>1</v>
      </c>
    </row>
    <row r="3910" spans="2:5" x14ac:dyDescent="0.35">
      <c r="B3910" s="38">
        <v>40411</v>
      </c>
      <c r="C3910" s="3">
        <v>1</v>
      </c>
      <c r="D3910" s="3">
        <v>1</v>
      </c>
      <c r="E3910" s="3">
        <f>C3910 - D3910</f>
        <v>0</v>
      </c>
    </row>
    <row r="3911" spans="2:5" x14ac:dyDescent="0.35">
      <c r="B3911" s="38">
        <v>40412</v>
      </c>
      <c r="C3911" s="3">
        <v>1</v>
      </c>
      <c r="D3911" s="3">
        <v>1</v>
      </c>
      <c r="E3911" s="3">
        <f>C3911 - D3911</f>
        <v>0</v>
      </c>
    </row>
    <row r="3912" spans="2:5" x14ac:dyDescent="0.35">
      <c r="B3912" s="38">
        <v>40413</v>
      </c>
      <c r="C3912" s="3">
        <v>0</v>
      </c>
      <c r="D3912" s="3">
        <v>1</v>
      </c>
      <c r="E3912" s="3">
        <f>C3912 - D3912</f>
        <v>-1</v>
      </c>
    </row>
    <row r="3913" spans="2:5" x14ac:dyDescent="0.35">
      <c r="B3913" s="38">
        <v>40414</v>
      </c>
      <c r="C3913" s="3">
        <v>1</v>
      </c>
      <c r="D3913" s="3">
        <v>0</v>
      </c>
      <c r="E3913" s="3">
        <f>C3913 - D3913</f>
        <v>1</v>
      </c>
    </row>
    <row r="3914" spans="2:5" x14ac:dyDescent="0.35">
      <c r="B3914" s="38">
        <v>40415</v>
      </c>
      <c r="C3914" s="3">
        <v>1</v>
      </c>
      <c r="D3914" s="3">
        <v>1</v>
      </c>
      <c r="E3914" s="3">
        <f>C3914 - D3914</f>
        <v>0</v>
      </c>
    </row>
    <row r="3915" spans="2:5" x14ac:dyDescent="0.35">
      <c r="B3915" s="38">
        <v>40416</v>
      </c>
      <c r="C3915" s="3">
        <v>1</v>
      </c>
      <c r="D3915" s="3">
        <v>1</v>
      </c>
      <c r="E3915" s="3">
        <f>C3915 - D3915</f>
        <v>0</v>
      </c>
    </row>
    <row r="3916" spans="2:5" x14ac:dyDescent="0.35">
      <c r="B3916" s="38">
        <v>40417</v>
      </c>
      <c r="C3916" s="3">
        <v>1</v>
      </c>
      <c r="D3916" s="3">
        <v>1</v>
      </c>
      <c r="E3916" s="3">
        <f>C3916 - D3916</f>
        <v>0</v>
      </c>
    </row>
    <row r="3917" spans="2:5" x14ac:dyDescent="0.35">
      <c r="B3917" s="38">
        <v>40418</v>
      </c>
      <c r="C3917" s="3">
        <v>1</v>
      </c>
      <c r="D3917" s="3">
        <v>1</v>
      </c>
      <c r="E3917" s="3">
        <f>C3917 - D3917</f>
        <v>0</v>
      </c>
    </row>
    <row r="3918" spans="2:5" x14ac:dyDescent="0.35">
      <c r="B3918" s="38">
        <v>40419</v>
      </c>
      <c r="C3918" s="3">
        <v>0</v>
      </c>
      <c r="D3918" s="3">
        <v>1</v>
      </c>
      <c r="E3918" s="3">
        <f>C3918 - D3918</f>
        <v>-1</v>
      </c>
    </row>
    <row r="3919" spans="2:5" x14ac:dyDescent="0.35">
      <c r="B3919" s="38">
        <v>40420</v>
      </c>
      <c r="C3919" s="3">
        <v>0</v>
      </c>
      <c r="D3919" s="3">
        <v>0</v>
      </c>
      <c r="E3919" s="3">
        <f>C3919 - D3919</f>
        <v>0</v>
      </c>
    </row>
    <row r="3920" spans="2:5" x14ac:dyDescent="0.35">
      <c r="B3920" s="38">
        <v>40421</v>
      </c>
      <c r="C3920" s="3">
        <v>0</v>
      </c>
      <c r="D3920" s="3">
        <v>0</v>
      </c>
      <c r="E3920" s="3">
        <f>C3920 - D3920</f>
        <v>0</v>
      </c>
    </row>
    <row r="3921" spans="2:5" x14ac:dyDescent="0.35">
      <c r="B3921" s="38">
        <v>40422</v>
      </c>
      <c r="C3921" s="3">
        <v>1</v>
      </c>
      <c r="D3921" s="3">
        <v>0</v>
      </c>
      <c r="E3921" s="3">
        <f>C3921 - D3921</f>
        <v>1</v>
      </c>
    </row>
    <row r="3922" spans="2:5" x14ac:dyDescent="0.35">
      <c r="B3922" s="38">
        <v>40423</v>
      </c>
      <c r="C3922" s="3">
        <v>1</v>
      </c>
      <c r="D3922" s="3">
        <v>1</v>
      </c>
      <c r="E3922" s="3">
        <f>C3922 - D3922</f>
        <v>0</v>
      </c>
    </row>
    <row r="3923" spans="2:5" x14ac:dyDescent="0.35">
      <c r="B3923" s="38">
        <v>40424</v>
      </c>
      <c r="C3923" s="3">
        <v>0</v>
      </c>
      <c r="D3923" s="3">
        <v>1</v>
      </c>
      <c r="E3923" s="3">
        <f>C3923 - D3923</f>
        <v>-1</v>
      </c>
    </row>
    <row r="3924" spans="2:5" x14ac:dyDescent="0.35">
      <c r="B3924" s="38">
        <v>40425</v>
      </c>
      <c r="C3924" s="3">
        <v>1</v>
      </c>
      <c r="D3924" s="3">
        <v>0</v>
      </c>
      <c r="E3924" s="3">
        <f>C3924 - D3924</f>
        <v>1</v>
      </c>
    </row>
    <row r="3925" spans="2:5" x14ac:dyDescent="0.35">
      <c r="B3925" s="38">
        <v>40426</v>
      </c>
      <c r="C3925" s="3">
        <v>1</v>
      </c>
      <c r="D3925" s="3">
        <v>1</v>
      </c>
      <c r="E3925" s="3">
        <f>C3925 - D3925</f>
        <v>0</v>
      </c>
    </row>
    <row r="3926" spans="2:5" x14ac:dyDescent="0.35">
      <c r="B3926" s="38">
        <v>40427</v>
      </c>
      <c r="C3926" s="3">
        <v>1</v>
      </c>
      <c r="D3926" s="3">
        <v>1</v>
      </c>
      <c r="E3926" s="3">
        <f>C3926 - D3926</f>
        <v>0</v>
      </c>
    </row>
    <row r="3927" spans="2:5" x14ac:dyDescent="0.35">
      <c r="B3927" s="38">
        <v>40428</v>
      </c>
      <c r="C3927" s="3">
        <v>1</v>
      </c>
      <c r="D3927" s="3">
        <v>1</v>
      </c>
      <c r="E3927" s="3">
        <f>C3927 - D3927</f>
        <v>0</v>
      </c>
    </row>
    <row r="3928" spans="2:5" x14ac:dyDescent="0.35">
      <c r="B3928" s="38">
        <v>40429</v>
      </c>
      <c r="C3928" s="3">
        <v>0</v>
      </c>
      <c r="D3928" s="3">
        <v>1</v>
      </c>
      <c r="E3928" s="3">
        <f>C3928 - D3928</f>
        <v>-1</v>
      </c>
    </row>
    <row r="3929" spans="2:5" x14ac:dyDescent="0.35">
      <c r="B3929" s="38">
        <v>40430</v>
      </c>
      <c r="C3929" s="3">
        <v>0</v>
      </c>
      <c r="D3929" s="3">
        <v>0</v>
      </c>
      <c r="E3929" s="3">
        <f>C3929 - D3929</f>
        <v>0</v>
      </c>
    </row>
    <row r="3930" spans="2:5" x14ac:dyDescent="0.35">
      <c r="B3930" s="38">
        <v>40431</v>
      </c>
      <c r="C3930" s="3">
        <v>1</v>
      </c>
      <c r="D3930" s="3">
        <v>0</v>
      </c>
      <c r="E3930" s="3">
        <f>C3930 - D3930</f>
        <v>1</v>
      </c>
    </row>
    <row r="3931" spans="2:5" x14ac:dyDescent="0.35">
      <c r="B3931" s="38">
        <v>40432</v>
      </c>
      <c r="C3931" s="3">
        <v>1</v>
      </c>
      <c r="D3931" s="3">
        <v>1</v>
      </c>
      <c r="E3931" s="3">
        <f>C3931 - D3931</f>
        <v>0</v>
      </c>
    </row>
    <row r="3932" spans="2:5" x14ac:dyDescent="0.35">
      <c r="B3932" s="38">
        <v>40433</v>
      </c>
      <c r="C3932" s="3">
        <v>0</v>
      </c>
      <c r="D3932" s="3">
        <v>1</v>
      </c>
      <c r="E3932" s="3">
        <f>C3932 - D3932</f>
        <v>-1</v>
      </c>
    </row>
    <row r="3933" spans="2:5" x14ac:dyDescent="0.35">
      <c r="B3933" s="38">
        <v>40434</v>
      </c>
      <c r="C3933" s="3">
        <v>0</v>
      </c>
      <c r="D3933" s="3">
        <v>0</v>
      </c>
      <c r="E3933" s="3">
        <f>C3933 - D3933</f>
        <v>0</v>
      </c>
    </row>
    <row r="3934" spans="2:5" x14ac:dyDescent="0.35">
      <c r="B3934" s="38">
        <v>40435</v>
      </c>
      <c r="C3934" s="3">
        <v>0</v>
      </c>
      <c r="D3934" s="3">
        <v>0</v>
      </c>
      <c r="E3934" s="3">
        <f>C3934 - D3934</f>
        <v>0</v>
      </c>
    </row>
    <row r="3935" spans="2:5" x14ac:dyDescent="0.35">
      <c r="B3935" s="38">
        <v>40436</v>
      </c>
      <c r="C3935" s="3">
        <v>0</v>
      </c>
      <c r="D3935" s="3">
        <v>0</v>
      </c>
      <c r="E3935" s="3">
        <f>C3935 - D3935</f>
        <v>0</v>
      </c>
    </row>
    <row r="3936" spans="2:5" x14ac:dyDescent="0.35">
      <c r="B3936" s="38">
        <v>40437</v>
      </c>
      <c r="C3936" s="3">
        <v>1</v>
      </c>
      <c r="D3936" s="3">
        <v>0</v>
      </c>
      <c r="E3936" s="3">
        <f>C3936 - D3936</f>
        <v>1</v>
      </c>
    </row>
    <row r="3937" spans="2:5" x14ac:dyDescent="0.35">
      <c r="B3937" s="38">
        <v>40438</v>
      </c>
      <c r="C3937" s="3">
        <v>1</v>
      </c>
      <c r="D3937" s="3">
        <v>1</v>
      </c>
      <c r="E3937" s="3">
        <f>C3937 - D3937</f>
        <v>0</v>
      </c>
    </row>
    <row r="3938" spans="2:5" x14ac:dyDescent="0.35">
      <c r="B3938" s="38">
        <v>40439</v>
      </c>
      <c r="C3938" s="3">
        <v>0</v>
      </c>
      <c r="D3938" s="3">
        <v>1</v>
      </c>
      <c r="E3938" s="3">
        <f>C3938 - D3938</f>
        <v>-1</v>
      </c>
    </row>
    <row r="3939" spans="2:5" x14ac:dyDescent="0.35">
      <c r="B3939" s="38">
        <v>40440</v>
      </c>
      <c r="C3939" s="3">
        <v>1</v>
      </c>
      <c r="D3939" s="3">
        <v>0</v>
      </c>
      <c r="E3939" s="3">
        <f>C3939 - D3939</f>
        <v>1</v>
      </c>
    </row>
    <row r="3940" spans="2:5" x14ac:dyDescent="0.35">
      <c r="B3940" s="38">
        <v>40441</v>
      </c>
      <c r="C3940" s="3">
        <v>0</v>
      </c>
      <c r="D3940" s="3">
        <v>1</v>
      </c>
      <c r="E3940" s="3">
        <f>C3940 - D3940</f>
        <v>-1</v>
      </c>
    </row>
    <row r="3941" spans="2:5" x14ac:dyDescent="0.35">
      <c r="B3941" s="38">
        <v>40442</v>
      </c>
      <c r="C3941" s="3">
        <v>1</v>
      </c>
      <c r="D3941" s="3">
        <v>0</v>
      </c>
      <c r="E3941" s="3">
        <f>C3941 - D3941</f>
        <v>1</v>
      </c>
    </row>
    <row r="3942" spans="2:5" x14ac:dyDescent="0.35">
      <c r="B3942" s="38">
        <v>40443</v>
      </c>
      <c r="C3942" s="3">
        <v>0</v>
      </c>
      <c r="D3942" s="3">
        <v>1</v>
      </c>
      <c r="E3942" s="3">
        <f>C3942 - D3942</f>
        <v>-1</v>
      </c>
    </row>
    <row r="3943" spans="2:5" x14ac:dyDescent="0.35">
      <c r="B3943" s="38">
        <v>40444</v>
      </c>
      <c r="C3943" s="3">
        <v>0</v>
      </c>
      <c r="D3943" s="3">
        <v>0</v>
      </c>
      <c r="E3943" s="3">
        <f>C3943 - D3943</f>
        <v>0</v>
      </c>
    </row>
    <row r="3944" spans="2:5" x14ac:dyDescent="0.35">
      <c r="B3944" s="38">
        <v>40445</v>
      </c>
      <c r="C3944" s="3">
        <v>0</v>
      </c>
      <c r="D3944" s="3">
        <v>0</v>
      </c>
      <c r="E3944" s="3">
        <f>C3944 - D3944</f>
        <v>0</v>
      </c>
    </row>
    <row r="3945" spans="2:5" x14ac:dyDescent="0.35">
      <c r="B3945" s="38">
        <v>40446</v>
      </c>
      <c r="C3945" s="3">
        <v>0</v>
      </c>
      <c r="D3945" s="3">
        <v>0</v>
      </c>
      <c r="E3945" s="3">
        <f>C3945 - D3945</f>
        <v>0</v>
      </c>
    </row>
    <row r="3946" spans="2:5" x14ac:dyDescent="0.35">
      <c r="B3946" s="38">
        <v>40447</v>
      </c>
      <c r="C3946" s="3">
        <v>1</v>
      </c>
      <c r="D3946" s="3">
        <v>0</v>
      </c>
      <c r="E3946" s="3">
        <f>C3946 - D3946</f>
        <v>1</v>
      </c>
    </row>
    <row r="3947" spans="2:5" x14ac:dyDescent="0.35">
      <c r="B3947" s="38">
        <v>40448</v>
      </c>
      <c r="C3947" s="3">
        <v>1</v>
      </c>
      <c r="D3947" s="3">
        <v>1</v>
      </c>
      <c r="E3947" s="3">
        <f>C3947 - D3947</f>
        <v>0</v>
      </c>
    </row>
    <row r="3948" spans="2:5" x14ac:dyDescent="0.35">
      <c r="B3948" s="38">
        <v>40449</v>
      </c>
      <c r="C3948" s="3">
        <v>1</v>
      </c>
      <c r="D3948" s="3">
        <v>1</v>
      </c>
      <c r="E3948" s="3">
        <f>C3948 - D3948</f>
        <v>0</v>
      </c>
    </row>
    <row r="3949" spans="2:5" x14ac:dyDescent="0.35">
      <c r="B3949" s="38">
        <v>40450</v>
      </c>
      <c r="C3949" s="3">
        <v>1</v>
      </c>
      <c r="D3949" s="3">
        <v>1</v>
      </c>
      <c r="E3949" s="3">
        <f>C3949 - D3949</f>
        <v>0</v>
      </c>
    </row>
    <row r="3950" spans="2:5" x14ac:dyDescent="0.35">
      <c r="B3950" s="38">
        <v>40451</v>
      </c>
      <c r="C3950" s="3">
        <v>0</v>
      </c>
      <c r="D3950" s="3">
        <v>1</v>
      </c>
      <c r="E3950" s="3">
        <f>C3950 - D3950</f>
        <v>-1</v>
      </c>
    </row>
    <row r="3951" spans="2:5" x14ac:dyDescent="0.35">
      <c r="B3951" s="38">
        <v>40452</v>
      </c>
      <c r="C3951" s="3">
        <v>0</v>
      </c>
      <c r="D3951" s="3">
        <v>0</v>
      </c>
      <c r="E3951" s="3">
        <f>C3951 - D3951</f>
        <v>0</v>
      </c>
    </row>
    <row r="3952" spans="2:5" x14ac:dyDescent="0.35">
      <c r="B3952" s="38">
        <v>40453</v>
      </c>
      <c r="C3952" s="3">
        <v>0</v>
      </c>
      <c r="D3952" s="3">
        <v>0</v>
      </c>
      <c r="E3952" s="3">
        <f>C3952 - D3952</f>
        <v>0</v>
      </c>
    </row>
    <row r="3953" spans="2:5" x14ac:dyDescent="0.35">
      <c r="B3953" s="38">
        <v>40454</v>
      </c>
      <c r="C3953" s="3">
        <v>0</v>
      </c>
      <c r="D3953" s="3">
        <v>0</v>
      </c>
      <c r="E3953" s="3">
        <f>C3953 - D3953</f>
        <v>0</v>
      </c>
    </row>
    <row r="3954" spans="2:5" x14ac:dyDescent="0.35">
      <c r="B3954" s="38">
        <v>40455</v>
      </c>
      <c r="C3954" s="3">
        <v>0</v>
      </c>
      <c r="D3954" s="3">
        <v>0</v>
      </c>
      <c r="E3954" s="3">
        <f>C3954 - D3954</f>
        <v>0</v>
      </c>
    </row>
    <row r="3955" spans="2:5" x14ac:dyDescent="0.35">
      <c r="B3955" s="38">
        <v>40456</v>
      </c>
      <c r="C3955" s="3">
        <v>1</v>
      </c>
      <c r="D3955" s="3">
        <v>0</v>
      </c>
      <c r="E3955" s="3">
        <f>C3955 - D3955</f>
        <v>1</v>
      </c>
    </row>
    <row r="3956" spans="2:5" x14ac:dyDescent="0.35">
      <c r="B3956" s="38">
        <v>40457</v>
      </c>
      <c r="C3956" s="3">
        <v>0</v>
      </c>
      <c r="D3956" s="3">
        <v>1</v>
      </c>
      <c r="E3956" s="3">
        <f>C3956 - D3956</f>
        <v>-1</v>
      </c>
    </row>
    <row r="3957" spans="2:5" x14ac:dyDescent="0.35">
      <c r="B3957" s="38">
        <v>40458</v>
      </c>
      <c r="C3957" s="3">
        <v>1</v>
      </c>
      <c r="D3957" s="3">
        <v>0</v>
      </c>
      <c r="E3957" s="3">
        <f>C3957 - D3957</f>
        <v>1</v>
      </c>
    </row>
    <row r="3958" spans="2:5" x14ac:dyDescent="0.35">
      <c r="B3958" s="38">
        <v>40459</v>
      </c>
      <c r="C3958" s="3">
        <v>0</v>
      </c>
      <c r="D3958" s="3">
        <v>1</v>
      </c>
      <c r="E3958" s="3">
        <f>C3958 - D3958</f>
        <v>-1</v>
      </c>
    </row>
    <row r="3959" spans="2:5" x14ac:dyDescent="0.35">
      <c r="B3959" s="38">
        <v>40460</v>
      </c>
      <c r="C3959" s="3">
        <v>0</v>
      </c>
      <c r="D3959" s="3">
        <v>0</v>
      </c>
      <c r="E3959" s="3">
        <f>C3959 - D3959</f>
        <v>0</v>
      </c>
    </row>
    <row r="3960" spans="2:5" x14ac:dyDescent="0.35">
      <c r="B3960" s="38">
        <v>40461</v>
      </c>
      <c r="C3960" s="3">
        <v>0</v>
      </c>
      <c r="D3960" s="3">
        <v>0</v>
      </c>
      <c r="E3960" s="3">
        <f>C3960 - D3960</f>
        <v>0</v>
      </c>
    </row>
    <row r="3961" spans="2:5" x14ac:dyDescent="0.35">
      <c r="B3961" s="38">
        <v>40462</v>
      </c>
      <c r="C3961" s="3">
        <v>0</v>
      </c>
      <c r="D3961" s="3">
        <v>0</v>
      </c>
      <c r="E3961" s="3">
        <f>C3961 - D3961</f>
        <v>0</v>
      </c>
    </row>
    <row r="3962" spans="2:5" x14ac:dyDescent="0.35">
      <c r="B3962" s="38">
        <v>40463</v>
      </c>
      <c r="C3962" s="3">
        <v>0</v>
      </c>
      <c r="D3962" s="3">
        <v>0</v>
      </c>
      <c r="E3962" s="3">
        <f>C3962 - D3962</f>
        <v>0</v>
      </c>
    </row>
    <row r="3963" spans="2:5" x14ac:dyDescent="0.35">
      <c r="B3963" s="38">
        <v>40464</v>
      </c>
      <c r="C3963" s="3">
        <v>1</v>
      </c>
      <c r="D3963" s="3">
        <v>0</v>
      </c>
      <c r="E3963" s="3">
        <f>C3963 - D3963</f>
        <v>1</v>
      </c>
    </row>
    <row r="3964" spans="2:5" x14ac:dyDescent="0.35">
      <c r="B3964" s="38">
        <v>40465</v>
      </c>
      <c r="C3964" s="3">
        <v>1</v>
      </c>
      <c r="D3964" s="3">
        <v>1</v>
      </c>
      <c r="E3964" s="3">
        <f>C3964 - D3964</f>
        <v>0</v>
      </c>
    </row>
    <row r="3965" spans="2:5" x14ac:dyDescent="0.35">
      <c r="B3965" s="38">
        <v>40466</v>
      </c>
      <c r="C3965" s="3">
        <v>1</v>
      </c>
      <c r="D3965" s="3">
        <v>1</v>
      </c>
      <c r="E3965" s="3">
        <f>C3965 - D3965</f>
        <v>0</v>
      </c>
    </row>
    <row r="3966" spans="2:5" x14ac:dyDescent="0.35">
      <c r="B3966" s="38">
        <v>40467</v>
      </c>
      <c r="C3966" s="3">
        <v>1</v>
      </c>
      <c r="D3966" s="3">
        <v>1</v>
      </c>
      <c r="E3966" s="3">
        <f>C3966 - D3966</f>
        <v>0</v>
      </c>
    </row>
    <row r="3967" spans="2:5" x14ac:dyDescent="0.35">
      <c r="B3967" s="38">
        <v>40468</v>
      </c>
      <c r="C3967" s="3">
        <v>1</v>
      </c>
      <c r="D3967" s="3">
        <v>1</v>
      </c>
      <c r="E3967" s="3">
        <f>C3967 - D3967</f>
        <v>0</v>
      </c>
    </row>
    <row r="3968" spans="2:5" x14ac:dyDescent="0.35">
      <c r="B3968" s="38">
        <v>40469</v>
      </c>
      <c r="C3968" s="3">
        <v>0</v>
      </c>
      <c r="D3968" s="3">
        <v>1</v>
      </c>
      <c r="E3968" s="3">
        <f>C3968 - D3968</f>
        <v>-1</v>
      </c>
    </row>
    <row r="3969" spans="2:5" x14ac:dyDescent="0.35">
      <c r="B3969" s="38">
        <v>40470</v>
      </c>
      <c r="C3969" s="3">
        <v>1</v>
      </c>
      <c r="D3969" s="3">
        <v>0</v>
      </c>
      <c r="E3969" s="3">
        <f>C3969 - D3969</f>
        <v>1</v>
      </c>
    </row>
    <row r="3970" spans="2:5" x14ac:dyDescent="0.35">
      <c r="B3970" s="38">
        <v>40471</v>
      </c>
      <c r="C3970" s="3">
        <v>0</v>
      </c>
      <c r="D3970" s="3">
        <v>1</v>
      </c>
      <c r="E3970" s="3">
        <f>C3970 - D3970</f>
        <v>-1</v>
      </c>
    </row>
    <row r="3971" spans="2:5" x14ac:dyDescent="0.35">
      <c r="B3971" s="38">
        <v>40472</v>
      </c>
      <c r="C3971" s="3">
        <v>0</v>
      </c>
      <c r="D3971" s="3">
        <v>0</v>
      </c>
      <c r="E3971" s="3">
        <f>C3971 - D3971</f>
        <v>0</v>
      </c>
    </row>
    <row r="3972" spans="2:5" x14ac:dyDescent="0.35">
      <c r="B3972" s="38">
        <v>40473</v>
      </c>
      <c r="C3972" s="3">
        <v>0</v>
      </c>
      <c r="D3972" s="3">
        <v>0</v>
      </c>
      <c r="E3972" s="3">
        <f>C3972 - D3972</f>
        <v>0</v>
      </c>
    </row>
    <row r="3973" spans="2:5" x14ac:dyDescent="0.35">
      <c r="B3973" s="38">
        <v>40474</v>
      </c>
      <c r="C3973" s="3">
        <v>1</v>
      </c>
      <c r="D3973" s="3">
        <v>0</v>
      </c>
      <c r="E3973" s="3">
        <f>C3973 - D3973</f>
        <v>1</v>
      </c>
    </row>
    <row r="3974" spans="2:5" x14ac:dyDescent="0.35">
      <c r="B3974" s="38">
        <v>40475</v>
      </c>
      <c r="C3974" s="3">
        <v>1</v>
      </c>
      <c r="D3974" s="3">
        <v>1</v>
      </c>
      <c r="E3974" s="3">
        <f>C3974 - D3974</f>
        <v>0</v>
      </c>
    </row>
    <row r="3975" spans="2:5" x14ac:dyDescent="0.35">
      <c r="B3975" s="38">
        <v>40476</v>
      </c>
      <c r="C3975" s="3">
        <v>0</v>
      </c>
      <c r="D3975" s="3">
        <v>1</v>
      </c>
      <c r="E3975" s="3">
        <f>C3975 - D3975</f>
        <v>-1</v>
      </c>
    </row>
    <row r="3976" spans="2:5" x14ac:dyDescent="0.35">
      <c r="B3976" s="38">
        <v>40477</v>
      </c>
      <c r="C3976" s="3">
        <v>0</v>
      </c>
      <c r="D3976" s="3">
        <v>0</v>
      </c>
      <c r="E3976" s="3">
        <f>C3976 - D3976</f>
        <v>0</v>
      </c>
    </row>
    <row r="3977" spans="2:5" x14ac:dyDescent="0.35">
      <c r="B3977" s="38">
        <v>40478</v>
      </c>
      <c r="C3977" s="3">
        <v>1</v>
      </c>
      <c r="D3977" s="3">
        <v>0</v>
      </c>
      <c r="E3977" s="3">
        <f>C3977 - D3977</f>
        <v>1</v>
      </c>
    </row>
    <row r="3978" spans="2:5" x14ac:dyDescent="0.35">
      <c r="B3978" s="38">
        <v>40479</v>
      </c>
      <c r="C3978" s="3">
        <v>0</v>
      </c>
      <c r="D3978" s="3">
        <v>1</v>
      </c>
      <c r="E3978" s="3">
        <f>C3978 - D3978</f>
        <v>-1</v>
      </c>
    </row>
    <row r="3979" spans="2:5" x14ac:dyDescent="0.35">
      <c r="B3979" s="38">
        <v>40480</v>
      </c>
      <c r="C3979" s="3">
        <v>0</v>
      </c>
      <c r="D3979" s="3">
        <v>0</v>
      </c>
      <c r="E3979" s="3">
        <f>C3979 - D3979</f>
        <v>0</v>
      </c>
    </row>
    <row r="3980" spans="2:5" x14ac:dyDescent="0.35">
      <c r="B3980" s="38">
        <v>40481</v>
      </c>
      <c r="C3980" s="3">
        <v>1</v>
      </c>
      <c r="D3980" s="3">
        <v>0</v>
      </c>
      <c r="E3980" s="3">
        <f>C3980 - D3980</f>
        <v>1</v>
      </c>
    </row>
    <row r="3981" spans="2:5" x14ac:dyDescent="0.35">
      <c r="B3981" s="38">
        <v>40482</v>
      </c>
      <c r="C3981" s="3">
        <v>1</v>
      </c>
      <c r="D3981" s="3">
        <v>1</v>
      </c>
      <c r="E3981" s="3">
        <f>C3981 - D3981</f>
        <v>0</v>
      </c>
    </row>
    <row r="3982" spans="2:5" x14ac:dyDescent="0.35">
      <c r="B3982" s="38">
        <v>40483</v>
      </c>
      <c r="C3982" s="3">
        <v>1</v>
      </c>
      <c r="D3982" s="3">
        <v>1</v>
      </c>
      <c r="E3982" s="3">
        <f>C3982 - D3982</f>
        <v>0</v>
      </c>
    </row>
    <row r="3983" spans="2:5" x14ac:dyDescent="0.35">
      <c r="B3983" s="38">
        <v>40484</v>
      </c>
      <c r="C3983" s="3">
        <v>1</v>
      </c>
      <c r="D3983" s="3">
        <v>1</v>
      </c>
      <c r="E3983" s="3">
        <f>C3983 - D3983</f>
        <v>0</v>
      </c>
    </row>
    <row r="3984" spans="2:5" x14ac:dyDescent="0.35">
      <c r="B3984" s="38">
        <v>40485</v>
      </c>
      <c r="C3984" s="3">
        <v>1</v>
      </c>
      <c r="D3984" s="3">
        <v>1</v>
      </c>
      <c r="E3984" s="3">
        <f>C3984 - D3984</f>
        <v>0</v>
      </c>
    </row>
    <row r="3985" spans="2:5" x14ac:dyDescent="0.35">
      <c r="B3985" s="38">
        <v>40486</v>
      </c>
      <c r="C3985" s="3">
        <v>1</v>
      </c>
      <c r="D3985" s="3">
        <v>1</v>
      </c>
      <c r="E3985" s="3">
        <f>C3985 - D3985</f>
        <v>0</v>
      </c>
    </row>
    <row r="3986" spans="2:5" x14ac:dyDescent="0.35">
      <c r="B3986" s="38">
        <v>40487</v>
      </c>
      <c r="C3986" s="3">
        <v>0</v>
      </c>
      <c r="D3986" s="3">
        <v>1</v>
      </c>
      <c r="E3986" s="3">
        <f>C3986 - D3986</f>
        <v>-1</v>
      </c>
    </row>
    <row r="3987" spans="2:5" x14ac:dyDescent="0.35">
      <c r="B3987" s="38">
        <v>40488</v>
      </c>
      <c r="C3987" s="3">
        <v>0</v>
      </c>
      <c r="D3987" s="3">
        <v>0</v>
      </c>
      <c r="E3987" s="3">
        <f>C3987 - D3987</f>
        <v>0</v>
      </c>
    </row>
    <row r="3988" spans="2:5" x14ac:dyDescent="0.35">
      <c r="B3988" s="38">
        <v>40489</v>
      </c>
      <c r="C3988" s="3">
        <v>1</v>
      </c>
      <c r="D3988" s="3">
        <v>0</v>
      </c>
      <c r="E3988" s="3">
        <f>C3988 - D3988</f>
        <v>1</v>
      </c>
    </row>
    <row r="3989" spans="2:5" x14ac:dyDescent="0.35">
      <c r="B3989" s="38">
        <v>40490</v>
      </c>
      <c r="C3989" s="3">
        <v>0</v>
      </c>
      <c r="D3989" s="3">
        <v>1</v>
      </c>
      <c r="E3989" s="3">
        <f>C3989 - D3989</f>
        <v>-1</v>
      </c>
    </row>
    <row r="3990" spans="2:5" x14ac:dyDescent="0.35">
      <c r="B3990" s="38">
        <v>40491</v>
      </c>
      <c r="C3990" s="3">
        <v>0</v>
      </c>
      <c r="D3990" s="3">
        <v>0</v>
      </c>
      <c r="E3990" s="3">
        <f>C3990 - D3990</f>
        <v>0</v>
      </c>
    </row>
    <row r="3991" spans="2:5" x14ac:dyDescent="0.35">
      <c r="B3991" s="38">
        <v>40492</v>
      </c>
      <c r="C3991" s="3">
        <v>0</v>
      </c>
      <c r="D3991" s="3">
        <v>0</v>
      </c>
      <c r="E3991" s="3">
        <f>C3991 - D3991</f>
        <v>0</v>
      </c>
    </row>
    <row r="3992" spans="2:5" x14ac:dyDescent="0.35">
      <c r="B3992" s="38">
        <v>40493</v>
      </c>
      <c r="C3992" s="3">
        <v>0</v>
      </c>
      <c r="D3992" s="3">
        <v>0</v>
      </c>
      <c r="E3992" s="3">
        <f>C3992 - D3992</f>
        <v>0</v>
      </c>
    </row>
    <row r="3993" spans="2:5" x14ac:dyDescent="0.35">
      <c r="B3993" s="38">
        <v>40494</v>
      </c>
      <c r="C3993" s="3">
        <v>0</v>
      </c>
      <c r="D3993" s="3">
        <v>0</v>
      </c>
      <c r="E3993" s="3">
        <f>C3993 - D3993</f>
        <v>0</v>
      </c>
    </row>
    <row r="3994" spans="2:5" x14ac:dyDescent="0.35">
      <c r="B3994" s="38">
        <v>40495</v>
      </c>
      <c r="C3994" s="3">
        <v>1</v>
      </c>
      <c r="D3994" s="3">
        <v>0</v>
      </c>
      <c r="E3994" s="3">
        <f>C3994 - D3994</f>
        <v>1</v>
      </c>
    </row>
    <row r="3995" spans="2:5" x14ac:dyDescent="0.35">
      <c r="B3995" s="38">
        <v>40496</v>
      </c>
      <c r="C3995" s="3">
        <v>1</v>
      </c>
      <c r="D3995" s="3">
        <v>1</v>
      </c>
      <c r="E3995" s="3">
        <f>C3995 - D3995</f>
        <v>0</v>
      </c>
    </row>
    <row r="3996" spans="2:5" x14ac:dyDescent="0.35">
      <c r="B3996" s="38">
        <v>40497</v>
      </c>
      <c r="C3996" s="3">
        <v>1</v>
      </c>
      <c r="D3996" s="3">
        <v>1</v>
      </c>
      <c r="E3996" s="3">
        <f>C3996 - D3996</f>
        <v>0</v>
      </c>
    </row>
    <row r="3997" spans="2:5" x14ac:dyDescent="0.35">
      <c r="B3997" s="38">
        <v>40498</v>
      </c>
      <c r="C3997" s="3">
        <v>1</v>
      </c>
      <c r="D3997" s="3">
        <v>1</v>
      </c>
      <c r="E3997" s="3">
        <f>C3997 - D3997</f>
        <v>0</v>
      </c>
    </row>
    <row r="3998" spans="2:5" x14ac:dyDescent="0.35">
      <c r="B3998" s="38">
        <v>40499</v>
      </c>
      <c r="C3998" s="3">
        <v>0</v>
      </c>
      <c r="D3998" s="3">
        <v>1</v>
      </c>
      <c r="E3998" s="3">
        <f>C3998 - D3998</f>
        <v>-1</v>
      </c>
    </row>
    <row r="3999" spans="2:5" x14ac:dyDescent="0.35">
      <c r="B3999" s="38">
        <v>40500</v>
      </c>
      <c r="C3999" s="3">
        <v>0</v>
      </c>
      <c r="D3999" s="3">
        <v>0</v>
      </c>
      <c r="E3999" s="3">
        <f>C3999 - D3999</f>
        <v>0</v>
      </c>
    </row>
    <row r="4000" spans="2:5" x14ac:dyDescent="0.35">
      <c r="B4000" s="38">
        <v>40501</v>
      </c>
      <c r="C4000" s="3">
        <v>1</v>
      </c>
      <c r="D4000" s="3">
        <v>0</v>
      </c>
      <c r="E4000" s="3">
        <f>C4000 - D4000</f>
        <v>1</v>
      </c>
    </row>
    <row r="4001" spans="2:5" x14ac:dyDescent="0.35">
      <c r="B4001" s="38">
        <v>40502</v>
      </c>
      <c r="C4001" s="3">
        <v>0</v>
      </c>
      <c r="D4001" s="3">
        <v>1</v>
      </c>
      <c r="E4001" s="3">
        <f>C4001 - D4001</f>
        <v>-1</v>
      </c>
    </row>
    <row r="4002" spans="2:5" x14ac:dyDescent="0.35">
      <c r="B4002" s="38">
        <v>40503</v>
      </c>
      <c r="C4002" s="3">
        <v>1</v>
      </c>
      <c r="D4002" s="3">
        <v>0</v>
      </c>
      <c r="E4002" s="3">
        <f>C4002 - D4002</f>
        <v>1</v>
      </c>
    </row>
    <row r="4003" spans="2:5" x14ac:dyDescent="0.35">
      <c r="B4003" s="38">
        <v>40504</v>
      </c>
      <c r="C4003" s="3">
        <v>1</v>
      </c>
      <c r="D4003" s="3">
        <v>1</v>
      </c>
      <c r="E4003" s="3">
        <f>C4003 - D4003</f>
        <v>0</v>
      </c>
    </row>
    <row r="4004" spans="2:5" x14ac:dyDescent="0.35">
      <c r="B4004" s="38">
        <v>40505</v>
      </c>
      <c r="C4004" s="3">
        <v>0</v>
      </c>
      <c r="D4004" s="3">
        <v>1</v>
      </c>
      <c r="E4004" s="3">
        <f>C4004 - D4004</f>
        <v>-1</v>
      </c>
    </row>
    <row r="4005" spans="2:5" x14ac:dyDescent="0.35">
      <c r="B4005" s="38">
        <v>40506</v>
      </c>
      <c r="C4005" s="3">
        <v>0</v>
      </c>
      <c r="D4005" s="3">
        <v>0</v>
      </c>
      <c r="E4005" s="3">
        <f>C4005 - D4005</f>
        <v>0</v>
      </c>
    </row>
    <row r="4006" spans="2:5" x14ac:dyDescent="0.35">
      <c r="B4006" s="38">
        <v>40507</v>
      </c>
      <c r="C4006" s="3">
        <v>1</v>
      </c>
      <c r="D4006" s="3">
        <v>0</v>
      </c>
      <c r="E4006" s="3">
        <f>C4006 - D4006</f>
        <v>1</v>
      </c>
    </row>
    <row r="4007" spans="2:5" x14ac:dyDescent="0.35">
      <c r="B4007" s="38">
        <v>40508</v>
      </c>
      <c r="C4007" s="3">
        <v>1</v>
      </c>
      <c r="D4007" s="3">
        <v>1</v>
      </c>
      <c r="E4007" s="3">
        <f>C4007 - D4007</f>
        <v>0</v>
      </c>
    </row>
    <row r="4008" spans="2:5" x14ac:dyDescent="0.35">
      <c r="B4008" s="38">
        <v>40509</v>
      </c>
      <c r="C4008" s="3">
        <v>1</v>
      </c>
      <c r="D4008" s="3">
        <v>1</v>
      </c>
      <c r="E4008" s="3">
        <f>C4008 - D4008</f>
        <v>0</v>
      </c>
    </row>
    <row r="4009" spans="2:5" x14ac:dyDescent="0.35">
      <c r="B4009" s="38">
        <v>40510</v>
      </c>
      <c r="C4009" s="3">
        <v>1</v>
      </c>
      <c r="D4009" s="3">
        <v>1</v>
      </c>
      <c r="E4009" s="3">
        <f>C4009 - D4009</f>
        <v>0</v>
      </c>
    </row>
    <row r="4010" spans="2:5" x14ac:dyDescent="0.35">
      <c r="B4010" s="38">
        <v>40511</v>
      </c>
      <c r="C4010" s="3">
        <v>1</v>
      </c>
      <c r="D4010" s="3">
        <v>1</v>
      </c>
      <c r="E4010" s="3">
        <f>C4010 - D4010</f>
        <v>0</v>
      </c>
    </row>
    <row r="4011" spans="2:5" x14ac:dyDescent="0.35">
      <c r="B4011" s="38">
        <v>40512</v>
      </c>
      <c r="C4011" s="3">
        <v>1</v>
      </c>
      <c r="D4011" s="3">
        <v>1</v>
      </c>
      <c r="E4011" s="3">
        <f>C4011 - D4011</f>
        <v>0</v>
      </c>
    </row>
    <row r="4012" spans="2:5" x14ac:dyDescent="0.35">
      <c r="B4012" s="38">
        <v>40513</v>
      </c>
      <c r="C4012" s="3">
        <v>1</v>
      </c>
      <c r="D4012" s="3">
        <v>1</v>
      </c>
      <c r="E4012" s="3">
        <f>C4012 - D4012</f>
        <v>0</v>
      </c>
    </row>
    <row r="4013" spans="2:5" x14ac:dyDescent="0.35">
      <c r="B4013" s="38">
        <v>40514</v>
      </c>
      <c r="C4013" s="3">
        <v>1</v>
      </c>
      <c r="D4013" s="3">
        <v>1</v>
      </c>
      <c r="E4013" s="3">
        <f>C4013 - D4013</f>
        <v>0</v>
      </c>
    </row>
    <row r="4014" spans="2:5" x14ac:dyDescent="0.35">
      <c r="B4014" s="38">
        <v>40515</v>
      </c>
      <c r="C4014" s="3">
        <v>1</v>
      </c>
      <c r="D4014" s="3">
        <v>1</v>
      </c>
      <c r="E4014" s="3">
        <f>C4014 - D4014</f>
        <v>0</v>
      </c>
    </row>
    <row r="4015" spans="2:5" x14ac:dyDescent="0.35">
      <c r="B4015" s="38">
        <v>40516</v>
      </c>
      <c r="C4015" s="3">
        <v>1</v>
      </c>
      <c r="D4015" s="3">
        <v>1</v>
      </c>
      <c r="E4015" s="3">
        <f>C4015 - D4015</f>
        <v>0</v>
      </c>
    </row>
    <row r="4016" spans="2:5" x14ac:dyDescent="0.35">
      <c r="B4016" s="38">
        <v>40517</v>
      </c>
      <c r="C4016" s="3">
        <v>0</v>
      </c>
      <c r="D4016" s="3">
        <v>1</v>
      </c>
      <c r="E4016" s="3">
        <f>C4016 - D4016</f>
        <v>-1</v>
      </c>
    </row>
    <row r="4017" spans="2:5" x14ac:dyDescent="0.35">
      <c r="B4017" s="38">
        <v>40518</v>
      </c>
      <c r="C4017" s="3">
        <v>0</v>
      </c>
      <c r="D4017" s="3">
        <v>0</v>
      </c>
      <c r="E4017" s="3">
        <f>C4017 - D4017</f>
        <v>0</v>
      </c>
    </row>
    <row r="4018" spans="2:5" x14ac:dyDescent="0.35">
      <c r="B4018" s="38">
        <v>40519</v>
      </c>
      <c r="C4018" s="3">
        <v>1</v>
      </c>
      <c r="D4018" s="3">
        <v>0</v>
      </c>
      <c r="E4018" s="3">
        <f>C4018 - D4018</f>
        <v>1</v>
      </c>
    </row>
    <row r="4019" spans="2:5" x14ac:dyDescent="0.35">
      <c r="B4019" s="38">
        <v>40520</v>
      </c>
      <c r="C4019" s="3">
        <v>1</v>
      </c>
      <c r="D4019" s="3">
        <v>1</v>
      </c>
      <c r="E4019" s="3">
        <f>C4019 - D4019</f>
        <v>0</v>
      </c>
    </row>
    <row r="4020" spans="2:5" x14ac:dyDescent="0.35">
      <c r="B4020" s="38">
        <v>40521</v>
      </c>
      <c r="C4020" s="3">
        <v>1</v>
      </c>
      <c r="D4020" s="3">
        <v>1</v>
      </c>
      <c r="E4020" s="3">
        <f>C4020 - D4020</f>
        <v>0</v>
      </c>
    </row>
    <row r="4021" spans="2:5" x14ac:dyDescent="0.35">
      <c r="B4021" s="38">
        <v>40522</v>
      </c>
      <c r="C4021" s="3">
        <v>1</v>
      </c>
      <c r="D4021" s="3">
        <v>1</v>
      </c>
      <c r="E4021" s="3">
        <f>C4021 - D4021</f>
        <v>0</v>
      </c>
    </row>
    <row r="4022" spans="2:5" x14ac:dyDescent="0.35">
      <c r="B4022" s="38">
        <v>40523</v>
      </c>
      <c r="C4022" s="3">
        <v>1</v>
      </c>
      <c r="D4022" s="3">
        <v>1</v>
      </c>
      <c r="E4022" s="3">
        <f>C4022 - D4022</f>
        <v>0</v>
      </c>
    </row>
    <row r="4023" spans="2:5" x14ac:dyDescent="0.35">
      <c r="B4023" s="38">
        <v>40524</v>
      </c>
      <c r="C4023" s="3">
        <v>1</v>
      </c>
      <c r="D4023" s="3">
        <v>1</v>
      </c>
      <c r="E4023" s="3">
        <f>C4023 - D4023</f>
        <v>0</v>
      </c>
    </row>
    <row r="4024" spans="2:5" x14ac:dyDescent="0.35">
      <c r="B4024" s="38">
        <v>40525</v>
      </c>
      <c r="C4024" s="3">
        <v>1</v>
      </c>
      <c r="D4024" s="3">
        <v>1</v>
      </c>
      <c r="E4024" s="3">
        <f>C4024 - D4024</f>
        <v>0</v>
      </c>
    </row>
    <row r="4025" spans="2:5" x14ac:dyDescent="0.35">
      <c r="B4025" s="38">
        <v>40526</v>
      </c>
      <c r="C4025" s="3">
        <v>0</v>
      </c>
      <c r="D4025" s="3">
        <v>1</v>
      </c>
      <c r="E4025" s="3">
        <f>C4025 - D4025</f>
        <v>-1</v>
      </c>
    </row>
    <row r="4026" spans="2:5" x14ac:dyDescent="0.35">
      <c r="B4026" s="38">
        <v>40527</v>
      </c>
      <c r="C4026" s="3">
        <v>0</v>
      </c>
      <c r="D4026" s="3">
        <v>0</v>
      </c>
      <c r="E4026" s="3">
        <f>C4026 - D4026</f>
        <v>0</v>
      </c>
    </row>
    <row r="4027" spans="2:5" x14ac:dyDescent="0.35">
      <c r="B4027" s="38">
        <v>40528</v>
      </c>
      <c r="C4027" s="3">
        <v>1</v>
      </c>
      <c r="D4027" s="3">
        <v>0</v>
      </c>
      <c r="E4027" s="3">
        <f>C4027 - D4027</f>
        <v>1</v>
      </c>
    </row>
    <row r="4028" spans="2:5" x14ac:dyDescent="0.35">
      <c r="B4028" s="38">
        <v>40529</v>
      </c>
      <c r="C4028" s="3">
        <v>0</v>
      </c>
      <c r="D4028" s="3">
        <v>1</v>
      </c>
      <c r="E4028" s="3">
        <f>C4028 - D4028</f>
        <v>-1</v>
      </c>
    </row>
    <row r="4029" spans="2:5" x14ac:dyDescent="0.35">
      <c r="B4029" s="38">
        <v>40530</v>
      </c>
      <c r="C4029" s="3">
        <v>1</v>
      </c>
      <c r="D4029" s="3">
        <v>0</v>
      </c>
      <c r="E4029" s="3">
        <f>C4029 - D4029</f>
        <v>1</v>
      </c>
    </row>
    <row r="4030" spans="2:5" x14ac:dyDescent="0.35">
      <c r="B4030" s="38">
        <v>40531</v>
      </c>
      <c r="C4030" s="3">
        <v>1</v>
      </c>
      <c r="D4030" s="3">
        <v>1</v>
      </c>
      <c r="E4030" s="3">
        <f>C4030 - D4030</f>
        <v>0</v>
      </c>
    </row>
    <row r="4031" spans="2:5" x14ac:dyDescent="0.35">
      <c r="B4031" s="38">
        <v>40532</v>
      </c>
      <c r="C4031" s="3">
        <v>1</v>
      </c>
      <c r="D4031" s="3">
        <v>1</v>
      </c>
      <c r="E4031" s="3">
        <f>C4031 - D4031</f>
        <v>0</v>
      </c>
    </row>
    <row r="4032" spans="2:5" x14ac:dyDescent="0.35">
      <c r="B4032" s="38">
        <v>40533</v>
      </c>
      <c r="C4032" s="3">
        <v>0</v>
      </c>
      <c r="D4032" s="3">
        <v>1</v>
      </c>
      <c r="E4032" s="3">
        <f>C4032 - D4032</f>
        <v>-1</v>
      </c>
    </row>
    <row r="4033" spans="2:5" x14ac:dyDescent="0.35">
      <c r="B4033" s="38">
        <v>40534</v>
      </c>
      <c r="C4033" s="3">
        <v>1</v>
      </c>
      <c r="D4033" s="3">
        <v>0</v>
      </c>
      <c r="E4033" s="3">
        <f>C4033 - D4033</f>
        <v>1</v>
      </c>
    </row>
    <row r="4034" spans="2:5" x14ac:dyDescent="0.35">
      <c r="B4034" s="38">
        <v>40535</v>
      </c>
      <c r="C4034" s="3">
        <v>0</v>
      </c>
      <c r="D4034" s="3">
        <v>1</v>
      </c>
      <c r="E4034" s="3">
        <f>C4034 - D4034</f>
        <v>-1</v>
      </c>
    </row>
    <row r="4035" spans="2:5" x14ac:dyDescent="0.35">
      <c r="B4035" s="38">
        <v>40536</v>
      </c>
      <c r="C4035" s="3">
        <v>0</v>
      </c>
      <c r="D4035" s="3">
        <v>0</v>
      </c>
      <c r="E4035" s="3">
        <f>C4035 - D4035</f>
        <v>0</v>
      </c>
    </row>
    <row r="4036" spans="2:5" x14ac:dyDescent="0.35">
      <c r="B4036" s="38">
        <v>40537</v>
      </c>
      <c r="C4036" s="3">
        <v>0</v>
      </c>
      <c r="D4036" s="3">
        <v>0</v>
      </c>
      <c r="E4036" s="3">
        <f>C4036 - D4036</f>
        <v>0</v>
      </c>
    </row>
    <row r="4037" spans="2:5" x14ac:dyDescent="0.35">
      <c r="B4037" s="38">
        <v>40538</v>
      </c>
      <c r="C4037" s="3">
        <v>0</v>
      </c>
      <c r="D4037" s="3">
        <v>0</v>
      </c>
      <c r="E4037" s="3">
        <f>C4037 - D4037</f>
        <v>0</v>
      </c>
    </row>
    <row r="4038" spans="2:5" x14ac:dyDescent="0.35">
      <c r="B4038" s="38">
        <v>40539</v>
      </c>
      <c r="C4038" s="3">
        <v>1</v>
      </c>
      <c r="D4038" s="3">
        <v>0</v>
      </c>
      <c r="E4038" s="3">
        <f>C4038 - D4038</f>
        <v>1</v>
      </c>
    </row>
    <row r="4039" spans="2:5" x14ac:dyDescent="0.35">
      <c r="B4039" s="38">
        <v>40540</v>
      </c>
      <c r="C4039" s="3">
        <v>0</v>
      </c>
      <c r="D4039" s="3">
        <v>1</v>
      </c>
      <c r="E4039" s="3">
        <f>C4039 - D4039</f>
        <v>-1</v>
      </c>
    </row>
    <row r="4040" spans="2:5" x14ac:dyDescent="0.35">
      <c r="B4040" s="38">
        <v>40541</v>
      </c>
      <c r="C4040" s="3">
        <v>0</v>
      </c>
      <c r="D4040" s="3">
        <v>0</v>
      </c>
      <c r="E4040" s="3">
        <f>C4040 - D4040</f>
        <v>0</v>
      </c>
    </row>
    <row r="4041" spans="2:5" x14ac:dyDescent="0.35">
      <c r="B4041" s="38">
        <v>40542</v>
      </c>
      <c r="C4041" s="3">
        <v>0</v>
      </c>
      <c r="D4041" s="3">
        <v>0</v>
      </c>
      <c r="E4041" s="3">
        <f>C4041 - D4041</f>
        <v>0</v>
      </c>
    </row>
    <row r="4042" spans="2:5" x14ac:dyDescent="0.35">
      <c r="B4042" s="38">
        <v>40543</v>
      </c>
      <c r="C4042" s="3">
        <v>0</v>
      </c>
      <c r="D4042" s="3">
        <v>0</v>
      </c>
      <c r="E4042" s="3">
        <f>C4042 - D4042</f>
        <v>0</v>
      </c>
    </row>
    <row r="4043" spans="2:5" x14ac:dyDescent="0.35">
      <c r="B4043" s="38">
        <v>40544</v>
      </c>
      <c r="C4043" s="3">
        <v>0</v>
      </c>
      <c r="D4043" s="3">
        <v>0</v>
      </c>
      <c r="E4043" s="3">
        <f>C4043 - D4043</f>
        <v>0</v>
      </c>
    </row>
    <row r="4044" spans="2:5" x14ac:dyDescent="0.35">
      <c r="B4044" s="38">
        <v>40545</v>
      </c>
      <c r="C4044" s="3">
        <v>0</v>
      </c>
      <c r="D4044" s="3">
        <v>0</v>
      </c>
      <c r="E4044" s="3">
        <f>C4044 - D4044</f>
        <v>0</v>
      </c>
    </row>
    <row r="4045" spans="2:5" x14ac:dyDescent="0.35">
      <c r="B4045" s="38">
        <v>40546</v>
      </c>
      <c r="C4045" s="3">
        <v>0</v>
      </c>
      <c r="D4045" s="3">
        <v>0</v>
      </c>
      <c r="E4045" s="3">
        <f>C4045 - D4045</f>
        <v>0</v>
      </c>
    </row>
    <row r="4046" spans="2:5" x14ac:dyDescent="0.35">
      <c r="B4046" s="38">
        <v>40547</v>
      </c>
      <c r="C4046" s="3">
        <v>0</v>
      </c>
      <c r="D4046" s="3">
        <v>0</v>
      </c>
      <c r="E4046" s="3">
        <f>C4046 - D4046</f>
        <v>0</v>
      </c>
    </row>
    <row r="4047" spans="2:5" x14ac:dyDescent="0.35">
      <c r="B4047" s="38">
        <v>40548</v>
      </c>
      <c r="C4047" s="3">
        <v>0</v>
      </c>
      <c r="D4047" s="3">
        <v>0</v>
      </c>
      <c r="E4047" s="3">
        <f>C4047 - D4047</f>
        <v>0</v>
      </c>
    </row>
    <row r="4048" spans="2:5" x14ac:dyDescent="0.35">
      <c r="B4048" s="38">
        <v>40549</v>
      </c>
      <c r="C4048" s="3">
        <v>0</v>
      </c>
      <c r="D4048" s="3">
        <v>0</v>
      </c>
      <c r="E4048" s="3">
        <f>C4048 - D4048</f>
        <v>0</v>
      </c>
    </row>
    <row r="4049" spans="2:5" x14ac:dyDescent="0.35">
      <c r="B4049" s="38">
        <v>40550</v>
      </c>
      <c r="C4049" s="3">
        <v>0</v>
      </c>
      <c r="D4049" s="3">
        <v>0</v>
      </c>
      <c r="E4049" s="3">
        <f>C4049 - D4049</f>
        <v>0</v>
      </c>
    </row>
    <row r="4050" spans="2:5" x14ac:dyDescent="0.35">
      <c r="B4050" s="38">
        <v>40551</v>
      </c>
      <c r="C4050" s="3">
        <v>0</v>
      </c>
      <c r="D4050" s="3">
        <v>0</v>
      </c>
      <c r="E4050" s="3">
        <f>C4050 - D4050</f>
        <v>0</v>
      </c>
    </row>
    <row r="4051" spans="2:5" x14ac:dyDescent="0.35">
      <c r="B4051" s="38">
        <v>40552</v>
      </c>
      <c r="C4051" s="3">
        <v>1</v>
      </c>
      <c r="D4051" s="3">
        <v>0</v>
      </c>
      <c r="E4051" s="3">
        <f>C4051 - D4051</f>
        <v>1</v>
      </c>
    </row>
    <row r="4052" spans="2:5" x14ac:dyDescent="0.35">
      <c r="B4052" s="38">
        <v>40553</v>
      </c>
      <c r="C4052" s="3">
        <v>1</v>
      </c>
      <c r="D4052" s="3">
        <v>1</v>
      </c>
      <c r="E4052" s="3">
        <f>C4052 - D4052</f>
        <v>0</v>
      </c>
    </row>
    <row r="4053" spans="2:5" x14ac:dyDescent="0.35">
      <c r="B4053" s="38">
        <v>40554</v>
      </c>
      <c r="C4053" s="3">
        <v>1</v>
      </c>
      <c r="D4053" s="3">
        <v>1</v>
      </c>
      <c r="E4053" s="3">
        <f>C4053 - D4053</f>
        <v>0</v>
      </c>
    </row>
    <row r="4054" spans="2:5" x14ac:dyDescent="0.35">
      <c r="B4054" s="38">
        <v>40555</v>
      </c>
      <c r="C4054" s="3">
        <v>1</v>
      </c>
      <c r="D4054" s="3">
        <v>1</v>
      </c>
      <c r="E4054" s="3">
        <f>C4054 - D4054</f>
        <v>0</v>
      </c>
    </row>
    <row r="4055" spans="2:5" x14ac:dyDescent="0.35">
      <c r="B4055" s="38">
        <v>40556</v>
      </c>
      <c r="C4055" s="3">
        <v>1</v>
      </c>
      <c r="D4055" s="3">
        <v>1</v>
      </c>
      <c r="E4055" s="3">
        <f>C4055 - D4055</f>
        <v>0</v>
      </c>
    </row>
    <row r="4056" spans="2:5" x14ac:dyDescent="0.35">
      <c r="B4056" s="38">
        <v>40557</v>
      </c>
      <c r="C4056" s="3">
        <v>1</v>
      </c>
      <c r="D4056" s="3">
        <v>1</v>
      </c>
      <c r="E4056" s="3">
        <f>C4056 - D4056</f>
        <v>0</v>
      </c>
    </row>
    <row r="4057" spans="2:5" x14ac:dyDescent="0.35">
      <c r="B4057" s="38">
        <v>40558</v>
      </c>
      <c r="C4057" s="3">
        <v>1</v>
      </c>
      <c r="D4057" s="3">
        <v>1</v>
      </c>
      <c r="E4057" s="3">
        <f>C4057 - D4057</f>
        <v>0</v>
      </c>
    </row>
    <row r="4058" spans="2:5" x14ac:dyDescent="0.35">
      <c r="B4058" s="38">
        <v>40559</v>
      </c>
      <c r="C4058" s="3">
        <v>0</v>
      </c>
      <c r="D4058" s="3">
        <v>1</v>
      </c>
      <c r="E4058" s="3">
        <f>C4058 - D4058</f>
        <v>-1</v>
      </c>
    </row>
    <row r="4059" spans="2:5" x14ac:dyDescent="0.35">
      <c r="B4059" s="38">
        <v>40560</v>
      </c>
      <c r="C4059" s="3">
        <v>0</v>
      </c>
      <c r="D4059" s="3">
        <v>0</v>
      </c>
      <c r="E4059" s="3">
        <f>C4059 - D4059</f>
        <v>0</v>
      </c>
    </row>
    <row r="4060" spans="2:5" x14ac:dyDescent="0.35">
      <c r="B4060" s="38">
        <v>40561</v>
      </c>
      <c r="C4060" s="3">
        <v>0</v>
      </c>
      <c r="D4060" s="3">
        <v>0</v>
      </c>
      <c r="E4060" s="3">
        <f>C4060 - D4060</f>
        <v>0</v>
      </c>
    </row>
    <row r="4061" spans="2:5" x14ac:dyDescent="0.35">
      <c r="B4061" s="38">
        <v>40562</v>
      </c>
      <c r="C4061" s="3">
        <v>0</v>
      </c>
      <c r="D4061" s="3">
        <v>0</v>
      </c>
      <c r="E4061" s="3">
        <f>C4061 - D4061</f>
        <v>0</v>
      </c>
    </row>
    <row r="4062" spans="2:5" x14ac:dyDescent="0.35">
      <c r="B4062" s="38">
        <v>40563</v>
      </c>
      <c r="C4062" s="3">
        <v>0</v>
      </c>
      <c r="D4062" s="3">
        <v>0</v>
      </c>
      <c r="E4062" s="3">
        <f>C4062 - D4062</f>
        <v>0</v>
      </c>
    </row>
    <row r="4063" spans="2:5" x14ac:dyDescent="0.35">
      <c r="B4063" s="38">
        <v>40564</v>
      </c>
      <c r="C4063" s="3">
        <v>0</v>
      </c>
      <c r="D4063" s="3">
        <v>0</v>
      </c>
      <c r="E4063" s="3">
        <f>C4063 - D4063</f>
        <v>0</v>
      </c>
    </row>
    <row r="4064" spans="2:5" x14ac:dyDescent="0.35">
      <c r="B4064" s="38">
        <v>40565</v>
      </c>
      <c r="C4064" s="3">
        <v>0</v>
      </c>
      <c r="D4064" s="3">
        <v>0</v>
      </c>
      <c r="E4064" s="3">
        <f>C4064 - D4064</f>
        <v>0</v>
      </c>
    </row>
    <row r="4065" spans="2:5" x14ac:dyDescent="0.35">
      <c r="B4065" s="38">
        <v>40566</v>
      </c>
      <c r="C4065" s="3">
        <v>0</v>
      </c>
      <c r="D4065" s="3">
        <v>0</v>
      </c>
      <c r="E4065" s="3">
        <f>C4065 - D4065</f>
        <v>0</v>
      </c>
    </row>
    <row r="4066" spans="2:5" x14ac:dyDescent="0.35">
      <c r="B4066" s="38">
        <v>40567</v>
      </c>
      <c r="C4066" s="3">
        <v>1</v>
      </c>
      <c r="D4066" s="3">
        <v>0</v>
      </c>
      <c r="E4066" s="3">
        <f>C4066 - D4066</f>
        <v>1</v>
      </c>
    </row>
    <row r="4067" spans="2:5" x14ac:dyDescent="0.35">
      <c r="B4067" s="38">
        <v>40568</v>
      </c>
      <c r="C4067" s="3">
        <v>0</v>
      </c>
      <c r="D4067" s="3">
        <v>1</v>
      </c>
      <c r="E4067" s="3">
        <f>C4067 - D4067</f>
        <v>-1</v>
      </c>
    </row>
    <row r="4068" spans="2:5" x14ac:dyDescent="0.35">
      <c r="B4068" s="38">
        <v>40569</v>
      </c>
      <c r="C4068" s="3">
        <v>1</v>
      </c>
      <c r="D4068" s="3">
        <v>0</v>
      </c>
      <c r="E4068" s="3">
        <f>C4068 - D4068</f>
        <v>1</v>
      </c>
    </row>
    <row r="4069" spans="2:5" x14ac:dyDescent="0.35">
      <c r="B4069" s="38">
        <v>40570</v>
      </c>
      <c r="C4069" s="3">
        <v>1</v>
      </c>
      <c r="D4069" s="3">
        <v>1</v>
      </c>
      <c r="E4069" s="3">
        <f>C4069 - D4069</f>
        <v>0</v>
      </c>
    </row>
    <row r="4070" spans="2:5" x14ac:dyDescent="0.35">
      <c r="B4070" s="38">
        <v>40571</v>
      </c>
      <c r="C4070" s="3">
        <v>0</v>
      </c>
      <c r="D4070" s="3">
        <v>1</v>
      </c>
      <c r="E4070" s="3">
        <f>C4070 - D4070</f>
        <v>-1</v>
      </c>
    </row>
    <row r="4071" spans="2:5" x14ac:dyDescent="0.35">
      <c r="B4071" s="38">
        <v>40572</v>
      </c>
      <c r="C4071" s="3">
        <v>0</v>
      </c>
      <c r="D4071" s="3">
        <v>0</v>
      </c>
      <c r="E4071" s="3">
        <f>C4071 - D4071</f>
        <v>0</v>
      </c>
    </row>
    <row r="4072" spans="2:5" x14ac:dyDescent="0.35">
      <c r="B4072" s="38">
        <v>40573</v>
      </c>
      <c r="C4072" s="3">
        <v>0</v>
      </c>
      <c r="D4072" s="3">
        <v>0</v>
      </c>
      <c r="E4072" s="3">
        <f>C4072 - D4072</f>
        <v>0</v>
      </c>
    </row>
    <row r="4073" spans="2:5" x14ac:dyDescent="0.35">
      <c r="B4073" s="38">
        <v>40574</v>
      </c>
      <c r="C4073" s="3">
        <v>0</v>
      </c>
      <c r="D4073" s="3">
        <v>0</v>
      </c>
      <c r="E4073" s="3">
        <f>C4073 - D4073</f>
        <v>0</v>
      </c>
    </row>
    <row r="4074" spans="2:5" x14ac:dyDescent="0.35">
      <c r="B4074" s="38">
        <v>40575</v>
      </c>
      <c r="C4074" s="3">
        <v>0</v>
      </c>
      <c r="D4074" s="3">
        <v>0</v>
      </c>
      <c r="E4074" s="3">
        <f>C4074 - D4074</f>
        <v>0</v>
      </c>
    </row>
    <row r="4075" spans="2:5" x14ac:dyDescent="0.35">
      <c r="B4075" s="38">
        <v>40576</v>
      </c>
      <c r="C4075" s="3">
        <v>0</v>
      </c>
      <c r="D4075" s="3">
        <v>0</v>
      </c>
      <c r="E4075" s="3">
        <f>C4075 - D4075</f>
        <v>0</v>
      </c>
    </row>
    <row r="4076" spans="2:5" x14ac:dyDescent="0.35">
      <c r="B4076" s="38">
        <v>40577</v>
      </c>
      <c r="C4076" s="3">
        <v>0</v>
      </c>
      <c r="D4076" s="3">
        <v>0</v>
      </c>
      <c r="E4076" s="3">
        <f>C4076 - D4076</f>
        <v>0</v>
      </c>
    </row>
    <row r="4077" spans="2:5" x14ac:dyDescent="0.35">
      <c r="B4077" s="38">
        <v>40578</v>
      </c>
      <c r="C4077" s="3">
        <v>1</v>
      </c>
      <c r="D4077" s="3">
        <v>0</v>
      </c>
      <c r="E4077" s="3">
        <f>C4077 - D4077</f>
        <v>1</v>
      </c>
    </row>
    <row r="4078" spans="2:5" x14ac:dyDescent="0.35">
      <c r="B4078" s="38">
        <v>40579</v>
      </c>
      <c r="C4078" s="3">
        <v>1</v>
      </c>
      <c r="D4078" s="3">
        <v>1</v>
      </c>
      <c r="E4078" s="3">
        <f>C4078 - D4078</f>
        <v>0</v>
      </c>
    </row>
    <row r="4079" spans="2:5" x14ac:dyDescent="0.35">
      <c r="B4079" s="38">
        <v>40580</v>
      </c>
      <c r="C4079" s="3">
        <v>1</v>
      </c>
      <c r="D4079" s="3">
        <v>1</v>
      </c>
      <c r="E4079" s="3">
        <f>C4079 - D4079</f>
        <v>0</v>
      </c>
    </row>
    <row r="4080" spans="2:5" x14ac:dyDescent="0.35">
      <c r="B4080" s="38">
        <v>40581</v>
      </c>
      <c r="C4080" s="3">
        <v>1</v>
      </c>
      <c r="D4080" s="3">
        <v>1</v>
      </c>
      <c r="E4080" s="3">
        <f>C4080 - D4080</f>
        <v>0</v>
      </c>
    </row>
    <row r="4081" spans="2:5" x14ac:dyDescent="0.35">
      <c r="B4081" s="38">
        <v>40582</v>
      </c>
      <c r="C4081" s="3">
        <v>1</v>
      </c>
      <c r="D4081" s="3">
        <v>1</v>
      </c>
      <c r="E4081" s="3">
        <f>C4081 - D4081</f>
        <v>0</v>
      </c>
    </row>
    <row r="4082" spans="2:5" x14ac:dyDescent="0.35">
      <c r="B4082" s="38">
        <v>40583</v>
      </c>
      <c r="C4082" s="3">
        <v>0</v>
      </c>
      <c r="D4082" s="3">
        <v>1</v>
      </c>
      <c r="E4082" s="3">
        <f>C4082 - D4082</f>
        <v>-1</v>
      </c>
    </row>
    <row r="4083" spans="2:5" x14ac:dyDescent="0.35">
      <c r="B4083" s="38">
        <v>40584</v>
      </c>
      <c r="C4083" s="3">
        <v>0</v>
      </c>
      <c r="D4083" s="3">
        <v>0</v>
      </c>
      <c r="E4083" s="3">
        <f>C4083 - D4083</f>
        <v>0</v>
      </c>
    </row>
    <row r="4084" spans="2:5" x14ac:dyDescent="0.35">
      <c r="B4084" s="38">
        <v>40585</v>
      </c>
      <c r="C4084" s="3">
        <v>1</v>
      </c>
      <c r="D4084" s="3">
        <v>0</v>
      </c>
      <c r="E4084" s="3">
        <f>C4084 - D4084</f>
        <v>1</v>
      </c>
    </row>
    <row r="4085" spans="2:5" x14ac:dyDescent="0.35">
      <c r="B4085" s="38">
        <v>40586</v>
      </c>
      <c r="C4085" s="3">
        <v>1</v>
      </c>
      <c r="D4085" s="3">
        <v>1</v>
      </c>
      <c r="E4085" s="3">
        <f>C4085 - D4085</f>
        <v>0</v>
      </c>
    </row>
    <row r="4086" spans="2:5" x14ac:dyDescent="0.35">
      <c r="B4086" s="38">
        <v>40587</v>
      </c>
      <c r="C4086" s="3">
        <v>0</v>
      </c>
      <c r="D4086" s="3">
        <v>1</v>
      </c>
      <c r="E4086" s="3">
        <f>C4086 - D4086</f>
        <v>-1</v>
      </c>
    </row>
    <row r="4087" spans="2:5" x14ac:dyDescent="0.35">
      <c r="B4087" s="38">
        <v>40588</v>
      </c>
      <c r="C4087" s="3">
        <v>0</v>
      </c>
      <c r="D4087" s="3">
        <v>0</v>
      </c>
      <c r="E4087" s="3">
        <f>C4087 - D4087</f>
        <v>0</v>
      </c>
    </row>
    <row r="4088" spans="2:5" x14ac:dyDescent="0.35">
      <c r="B4088" s="38">
        <v>40589</v>
      </c>
      <c r="C4088" s="3">
        <v>0</v>
      </c>
      <c r="D4088" s="3">
        <v>0</v>
      </c>
      <c r="E4088" s="3">
        <f>C4088 - D4088</f>
        <v>0</v>
      </c>
    </row>
    <row r="4089" spans="2:5" x14ac:dyDescent="0.35">
      <c r="B4089" s="38">
        <v>40590</v>
      </c>
      <c r="C4089" s="3">
        <v>0</v>
      </c>
      <c r="D4089" s="3">
        <v>0</v>
      </c>
      <c r="E4089" s="3">
        <f>C4089 - D4089</f>
        <v>0</v>
      </c>
    </row>
    <row r="4090" spans="2:5" x14ac:dyDescent="0.35">
      <c r="B4090" s="38">
        <v>40591</v>
      </c>
      <c r="C4090" s="3">
        <v>1</v>
      </c>
      <c r="D4090" s="3">
        <v>0</v>
      </c>
      <c r="E4090" s="3">
        <f>C4090 - D4090</f>
        <v>1</v>
      </c>
    </row>
    <row r="4091" spans="2:5" x14ac:dyDescent="0.35">
      <c r="B4091" s="38">
        <v>40592</v>
      </c>
      <c r="C4091" s="3">
        <v>0</v>
      </c>
      <c r="D4091" s="3">
        <v>1</v>
      </c>
      <c r="E4091" s="3">
        <f>C4091 - D4091</f>
        <v>-1</v>
      </c>
    </row>
    <row r="4092" spans="2:5" x14ac:dyDescent="0.35">
      <c r="B4092" s="38">
        <v>40593</v>
      </c>
      <c r="C4092" s="3">
        <v>1</v>
      </c>
      <c r="D4092" s="3">
        <v>0</v>
      </c>
      <c r="E4092" s="3">
        <f>C4092 - D4092</f>
        <v>1</v>
      </c>
    </row>
    <row r="4093" spans="2:5" x14ac:dyDescent="0.35">
      <c r="B4093" s="38">
        <v>40594</v>
      </c>
      <c r="C4093" s="3">
        <v>0</v>
      </c>
      <c r="D4093" s="3">
        <v>1</v>
      </c>
      <c r="E4093" s="3">
        <f>C4093 - D4093</f>
        <v>-1</v>
      </c>
    </row>
    <row r="4094" spans="2:5" x14ac:dyDescent="0.35">
      <c r="B4094" s="38">
        <v>40595</v>
      </c>
      <c r="C4094" s="3">
        <v>1</v>
      </c>
      <c r="D4094" s="3">
        <v>0</v>
      </c>
      <c r="E4094" s="3">
        <f>C4094 - D4094</f>
        <v>1</v>
      </c>
    </row>
    <row r="4095" spans="2:5" x14ac:dyDescent="0.35">
      <c r="B4095" s="38">
        <v>40596</v>
      </c>
      <c r="C4095" s="3">
        <v>1</v>
      </c>
      <c r="D4095" s="3">
        <v>1</v>
      </c>
      <c r="E4095" s="3">
        <f>C4095 - D4095</f>
        <v>0</v>
      </c>
    </row>
    <row r="4096" spans="2:5" x14ac:dyDescent="0.35">
      <c r="B4096" s="38">
        <v>40597</v>
      </c>
      <c r="C4096" s="3">
        <v>0</v>
      </c>
      <c r="D4096" s="3">
        <v>1</v>
      </c>
      <c r="E4096" s="3">
        <f>C4096 - D4096</f>
        <v>-1</v>
      </c>
    </row>
    <row r="4097" spans="2:5" x14ac:dyDescent="0.35">
      <c r="B4097" s="38">
        <v>40598</v>
      </c>
      <c r="C4097" s="3">
        <v>0</v>
      </c>
      <c r="D4097" s="3">
        <v>0</v>
      </c>
      <c r="E4097" s="3">
        <f>C4097 - D4097</f>
        <v>0</v>
      </c>
    </row>
    <row r="4098" spans="2:5" x14ac:dyDescent="0.35">
      <c r="B4098" s="38">
        <v>40599</v>
      </c>
      <c r="C4098" s="3">
        <v>0</v>
      </c>
      <c r="D4098" s="3">
        <v>0</v>
      </c>
      <c r="E4098" s="3">
        <f>C4098 - D4098</f>
        <v>0</v>
      </c>
    </row>
    <row r="4099" spans="2:5" x14ac:dyDescent="0.35">
      <c r="B4099" s="38">
        <v>40600</v>
      </c>
      <c r="C4099" s="3">
        <v>0</v>
      </c>
      <c r="D4099" s="3">
        <v>0</v>
      </c>
      <c r="E4099" s="3">
        <f>C4099 - D4099</f>
        <v>0</v>
      </c>
    </row>
    <row r="4100" spans="2:5" x14ac:dyDescent="0.35">
      <c r="B4100" s="38">
        <v>40601</v>
      </c>
      <c r="C4100" s="3">
        <v>1</v>
      </c>
      <c r="D4100" s="3">
        <v>0</v>
      </c>
      <c r="E4100" s="3">
        <f>C4100 - D4100</f>
        <v>1</v>
      </c>
    </row>
    <row r="4101" spans="2:5" x14ac:dyDescent="0.35">
      <c r="B4101" s="38">
        <v>40602</v>
      </c>
      <c r="C4101" s="3">
        <v>1</v>
      </c>
      <c r="D4101" s="3">
        <v>1</v>
      </c>
      <c r="E4101" s="3">
        <f>C4101 - D4101</f>
        <v>0</v>
      </c>
    </row>
    <row r="4102" spans="2:5" x14ac:dyDescent="0.35">
      <c r="B4102" s="38">
        <v>40603</v>
      </c>
      <c r="C4102" s="3">
        <v>1</v>
      </c>
      <c r="D4102" s="3">
        <v>1</v>
      </c>
      <c r="E4102" s="3">
        <f>C4102 - D4102</f>
        <v>0</v>
      </c>
    </row>
    <row r="4103" spans="2:5" x14ac:dyDescent="0.35">
      <c r="B4103" s="38">
        <v>40604</v>
      </c>
      <c r="C4103" s="3">
        <v>1</v>
      </c>
      <c r="D4103" s="3">
        <v>1</v>
      </c>
      <c r="E4103" s="3">
        <f>C4103 - D4103</f>
        <v>0</v>
      </c>
    </row>
    <row r="4104" spans="2:5" x14ac:dyDescent="0.35">
      <c r="B4104" s="38">
        <v>40605</v>
      </c>
      <c r="C4104" s="3">
        <v>0</v>
      </c>
      <c r="D4104" s="3">
        <v>1</v>
      </c>
      <c r="E4104" s="3">
        <f>C4104 - D4104</f>
        <v>-1</v>
      </c>
    </row>
    <row r="4105" spans="2:5" x14ac:dyDescent="0.35">
      <c r="B4105" s="38">
        <v>40606</v>
      </c>
      <c r="C4105" s="3">
        <v>0</v>
      </c>
      <c r="D4105" s="3">
        <v>0</v>
      </c>
      <c r="E4105" s="3">
        <f>C4105 - D4105</f>
        <v>0</v>
      </c>
    </row>
    <row r="4106" spans="2:5" x14ac:dyDescent="0.35">
      <c r="B4106" s="38">
        <v>40607</v>
      </c>
      <c r="C4106" s="3">
        <v>0</v>
      </c>
      <c r="D4106" s="3">
        <v>0</v>
      </c>
      <c r="E4106" s="3">
        <f>C4106 - D4106</f>
        <v>0</v>
      </c>
    </row>
    <row r="4107" spans="2:5" x14ac:dyDescent="0.35">
      <c r="B4107" s="38">
        <v>40608</v>
      </c>
      <c r="C4107" s="3">
        <v>0</v>
      </c>
      <c r="D4107" s="3">
        <v>0</v>
      </c>
      <c r="E4107" s="3">
        <f>C4107 - D4107</f>
        <v>0</v>
      </c>
    </row>
    <row r="4108" spans="2:5" x14ac:dyDescent="0.35">
      <c r="B4108" s="38">
        <v>40609</v>
      </c>
      <c r="C4108" s="3">
        <v>0</v>
      </c>
      <c r="D4108" s="3">
        <v>0</v>
      </c>
      <c r="E4108" s="3">
        <f>C4108 - D4108</f>
        <v>0</v>
      </c>
    </row>
    <row r="4109" spans="2:5" x14ac:dyDescent="0.35">
      <c r="B4109" s="38">
        <v>40610</v>
      </c>
      <c r="C4109" s="3">
        <v>0</v>
      </c>
      <c r="D4109" s="3">
        <v>0</v>
      </c>
      <c r="E4109" s="3">
        <f>C4109 - D4109</f>
        <v>0</v>
      </c>
    </row>
    <row r="4110" spans="2:5" x14ac:dyDescent="0.35">
      <c r="B4110" s="38">
        <v>40611</v>
      </c>
      <c r="C4110" s="3">
        <v>1</v>
      </c>
      <c r="D4110" s="3">
        <v>0</v>
      </c>
      <c r="E4110" s="3">
        <f>C4110 - D4110</f>
        <v>1</v>
      </c>
    </row>
    <row r="4111" spans="2:5" x14ac:dyDescent="0.35">
      <c r="B4111" s="38">
        <v>40612</v>
      </c>
      <c r="C4111" s="3">
        <v>1</v>
      </c>
      <c r="D4111" s="3">
        <v>1</v>
      </c>
      <c r="E4111" s="3">
        <f>C4111 - D4111</f>
        <v>0</v>
      </c>
    </row>
    <row r="4112" spans="2:5" x14ac:dyDescent="0.35">
      <c r="B4112" s="38">
        <v>40613</v>
      </c>
      <c r="C4112" s="3">
        <v>1</v>
      </c>
      <c r="D4112" s="3">
        <v>1</v>
      </c>
      <c r="E4112" s="3">
        <f>C4112 - D4112</f>
        <v>0</v>
      </c>
    </row>
    <row r="4113" spans="2:5" x14ac:dyDescent="0.35">
      <c r="B4113" s="38">
        <v>40614</v>
      </c>
      <c r="C4113" s="3">
        <v>0</v>
      </c>
      <c r="D4113" s="3">
        <v>1</v>
      </c>
      <c r="E4113" s="3">
        <f>C4113 - D4113</f>
        <v>-1</v>
      </c>
    </row>
    <row r="4114" spans="2:5" x14ac:dyDescent="0.35">
      <c r="B4114" s="38">
        <v>40615</v>
      </c>
      <c r="C4114" s="3">
        <v>0</v>
      </c>
      <c r="D4114" s="3">
        <v>0</v>
      </c>
      <c r="E4114" s="3">
        <f>C4114 - D4114</f>
        <v>0</v>
      </c>
    </row>
    <row r="4115" spans="2:5" x14ac:dyDescent="0.35">
      <c r="B4115" s="38">
        <v>40616</v>
      </c>
      <c r="C4115" s="3">
        <v>1</v>
      </c>
      <c r="D4115" s="3">
        <v>0</v>
      </c>
      <c r="E4115" s="3">
        <f>C4115 - D4115</f>
        <v>1</v>
      </c>
    </row>
    <row r="4116" spans="2:5" x14ac:dyDescent="0.35">
      <c r="B4116" s="38">
        <v>40617</v>
      </c>
      <c r="C4116" s="3">
        <v>1</v>
      </c>
      <c r="D4116" s="3">
        <v>1</v>
      </c>
      <c r="E4116" s="3">
        <f>C4116 - D4116</f>
        <v>0</v>
      </c>
    </row>
    <row r="4117" spans="2:5" x14ac:dyDescent="0.35">
      <c r="B4117" s="38">
        <v>40618</v>
      </c>
      <c r="C4117" s="3">
        <v>0</v>
      </c>
      <c r="D4117" s="3">
        <v>1</v>
      </c>
      <c r="E4117" s="3">
        <f>C4117 - D4117</f>
        <v>-1</v>
      </c>
    </row>
    <row r="4118" spans="2:5" x14ac:dyDescent="0.35">
      <c r="B4118" s="38">
        <v>40619</v>
      </c>
      <c r="C4118" s="3">
        <v>0</v>
      </c>
      <c r="D4118" s="3">
        <v>0</v>
      </c>
      <c r="E4118" s="3">
        <f>C4118 - D4118</f>
        <v>0</v>
      </c>
    </row>
    <row r="4119" spans="2:5" x14ac:dyDescent="0.35">
      <c r="B4119" s="38">
        <v>40620</v>
      </c>
      <c r="C4119" s="3">
        <v>0</v>
      </c>
      <c r="D4119" s="3">
        <v>0</v>
      </c>
      <c r="E4119" s="3">
        <f>C4119 - D4119</f>
        <v>0</v>
      </c>
    </row>
    <row r="4120" spans="2:5" x14ac:dyDescent="0.35">
      <c r="B4120" s="38">
        <v>40621</v>
      </c>
      <c r="C4120" s="3">
        <v>0</v>
      </c>
      <c r="D4120" s="3">
        <v>0</v>
      </c>
      <c r="E4120" s="3">
        <f>C4120 - D4120</f>
        <v>0</v>
      </c>
    </row>
    <row r="4121" spans="2:5" x14ac:dyDescent="0.35">
      <c r="B4121" s="38">
        <v>40622</v>
      </c>
      <c r="C4121" s="3">
        <v>1</v>
      </c>
      <c r="D4121" s="3">
        <v>0</v>
      </c>
      <c r="E4121" s="3">
        <f>C4121 - D4121</f>
        <v>1</v>
      </c>
    </row>
    <row r="4122" spans="2:5" x14ac:dyDescent="0.35">
      <c r="B4122" s="38">
        <v>40623</v>
      </c>
      <c r="C4122" s="3">
        <v>1</v>
      </c>
      <c r="D4122" s="3">
        <v>1</v>
      </c>
      <c r="E4122" s="3">
        <f>C4122 - D4122</f>
        <v>0</v>
      </c>
    </row>
    <row r="4123" spans="2:5" x14ac:dyDescent="0.35">
      <c r="B4123" s="38">
        <v>40624</v>
      </c>
      <c r="C4123" s="3">
        <v>0</v>
      </c>
      <c r="D4123" s="3">
        <v>1</v>
      </c>
      <c r="E4123" s="3">
        <f>C4123 - D4123</f>
        <v>-1</v>
      </c>
    </row>
    <row r="4124" spans="2:5" x14ac:dyDescent="0.35">
      <c r="B4124" s="38">
        <v>40625</v>
      </c>
      <c r="C4124" s="3">
        <v>0</v>
      </c>
      <c r="D4124" s="3">
        <v>0</v>
      </c>
      <c r="E4124" s="3">
        <f>C4124 - D4124</f>
        <v>0</v>
      </c>
    </row>
    <row r="4125" spans="2:5" x14ac:dyDescent="0.35">
      <c r="B4125" s="38">
        <v>40626</v>
      </c>
      <c r="C4125" s="3">
        <v>0</v>
      </c>
      <c r="D4125" s="3">
        <v>0</v>
      </c>
      <c r="E4125" s="3">
        <f>C4125 - D4125</f>
        <v>0</v>
      </c>
    </row>
    <row r="4126" spans="2:5" x14ac:dyDescent="0.35">
      <c r="B4126" s="38">
        <v>40627</v>
      </c>
      <c r="C4126" s="3">
        <v>1</v>
      </c>
      <c r="D4126" s="3">
        <v>0</v>
      </c>
      <c r="E4126" s="3">
        <f>C4126 - D4126</f>
        <v>1</v>
      </c>
    </row>
    <row r="4127" spans="2:5" x14ac:dyDescent="0.35">
      <c r="B4127" s="38">
        <v>40628</v>
      </c>
      <c r="C4127" s="3">
        <v>1</v>
      </c>
      <c r="D4127" s="3">
        <v>1</v>
      </c>
      <c r="E4127" s="3">
        <f>C4127 - D4127</f>
        <v>0</v>
      </c>
    </row>
    <row r="4128" spans="2:5" x14ac:dyDescent="0.35">
      <c r="B4128" s="38">
        <v>40629</v>
      </c>
      <c r="C4128" s="3">
        <v>0</v>
      </c>
      <c r="D4128" s="3">
        <v>1</v>
      </c>
      <c r="E4128" s="3">
        <f>C4128 - D4128</f>
        <v>-1</v>
      </c>
    </row>
    <row r="4129" spans="2:5" x14ac:dyDescent="0.35">
      <c r="B4129" s="38">
        <v>40630</v>
      </c>
      <c r="C4129" s="3">
        <v>0</v>
      </c>
      <c r="D4129" s="3">
        <v>0</v>
      </c>
      <c r="E4129" s="3">
        <f>C4129 - D4129</f>
        <v>0</v>
      </c>
    </row>
    <row r="4130" spans="2:5" x14ac:dyDescent="0.35">
      <c r="B4130" s="38">
        <v>40631</v>
      </c>
      <c r="C4130" s="3">
        <v>0</v>
      </c>
      <c r="D4130" s="3">
        <v>0</v>
      </c>
      <c r="E4130" s="3">
        <f>C4130 - D4130</f>
        <v>0</v>
      </c>
    </row>
    <row r="4131" spans="2:5" x14ac:dyDescent="0.35">
      <c r="B4131" s="38">
        <v>40632</v>
      </c>
      <c r="C4131" s="3">
        <v>0</v>
      </c>
      <c r="D4131" s="3">
        <v>0</v>
      </c>
      <c r="E4131" s="3">
        <f>C4131 - D4131</f>
        <v>0</v>
      </c>
    </row>
    <row r="4132" spans="2:5" x14ac:dyDescent="0.35">
      <c r="B4132" s="38">
        <v>40633</v>
      </c>
      <c r="C4132" s="3">
        <v>0</v>
      </c>
      <c r="D4132" s="3">
        <v>0</v>
      </c>
      <c r="E4132" s="3">
        <f>C4132 - D4132</f>
        <v>0</v>
      </c>
    </row>
    <row r="4133" spans="2:5" x14ac:dyDescent="0.35">
      <c r="B4133" s="38">
        <v>40634</v>
      </c>
      <c r="C4133" s="3">
        <v>0</v>
      </c>
      <c r="D4133" s="3">
        <v>0</v>
      </c>
      <c r="E4133" s="3">
        <f>C4133 - D4133</f>
        <v>0</v>
      </c>
    </row>
    <row r="4134" spans="2:5" x14ac:dyDescent="0.35">
      <c r="B4134" s="38">
        <v>40635</v>
      </c>
      <c r="C4134" s="3">
        <v>0</v>
      </c>
      <c r="D4134" s="3">
        <v>0</v>
      </c>
      <c r="E4134" s="3">
        <f>C4134 - D4134</f>
        <v>0</v>
      </c>
    </row>
    <row r="4135" spans="2:5" x14ac:dyDescent="0.35">
      <c r="B4135" s="38">
        <v>40636</v>
      </c>
      <c r="C4135" s="3">
        <v>0</v>
      </c>
      <c r="D4135" s="3">
        <v>0</v>
      </c>
      <c r="E4135" s="3">
        <f>C4135 - D4135</f>
        <v>0</v>
      </c>
    </row>
    <row r="4136" spans="2:5" x14ac:dyDescent="0.35">
      <c r="B4136" s="38">
        <v>40637</v>
      </c>
      <c r="C4136" s="3">
        <v>1</v>
      </c>
      <c r="D4136" s="3">
        <v>0</v>
      </c>
      <c r="E4136" s="3">
        <f>C4136 - D4136</f>
        <v>1</v>
      </c>
    </row>
    <row r="4137" spans="2:5" x14ac:dyDescent="0.35">
      <c r="B4137" s="38">
        <v>40638</v>
      </c>
      <c r="C4137" s="3">
        <v>1</v>
      </c>
      <c r="D4137" s="3">
        <v>1</v>
      </c>
      <c r="E4137" s="3">
        <f>C4137 - D4137</f>
        <v>0</v>
      </c>
    </row>
    <row r="4138" spans="2:5" x14ac:dyDescent="0.35">
      <c r="B4138" s="38">
        <v>40639</v>
      </c>
      <c r="C4138" s="3">
        <v>0</v>
      </c>
      <c r="D4138" s="3">
        <v>1</v>
      </c>
      <c r="E4138" s="3">
        <f>C4138 - D4138</f>
        <v>-1</v>
      </c>
    </row>
    <row r="4139" spans="2:5" x14ac:dyDescent="0.35">
      <c r="B4139" s="38">
        <v>40640</v>
      </c>
      <c r="C4139" s="3">
        <v>0</v>
      </c>
      <c r="D4139" s="3">
        <v>0</v>
      </c>
      <c r="E4139" s="3">
        <f>C4139 - D4139</f>
        <v>0</v>
      </c>
    </row>
    <row r="4140" spans="2:5" x14ac:dyDescent="0.35">
      <c r="B4140" s="38">
        <v>40641</v>
      </c>
      <c r="C4140" s="3">
        <v>0</v>
      </c>
      <c r="D4140" s="3">
        <v>0</v>
      </c>
      <c r="E4140" s="3">
        <f>C4140 - D4140</f>
        <v>0</v>
      </c>
    </row>
    <row r="4141" spans="2:5" x14ac:dyDescent="0.35">
      <c r="B4141" s="38">
        <v>40642</v>
      </c>
      <c r="C4141" s="3">
        <v>0</v>
      </c>
      <c r="D4141" s="3">
        <v>0</v>
      </c>
      <c r="E4141" s="3">
        <f>C4141 - D4141</f>
        <v>0</v>
      </c>
    </row>
    <row r="4142" spans="2:5" x14ac:dyDescent="0.35">
      <c r="B4142" s="38">
        <v>40643</v>
      </c>
      <c r="C4142" s="3">
        <v>1</v>
      </c>
      <c r="D4142" s="3">
        <v>0</v>
      </c>
      <c r="E4142" s="3">
        <f>C4142 - D4142</f>
        <v>1</v>
      </c>
    </row>
    <row r="4143" spans="2:5" x14ac:dyDescent="0.35">
      <c r="B4143" s="38">
        <v>40644</v>
      </c>
      <c r="C4143" s="3">
        <v>1</v>
      </c>
      <c r="D4143" s="3">
        <v>1</v>
      </c>
      <c r="E4143" s="3">
        <f>C4143 - D4143</f>
        <v>0</v>
      </c>
    </row>
    <row r="4144" spans="2:5" x14ac:dyDescent="0.35">
      <c r="B4144" s="38">
        <v>40645</v>
      </c>
      <c r="C4144" s="3">
        <v>1</v>
      </c>
      <c r="D4144" s="3">
        <v>1</v>
      </c>
      <c r="E4144" s="3">
        <f>C4144 - D4144</f>
        <v>0</v>
      </c>
    </row>
    <row r="4145" spans="2:5" x14ac:dyDescent="0.35">
      <c r="B4145" s="38">
        <v>40646</v>
      </c>
      <c r="C4145" s="3">
        <v>1</v>
      </c>
      <c r="D4145" s="3">
        <v>1</v>
      </c>
      <c r="E4145" s="3">
        <f>C4145 - D4145</f>
        <v>0</v>
      </c>
    </row>
    <row r="4146" spans="2:5" x14ac:dyDescent="0.35">
      <c r="B4146" s="38">
        <v>40647</v>
      </c>
      <c r="C4146" s="3">
        <v>1</v>
      </c>
      <c r="D4146" s="3">
        <v>1</v>
      </c>
      <c r="E4146" s="3">
        <f>C4146 - D4146</f>
        <v>0</v>
      </c>
    </row>
    <row r="4147" spans="2:5" x14ac:dyDescent="0.35">
      <c r="B4147" s="38">
        <v>40648</v>
      </c>
      <c r="C4147" s="3">
        <v>1</v>
      </c>
      <c r="D4147" s="3">
        <v>1</v>
      </c>
      <c r="E4147" s="3">
        <f>C4147 - D4147</f>
        <v>0</v>
      </c>
    </row>
    <row r="4148" spans="2:5" x14ac:dyDescent="0.35">
      <c r="B4148" s="38">
        <v>40649</v>
      </c>
      <c r="C4148" s="3">
        <v>0</v>
      </c>
      <c r="D4148" s="3">
        <v>1</v>
      </c>
      <c r="E4148" s="3">
        <f>C4148 - D4148</f>
        <v>-1</v>
      </c>
    </row>
    <row r="4149" spans="2:5" x14ac:dyDescent="0.35">
      <c r="B4149" s="38">
        <v>40650</v>
      </c>
      <c r="C4149" s="3">
        <v>0</v>
      </c>
      <c r="D4149" s="3">
        <v>0</v>
      </c>
      <c r="E4149" s="3">
        <f>C4149 - D4149</f>
        <v>0</v>
      </c>
    </row>
    <row r="4150" spans="2:5" x14ac:dyDescent="0.35">
      <c r="B4150" s="38">
        <v>40651</v>
      </c>
      <c r="C4150" s="3">
        <v>1</v>
      </c>
      <c r="D4150" s="3">
        <v>0</v>
      </c>
      <c r="E4150" s="3">
        <f>C4150 - D4150</f>
        <v>1</v>
      </c>
    </row>
    <row r="4151" spans="2:5" x14ac:dyDescent="0.35">
      <c r="B4151" s="38">
        <v>40652</v>
      </c>
      <c r="C4151" s="3">
        <v>0</v>
      </c>
      <c r="D4151" s="3">
        <v>1</v>
      </c>
      <c r="E4151" s="3">
        <f>C4151 - D4151</f>
        <v>-1</v>
      </c>
    </row>
    <row r="4152" spans="2:5" x14ac:dyDescent="0.35">
      <c r="B4152" s="38">
        <v>40653</v>
      </c>
      <c r="C4152" s="3">
        <v>0</v>
      </c>
      <c r="D4152" s="3">
        <v>0</v>
      </c>
      <c r="E4152" s="3">
        <f>C4152 - D4152</f>
        <v>0</v>
      </c>
    </row>
    <row r="4153" spans="2:5" x14ac:dyDescent="0.35">
      <c r="B4153" s="38">
        <v>40654</v>
      </c>
      <c r="C4153" s="3">
        <v>1</v>
      </c>
      <c r="D4153" s="3">
        <v>0</v>
      </c>
      <c r="E4153" s="3">
        <f>C4153 - D4153</f>
        <v>1</v>
      </c>
    </row>
    <row r="4154" spans="2:5" x14ac:dyDescent="0.35">
      <c r="B4154" s="38">
        <v>40655</v>
      </c>
      <c r="C4154" s="3">
        <v>1</v>
      </c>
      <c r="D4154" s="3">
        <v>1</v>
      </c>
      <c r="E4154" s="3">
        <f>C4154 - D4154</f>
        <v>0</v>
      </c>
    </row>
    <row r="4155" spans="2:5" x14ac:dyDescent="0.35">
      <c r="B4155" s="38">
        <v>40656</v>
      </c>
      <c r="C4155" s="3">
        <v>1</v>
      </c>
      <c r="D4155" s="3">
        <v>1</v>
      </c>
      <c r="E4155" s="3">
        <f>C4155 - D4155</f>
        <v>0</v>
      </c>
    </row>
    <row r="4156" spans="2:5" x14ac:dyDescent="0.35">
      <c r="B4156" s="38">
        <v>40657</v>
      </c>
      <c r="C4156" s="3">
        <v>0</v>
      </c>
      <c r="D4156" s="3">
        <v>1</v>
      </c>
      <c r="E4156" s="3">
        <f>C4156 - D4156</f>
        <v>-1</v>
      </c>
    </row>
    <row r="4157" spans="2:5" x14ac:dyDescent="0.35">
      <c r="B4157" s="38">
        <v>40658</v>
      </c>
      <c r="C4157" s="3">
        <v>0</v>
      </c>
      <c r="D4157" s="3">
        <v>0</v>
      </c>
      <c r="E4157" s="3">
        <f>C4157 - D4157</f>
        <v>0</v>
      </c>
    </row>
    <row r="4158" spans="2:5" x14ac:dyDescent="0.35">
      <c r="B4158" s="38">
        <v>40659</v>
      </c>
      <c r="C4158" s="3">
        <v>0</v>
      </c>
      <c r="D4158" s="3">
        <v>0</v>
      </c>
      <c r="E4158" s="3">
        <f>C4158 - D4158</f>
        <v>0</v>
      </c>
    </row>
    <row r="4159" spans="2:5" x14ac:dyDescent="0.35">
      <c r="B4159" s="38">
        <v>40660</v>
      </c>
      <c r="C4159" s="3">
        <v>0</v>
      </c>
      <c r="D4159" s="3">
        <v>0</v>
      </c>
      <c r="E4159" s="3">
        <f>C4159 - D4159</f>
        <v>0</v>
      </c>
    </row>
    <row r="4160" spans="2:5" x14ac:dyDescent="0.35">
      <c r="B4160" s="38">
        <v>40661</v>
      </c>
      <c r="C4160" s="3">
        <v>0</v>
      </c>
      <c r="D4160" s="3">
        <v>0</v>
      </c>
      <c r="E4160" s="3">
        <f>C4160 - D4160</f>
        <v>0</v>
      </c>
    </row>
    <row r="4161" spans="2:5" x14ac:dyDescent="0.35">
      <c r="B4161" s="38">
        <v>40662</v>
      </c>
      <c r="C4161" s="3">
        <v>0</v>
      </c>
      <c r="D4161" s="3">
        <v>0</v>
      </c>
      <c r="E4161" s="3">
        <f>C4161 - D4161</f>
        <v>0</v>
      </c>
    </row>
    <row r="4162" spans="2:5" x14ac:dyDescent="0.35">
      <c r="B4162" s="38">
        <v>40663</v>
      </c>
      <c r="C4162" s="3">
        <v>0</v>
      </c>
      <c r="D4162" s="3">
        <v>0</v>
      </c>
      <c r="E4162" s="3">
        <f>C4162 - D4162</f>
        <v>0</v>
      </c>
    </row>
    <row r="4163" spans="2:5" x14ac:dyDescent="0.35">
      <c r="B4163" s="38">
        <v>40664</v>
      </c>
      <c r="C4163" s="3">
        <v>0</v>
      </c>
      <c r="D4163" s="3">
        <v>0</v>
      </c>
      <c r="E4163" s="3">
        <f>C4163 - D4163</f>
        <v>0</v>
      </c>
    </row>
    <row r="4164" spans="2:5" x14ac:dyDescent="0.35">
      <c r="B4164" s="38">
        <v>40665</v>
      </c>
      <c r="C4164" s="3">
        <v>1</v>
      </c>
      <c r="D4164" s="3">
        <v>0</v>
      </c>
      <c r="E4164" s="3">
        <f>C4164 - D4164</f>
        <v>1</v>
      </c>
    </row>
    <row r="4165" spans="2:5" x14ac:dyDescent="0.35">
      <c r="B4165" s="38">
        <v>40666</v>
      </c>
      <c r="C4165" s="3">
        <v>0</v>
      </c>
      <c r="D4165" s="3">
        <v>1</v>
      </c>
      <c r="E4165" s="3">
        <f>C4165 - D4165</f>
        <v>-1</v>
      </c>
    </row>
    <row r="4166" spans="2:5" x14ac:dyDescent="0.35">
      <c r="B4166" s="38">
        <v>40667</v>
      </c>
      <c r="C4166" s="3">
        <v>0</v>
      </c>
      <c r="D4166" s="3">
        <v>0</v>
      </c>
      <c r="E4166" s="3">
        <f>C4166 - D4166</f>
        <v>0</v>
      </c>
    </row>
    <row r="4167" spans="2:5" x14ac:dyDescent="0.35">
      <c r="B4167" s="38">
        <v>40668</v>
      </c>
      <c r="C4167" s="3">
        <v>1</v>
      </c>
      <c r="D4167" s="3">
        <v>0</v>
      </c>
      <c r="E4167" s="3">
        <f>C4167 - D4167</f>
        <v>1</v>
      </c>
    </row>
    <row r="4168" spans="2:5" x14ac:dyDescent="0.35">
      <c r="B4168" s="38">
        <v>40669</v>
      </c>
      <c r="C4168" s="3">
        <v>0</v>
      </c>
      <c r="D4168" s="3">
        <v>1</v>
      </c>
      <c r="E4168" s="3">
        <f>C4168 - D4168</f>
        <v>-1</v>
      </c>
    </row>
    <row r="4169" spans="2:5" x14ac:dyDescent="0.35">
      <c r="B4169" s="38">
        <v>40670</v>
      </c>
      <c r="C4169" s="3">
        <v>0</v>
      </c>
      <c r="D4169" s="3">
        <v>0</v>
      </c>
      <c r="E4169" s="3">
        <f>C4169 - D4169</f>
        <v>0</v>
      </c>
    </row>
    <row r="4170" spans="2:5" x14ac:dyDescent="0.35">
      <c r="B4170" s="38">
        <v>40671</v>
      </c>
      <c r="C4170" s="3">
        <v>0</v>
      </c>
      <c r="D4170" s="3">
        <v>0</v>
      </c>
      <c r="E4170" s="3">
        <f>C4170 - D4170</f>
        <v>0</v>
      </c>
    </row>
    <row r="4171" spans="2:5" x14ac:dyDescent="0.35">
      <c r="B4171" s="38">
        <v>40672</v>
      </c>
      <c r="C4171" s="3">
        <v>1</v>
      </c>
      <c r="D4171" s="3">
        <v>0</v>
      </c>
      <c r="E4171" s="3">
        <f>C4171 - D4171</f>
        <v>1</v>
      </c>
    </row>
    <row r="4172" spans="2:5" x14ac:dyDescent="0.35">
      <c r="B4172" s="38">
        <v>40673</v>
      </c>
      <c r="C4172" s="3">
        <v>0</v>
      </c>
      <c r="D4172" s="3">
        <v>1</v>
      </c>
      <c r="E4172" s="3">
        <f>C4172 - D4172</f>
        <v>-1</v>
      </c>
    </row>
    <row r="4173" spans="2:5" x14ac:dyDescent="0.35">
      <c r="B4173" s="38">
        <v>40674</v>
      </c>
      <c r="C4173" s="3">
        <v>1</v>
      </c>
      <c r="D4173" s="3">
        <v>0</v>
      </c>
      <c r="E4173" s="3">
        <f>C4173 - D4173</f>
        <v>1</v>
      </c>
    </row>
    <row r="4174" spans="2:5" x14ac:dyDescent="0.35">
      <c r="B4174" s="38">
        <v>40675</v>
      </c>
      <c r="C4174" s="3">
        <v>1</v>
      </c>
      <c r="D4174" s="3">
        <v>1</v>
      </c>
      <c r="E4174" s="3">
        <f>C4174 - D4174</f>
        <v>0</v>
      </c>
    </row>
    <row r="4175" spans="2:5" x14ac:dyDescent="0.35">
      <c r="B4175" s="38">
        <v>40676</v>
      </c>
      <c r="C4175" s="3">
        <v>1</v>
      </c>
      <c r="D4175" s="3">
        <v>1</v>
      </c>
      <c r="E4175" s="3">
        <f>C4175 - D4175</f>
        <v>0</v>
      </c>
    </row>
    <row r="4176" spans="2:5" x14ac:dyDescent="0.35">
      <c r="B4176" s="38">
        <v>40677</v>
      </c>
      <c r="C4176" s="3">
        <v>1</v>
      </c>
      <c r="D4176" s="3">
        <v>1</v>
      </c>
      <c r="E4176" s="3">
        <f>C4176 - D4176</f>
        <v>0</v>
      </c>
    </row>
    <row r="4177" spans="2:5" x14ac:dyDescent="0.35">
      <c r="B4177" s="38">
        <v>40678</v>
      </c>
      <c r="C4177" s="3">
        <v>1</v>
      </c>
      <c r="D4177" s="3">
        <v>1</v>
      </c>
      <c r="E4177" s="3">
        <f>C4177 - D4177</f>
        <v>0</v>
      </c>
    </row>
    <row r="4178" spans="2:5" x14ac:dyDescent="0.35">
      <c r="B4178" s="38">
        <v>40679</v>
      </c>
      <c r="C4178" s="3">
        <v>0</v>
      </c>
      <c r="D4178" s="3">
        <v>1</v>
      </c>
      <c r="E4178" s="3">
        <f>C4178 - D4178</f>
        <v>-1</v>
      </c>
    </row>
    <row r="4179" spans="2:5" x14ac:dyDescent="0.35">
      <c r="B4179" s="38">
        <v>40680</v>
      </c>
      <c r="C4179" s="3">
        <v>0</v>
      </c>
      <c r="D4179" s="3">
        <v>0</v>
      </c>
      <c r="E4179" s="3">
        <f>C4179 - D4179</f>
        <v>0</v>
      </c>
    </row>
    <row r="4180" spans="2:5" x14ac:dyDescent="0.35">
      <c r="B4180" s="38">
        <v>40681</v>
      </c>
      <c r="C4180" s="3">
        <v>0</v>
      </c>
      <c r="D4180" s="3">
        <v>0</v>
      </c>
      <c r="E4180" s="3">
        <f>C4180 - D4180</f>
        <v>0</v>
      </c>
    </row>
    <row r="4181" spans="2:5" x14ac:dyDescent="0.35">
      <c r="B4181" s="38">
        <v>40682</v>
      </c>
      <c r="C4181" s="3">
        <v>0</v>
      </c>
      <c r="D4181" s="3">
        <v>0</v>
      </c>
      <c r="E4181" s="3">
        <f>C4181 - D4181</f>
        <v>0</v>
      </c>
    </row>
    <row r="4182" spans="2:5" x14ac:dyDescent="0.35">
      <c r="B4182" s="38">
        <v>40683</v>
      </c>
      <c r="C4182" s="3">
        <v>0</v>
      </c>
      <c r="D4182" s="3">
        <v>0</v>
      </c>
      <c r="E4182" s="3">
        <f>C4182 - D4182</f>
        <v>0</v>
      </c>
    </row>
    <row r="4183" spans="2:5" x14ac:dyDescent="0.35">
      <c r="B4183" s="38">
        <v>40684</v>
      </c>
      <c r="C4183" s="3">
        <v>0</v>
      </c>
      <c r="D4183" s="3">
        <v>0</v>
      </c>
      <c r="E4183" s="3">
        <f>C4183 - D4183</f>
        <v>0</v>
      </c>
    </row>
    <row r="4184" spans="2:5" x14ac:dyDescent="0.35">
      <c r="B4184" s="38">
        <v>40685</v>
      </c>
      <c r="C4184" s="3">
        <v>0</v>
      </c>
      <c r="D4184" s="3">
        <v>0</v>
      </c>
      <c r="E4184" s="3">
        <f>C4184 - D4184</f>
        <v>0</v>
      </c>
    </row>
    <row r="4185" spans="2:5" x14ac:dyDescent="0.35">
      <c r="B4185" s="38">
        <v>40686</v>
      </c>
      <c r="C4185" s="3">
        <v>1</v>
      </c>
      <c r="D4185" s="3">
        <v>0</v>
      </c>
      <c r="E4185" s="3">
        <f>C4185 - D4185</f>
        <v>1</v>
      </c>
    </row>
    <row r="4186" spans="2:5" x14ac:dyDescent="0.35">
      <c r="B4186" s="38">
        <v>40687</v>
      </c>
      <c r="C4186" s="3">
        <v>1</v>
      </c>
      <c r="D4186" s="3">
        <v>1</v>
      </c>
      <c r="E4186" s="3">
        <f>C4186 - D4186</f>
        <v>0</v>
      </c>
    </row>
    <row r="4187" spans="2:5" x14ac:dyDescent="0.35">
      <c r="B4187" s="38">
        <v>40688</v>
      </c>
      <c r="C4187" s="3">
        <v>1</v>
      </c>
      <c r="D4187" s="3">
        <v>1</v>
      </c>
      <c r="E4187" s="3">
        <f>C4187 - D4187</f>
        <v>0</v>
      </c>
    </row>
    <row r="4188" spans="2:5" x14ac:dyDescent="0.35">
      <c r="B4188" s="38">
        <v>40689</v>
      </c>
      <c r="C4188" s="3">
        <v>0</v>
      </c>
      <c r="D4188" s="3">
        <v>1</v>
      </c>
      <c r="E4188" s="3">
        <f>C4188 - D4188</f>
        <v>-1</v>
      </c>
    </row>
    <row r="4189" spans="2:5" x14ac:dyDescent="0.35">
      <c r="B4189" s="38">
        <v>40690</v>
      </c>
      <c r="C4189" s="3">
        <v>1</v>
      </c>
      <c r="D4189" s="3">
        <v>0</v>
      </c>
      <c r="E4189" s="3">
        <f>C4189 - D4189</f>
        <v>1</v>
      </c>
    </row>
    <row r="4190" spans="2:5" x14ac:dyDescent="0.35">
      <c r="B4190" s="38">
        <v>40691</v>
      </c>
      <c r="C4190" s="3">
        <v>1</v>
      </c>
      <c r="D4190" s="3">
        <v>1</v>
      </c>
      <c r="E4190" s="3">
        <f>C4190 - D4190</f>
        <v>0</v>
      </c>
    </row>
    <row r="4191" spans="2:5" x14ac:dyDescent="0.35">
      <c r="B4191" s="38">
        <v>40692</v>
      </c>
      <c r="C4191" s="3">
        <v>0</v>
      </c>
      <c r="D4191" s="3">
        <v>1</v>
      </c>
      <c r="E4191" s="3">
        <f>C4191 - D4191</f>
        <v>-1</v>
      </c>
    </row>
    <row r="4192" spans="2:5" x14ac:dyDescent="0.35">
      <c r="B4192" s="38">
        <v>40693</v>
      </c>
      <c r="C4192" s="3">
        <v>0</v>
      </c>
      <c r="D4192" s="3">
        <v>0</v>
      </c>
      <c r="E4192" s="3">
        <f>C4192 - D4192</f>
        <v>0</v>
      </c>
    </row>
    <row r="4193" spans="2:5" x14ac:dyDescent="0.35">
      <c r="B4193" s="38">
        <v>40694</v>
      </c>
      <c r="C4193" s="3">
        <v>0</v>
      </c>
      <c r="D4193" s="3">
        <v>0</v>
      </c>
      <c r="E4193" s="3">
        <f>C4193 - D4193</f>
        <v>0</v>
      </c>
    </row>
    <row r="4194" spans="2:5" x14ac:dyDescent="0.35">
      <c r="B4194" s="38">
        <v>40695</v>
      </c>
      <c r="C4194" s="3">
        <v>0</v>
      </c>
      <c r="D4194" s="3">
        <v>0</v>
      </c>
      <c r="E4194" s="3">
        <f>C4194 - D4194</f>
        <v>0</v>
      </c>
    </row>
    <row r="4195" spans="2:5" x14ac:dyDescent="0.35">
      <c r="B4195" s="38">
        <v>40696</v>
      </c>
      <c r="C4195" s="3">
        <v>0</v>
      </c>
      <c r="D4195" s="3">
        <v>0</v>
      </c>
      <c r="E4195" s="3">
        <f>C4195 - D4195</f>
        <v>0</v>
      </c>
    </row>
    <row r="4196" spans="2:5" x14ac:dyDescent="0.35">
      <c r="B4196" s="38">
        <v>40697</v>
      </c>
      <c r="C4196" s="3">
        <v>0</v>
      </c>
      <c r="D4196" s="3">
        <v>0</v>
      </c>
      <c r="E4196" s="3">
        <f>C4196 - D4196</f>
        <v>0</v>
      </c>
    </row>
    <row r="4197" spans="2:5" x14ac:dyDescent="0.35">
      <c r="B4197" s="38">
        <v>40698</v>
      </c>
      <c r="C4197" s="3">
        <v>0</v>
      </c>
      <c r="D4197" s="3">
        <v>0</v>
      </c>
      <c r="E4197" s="3">
        <f>C4197 - D4197</f>
        <v>0</v>
      </c>
    </row>
    <row r="4198" spans="2:5" x14ac:dyDescent="0.35">
      <c r="B4198" s="38">
        <v>40699</v>
      </c>
      <c r="C4198" s="3">
        <v>1</v>
      </c>
      <c r="D4198" s="3">
        <v>0</v>
      </c>
      <c r="E4198" s="3">
        <f>C4198 - D4198</f>
        <v>1</v>
      </c>
    </row>
    <row r="4199" spans="2:5" x14ac:dyDescent="0.35">
      <c r="B4199" s="38">
        <v>40700</v>
      </c>
      <c r="C4199" s="3">
        <v>1</v>
      </c>
      <c r="D4199" s="3">
        <v>1</v>
      </c>
      <c r="E4199" s="3">
        <f>C4199 - D4199</f>
        <v>0</v>
      </c>
    </row>
    <row r="4200" spans="2:5" x14ac:dyDescent="0.35">
      <c r="B4200" s="38">
        <v>40701</v>
      </c>
      <c r="C4200" s="3">
        <v>0</v>
      </c>
      <c r="D4200" s="3">
        <v>1</v>
      </c>
      <c r="E4200" s="3">
        <f>C4200 - D4200</f>
        <v>-1</v>
      </c>
    </row>
    <row r="4201" spans="2:5" x14ac:dyDescent="0.35">
      <c r="B4201" s="38">
        <v>40702</v>
      </c>
      <c r="C4201" s="3">
        <v>1</v>
      </c>
      <c r="D4201" s="3">
        <v>0</v>
      </c>
      <c r="E4201" s="3">
        <f>C4201 - D4201</f>
        <v>1</v>
      </c>
    </row>
    <row r="4202" spans="2:5" x14ac:dyDescent="0.35">
      <c r="B4202" s="38">
        <v>40703</v>
      </c>
      <c r="C4202" s="3">
        <v>1</v>
      </c>
      <c r="D4202" s="3">
        <v>1</v>
      </c>
      <c r="E4202" s="3">
        <f>C4202 - D4202</f>
        <v>0</v>
      </c>
    </row>
    <row r="4203" spans="2:5" x14ac:dyDescent="0.35">
      <c r="B4203" s="38">
        <v>40704</v>
      </c>
      <c r="C4203" s="3">
        <v>0</v>
      </c>
      <c r="D4203" s="3">
        <v>1</v>
      </c>
      <c r="E4203" s="3">
        <f>C4203 - D4203</f>
        <v>-1</v>
      </c>
    </row>
    <row r="4204" spans="2:5" x14ac:dyDescent="0.35">
      <c r="B4204" s="38">
        <v>40705</v>
      </c>
      <c r="C4204" s="3">
        <v>0</v>
      </c>
      <c r="D4204" s="3">
        <v>0</v>
      </c>
      <c r="E4204" s="3">
        <f>C4204 - D4204</f>
        <v>0</v>
      </c>
    </row>
    <row r="4205" spans="2:5" x14ac:dyDescent="0.35">
      <c r="B4205" s="38">
        <v>40706</v>
      </c>
      <c r="C4205" s="3">
        <v>0</v>
      </c>
      <c r="D4205" s="3">
        <v>0</v>
      </c>
      <c r="E4205" s="3">
        <f>C4205 - D4205</f>
        <v>0</v>
      </c>
    </row>
    <row r="4206" spans="2:5" x14ac:dyDescent="0.35">
      <c r="B4206" s="38">
        <v>40707</v>
      </c>
      <c r="C4206" s="3">
        <v>0</v>
      </c>
      <c r="D4206" s="3">
        <v>0</v>
      </c>
      <c r="E4206" s="3">
        <f>C4206 - D4206</f>
        <v>0</v>
      </c>
    </row>
    <row r="4207" spans="2:5" x14ac:dyDescent="0.35">
      <c r="B4207" s="38">
        <v>40708</v>
      </c>
      <c r="C4207" s="3">
        <v>1</v>
      </c>
      <c r="D4207" s="3">
        <v>0</v>
      </c>
      <c r="E4207" s="3">
        <f>C4207 - D4207</f>
        <v>1</v>
      </c>
    </row>
    <row r="4208" spans="2:5" x14ac:dyDescent="0.35">
      <c r="B4208" s="38">
        <v>40709</v>
      </c>
      <c r="C4208" s="3">
        <v>0</v>
      </c>
      <c r="D4208" s="3">
        <v>1</v>
      </c>
      <c r="E4208" s="3">
        <f>C4208 - D4208</f>
        <v>-1</v>
      </c>
    </row>
    <row r="4209" spans="2:5" x14ac:dyDescent="0.35">
      <c r="B4209" s="38">
        <v>40710</v>
      </c>
      <c r="C4209" s="3">
        <v>0</v>
      </c>
      <c r="D4209" s="3">
        <v>0</v>
      </c>
      <c r="E4209" s="3">
        <f>C4209 - D4209</f>
        <v>0</v>
      </c>
    </row>
    <row r="4210" spans="2:5" x14ac:dyDescent="0.35">
      <c r="B4210" s="38">
        <v>40711</v>
      </c>
      <c r="C4210" s="3">
        <v>1</v>
      </c>
      <c r="D4210" s="3">
        <v>0</v>
      </c>
      <c r="E4210" s="3">
        <f>C4210 - D4210</f>
        <v>1</v>
      </c>
    </row>
    <row r="4211" spans="2:5" x14ac:dyDescent="0.35">
      <c r="B4211" s="38">
        <v>40712</v>
      </c>
      <c r="C4211" s="3">
        <v>1</v>
      </c>
      <c r="D4211" s="3">
        <v>1</v>
      </c>
      <c r="E4211" s="3">
        <f>C4211 - D4211</f>
        <v>0</v>
      </c>
    </row>
    <row r="4212" spans="2:5" x14ac:dyDescent="0.35">
      <c r="B4212" s="38">
        <v>40713</v>
      </c>
      <c r="C4212" s="3">
        <v>0</v>
      </c>
      <c r="D4212" s="3">
        <v>1</v>
      </c>
      <c r="E4212" s="3">
        <f>C4212 - D4212</f>
        <v>-1</v>
      </c>
    </row>
    <row r="4213" spans="2:5" x14ac:dyDescent="0.35">
      <c r="B4213" s="38">
        <v>40714</v>
      </c>
      <c r="C4213" s="3">
        <v>1</v>
      </c>
      <c r="D4213" s="3">
        <v>0</v>
      </c>
      <c r="E4213" s="3">
        <f>C4213 - D4213</f>
        <v>1</v>
      </c>
    </row>
    <row r="4214" spans="2:5" x14ac:dyDescent="0.35">
      <c r="B4214" s="38">
        <v>40715</v>
      </c>
      <c r="C4214" s="3">
        <v>1</v>
      </c>
      <c r="D4214" s="3">
        <v>1</v>
      </c>
      <c r="E4214" s="3">
        <f>C4214 - D4214</f>
        <v>0</v>
      </c>
    </row>
    <row r="4215" spans="2:5" x14ac:dyDescent="0.35">
      <c r="B4215" s="38">
        <v>40716</v>
      </c>
      <c r="C4215" s="3">
        <v>1</v>
      </c>
      <c r="D4215" s="3">
        <v>1</v>
      </c>
      <c r="E4215" s="3">
        <f>C4215 - D4215</f>
        <v>0</v>
      </c>
    </row>
    <row r="4216" spans="2:5" x14ac:dyDescent="0.35">
      <c r="B4216" s="38">
        <v>40717</v>
      </c>
      <c r="C4216" s="3">
        <v>1</v>
      </c>
      <c r="D4216" s="3">
        <v>1</v>
      </c>
      <c r="E4216" s="3">
        <f>C4216 - D4216</f>
        <v>0</v>
      </c>
    </row>
    <row r="4217" spans="2:5" x14ac:dyDescent="0.35">
      <c r="B4217" s="38">
        <v>40718</v>
      </c>
      <c r="C4217" s="3">
        <v>1</v>
      </c>
      <c r="D4217" s="3">
        <v>1</v>
      </c>
      <c r="E4217" s="3">
        <f>C4217 - D4217</f>
        <v>0</v>
      </c>
    </row>
    <row r="4218" spans="2:5" x14ac:dyDescent="0.35">
      <c r="B4218" s="38">
        <v>40719</v>
      </c>
      <c r="C4218" s="3">
        <v>0</v>
      </c>
      <c r="D4218" s="3">
        <v>1</v>
      </c>
      <c r="E4218" s="3">
        <f>C4218 - D4218</f>
        <v>-1</v>
      </c>
    </row>
    <row r="4219" spans="2:5" x14ac:dyDescent="0.35">
      <c r="B4219" s="38">
        <v>40720</v>
      </c>
      <c r="C4219" s="3">
        <v>0</v>
      </c>
      <c r="D4219" s="3">
        <v>0</v>
      </c>
      <c r="E4219" s="3">
        <f>C4219 - D4219</f>
        <v>0</v>
      </c>
    </row>
    <row r="4220" spans="2:5" x14ac:dyDescent="0.35">
      <c r="B4220" s="38">
        <v>40721</v>
      </c>
      <c r="C4220" s="3">
        <v>0</v>
      </c>
      <c r="D4220" s="3">
        <v>0</v>
      </c>
      <c r="E4220" s="3">
        <f>C4220 - D4220</f>
        <v>0</v>
      </c>
    </row>
    <row r="4221" spans="2:5" x14ac:dyDescent="0.35">
      <c r="B4221" s="38">
        <v>40722</v>
      </c>
      <c r="C4221" s="3">
        <v>0</v>
      </c>
      <c r="D4221" s="3">
        <v>0</v>
      </c>
      <c r="E4221" s="3">
        <f>C4221 - D4221</f>
        <v>0</v>
      </c>
    </row>
    <row r="4222" spans="2:5" x14ac:dyDescent="0.35">
      <c r="B4222" s="38">
        <v>40723</v>
      </c>
      <c r="C4222" s="3">
        <v>0</v>
      </c>
      <c r="D4222" s="3">
        <v>0</v>
      </c>
      <c r="E4222" s="3">
        <f>C4222 - D4222</f>
        <v>0</v>
      </c>
    </row>
    <row r="4223" spans="2:5" x14ac:dyDescent="0.35">
      <c r="B4223" s="38">
        <v>40724</v>
      </c>
      <c r="C4223" s="3">
        <v>0</v>
      </c>
      <c r="D4223" s="3">
        <v>0</v>
      </c>
      <c r="E4223" s="3">
        <f>C4223 - D4223</f>
        <v>0</v>
      </c>
    </row>
    <row r="4224" spans="2:5" x14ac:dyDescent="0.35">
      <c r="B4224" s="38">
        <v>40725</v>
      </c>
      <c r="C4224" s="3">
        <v>0</v>
      </c>
      <c r="D4224" s="3">
        <v>0</v>
      </c>
      <c r="E4224" s="3">
        <f>C4224 - D4224</f>
        <v>0</v>
      </c>
    </row>
    <row r="4225" spans="2:5" x14ac:dyDescent="0.35">
      <c r="B4225" s="38">
        <v>40726</v>
      </c>
      <c r="C4225" s="3">
        <v>0</v>
      </c>
      <c r="D4225" s="3">
        <v>0</v>
      </c>
      <c r="E4225" s="3">
        <f>C4225 - D4225</f>
        <v>0</v>
      </c>
    </row>
    <row r="4226" spans="2:5" x14ac:dyDescent="0.35">
      <c r="B4226" s="38">
        <v>40727</v>
      </c>
      <c r="C4226" s="3">
        <v>0</v>
      </c>
      <c r="D4226" s="3">
        <v>0</v>
      </c>
      <c r="E4226" s="3">
        <f>C4226 - D4226</f>
        <v>0</v>
      </c>
    </row>
    <row r="4227" spans="2:5" x14ac:dyDescent="0.35">
      <c r="B4227" s="38">
        <v>40728</v>
      </c>
      <c r="C4227" s="3">
        <v>1</v>
      </c>
      <c r="D4227" s="3">
        <v>0</v>
      </c>
      <c r="E4227" s="3">
        <f>C4227 - D4227</f>
        <v>1</v>
      </c>
    </row>
    <row r="4228" spans="2:5" x14ac:dyDescent="0.35">
      <c r="B4228" s="38">
        <v>40729</v>
      </c>
      <c r="C4228" s="3">
        <v>0</v>
      </c>
      <c r="D4228" s="3">
        <v>1</v>
      </c>
      <c r="E4228" s="3">
        <f>C4228 - D4228</f>
        <v>-1</v>
      </c>
    </row>
    <row r="4229" spans="2:5" x14ac:dyDescent="0.35">
      <c r="B4229" s="38">
        <v>40730</v>
      </c>
      <c r="C4229" s="3">
        <v>1</v>
      </c>
      <c r="D4229" s="3">
        <v>0</v>
      </c>
      <c r="E4229" s="3">
        <f>C4229 - D4229</f>
        <v>1</v>
      </c>
    </row>
    <row r="4230" spans="2:5" x14ac:dyDescent="0.35">
      <c r="B4230" s="38">
        <v>40731</v>
      </c>
      <c r="C4230" s="3">
        <v>1</v>
      </c>
      <c r="D4230" s="3">
        <v>1</v>
      </c>
      <c r="E4230" s="3">
        <f>C4230 - D4230</f>
        <v>0</v>
      </c>
    </row>
    <row r="4231" spans="2:5" x14ac:dyDescent="0.35">
      <c r="B4231" s="38">
        <v>40732</v>
      </c>
      <c r="C4231" s="3">
        <v>0</v>
      </c>
      <c r="D4231" s="3">
        <v>1</v>
      </c>
      <c r="E4231" s="3">
        <f>C4231 - D4231</f>
        <v>-1</v>
      </c>
    </row>
    <row r="4232" spans="2:5" x14ac:dyDescent="0.35">
      <c r="B4232" s="38">
        <v>40733</v>
      </c>
      <c r="C4232" s="3">
        <v>0</v>
      </c>
      <c r="D4232" s="3">
        <v>0</v>
      </c>
      <c r="E4232" s="3">
        <f>C4232 - D4232</f>
        <v>0</v>
      </c>
    </row>
    <row r="4233" spans="2:5" x14ac:dyDescent="0.35">
      <c r="B4233" s="38">
        <v>40734</v>
      </c>
      <c r="C4233" s="3">
        <v>0</v>
      </c>
      <c r="D4233" s="3">
        <v>0</v>
      </c>
      <c r="E4233" s="3">
        <f>C4233 - D4233</f>
        <v>0</v>
      </c>
    </row>
    <row r="4234" spans="2:5" x14ac:dyDescent="0.35">
      <c r="B4234" s="38">
        <v>40735</v>
      </c>
      <c r="C4234" s="3">
        <v>1</v>
      </c>
      <c r="D4234" s="3">
        <v>0</v>
      </c>
      <c r="E4234" s="3">
        <f>C4234 - D4234</f>
        <v>1</v>
      </c>
    </row>
    <row r="4235" spans="2:5" x14ac:dyDescent="0.35">
      <c r="B4235" s="38">
        <v>40736</v>
      </c>
      <c r="C4235" s="3">
        <v>0</v>
      </c>
      <c r="D4235" s="3">
        <v>1</v>
      </c>
      <c r="E4235" s="3">
        <f>C4235 - D4235</f>
        <v>-1</v>
      </c>
    </row>
    <row r="4236" spans="2:5" x14ac:dyDescent="0.35">
      <c r="B4236" s="38">
        <v>40737</v>
      </c>
      <c r="C4236" s="3">
        <v>1</v>
      </c>
      <c r="D4236" s="3">
        <v>0</v>
      </c>
      <c r="E4236" s="3">
        <f>C4236 - D4236</f>
        <v>1</v>
      </c>
    </row>
    <row r="4237" spans="2:5" x14ac:dyDescent="0.35">
      <c r="B4237" s="38">
        <v>40738</v>
      </c>
      <c r="C4237" s="3">
        <v>1</v>
      </c>
      <c r="D4237" s="3">
        <v>1</v>
      </c>
      <c r="E4237" s="3">
        <f>C4237 - D4237</f>
        <v>0</v>
      </c>
    </row>
    <row r="4238" spans="2:5" x14ac:dyDescent="0.35">
      <c r="B4238" s="38">
        <v>40739</v>
      </c>
      <c r="C4238" s="3">
        <v>1</v>
      </c>
      <c r="D4238" s="3">
        <v>1</v>
      </c>
      <c r="E4238" s="3">
        <f>C4238 - D4238</f>
        <v>0</v>
      </c>
    </row>
    <row r="4239" spans="2:5" x14ac:dyDescent="0.35">
      <c r="B4239" s="38">
        <v>40740</v>
      </c>
      <c r="C4239" s="3">
        <v>0</v>
      </c>
      <c r="D4239" s="3">
        <v>1</v>
      </c>
      <c r="E4239" s="3">
        <f>C4239 - D4239</f>
        <v>-1</v>
      </c>
    </row>
    <row r="4240" spans="2:5" x14ac:dyDescent="0.35">
      <c r="B4240" s="38">
        <v>40741</v>
      </c>
      <c r="C4240" s="3">
        <v>0</v>
      </c>
      <c r="D4240" s="3">
        <v>0</v>
      </c>
      <c r="E4240" s="3">
        <f>C4240 - D4240</f>
        <v>0</v>
      </c>
    </row>
    <row r="4241" spans="2:5" x14ac:dyDescent="0.35">
      <c r="B4241" s="38">
        <v>40742</v>
      </c>
      <c r="C4241" s="3">
        <v>1</v>
      </c>
      <c r="D4241" s="3">
        <v>0</v>
      </c>
      <c r="E4241" s="3">
        <f>C4241 - D4241</f>
        <v>1</v>
      </c>
    </row>
    <row r="4242" spans="2:5" x14ac:dyDescent="0.35">
      <c r="B4242" s="38">
        <v>40743</v>
      </c>
      <c r="C4242" s="3">
        <v>1</v>
      </c>
      <c r="D4242" s="3">
        <v>1</v>
      </c>
      <c r="E4242" s="3">
        <f>C4242 - D4242</f>
        <v>0</v>
      </c>
    </row>
    <row r="4243" spans="2:5" x14ac:dyDescent="0.35">
      <c r="B4243" s="38">
        <v>40744</v>
      </c>
      <c r="C4243" s="3">
        <v>1</v>
      </c>
      <c r="D4243" s="3">
        <v>1</v>
      </c>
      <c r="E4243" s="3">
        <f>C4243 - D4243</f>
        <v>0</v>
      </c>
    </row>
    <row r="4244" spans="2:5" x14ac:dyDescent="0.35">
      <c r="B4244" s="38">
        <v>40745</v>
      </c>
      <c r="C4244" s="3">
        <v>0</v>
      </c>
      <c r="D4244" s="3">
        <v>1</v>
      </c>
      <c r="E4244" s="3">
        <f>C4244 - D4244</f>
        <v>-1</v>
      </c>
    </row>
    <row r="4245" spans="2:5" x14ac:dyDescent="0.35">
      <c r="B4245" s="38">
        <v>40746</v>
      </c>
      <c r="C4245" s="3">
        <v>1</v>
      </c>
      <c r="D4245" s="3">
        <v>0</v>
      </c>
      <c r="E4245" s="3">
        <f>C4245 - D4245</f>
        <v>1</v>
      </c>
    </row>
    <row r="4246" spans="2:5" x14ac:dyDescent="0.35">
      <c r="B4246" s="38">
        <v>40747</v>
      </c>
      <c r="C4246" s="3">
        <v>0</v>
      </c>
      <c r="D4246" s="3">
        <v>1</v>
      </c>
      <c r="E4246" s="3">
        <f>C4246 - D4246</f>
        <v>-1</v>
      </c>
    </row>
    <row r="4247" spans="2:5" x14ac:dyDescent="0.35">
      <c r="B4247" s="38">
        <v>40748</v>
      </c>
      <c r="C4247" s="3">
        <v>1</v>
      </c>
      <c r="D4247" s="3">
        <v>0</v>
      </c>
      <c r="E4247" s="3">
        <f>C4247 - D4247</f>
        <v>1</v>
      </c>
    </row>
    <row r="4248" spans="2:5" x14ac:dyDescent="0.35">
      <c r="B4248" s="38">
        <v>40749</v>
      </c>
      <c r="C4248" s="3">
        <v>1</v>
      </c>
      <c r="D4248" s="3">
        <v>1</v>
      </c>
      <c r="E4248" s="3">
        <f>C4248 - D4248</f>
        <v>0</v>
      </c>
    </row>
    <row r="4249" spans="2:5" x14ac:dyDescent="0.35">
      <c r="B4249" s="38">
        <v>40750</v>
      </c>
      <c r="C4249" s="3">
        <v>1</v>
      </c>
      <c r="D4249" s="3">
        <v>1</v>
      </c>
      <c r="E4249" s="3">
        <f>C4249 - D4249</f>
        <v>0</v>
      </c>
    </row>
    <row r="4250" spans="2:5" x14ac:dyDescent="0.35">
      <c r="B4250" s="38">
        <v>40751</v>
      </c>
      <c r="C4250" s="3">
        <v>1</v>
      </c>
      <c r="D4250" s="3">
        <v>1</v>
      </c>
      <c r="E4250" s="3">
        <f>C4250 - D4250</f>
        <v>0</v>
      </c>
    </row>
    <row r="4251" spans="2:5" x14ac:dyDescent="0.35">
      <c r="B4251" s="38">
        <v>40752</v>
      </c>
      <c r="C4251" s="3">
        <v>1</v>
      </c>
      <c r="D4251" s="3">
        <v>1</v>
      </c>
      <c r="E4251" s="3">
        <f>C4251 - D4251</f>
        <v>0</v>
      </c>
    </row>
    <row r="4252" spans="2:5" x14ac:dyDescent="0.35">
      <c r="B4252" s="38">
        <v>40753</v>
      </c>
      <c r="C4252" s="3">
        <v>0</v>
      </c>
      <c r="D4252" s="3">
        <v>1</v>
      </c>
      <c r="E4252" s="3">
        <f>C4252 - D4252</f>
        <v>-1</v>
      </c>
    </row>
    <row r="4253" spans="2:5" x14ac:dyDescent="0.35">
      <c r="B4253" s="38">
        <v>40754</v>
      </c>
      <c r="C4253" s="3">
        <v>0</v>
      </c>
      <c r="D4253" s="3">
        <v>0</v>
      </c>
      <c r="E4253" s="3">
        <f>C4253 - D4253</f>
        <v>0</v>
      </c>
    </row>
    <row r="4254" spans="2:5" x14ac:dyDescent="0.35">
      <c r="B4254" s="38">
        <v>40755</v>
      </c>
      <c r="C4254" s="3">
        <v>1</v>
      </c>
      <c r="D4254" s="3">
        <v>0</v>
      </c>
      <c r="E4254" s="3">
        <f>C4254 - D4254</f>
        <v>1</v>
      </c>
    </row>
    <row r="4255" spans="2:5" x14ac:dyDescent="0.35">
      <c r="B4255" s="38">
        <v>40756</v>
      </c>
      <c r="C4255" s="3">
        <v>0</v>
      </c>
      <c r="D4255" s="3">
        <v>1</v>
      </c>
      <c r="E4255" s="3">
        <f>C4255 - D4255</f>
        <v>-1</v>
      </c>
    </row>
    <row r="4256" spans="2:5" x14ac:dyDescent="0.35">
      <c r="B4256" s="38">
        <v>40757</v>
      </c>
      <c r="C4256" s="3">
        <v>1</v>
      </c>
      <c r="D4256" s="3">
        <v>0</v>
      </c>
      <c r="E4256" s="3">
        <f>C4256 - D4256</f>
        <v>1</v>
      </c>
    </row>
    <row r="4257" spans="2:5" x14ac:dyDescent="0.35">
      <c r="B4257" s="38">
        <v>40758</v>
      </c>
      <c r="C4257" s="3">
        <v>0</v>
      </c>
      <c r="D4257" s="3">
        <v>1</v>
      </c>
      <c r="E4257" s="3">
        <f>C4257 - D4257</f>
        <v>-1</v>
      </c>
    </row>
    <row r="4258" spans="2:5" x14ac:dyDescent="0.35">
      <c r="B4258" s="38">
        <v>40759</v>
      </c>
      <c r="C4258" s="3">
        <v>0</v>
      </c>
      <c r="D4258" s="3">
        <v>0</v>
      </c>
      <c r="E4258" s="3">
        <f>C4258 - D4258</f>
        <v>0</v>
      </c>
    </row>
    <row r="4259" spans="2:5" x14ac:dyDescent="0.35">
      <c r="B4259" s="38">
        <v>40760</v>
      </c>
      <c r="C4259" s="3">
        <v>0</v>
      </c>
      <c r="D4259" s="3">
        <v>0</v>
      </c>
      <c r="E4259" s="3">
        <f>C4259 - D4259</f>
        <v>0</v>
      </c>
    </row>
    <row r="4260" spans="2:5" x14ac:dyDescent="0.35">
      <c r="B4260" s="38">
        <v>40761</v>
      </c>
      <c r="C4260" s="3">
        <v>0</v>
      </c>
      <c r="D4260" s="3">
        <v>0</v>
      </c>
      <c r="E4260" s="3">
        <f>C4260 - D4260</f>
        <v>0</v>
      </c>
    </row>
    <row r="4261" spans="2:5" x14ac:dyDescent="0.35">
      <c r="B4261" s="38">
        <v>40762</v>
      </c>
      <c r="C4261" s="3">
        <v>1</v>
      </c>
      <c r="D4261" s="3">
        <v>0</v>
      </c>
      <c r="E4261" s="3">
        <f>C4261 - D4261</f>
        <v>1</v>
      </c>
    </row>
    <row r="4262" spans="2:5" x14ac:dyDescent="0.35">
      <c r="B4262" s="38">
        <v>40763</v>
      </c>
      <c r="C4262" s="3">
        <v>1</v>
      </c>
      <c r="D4262" s="3">
        <v>1</v>
      </c>
      <c r="E4262" s="3">
        <f>C4262 - D4262</f>
        <v>0</v>
      </c>
    </row>
    <row r="4263" spans="2:5" x14ac:dyDescent="0.35">
      <c r="B4263" s="38">
        <v>40764</v>
      </c>
      <c r="C4263" s="3">
        <v>1</v>
      </c>
      <c r="D4263" s="3">
        <v>1</v>
      </c>
      <c r="E4263" s="3">
        <f>C4263 - D4263</f>
        <v>0</v>
      </c>
    </row>
    <row r="4264" spans="2:5" x14ac:dyDescent="0.35">
      <c r="B4264" s="38">
        <v>40765</v>
      </c>
      <c r="C4264" s="3">
        <v>1</v>
      </c>
      <c r="D4264" s="3">
        <v>1</v>
      </c>
      <c r="E4264" s="3">
        <f>C4264 - D4264</f>
        <v>0</v>
      </c>
    </row>
    <row r="4265" spans="2:5" x14ac:dyDescent="0.35">
      <c r="B4265" s="38">
        <v>40766</v>
      </c>
      <c r="C4265" s="3">
        <v>1</v>
      </c>
      <c r="D4265" s="3">
        <v>1</v>
      </c>
      <c r="E4265" s="3">
        <f>C4265 - D4265</f>
        <v>0</v>
      </c>
    </row>
    <row r="4266" spans="2:5" x14ac:dyDescent="0.35">
      <c r="B4266" s="38">
        <v>40767</v>
      </c>
      <c r="C4266" s="3">
        <v>0</v>
      </c>
      <c r="D4266" s="3">
        <v>1</v>
      </c>
      <c r="E4266" s="3">
        <f>C4266 - D4266</f>
        <v>-1</v>
      </c>
    </row>
    <row r="4267" spans="2:5" x14ac:dyDescent="0.35">
      <c r="B4267" s="38">
        <v>40768</v>
      </c>
      <c r="C4267" s="3">
        <v>0</v>
      </c>
      <c r="D4267" s="3">
        <v>0</v>
      </c>
      <c r="E4267" s="3">
        <f>C4267 - D4267</f>
        <v>0</v>
      </c>
    </row>
    <row r="4268" spans="2:5" x14ac:dyDescent="0.35">
      <c r="B4268" s="38">
        <v>40769</v>
      </c>
      <c r="C4268" s="3">
        <v>0</v>
      </c>
      <c r="D4268" s="3">
        <v>0</v>
      </c>
      <c r="E4268" s="3">
        <f>C4268 - D4268</f>
        <v>0</v>
      </c>
    </row>
    <row r="4269" spans="2:5" x14ac:dyDescent="0.35">
      <c r="B4269" s="38">
        <v>40770</v>
      </c>
      <c r="C4269" s="3">
        <v>1</v>
      </c>
      <c r="D4269" s="3">
        <v>0</v>
      </c>
      <c r="E4269" s="3">
        <f>C4269 - D4269</f>
        <v>1</v>
      </c>
    </row>
    <row r="4270" spans="2:5" x14ac:dyDescent="0.35">
      <c r="B4270" s="38">
        <v>40771</v>
      </c>
      <c r="C4270" s="3">
        <v>1</v>
      </c>
      <c r="D4270" s="3">
        <v>1</v>
      </c>
      <c r="E4270" s="3">
        <f>C4270 - D4270</f>
        <v>0</v>
      </c>
    </row>
    <row r="4271" spans="2:5" x14ac:dyDescent="0.35">
      <c r="B4271" s="38">
        <v>40772</v>
      </c>
      <c r="C4271" s="3">
        <v>0</v>
      </c>
      <c r="D4271" s="3">
        <v>1</v>
      </c>
      <c r="E4271" s="3">
        <f>C4271 - D4271</f>
        <v>-1</v>
      </c>
    </row>
    <row r="4272" spans="2:5" x14ac:dyDescent="0.35">
      <c r="B4272" s="38">
        <v>40773</v>
      </c>
      <c r="C4272" s="3">
        <v>1</v>
      </c>
      <c r="D4272" s="3">
        <v>0</v>
      </c>
      <c r="E4272" s="3">
        <f>C4272 - D4272</f>
        <v>1</v>
      </c>
    </row>
    <row r="4273" spans="2:5" x14ac:dyDescent="0.35">
      <c r="B4273" s="38">
        <v>40774</v>
      </c>
      <c r="C4273" s="3">
        <v>1</v>
      </c>
      <c r="D4273" s="3">
        <v>1</v>
      </c>
      <c r="E4273" s="3">
        <f>C4273 - D4273</f>
        <v>0</v>
      </c>
    </row>
    <row r="4274" spans="2:5" x14ac:dyDescent="0.35">
      <c r="B4274" s="38">
        <v>40775</v>
      </c>
      <c r="C4274" s="3">
        <v>0</v>
      </c>
      <c r="D4274" s="3">
        <v>1</v>
      </c>
      <c r="E4274" s="3">
        <f>C4274 - D4274</f>
        <v>-1</v>
      </c>
    </row>
    <row r="4275" spans="2:5" x14ac:dyDescent="0.35">
      <c r="B4275" s="38">
        <v>40776</v>
      </c>
      <c r="C4275" s="3">
        <v>0</v>
      </c>
      <c r="D4275" s="3">
        <v>0</v>
      </c>
      <c r="E4275" s="3">
        <f>C4275 - D4275</f>
        <v>0</v>
      </c>
    </row>
    <row r="4276" spans="2:5" x14ac:dyDescent="0.35">
      <c r="B4276" s="38">
        <v>40777</v>
      </c>
      <c r="C4276" s="3">
        <v>0</v>
      </c>
      <c r="D4276" s="3">
        <v>0</v>
      </c>
      <c r="E4276" s="3">
        <f>C4276 - D4276</f>
        <v>0</v>
      </c>
    </row>
    <row r="4277" spans="2:5" x14ac:dyDescent="0.35">
      <c r="B4277" s="38">
        <v>40778</v>
      </c>
      <c r="C4277" s="3">
        <v>0</v>
      </c>
      <c r="D4277" s="3">
        <v>0</v>
      </c>
      <c r="E4277" s="3">
        <f>C4277 - D4277</f>
        <v>0</v>
      </c>
    </row>
    <row r="4278" spans="2:5" x14ac:dyDescent="0.35">
      <c r="B4278" s="38">
        <v>40779</v>
      </c>
      <c r="C4278" s="3">
        <v>0</v>
      </c>
      <c r="D4278" s="3">
        <v>0</v>
      </c>
      <c r="E4278" s="3">
        <f>C4278 - D4278</f>
        <v>0</v>
      </c>
    </row>
    <row r="4279" spans="2:5" x14ac:dyDescent="0.35">
      <c r="B4279" s="38">
        <v>40780</v>
      </c>
      <c r="C4279" s="3">
        <v>0</v>
      </c>
      <c r="D4279" s="3">
        <v>0</v>
      </c>
      <c r="E4279" s="3">
        <f>C4279 - D4279</f>
        <v>0</v>
      </c>
    </row>
    <row r="4280" spans="2:5" x14ac:dyDescent="0.35">
      <c r="B4280" s="38">
        <v>40781</v>
      </c>
      <c r="C4280" s="3">
        <v>0</v>
      </c>
      <c r="D4280" s="3">
        <v>0</v>
      </c>
      <c r="E4280" s="3">
        <f>C4280 - D4280</f>
        <v>0</v>
      </c>
    </row>
    <row r="4281" spans="2:5" x14ac:dyDescent="0.35">
      <c r="B4281" s="38">
        <v>40782</v>
      </c>
      <c r="C4281" s="3">
        <v>0</v>
      </c>
      <c r="D4281" s="3">
        <v>0</v>
      </c>
      <c r="E4281" s="3">
        <f>C4281 - D4281</f>
        <v>0</v>
      </c>
    </row>
    <row r="4282" spans="2:5" x14ac:dyDescent="0.35">
      <c r="B4282" s="38">
        <v>40783</v>
      </c>
      <c r="C4282" s="3">
        <v>0</v>
      </c>
      <c r="D4282" s="3">
        <v>0</v>
      </c>
      <c r="E4282" s="3">
        <f>C4282 - D4282</f>
        <v>0</v>
      </c>
    </row>
    <row r="4283" spans="2:5" x14ac:dyDescent="0.35">
      <c r="B4283" s="38">
        <v>40784</v>
      </c>
      <c r="C4283" s="3">
        <v>1</v>
      </c>
      <c r="D4283" s="3">
        <v>0</v>
      </c>
      <c r="E4283" s="3">
        <f>C4283 - D4283</f>
        <v>1</v>
      </c>
    </row>
    <row r="4284" spans="2:5" x14ac:dyDescent="0.35">
      <c r="B4284" s="38">
        <v>40785</v>
      </c>
      <c r="C4284" s="3">
        <v>0</v>
      </c>
      <c r="D4284" s="3">
        <v>1</v>
      </c>
      <c r="E4284" s="3">
        <f>C4284 - D4284</f>
        <v>-1</v>
      </c>
    </row>
    <row r="4285" spans="2:5" x14ac:dyDescent="0.35">
      <c r="B4285" s="38">
        <v>40786</v>
      </c>
      <c r="C4285" s="3">
        <v>0</v>
      </c>
      <c r="D4285" s="3">
        <v>0</v>
      </c>
      <c r="E4285" s="3">
        <f>C4285 - D4285</f>
        <v>0</v>
      </c>
    </row>
    <row r="4286" spans="2:5" x14ac:dyDescent="0.35">
      <c r="B4286" s="38">
        <v>40787</v>
      </c>
      <c r="C4286" s="3">
        <v>0</v>
      </c>
      <c r="D4286" s="3">
        <v>0</v>
      </c>
      <c r="E4286" s="3">
        <f>C4286 - D4286</f>
        <v>0</v>
      </c>
    </row>
    <row r="4287" spans="2:5" x14ac:dyDescent="0.35">
      <c r="B4287" s="38">
        <v>40788</v>
      </c>
      <c r="C4287" s="3">
        <v>0</v>
      </c>
      <c r="D4287" s="3">
        <v>0</v>
      </c>
      <c r="E4287" s="3">
        <f>C4287 - D4287</f>
        <v>0</v>
      </c>
    </row>
    <row r="4288" spans="2:5" x14ac:dyDescent="0.35">
      <c r="B4288" s="38">
        <v>40789</v>
      </c>
      <c r="C4288" s="3">
        <v>0</v>
      </c>
      <c r="D4288" s="3">
        <v>0</v>
      </c>
      <c r="E4288" s="3">
        <f>C4288 - D4288</f>
        <v>0</v>
      </c>
    </row>
    <row r="4289" spans="2:5" x14ac:dyDescent="0.35">
      <c r="B4289" s="38">
        <v>40790</v>
      </c>
      <c r="C4289" s="3">
        <v>0</v>
      </c>
      <c r="D4289" s="3">
        <v>0</v>
      </c>
      <c r="E4289" s="3">
        <f>C4289 - D4289</f>
        <v>0</v>
      </c>
    </row>
    <row r="4290" spans="2:5" x14ac:dyDescent="0.35">
      <c r="B4290" s="38">
        <v>40791</v>
      </c>
      <c r="C4290" s="3">
        <v>0</v>
      </c>
      <c r="D4290" s="3">
        <v>0</v>
      </c>
      <c r="E4290" s="3">
        <f>C4290 - D4290</f>
        <v>0</v>
      </c>
    </row>
    <row r="4291" spans="2:5" x14ac:dyDescent="0.35">
      <c r="B4291" s="38">
        <v>40792</v>
      </c>
      <c r="C4291" s="3">
        <v>0</v>
      </c>
      <c r="D4291" s="3">
        <v>0</v>
      </c>
      <c r="E4291" s="3">
        <f>C4291 - D4291</f>
        <v>0</v>
      </c>
    </row>
    <row r="4292" spans="2:5" x14ac:dyDescent="0.35">
      <c r="B4292" s="38">
        <v>40793</v>
      </c>
      <c r="C4292" s="3">
        <v>0</v>
      </c>
      <c r="D4292" s="3">
        <v>0</v>
      </c>
      <c r="E4292" s="3">
        <f>C4292 - D4292</f>
        <v>0</v>
      </c>
    </row>
    <row r="4293" spans="2:5" x14ac:dyDescent="0.35">
      <c r="B4293" s="38">
        <v>40794</v>
      </c>
      <c r="C4293" s="3">
        <v>0</v>
      </c>
      <c r="D4293" s="3">
        <v>0</v>
      </c>
      <c r="E4293" s="3">
        <f>C4293 - D4293</f>
        <v>0</v>
      </c>
    </row>
    <row r="4294" spans="2:5" x14ac:dyDescent="0.35">
      <c r="B4294" s="38">
        <v>40795</v>
      </c>
      <c r="C4294" s="3">
        <v>1</v>
      </c>
      <c r="D4294" s="3">
        <v>0</v>
      </c>
      <c r="E4294" s="3">
        <f>C4294 - D4294</f>
        <v>1</v>
      </c>
    </row>
    <row r="4295" spans="2:5" x14ac:dyDescent="0.35">
      <c r="B4295" s="38">
        <v>40796</v>
      </c>
      <c r="C4295" s="3">
        <v>1</v>
      </c>
      <c r="D4295" s="3">
        <v>1</v>
      </c>
      <c r="E4295" s="3">
        <f>C4295 - D4295</f>
        <v>0</v>
      </c>
    </row>
    <row r="4296" spans="2:5" x14ac:dyDescent="0.35">
      <c r="B4296" s="38">
        <v>40797</v>
      </c>
      <c r="C4296" s="3">
        <v>1</v>
      </c>
      <c r="D4296" s="3">
        <v>1</v>
      </c>
      <c r="E4296" s="3">
        <f>C4296 - D4296</f>
        <v>0</v>
      </c>
    </row>
    <row r="4297" spans="2:5" x14ac:dyDescent="0.35">
      <c r="B4297" s="38">
        <v>40798</v>
      </c>
      <c r="C4297" s="3">
        <v>1</v>
      </c>
      <c r="D4297" s="3">
        <v>1</v>
      </c>
      <c r="E4297" s="3">
        <f>C4297 - D4297</f>
        <v>0</v>
      </c>
    </row>
    <row r="4298" spans="2:5" x14ac:dyDescent="0.35">
      <c r="B4298" s="38">
        <v>40799</v>
      </c>
      <c r="C4298" s="3">
        <v>0</v>
      </c>
      <c r="D4298" s="3">
        <v>1</v>
      </c>
      <c r="E4298" s="3">
        <f>C4298 - D4298</f>
        <v>-1</v>
      </c>
    </row>
    <row r="4299" spans="2:5" x14ac:dyDescent="0.35">
      <c r="B4299" s="38">
        <v>40800</v>
      </c>
      <c r="C4299" s="3">
        <v>1</v>
      </c>
      <c r="D4299" s="3">
        <v>0</v>
      </c>
      <c r="E4299" s="3">
        <f>C4299 - D4299</f>
        <v>1</v>
      </c>
    </row>
    <row r="4300" spans="2:5" x14ac:dyDescent="0.35">
      <c r="B4300" s="38">
        <v>40801</v>
      </c>
      <c r="C4300" s="3">
        <v>1</v>
      </c>
      <c r="D4300" s="3">
        <v>1</v>
      </c>
      <c r="E4300" s="3">
        <f>C4300 - D4300</f>
        <v>0</v>
      </c>
    </row>
    <row r="4301" spans="2:5" x14ac:dyDescent="0.35">
      <c r="B4301" s="38">
        <v>40802</v>
      </c>
      <c r="C4301" s="3">
        <v>0</v>
      </c>
      <c r="D4301" s="3">
        <v>1</v>
      </c>
      <c r="E4301" s="3">
        <f>C4301 - D4301</f>
        <v>-1</v>
      </c>
    </row>
    <row r="4302" spans="2:5" x14ac:dyDescent="0.35">
      <c r="B4302" s="38">
        <v>40803</v>
      </c>
      <c r="C4302" s="3">
        <v>0</v>
      </c>
      <c r="D4302" s="3">
        <v>0</v>
      </c>
      <c r="E4302" s="3">
        <f>C4302 - D4302</f>
        <v>0</v>
      </c>
    </row>
    <row r="4303" spans="2:5" x14ac:dyDescent="0.35">
      <c r="B4303" s="38">
        <v>40804</v>
      </c>
      <c r="C4303" s="3">
        <v>0</v>
      </c>
      <c r="D4303" s="3">
        <v>0</v>
      </c>
      <c r="E4303" s="3">
        <f>C4303 - D4303</f>
        <v>0</v>
      </c>
    </row>
    <row r="4304" spans="2:5" x14ac:dyDescent="0.35">
      <c r="B4304" s="38">
        <v>40805</v>
      </c>
      <c r="C4304" s="3">
        <v>1</v>
      </c>
      <c r="D4304" s="3">
        <v>0</v>
      </c>
      <c r="E4304" s="3">
        <f>C4304 - D4304</f>
        <v>1</v>
      </c>
    </row>
    <row r="4305" spans="2:5" x14ac:dyDescent="0.35">
      <c r="B4305" s="38">
        <v>40806</v>
      </c>
      <c r="C4305" s="3">
        <v>1</v>
      </c>
      <c r="D4305" s="3">
        <v>1</v>
      </c>
      <c r="E4305" s="3">
        <f>C4305 - D4305</f>
        <v>0</v>
      </c>
    </row>
    <row r="4306" spans="2:5" x14ac:dyDescent="0.35">
      <c r="B4306" s="38">
        <v>40807</v>
      </c>
      <c r="C4306" s="3">
        <v>0</v>
      </c>
      <c r="D4306" s="3">
        <v>1</v>
      </c>
      <c r="E4306" s="3">
        <f>C4306 - D4306</f>
        <v>-1</v>
      </c>
    </row>
    <row r="4307" spans="2:5" x14ac:dyDescent="0.35">
      <c r="B4307" s="38">
        <v>40808</v>
      </c>
      <c r="C4307" s="3">
        <v>0</v>
      </c>
      <c r="D4307" s="3">
        <v>0</v>
      </c>
      <c r="E4307" s="3">
        <f>C4307 - D4307</f>
        <v>0</v>
      </c>
    </row>
    <row r="4308" spans="2:5" x14ac:dyDescent="0.35">
      <c r="B4308" s="38">
        <v>40809</v>
      </c>
      <c r="C4308" s="3">
        <v>0</v>
      </c>
      <c r="D4308" s="3">
        <v>0</v>
      </c>
      <c r="E4308" s="3">
        <f>C4308 - D4308</f>
        <v>0</v>
      </c>
    </row>
    <row r="4309" spans="2:5" x14ac:dyDescent="0.35">
      <c r="B4309" s="38">
        <v>40810</v>
      </c>
      <c r="C4309" s="3">
        <v>0</v>
      </c>
      <c r="D4309" s="3">
        <v>0</v>
      </c>
      <c r="E4309" s="3">
        <f>C4309 - D4309</f>
        <v>0</v>
      </c>
    </row>
    <row r="4310" spans="2:5" x14ac:dyDescent="0.35">
      <c r="B4310" s="38">
        <v>40811</v>
      </c>
      <c r="C4310" s="3">
        <v>0</v>
      </c>
      <c r="D4310" s="3">
        <v>0</v>
      </c>
      <c r="E4310" s="3">
        <f>C4310 - D4310</f>
        <v>0</v>
      </c>
    </row>
    <row r="4311" spans="2:5" x14ac:dyDescent="0.35">
      <c r="B4311" s="38">
        <v>40812</v>
      </c>
      <c r="C4311" s="3">
        <v>0</v>
      </c>
      <c r="D4311" s="3">
        <v>0</v>
      </c>
      <c r="E4311" s="3">
        <f>C4311 - D4311</f>
        <v>0</v>
      </c>
    </row>
    <row r="4312" spans="2:5" x14ac:dyDescent="0.35">
      <c r="B4312" s="38">
        <v>40813</v>
      </c>
      <c r="C4312" s="3">
        <v>0</v>
      </c>
      <c r="D4312" s="3">
        <v>0</v>
      </c>
      <c r="E4312" s="3">
        <f>C4312 - D4312</f>
        <v>0</v>
      </c>
    </row>
    <row r="4313" spans="2:5" x14ac:dyDescent="0.35">
      <c r="B4313" s="38">
        <v>40814</v>
      </c>
      <c r="C4313" s="3">
        <v>0</v>
      </c>
      <c r="D4313" s="3">
        <v>0</v>
      </c>
      <c r="E4313" s="3">
        <f>C4313 - D4313</f>
        <v>0</v>
      </c>
    </row>
    <row r="4314" spans="2:5" x14ac:dyDescent="0.35">
      <c r="B4314" s="38">
        <v>40815</v>
      </c>
      <c r="C4314" s="3">
        <v>1</v>
      </c>
      <c r="D4314" s="3">
        <v>0</v>
      </c>
      <c r="E4314" s="3">
        <f>C4314 - D4314</f>
        <v>1</v>
      </c>
    </row>
    <row r="4315" spans="2:5" x14ac:dyDescent="0.35">
      <c r="B4315" s="38">
        <v>40816</v>
      </c>
      <c r="C4315" s="3">
        <v>1</v>
      </c>
      <c r="D4315" s="3">
        <v>1</v>
      </c>
      <c r="E4315" s="3">
        <f>C4315 - D4315</f>
        <v>0</v>
      </c>
    </row>
    <row r="4316" spans="2:5" x14ac:dyDescent="0.35">
      <c r="B4316" s="38">
        <v>40817</v>
      </c>
      <c r="C4316" s="3">
        <v>1</v>
      </c>
      <c r="D4316" s="3">
        <v>1</v>
      </c>
      <c r="E4316" s="3">
        <f>C4316 - D4316</f>
        <v>0</v>
      </c>
    </row>
    <row r="4317" spans="2:5" x14ac:dyDescent="0.35">
      <c r="B4317" s="38">
        <v>40818</v>
      </c>
      <c r="C4317" s="3">
        <v>1</v>
      </c>
      <c r="D4317" s="3">
        <v>1</v>
      </c>
      <c r="E4317" s="3">
        <f>C4317 - D4317</f>
        <v>0</v>
      </c>
    </row>
    <row r="4318" spans="2:5" x14ac:dyDescent="0.35">
      <c r="B4318" s="38">
        <v>40819</v>
      </c>
      <c r="C4318" s="3">
        <v>1</v>
      </c>
      <c r="D4318" s="3">
        <v>1</v>
      </c>
      <c r="E4318" s="3">
        <f>C4318 - D4318</f>
        <v>0</v>
      </c>
    </row>
    <row r="4319" spans="2:5" x14ac:dyDescent="0.35">
      <c r="B4319" s="38">
        <v>40820</v>
      </c>
      <c r="C4319" s="3">
        <v>0</v>
      </c>
      <c r="D4319" s="3">
        <v>1</v>
      </c>
      <c r="E4319" s="3">
        <f>C4319 - D4319</f>
        <v>-1</v>
      </c>
    </row>
    <row r="4320" spans="2:5" x14ac:dyDescent="0.35">
      <c r="B4320" s="38">
        <v>40821</v>
      </c>
      <c r="C4320" s="3">
        <v>0</v>
      </c>
      <c r="D4320" s="3">
        <v>0</v>
      </c>
      <c r="E4320" s="3">
        <f>C4320 - D4320</f>
        <v>0</v>
      </c>
    </row>
    <row r="4321" spans="2:5" x14ac:dyDescent="0.35">
      <c r="B4321" s="38">
        <v>40822</v>
      </c>
      <c r="C4321" s="3">
        <v>0</v>
      </c>
      <c r="D4321" s="3">
        <v>0</v>
      </c>
      <c r="E4321" s="3">
        <f>C4321 - D4321</f>
        <v>0</v>
      </c>
    </row>
    <row r="4322" spans="2:5" x14ac:dyDescent="0.35">
      <c r="B4322" s="38">
        <v>40823</v>
      </c>
      <c r="C4322" s="3">
        <v>0</v>
      </c>
      <c r="D4322" s="3">
        <v>0</v>
      </c>
      <c r="E4322" s="3">
        <f>C4322 - D4322</f>
        <v>0</v>
      </c>
    </row>
    <row r="4323" spans="2:5" x14ac:dyDescent="0.35">
      <c r="B4323" s="38">
        <v>40824</v>
      </c>
      <c r="C4323" s="3">
        <v>1</v>
      </c>
      <c r="D4323" s="3">
        <v>0</v>
      </c>
      <c r="E4323" s="3">
        <f>C4323 - D4323</f>
        <v>1</v>
      </c>
    </row>
    <row r="4324" spans="2:5" x14ac:dyDescent="0.35">
      <c r="B4324" s="38">
        <v>40825</v>
      </c>
      <c r="C4324" s="3">
        <v>1</v>
      </c>
      <c r="D4324" s="3">
        <v>1</v>
      </c>
      <c r="E4324" s="3">
        <f>C4324 - D4324</f>
        <v>0</v>
      </c>
    </row>
    <row r="4325" spans="2:5" x14ac:dyDescent="0.35">
      <c r="B4325" s="38">
        <v>40826</v>
      </c>
      <c r="C4325" s="3">
        <v>1</v>
      </c>
      <c r="D4325" s="3">
        <v>1</v>
      </c>
      <c r="E4325" s="3">
        <f>C4325 - D4325</f>
        <v>0</v>
      </c>
    </row>
    <row r="4326" spans="2:5" x14ac:dyDescent="0.35">
      <c r="B4326" s="38">
        <v>40827</v>
      </c>
      <c r="C4326" s="3">
        <v>1</v>
      </c>
      <c r="D4326" s="3">
        <v>1</v>
      </c>
      <c r="E4326" s="3">
        <f>C4326 - D4326</f>
        <v>0</v>
      </c>
    </row>
    <row r="4327" spans="2:5" x14ac:dyDescent="0.35">
      <c r="B4327" s="38">
        <v>40828</v>
      </c>
      <c r="C4327" s="3">
        <v>0</v>
      </c>
      <c r="D4327" s="3">
        <v>1</v>
      </c>
      <c r="E4327" s="3">
        <f>C4327 - D4327</f>
        <v>-1</v>
      </c>
    </row>
    <row r="4328" spans="2:5" x14ac:dyDescent="0.35">
      <c r="B4328" s="38">
        <v>40829</v>
      </c>
      <c r="C4328" s="3">
        <v>1</v>
      </c>
      <c r="D4328" s="3">
        <v>0</v>
      </c>
      <c r="E4328" s="3">
        <f>C4328 - D4328</f>
        <v>1</v>
      </c>
    </row>
    <row r="4329" spans="2:5" x14ac:dyDescent="0.35">
      <c r="B4329" s="38">
        <v>40830</v>
      </c>
      <c r="C4329" s="3">
        <v>0</v>
      </c>
      <c r="D4329" s="3">
        <v>1</v>
      </c>
      <c r="E4329" s="3">
        <f>C4329 - D4329</f>
        <v>-1</v>
      </c>
    </row>
    <row r="4330" spans="2:5" x14ac:dyDescent="0.35">
      <c r="B4330" s="38">
        <v>40831</v>
      </c>
      <c r="C4330" s="3">
        <v>0</v>
      </c>
      <c r="D4330" s="3">
        <v>0</v>
      </c>
      <c r="E4330" s="3">
        <f>C4330 - D4330</f>
        <v>0</v>
      </c>
    </row>
    <row r="4331" spans="2:5" x14ac:dyDescent="0.35">
      <c r="B4331" s="38">
        <v>40832</v>
      </c>
      <c r="C4331" s="3">
        <v>1</v>
      </c>
      <c r="D4331" s="3">
        <v>0</v>
      </c>
      <c r="E4331" s="3">
        <f>C4331 - D4331</f>
        <v>1</v>
      </c>
    </row>
    <row r="4332" spans="2:5" x14ac:dyDescent="0.35">
      <c r="B4332" s="38">
        <v>40833</v>
      </c>
      <c r="C4332" s="3">
        <v>1</v>
      </c>
      <c r="D4332" s="3">
        <v>1</v>
      </c>
      <c r="E4332" s="3">
        <f>C4332 - D4332</f>
        <v>0</v>
      </c>
    </row>
    <row r="4333" spans="2:5" x14ac:dyDescent="0.35">
      <c r="B4333" s="38">
        <v>40834</v>
      </c>
      <c r="C4333" s="3">
        <v>0</v>
      </c>
      <c r="D4333" s="3">
        <v>1</v>
      </c>
      <c r="E4333" s="3">
        <f>C4333 - D4333</f>
        <v>-1</v>
      </c>
    </row>
    <row r="4334" spans="2:5" x14ac:dyDescent="0.35">
      <c r="B4334" s="38">
        <v>40835</v>
      </c>
      <c r="C4334" s="3">
        <v>0</v>
      </c>
      <c r="D4334" s="3">
        <v>0</v>
      </c>
      <c r="E4334" s="3">
        <f>C4334 - D4334</f>
        <v>0</v>
      </c>
    </row>
    <row r="4335" spans="2:5" x14ac:dyDescent="0.35">
      <c r="B4335" s="38">
        <v>40836</v>
      </c>
      <c r="C4335" s="3">
        <v>0</v>
      </c>
      <c r="D4335" s="3">
        <v>0</v>
      </c>
      <c r="E4335" s="3">
        <f>C4335 - D4335</f>
        <v>0</v>
      </c>
    </row>
    <row r="4336" spans="2:5" x14ac:dyDescent="0.35">
      <c r="B4336" s="38">
        <v>40837</v>
      </c>
      <c r="C4336" s="3">
        <v>1</v>
      </c>
      <c r="D4336" s="3">
        <v>0</v>
      </c>
      <c r="E4336" s="3">
        <f>C4336 - D4336</f>
        <v>1</v>
      </c>
    </row>
    <row r="4337" spans="2:5" x14ac:dyDescent="0.35">
      <c r="B4337" s="38">
        <v>40838</v>
      </c>
      <c r="C4337" s="3">
        <v>1</v>
      </c>
      <c r="D4337" s="3">
        <v>1</v>
      </c>
      <c r="E4337" s="3">
        <f>C4337 - D4337</f>
        <v>0</v>
      </c>
    </row>
    <row r="4338" spans="2:5" x14ac:dyDescent="0.35">
      <c r="B4338" s="38">
        <v>40839</v>
      </c>
      <c r="C4338" s="3">
        <v>1</v>
      </c>
      <c r="D4338" s="3">
        <v>1</v>
      </c>
      <c r="E4338" s="3">
        <f>C4338 - D4338</f>
        <v>0</v>
      </c>
    </row>
    <row r="4339" spans="2:5" x14ac:dyDescent="0.35">
      <c r="B4339" s="38">
        <v>40840</v>
      </c>
      <c r="C4339" s="3">
        <v>1</v>
      </c>
      <c r="D4339" s="3">
        <v>1</v>
      </c>
      <c r="E4339" s="3">
        <f>C4339 - D4339</f>
        <v>0</v>
      </c>
    </row>
    <row r="4340" spans="2:5" x14ac:dyDescent="0.35">
      <c r="B4340" s="38">
        <v>40841</v>
      </c>
      <c r="C4340" s="3">
        <v>1</v>
      </c>
      <c r="D4340" s="3">
        <v>1</v>
      </c>
      <c r="E4340" s="3">
        <f>C4340 - D4340</f>
        <v>0</v>
      </c>
    </row>
    <row r="4341" spans="2:5" x14ac:dyDescent="0.35">
      <c r="B4341" s="38">
        <v>40842</v>
      </c>
      <c r="C4341" s="3">
        <v>0</v>
      </c>
      <c r="D4341" s="3">
        <v>1</v>
      </c>
      <c r="E4341" s="3">
        <f>C4341 - D4341</f>
        <v>-1</v>
      </c>
    </row>
    <row r="4342" spans="2:5" x14ac:dyDescent="0.35">
      <c r="B4342" s="38">
        <v>40843</v>
      </c>
      <c r="C4342" s="3">
        <v>0</v>
      </c>
      <c r="D4342" s="3">
        <v>0</v>
      </c>
      <c r="E4342" s="3">
        <f>C4342 - D4342</f>
        <v>0</v>
      </c>
    </row>
    <row r="4343" spans="2:5" x14ac:dyDescent="0.35">
      <c r="B4343" s="38">
        <v>40844</v>
      </c>
      <c r="C4343" s="3">
        <v>0</v>
      </c>
      <c r="D4343" s="3">
        <v>0</v>
      </c>
      <c r="E4343" s="3">
        <f>C4343 - D4343</f>
        <v>0</v>
      </c>
    </row>
    <row r="4344" spans="2:5" x14ac:dyDescent="0.35">
      <c r="B4344" s="38">
        <v>40845</v>
      </c>
      <c r="C4344" s="3">
        <v>1</v>
      </c>
      <c r="D4344" s="3">
        <v>0</v>
      </c>
      <c r="E4344" s="3">
        <f>C4344 - D4344</f>
        <v>1</v>
      </c>
    </row>
    <row r="4345" spans="2:5" x14ac:dyDescent="0.35">
      <c r="B4345" s="38">
        <v>40846</v>
      </c>
      <c r="C4345" s="3">
        <v>1</v>
      </c>
      <c r="D4345" s="3">
        <v>1</v>
      </c>
      <c r="E4345" s="3">
        <f>C4345 - D4345</f>
        <v>0</v>
      </c>
    </row>
    <row r="4346" spans="2:5" x14ac:dyDescent="0.35">
      <c r="B4346" s="38">
        <v>40847</v>
      </c>
      <c r="C4346" s="3">
        <v>1</v>
      </c>
      <c r="D4346" s="3">
        <v>1</v>
      </c>
      <c r="E4346" s="3">
        <f>C4346 - D4346</f>
        <v>0</v>
      </c>
    </row>
  </sheetData>
  <mergeCells count="27">
    <mergeCell ref="B5:C5"/>
    <mergeCell ref="D5:E5"/>
    <mergeCell ref="F5:G5"/>
    <mergeCell ref="B4:G4"/>
    <mergeCell ref="J4:L4"/>
    <mergeCell ref="J10:M10"/>
    <mergeCell ref="J11:M11"/>
    <mergeCell ref="J12:M12"/>
    <mergeCell ref="J13:M13"/>
    <mergeCell ref="J14:M14"/>
    <mergeCell ref="J15:M15"/>
    <mergeCell ref="E15:G15"/>
    <mergeCell ref="B18:G18"/>
    <mergeCell ref="B19:D19"/>
    <mergeCell ref="B20:D20"/>
    <mergeCell ref="E19:G19"/>
    <mergeCell ref="E20:G20"/>
    <mergeCell ref="B10:G10"/>
    <mergeCell ref="B11:D11"/>
    <mergeCell ref="B12:D12"/>
    <mergeCell ref="B13:D13"/>
    <mergeCell ref="B14:D14"/>
    <mergeCell ref="B15:D15"/>
    <mergeCell ref="E11:G11"/>
    <mergeCell ref="E12:G12"/>
    <mergeCell ref="E13:G13"/>
    <mergeCell ref="E14:G14"/>
  </mergeCells>
  <hyperlinks>
    <hyperlink ref="B5" location="'MASmoothingOutput'!$A$8:$A$8" display="Inputs"/>
    <hyperlink ref="D5" location="'MASmoothingOutput'!$I$8:$I$8" display="Train. Error Measures"/>
    <hyperlink ref="F5" location="'MASmoothingOutput'!$A$22:$A$22" display="Fitted Model"/>
  </hyperlink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12"/>
  <sheetViews>
    <sheetView showGridLines="0" workbookViewId="0"/>
  </sheetViews>
  <sheetFormatPr defaultRowHeight="14.5" x14ac:dyDescent="0.35"/>
  <cols>
    <col min="2" max="2" width="13.6328125" bestFit="1" customWidth="1"/>
    <col min="3" max="3" width="14.26953125" bestFit="1" customWidth="1"/>
  </cols>
  <sheetData>
    <row r="2" spans="2:14" x14ac:dyDescent="0.35">
      <c r="N2" t="s">
        <v>150</v>
      </c>
    </row>
    <row r="3" spans="2:14" x14ac:dyDescent="0.35">
      <c r="B3" s="4" t="s">
        <v>17</v>
      </c>
      <c r="C3" s="3" t="s">
        <v>151</v>
      </c>
    </row>
    <row r="4" spans="2:14" x14ac:dyDescent="0.35">
      <c r="B4" s="4" t="s">
        <v>152</v>
      </c>
      <c r="C4" s="3"/>
    </row>
    <row r="5" spans="2:14" x14ac:dyDescent="0.35">
      <c r="B5" s="4" t="s">
        <v>153</v>
      </c>
      <c r="C5" s="3" t="b">
        <v>0</v>
      </c>
    </row>
    <row r="6" spans="2:14" x14ac:dyDescent="0.35">
      <c r="B6" s="4" t="s">
        <v>154</v>
      </c>
      <c r="C6" s="3"/>
    </row>
    <row r="7" spans="2:14" x14ac:dyDescent="0.35">
      <c r="B7" s="4" t="s">
        <v>155</v>
      </c>
      <c r="C7" s="3"/>
    </row>
    <row r="8" spans="2:14" x14ac:dyDescent="0.35">
      <c r="B8" s="4" t="s">
        <v>156</v>
      </c>
      <c r="C8" s="3"/>
    </row>
    <row r="9" spans="2:14" x14ac:dyDescent="0.35">
      <c r="B9" s="4" t="s">
        <v>157</v>
      </c>
      <c r="C9" s="3"/>
    </row>
    <row r="10" spans="2:14" x14ac:dyDescent="0.35">
      <c r="B10" s="4" t="s">
        <v>158</v>
      </c>
      <c r="C10" s="3">
        <v>1</v>
      </c>
    </row>
    <row r="11" spans="2:14" x14ac:dyDescent="0.35">
      <c r="B11" s="4" t="s">
        <v>159</v>
      </c>
      <c r="C11" s="3">
        <v>1</v>
      </c>
    </row>
    <row r="12" spans="2:14" x14ac:dyDescent="0.35">
      <c r="B12" s="4" t="s">
        <v>160</v>
      </c>
      <c r="C12" s="3" t="s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I3653"/>
  <sheetViews>
    <sheetView showGridLines="0" topLeftCell="A84" workbookViewId="0">
      <selection activeCell="F112" sqref="F112"/>
    </sheetView>
  </sheetViews>
  <sheetFormatPr defaultRowHeight="14.5" x14ac:dyDescent="0.35"/>
  <cols>
    <col min="3" max="3" width="13.36328125" bestFit="1" customWidth="1"/>
    <col min="4" max="5" width="8.81640625" bestFit="1" customWidth="1"/>
    <col min="6" max="6" width="11.90625" bestFit="1" customWidth="1"/>
    <col min="7" max="7" width="11.81640625" bestFit="1" customWidth="1"/>
    <col min="8" max="10" width="8.81640625" bestFit="1" customWidth="1"/>
    <col min="12" max="12" width="13" bestFit="1" customWidth="1"/>
  </cols>
  <sheetData>
    <row r="1" spans="2:61" ht="18.5" x14ac:dyDescent="0.45">
      <c r="B1" s="5" t="s">
        <v>119</v>
      </c>
      <c r="N1" t="s">
        <v>101</v>
      </c>
      <c r="BA1" s="3">
        <v>0.45041822285441341</v>
      </c>
      <c r="BB1" s="3" t="str">
        <f>"1"</f>
        <v>1</v>
      </c>
      <c r="BC1" t="str">
        <f ca="1">IF((OFFSET($A$1, 1 - 1, 53 - 1)) &gt;= (OFFSET($A$1, 69 - 1, 7 - 1)), "1","0")</f>
        <v>0</v>
      </c>
      <c r="BD1">
        <f ca="1" xml:space="preserve"> IF( AND( OFFSET($A$1, 1 - 1, 54 - 1) = "1", OFFSET($A$1, 1 - 1, 55 - 1) = "1" ), 1, IF( AND( OFFSET($A$1, 1 - 1, 54 - 1) = "1", OFFSET($A$1, 1 - 1, 55 - 1) = "0" ), 2, IF( AND( OFFSET($A$1, 1 - 1, 54 - 1) = "0", OFFSET($A$1, 1 - 1, 55 - 1) = "1" ), 3, 4 ) ) )</f>
        <v>2</v>
      </c>
      <c r="BF1" s="3">
        <v>0.2076461885169866</v>
      </c>
      <c r="BG1" s="3" t="str">
        <f>"1"</f>
        <v>1</v>
      </c>
      <c r="BH1" t="str">
        <f ca="1">IF((OFFSET($A$1, 1 - 1, 58 - 1)) &gt;= (OFFSET($A$1, 93 - 1, 7 - 1)), "1","0")</f>
        <v>0</v>
      </c>
      <c r="BI1">
        <f ca="1" xml:space="preserve"> IF( AND( OFFSET($A$1, 1 - 1, 59 - 1) = "1", OFFSET($A$1, 1 - 1, 60 - 1) = "1" ), 1, IF( AND( OFFSET($A$1, 1 - 1, 59 - 1) = "1", OFFSET($A$1, 1 - 1, 60 - 1) = "0" ), 2, IF( AND( OFFSET($A$1, 1 - 1, 59 - 1) = "0", OFFSET($A$1, 1 - 1, 60 - 1) = "1" ), 3, 4 ) ) )</f>
        <v>2</v>
      </c>
    </row>
    <row r="2" spans="2:61" x14ac:dyDescent="0.35">
      <c r="BA2" s="3">
        <v>0.44950518056200778</v>
      </c>
      <c r="BB2" s="3" t="str">
        <f>"0"</f>
        <v>0</v>
      </c>
      <c r="BC2" t="str">
        <f ca="1">IF((OFFSET($A$1, 2 - 1, 53 - 1)) &gt;= (OFFSET($A$1, 69 - 1, 7 - 1)), "1","0")</f>
        <v>0</v>
      </c>
      <c r="BD2">
        <f ca="1" xml:space="preserve"> IF( AND( OFFSET($A$1, 2 - 1, 54 - 1) = "1", OFFSET($A$1, 2 - 1, 55 - 1) = "1" ), 1, IF( AND( OFFSET($A$1, 2 - 1, 54 - 1) = "1", OFFSET($A$1, 2 - 1, 55 - 1) = "0" ), 2, IF( AND( OFFSET($A$1, 2 - 1, 54 - 1) = "0", OFFSET($A$1, 2 - 1, 55 - 1) = "1" ), 3, 4 ) ) )</f>
        <v>4</v>
      </c>
      <c r="BF2" s="3">
        <v>0.44905673822897263</v>
      </c>
      <c r="BG2" s="3" t="str">
        <f>"1"</f>
        <v>1</v>
      </c>
      <c r="BH2" t="str">
        <f ca="1">IF((OFFSET($A$1, 2 - 1, 58 - 1)) &gt;= (OFFSET($A$1, 93 - 1, 7 - 1)), "1","0")</f>
        <v>0</v>
      </c>
      <c r="BI2">
        <f ca="1" xml:space="preserve"> IF( AND( OFFSET($A$1, 2 - 1, 59 - 1) = "1", OFFSET($A$1, 2 - 1, 60 - 1) = "1" ), 1, IF( AND( OFFSET($A$1, 2 - 1, 59 - 1) = "1", OFFSET($A$1, 2 - 1, 60 - 1) = "0" ), 2, IF( AND( OFFSET($A$1, 2 - 1, 59 - 1) = "0", OFFSET($A$1, 2 - 1, 60 - 1) = "1" ), 3, 4 ) ) )</f>
        <v>2</v>
      </c>
    </row>
    <row r="3" spans="2:61" ht="15.5" x14ac:dyDescent="0.35">
      <c r="B3" s="12" t="s">
        <v>35</v>
      </c>
      <c r="C3" s="13"/>
      <c r="D3" s="13"/>
      <c r="E3" s="13"/>
      <c r="F3" s="13"/>
      <c r="G3" s="13"/>
      <c r="H3" s="13"/>
      <c r="I3" s="14"/>
      <c r="L3" s="12" t="s">
        <v>36</v>
      </c>
      <c r="M3" s="13"/>
      <c r="N3" s="13"/>
      <c r="O3" s="14"/>
      <c r="BA3" s="3">
        <v>0.20675304483656526</v>
      </c>
      <c r="BB3" s="3" t="str">
        <f>"0"</f>
        <v>0</v>
      </c>
      <c r="BC3" t="str">
        <f ca="1">IF((OFFSET($A$1, 3 - 1, 53 - 1)) &gt;= (OFFSET($A$1, 69 - 1, 7 - 1)), "1","0")</f>
        <v>0</v>
      </c>
      <c r="BD3">
        <f ca="1" xml:space="preserve"> IF( AND( OFFSET($A$1, 3 - 1, 54 - 1) = "1", OFFSET($A$1, 3 - 1, 55 - 1) = "1" ), 1, IF( AND( OFFSET($A$1, 3 - 1, 54 - 1) = "1", OFFSET($A$1, 3 - 1, 55 - 1) = "0" ), 2, IF( AND( OFFSET($A$1, 3 - 1, 54 - 1) = "0", OFFSET($A$1, 3 - 1, 55 - 1) = "1" ), 3, 4 ) ) )</f>
        <v>4</v>
      </c>
      <c r="BF3" s="3">
        <v>0.44817616594151843</v>
      </c>
      <c r="BG3" s="3" t="str">
        <f>"0"</f>
        <v>0</v>
      </c>
      <c r="BH3" t="str">
        <f ca="1">IF((OFFSET($A$1, 3 - 1, 58 - 1)) &gt;= (OFFSET($A$1, 93 - 1, 7 - 1)), "1","0")</f>
        <v>0</v>
      </c>
      <c r="BI3">
        <f ca="1" xml:space="preserve"> IF( AND( OFFSET($A$1, 3 - 1, 59 - 1) = "1", OFFSET($A$1, 3 - 1, 60 - 1) = "1" ), 1, IF( AND( OFFSET($A$1, 3 - 1, 59 - 1) = "1", OFFSET($A$1, 3 - 1, 60 - 1) = "0" ), 2, IF( AND( OFFSET($A$1, 3 - 1, 59 - 1) = "0", OFFSET($A$1, 3 - 1, 60 - 1) = "1" ), 3, 4 ) ) )</f>
        <v>4</v>
      </c>
    </row>
    <row r="4" spans="2:61" x14ac:dyDescent="0.35">
      <c r="B4" s="29" t="s">
        <v>41</v>
      </c>
      <c r="C4" s="23"/>
      <c r="D4" s="29" t="s">
        <v>115</v>
      </c>
      <c r="E4" s="23"/>
      <c r="F4" s="29" t="s">
        <v>97</v>
      </c>
      <c r="G4" s="23"/>
      <c r="H4" s="29" t="s">
        <v>98</v>
      </c>
      <c r="I4" s="23"/>
      <c r="L4" s="11" t="s">
        <v>108</v>
      </c>
      <c r="M4" s="11" t="s">
        <v>109</v>
      </c>
      <c r="N4" s="11" t="s">
        <v>39</v>
      </c>
      <c r="O4" s="11" t="s">
        <v>40</v>
      </c>
      <c r="BA4" s="3">
        <v>0.20617694796725525</v>
      </c>
      <c r="BB4" s="3" t="str">
        <f>"1"</f>
        <v>1</v>
      </c>
      <c r="BC4" t="str">
        <f ca="1">IF((OFFSET($A$1, 4 - 1, 53 - 1)) &gt;= (OFFSET($A$1, 69 - 1, 7 - 1)), "1","0")</f>
        <v>0</v>
      </c>
      <c r="BD4">
        <f ca="1" xml:space="preserve"> IF( AND( OFFSET($A$1, 4 - 1, 54 - 1) = "1", OFFSET($A$1, 4 - 1, 55 - 1) = "1" ), 1, IF( AND( OFFSET($A$1, 4 - 1, 54 - 1) = "1", OFFSET($A$1, 4 - 1, 55 - 1) = "0" ), 2, IF( AND( OFFSET($A$1, 4 - 1, 54 - 1) = "0", OFFSET($A$1, 4 - 1, 55 - 1) = "1" ), 3, 4 ) ) )</f>
        <v>2</v>
      </c>
      <c r="BF4" s="3">
        <v>0.20589473013565504</v>
      </c>
      <c r="BG4" s="3" t="str">
        <f>"0"</f>
        <v>0</v>
      </c>
      <c r="BH4" t="str">
        <f ca="1">IF((OFFSET($A$1, 4 - 1, 58 - 1)) &gt;= (OFFSET($A$1, 93 - 1, 7 - 1)), "1","0")</f>
        <v>0</v>
      </c>
      <c r="BI4">
        <f ca="1" xml:space="preserve"> IF( AND( OFFSET($A$1, 4 - 1, 59 - 1) = "1", OFFSET($A$1, 4 - 1, 60 - 1) = "1" ), 1, IF( AND( OFFSET($A$1, 4 - 1, 59 - 1) = "1", OFFSET($A$1, 4 - 1, 60 - 1) = "0" ), 2, IF( AND( OFFSET($A$1, 4 - 1, 59 - 1) = "0", OFFSET($A$1, 4 - 1, 60 - 1) = "1" ), 3, 4 ) ) )</f>
        <v>4</v>
      </c>
    </row>
    <row r="5" spans="2:61" x14ac:dyDescent="0.35">
      <c r="B5" s="29" t="s">
        <v>116</v>
      </c>
      <c r="C5" s="23"/>
      <c r="D5" s="29" t="s">
        <v>117</v>
      </c>
      <c r="E5" s="23"/>
      <c r="F5" s="29" t="s">
        <v>118</v>
      </c>
      <c r="G5" s="23"/>
      <c r="H5" s="21"/>
      <c r="I5" s="23"/>
      <c r="L5" s="3">
        <v>31</v>
      </c>
      <c r="M5" s="3">
        <v>15</v>
      </c>
      <c r="N5" s="3">
        <v>63</v>
      </c>
      <c r="O5" s="3">
        <v>109</v>
      </c>
      <c r="BA5" s="3">
        <v>0.44689653964964227</v>
      </c>
      <c r="BB5" s="3" t="str">
        <f>"1"</f>
        <v>1</v>
      </c>
      <c r="BC5" t="str">
        <f ca="1">IF((OFFSET($A$1, 5 - 1, 53 - 1)) &gt;= (OFFSET($A$1, 69 - 1, 7 - 1)), "1","0")</f>
        <v>0</v>
      </c>
      <c r="BD5">
        <f ca="1" xml:space="preserve"> IF( AND( OFFSET($A$1, 5 - 1, 54 - 1) = "1", OFFSET($A$1, 5 - 1, 55 - 1) = "1" ), 1, IF( AND( OFFSET($A$1, 5 - 1, 54 - 1) = "1", OFFSET($A$1, 5 - 1, 55 - 1) = "0" ), 2, IF( AND( OFFSET($A$1, 5 - 1, 54 - 1) = "0", OFFSET($A$1, 5 - 1, 55 - 1) = "1" ), 3, 4 ) ) )</f>
        <v>2</v>
      </c>
      <c r="BF5" s="3">
        <v>0.20534200508712558</v>
      </c>
      <c r="BG5" s="3" t="str">
        <f>"0"</f>
        <v>0</v>
      </c>
      <c r="BH5" t="str">
        <f ca="1">IF((OFFSET($A$1, 5 - 1, 58 - 1)) &gt;= (OFFSET($A$1, 93 - 1, 7 - 1)), "1","0")</f>
        <v>0</v>
      </c>
      <c r="BI5">
        <f ca="1" xml:space="preserve"> IF( AND( OFFSET($A$1, 5 - 1, 59 - 1) = "1", OFFSET($A$1, 5 - 1, 60 - 1) = "1" ), 1, IF( AND( OFFSET($A$1, 5 - 1, 59 - 1) = "1", OFFSET($A$1, 5 - 1, 60 - 1) = "0" ), 2, IF( AND( OFFSET($A$1, 5 - 1, 59 - 1) = "0", OFFSET($A$1, 5 - 1, 60 - 1) = "1" ), 3, 4 ) ) )</f>
        <v>4</v>
      </c>
    </row>
    <row r="6" spans="2:61" x14ac:dyDescent="0.35">
      <c r="BA6" s="3">
        <v>0.44607128430447651</v>
      </c>
      <c r="BB6" s="3" t="str">
        <f>"0"</f>
        <v>0</v>
      </c>
      <c r="BC6" t="str">
        <f ca="1">IF((OFFSET($A$1, 6 - 1, 53 - 1)) &gt;= (OFFSET($A$1, 69 - 1, 7 - 1)), "1","0")</f>
        <v>0</v>
      </c>
      <c r="BD6">
        <f ca="1" xml:space="preserve"> IF( AND( OFFSET($A$1, 6 - 1, 54 - 1) = "1", OFFSET($A$1, 6 - 1, 55 - 1) = "1" ), 1, IF( AND( OFFSET($A$1, 6 - 1, 54 - 1) = "1", OFFSET($A$1, 6 - 1, 55 - 1) = "0" ), 2, IF( AND( OFFSET($A$1, 6 - 1, 54 - 1) = "0", OFFSET($A$1, 6 - 1, 55 - 1) = "1" ), 3, 4 ) ) )</f>
        <v>4</v>
      </c>
      <c r="BF6" s="3">
        <v>0.20480495763622403</v>
      </c>
      <c r="BG6" s="3" t="str">
        <f>"0"</f>
        <v>0</v>
      </c>
      <c r="BH6" t="str">
        <f ca="1">IF((OFFSET($A$1, 6 - 1, 58 - 1)) &gt;= (OFFSET($A$1, 93 - 1, 7 - 1)), "1","0")</f>
        <v>0</v>
      </c>
      <c r="BI6">
        <f ca="1" xml:space="preserve"> IF( AND( OFFSET($A$1, 6 - 1, 59 - 1) = "1", OFFSET($A$1, 6 - 1, 60 - 1) = "1" ), 1, IF( AND( OFFSET($A$1, 6 - 1, 59 - 1) = "1", OFFSET($A$1, 6 - 1, 60 - 1) = "0" ), 2, IF( AND( OFFSET($A$1, 6 - 1, 59 - 1) = "0", OFFSET($A$1, 6 - 1, 60 - 1) = "1" ), 3, 4 ) ) )</f>
        <v>4</v>
      </c>
    </row>
    <row r="7" spans="2:61" x14ac:dyDescent="0.35">
      <c r="BA7" s="3">
        <v>0.20454233603495553</v>
      </c>
      <c r="BB7" s="3" t="str">
        <f>"0"</f>
        <v>0</v>
      </c>
      <c r="BC7" t="str">
        <f ca="1">IF((OFFSET($A$1, 7 - 1, 53 - 1)) &gt;= (OFFSET($A$1, 69 - 1, 7 - 1)), "1","0")</f>
        <v>0</v>
      </c>
      <c r="BD7">
        <f ca="1" xml:space="preserve"> IF( AND( OFFSET($A$1, 7 - 1, 54 - 1) = "1", OFFSET($A$1, 7 - 1, 55 - 1) = "1" ), 1, IF( AND( OFFSET($A$1, 7 - 1, 54 - 1) = "1", OFFSET($A$1, 7 - 1, 55 - 1) = "0" ), 2, IF( AND( OFFSET($A$1, 7 - 1, 54 - 1) = "0", OFFSET($A$1, 7 - 1, 55 - 1) = "1" ), 3, 4 ) ) )</f>
        <v>4</v>
      </c>
      <c r="BF7" s="3">
        <v>0.20428366106141582</v>
      </c>
      <c r="BG7" s="3" t="str">
        <f>"0"</f>
        <v>0</v>
      </c>
      <c r="BH7" t="str">
        <f ca="1">IF((OFFSET($A$1, 7 - 1, 58 - 1)) &gt;= (OFFSET($A$1, 93 - 1, 7 - 1)), "1","0")</f>
        <v>0</v>
      </c>
      <c r="BI7">
        <f ca="1" xml:space="preserve"> IF( AND( OFFSET($A$1, 7 - 1, 59 - 1) = "1", OFFSET($A$1, 7 - 1, 60 - 1) = "1" ), 1, IF( AND( OFFSET($A$1, 7 - 1, 59 - 1) = "1", OFFSET($A$1, 7 - 1, 60 - 1) = "0" ), 2, IF( AND( OFFSET($A$1, 7 - 1, 59 - 1) = "0", OFFSET($A$1, 7 - 1, 60 - 1) = "1" ), 3, 4 ) ) )</f>
        <v>4</v>
      </c>
    </row>
    <row r="8" spans="2:61" x14ac:dyDescent="0.35">
      <c r="BA8" s="3">
        <v>0.20402894137763078</v>
      </c>
      <c r="BB8" s="3" t="str">
        <f>"0"</f>
        <v>0</v>
      </c>
      <c r="BC8" t="str">
        <f ca="1">IF((OFFSET($A$1, 8 - 1, 53 - 1)) &gt;= (OFFSET($A$1, 69 - 1, 7 - 1)), "1","0")</f>
        <v>0</v>
      </c>
      <c r="BD8">
        <f ca="1" xml:space="preserve"> IF( AND( OFFSET($A$1, 8 - 1, 54 - 1) = "1", OFFSET($A$1, 8 - 1, 55 - 1) = "1" ), 1, IF( AND( OFFSET($A$1, 8 - 1, 54 - 1) = "1", OFFSET($A$1, 8 - 1, 55 - 1) = "0" ), 2, IF( AND( OFFSET($A$1, 8 - 1, 54 - 1) = "0", OFFSET($A$1, 8 - 1, 55 - 1) = "1" ), 3, 4 ) ) )</f>
        <v>4</v>
      </c>
      <c r="BF8" s="3">
        <v>0.20377818545128978</v>
      </c>
      <c r="BG8" s="3" t="str">
        <f>"0"</f>
        <v>0</v>
      </c>
      <c r="BH8" t="str">
        <f ca="1">IF((OFFSET($A$1, 8 - 1, 58 - 1)) &gt;= (OFFSET($A$1, 93 - 1, 7 - 1)), "1","0")</f>
        <v>0</v>
      </c>
      <c r="BI8">
        <f ca="1" xml:space="preserve"> IF( AND( OFFSET($A$1, 8 - 1, 59 - 1) = "1", OFFSET($A$1, 8 - 1, 60 - 1) = "1" ), 1, IF( AND( OFFSET($A$1, 8 - 1, 59 - 1) = "1", OFFSET($A$1, 8 - 1, 60 - 1) = "0" ), 2, IF( AND( OFFSET($A$1, 8 - 1, 59 - 1) = "0", OFFSET($A$1, 8 - 1, 60 - 1) = "1" ), 3, 4 ) ) )</f>
        <v>4</v>
      </c>
    </row>
    <row r="9" spans="2:61" x14ac:dyDescent="0.35">
      <c r="BA9" s="3">
        <v>0.20353140155822477</v>
      </c>
      <c r="BB9" s="3" t="str">
        <f>"0"</f>
        <v>0</v>
      </c>
      <c r="BC9" t="str">
        <f ca="1">IF((OFFSET($A$1, 9 - 1, 53 - 1)) &gt;= (OFFSET($A$1, 69 - 1, 7 - 1)), "1","0")</f>
        <v>0</v>
      </c>
      <c r="BD9">
        <f ca="1" xml:space="preserve"> IF( AND( OFFSET($A$1, 9 - 1, 54 - 1) = "1", OFFSET($A$1, 9 - 1, 55 - 1) = "1" ), 1, IF( AND( OFFSET($A$1, 9 - 1, 54 - 1) = "1", OFFSET($A$1, 9 - 1, 55 - 1) = "0" ), 2, IF( AND( OFFSET($A$1, 9 - 1, 54 - 1) = "0", OFFSET($A$1, 9 - 1, 55 - 1) = "1" ), 3, 4 ) ) )</f>
        <v>4</v>
      </c>
      <c r="BF9" s="3">
        <v>0.20328859778487218</v>
      </c>
      <c r="BG9" s="3" t="str">
        <f>"0"</f>
        <v>0</v>
      </c>
      <c r="BH9" t="str">
        <f ca="1">IF((OFFSET($A$1, 9 - 1, 58 - 1)) &gt;= (OFFSET($A$1, 93 - 1, 7 - 1)), "1","0")</f>
        <v>0</v>
      </c>
      <c r="BI9">
        <f ca="1" xml:space="preserve"> IF( AND( OFFSET($A$1, 9 - 1, 59 - 1) = "1", OFFSET($A$1, 9 - 1, 60 - 1) = "1" ), 1, IF( AND( OFFSET($A$1, 9 - 1, 59 - 1) = "1", OFFSET($A$1, 9 - 1, 60 - 1) = "0" ), 2, IF( AND( OFFSET($A$1, 9 - 1, 59 - 1) = "0", OFFSET($A$1, 9 - 1, 60 - 1) = "1" ), 3, 4 ) ) )</f>
        <v>4</v>
      </c>
    </row>
    <row r="10" spans="2:61" ht="18.5" x14ac:dyDescent="0.45">
      <c r="B10" s="6" t="s">
        <v>41</v>
      </c>
      <c r="BA10" s="3">
        <v>0.20304978203071097</v>
      </c>
      <c r="BB10" s="3" t="str">
        <f>"1"</f>
        <v>1</v>
      </c>
      <c r="BC10" t="str">
        <f ca="1">IF((OFFSET($A$1, 10 - 1, 53 - 1)) &gt;= (OFFSET($A$1, 69 - 1, 7 - 1)), "1","0")</f>
        <v>0</v>
      </c>
      <c r="BD10">
        <f ca="1" xml:space="preserve"> IF( AND( OFFSET($A$1, 10 - 1, 54 - 1) = "1", OFFSET($A$1, 10 - 1, 55 - 1) = "1" ), 1, IF( AND( OFFSET($A$1, 10 - 1, 54 - 1) = "1", OFFSET($A$1, 10 - 1, 55 - 1) = "0" ), 2, IF( AND( OFFSET($A$1, 10 - 1, 54 - 1) = "0", OFFSET($A$1, 10 - 1, 55 - 1) = "1" ), 3, 4 ) ) )</f>
        <v>2</v>
      </c>
      <c r="BF10" s="3">
        <v>0.20281496201067953</v>
      </c>
      <c r="BG10" s="3" t="str">
        <f>"0"</f>
        <v>0</v>
      </c>
      <c r="BH10" t="str">
        <f ca="1">IF((OFFSET($A$1, 10 - 1, 58 - 1)) &gt;= (OFFSET($A$1, 93 - 1, 7 - 1)), "1","0")</f>
        <v>0</v>
      </c>
      <c r="BI10">
        <f ca="1" xml:space="preserve"> IF( AND( OFFSET($A$1, 10 - 1, 59 - 1) = "1", OFFSET($A$1, 10 - 1, 60 - 1) = "1" ), 1, IF( AND( OFFSET($A$1, 10 - 1, 59 - 1) = "1", OFFSET($A$1, 10 - 1, 60 - 1) = "0" ), 2, IF( AND( OFFSET($A$1, 10 - 1, 59 - 1) = "0", OFFSET($A$1, 10 - 1, 60 - 1) = "1" ), 3, 4 ) ) )</f>
        <v>4</v>
      </c>
    </row>
    <row r="11" spans="2:61" x14ac:dyDescent="0.35">
      <c r="BA11" s="3">
        <v>0.44228715997706125</v>
      </c>
      <c r="BB11" s="3" t="str">
        <f>"0"</f>
        <v>0</v>
      </c>
      <c r="BC11" t="str">
        <f ca="1">IF((OFFSET($A$1, 11 - 1, 53 - 1)) &gt;= (OFFSET($A$1, 69 - 1, 7 - 1)), "1","0")</f>
        <v>0</v>
      </c>
      <c r="BD11">
        <f ca="1" xml:space="preserve"> IF( AND( OFFSET($A$1, 11 - 1, 54 - 1) = "1", OFFSET($A$1, 11 - 1, 55 - 1) = "1" ), 1, IF( AND( OFFSET($A$1, 11 - 1, 54 - 1) = "1", OFFSET($A$1, 11 - 1, 55 - 1) = "0" ), 2, IF( AND( OFFSET($A$1, 11 - 1, 54 - 1) = "0", OFFSET($A$1, 11 - 1, 55 - 1) = "1" ), 3, 4 ) ) )</f>
        <v>4</v>
      </c>
      <c r="BF11" s="3">
        <v>0.202357339124386</v>
      </c>
      <c r="BG11" s="3" t="str">
        <f>"0"</f>
        <v>0</v>
      </c>
      <c r="BH11" t="str">
        <f ca="1">IF((OFFSET($A$1, 11 - 1, 58 - 1)) &gt;= (OFFSET($A$1, 93 - 1, 7 - 1)), "1","0")</f>
        <v>0</v>
      </c>
      <c r="BI11">
        <f ca="1" xml:space="preserve"> IF( AND( OFFSET($A$1, 11 - 1, 59 - 1) = "1", OFFSET($A$1, 11 - 1, 60 - 1) = "1" ), 1, IF( AND( OFFSET($A$1, 11 - 1, 59 - 1) = "1", OFFSET($A$1, 11 - 1, 60 - 1) = "0" ), 2, IF( AND( OFFSET($A$1, 11 - 1, 59 - 1) = "0", OFFSET($A$1, 11 - 1, 60 - 1) = "1" ), 3, 4 ) ) )</f>
        <v>4</v>
      </c>
    </row>
    <row r="12" spans="2:61" ht="15.5" x14ac:dyDescent="0.35">
      <c r="C12" s="12" t="s">
        <v>42</v>
      </c>
      <c r="D12" s="13"/>
      <c r="E12" s="13"/>
      <c r="F12" s="13"/>
      <c r="G12" s="13"/>
      <c r="H12" s="13"/>
      <c r="I12" s="13"/>
      <c r="J12" s="13"/>
      <c r="K12" s="14"/>
      <c r="BA12" s="3">
        <v>0.20213455078670645</v>
      </c>
      <c r="BB12" s="3" t="str">
        <f>"0"</f>
        <v>0</v>
      </c>
      <c r="BC12" t="str">
        <f ca="1">IF((OFFSET($A$1, 12 - 1, 53 - 1)) &gt;= (OFFSET($A$1, 69 - 1, 7 - 1)), "1","0")</f>
        <v>0</v>
      </c>
      <c r="BD12">
        <f ca="1" xml:space="preserve"> IF( AND( OFFSET($A$1, 12 - 1, 54 - 1) = "1", OFFSET($A$1, 12 - 1, 55 - 1) = "1" ), 1, IF( AND( OFFSET($A$1, 12 - 1, 54 - 1) = "1", OFFSET($A$1, 12 - 1, 55 - 1) = "0" ), 2, IF( AND( OFFSET($A$1, 12 - 1, 54 - 1) = "0", OFFSET($A$1, 12 - 1, 55 - 1) = "1" ), 3, 4 ) ) )</f>
        <v>4</v>
      </c>
      <c r="BF12" s="3">
        <v>0.20191578724498194</v>
      </c>
      <c r="BG12" s="3" t="str">
        <f>"0"</f>
        <v>0</v>
      </c>
      <c r="BH12" t="str">
        <f ca="1">IF((OFFSET($A$1, 12 - 1, 58 - 1)) &gt;= (OFFSET($A$1, 93 - 1, 7 - 1)), "1","0")</f>
        <v>0</v>
      </c>
      <c r="BI12">
        <f ca="1" xml:space="preserve"> IF( AND( OFFSET($A$1, 12 - 1, 59 - 1) = "1", OFFSET($A$1, 12 - 1, 60 - 1) = "1" ), 1, IF( AND( OFFSET($A$1, 12 - 1, 59 - 1) = "1", OFFSET($A$1, 12 - 1, 60 - 1) = "0" ), 2, IF( AND( OFFSET($A$1, 12 - 1, 59 - 1) = "0", OFFSET($A$1, 12 - 1, 60 - 1) = "1" ), 3, 4 ) ) )</f>
        <v>4</v>
      </c>
    </row>
    <row r="13" spans="2:61" x14ac:dyDescent="0.35">
      <c r="C13" s="15" t="s">
        <v>43</v>
      </c>
      <c r="D13" s="16"/>
      <c r="E13" s="16"/>
      <c r="F13" s="17"/>
      <c r="G13" s="18" t="s">
        <v>44</v>
      </c>
      <c r="H13" s="19"/>
      <c r="I13" s="19"/>
      <c r="J13" s="19"/>
      <c r="K13" s="20"/>
      <c r="BA13" s="3">
        <v>0.20170105532683283</v>
      </c>
      <c r="BB13" s="3" t="str">
        <f>"0"</f>
        <v>0</v>
      </c>
      <c r="BC13" t="str">
        <f ca="1">IF((OFFSET($A$1, 13 - 1, 53 - 1)) &gt;= (OFFSET($A$1, 69 - 1, 7 - 1)), "1","0")</f>
        <v>0</v>
      </c>
      <c r="BD13">
        <f ca="1" xml:space="preserve"> IF( AND( OFFSET($A$1, 13 - 1, 54 - 1) = "1", OFFSET($A$1, 13 - 1, 55 - 1) = "1" ), 1, IF( AND( OFFSET($A$1, 13 - 1, 54 - 1) = "1", OFFSET($A$1, 13 - 1, 55 - 1) = "0" ), 2, IF( AND( OFFSET($A$1, 13 - 1, 54 - 1) = "0", OFFSET($A$1, 13 - 1, 55 - 1) = "1" ), 3, 4 ) ) )</f>
        <v>4</v>
      </c>
      <c r="BF13" s="3">
        <v>0.2014903616893105</v>
      </c>
      <c r="BG13" s="3" t="str">
        <f>"1"</f>
        <v>1</v>
      </c>
      <c r="BH13" t="str">
        <f ca="1">IF((OFFSET($A$1, 13 - 1, 58 - 1)) &gt;= (OFFSET($A$1, 93 - 1, 7 - 1)), "1","0")</f>
        <v>0</v>
      </c>
      <c r="BI13">
        <f ca="1" xml:space="preserve"> IF( AND( OFFSET($A$1, 13 - 1, 59 - 1) = "1", OFFSET($A$1, 13 - 1, 60 - 1) = "1" ), 1, IF( AND( OFFSET($A$1, 13 - 1, 59 - 1) = "1", OFFSET($A$1, 13 - 1, 60 - 1) = "0" ), 2, IF( AND( OFFSET($A$1, 13 - 1, 59 - 1) = "0", OFFSET($A$1, 13 - 1, 60 - 1) = "1" ), 3, 4 ) ) )</f>
        <v>2</v>
      </c>
    </row>
    <row r="14" spans="2:61" x14ac:dyDescent="0.35">
      <c r="C14" s="15" t="s">
        <v>45</v>
      </c>
      <c r="D14" s="16"/>
      <c r="E14" s="16"/>
      <c r="F14" s="17"/>
      <c r="G14" s="18" t="s">
        <v>110</v>
      </c>
      <c r="H14" s="19"/>
      <c r="I14" s="19"/>
      <c r="J14" s="19"/>
      <c r="K14" s="20"/>
      <c r="BA14" s="3">
        <v>0.20128371282112822</v>
      </c>
      <c r="BB14" s="3" t="str">
        <f>"0"</f>
        <v>0</v>
      </c>
      <c r="BC14" t="str">
        <f ca="1">IF((OFFSET($A$1, 14 - 1, 53 - 1)) &gt;= (OFFSET($A$1, 69 - 1, 7 - 1)), "1","0")</f>
        <v>0</v>
      </c>
      <c r="BD14">
        <f ca="1" xml:space="preserve"> IF( AND( OFFSET($A$1, 14 - 1, 54 - 1) = "1", OFFSET($A$1, 14 - 1, 55 - 1) = "1" ), 1, IF( AND( OFFSET($A$1, 14 - 1, 54 - 1) = "1", OFFSET($A$1, 14 - 1, 55 - 1) = "0" ), 2, IF( AND( OFFSET($A$1, 14 - 1, 54 - 1) = "0", OFFSET($A$1, 14 - 1, 55 - 1) = "1" ), 3, 4 ) ) )</f>
        <v>4</v>
      </c>
      <c r="BF14" s="3">
        <v>0.43998697889850091</v>
      </c>
      <c r="BG14" s="3" t="str">
        <f>"0"</f>
        <v>0</v>
      </c>
      <c r="BH14" t="str">
        <f ca="1">IF((OFFSET($A$1, 14 - 1, 58 - 1)) &gt;= (OFFSET($A$1, 93 - 1, 7 - 1)), "1","0")</f>
        <v>0</v>
      </c>
      <c r="BI14">
        <f ca="1" xml:space="preserve"> IF( AND( OFFSET($A$1, 14 - 1, 59 - 1) = "1", OFFSET($A$1, 14 - 1, 60 - 1) = "1" ), 1, IF( AND( OFFSET($A$1, 14 - 1, 59 - 1) = "1", OFFSET($A$1, 14 - 1, 60 - 1) = "0" ), 2, IF( AND( OFFSET($A$1, 14 - 1, 59 - 1) = "0", OFFSET($A$1, 14 - 1, 60 - 1) = "1" ), 3, 4 ) ) )</f>
        <v>4</v>
      </c>
    </row>
    <row r="15" spans="2:61" x14ac:dyDescent="0.35">
      <c r="C15" s="15" t="s">
        <v>47</v>
      </c>
      <c r="D15" s="16"/>
      <c r="E15" s="16"/>
      <c r="F15" s="17"/>
      <c r="G15" s="18">
        <v>3653</v>
      </c>
      <c r="H15" s="19"/>
      <c r="I15" s="19"/>
      <c r="J15" s="19"/>
      <c r="K15" s="20"/>
      <c r="BA15" s="3">
        <v>0.20088257451913943</v>
      </c>
      <c r="BB15" s="3" t="str">
        <f>"0"</f>
        <v>0</v>
      </c>
      <c r="BC15" t="str">
        <f ca="1">IF((OFFSET($A$1, 15 - 1, 53 - 1)) &gt;= (OFFSET($A$1, 69 - 1, 7 - 1)), "1","0")</f>
        <v>0</v>
      </c>
      <c r="BD15">
        <f ca="1" xml:space="preserve"> IF( AND( OFFSET($A$1, 15 - 1, 54 - 1) = "1", OFFSET($A$1, 15 - 1, 55 - 1) = "1" ), 1, IF( AND( OFFSET($A$1, 15 - 1, 54 - 1) = "1", OFFSET($A$1, 15 - 1, 55 - 1) = "0" ), 2, IF( AND( OFFSET($A$1, 15 - 1, 54 - 1) = "0", OFFSET($A$1, 15 - 1, 55 - 1) = "1" ), 3, 4 ) ) )</f>
        <v>4</v>
      </c>
      <c r="BF15" s="3">
        <v>0.20068809724074663</v>
      </c>
      <c r="BG15" s="3" t="str">
        <f>"0"</f>
        <v>0</v>
      </c>
      <c r="BH15" t="str">
        <f ca="1">IF((OFFSET($A$1, 15 - 1, 58 - 1)) &gt;= (OFFSET($A$1, 93 - 1, 7 - 1)), "1","0")</f>
        <v>0</v>
      </c>
      <c r="BI15">
        <f ca="1" xml:space="preserve"> IF( AND( OFFSET($A$1, 15 - 1, 59 - 1) = "1", OFFSET($A$1, 15 - 1, 60 - 1) = "1" ), 1, IF( AND( OFFSET($A$1, 15 - 1, 59 - 1) = "1", OFFSET($A$1, 15 - 1, 60 - 1) = "0" ), 2, IF( AND( OFFSET($A$1, 15 - 1, 59 - 1) = "0", OFFSET($A$1, 15 - 1, 60 - 1) = "1" ), 3, 4 ) ) )</f>
        <v>4</v>
      </c>
    </row>
    <row r="16" spans="2:61" x14ac:dyDescent="0.35">
      <c r="C16" s="15" t="s">
        <v>48</v>
      </c>
      <c r="D16" s="16"/>
      <c r="E16" s="16"/>
      <c r="F16" s="17"/>
      <c r="G16" s="18">
        <v>669</v>
      </c>
      <c r="H16" s="19"/>
      <c r="I16" s="19"/>
      <c r="J16" s="19"/>
      <c r="K16" s="20"/>
      <c r="BA16" s="3">
        <v>0.20049768904677154</v>
      </c>
      <c r="BB16" s="3" t="str">
        <f>"1"</f>
        <v>1</v>
      </c>
      <c r="BC16" t="str">
        <f ca="1">IF((OFFSET($A$1, 16 - 1, 53 - 1)) &gt;= (OFFSET($A$1, 69 - 1, 7 - 1)), "1","0")</f>
        <v>0</v>
      </c>
      <c r="BD16">
        <f ca="1" xml:space="preserve"> IF( AND( OFFSET($A$1, 16 - 1, 54 - 1) = "1", OFFSET($A$1, 16 - 1, 55 - 1) = "1" ), 1, IF( AND( OFFSET($A$1, 16 - 1, 54 - 1) = "1", OFFSET($A$1, 16 - 1, 55 - 1) = "0" ), 2, IF( AND( OFFSET($A$1, 16 - 1, 54 - 1) = "0", OFFSET($A$1, 16 - 1, 55 - 1) = "1" ), 3, 4 ) ) )</f>
        <v>2</v>
      </c>
      <c r="BF16" s="3">
        <v>0.20031135561666449</v>
      </c>
      <c r="BG16" s="3" t="str">
        <f>"0"</f>
        <v>0</v>
      </c>
      <c r="BH16" t="str">
        <f ca="1">IF((OFFSET($A$1, 16 - 1, 58 - 1)) &gt;= (OFFSET($A$1, 93 - 1, 7 - 1)), "1","0")</f>
        <v>0</v>
      </c>
      <c r="BI16">
        <f ca="1" xml:space="preserve"> IF( AND( OFFSET($A$1, 16 - 1, 59 - 1) = "1", OFFSET($A$1, 16 - 1, 60 - 1) = "1" ), 1, IF( AND( OFFSET($A$1, 16 - 1, 59 - 1) = "1", OFFSET($A$1, 16 - 1, 60 - 1) = "0" ), 2, IF( AND( OFFSET($A$1, 16 - 1, 59 - 1) = "0", OFFSET($A$1, 16 - 1, 60 - 1) = "1" ), 3, 4 ) ) )</f>
        <v>4</v>
      </c>
    </row>
    <row r="17" spans="3:61" x14ac:dyDescent="0.35">
      <c r="BA17" s="3">
        <v>0.43852472778484081</v>
      </c>
      <c r="BB17" s="3" t="str">
        <f>"1"</f>
        <v>1</v>
      </c>
      <c r="BC17" t="str">
        <f ca="1">IF((OFFSET($A$1, 17 - 1, 53 - 1)) &gt;= (OFFSET($A$1, 69 - 1, 7 - 1)), "1","0")</f>
        <v>0</v>
      </c>
      <c r="BD17">
        <f ca="1" xml:space="preserve"> IF( AND( OFFSET($A$1, 17 - 1, 54 - 1) = "1", OFFSET($A$1, 17 - 1, 55 - 1) = "1" ), 1, IF( AND( OFFSET($A$1, 17 - 1, 54 - 1) = "1", OFFSET($A$1, 17 - 1, 55 - 1) = "0" ), 2, IF( AND( OFFSET($A$1, 17 - 1, 54 - 1) = "0", OFFSET($A$1, 17 - 1, 55 - 1) = "1" ), 3, 4 ) ) )</f>
        <v>2</v>
      </c>
      <c r="BF17" s="3">
        <v>0.19995093498990096</v>
      </c>
      <c r="BG17" s="3" t="str">
        <f>"0"</f>
        <v>0</v>
      </c>
      <c r="BH17" t="str">
        <f ca="1">IF((OFFSET($A$1, 17 - 1, 58 - 1)) &gt;= (OFFSET($A$1, 93 - 1, 7 - 1)), "1","0")</f>
        <v>0</v>
      </c>
      <c r="BI17">
        <f ca="1" xml:space="preserve"> IF( AND( OFFSET($A$1, 17 - 1, 59 - 1) = "1", OFFSET($A$1, 17 - 1, 60 - 1) = "1" ), 1, IF( AND( OFFSET($A$1, 17 - 1, 59 - 1) = "1", OFFSET($A$1, 17 - 1, 60 - 1) = "0" ), 2, IF( AND( OFFSET($A$1, 17 - 1, 59 - 1) = "0", OFFSET($A$1, 17 - 1, 60 - 1) = "1" ), 3, 4 ) ) )</f>
        <v>4</v>
      </c>
    </row>
    <row r="18" spans="3:61" ht="15.5" x14ac:dyDescent="0.35">
      <c r="C18" s="12" t="s">
        <v>49</v>
      </c>
      <c r="D18" s="13"/>
      <c r="E18" s="13"/>
      <c r="F18" s="13"/>
      <c r="G18" s="14"/>
      <c r="BA18" s="3">
        <v>0.43798264429725886</v>
      </c>
      <c r="BB18" s="3" t="str">
        <f>"0"</f>
        <v>0</v>
      </c>
      <c r="BC18" t="str">
        <f ca="1">IF((OFFSET($A$1, 18 - 1, 53 - 1)) &gt;= (OFFSET($A$1, 69 - 1, 7 - 1)), "1","0")</f>
        <v>0</v>
      </c>
      <c r="BD18">
        <f ca="1" xml:space="preserve"> IF( AND( OFFSET($A$1, 18 - 1, 54 - 1) = "1", OFFSET($A$1, 18 - 1, 55 - 1) = "1" ), 1, IF( AND( OFFSET($A$1, 18 - 1, 54 - 1) = "1", OFFSET($A$1, 18 - 1, 55 - 1) = "0" ), 2, IF( AND( OFFSET($A$1, 18 - 1, 54 - 1) = "0", OFFSET($A$1, 18 - 1, 55 - 1) = "1" ), 3, 4 ) ) )</f>
        <v>4</v>
      </c>
      <c r="BF18" s="3">
        <v>0.19960687772012412</v>
      </c>
      <c r="BG18" s="3" t="str">
        <f>"1"</f>
        <v>1</v>
      </c>
      <c r="BH18" t="str">
        <f ca="1">IF((OFFSET($A$1, 18 - 1, 58 - 1)) &gt;= (OFFSET($A$1, 93 - 1, 7 - 1)), "1","0")</f>
        <v>0</v>
      </c>
      <c r="BI18">
        <f ca="1" xml:space="preserve"> IF( AND( OFFSET($A$1, 18 - 1, 59 - 1) = "1", OFFSET($A$1, 18 - 1, 60 - 1) = "1" ), 1, IF( AND( OFFSET($A$1, 18 - 1, 59 - 1) = "1", OFFSET($A$1, 18 - 1, 60 - 1) = "0" ), 2, IF( AND( OFFSET($A$1, 18 - 1, 59 - 1) = "0", OFFSET($A$1, 18 - 1, 60 - 1) = "1" ), 3, 4 ) ) )</f>
        <v>2</v>
      </c>
    </row>
    <row r="19" spans="3:61" x14ac:dyDescent="0.35">
      <c r="C19" s="15" t="s">
        <v>50</v>
      </c>
      <c r="D19" s="17"/>
      <c r="E19" s="18">
        <v>3</v>
      </c>
      <c r="F19" s="19"/>
      <c r="G19" s="20"/>
      <c r="BA19" s="3">
        <v>0.19944099792494702</v>
      </c>
      <c r="BB19" s="3" t="str">
        <f>"0"</f>
        <v>0</v>
      </c>
      <c r="BC19" t="str">
        <f ca="1">IF((OFFSET($A$1, 19 - 1, 53 - 1)) &gt;= (OFFSET($A$1, 69 - 1, 7 - 1)), "1","0")</f>
        <v>0</v>
      </c>
      <c r="BD19">
        <f ca="1" xml:space="preserve"> IF( AND( OFFSET($A$1, 19 - 1, 54 - 1) = "1", OFFSET($A$1, 19 - 1, 55 - 1) = "1" ), 1, IF( AND( OFFSET($A$1, 19 - 1, 54 - 1) = "1", OFFSET($A$1, 19 - 1, 55 - 1) = "0" ), 2, IF( AND( OFFSET($A$1, 19 - 1, 54 - 1) = "0", OFFSET($A$1, 19 - 1, 55 - 1) = "1" ), 3, 4 ) ) )</f>
        <v>4</v>
      </c>
      <c r="BF19" s="3">
        <v>0.43721584259945795</v>
      </c>
      <c r="BG19" s="3" t="str">
        <f>"1"</f>
        <v>1</v>
      </c>
      <c r="BH19" t="str">
        <f ca="1">IF((OFFSET($A$1, 19 - 1, 58 - 1)) &gt;= (OFFSET($A$1, 93 - 1, 7 - 1)), "1","0")</f>
        <v>0</v>
      </c>
      <c r="BI19">
        <f ca="1" xml:space="preserve"> IF( AND( OFFSET($A$1, 19 - 1, 59 - 1) = "1", OFFSET($A$1, 19 - 1, 60 - 1) = "1" ), 1, IF( AND( OFFSET($A$1, 19 - 1, 59 - 1) = "1", OFFSET($A$1, 19 - 1, 60 - 1) = "0" ), 2, IF( AND( OFFSET($A$1, 19 - 1, 59 - 1) = "0", OFFSET($A$1, 19 - 1, 60 - 1) = "1" ), 3, 4 ) ) )</f>
        <v>2</v>
      </c>
    </row>
    <row r="20" spans="3:61" x14ac:dyDescent="0.35">
      <c r="C20" s="15" t="s">
        <v>51</v>
      </c>
      <c r="D20" s="17"/>
      <c r="E20" s="3" t="s">
        <v>7</v>
      </c>
      <c r="F20" s="3" t="s">
        <v>9</v>
      </c>
      <c r="G20" s="3" t="s">
        <v>10</v>
      </c>
      <c r="BA20" s="3">
        <v>0.1991215598924447</v>
      </c>
      <c r="BB20" s="3" t="str">
        <f>"0"</f>
        <v>0</v>
      </c>
      <c r="BC20" t="str">
        <f ca="1">IF((OFFSET($A$1, 20 - 1, 53 - 1)) &gt;= (OFFSET($A$1, 69 - 1, 7 - 1)), "1","0")</f>
        <v>0</v>
      </c>
      <c r="BD20">
        <f ca="1" xml:space="preserve"> IF( AND( OFFSET($A$1, 20 - 1, 54 - 1) = "1", OFFSET($A$1, 20 - 1, 55 - 1) = "1" ), 1, IF( AND( OFFSET($A$1, 20 - 1, 54 - 1) = "1", OFFSET($A$1, 20 - 1, 55 - 1) = "0" ), 2, IF( AND( OFFSET($A$1, 20 - 1, 54 - 1) = "0", OFFSET($A$1, 20 - 1, 55 - 1) = "1" ), 3, 4 ) ) )</f>
        <v>4</v>
      </c>
      <c r="BF20" s="3">
        <v>0.43673571801397149</v>
      </c>
      <c r="BG20" s="3" t="str">
        <f>"0"</f>
        <v>0</v>
      </c>
      <c r="BH20" t="str">
        <f ca="1">IF((OFFSET($A$1, 20 - 1, 58 - 1)) &gt;= (OFFSET($A$1, 93 - 1, 7 - 1)), "1","0")</f>
        <v>0</v>
      </c>
      <c r="BI20">
        <f ca="1" xml:space="preserve"> IF( AND( OFFSET($A$1, 20 - 1, 59 - 1) = "1", OFFSET($A$1, 20 - 1, 60 - 1) = "1" ), 1, IF( AND( OFFSET($A$1, 20 - 1, 59 - 1) = "1", OFFSET($A$1, 20 - 1, 60 - 1) = "0" ), 2, IF( AND( OFFSET($A$1, 20 - 1, 59 - 1) = "0", OFFSET($A$1, 20 - 1, 60 - 1) = "1" ), 3, 4 ) ) )</f>
        <v>4</v>
      </c>
    </row>
    <row r="21" spans="3:61" x14ac:dyDescent="0.35">
      <c r="C21" s="15" t="s">
        <v>52</v>
      </c>
      <c r="D21" s="17"/>
      <c r="E21" s="21" t="s">
        <v>6</v>
      </c>
      <c r="F21" s="22"/>
      <c r="G21" s="23"/>
      <c r="BA21" s="3">
        <v>0.19881858076901801</v>
      </c>
      <c r="BB21" s="3" t="str">
        <f>"0"</f>
        <v>0</v>
      </c>
      <c r="BC21" t="str">
        <f ca="1">IF((OFFSET($A$1, 21 - 1, 53 - 1)) &gt;= (OFFSET($A$1, 69 - 1, 7 - 1)), "1","0")</f>
        <v>0</v>
      </c>
      <c r="BD21">
        <f ca="1" xml:space="preserve"> IF( AND( OFFSET($A$1, 21 - 1, 54 - 1) = "1", OFFSET($A$1, 21 - 1, 55 - 1) = "1" ), 1, IF( AND( OFFSET($A$1, 21 - 1, 54 - 1) = "1", OFFSET($A$1, 21 - 1, 55 - 1) = "0" ), 2, IF( AND( OFFSET($A$1, 21 - 1, 54 - 1) = "0", OFFSET($A$1, 21 - 1, 55 - 1) = "1" ), 3, 4 ) ) )</f>
        <v>4</v>
      </c>
      <c r="BF21" s="3">
        <v>0.19867327408313482</v>
      </c>
      <c r="BG21" s="3" t="str">
        <f>"0"</f>
        <v>0</v>
      </c>
      <c r="BH21" t="str">
        <f ca="1">IF((OFFSET($A$1, 21 - 1, 58 - 1)) &gt;= (OFFSET($A$1, 93 - 1, 7 - 1)), "1","0")</f>
        <v>0</v>
      </c>
      <c r="BI21">
        <f ca="1" xml:space="preserve"> IF( AND( OFFSET($A$1, 21 - 1, 59 - 1) = "1", OFFSET($A$1, 21 - 1, 60 - 1) = "1" ), 1, IF( AND( OFFSET($A$1, 21 - 1, 59 - 1) = "1", OFFSET($A$1, 21 - 1, 60 - 1) = "0" ), 2, IF( AND( OFFSET($A$1, 21 - 1, 59 - 1) = "0", OFFSET($A$1, 21 - 1, 60 - 1) = "1" ), 3, 4 ) ) )</f>
        <v>4</v>
      </c>
    </row>
    <row r="22" spans="3:61" x14ac:dyDescent="0.35">
      <c r="BA22" s="3">
        <v>0.19853209479011175</v>
      </c>
      <c r="BB22" s="3" t="str">
        <f>"1"</f>
        <v>1</v>
      </c>
      <c r="BC22" t="str">
        <f ca="1">IF((OFFSET($A$1, 22 - 1, 53 - 1)) &gt;= (OFFSET($A$1, 69 - 1, 7 - 1)), "1","0")</f>
        <v>0</v>
      </c>
      <c r="BD22">
        <f ca="1" xml:space="preserve"> IF( AND( OFFSET($A$1, 22 - 1, 54 - 1) = "1", OFFSET($A$1, 22 - 1, 55 - 1) = "1" ), 1, IF( AND( OFFSET($A$1, 22 - 1, 54 - 1) = "1", OFFSET($A$1, 22 - 1, 55 - 1) = "0" ), 2, IF( AND( OFFSET($A$1, 22 - 1, 54 - 1) = "0", OFFSET($A$1, 22 - 1, 55 - 1) = "1" ), 3, 4 ) ) )</f>
        <v>2</v>
      </c>
      <c r="BF22" s="3">
        <v>0.19839504682686804</v>
      </c>
      <c r="BG22" s="3" t="str">
        <f>"0"</f>
        <v>0</v>
      </c>
      <c r="BH22" t="str">
        <f ca="1">IF((OFFSET($A$1, 22 - 1, 58 - 1)) &gt;= (OFFSET($A$1, 93 - 1, 7 - 1)), "1","0")</f>
        <v>0</v>
      </c>
      <c r="BI22">
        <f ca="1" xml:space="preserve"> IF( AND( OFFSET($A$1, 22 - 1, 59 - 1) = "1", OFFSET($A$1, 22 - 1, 60 - 1) = "1" ), 1, IF( AND( OFFSET($A$1, 22 - 1, 59 - 1) = "1", OFFSET($A$1, 22 - 1, 60 - 1) = "0" ), 2, IF( AND( OFFSET($A$1, 22 - 1, 59 - 1) = "0", OFFSET($A$1, 22 - 1, 60 - 1) = "1" ), 3, 4 ) ) )</f>
        <v>4</v>
      </c>
    </row>
    <row r="23" spans="3:61" ht="15.5" x14ac:dyDescent="0.35">
      <c r="C23" s="12" t="s">
        <v>53</v>
      </c>
      <c r="D23" s="13"/>
      <c r="E23" s="13"/>
      <c r="F23" s="13"/>
      <c r="G23" s="13"/>
      <c r="H23" s="13"/>
      <c r="I23" s="13"/>
      <c r="J23" s="14"/>
      <c r="BA23" s="3">
        <v>0.43564507084653653</v>
      </c>
      <c r="BB23" s="3" t="str">
        <f>"1"</f>
        <v>1</v>
      </c>
      <c r="BC23" t="str">
        <f ca="1">IF((OFFSET($A$1, 23 - 1, 53 - 1)) &gt;= (OFFSET($A$1, 69 - 1, 7 - 1)), "1","0")</f>
        <v>0</v>
      </c>
      <c r="BD23">
        <f ca="1" xml:space="preserve"> IF( AND( OFFSET($A$1, 23 - 1, 54 - 1) = "1", OFFSET($A$1, 23 - 1, 55 - 1) = "1" ), 1, IF( AND( OFFSET($A$1, 23 - 1, 54 - 1) = "1", OFFSET($A$1, 23 - 1, 55 - 1) = "0" ), 2, IF( AND( OFFSET($A$1, 23 - 1, 54 - 1) = "0", OFFSET($A$1, 23 - 1, 55 - 1) = "1" ), 3, 4 ) ) )</f>
        <v>2</v>
      </c>
      <c r="BF23" s="3">
        <v>0.19813335996928008</v>
      </c>
      <c r="BG23" s="3" t="str">
        <f>"0"</f>
        <v>0</v>
      </c>
      <c r="BH23" t="str">
        <f ca="1">IF((OFFSET($A$1, 23 - 1, 58 - 1)) &gt;= (OFFSET($A$1, 93 - 1, 7 - 1)), "1","0")</f>
        <v>0</v>
      </c>
      <c r="BI23">
        <f ca="1" xml:space="preserve"> IF( AND( OFFSET($A$1, 23 - 1, 59 - 1) = "1", OFFSET($A$1, 23 - 1, 60 - 1) = "1" ), 1, IF( AND( OFFSET($A$1, 23 - 1, 59 - 1) = "1", OFFSET($A$1, 23 - 1, 60 - 1) = "0" ), 2, IF( AND( OFFSET($A$1, 23 - 1, 59 - 1) = "0", OFFSET($A$1, 23 - 1, 60 - 1) = "1" ), 3, 4 ) ) )</f>
        <v>4</v>
      </c>
    </row>
    <row r="24" spans="3:61" x14ac:dyDescent="0.35">
      <c r="C24" s="15" t="s">
        <v>54</v>
      </c>
      <c r="D24" s="16"/>
      <c r="E24" s="16"/>
      <c r="F24" s="17"/>
      <c r="G24" s="18" t="s">
        <v>55</v>
      </c>
      <c r="H24" s="19"/>
      <c r="I24" s="19"/>
      <c r="J24" s="20"/>
      <c r="BA24" s="3">
        <v>0.43525297364944021</v>
      </c>
      <c r="BB24" s="3" t="str">
        <f>"1"</f>
        <v>1</v>
      </c>
      <c r="BC24" t="str">
        <f ca="1">IF((OFFSET($A$1, 24 - 1, 53 - 1)) &gt;= (OFFSET($A$1, 69 - 1, 7 - 1)), "1","0")</f>
        <v>0</v>
      </c>
      <c r="BD24">
        <f ca="1" xml:space="preserve"> IF( AND( OFFSET($A$1, 24 - 1, 54 - 1) = "1", OFFSET($A$1, 24 - 1, 55 - 1) = "1" ), 1, IF( AND( OFFSET($A$1, 24 - 1, 54 - 1) = "1", OFFSET($A$1, 24 - 1, 55 - 1) = "0" ), 2, IF( AND( OFFSET($A$1, 24 - 1, 54 - 1) = "0", OFFSET($A$1, 24 - 1, 55 - 1) = "1" ), 3, 4 ) ) )</f>
        <v>2</v>
      </c>
      <c r="BF24" s="3">
        <v>0.19788824235465177</v>
      </c>
      <c r="BG24" s="3" t="str">
        <f>"0"</f>
        <v>0</v>
      </c>
      <c r="BH24" t="str">
        <f ca="1">IF((OFFSET($A$1, 24 - 1, 58 - 1)) &gt;= (OFFSET($A$1, 93 - 1, 7 - 1)), "1","0")</f>
        <v>0</v>
      </c>
      <c r="BI24">
        <f ca="1" xml:space="preserve"> IF( AND( OFFSET($A$1, 24 - 1, 59 - 1) = "1", OFFSET($A$1, 24 - 1, 60 - 1) = "1" ), 1, IF( AND( OFFSET($A$1, 24 - 1, 59 - 1) = "1", OFFSET($A$1, 24 - 1, 60 - 1) = "0" ), 2, IF( AND( OFFSET($A$1, 24 - 1, 59 - 1) = "0", OFFSET($A$1, 24 - 1, 60 - 1) = "1" ), 3, 4 ) ) )</f>
        <v>4</v>
      </c>
    </row>
    <row r="25" spans="3:61" x14ac:dyDescent="0.35">
      <c r="C25" s="15" t="s">
        <v>120</v>
      </c>
      <c r="D25" s="16"/>
      <c r="E25" s="16"/>
      <c r="F25" s="17"/>
      <c r="G25" s="18">
        <v>95</v>
      </c>
      <c r="H25" s="19"/>
      <c r="I25" s="19"/>
      <c r="J25" s="20"/>
      <c r="BA25" s="3">
        <v>0.43488626684805604</v>
      </c>
      <c r="BB25" s="3" t="str">
        <f>"1"</f>
        <v>1</v>
      </c>
      <c r="BC25" t="str">
        <f ca="1">IF((OFFSET($A$1, 25 - 1, 53 - 1)) &gt;= (OFFSET($A$1, 69 - 1, 7 - 1)), "1","0")</f>
        <v>0</v>
      </c>
      <c r="BD25">
        <f ca="1" xml:space="preserve"> IF( AND( OFFSET($A$1, 25 - 1, 54 - 1) = "1", OFFSET($A$1, 25 - 1, 55 - 1) = "1" ), 1, IF( AND( OFFSET($A$1, 25 - 1, 54 - 1) = "1", OFFSET($A$1, 25 - 1, 55 - 1) = "0" ), 2, IF( AND( OFFSET($A$1, 25 - 1, 54 - 1) = "0", OFFSET($A$1, 25 - 1, 55 - 1) = "1" ), 3, 4 ) ) )</f>
        <v>2</v>
      </c>
      <c r="BF25" s="3">
        <v>0.19765972075630511</v>
      </c>
      <c r="BG25" s="3" t="str">
        <f>"0"</f>
        <v>0</v>
      </c>
      <c r="BH25" t="str">
        <f ca="1">IF((OFFSET($A$1, 25 - 1, 58 - 1)) &gt;= (OFFSET($A$1, 93 - 1, 7 - 1)), "1","0")</f>
        <v>0</v>
      </c>
      <c r="BI25">
        <f ca="1" xml:space="preserve"> IF( AND( OFFSET($A$1, 25 - 1, 59 - 1) = "1", OFFSET($A$1, 25 - 1, 60 - 1) = "1" ), 1, IF( AND( OFFSET($A$1, 25 - 1, 59 - 1) = "1", OFFSET($A$1, 25 - 1, 60 - 1) = "0" ), 2, IF( AND( OFFSET($A$1, 25 - 1, 59 - 1) = "0", OFFSET($A$1, 25 - 1, 60 - 1) = "1" ), 3, 4 ) ) )</f>
        <v>4</v>
      </c>
    </row>
    <row r="26" spans="3:61" x14ac:dyDescent="0.35">
      <c r="C26" s="15" t="s">
        <v>121</v>
      </c>
      <c r="D26" s="16"/>
      <c r="E26" s="16"/>
      <c r="F26" s="17"/>
      <c r="G26" s="18">
        <v>50</v>
      </c>
      <c r="H26" s="19"/>
      <c r="I26" s="19"/>
      <c r="J26" s="20"/>
      <c r="BA26" s="3">
        <v>0.4345450446042447</v>
      </c>
      <c r="BB26" s="3" t="str">
        <f>"1"</f>
        <v>1</v>
      </c>
      <c r="BC26" t="str">
        <f ca="1">IF((OFFSET($A$1, 26 - 1, 53 - 1)) &gt;= (OFFSET($A$1, 69 - 1, 7 - 1)), "1","0")</f>
        <v>0</v>
      </c>
      <c r="BD26">
        <f ca="1" xml:space="preserve"> IF( AND( OFFSET($A$1, 26 - 1, 54 - 1) = "1", OFFSET($A$1, 26 - 1, 55 - 1) = "1" ), 1, IF( AND( OFFSET($A$1, 26 - 1, 54 - 1) = "1", OFFSET($A$1, 26 - 1, 55 - 1) = "0" ), 2, IF( AND( OFFSET($A$1, 26 - 1, 54 - 1) = "0", OFFSET($A$1, 26 - 1, 55 - 1) = "1" ), 3, 4 ) ) )</f>
        <v>2</v>
      </c>
      <c r="BF26" s="3">
        <v>0.19744781992137689</v>
      </c>
      <c r="BG26" s="3" t="str">
        <f>"0"</f>
        <v>0</v>
      </c>
      <c r="BH26" t="str">
        <f ca="1">IF((OFFSET($A$1, 26 - 1, 58 - 1)) &gt;= (OFFSET($A$1, 93 - 1, 7 - 1)), "1","0")</f>
        <v>0</v>
      </c>
      <c r="BI26">
        <f ca="1" xml:space="preserve"> IF( AND( OFFSET($A$1, 26 - 1, 59 - 1) = "1", OFFSET($A$1, 26 - 1, 60 - 1) = "1" ), 1, IF( AND( OFFSET($A$1, 26 - 1, 59 - 1) = "1", OFFSET($A$1, 26 - 1, 60 - 1) = "0" ), 2, IF( AND( OFFSET($A$1, 26 - 1, 59 - 1) = "0", OFFSET($A$1, 26 - 1, 60 - 1) = "1" ), 3, 4 ) ) )</f>
        <v>4</v>
      </c>
    </row>
    <row r="27" spans="3:61" x14ac:dyDescent="0.35">
      <c r="C27" s="15" t="s">
        <v>61</v>
      </c>
      <c r="D27" s="16"/>
      <c r="E27" s="16"/>
      <c r="F27" s="17"/>
      <c r="G27" s="18" t="s">
        <v>55</v>
      </c>
      <c r="H27" s="19"/>
      <c r="I27" s="19"/>
      <c r="J27" s="20"/>
      <c r="BA27" s="3">
        <v>0.43422939435586905</v>
      </c>
      <c r="BB27" s="3" t="str">
        <f>"1"</f>
        <v>1</v>
      </c>
      <c r="BC27" t="str">
        <f ca="1">IF((OFFSET($A$1, 27 - 1, 53 - 1)) &gt;= (OFFSET($A$1, 69 - 1, 7 - 1)), "1","0")</f>
        <v>0</v>
      </c>
      <c r="BD27">
        <f ca="1" xml:space="preserve"> IF( AND( OFFSET($A$1, 27 - 1, 54 - 1) = "1", OFFSET($A$1, 27 - 1, 55 - 1) = "1" ), 1, IF( AND( OFFSET($A$1, 27 - 1, 54 - 1) = "1", OFFSET($A$1, 27 - 1, 55 - 1) = "0" ), 2, IF( AND( OFFSET($A$1, 27 - 1, 54 - 1) = "0", OFFSET($A$1, 27 - 1, 55 - 1) = "1" ), 3, 4 ) ) )</f>
        <v>2</v>
      </c>
      <c r="BF27" s="3">
        <v>0.19725256261278692</v>
      </c>
      <c r="BG27" s="3" t="str">
        <f>"0"</f>
        <v>0</v>
      </c>
      <c r="BH27" t="str">
        <f ca="1">IF((OFFSET($A$1, 27 - 1, 58 - 1)) &gt;= (OFFSET($A$1, 93 - 1, 7 - 1)), "1","0")</f>
        <v>0</v>
      </c>
      <c r="BI27">
        <f ca="1" xml:space="preserve"> IF( AND( OFFSET($A$1, 27 - 1, 59 - 1) = "1", OFFSET($A$1, 27 - 1, 60 - 1) = "1" ), 1, IF( AND( OFFSET($A$1, 27 - 1, 59 - 1) = "1", OFFSET($A$1, 27 - 1, 60 - 1) = "0" ), 2, IF( AND( OFFSET($A$1, 27 - 1, 59 - 1) = "0", OFFSET($A$1, 27 - 1, 60 - 1) = "1" ), 3, 4 ) ) )</f>
        <v>4</v>
      </c>
    </row>
    <row r="28" spans="3:61" x14ac:dyDescent="0.35">
      <c r="C28" s="15" t="s">
        <v>122</v>
      </c>
      <c r="D28" s="16"/>
      <c r="E28" s="16"/>
      <c r="F28" s="17"/>
      <c r="G28" s="18" t="s">
        <v>55</v>
      </c>
      <c r="H28" s="19"/>
      <c r="I28" s="19"/>
      <c r="J28" s="20"/>
      <c r="BA28" s="3">
        <v>0.43393939683271637</v>
      </c>
      <c r="BB28" s="3" t="str">
        <f>"1"</f>
        <v>1</v>
      </c>
      <c r="BC28" t="str">
        <f ca="1">IF((OFFSET($A$1, 28 - 1, 53 - 1)) &gt;= (OFFSET($A$1, 69 - 1, 7 - 1)), "1","0")</f>
        <v>0</v>
      </c>
      <c r="BD28">
        <f ca="1" xml:space="preserve"> IF( AND( OFFSET($A$1, 28 - 1, 54 - 1) = "1", OFFSET($A$1, 28 - 1, 55 - 1) = "1" ), 1, IF( AND( OFFSET($A$1, 28 - 1, 54 - 1) = "1", OFFSET($A$1, 28 - 1, 55 - 1) = "0" ), 2, IF( AND( OFFSET($A$1, 28 - 1, 54 - 1) = "0", OFFSET($A$1, 28 - 1, 55 - 1) = "1" ), 3, 4 ) ) )</f>
        <v>2</v>
      </c>
      <c r="BF28" s="3">
        <v>0.1970739696483485</v>
      </c>
      <c r="BG28" s="3" t="str">
        <f>"0"</f>
        <v>0</v>
      </c>
      <c r="BH28" t="str">
        <f ca="1">IF((OFFSET($A$1, 28 - 1, 58 - 1)) &gt;= (OFFSET($A$1, 93 - 1, 7 - 1)), "1","0")</f>
        <v>0</v>
      </c>
      <c r="BI28">
        <f ca="1" xml:space="preserve"> IF( AND( OFFSET($A$1, 28 - 1, 59 - 1) = "1", OFFSET($A$1, 28 - 1, 60 - 1) = "1" ), 1, IF( AND( OFFSET($A$1, 28 - 1, 59 - 1) = "1", OFFSET($A$1, 28 - 1, 60 - 1) = "0" ), 2, IF( AND( OFFSET($A$1, 28 - 1, 59 - 1) = "0", OFFSET($A$1, 28 - 1, 60 - 1) = "1" ), 3, 4 ) ) )</f>
        <v>4</v>
      </c>
    </row>
    <row r="29" spans="3:61" x14ac:dyDescent="0.35">
      <c r="C29" s="15" t="s">
        <v>123</v>
      </c>
      <c r="D29" s="16"/>
      <c r="E29" s="16"/>
      <c r="F29" s="17"/>
      <c r="G29" s="18" t="s">
        <v>55</v>
      </c>
      <c r="H29" s="19"/>
      <c r="I29" s="19"/>
      <c r="J29" s="20"/>
      <c r="BA29" s="3">
        <v>0.43367512607166919</v>
      </c>
      <c r="BB29" s="3" t="str">
        <f>"1"</f>
        <v>1</v>
      </c>
      <c r="BC29" t="str">
        <f ca="1">IF((OFFSET($A$1, 29 - 1, 53 - 1)) &gt;= (OFFSET($A$1, 69 - 1, 7 - 1)), "1","0")</f>
        <v>0</v>
      </c>
      <c r="BD29">
        <f ca="1" xml:space="preserve"> IF( AND( OFFSET($A$1, 29 - 1, 54 - 1) = "1", OFFSET($A$1, 29 - 1, 55 - 1) = "1" ), 1, IF( AND( OFFSET($A$1, 29 - 1, 54 - 1) = "1", OFFSET($A$1, 29 - 1, 55 - 1) = "0" ), 2, IF( AND( OFFSET($A$1, 29 - 1, 54 - 1) = "0", OFFSET($A$1, 29 - 1, 55 - 1) = "1" ), 3, 4 ) ) )</f>
        <v>2</v>
      </c>
      <c r="BF29" s="3">
        <v>0.19691205993697164</v>
      </c>
      <c r="BG29" s="3" t="str">
        <f>"0"</f>
        <v>0</v>
      </c>
      <c r="BH29" t="str">
        <f ca="1">IF((OFFSET($A$1, 29 - 1, 58 - 1)) &gt;= (OFFSET($A$1, 93 - 1, 7 - 1)), "1","0")</f>
        <v>0</v>
      </c>
      <c r="BI29">
        <f ca="1" xml:space="preserve"> IF( AND( OFFSET($A$1, 29 - 1, 59 - 1) = "1", OFFSET($A$1, 29 - 1, 60 - 1) = "1" ), 1, IF( AND( OFFSET($A$1, 29 - 1, 59 - 1) = "1", OFFSET($A$1, 29 - 1, 60 - 1) = "0" ), 2, IF( AND( OFFSET($A$1, 29 - 1, 59 - 1) = "0", OFFSET($A$1, 29 - 1, 60 - 1) = "1" ), 3, 4 ) ) )</f>
        <v>4</v>
      </c>
    </row>
    <row r="30" spans="3:61" x14ac:dyDescent="0.35">
      <c r="BA30" s="3">
        <v>0.43343664943101723</v>
      </c>
      <c r="BB30" s="3" t="str">
        <f>"0"</f>
        <v>0</v>
      </c>
      <c r="BC30" t="str">
        <f ca="1">IF((OFFSET($A$1, 30 - 1, 53 - 1)) &gt;= (OFFSET($A$1, 69 - 1, 7 - 1)), "1","0")</f>
        <v>0</v>
      </c>
      <c r="BD30">
        <f ca="1" xml:space="preserve"> IF( AND( OFFSET($A$1, 30 - 1, 54 - 1) = "1", OFFSET($A$1, 30 - 1, 55 - 1) = "1" ), 1, IF( AND( OFFSET($A$1, 30 - 1, 54 - 1) = "1", OFFSET($A$1, 30 - 1, 55 - 1) = "0" ), 2, IF( AND( OFFSET($A$1, 30 - 1, 54 - 1) = "0", OFFSET($A$1, 30 - 1, 55 - 1) = "1" ), 3, 4 ) ) )</f>
        <v>4</v>
      </c>
      <c r="BF30" s="3">
        <v>0.19676685051191597</v>
      </c>
      <c r="BG30" s="3" t="str">
        <f>"0"</f>
        <v>0</v>
      </c>
      <c r="BH30" t="str">
        <f ca="1">IF((OFFSET($A$1, 30 - 1, 58 - 1)) &gt;= (OFFSET($A$1, 93 - 1, 7 - 1)), "1","0")</f>
        <v>0</v>
      </c>
      <c r="BI30">
        <f ca="1" xml:space="preserve"> IF( AND( OFFSET($A$1, 30 - 1, 59 - 1) = "1", OFFSET($A$1, 30 - 1, 60 - 1) = "1" ), 1, IF( AND( OFFSET($A$1, 30 - 1, 59 - 1) = "1", OFFSET($A$1, 30 - 1, 60 - 1) = "0" ), 2, IF( AND( OFFSET($A$1, 30 - 1, 59 - 1) = "0", OFFSET($A$1, 30 - 1, 60 - 1) = "1" ), 3, 4 ) ) )</f>
        <v>4</v>
      </c>
    </row>
    <row r="31" spans="3:61" ht="15.5" x14ac:dyDescent="0.35">
      <c r="C31" s="12" t="s">
        <v>68</v>
      </c>
      <c r="D31" s="13"/>
      <c r="E31" s="13"/>
      <c r="F31" s="13"/>
      <c r="G31" s="14"/>
      <c r="BA31" s="3">
        <v>0.19670051322428761</v>
      </c>
      <c r="BB31" s="3" t="str">
        <f>"0"</f>
        <v>0</v>
      </c>
      <c r="BC31" t="str">
        <f ca="1">IF((OFFSET($A$1, 31 - 1, 53 - 1)) &gt;= (OFFSET($A$1, 69 - 1, 7 - 1)), "1","0")</f>
        <v>0</v>
      </c>
      <c r="BD31">
        <f ca="1" xml:space="preserve"> IF( AND( OFFSET($A$1, 31 - 1, 54 - 1) = "1", OFFSET($A$1, 31 - 1, 55 - 1) = "1" ), 1, IF( AND( OFFSET($A$1, 31 - 1, 54 - 1) = "1", OFFSET($A$1, 31 - 1, 55 - 1) = "0" ), 2, IF( AND( OFFSET($A$1, 31 - 1, 54 - 1) = "0", OFFSET($A$1, 31 - 1, 55 - 1) = "1" ), 3, 4 ) ) )</f>
        <v>4</v>
      </c>
      <c r="BF31" s="3">
        <v>0.19663835656104992</v>
      </c>
      <c r="BG31" s="3" t="str">
        <f>"0"</f>
        <v>0</v>
      </c>
      <c r="BH31" t="str">
        <f ca="1">IF((OFFSET($A$1, 31 - 1, 58 - 1)) &gt;= (OFFSET($A$1, 93 - 1, 7 - 1)), "1","0")</f>
        <v>0</v>
      </c>
      <c r="BI31">
        <f ca="1" xml:space="preserve"> IF( AND( OFFSET($A$1, 31 - 1, 59 - 1) = "1", OFFSET($A$1, 31 - 1, 60 - 1) = "1" ), 1, IF( AND( OFFSET($A$1, 31 - 1, 59 - 1) = "1", OFFSET($A$1, 31 - 1, 60 - 1) = "0" ), 2, IF( AND( OFFSET($A$1, 31 - 1, 59 - 1) = "0", OFFSET($A$1, 31 - 1, 60 - 1) = "1" ), 3, 4 ) ) )</f>
        <v>4</v>
      </c>
    </row>
    <row r="32" spans="3:61" x14ac:dyDescent="0.35">
      <c r="C32" s="21" t="s">
        <v>69</v>
      </c>
      <c r="D32" s="22"/>
      <c r="E32" s="22"/>
      <c r="F32" s="22"/>
      <c r="G32" s="23"/>
      <c r="BA32" s="3">
        <v>0.19658038213681164</v>
      </c>
      <c r="BB32" s="3" t="str">
        <f>"0"</f>
        <v>0</v>
      </c>
      <c r="BC32" t="str">
        <f ca="1">IF((OFFSET($A$1, 32 - 1, 53 - 1)) &gt;= (OFFSET($A$1, 69 - 1, 7 - 1)), "1","0")</f>
        <v>0</v>
      </c>
      <c r="BD32">
        <f ca="1" xml:space="preserve"> IF( AND( OFFSET($A$1, 32 - 1, 54 - 1) = "1", OFFSET($A$1, 32 - 1, 55 - 1) = "1" ), 1, IF( AND( OFFSET($A$1, 32 - 1, 54 - 1) = "1", OFFSET($A$1, 32 - 1, 55 - 1) = "0" ), 2, IF( AND( OFFSET($A$1, 32 - 1, 54 - 1) = "0", OFFSET($A$1, 32 - 1, 55 - 1) = "1" ), 3, 4 ) ) )</f>
        <v>4</v>
      </c>
      <c r="BF32" s="3">
        <v>0.1965265914540813</v>
      </c>
      <c r="BG32" s="3" t="str">
        <f>"1"</f>
        <v>1</v>
      </c>
      <c r="BH32" t="str">
        <f ca="1">IF((OFFSET($A$1, 32 - 1, 58 - 1)) &gt;= (OFFSET($A$1, 93 - 1, 7 - 1)), "1","0")</f>
        <v>0</v>
      </c>
      <c r="BI32">
        <f ca="1" xml:space="preserve"> IF( AND( OFFSET($A$1, 32 - 1, 59 - 1) = "1", OFFSET($A$1, 32 - 1, 60 - 1) = "1" ), 1, IF( AND( OFFSET($A$1, 32 - 1, 59 - 1) = "1", OFFSET($A$1, 32 - 1, 60 - 1) = "0" ), 2, IF( AND( OFFSET($A$1, 32 - 1, 59 - 1) = "0", OFFSET($A$1, 32 - 1, 60 - 1) = "1" ), 3, 4 ) ) )</f>
        <v>2</v>
      </c>
    </row>
    <row r="33" spans="2:61" x14ac:dyDescent="0.35">
      <c r="C33" s="21" t="s">
        <v>70</v>
      </c>
      <c r="D33" s="22"/>
      <c r="E33" s="22"/>
      <c r="F33" s="22"/>
      <c r="G33" s="23"/>
      <c r="BA33" s="3">
        <v>0.1964769859039498</v>
      </c>
      <c r="BB33" s="3" t="str">
        <f>"0"</f>
        <v>0</v>
      </c>
      <c r="BC33" t="str">
        <f ca="1">IF((OFFSET($A$1, 33 - 1, 53 - 1)) &gt;= (OFFSET($A$1, 69 - 1, 7 - 1)), "1","0")</f>
        <v>0</v>
      </c>
      <c r="BD33">
        <f ca="1" xml:space="preserve"> IF( AND( OFFSET($A$1, 33 - 1, 54 - 1) = "1", OFFSET($A$1, 33 - 1, 55 - 1) = "1" ), 1, IF( AND( OFFSET($A$1, 33 - 1, 54 - 1) = "1", OFFSET($A$1, 33 - 1, 55 - 1) = "0" ), 2, IF( AND( OFFSET($A$1, 33 - 1, 54 - 1) = "0", OFFSET($A$1, 33 - 1, 55 - 1) = "1" ), 3, 4 ) ) )</f>
        <v>4</v>
      </c>
      <c r="BF33" s="3">
        <v>0.43280592614048552</v>
      </c>
      <c r="BG33" s="3" t="str">
        <f>"0"</f>
        <v>0</v>
      </c>
      <c r="BH33" t="str">
        <f ca="1">IF((OFFSET($A$1, 33 - 1, 58 - 1)) &gt;= (OFFSET($A$1, 93 - 1, 7 - 1)), "1","0")</f>
        <v>0</v>
      </c>
      <c r="BI33">
        <f ca="1" xml:space="preserve"> IF( AND( OFFSET($A$1, 33 - 1, 59 - 1) = "1", OFFSET($A$1, 33 - 1, 60 - 1) = "1" ), 1, IF( AND( OFFSET($A$1, 33 - 1, 59 - 1) = "1", OFFSET($A$1, 33 - 1, 60 - 1) = "0" ), 2, IF( AND( OFFSET($A$1, 33 - 1, 59 - 1) = "0", OFFSET($A$1, 33 - 1, 60 - 1) = "1" ), 3, 4 ) ) )</f>
        <v>4</v>
      </c>
    </row>
    <row r="34" spans="2:61" x14ac:dyDescent="0.35">
      <c r="C34" s="21" t="s">
        <v>124</v>
      </c>
      <c r="D34" s="22"/>
      <c r="E34" s="22"/>
      <c r="F34" s="22"/>
      <c r="G34" s="23"/>
      <c r="BA34" s="3">
        <v>0.19639033521251903</v>
      </c>
      <c r="BB34" s="3" t="str">
        <f>"0"</f>
        <v>0</v>
      </c>
      <c r="BC34" t="str">
        <f ca="1">IF((OFFSET($A$1, 34 - 1, 53 - 1)) &gt;= (OFFSET($A$1, 69 - 1, 7 - 1)), "1","0")</f>
        <v>0</v>
      </c>
      <c r="BD34">
        <f ca="1" xml:space="preserve"> IF( AND( OFFSET($A$1, 34 - 1, 54 - 1) = "1", OFFSET($A$1, 34 - 1, 55 - 1) = "1" ), 1, IF( AND( OFFSET($A$1, 34 - 1, 54 - 1) = "1", OFFSET($A$1, 34 - 1, 55 - 1) = "0" ), 2, IF( AND( OFFSET($A$1, 34 - 1, 54 - 1) = "0", OFFSET($A$1, 34 - 1, 55 - 1) = "1" ), 3, 4 ) ) )</f>
        <v>4</v>
      </c>
      <c r="BF34" s="3">
        <v>0.19635329230178167</v>
      </c>
      <c r="BG34" s="3" t="str">
        <f>"0"</f>
        <v>0</v>
      </c>
      <c r="BH34" t="str">
        <f ca="1">IF((OFFSET($A$1, 34 - 1, 58 - 1)) &gt;= (OFFSET($A$1, 93 - 1, 7 - 1)), "1","0")</f>
        <v>0</v>
      </c>
      <c r="BI34">
        <f ca="1" xml:space="preserve"> IF( AND( OFFSET($A$1, 34 - 1, 59 - 1) = "1", OFFSET($A$1, 34 - 1, 60 - 1) = "1" ), 1, IF( AND( OFFSET($A$1, 34 - 1, 59 - 1) = "1", OFFSET($A$1, 34 - 1, 60 - 1) = "0" ), 2, IF( AND( OFFSET($A$1, 34 - 1, 59 - 1) = "0", OFFSET($A$1, 34 - 1, 60 - 1) = "1" ), 3, 4 ) ) )</f>
        <v>4</v>
      </c>
    </row>
    <row r="35" spans="2:61" x14ac:dyDescent="0.35">
      <c r="BA35" s="3">
        <v>0.19632043898579168</v>
      </c>
      <c r="BB35" s="3" t="str">
        <f>"1"</f>
        <v>1</v>
      </c>
      <c r="BC35" t="str">
        <f ca="1">IF((OFFSET($A$1, 35 - 1, 53 - 1)) &gt;= (OFFSET($A$1, 69 - 1, 7 - 1)), "1","0")</f>
        <v>0</v>
      </c>
      <c r="BD35">
        <f ca="1" xml:space="preserve"> IF( AND( OFFSET($A$1, 35 - 1, 54 - 1) = "1", OFFSET($A$1, 35 - 1, 55 - 1) = "1" ), 1, IF( AND( OFFSET($A$1, 35 - 1, 54 - 1) = "1", OFFSET($A$1, 35 - 1, 55 - 1) = "0" ), 2, IF( AND( OFFSET($A$1, 35 - 1, 54 - 1) = "0", OFFSET($A$1, 35 - 1, 55 - 1) = "1" ), 3, 4 ) ) )</f>
        <v>2</v>
      </c>
      <c r="BF35" s="3">
        <v>0.19629177610709395</v>
      </c>
      <c r="BG35" s="3" t="str">
        <f>"0"</f>
        <v>0</v>
      </c>
      <c r="BH35" t="str">
        <f ca="1">IF((OFFSET($A$1, 35 - 1, 58 - 1)) &gt;= (OFFSET($A$1, 93 - 1, 7 - 1)), "1","0")</f>
        <v>0</v>
      </c>
      <c r="BI35">
        <f ca="1" xml:space="preserve"> IF( AND( OFFSET($A$1, 35 - 1, 59 - 1) = "1", OFFSET($A$1, 35 - 1, 60 - 1) = "1" ), 1, IF( AND( OFFSET($A$1, 35 - 1, 59 - 1) = "1", OFFSET($A$1, 35 - 1, 60 - 1) = "0" ), 2, IF( AND( OFFSET($A$1, 35 - 1, 59 - 1) = "0", OFFSET($A$1, 35 - 1, 60 - 1) = "1" ), 3, 4 ) ) )</f>
        <v>4</v>
      </c>
    </row>
    <row r="36" spans="2:61" x14ac:dyDescent="0.35">
      <c r="BA36" s="3">
        <v>0.43255039981313587</v>
      </c>
      <c r="BB36" s="3" t="str">
        <f>"0"</f>
        <v>0</v>
      </c>
      <c r="BC36" t="str">
        <f ca="1">IF((OFFSET($A$1, 36 - 1, 53 - 1)) &gt;= (OFFSET($A$1, 69 - 1, 7 - 1)), "1","0")</f>
        <v>0</v>
      </c>
      <c r="BD36">
        <f ca="1" xml:space="preserve"> IF( AND( OFFSET($A$1, 36 - 1, 54 - 1) = "1", OFFSET($A$1, 36 - 1, 55 - 1) = "1" ), 1, IF( AND( OFFSET($A$1, 36 - 1, 54 - 1) = "1", OFFSET($A$1, 36 - 1, 55 - 1) = "0" ), 2, IF( AND( OFFSET($A$1, 36 - 1, 54 - 1) = "0", OFFSET($A$1, 36 - 1, 55 - 1) = "1" ), 3, 4 ) ) )</f>
        <v>4</v>
      </c>
      <c r="BF36" s="3">
        <v>0.19624702449037232</v>
      </c>
      <c r="BG36" s="3" t="str">
        <f>"1"</f>
        <v>1</v>
      </c>
      <c r="BH36" t="str">
        <f ca="1">IF((OFFSET($A$1, 36 - 1, 58 - 1)) &gt;= (OFFSET($A$1, 93 - 1, 7 - 1)), "1","0")</f>
        <v>0</v>
      </c>
      <c r="BI36">
        <f ca="1" xml:space="preserve"> IF( AND( OFFSET($A$1, 36 - 1, 59 - 1) = "1", OFFSET($A$1, 36 - 1, 60 - 1) = "1" ), 1, IF( AND( OFFSET($A$1, 36 - 1, 59 - 1) = "1", OFFSET($A$1, 36 - 1, 60 - 1) = "0" ), 2, IF( AND( OFFSET($A$1, 36 - 1, 59 - 1) = "0", OFFSET($A$1, 36 - 1, 60 - 1) = "1" ), 3, 4 ) ) )</f>
        <v>2</v>
      </c>
    </row>
    <row r="37" spans="2:61" ht="18.5" x14ac:dyDescent="0.45">
      <c r="B37" s="6" t="s">
        <v>125</v>
      </c>
      <c r="BA37" s="3">
        <v>0.1962309368970262</v>
      </c>
      <c r="BB37" s="3" t="str">
        <f>"0"</f>
        <v>0</v>
      </c>
      <c r="BC37" t="str">
        <f ca="1">IF((OFFSET($A$1, 37 - 1, 53 - 1)) &gt;= (OFFSET($A$1, 69 - 1, 7 - 1)), "1","0")</f>
        <v>0</v>
      </c>
      <c r="BD37">
        <f ca="1" xml:space="preserve"> IF( AND( OFFSET($A$1, 37 - 1, 54 - 1) = "1", OFFSET($A$1, 37 - 1, 55 - 1) = "1" ), 1, IF( AND( OFFSET($A$1, 37 - 1, 54 - 1) = "1", OFFSET($A$1, 37 - 1, 55 - 1) = "0" ), 2, IF( AND( OFFSET($A$1, 37 - 1, 54 - 1) = "0", OFFSET($A$1, 37 - 1, 55 - 1) = "1" ), 3, 4 ) ) )</f>
        <v>4</v>
      </c>
      <c r="BF37" s="3">
        <v>0.43247529903249649</v>
      </c>
      <c r="BG37" s="3" t="str">
        <f>"1"</f>
        <v>1</v>
      </c>
      <c r="BH37" t="str">
        <f ca="1">IF((OFFSET($A$1, 37 - 1, 58 - 1)) &gt;= (OFFSET($A$1, 93 - 1, 7 - 1)), "1","0")</f>
        <v>0</v>
      </c>
      <c r="BI37">
        <f ca="1" xml:space="preserve"> IF( AND( OFFSET($A$1, 37 - 1, 59 - 1) = "1", OFFSET($A$1, 37 - 1, 60 - 1) = "1" ), 1, IF( AND( OFFSET($A$1, 37 - 1, 59 - 1) = "1", OFFSET($A$1, 37 - 1, 60 - 1) = "0" ), 2, IF( AND( OFFSET($A$1, 37 - 1, 59 - 1) = "0", OFFSET($A$1, 37 - 1, 60 - 1) = "1" ), 3, 4 ) ) )</f>
        <v>2</v>
      </c>
    </row>
    <row r="38" spans="2:61" x14ac:dyDescent="0.35">
      <c r="BA38" s="3">
        <v>0.19621134019559694</v>
      </c>
      <c r="BB38" s="3" t="str">
        <f>"0"</f>
        <v>0</v>
      </c>
      <c r="BC38" t="str">
        <f ca="1">IF((OFFSET($A$1, 38 - 1, 53 - 1)) &gt;= (OFFSET($A$1, 69 - 1, 7 - 1)), "1","0")</f>
        <v>0</v>
      </c>
      <c r="BD38">
        <f ca="1" xml:space="preserve"> IF( AND( OFFSET($A$1, 38 - 1, 54 - 1) = "1", OFFSET($A$1, 38 - 1, 55 - 1) = "1" ), 1, IF( AND( OFFSET($A$1, 38 - 1, 54 - 1) = "1", OFFSET($A$1, 38 - 1, 55 - 1) = "0" ), 2, IF( AND( OFFSET($A$1, 38 - 1, 54 - 1) = "0", OFFSET($A$1, 38 - 1, 55 - 1) = "1" ), 3, 4 ) ) )</f>
        <v>4</v>
      </c>
      <c r="BF38" s="3">
        <v>0.43245785297573797</v>
      </c>
      <c r="BG38" s="3" t="str">
        <f>"0"</f>
        <v>0</v>
      </c>
      <c r="BH38" t="str">
        <f ca="1">IF((OFFSET($A$1, 38 - 1, 58 - 1)) &gt;= (OFFSET($A$1, 93 - 1, 7 - 1)), "1","0")</f>
        <v>0</v>
      </c>
      <c r="BI38">
        <f ca="1" xml:space="preserve"> IF( AND( OFFSET($A$1, 38 - 1, 59 - 1) = "1", OFFSET($A$1, 38 - 1, 60 - 1) = "1" ), 1, IF( AND( OFFSET($A$1, 38 - 1, 59 - 1) = "1", OFFSET($A$1, 38 - 1, 60 - 1) = "0" ), 2, IF( AND( OFFSET($A$1, 38 - 1, 59 - 1) = "0", OFFSET($A$1, 38 - 1, 60 - 1) = "1" ), 3, 4 ) ) )</f>
        <v>4</v>
      </c>
    </row>
    <row r="39" spans="2:61" x14ac:dyDescent="0.35">
      <c r="C39" s="21" t="s">
        <v>126</v>
      </c>
      <c r="D39" s="22"/>
      <c r="E39" s="22"/>
      <c r="F39" s="22"/>
      <c r="G39" s="23"/>
      <c r="BA39" s="3">
        <v>0.19620851629707975</v>
      </c>
      <c r="BB39" s="3" t="str">
        <f>"0"</f>
        <v>0</v>
      </c>
      <c r="BC39" t="str">
        <f ca="1">IF((OFFSET($A$1, 39 - 1, 53 - 1)) &gt;= (OFFSET($A$1, 69 - 1, 7 - 1)), "1","0")</f>
        <v>0</v>
      </c>
      <c r="BD39">
        <f ca="1" xml:space="preserve"> IF( AND( OFFSET($A$1, 39 - 1, 54 - 1) = "1", OFFSET($A$1, 39 - 1, 55 - 1) = "1" ), 1, IF( AND( OFFSET($A$1, 39 - 1, 54 - 1) = "1", OFFSET($A$1, 39 - 1, 55 - 1) = "0" ), 2, IF( AND( OFFSET($A$1, 39 - 1, 54 - 1) = "0", OFFSET($A$1, 39 - 1, 55 - 1) = "1" ), 3, 4 ) ) )</f>
        <v>4</v>
      </c>
      <c r="BF39" s="3">
        <v>0.19621339430588819</v>
      </c>
      <c r="BG39" s="3" t="str">
        <f>"0"</f>
        <v>0</v>
      </c>
      <c r="BH39" t="str">
        <f ca="1">IF((OFFSET($A$1, 39 - 1, 58 - 1)) &gt;= (OFFSET($A$1, 93 - 1, 7 - 1)), "1","0")</f>
        <v>0</v>
      </c>
      <c r="BI39">
        <f ca="1" xml:space="preserve"> IF( AND( OFFSET($A$1, 39 - 1, 59 - 1) = "1", OFFSET($A$1, 39 - 1, 60 - 1) = "1" ), 1, IF( AND( OFFSET($A$1, 39 - 1, 59 - 1) = "1", OFFSET($A$1, 39 - 1, 60 - 1) = "0" ), 2, IF( AND( OFFSET($A$1, 39 - 1, 59 - 1) = "0", OFFSET($A$1, 39 - 1, 60 - 1) = "1" ), 3, 4 ) ) )</f>
        <v>4</v>
      </c>
    </row>
    <row r="40" spans="2:61" x14ac:dyDescent="0.35">
      <c r="BA40" s="3">
        <v>0.19622246548976277</v>
      </c>
      <c r="BB40" s="3" t="str">
        <f>"0"</f>
        <v>0</v>
      </c>
      <c r="BC40" t="str">
        <f ca="1">IF((OFFSET($A$1, 40 - 1, 53 - 1)) &gt;= (OFFSET($A$1, 69 - 1, 7 - 1)), "1","0")</f>
        <v>0</v>
      </c>
      <c r="BD40">
        <f ca="1" xml:space="preserve"> IF( AND( OFFSET($A$1, 40 - 1, 54 - 1) = "1", OFFSET($A$1, 40 - 1, 55 - 1) = "1" ), 1, IF( AND( OFFSET($A$1, 40 - 1, 54 - 1) = "1", OFFSET($A$1, 40 - 1, 55 - 1) = "0" ), 2, IF( AND( OFFSET($A$1, 40 - 1, 54 - 1) = "0", OFFSET($A$1, 40 - 1, 55 - 1) = "1" ), 3, 4 ) ) )</f>
        <v>4</v>
      </c>
      <c r="BF40" s="3">
        <v>0.19623572961714153</v>
      </c>
      <c r="BG40" s="3" t="str">
        <f>"0"</f>
        <v>0</v>
      </c>
      <c r="BH40" t="str">
        <f ca="1">IF((OFFSET($A$1, 40 - 1, 58 - 1)) &gt;= (OFFSET($A$1, 93 - 1, 7 - 1)), "1","0")</f>
        <v>0</v>
      </c>
      <c r="BI40">
        <f ca="1" xml:space="preserve"> IF( AND( OFFSET($A$1, 40 - 1, 59 - 1) = "1", OFFSET($A$1, 40 - 1, 60 - 1) = "1" ), 1, IF( AND( OFFSET($A$1, 40 - 1, 59 - 1) = "1", OFFSET($A$1, 40 - 1, 60 - 1) = "0" ), 2, IF( AND( OFFSET($A$1, 40 - 1, 59 - 1) = "0", OFFSET($A$1, 40 - 1, 60 - 1) = "1" ), 3, 4 ) ) )</f>
        <v>4</v>
      </c>
    </row>
    <row r="41" spans="2:61" x14ac:dyDescent="0.35">
      <c r="C41" s="11" t="s">
        <v>127</v>
      </c>
      <c r="D41" s="11" t="s">
        <v>128</v>
      </c>
      <c r="BA41" s="3">
        <v>0.19625318634928099</v>
      </c>
      <c r="BB41" s="3" t="str">
        <f>"0"</f>
        <v>0</v>
      </c>
      <c r="BC41" t="str">
        <f ca="1">IF((OFFSET($A$1, 41 - 1, 53 - 1)) &gt;= (OFFSET($A$1, 69 - 1, 7 - 1)), "1","0")</f>
        <v>0</v>
      </c>
      <c r="BD41">
        <f ca="1" xml:space="preserve"> IF( AND( OFFSET($A$1, 41 - 1, 54 - 1) = "1", OFFSET($A$1, 41 - 1, 55 - 1) = "1" ), 1, IF( AND( OFFSET($A$1, 41 - 1, 54 - 1) = "1", OFFSET($A$1, 41 - 1, 55 - 1) = "0" ), 2, IF( AND( OFFSET($A$1, 41 - 1, 54 - 1) = "0", OFFSET($A$1, 41 - 1, 55 - 1) = "1" ), 3, 4 ) ) )</f>
        <v>4</v>
      </c>
      <c r="BF41" s="3">
        <v>0.19627483524009845</v>
      </c>
      <c r="BG41" s="3" t="str">
        <f>"0"</f>
        <v>0</v>
      </c>
      <c r="BH41" t="str">
        <f ca="1">IF((OFFSET($A$1, 41 - 1, 58 - 1)) &gt;= (OFFSET($A$1, 93 - 1, 7 - 1)), "1","0")</f>
        <v>0</v>
      </c>
      <c r="BI41">
        <f ca="1" xml:space="preserve"> IF( AND( OFFSET($A$1, 41 - 1, 59 - 1) = "1", OFFSET($A$1, 41 - 1, 60 - 1) = "1" ), 1, IF( AND( OFFSET($A$1, 41 - 1, 59 - 1) = "1", OFFSET($A$1, 41 - 1, 60 - 1) = "0" ), 2, IF( AND( OFFSET($A$1, 41 - 1, 59 - 1) = "0", OFFSET($A$1, 41 - 1, 60 - 1) = "1" ), 3, 4 ) ) )</f>
        <v>4</v>
      </c>
    </row>
    <row r="42" spans="2:61" x14ac:dyDescent="0.35">
      <c r="C42" s="4">
        <v>0</v>
      </c>
      <c r="D42" s="3">
        <v>0.64467560908842048</v>
      </c>
      <c r="BA42" s="3">
        <v>0.19630067573596455</v>
      </c>
      <c r="BB42" s="3" t="str">
        <f>"1"</f>
        <v>1</v>
      </c>
      <c r="BC42" t="str">
        <f ca="1">IF((OFFSET($A$1, 42 - 1, 53 - 1)) &gt;= (OFFSET($A$1, 69 - 1, 7 - 1)), "1","0")</f>
        <v>0</v>
      </c>
      <c r="BD42">
        <f ca="1" xml:space="preserve"> IF( AND( OFFSET($A$1, 42 - 1, 54 - 1) = "1", OFFSET($A$1, 42 - 1, 55 - 1) = "1" ), 1, IF( AND( OFFSET($A$1, 42 - 1, 54 - 1) = "1", OFFSET($A$1, 42 - 1, 55 - 1) = "0" ), 2, IF( AND( OFFSET($A$1, 42 - 1, 54 - 1) = "0", OFFSET($A$1, 42 - 1, 55 - 1) = "1" ), 3, 4 ) ) )</f>
        <v>2</v>
      </c>
      <c r="BF42" s="3">
        <v>0.19633070717544657</v>
      </c>
      <c r="BG42" s="3" t="str">
        <f>"0"</f>
        <v>0</v>
      </c>
      <c r="BH42" t="str">
        <f ca="1">IF((OFFSET($A$1, 42 - 1, 58 - 1)) &gt;= (OFFSET($A$1, 93 - 1, 7 - 1)), "1","0")</f>
        <v>0</v>
      </c>
      <c r="BI42">
        <f ca="1" xml:space="preserve"> IF( AND( OFFSET($A$1, 42 - 1, 59 - 1) = "1", OFFSET($A$1, 42 - 1, 60 - 1) = "1" ), 1, IF( AND( OFFSET($A$1, 42 - 1, 59 - 1) = "1", OFFSET($A$1, 42 - 1, 60 - 1) = "0" ), 2, IF( AND( OFFSET($A$1, 42 - 1, 59 - 1) = "0", OFFSET($A$1, 42 - 1, 60 - 1) = "1" ), 3, 4 ) ) )</f>
        <v>4</v>
      </c>
    </row>
    <row r="43" spans="2:61" x14ac:dyDescent="0.35">
      <c r="C43" s="4">
        <v>1</v>
      </c>
      <c r="D43" s="3">
        <v>0.35532439091157952</v>
      </c>
      <c r="BA43" s="3">
        <v>0.43270227934382832</v>
      </c>
      <c r="BB43" s="3" t="str">
        <f>"1"</f>
        <v>1</v>
      </c>
      <c r="BC43" t="str">
        <f ca="1">IF((OFFSET($A$1, 43 - 1, 53 - 1)) &gt;= (OFFSET($A$1, 69 - 1, 7 - 1)), "1","0")</f>
        <v>0</v>
      </c>
      <c r="BD43">
        <f ca="1" xml:space="preserve"> IF( AND( OFFSET($A$1, 43 - 1, 54 - 1) = "1", OFFSET($A$1, 43 - 1, 55 - 1) = "1" ), 1, IF( AND( OFFSET($A$1, 43 - 1, 54 - 1) = "1", OFFSET($A$1, 43 - 1, 55 - 1) = "0" ), 2, IF( AND( OFFSET($A$1, 43 - 1, 54 - 1) = "0", OFFSET($A$1, 43 - 1, 55 - 1) = "1" ), 3, 4 ) ) )</f>
        <v>2</v>
      </c>
      <c r="BF43" s="3">
        <v>0.19640333969862159</v>
      </c>
      <c r="BG43" s="3" t="str">
        <f>"1"</f>
        <v>1</v>
      </c>
      <c r="BH43" t="str">
        <f ca="1">IF((OFFSET($A$1, 43 - 1, 58 - 1)) &gt;= (OFFSET($A$1, 93 - 1, 7 - 1)), "1","0")</f>
        <v>0</v>
      </c>
      <c r="BI43">
        <f ca="1" xml:space="preserve"> IF( AND( OFFSET($A$1, 43 - 1, 59 - 1) = "1", OFFSET($A$1, 43 - 1, 60 - 1) = "1" ), 1, IF( AND( OFFSET($A$1, 43 - 1, 59 - 1) = "1", OFFSET($A$1, 43 - 1, 60 - 1) = "0" ), 2, IF( AND( OFFSET($A$1, 43 - 1, 59 - 1) = "0", OFFSET($A$1, 43 - 1, 60 - 1) = "1" ), 3, 4 ) ) )</f>
        <v>2</v>
      </c>
    </row>
    <row r="44" spans="2:61" x14ac:dyDescent="0.35">
      <c r="BA44" s="3">
        <v>0.43282827745914004</v>
      </c>
      <c r="BB44" s="3" t="str">
        <f>"0"</f>
        <v>0</v>
      </c>
      <c r="BC44" t="str">
        <f ca="1">IF((OFFSET($A$1, 44 - 1, 53 - 1)) &gt;= (OFFSET($A$1, 69 - 1, 7 - 1)), "1","0")</f>
        <v>0</v>
      </c>
      <c r="BD44">
        <f ca="1" xml:space="preserve"> IF( AND( OFFSET($A$1, 44 - 1, 54 - 1) = "1", OFFSET($A$1, 44 - 1, 55 - 1) = "1" ), 1, IF( AND( OFFSET($A$1, 44 - 1, 54 - 1) = "1", OFFSET($A$1, 44 - 1, 55 - 1) = "0" ), 2, IF( AND( OFFSET($A$1, 44 - 1, 54 - 1) = "0", OFFSET($A$1, 44 - 1, 55 - 1) = "1" ), 3, 4 ) ) )</f>
        <v>4</v>
      </c>
      <c r="BF44" s="3">
        <v>0.432901032240401</v>
      </c>
      <c r="BG44" s="3" t="str">
        <f>"0"</f>
        <v>0</v>
      </c>
      <c r="BH44" t="str">
        <f ca="1">IF((OFFSET($A$1, 44 - 1, 58 - 1)) &gt;= (OFFSET($A$1, 93 - 1, 7 - 1)), "1","0")</f>
        <v>0</v>
      </c>
      <c r="BI44">
        <f ca="1" xml:space="preserve"> IF( AND( OFFSET($A$1, 44 - 1, 59 - 1) = "1", OFFSET($A$1, 44 - 1, 60 - 1) = "1" ), 1, IF( AND( OFFSET($A$1, 44 - 1, 59 - 1) = "1", OFFSET($A$1, 44 - 1, 60 - 1) = "0" ), 2, IF( AND( OFFSET($A$1, 44 - 1, 59 - 1) = "0", OFFSET($A$1, 44 - 1, 60 - 1) = "1" ), 3, 4 ) ) )</f>
        <v>4</v>
      </c>
    </row>
    <row r="45" spans="2:61" x14ac:dyDescent="0.35">
      <c r="BA45" s="3">
        <v>0.19654369778792813</v>
      </c>
      <c r="BB45" s="3" t="str">
        <f>"0"</f>
        <v>0</v>
      </c>
      <c r="BC45" t="str">
        <f ca="1">IF((OFFSET($A$1, 45 - 1, 53 - 1)) &gt;= (OFFSET($A$1, 69 - 1, 7 - 1)), "1","0")</f>
        <v>0</v>
      </c>
      <c r="BD45">
        <f ca="1" xml:space="preserve"> IF( AND( OFFSET($A$1, 45 - 1, 54 - 1) = "1", OFFSET($A$1, 45 - 1, 55 - 1) = "1" ), 1, IF( AND( OFFSET($A$1, 45 - 1, 54 - 1) = "1", OFFSET($A$1, 45 - 1, 55 - 1) = "0" ), 2, IF( AND( OFFSET($A$1, 45 - 1, 54 - 1) = "0", OFFSET($A$1, 45 - 1, 55 - 1) = "1" ), 3, 4 ) ) )</f>
        <v>4</v>
      </c>
      <c r="BF45" s="3">
        <v>0.1965988549171705</v>
      </c>
      <c r="BG45" s="3" t="str">
        <f>"1"</f>
        <v>1</v>
      </c>
      <c r="BH45" t="str">
        <f ca="1">IF((OFFSET($A$1, 45 - 1, 58 - 1)) &gt;= (OFFSET($A$1, 93 - 1, 7 - 1)), "1","0")</f>
        <v>0</v>
      </c>
      <c r="BI45">
        <f ca="1" xml:space="preserve"> IF( AND( OFFSET($A$1, 45 - 1, 59 - 1) = "1", OFFSET($A$1, 45 - 1, 60 - 1) = "1" ), 1, IF( AND( OFFSET($A$1, 45 - 1, 59 - 1) = "1", OFFSET($A$1, 45 - 1, 60 - 1) = "0" ), 2, IF( AND( OFFSET($A$1, 45 - 1, 59 - 1) = "0", OFFSET($A$1, 45 - 1, 60 - 1) = "1" ), 3, 4 ) ) )</f>
        <v>2</v>
      </c>
    </row>
    <row r="46" spans="2:61" ht="18.5" x14ac:dyDescent="0.45">
      <c r="B46" s="6" t="s">
        <v>71</v>
      </c>
      <c r="BA46" s="3">
        <v>0.1966581953095291</v>
      </c>
      <c r="BB46" s="3" t="str">
        <f>"0"</f>
        <v>0</v>
      </c>
      <c r="BC46" t="str">
        <f ca="1">IF((OFFSET($A$1, 46 - 1, 53 - 1)) &gt;= (OFFSET($A$1, 69 - 1, 7 - 1)), "1","0")</f>
        <v>0</v>
      </c>
      <c r="BD46">
        <f ca="1" xml:space="preserve"> IF( AND( OFFSET($A$1, 46 - 1, 54 - 1) = "1", OFFSET($A$1, 46 - 1, 55 - 1) = "1" ), 1, IF( AND( OFFSET($A$1, 46 - 1, 54 - 1) = "1", OFFSET($A$1, 46 - 1, 55 - 1) = "0" ), 2, IF( AND( OFFSET($A$1, 46 - 1, 54 - 1) = "0", OFFSET($A$1, 46 - 1, 55 - 1) = "1" ), 3, 4 ) ) )</f>
        <v>4</v>
      </c>
      <c r="BF46" s="3">
        <v>0.43325697712633032</v>
      </c>
      <c r="BG46" s="3" t="str">
        <f>"0"</f>
        <v>0</v>
      </c>
      <c r="BH46" t="str">
        <f ca="1">IF((OFFSET($A$1, 46 - 1, 58 - 1)) &gt;= (OFFSET($A$1, 93 - 1, 7 - 1)), "1","0")</f>
        <v>0</v>
      </c>
      <c r="BI46">
        <f ca="1" xml:space="preserve"> IF( AND( OFFSET($A$1, 46 - 1, 59 - 1) = "1", OFFSET($A$1, 46 - 1, 60 - 1) = "1" ), 1, IF( AND( OFFSET($A$1, 46 - 1, 59 - 1) = "1", OFFSET($A$1, 46 - 1, 60 - 1) = "0" ), 2, IF( AND( OFFSET($A$1, 46 - 1, 59 - 1) = "0", OFFSET($A$1, 46 - 1, 60 - 1) = "1" ), 3, 4 ) ) )</f>
        <v>4</v>
      </c>
    </row>
    <row r="47" spans="2:61" x14ac:dyDescent="0.35">
      <c r="BA47" s="3">
        <v>0.19678941961510224</v>
      </c>
      <c r="BB47" s="3" t="str">
        <f>"0"</f>
        <v>0</v>
      </c>
      <c r="BC47" t="str">
        <f ca="1">IF((OFFSET($A$1, 47 - 1, 53 - 1)) &gt;= (OFFSET($A$1, 69 - 1, 7 - 1)), "1","0")</f>
        <v>0</v>
      </c>
      <c r="BD47">
        <f ca="1" xml:space="preserve"> IF( AND( OFFSET($A$1, 47 - 1, 54 - 1) = "1", OFFSET($A$1, 47 - 1, 55 - 1) = "1" ), 1, IF( AND( OFFSET($A$1, 47 - 1, 54 - 1) = "1", OFFSET($A$1, 47 - 1, 55 - 1) = "0" ), 2, IF( AND( OFFSET($A$1, 47 - 1, 54 - 1) = "0", OFFSET($A$1, 47 - 1, 55 - 1) = "1" ), 3, 4 ) ) )</f>
        <v>4</v>
      </c>
      <c r="BF47" s="3">
        <v>0.19686130011248867</v>
      </c>
      <c r="BG47" s="3" t="str">
        <f>"0"</f>
        <v>0</v>
      </c>
      <c r="BH47" t="str">
        <f ca="1">IF((OFFSET($A$1, 47 - 1, 58 - 1)) &gt;= (OFFSET($A$1, 93 - 1, 7 - 1)), "1","0")</f>
        <v>0</v>
      </c>
      <c r="BI47">
        <f ca="1" xml:space="preserve"> IF( AND( OFFSET($A$1, 47 - 1, 59 - 1) = "1", OFFSET($A$1, 47 - 1, 60 - 1) = "1" ), 1, IF( AND( OFFSET($A$1, 47 - 1, 59 - 1) = "1", OFFSET($A$1, 47 - 1, 60 - 1) = "0" ), 2, IF( AND( OFFSET($A$1, 47 - 1, 59 - 1) = "0", OFFSET($A$1, 47 - 1, 60 - 1) = "1" ), 3, 4 ) ) )</f>
        <v>4</v>
      </c>
    </row>
    <row r="48" spans="2:61" x14ac:dyDescent="0.35">
      <c r="C48" s="24" t="s">
        <v>72</v>
      </c>
      <c r="D48" s="25"/>
      <c r="E48" s="26"/>
      <c r="F48" s="3">
        <v>4.9023659477168754E-11</v>
      </c>
      <c r="BA48" s="3">
        <v>0.19693735703979301</v>
      </c>
      <c r="BB48" s="3" t="str">
        <f>"0"</f>
        <v>0</v>
      </c>
      <c r="BC48" t="str">
        <f ca="1">IF((OFFSET($A$1, 48 - 1, 53 - 1)) &gt;= (OFFSET($A$1, 69 - 1, 7 - 1)), "1","0")</f>
        <v>0</v>
      </c>
      <c r="BD48">
        <f ca="1" xml:space="preserve"> IF( AND( OFFSET($A$1, 48 - 1, 54 - 1) = "1", OFFSET($A$1, 48 - 1, 55 - 1) = "1" ), 1, IF( AND( OFFSET($A$1, 48 - 1, 54 - 1) = "1", OFFSET($A$1, 48 - 1, 55 - 1) = "0" ), 2, IF( AND( OFFSET($A$1, 48 - 1, 54 - 1) = "0", OFFSET($A$1, 48 - 1, 55 - 1) = "1" ), 3, 4 ) ) )</f>
        <v>4</v>
      </c>
      <c r="BF48" s="3">
        <v>0.19701758840396574</v>
      </c>
      <c r="BG48" s="3" t="str">
        <f>"0"</f>
        <v>0</v>
      </c>
      <c r="BH48" t="str">
        <f ca="1">IF((OFFSET($A$1, 48 - 1, 58 - 1)) &gt;= (OFFSET($A$1, 93 - 1, 7 - 1)), "1","0")</f>
        <v>0</v>
      </c>
      <c r="BI48">
        <f ca="1" xml:space="preserve"> IF( AND( OFFSET($A$1, 48 - 1, 59 - 1) = "1", OFFSET($A$1, 48 - 1, 60 - 1) = "1" ), 1, IF( AND( OFFSET($A$1, 48 - 1, 59 - 1) = "1", OFFSET($A$1, 48 - 1, 60 - 1) = "0" ), 2, IF( AND( OFFSET($A$1, 48 - 1, 59 - 1) = "0", OFFSET($A$1, 48 - 1, 60 - 1) = "1" ), 3, 4 ) ) )</f>
        <v>4</v>
      </c>
    </row>
    <row r="49" spans="2:61" x14ac:dyDescent="0.35">
      <c r="BA49" s="3">
        <v>0.19710199209634824</v>
      </c>
      <c r="BB49" s="3" t="str">
        <f>"0"</f>
        <v>0</v>
      </c>
      <c r="BC49" t="str">
        <f ca="1">IF((OFFSET($A$1, 49 - 1, 53 - 1)) &gt;= (OFFSET($A$1, 69 - 1, 7 - 1)), "1","0")</f>
        <v>0</v>
      </c>
      <c r="BD49">
        <f ca="1" xml:space="preserve"> IF( AND( OFFSET($A$1, 49 - 1, 54 - 1) = "1", OFFSET($A$1, 49 - 1, 55 - 1) = "1" ), 1, IF( AND( OFFSET($A$1, 49 - 1, 54 - 1) = "1", OFFSET($A$1, 49 - 1, 55 - 1) = "0" ), 2, IF( AND( OFFSET($A$1, 49 - 1, 54 - 1) = "0", OFFSET($A$1, 49 - 1, 55 - 1) = "1" ), 3, 4 ) ) )</f>
        <v>4</v>
      </c>
      <c r="BF49" s="3">
        <v>0.19719056589173503</v>
      </c>
      <c r="BG49" s="3" t="str">
        <f>"0"</f>
        <v>0</v>
      </c>
      <c r="BH49" t="str">
        <f ca="1">IF((OFFSET($A$1, 49 - 1, 58 - 1)) &gt;= (OFFSET($A$1, 93 - 1, 7 - 1)), "1","0")</f>
        <v>0</v>
      </c>
      <c r="BI49">
        <f ca="1" xml:space="preserve"> IF( AND( OFFSET($A$1, 49 - 1, 59 - 1) = "1", OFFSET($A$1, 49 - 1, 60 - 1) = "1" ), 1, IF( AND( OFFSET($A$1, 49 - 1, 59 - 1) = "1", OFFSET($A$1, 49 - 1, 60 - 1) = "0" ), 2, IF( AND( OFFSET($A$1, 49 - 1, 59 - 1) = "0", OFFSET($A$1, 49 - 1, 60 - 1) = "1" ), 3, 4 ) ) )</f>
        <v>4</v>
      </c>
    </row>
    <row r="50" spans="2:61" ht="15.5" x14ac:dyDescent="0.35">
      <c r="C50" s="27" t="s">
        <v>73</v>
      </c>
      <c r="D50" s="28"/>
      <c r="E50" s="27" t="s">
        <v>74</v>
      </c>
      <c r="F50" s="28"/>
      <c r="BA50" s="3">
        <v>0.19728330744738889</v>
      </c>
      <c r="BB50" s="3" t="str">
        <f>"0"</f>
        <v>0</v>
      </c>
      <c r="BC50" t="str">
        <f ca="1">IF((OFFSET($A$1, 50 - 1, 53 - 1)) &gt;= (OFFSET($A$1, 69 - 1, 7 - 1)), "1","0")</f>
        <v>0</v>
      </c>
      <c r="BD50">
        <f ca="1" xml:space="preserve"> IF( AND( OFFSET($A$1, 50 - 1, 54 - 1) = "1", OFFSET($A$1, 50 - 1, 55 - 1) = "1" ), 1, IF( AND( OFFSET($A$1, 50 - 1, 54 - 1) = "1", OFFSET($A$1, 50 - 1, 55 - 1) = "0" ), 2, IF( AND( OFFSET($A$1, 50 - 1, 54 - 1) = "0", OFFSET($A$1, 50 - 1, 55 - 1) = "1" ), 3, 4 ) ) )</f>
        <v>4</v>
      </c>
      <c r="BF50" s="3">
        <v>0.19738021430201025</v>
      </c>
      <c r="BG50" s="3" t="str">
        <f>"0"</f>
        <v>0</v>
      </c>
      <c r="BH50" t="str">
        <f ca="1">IF((OFFSET($A$1, 50 - 1, 58 - 1)) &gt;= (OFFSET($A$1, 93 - 1, 7 - 1)), "1","0")</f>
        <v>0</v>
      </c>
      <c r="BI50">
        <f ca="1" xml:space="preserve"> IF( AND( OFFSET($A$1, 50 - 1, 59 - 1) = "1", OFFSET($A$1, 50 - 1, 60 - 1) = "1" ), 1, IF( AND( OFFSET($A$1, 50 - 1, 59 - 1) = "1", OFFSET($A$1, 50 - 1, 60 - 1) = "0" ), 2, IF( AND( OFFSET($A$1, 50 - 1, 59 - 1) = "0", OFFSET($A$1, 50 - 1, 60 - 1) = "1" ), 3, 4 ) ) )</f>
        <v>4</v>
      </c>
    </row>
    <row r="51" spans="2:61" x14ac:dyDescent="0.35">
      <c r="C51" s="8" t="s">
        <v>75</v>
      </c>
      <c r="D51" s="8" t="s">
        <v>76</v>
      </c>
      <c r="E51" s="8" t="s">
        <v>75</v>
      </c>
      <c r="F51" s="8" t="s">
        <v>76</v>
      </c>
      <c r="BA51" s="3">
        <v>0.19748128387465885</v>
      </c>
      <c r="BB51" s="3" t="str">
        <f>"1"</f>
        <v>1</v>
      </c>
      <c r="BC51" t="str">
        <f ca="1">IF((OFFSET($A$1, 51 - 1, 53 - 1)) &gt;= (OFFSET($A$1, 69 - 1, 7 - 1)), "1","0")</f>
        <v>0</v>
      </c>
      <c r="BD51">
        <f ca="1" xml:space="preserve"> IF( AND( OFFSET($A$1, 51 - 1, 54 - 1) = "1", OFFSET($A$1, 51 - 1, 55 - 1) = "1" ), 1, IF( AND( OFFSET($A$1, 51 - 1, 54 - 1) = "1", OFFSET($A$1, 51 - 1, 55 - 1) = "0" ), 2, IF( AND( OFFSET($A$1, 51 - 1, 54 - 1) = "0", OFFSET($A$1, 51 - 1, 55 - 1) = "1" ), 3, 4 ) ) )</f>
        <v>2</v>
      </c>
      <c r="BF51" s="3">
        <v>0.1975865134636306</v>
      </c>
      <c r="BG51" s="3" t="str">
        <f>"0"</f>
        <v>0</v>
      </c>
      <c r="BH51" t="str">
        <f ca="1">IF((OFFSET($A$1, 51 - 1, 58 - 1)) &gt;= (OFFSET($A$1, 93 - 1, 7 - 1)), "1","0")</f>
        <v>0</v>
      </c>
      <c r="BI51">
        <f ca="1" xml:space="preserve"> IF( AND( OFFSET($A$1, 51 - 1, 59 - 1) = "1", OFFSET($A$1, 51 - 1, 60 - 1) = "1" ), 1, IF( AND( OFFSET($A$1, 51 - 1, 59 - 1) = "1", OFFSET($A$1, 51 - 1, 60 - 1) = "0" ), 2, IF( AND( OFFSET($A$1, 51 - 1, 59 - 1) = "0", OFFSET($A$1, 51 - 1, 60 - 1) = "1" ), 3, 4 ) ) )</f>
        <v>4</v>
      </c>
    </row>
    <row r="52" spans="2:61" x14ac:dyDescent="0.35">
      <c r="C52" s="4" t="s">
        <v>77</v>
      </c>
      <c r="D52" s="3">
        <v>60.440052945046311</v>
      </c>
      <c r="BA52" s="3">
        <v>0.43476852202729904</v>
      </c>
      <c r="BB52" s="3" t="str">
        <f>"0"</f>
        <v>0</v>
      </c>
      <c r="BC52" t="str">
        <f ca="1">IF((OFFSET($A$1, 52 - 1, 53 - 1)) &gt;= (OFFSET($A$1, 69 - 1, 7 - 1)), "1","0")</f>
        <v>0</v>
      </c>
      <c r="BD52">
        <f ca="1" xml:space="preserve"> IF( AND( OFFSET($A$1, 52 - 1, 54 - 1) = "1", OFFSET($A$1, 52 - 1, 55 - 1) = "1" ), 1, IF( AND( OFFSET($A$1, 52 - 1, 54 - 1) = "1", OFFSET($A$1, 52 - 1, 55 - 1) = "0" ), 2, IF( AND( OFFSET($A$1, 52 - 1, 54 - 1) = "0", OFFSET($A$1, 52 - 1, 55 - 1) = "1" ), 3, 4 ) ) )</f>
        <v>4</v>
      </c>
      <c r="BF52" s="3">
        <v>0.19780944127284564</v>
      </c>
      <c r="BG52" s="3" t="str">
        <f>"0"</f>
        <v>0</v>
      </c>
      <c r="BH52" t="str">
        <f ca="1">IF((OFFSET($A$1, 52 - 1, 58 - 1)) &gt;= (OFFSET($A$1, 93 - 1, 7 - 1)), "1","0")</f>
        <v>0</v>
      </c>
      <c r="BI52">
        <f ca="1" xml:space="preserve"> IF( AND( OFFSET($A$1, 52 - 1, 59 - 1) = "1", OFFSET($A$1, 52 - 1, 60 - 1) = "1" ), 1, IF( AND( OFFSET($A$1, 52 - 1, 59 - 1) = "1", OFFSET($A$1, 52 - 1, 60 - 1) = "0" ), 2, IF( AND( OFFSET($A$1, 52 - 1, 59 - 1) = "0", OFFSET($A$1, 52 - 1, 60 - 1) = "1" ), 3, 4 ) ) )</f>
        <v>4</v>
      </c>
    </row>
    <row r="53" spans="2:61" x14ac:dyDescent="0.35">
      <c r="C53" s="4" t="s">
        <v>7</v>
      </c>
      <c r="D53" s="3">
        <v>28.603057882417112</v>
      </c>
      <c r="BA53" s="3">
        <v>0.19792713347511073</v>
      </c>
      <c r="BB53" s="3" t="str">
        <f>"1"</f>
        <v>1</v>
      </c>
      <c r="BC53" t="str">
        <f ca="1">IF((OFFSET($A$1, 53 - 1, 53 - 1)) &gt;= (OFFSET($A$1, 69 - 1, 7 - 1)), "1","0")</f>
        <v>0</v>
      </c>
      <c r="BD53">
        <f ca="1" xml:space="preserve"> IF( AND( OFFSET($A$1, 53 - 1, 54 - 1) = "1", OFFSET($A$1, 53 - 1, 55 - 1) = "1" ), 1, IF( AND( OFFSET($A$1, 53 - 1, 54 - 1) = "1", OFFSET($A$1, 53 - 1, 55 - 1) = "0" ), 2, IF( AND( OFFSET($A$1, 53 - 1, 54 - 1) = "0", OFFSET($A$1, 53 - 1, 55 - 1) = "1" ), 3, 4 ) ) )</f>
        <v>2</v>
      </c>
      <c r="BF53" s="3">
        <v>0.19804897365517887</v>
      </c>
      <c r="BG53" s="3" t="str">
        <f>"0"</f>
        <v>0</v>
      </c>
      <c r="BH53" t="str">
        <f ca="1">IF((OFFSET($A$1, 53 - 1, 58 - 1)) &gt;= (OFFSET($A$1, 93 - 1, 7 - 1)), "1","0")</f>
        <v>0</v>
      </c>
      <c r="BI53">
        <f ca="1" xml:space="preserve"> IF( AND( OFFSET($A$1, 53 - 1, 59 - 1) = "1", OFFSET($A$1, 53 - 1, 60 - 1) = "1" ), 1, IF( AND( OFFSET($A$1, 53 - 1, 59 - 1) = "1", OFFSET($A$1, 53 - 1, 60 - 1) = "0" ), 2, IF( AND( OFFSET($A$1, 53 - 1, 59 - 1) = "0", OFFSET($A$1, 53 - 1, 60 - 1) = "1" ), 3, 4 ) ) )</f>
        <v>4</v>
      </c>
    </row>
    <row r="54" spans="2:61" x14ac:dyDescent="0.35">
      <c r="C54" s="4" t="s">
        <v>9</v>
      </c>
      <c r="D54" s="3">
        <v>42.734647230846093</v>
      </c>
      <c r="BA54" s="3">
        <v>0.43551021680022967</v>
      </c>
      <c r="BB54" s="3" t="str">
        <f>"1"</f>
        <v>1</v>
      </c>
      <c r="BC54" t="str">
        <f ca="1">IF((OFFSET($A$1, 54 - 1, 53 - 1)) &gt;= (OFFSET($A$1, 69 - 1, 7 - 1)), "1","0")</f>
        <v>0</v>
      </c>
      <c r="BD54">
        <f ca="1" xml:space="preserve"> IF( AND( OFFSET($A$1, 54 - 1, 54 - 1) = "1", OFFSET($A$1, 54 - 1, 55 - 1) = "1" ), 1, IF( AND( OFFSET($A$1, 54 - 1, 54 - 1) = "1", OFFSET($A$1, 54 - 1, 55 - 1) = "0" ), 2, IF( AND( OFFSET($A$1, 54 - 1, 54 - 1) = "0", OFFSET($A$1, 54 - 1, 55 - 1) = "1" ), 3, 4 ) ) )</f>
        <v>2</v>
      </c>
      <c r="BF54" s="3">
        <v>0.19830508452441567</v>
      </c>
      <c r="BG54" s="3" t="str">
        <f>"0"</f>
        <v>0</v>
      </c>
      <c r="BH54" t="str">
        <f ca="1">IF((OFFSET($A$1, 54 - 1, 58 - 1)) &gt;= (OFFSET($A$1, 93 - 1, 7 - 1)), "1","0")</f>
        <v>0</v>
      </c>
      <c r="BI54">
        <f ca="1" xml:space="preserve"> IF( AND( OFFSET($A$1, 54 - 1, 59 - 1) = "1", OFFSET($A$1, 54 - 1, 60 - 1) = "1" ), 1, IF( AND( OFFSET($A$1, 54 - 1, 59 - 1) = "1", OFFSET($A$1, 54 - 1, 60 - 1) = "0" ), 2, IF( AND( OFFSET($A$1, 54 - 1, 59 - 1) = "0", OFFSET($A$1, 54 - 1, 60 - 1) = "1" ), 3, 4 ) ) )</f>
        <v>4</v>
      </c>
    </row>
    <row r="55" spans="2:61" x14ac:dyDescent="0.35">
      <c r="C55" s="4" t="s">
        <v>10</v>
      </c>
      <c r="D55" s="3">
        <v>42.740494353647826</v>
      </c>
      <c r="BA55" s="3">
        <v>0.43591909983568872</v>
      </c>
      <c r="BB55" s="3" t="str">
        <f>"1"</f>
        <v>1</v>
      </c>
      <c r="BC55" t="str">
        <f ca="1">IF((OFFSET($A$1, 55 - 1, 53 - 1)) &gt;= (OFFSET($A$1, 69 - 1, 7 - 1)), "1","0")</f>
        <v>0</v>
      </c>
      <c r="BD55">
        <f ca="1" xml:space="preserve"> IF( AND( OFFSET($A$1, 55 - 1, 54 - 1) = "1", OFFSET($A$1, 55 - 1, 55 - 1) = "1" ), 1, IF( AND( OFFSET($A$1, 55 - 1, 54 - 1) = "1", OFFSET($A$1, 55 - 1, 55 - 1) = "0" ), 2, IF( AND( OFFSET($A$1, 55 - 1, 54 - 1) = "0", OFFSET($A$1, 55 - 1, 55 - 1) = "1" ), 3, 4 ) ) )</f>
        <v>2</v>
      </c>
      <c r="BF55" s="3">
        <v>0.19857774573876827</v>
      </c>
      <c r="BG55" s="3" t="str">
        <f>"0"</f>
        <v>0</v>
      </c>
      <c r="BH55" t="str">
        <f ca="1">IF((OFFSET($A$1, 55 - 1, 58 - 1)) &gt;= (OFFSET($A$1, 93 - 1, 7 - 1)), "1","0")</f>
        <v>0</v>
      </c>
      <c r="BI55">
        <f ca="1" xml:space="preserve"> IF( AND( OFFSET($A$1, 55 - 1, 59 - 1) = "1", OFFSET($A$1, 55 - 1, 60 - 1) = "1" ), 1, IF( AND( OFFSET($A$1, 55 - 1, 59 - 1) = "1", OFFSET($A$1, 55 - 1, 60 - 1) = "0" ), 2, IF( AND( OFFSET($A$1, 55 - 1, 59 - 1) = "0", OFFSET($A$1, 55 - 1, 60 - 1) = "1" ), 3, 4 ) ) )</f>
        <v>4</v>
      </c>
    </row>
    <row r="56" spans="2:61" x14ac:dyDescent="0.35">
      <c r="BA56" s="3">
        <v>0.43635320171078446</v>
      </c>
      <c r="BB56" s="3" t="str">
        <f>"0"</f>
        <v>0</v>
      </c>
      <c r="BC56" t="str">
        <f ca="1">IF((OFFSET($A$1, 56 - 1, 53 - 1)) &gt;= (OFFSET($A$1, 69 - 1, 7 - 1)), "1","0")</f>
        <v>0</v>
      </c>
      <c r="BD56">
        <f ca="1" xml:space="preserve"> IF( AND( OFFSET($A$1, 56 - 1, 54 - 1) = "1", OFFSET($A$1, 56 - 1, 55 - 1) = "1" ), 1, IF( AND( OFFSET($A$1, 56 - 1, 54 - 1) = "1", OFFSET($A$1, 56 - 1, 55 - 1) = "0" ), 2, IF( AND( OFFSET($A$1, 56 - 1, 54 - 1) = "0", OFFSET($A$1, 56 - 1, 55 - 1) = "1" ), 3, 4 ) ) )</f>
        <v>4</v>
      </c>
      <c r="BF56" s="3">
        <v>0.19886692705427356</v>
      </c>
      <c r="BG56" s="3" t="str">
        <f>"0"</f>
        <v>0</v>
      </c>
      <c r="BH56" t="str">
        <f ca="1">IF((OFFSET($A$1, 56 - 1, 58 - 1)) &gt;= (OFFSET($A$1, 93 - 1, 7 - 1)), "1","0")</f>
        <v>0</v>
      </c>
      <c r="BI56">
        <f ca="1" xml:space="preserve"> IF( AND( OFFSET($A$1, 56 - 1, 59 - 1) = "1", OFFSET($A$1, 56 - 1, 60 - 1) = "1" ), 1, IF( AND( OFFSET($A$1, 56 - 1, 59 - 1) = "1", OFFSET($A$1, 56 - 1, 60 - 1) = "0" ), 2, IF( AND( OFFSET($A$1, 56 - 1, 59 - 1) = "0", OFFSET($A$1, 56 - 1, 60 - 1) = "1" ), 3, 4 ) ) )</f>
        <v>4</v>
      </c>
    </row>
    <row r="57" spans="2:61" x14ac:dyDescent="0.35">
      <c r="BA57" s="3">
        <v>0.19901770271182559</v>
      </c>
      <c r="BB57" s="3" t="str">
        <f>"1"</f>
        <v>1</v>
      </c>
      <c r="BC57" t="str">
        <f ca="1">IF((OFFSET($A$1, 57 - 1, 53 - 1)) &gt;= (OFFSET($A$1, 69 - 1, 7 - 1)), "1","0")</f>
        <v>0</v>
      </c>
      <c r="BD57">
        <f ca="1" xml:space="preserve"> IF( AND( OFFSET($A$1, 57 - 1, 54 - 1) = "1", OFFSET($A$1, 57 - 1, 55 - 1) = "1" ), 1, IF( AND( OFFSET($A$1, 57 - 1, 54 - 1) = "1", OFFSET($A$1, 57 - 1, 55 - 1) = "0" ), 2, IF( AND( OFFSET($A$1, 57 - 1, 54 - 1) = "0", OFFSET($A$1, 57 - 1, 55 - 1) = "1" ), 3, 4 ) ) )</f>
        <v>2</v>
      </c>
      <c r="BF57" s="3">
        <v>0.19917259607548107</v>
      </c>
      <c r="BG57" s="3" t="str">
        <f>"0"</f>
        <v>0</v>
      </c>
      <c r="BH57" t="str">
        <f ca="1">IF((OFFSET($A$1, 57 - 1, 58 - 1)) &gt;= (OFFSET($A$1, 93 - 1, 7 - 1)), "1","0")</f>
        <v>0</v>
      </c>
      <c r="BI57">
        <f ca="1" xml:space="preserve"> IF( AND( OFFSET($A$1, 57 - 1, 59 - 1) = "1", OFFSET($A$1, 57 - 1, 60 - 1) = "1" ), 1, IF( AND( OFFSET($A$1, 57 - 1, 59 - 1) = "1", OFFSET($A$1, 57 - 1, 60 - 1) = "0" ), 2, IF( AND( OFFSET($A$1, 57 - 1, 59 - 1) = "0", OFFSET($A$1, 57 - 1, 60 - 1) = "1" ), 3, 4 ) ) )</f>
        <v>4</v>
      </c>
    </row>
    <row r="58" spans="2:61" ht="18.5" x14ac:dyDescent="0.45">
      <c r="B58" s="6" t="s">
        <v>78</v>
      </c>
      <c r="BA58" s="3">
        <v>0.43729660658538316</v>
      </c>
      <c r="BB58" s="3" t="str">
        <f>"0"</f>
        <v>0</v>
      </c>
      <c r="BC58" t="str">
        <f ca="1">IF((OFFSET($A$1, 58 - 1, 53 - 1)) &gt;= (OFFSET($A$1, 69 - 1, 7 - 1)), "1","0")</f>
        <v>0</v>
      </c>
      <c r="BD58">
        <f ca="1" xml:space="preserve"> IF( AND( OFFSET($A$1, 58 - 1, 54 - 1) = "1", OFFSET($A$1, 58 - 1, 55 - 1) = "1" ), 1, IF( AND( OFFSET($A$1, 58 - 1, 54 - 1) = "1", OFFSET($A$1, 58 - 1, 55 - 1) = "0" ), 2, IF( AND( OFFSET($A$1, 58 - 1, 54 - 1) = "0", OFFSET($A$1, 58 - 1, 55 - 1) = "1" ), 3, 4 ) ) )</f>
        <v>4</v>
      </c>
      <c r="BF58" s="3">
        <v>0.19949471820349821</v>
      </c>
      <c r="BG58" s="3" t="str">
        <f>"0"</f>
        <v>0</v>
      </c>
      <c r="BH58" t="str">
        <f ca="1">IF((OFFSET($A$1, 58 - 1, 58 - 1)) &gt;= (OFFSET($A$1, 93 - 1, 7 - 1)), "1","0")</f>
        <v>0</v>
      </c>
      <c r="BI58">
        <f ca="1" xml:space="preserve"> IF( AND( OFFSET($A$1, 58 - 1, 59 - 1) = "1", OFFSET($A$1, 58 - 1, 60 - 1) = "1" ), 1, IF( AND( OFFSET($A$1, 58 - 1, 59 - 1) = "1", OFFSET($A$1, 58 - 1, 60 - 1) = "0" ), 2, IF( AND( OFFSET($A$1, 58 - 1, 59 - 1) = "0", OFFSET($A$1, 58 - 1, 60 - 1) = "1" ), 3, 4 ) ) )</f>
        <v>4</v>
      </c>
    </row>
    <row r="59" spans="2:61" x14ac:dyDescent="0.35">
      <c r="BA59" s="3">
        <v>0.1996619377545345</v>
      </c>
      <c r="BB59" s="3" t="str">
        <f>"0"</f>
        <v>0</v>
      </c>
      <c r="BC59" t="str">
        <f ca="1">IF((OFFSET($A$1, 59 - 1, 53 - 1)) &gt;= (OFFSET($A$1, 69 - 1, 7 - 1)), "1","0")</f>
        <v>0</v>
      </c>
      <c r="BD59">
        <f ca="1" xml:space="preserve"> IF( AND( OFFSET($A$1, 59 - 1, 54 - 1) = "1", OFFSET($A$1, 59 - 1, 55 - 1) = "1" ), 1, IF( AND( OFFSET($A$1, 59 - 1, 54 - 1) = "1", OFFSET($A$1, 59 - 1, 55 - 1) = "0" ), 2, IF( AND( OFFSET($A$1, 59 - 1, 54 - 1) = "0", OFFSET($A$1, 59 - 1, 55 - 1) = "1" ), 3, 4 ) ) )</f>
        <v>4</v>
      </c>
      <c r="BF59" s="3">
        <v>0.19983325658145829</v>
      </c>
      <c r="BG59" s="3" t="str">
        <f>"0"</f>
        <v>0</v>
      </c>
      <c r="BH59" t="str">
        <f ca="1">IF((OFFSET($A$1, 59 - 1, 58 - 1)) &gt;= (OFFSET($A$1, 93 - 1, 7 - 1)), "1","0")</f>
        <v>0</v>
      </c>
      <c r="BI59">
        <f ca="1" xml:space="preserve"> IF( AND( OFFSET($A$1, 59 - 1, 59 - 1) = "1", OFFSET($A$1, 59 - 1, 60 - 1) = "1" ), 1, IF( AND( OFFSET($A$1, 59 - 1, 59 - 1) = "1", OFFSET($A$1, 59 - 1, 60 - 1) = "0" ), 2, IF( AND( OFFSET($A$1, 59 - 1, 59 - 1) = "0", OFFSET($A$1, 59 - 1, 60 - 1) = "1" ), 3, 4 ) ) )</f>
        <v>4</v>
      </c>
    </row>
    <row r="60" spans="2:61" ht="26" x14ac:dyDescent="0.35">
      <c r="C60" s="9" t="s">
        <v>79</v>
      </c>
      <c r="D60" s="7" t="s">
        <v>80</v>
      </c>
      <c r="E60" s="7" t="s">
        <v>81</v>
      </c>
      <c r="F60" s="7" t="s">
        <v>129</v>
      </c>
      <c r="G60" s="7" t="s">
        <v>83</v>
      </c>
      <c r="H60" s="7" t="s">
        <v>130</v>
      </c>
      <c r="I60" s="7" t="s">
        <v>84</v>
      </c>
      <c r="J60" s="7" t="s">
        <v>85</v>
      </c>
      <c r="L60" s="4" t="s">
        <v>87</v>
      </c>
      <c r="M60" s="3">
        <v>3649</v>
      </c>
      <c r="BA60" s="3">
        <v>0.20000866971499509</v>
      </c>
      <c r="BB60" s="3" t="str">
        <f>"1"</f>
        <v>1</v>
      </c>
      <c r="BC60" t="str">
        <f ca="1">IF((OFFSET($A$1, 60 - 1, 53 - 1)) &gt;= (OFFSET($A$1, 69 - 1, 7 - 1)), "1","0")</f>
        <v>0</v>
      </c>
      <c r="BD60">
        <f ca="1" xml:space="preserve"> IF( AND( OFFSET($A$1, 60 - 1, 54 - 1) = "1", OFFSET($A$1, 60 - 1, 55 - 1) = "1" ), 1, IF( AND( OFFSET($A$1, 60 - 1, 54 - 1) = "1", OFFSET($A$1, 60 - 1, 55 - 1) = "0" ), 2, IF( AND( OFFSET($A$1, 60 - 1, 54 - 1) = "0", OFFSET($A$1, 60 - 1, 55 - 1) = "1" ), 3, 4 ) ) )</f>
        <v>2</v>
      </c>
      <c r="BF60" s="3">
        <v>0.20018817203748401</v>
      </c>
      <c r="BG60" s="3" t="str">
        <f>"1"</f>
        <v>1</v>
      </c>
      <c r="BH60" t="str">
        <f ca="1">IF((OFFSET($A$1, 60 - 1, 58 - 1)) &gt;= (OFFSET($A$1, 93 - 1, 7 - 1)), "1","0")</f>
        <v>0</v>
      </c>
      <c r="BI60">
        <f ca="1" xml:space="preserve"> IF( AND( OFFSET($A$1, 60 - 1, 59 - 1) = "1", OFFSET($A$1, 60 - 1, 60 - 1) = "1" ), 1, IF( AND( OFFSET($A$1, 60 - 1, 59 - 1) = "1", OFFSET($A$1, 60 - 1, 60 - 1) = "0" ), 2, IF( AND( OFFSET($A$1, 60 - 1, 59 - 1) = "0", OFFSET($A$1, 60 - 1, 60 - 1) = "1" ), 3, 4 ) ) )</f>
        <v>2</v>
      </c>
    </row>
    <row r="61" spans="2:61" x14ac:dyDescent="0.35">
      <c r="C61" s="4" t="s">
        <v>77</v>
      </c>
      <c r="D61" s="3">
        <v>-1.0507659880841729</v>
      </c>
      <c r="E61" s="3">
        <v>4.7482995556092283E-2</v>
      </c>
      <c r="F61" s="3">
        <v>489.70641671725787</v>
      </c>
      <c r="G61" s="3">
        <v>1.6507926765433884E-108</v>
      </c>
      <c r="H61" s="3">
        <v>0.34966980359976957</v>
      </c>
      <c r="I61" s="3">
        <v>0.31859615523932316</v>
      </c>
      <c r="J61" s="3">
        <v>0.38377415903734108</v>
      </c>
      <c r="L61" s="4" t="s">
        <v>131</v>
      </c>
      <c r="M61" s="3">
        <v>4427.2148461245624</v>
      </c>
      <c r="BA61" s="3">
        <v>0.4388978304504495</v>
      </c>
      <c r="BB61" s="3" t="str">
        <f>"1"</f>
        <v>1</v>
      </c>
      <c r="BC61" t="str">
        <f ca="1">IF((OFFSET($A$1, 61 - 1, 53 - 1)) &gt;= (OFFSET($A$1, 69 - 1, 7 - 1)), "1","0")</f>
        <v>0</v>
      </c>
      <c r="BD61">
        <f ca="1" xml:space="preserve"> IF( AND( OFFSET($A$1, 61 - 1, 54 - 1) = "1", OFFSET($A$1, 61 - 1, 55 - 1) = "1" ), 1, IF( AND( OFFSET($A$1, 61 - 1, 54 - 1) = "1", OFFSET($A$1, 61 - 1, 55 - 1) = "0" ), 2, IF( AND( OFFSET($A$1, 61 - 1, 54 - 1) = "0", OFFSET($A$1, 61 - 1, 55 - 1) = "1" ), 3, 4 ) ) )</f>
        <v>2</v>
      </c>
      <c r="BF61" s="3">
        <v>0.43918619516938373</v>
      </c>
      <c r="BG61" s="3" t="str">
        <f>"0"</f>
        <v>0</v>
      </c>
      <c r="BH61" t="str">
        <f ca="1">IF((OFFSET($A$1, 61 - 1, 58 - 1)) &gt;= (OFFSET($A$1, 93 - 1, 7 - 1)), "1","0")</f>
        <v>0</v>
      </c>
      <c r="BI61">
        <f ca="1" xml:space="preserve"> IF( AND( OFFSET($A$1, 61 - 1, 59 - 1) = "1", OFFSET($A$1, 61 - 1, 60 - 1) = "1" ), 1, IF( AND( OFFSET($A$1, 61 - 1, 59 - 1) = "1", OFFSET($A$1, 61 - 1, 60 - 1) = "0" ), 2, IF( AND( OFFSET($A$1, 61 - 1, 59 - 1) = "0", OFFSET($A$1, 61 - 1, 60 - 1) = "1" ), 3, 4 ) ) )</f>
        <v>4</v>
      </c>
    </row>
    <row r="62" spans="2:61" x14ac:dyDescent="0.35">
      <c r="C62" s="4" t="s">
        <v>7</v>
      </c>
      <c r="D62" s="3">
        <v>1.1383361334529969</v>
      </c>
      <c r="E62" s="3">
        <v>7.3761148326397116E-2</v>
      </c>
      <c r="F62" s="3">
        <v>238.16925854420464</v>
      </c>
      <c r="G62" s="3">
        <v>9.8604133803082508E-54</v>
      </c>
      <c r="H62" s="3">
        <v>3.1215701656574923</v>
      </c>
      <c r="I62" s="3">
        <v>2.7013913072610891</v>
      </c>
      <c r="J62" s="3">
        <v>3.607104336543705</v>
      </c>
      <c r="L62" s="4" t="s">
        <v>132</v>
      </c>
      <c r="M62" s="3">
        <v>2</v>
      </c>
      <c r="BA62" s="3">
        <v>0.43948065201120895</v>
      </c>
      <c r="BB62" s="3" t="str">
        <f>"0"</f>
        <v>0</v>
      </c>
      <c r="BC62" t="str">
        <f ca="1">IF((OFFSET($A$1, 62 - 1, 53 - 1)) &gt;= (OFFSET($A$1, 69 - 1, 7 - 1)), "1","0")</f>
        <v>0</v>
      </c>
      <c r="BD62">
        <f ca="1" xml:space="preserve"> IF( AND( OFFSET($A$1, 62 - 1, 54 - 1) = "1", OFFSET($A$1, 62 - 1, 55 - 1) = "1" ), 1, IF( AND( OFFSET($A$1, 62 - 1, 54 - 1) = "1", OFFSET($A$1, 62 - 1, 55 - 1) = "0" ), 2, IF( AND( OFFSET($A$1, 62 - 1, 54 - 1) = "0", OFFSET($A$1, 62 - 1, 55 - 1) = "1" ), 3, 4 ) ) )</f>
        <v>4</v>
      </c>
      <c r="BF62" s="3">
        <v>0.20094696556203748</v>
      </c>
      <c r="BG62" s="3" t="str">
        <f>"0"</f>
        <v>0</v>
      </c>
      <c r="BH62" t="str">
        <f ca="1">IF((OFFSET($A$1, 62 - 1, 58 - 1)) &gt;= (OFFSET($A$1, 93 - 1, 7 - 1)), "1","0")</f>
        <v>0</v>
      </c>
      <c r="BI62">
        <f ca="1" xml:space="preserve"> IF( AND( OFFSET($A$1, 62 - 1, 59 - 1) = "1", OFFSET($A$1, 62 - 1, 60 - 1) = "1" ), 1, IF( AND( OFFSET($A$1, 62 - 1, 59 - 1) = "1", OFFSET($A$1, 62 - 1, 60 - 1) = "0" ), 2, IF( AND( OFFSET($A$1, 62 - 1, 59 - 1) = "0", OFFSET($A$1, 62 - 1, 60 - 1) = "1" ), 3, 4 ) ) )</f>
        <v>4</v>
      </c>
    </row>
    <row r="63" spans="2:61" x14ac:dyDescent="0.35">
      <c r="C63" s="4" t="s">
        <v>9</v>
      </c>
      <c r="D63" s="3">
        <v>-0.22182574219234077</v>
      </c>
      <c r="E63" s="3">
        <v>5.133564038061008E-2</v>
      </c>
      <c r="F63" s="3">
        <v>18.671788468906673</v>
      </c>
      <c r="G63" s="3">
        <v>1.5526279473128698E-5</v>
      </c>
      <c r="H63" s="3">
        <v>0.80105494225108642</v>
      </c>
      <c r="I63" s="3">
        <v>0.72437812671818269</v>
      </c>
      <c r="J63" s="3">
        <v>0.88584814592909245</v>
      </c>
      <c r="L63" s="4" t="s">
        <v>133</v>
      </c>
      <c r="M63" s="3">
        <v>6.8713839233057739E-2</v>
      </c>
      <c r="BA63" s="3">
        <v>0.20114683173487774</v>
      </c>
      <c r="BB63" s="3" t="str">
        <f>"0"</f>
        <v>0</v>
      </c>
      <c r="BC63" t="str">
        <f ca="1">IF((OFFSET($A$1, 63 - 1, 53 - 1)) &gt;= (OFFSET($A$1, 69 - 1, 7 - 1)), "1","0")</f>
        <v>0</v>
      </c>
      <c r="BD63">
        <f ca="1" xml:space="preserve"> IF( AND( OFFSET($A$1, 63 - 1, 54 - 1) = "1", OFFSET($A$1, 63 - 1, 55 - 1) = "1" ), 1, IF( AND( OFFSET($A$1, 63 - 1, 54 - 1) = "1", OFFSET($A$1, 63 - 1, 55 - 1) = "0" ), 2, IF( AND( OFFSET($A$1, 63 - 1, 54 - 1) = "0", OFFSET($A$1, 63 - 1, 55 - 1) = "1" ), 3, 4 ) ) )</f>
        <v>4</v>
      </c>
      <c r="BF63" s="3">
        <v>0.20135075316492695</v>
      </c>
      <c r="BG63" s="3" t="str">
        <f>"0"</f>
        <v>0</v>
      </c>
      <c r="BH63" t="str">
        <f ca="1">IF((OFFSET($A$1, 63 - 1, 58 - 1)) &gt;= (OFFSET($A$1, 93 - 1, 7 - 1)), "1","0")</f>
        <v>0</v>
      </c>
      <c r="BI63">
        <f ca="1" xml:space="preserve"> IF( AND( OFFSET($A$1, 63 - 1, 59 - 1) = "1", OFFSET($A$1, 63 - 1, 60 - 1) = "1" ), 1, IF( AND( OFFSET($A$1, 63 - 1, 59 - 1) = "1", OFFSET($A$1, 63 - 1, 60 - 1) = "0" ), 2, IF( AND( OFFSET($A$1, 63 - 1, 59 - 1) = "0", OFFSET($A$1, 63 - 1, 60 - 1) = "1" ), 3, 4 ) ) )</f>
        <v>4</v>
      </c>
    </row>
    <row r="64" spans="2:61" x14ac:dyDescent="0.35">
      <c r="C64" s="4" t="s">
        <v>10</v>
      </c>
      <c r="D64" s="3">
        <v>-0.28277728081495396</v>
      </c>
      <c r="E64" s="3">
        <v>5.1543059754188811E-2</v>
      </c>
      <c r="F64" s="3">
        <v>30.098762210042629</v>
      </c>
      <c r="G64" s="3">
        <v>4.1059320322401333E-8</v>
      </c>
      <c r="H64" s="3">
        <v>0.75368762986290871</v>
      </c>
      <c r="I64" s="3">
        <v>0.68126778863611126</v>
      </c>
      <c r="J64" s="3">
        <v>0.83380581451764701</v>
      </c>
      <c r="BA64" s="3">
        <v>0.20155872364025992</v>
      </c>
      <c r="BB64" s="3" t="str">
        <f>"1"</f>
        <v>1</v>
      </c>
      <c r="BC64" t="str">
        <f ca="1">IF((OFFSET($A$1, 64 - 1, 53 - 1)) &gt;= (OFFSET($A$1, 69 - 1, 7 - 1)), "1","0")</f>
        <v>0</v>
      </c>
      <c r="BD64">
        <f ca="1" xml:space="preserve"> IF( AND( OFFSET($A$1, 64 - 1, 54 - 1) = "1", OFFSET($A$1, 64 - 1, 55 - 1) = "1" ), 1, IF( AND( OFFSET($A$1, 64 - 1, 54 - 1) = "1", OFFSET($A$1, 64 - 1, 55 - 1) = "0" ), 2, IF( AND( OFFSET($A$1, 64 - 1, 54 - 1) = "0", OFFSET($A$1, 64 - 1, 55 - 1) = "1" ), 3, 4 ) ) )</f>
        <v>2</v>
      </c>
      <c r="BF64" s="3">
        <v>0.20177073678428295</v>
      </c>
      <c r="BG64" s="3" t="str">
        <f>"1"</f>
        <v>1</v>
      </c>
      <c r="BH64" t="str">
        <f ca="1">IF((OFFSET($A$1, 64 - 1, 58 - 1)) &gt;= (OFFSET($A$1, 93 - 1, 7 - 1)), "1","0")</f>
        <v>0</v>
      </c>
      <c r="BI64">
        <f ca="1" xml:space="preserve"> IF( AND( OFFSET($A$1, 64 - 1, 59 - 1) = "1", OFFSET($A$1, 64 - 1, 60 - 1) = "1" ), 1, IF( AND( OFFSET($A$1, 64 - 1, 59 - 1) = "1", OFFSET($A$1, 64 - 1, 60 - 1) = "0" ), 2, IF( AND( OFFSET($A$1, 64 - 1, 59 - 1) = "0", OFFSET($A$1, 64 - 1, 60 - 1) = "1" ), 3, 4 ) ) )</f>
        <v>2</v>
      </c>
    </row>
    <row r="65" spans="2:61" x14ac:dyDescent="0.35">
      <c r="BA65" s="3">
        <v>0.44137421346389039</v>
      </c>
      <c r="BB65" s="3" t="str">
        <f>"0"</f>
        <v>0</v>
      </c>
      <c r="BC65" t="str">
        <f ca="1">IF((OFFSET($A$1, 65 - 1, 53 - 1)) &gt;= (OFFSET($A$1, 69 - 1, 7 - 1)), "1","0")</f>
        <v>0</v>
      </c>
      <c r="BD65">
        <f ca="1" xml:space="preserve"> IF( AND( OFFSET($A$1, 65 - 1, 54 - 1) = "1", OFFSET($A$1, 65 - 1, 55 - 1) = "1" ), 1, IF( AND( OFFSET($A$1, 65 - 1, 54 - 1) = "1", OFFSET($A$1, 65 - 1, 55 - 1) = "0" ), 2, IF( AND( OFFSET($A$1, 65 - 1, 54 - 1) = "0", OFFSET($A$1, 65 - 1, 55 - 1) = "1" ), 3, 4 ) ) )</f>
        <v>4</v>
      </c>
      <c r="BF65" s="3">
        <v>0.44171074901212548</v>
      </c>
      <c r="BG65" s="3" t="str">
        <f>"1"</f>
        <v>1</v>
      </c>
      <c r="BH65" t="str">
        <f ca="1">IF((OFFSET($A$1, 65 - 1, 58 - 1)) &gt;= (OFFSET($A$1, 93 - 1, 7 - 1)), "1","0")</f>
        <v>0</v>
      </c>
      <c r="BI65">
        <f ca="1" xml:space="preserve"> IF( AND( OFFSET($A$1, 65 - 1, 59 - 1) = "1", OFFSET($A$1, 65 - 1, 60 - 1) = "1" ), 1, IF( AND( OFFSET($A$1, 65 - 1, 59 - 1) = "1", OFFSET($A$1, 65 - 1, 60 - 1) = "0" ), 2, IF( AND( OFFSET($A$1, 65 - 1, 59 - 1) = "0", OFFSET($A$1, 65 - 1, 60 - 1) = "1" ), 3, 4 ) ) )</f>
        <v>2</v>
      </c>
    </row>
    <row r="66" spans="2:61" x14ac:dyDescent="0.35">
      <c r="BA66" s="3">
        <v>0.2024309659464949</v>
      </c>
      <c r="BB66" s="3" t="str">
        <f>"1"</f>
        <v>1</v>
      </c>
      <c r="BC66" t="str">
        <f ca="1">IF((OFFSET($A$1, 66 - 1, 53 - 1)) &gt;= (OFFSET($A$1, 69 - 1, 7 - 1)), "1","0")</f>
        <v>0</v>
      </c>
      <c r="BD66">
        <f ca="1" xml:space="preserve"> IF( AND( OFFSET($A$1, 66 - 1, 54 - 1) = "1", OFFSET($A$1, 66 - 1, 55 - 1) = "1" ), 1, IF( AND( OFFSET($A$1, 66 - 1, 54 - 1) = "1", OFFSET($A$1, 66 - 1, 55 - 1) = "0" ), 2, IF( AND( OFFSET($A$1, 66 - 1, 54 - 1) = "0", OFFSET($A$1, 66 - 1, 55 - 1) = "1" ), 3, 4 ) ) )</f>
        <v>2</v>
      </c>
      <c r="BF66" s="3">
        <v>0.44240157283180287</v>
      </c>
      <c r="BG66" s="3" t="str">
        <f>"1"</f>
        <v>1</v>
      </c>
      <c r="BH66" t="str">
        <f ca="1">IF((OFFSET($A$1, 66 - 1, 58 - 1)) &gt;= (OFFSET($A$1, 93 - 1, 7 - 1)), "1","0")</f>
        <v>0</v>
      </c>
      <c r="BI66">
        <f ca="1" xml:space="preserve"> IF( AND( OFFSET($A$1, 66 - 1, 59 - 1) = "1", OFFSET($A$1, 66 - 1, 60 - 1) = "1" ), 1, IF( AND( OFFSET($A$1, 66 - 1, 59 - 1) = "1", OFFSET($A$1, 66 - 1, 60 - 1) = "0" ), 2, IF( AND( OFFSET($A$1, 66 - 1, 59 - 1) = "0", OFFSET($A$1, 66 - 1, 60 - 1) = "1" ), 3, 4 ) ) )</f>
        <v>2</v>
      </c>
    </row>
    <row r="67" spans="2:61" ht="18.5" x14ac:dyDescent="0.45">
      <c r="B67" s="6" t="s">
        <v>92</v>
      </c>
      <c r="BA67" s="3">
        <v>0.44275581503796374</v>
      </c>
      <c r="BB67" s="3" t="str">
        <f>"0"</f>
        <v>0</v>
      </c>
      <c r="BC67" t="str">
        <f ca="1">IF((OFFSET($A$1, 67 - 1, 53 - 1)) &gt;= (OFFSET($A$1, 69 - 1, 7 - 1)), "1","0")</f>
        <v>0</v>
      </c>
      <c r="BD67">
        <f ca="1" xml:space="preserve"> IF( AND( OFFSET($A$1, 67 - 1, 54 - 1) = "1", OFFSET($A$1, 67 - 1, 55 - 1) = "1" ), 1, IF( AND( OFFSET($A$1, 67 - 1, 54 - 1) = "1", OFFSET($A$1, 67 - 1, 55 - 1) = "0" ), 2, IF( AND( OFFSET($A$1, 67 - 1, 54 - 1) = "0", OFFSET($A$1, 67 - 1, 55 - 1) = "1" ), 3, 4 ) ) )</f>
        <v>4</v>
      </c>
      <c r="BF67" s="3">
        <v>0.4431159126742239</v>
      </c>
      <c r="BG67" s="3" t="str">
        <f>"1"</f>
        <v>1</v>
      </c>
      <c r="BH67" t="str">
        <f ca="1">IF((OFFSET($A$1, 67 - 1, 58 - 1)) &gt;= (OFFSET($A$1, 93 - 1, 7 - 1)), "1","0")</f>
        <v>0</v>
      </c>
      <c r="BI67">
        <f ca="1" xml:space="preserve"> IF( AND( OFFSET($A$1, 67 - 1, 59 - 1) = "1", OFFSET($A$1, 67 - 1, 60 - 1) = "1" ), 1, IF( AND( OFFSET($A$1, 67 - 1, 59 - 1) = "1", OFFSET($A$1, 67 - 1, 60 - 1) = "0" ), 2, IF( AND( OFFSET($A$1, 67 - 1, 59 - 1) = "0", OFFSET($A$1, 67 - 1, 60 - 1) = "1" ), 3, 4 ) ) )</f>
        <v>2</v>
      </c>
    </row>
    <row r="68" spans="2:61" x14ac:dyDescent="0.35">
      <c r="BA68" s="3">
        <v>0.20336745227963873</v>
      </c>
      <c r="BB68" s="3" t="str">
        <f>"0"</f>
        <v>0</v>
      </c>
      <c r="BC68" t="str">
        <f ca="1">IF((OFFSET($A$1, 68 - 1, 53 - 1)) &gt;= (OFFSET($A$1, 69 - 1, 7 - 1)), "1","0")</f>
        <v>0</v>
      </c>
      <c r="BD68">
        <f ca="1" xml:space="preserve"> IF( AND( OFFSET($A$1, 68 - 1, 54 - 1) = "1", OFFSET($A$1, 68 - 1, 55 - 1) = "1" ), 1, IF( AND( OFFSET($A$1, 68 - 1, 54 - 1) = "1", OFFSET($A$1, 68 - 1, 55 - 1) = "0" ), 2, IF( AND( OFFSET($A$1, 68 - 1, 54 - 1) = "0", OFFSET($A$1, 68 - 1, 55 - 1) = "1" ), 3, 4 ) ) )</f>
        <v>4</v>
      </c>
      <c r="BF68" s="3">
        <v>0.44385357732587255</v>
      </c>
      <c r="BG68" s="3" t="str">
        <f>"1"</f>
        <v>1</v>
      </c>
      <c r="BH68" t="str">
        <f ca="1">IF((OFFSET($A$1, 68 - 1, 58 - 1)) &gt;= (OFFSET($A$1, 93 - 1, 7 - 1)), "1","0")</f>
        <v>0</v>
      </c>
      <c r="BI68">
        <f ca="1" xml:space="preserve"> IF( AND( OFFSET($A$1, 68 - 1, 59 - 1) = "1", OFFSET($A$1, 68 - 1, 60 - 1) = "1" ), 1, IF( AND( OFFSET($A$1, 68 - 1, 59 - 1) = "1", OFFSET($A$1, 68 - 1, 60 - 1) = "0" ), 2, IF( AND( OFFSET($A$1, 68 - 1, 59 - 1) = "0", OFFSET($A$1, 68 - 1, 60 - 1) = "1" ), 3, 4 ) ) )</f>
        <v>2</v>
      </c>
    </row>
    <row r="69" spans="2:61" x14ac:dyDescent="0.35">
      <c r="C69" s="33" t="s">
        <v>134</v>
      </c>
      <c r="D69" s="34"/>
      <c r="E69" s="34"/>
      <c r="F69" s="35"/>
      <c r="G69" s="32">
        <v>0.5</v>
      </c>
      <c r="H69" s="33" t="s">
        <v>135</v>
      </c>
      <c r="I69" s="34"/>
      <c r="J69" s="34"/>
      <c r="K69" s="34"/>
      <c r="L69" s="34"/>
      <c r="M69" s="35"/>
      <c r="BA69" s="3">
        <v>0.20385963866367843</v>
      </c>
      <c r="BB69" s="3" t="str">
        <f>"0"</f>
        <v>0</v>
      </c>
      <c r="BC69" t="str">
        <f ca="1">IF((OFFSET($A$1, 69 - 1, 53 - 1)) &gt;= (OFFSET($A$1, 69 - 1, 7 - 1)), "1","0")</f>
        <v>0</v>
      </c>
      <c r="BD69">
        <f ca="1" xml:space="preserve"> IF( AND( OFFSET($A$1, 69 - 1, 54 - 1) = "1", OFFSET($A$1, 69 - 1, 55 - 1) = "1" ), 1, IF( AND( OFFSET($A$1, 69 - 1, 54 - 1) = "1", OFFSET($A$1, 69 - 1, 55 - 1) = "0" ), 2, IF( AND( OFFSET($A$1, 69 - 1, 54 - 1) = "0", OFFSET($A$1, 69 - 1, 55 - 1) = "1" ), 3, 4 ) ) )</f>
        <v>4</v>
      </c>
      <c r="BF69" s="3">
        <v>0.44461436861187698</v>
      </c>
      <c r="BG69" s="3" t="str">
        <f>"0"</f>
        <v>0</v>
      </c>
      <c r="BH69" t="str">
        <f ca="1">IF((OFFSET($A$1, 69 - 1, 58 - 1)) &gt;= (OFFSET($A$1, 93 - 1, 7 - 1)), "1","0")</f>
        <v>0</v>
      </c>
      <c r="BI69">
        <f ca="1" xml:space="preserve"> IF( AND( OFFSET($A$1, 69 - 1, 59 - 1) = "1", OFFSET($A$1, 69 - 1, 60 - 1) = "1" ), 1, IF( AND( OFFSET($A$1, 69 - 1, 59 - 1) = "1", OFFSET($A$1, 69 - 1, 60 - 1) = "0" ), 2, IF( AND( OFFSET($A$1, 69 - 1, 59 - 1) = "0", OFFSET($A$1, 69 - 1, 60 - 1) = "1" ), 3, 4 ) ) )</f>
        <v>4</v>
      </c>
    </row>
    <row r="70" spans="2:61" x14ac:dyDescent="0.35">
      <c r="BA70" s="3">
        <v>0.2043677022638237</v>
      </c>
      <c r="BB70" s="3" t="str">
        <f>"0"</f>
        <v>0</v>
      </c>
      <c r="BC70" t="str">
        <f ca="1">IF((OFFSET($A$1, 70 - 1, 53 - 1)) &gt;= (OFFSET($A$1, 69 - 1, 7 - 1)), "1","0")</f>
        <v>0</v>
      </c>
      <c r="BD70">
        <f ca="1" xml:space="preserve"> IF( AND( OFFSET($A$1, 70 - 1, 54 - 1) = "1", OFFSET($A$1, 70 - 1, 55 - 1) = "1" ), 1, IF( AND( OFFSET($A$1, 70 - 1, 54 - 1) = "1", OFFSET($A$1, 70 - 1, 55 - 1) = "0" ), 2, IF( AND( OFFSET($A$1, 70 - 1, 54 - 1) = "0", OFFSET($A$1, 70 - 1, 55 - 1) = "1" ), 3, 4 ) ) )</f>
        <v>4</v>
      </c>
      <c r="BF70" s="3">
        <v>0.20462766705305663</v>
      </c>
      <c r="BG70" s="3" t="str">
        <f>"1"</f>
        <v>1</v>
      </c>
      <c r="BH70" t="str">
        <f ca="1">IF((OFFSET($A$1, 70 - 1, 58 - 1)) &gt;= (OFFSET($A$1, 93 - 1, 7 - 1)), "1","0")</f>
        <v>0</v>
      </c>
      <c r="BI70">
        <f ca="1" xml:space="preserve"> IF( AND( OFFSET($A$1, 70 - 1, 59 - 1) = "1", OFFSET($A$1, 70 - 1, 60 - 1) = "1" ), 1, IF( AND( OFFSET($A$1, 70 - 1, 59 - 1) = "1", OFFSET($A$1, 70 - 1, 60 - 1) = "0" ), 2, IF( AND( OFFSET($A$1, 70 - 1, 59 - 1) = "0", OFFSET($A$1, 70 - 1, 60 - 1) = "1" ), 3, 4 ) ) )</f>
        <v>2</v>
      </c>
    </row>
    <row r="71" spans="2:61" ht="15.5" x14ac:dyDescent="0.35">
      <c r="C71" s="12" t="s">
        <v>136</v>
      </c>
      <c r="D71" s="13"/>
      <c r="E71" s="14"/>
      <c r="BA71" s="3">
        <v>0.20489157559873739</v>
      </c>
      <c r="BB71" s="3" t="str">
        <f>"0"</f>
        <v>0</v>
      </c>
      <c r="BC71" t="str">
        <f ca="1">IF((OFFSET($A$1, 71 - 1, 53 - 1)) &gt;= (OFFSET($A$1, 69 - 1, 7 - 1)), "1","0")</f>
        <v>0</v>
      </c>
      <c r="BD71">
        <f ca="1" xml:space="preserve"> IF( AND( OFFSET($A$1, 71 - 1, 54 - 1) = "1", OFFSET($A$1, 71 - 1, 55 - 1) = "1" ), 1, IF( AND( OFFSET($A$1, 71 - 1, 54 - 1) = "1", OFFSET($A$1, 71 - 1, 55 - 1) = "0" ), 2, IF( AND( OFFSET($A$1, 71 - 1, 54 - 1) = "0", OFFSET($A$1, 71 - 1, 55 - 1) = "1" ), 3, 4 ) ) )</f>
        <v>4</v>
      </c>
      <c r="BF71" s="3">
        <v>0.44620450353546537</v>
      </c>
      <c r="BG71" s="3" t="str">
        <f>"0"</f>
        <v>0</v>
      </c>
      <c r="BH71" t="str">
        <f ca="1">IF((OFFSET($A$1, 71 - 1, 58 - 1)) &gt;= (OFFSET($A$1, 93 - 1, 7 - 1)), "1","0")</f>
        <v>0</v>
      </c>
      <c r="BI71">
        <f ca="1" xml:space="preserve"> IF( AND( OFFSET($A$1, 71 - 1, 59 - 1) = "1", OFFSET($A$1, 71 - 1, 60 - 1) = "1" ), 1, IF( AND( OFFSET($A$1, 71 - 1, 59 - 1) = "1", OFFSET($A$1, 71 - 1, 60 - 1) = "0" ), 2, IF( AND( OFFSET($A$1, 71 - 1, 59 - 1) = "0", OFFSET($A$1, 71 - 1, 60 - 1) = "1" ), 3, 4 ) ) )</f>
        <v>4</v>
      </c>
    </row>
    <row r="72" spans="2:61" x14ac:dyDescent="0.35">
      <c r="C72" s="11"/>
      <c r="D72" s="36" t="s">
        <v>137</v>
      </c>
      <c r="E72" s="37"/>
      <c r="BA72" s="3">
        <v>0.20543118806448812</v>
      </c>
      <c r="BB72" s="3" t="str">
        <f>"0"</f>
        <v>0</v>
      </c>
      <c r="BC72" t="str">
        <f ca="1">IF((OFFSET($A$1, 72 - 1, 53 - 1)) &gt;= (OFFSET($A$1, 69 - 1, 7 - 1)), "1","0")</f>
        <v>0</v>
      </c>
      <c r="BD72">
        <f ca="1" xml:space="preserve"> IF( AND( OFFSET($A$1, 72 - 1, 54 - 1) = "1", OFFSET($A$1, 72 - 1, 55 - 1) = "1" ), 1, IF( AND( OFFSET($A$1, 72 - 1, 54 - 1) = "1", OFFSET($A$1, 72 - 1, 55 - 1) = "0" ), 2, IF( AND( OFFSET($A$1, 72 - 1, 54 - 1) = "0", OFFSET($A$1, 72 - 1, 55 - 1) = "1" ), 3, 4 ) ) )</f>
        <v>4</v>
      </c>
      <c r="BF72" s="3">
        <v>0.20570687353407535</v>
      </c>
      <c r="BG72" s="3" t="str">
        <f>"0"</f>
        <v>0</v>
      </c>
      <c r="BH72" t="str">
        <f ca="1">IF((OFFSET($A$1, 72 - 1, 58 - 1)) &gt;= (OFFSET($A$1, 93 - 1, 7 - 1)), "1","0")</f>
        <v>0</v>
      </c>
      <c r="BI72">
        <f ca="1" xml:space="preserve"> IF( AND( OFFSET($A$1, 72 - 1, 59 - 1) = "1", OFFSET($A$1, 72 - 1, 60 - 1) = "1" ), 1, IF( AND( OFFSET($A$1, 72 - 1, 59 - 1) = "1", OFFSET($A$1, 72 - 1, 60 - 1) = "0" ), 2, IF( AND( OFFSET($A$1, 72 - 1, 59 - 1) = "0", OFFSET($A$1, 72 - 1, 60 - 1) = "1" ), 3, 4 ) ) )</f>
        <v>4</v>
      </c>
    </row>
    <row r="73" spans="2:61" x14ac:dyDescent="0.35">
      <c r="C73" s="4" t="s">
        <v>138</v>
      </c>
      <c r="D73" s="11">
        <v>1</v>
      </c>
      <c r="E73" s="11">
        <v>0</v>
      </c>
      <c r="BA73" s="3">
        <v>0.20598646585404251</v>
      </c>
      <c r="BB73" s="3" t="str">
        <f>"0"</f>
        <v>0</v>
      </c>
      <c r="BC73" t="str">
        <f ca="1">IF((OFFSET($A$1, 73 - 1, 53 - 1)) &gt;= (OFFSET($A$1, 69 - 1, 7 - 1)), "1","0")</f>
        <v>0</v>
      </c>
      <c r="BD73">
        <f ca="1" xml:space="preserve"> IF( AND( OFFSET($A$1, 73 - 1, 54 - 1) = "1", OFFSET($A$1, 73 - 1, 55 - 1) = "1" ), 1, IF( AND( OFFSET($A$1, 73 - 1, 54 - 1) = "1", OFFSET($A$1, 73 - 1, 55 - 1) = "0" ), 2, IF( AND( OFFSET($A$1, 73 - 1, 54 - 1) = "0", OFFSET($A$1, 73 - 1, 55 - 1) = "1" ), 3, 4 ) ) )</f>
        <v>4</v>
      </c>
      <c r="BF73" s="3">
        <v>0.20626995528463457</v>
      </c>
      <c r="BG73" s="3" t="str">
        <f>"0"</f>
        <v>0</v>
      </c>
      <c r="BH73" t="str">
        <f ca="1">IF((OFFSET($A$1, 73 - 1, 58 - 1)) &gt;= (OFFSET($A$1, 93 - 1, 7 - 1)), "1","0")</f>
        <v>0</v>
      </c>
      <c r="BI73">
        <f ca="1" xml:space="preserve"> IF( AND( OFFSET($A$1, 73 - 1, 59 - 1) = "1", OFFSET($A$1, 73 - 1, 60 - 1) = "1" ), 1, IF( AND( OFFSET($A$1, 73 - 1, 59 - 1) = "1", OFFSET($A$1, 73 - 1, 60 - 1) = "0" ), 2, IF( AND( OFFSET($A$1, 73 - 1, 59 - 1) = "0", OFFSET($A$1, 73 - 1, 60 - 1) = "1" ), 3, 4 ) ) )</f>
        <v>4</v>
      </c>
    </row>
    <row r="74" spans="2:61" x14ac:dyDescent="0.35">
      <c r="C74" s="4">
        <v>1</v>
      </c>
      <c r="D74" s="3">
        <f ca="1" xml:space="preserve"> COUNTIF( OFFSET($A$1, 1 - 1, 56 - 1, 3654, 1), 1 )</f>
        <v>492</v>
      </c>
      <c r="E74" s="3">
        <f ca="1" xml:space="preserve"> COUNTIF( OFFSET($A$1, 1 - 1, 56 - 1, 3654, 1), 2 )</f>
        <v>806</v>
      </c>
      <c r="BA74" s="3">
        <v>0.20655733187564695</v>
      </c>
      <c r="BB74" s="3" t="str">
        <f>"0"</f>
        <v>0</v>
      </c>
      <c r="BC74" t="str">
        <f ca="1">IF((OFFSET($A$1, 74 - 1, 53 - 1)) &gt;= (OFFSET($A$1, 69 - 1, 7 - 1)), "1","0")</f>
        <v>0</v>
      </c>
      <c r="BD74">
        <f ca="1" xml:space="preserve"> IF( AND( OFFSET($A$1, 74 - 1, 54 - 1) = "1", OFFSET($A$1, 74 - 1, 55 - 1) = "1" ), 1, IF( AND( OFFSET($A$1, 74 - 1, 54 - 1) = "1", OFFSET($A$1, 74 - 1, 55 - 1) = "0" ), 2, IF( AND( OFFSET($A$1, 74 - 1, 54 - 1) = "0", OFFSET($A$1, 74 - 1, 55 - 1) = "1" ), 3, 4 ) ) )</f>
        <v>4</v>
      </c>
      <c r="BF74" s="3">
        <v>0.2068485854638214</v>
      </c>
      <c r="BG74" s="3" t="str">
        <f>"0"</f>
        <v>0</v>
      </c>
      <c r="BH74" t="str">
        <f ca="1">IF((OFFSET($A$1, 74 - 1, 58 - 1)) &gt;= (OFFSET($A$1, 93 - 1, 7 - 1)), "1","0")</f>
        <v>0</v>
      </c>
      <c r="BI74">
        <f ca="1" xml:space="preserve"> IF( AND( OFFSET($A$1, 74 - 1, 59 - 1) = "1", OFFSET($A$1, 74 - 1, 60 - 1) = "1" ), 1, IF( AND( OFFSET($A$1, 74 - 1, 59 - 1) = "1", OFFSET($A$1, 74 - 1, 60 - 1) = "0" ), 2, IF( AND( OFFSET($A$1, 74 - 1, 59 - 1) = "0", OFFSET($A$1, 74 - 1, 60 - 1) = "1" ), 3, 4 ) ) )</f>
        <v>4</v>
      </c>
    </row>
    <row r="75" spans="2:61" x14ac:dyDescent="0.35">
      <c r="C75" s="4">
        <v>0</v>
      </c>
      <c r="D75" s="3">
        <f ca="1" xml:space="preserve"> COUNTIF( OFFSET($A$1, 1 - 1, 56 - 1, 3654, 1), 3 )</f>
        <v>375</v>
      </c>
      <c r="E75" s="3">
        <f ca="1" xml:space="preserve"> COUNTIF( OFFSET($A$1, 1 - 1, 56 - 1, 3654, 1), 4 )</f>
        <v>1980</v>
      </c>
      <c r="BA75" s="3">
        <v>0.20714370567023419</v>
      </c>
      <c r="BB75" s="3" t="str">
        <f>"0"</f>
        <v>0</v>
      </c>
      <c r="BC75" t="str">
        <f ca="1">IF((OFFSET($A$1, 75 - 1, 53 - 1)) &gt;= (OFFSET($A$1, 69 - 1, 7 - 1)), "1","0")</f>
        <v>0</v>
      </c>
      <c r="BD75">
        <f ca="1" xml:space="preserve"> IF( AND( OFFSET($A$1, 75 - 1, 54 - 1) = "1", OFFSET($A$1, 75 - 1, 55 - 1) = "1" ), 1, IF( AND( OFFSET($A$1, 75 - 1, 54 - 1) = "1", OFFSET($A$1, 75 - 1, 55 - 1) = "0" ), 2, IF( AND( OFFSET($A$1, 75 - 1, 54 - 1) = "0", OFFSET($A$1, 75 - 1, 55 - 1) = "1" ), 3, 4 ) ) )</f>
        <v>4</v>
      </c>
      <c r="BF75" s="3">
        <v>0.20744268189767104</v>
      </c>
      <c r="BG75" s="3" t="str">
        <f>"0"</f>
        <v>0</v>
      </c>
      <c r="BH75" t="str">
        <f ca="1">IF((OFFSET($A$1, 75 - 1, 58 - 1)) &gt;= (OFFSET($A$1, 93 - 1, 7 - 1)), "1","0")</f>
        <v>0</v>
      </c>
      <c r="BI75">
        <f ca="1" xml:space="preserve"> IF( AND( OFFSET($A$1, 75 - 1, 59 - 1) = "1", OFFSET($A$1, 75 - 1, 60 - 1) = "1" ), 1, IF( AND( OFFSET($A$1, 75 - 1, 59 - 1) = "1", OFFSET($A$1, 75 - 1, 60 - 1) = "0" ), 2, IF( AND( OFFSET($A$1, 75 - 1, 59 - 1) = "0", OFFSET($A$1, 75 - 1, 60 - 1) = "1" ), 3, 4 ) ) )</f>
        <v>4</v>
      </c>
    </row>
    <row r="76" spans="2:61" x14ac:dyDescent="0.35">
      <c r="BA76" s="3">
        <v>0.20774550332799274</v>
      </c>
      <c r="BB76" s="3" t="str">
        <f>"0"</f>
        <v>0</v>
      </c>
      <c r="BC76" t="str">
        <f ca="1">IF((OFFSET($A$1, 76 - 1, 53 - 1)) &gt;= (OFFSET($A$1, 69 - 1, 7 - 1)), "1","0")</f>
        <v>0</v>
      </c>
      <c r="BD76">
        <f ca="1" xml:space="preserve"> IF( AND( OFFSET($A$1, 76 - 1, 54 - 1) = "1", OFFSET($A$1, 76 - 1, 55 - 1) = "1" ), 1, IF( AND( OFFSET($A$1, 76 - 1, 54 - 1) = "1", OFFSET($A$1, 76 - 1, 55 - 1) = "0" ), 2, IF( AND( OFFSET($A$1, 76 - 1, 54 - 1) = "0", OFFSET($A$1, 76 - 1, 55 - 1) = "1" ), 3, 4 ) ) )</f>
        <v>4</v>
      </c>
      <c r="BF76" s="3">
        <v>0.20805215891949186</v>
      </c>
      <c r="BG76" s="3" t="str">
        <f>"0"</f>
        <v>0</v>
      </c>
      <c r="BH76" t="str">
        <f ca="1">IF((OFFSET($A$1, 76 - 1, 58 - 1)) &gt;= (OFFSET($A$1, 93 - 1, 7 - 1)), "1","0")</f>
        <v>0</v>
      </c>
      <c r="BI76">
        <f ca="1" xml:space="preserve"> IF( AND( OFFSET($A$1, 76 - 1, 59 - 1) = "1", OFFSET($A$1, 76 - 1, 60 - 1) = "1" ), 1, IF( AND( OFFSET($A$1, 76 - 1, 59 - 1) = "1", OFFSET($A$1, 76 - 1, 60 - 1) = "0" ), 2, IF( AND( OFFSET($A$1, 76 - 1, 59 - 1) = "0", OFFSET($A$1, 76 - 1, 60 - 1) = "1" ), 3, 4 ) ) )</f>
        <v>4</v>
      </c>
    </row>
    <row r="77" spans="2:61" ht="15.5" x14ac:dyDescent="0.35">
      <c r="C77" s="12" t="s">
        <v>139</v>
      </c>
      <c r="D77" s="13"/>
      <c r="E77" s="13"/>
      <c r="F77" s="14"/>
      <c r="BA77" s="3">
        <v>0.2083626374042423</v>
      </c>
      <c r="BB77" s="3" t="str">
        <f>"0"</f>
        <v>0</v>
      </c>
      <c r="BC77" t="str">
        <f ca="1">IF((OFFSET($A$1, 77 - 1, 53 - 1)) &gt;= (OFFSET($A$1, 69 - 1, 7 - 1)), "1","0")</f>
        <v>0</v>
      </c>
      <c r="BD77">
        <f ca="1" xml:space="preserve"> IF( AND( OFFSET($A$1, 77 - 1, 54 - 1) = "1", OFFSET($A$1, 77 - 1, 55 - 1) = "1" ), 1, IF( AND( OFFSET($A$1, 77 - 1, 54 - 1) = "1", OFFSET($A$1, 77 - 1, 55 - 1) = "0" ), 2, IF( AND( OFFSET($A$1, 77 - 1, 54 - 1) = "0", OFFSET($A$1, 77 - 1, 55 - 1) = "1" ), 3, 4 ) ) )</f>
        <v>4</v>
      </c>
      <c r="BF77" s="3">
        <v>0.20867692728544418</v>
      </c>
      <c r="BG77" s="3" t="str">
        <f>"0"</f>
        <v>0</v>
      </c>
      <c r="BH77" t="str">
        <f ca="1">IF((OFFSET($A$1, 77 - 1, 58 - 1)) &gt;= (OFFSET($A$1, 93 - 1, 7 - 1)), "1","0")</f>
        <v>0</v>
      </c>
      <c r="BI77">
        <f ca="1" xml:space="preserve"> IF( AND( OFFSET($A$1, 77 - 1, 59 - 1) = "1", OFFSET($A$1, 77 - 1, 60 - 1) = "1" ), 1, IF( AND( OFFSET($A$1, 77 - 1, 59 - 1) = "1", OFFSET($A$1, 77 - 1, 60 - 1) = "0" ), 2, IF( AND( OFFSET($A$1, 77 - 1, 59 - 1) = "0", OFFSET($A$1, 77 - 1, 60 - 1) = "1" ), 3, 4 ) ) )</f>
        <v>4</v>
      </c>
    </row>
    <row r="78" spans="2:61" x14ac:dyDescent="0.35">
      <c r="C78" s="11" t="s">
        <v>127</v>
      </c>
      <c r="D78" s="11" t="s">
        <v>140</v>
      </c>
      <c r="E78" s="11" t="s">
        <v>141</v>
      </c>
      <c r="F78" s="11" t="s">
        <v>142</v>
      </c>
      <c r="BA78" s="3">
        <v>0.20899501683476085</v>
      </c>
      <c r="BB78" s="3" t="str">
        <f>"0"</f>
        <v>0</v>
      </c>
      <c r="BC78" t="str">
        <f ca="1">IF((OFFSET($A$1, 78 - 1, 53 - 1)) &gt;= (OFFSET($A$1, 69 - 1, 7 - 1)), "1","0")</f>
        <v>0</v>
      </c>
      <c r="BD78">
        <f ca="1" xml:space="preserve"> IF( AND( OFFSET($A$1, 78 - 1, 54 - 1) = "1", OFFSET($A$1, 78 - 1, 55 - 1) = "1" ), 1, IF( AND( OFFSET($A$1, 78 - 1, 54 - 1) = "1", OFFSET($A$1, 78 - 1, 55 - 1) = "0" ), 2, IF( AND( OFFSET($A$1, 78 - 1, 54 - 1) = "0", OFFSET($A$1, 78 - 1, 55 - 1) = "1" ), 3, 4 ) ) )</f>
        <v>4</v>
      </c>
      <c r="BF78" s="3">
        <v>0.20931689408965348</v>
      </c>
      <c r="BG78" s="3" t="str">
        <f>"0"</f>
        <v>0</v>
      </c>
      <c r="BH78" t="str">
        <f ca="1">IF((OFFSET($A$1, 78 - 1, 58 - 1)) &gt;= (OFFSET($A$1, 93 - 1, 7 - 1)), "1","0")</f>
        <v>0</v>
      </c>
      <c r="BI78">
        <f ca="1" xml:space="preserve"> IF( AND( OFFSET($A$1, 78 - 1, 59 - 1) = "1", OFFSET($A$1, 78 - 1, 60 - 1) = "1" ), 1, IF( AND( OFFSET($A$1, 78 - 1, 59 - 1) = "1", OFFSET($A$1, 78 - 1, 60 - 1) = "0" ), 2, IF( AND( OFFSET($A$1, 78 - 1, 59 - 1) = "0", OFFSET($A$1, 78 - 1, 60 - 1) = "1" ), 3, 4 ) ) )</f>
        <v>4</v>
      </c>
    </row>
    <row r="79" spans="2:61" x14ac:dyDescent="0.35">
      <c r="C79" s="4">
        <v>1</v>
      </c>
      <c r="D79" s="3">
        <f ca="1">SUM(OFFSET($A$1, 74 - 1, 4 - 1, 1, 2))</f>
        <v>1298</v>
      </c>
      <c r="E79" s="3">
        <f ca="1">SUM(OFFSET($A$1, 74 - 1, 4 - 1, 1, 2)) - OFFSET($A$1, 74 - 1, 4 - 1)</f>
        <v>806</v>
      </c>
      <c r="F79" s="3">
        <f ca="1">IF(OFFSET($A$1, 79 - 1, 4 - 1)=0,"Undefined",((OFFSET($A$1, 79 - 1, 5 - 1))*100) / (OFFSET($A$1, 79 - 1, 4 - 1)))</f>
        <v>62.09553158705701</v>
      </c>
      <c r="BA79" s="3">
        <v>0.20964254685071512</v>
      </c>
      <c r="BB79" s="3" t="str">
        <f>"0"</f>
        <v>0</v>
      </c>
      <c r="BC79" t="str">
        <f ca="1">IF((OFFSET($A$1, 79 - 1, 53 - 1)) &gt;= (OFFSET($A$1, 69 - 1, 7 - 1)), "1","0")</f>
        <v>0</v>
      </c>
      <c r="BD79">
        <f ca="1" xml:space="preserve"> IF( AND( OFFSET($A$1, 79 - 1, 54 - 1) = "1", OFFSET($A$1, 79 - 1, 55 - 1) = "1" ), 1, IF( AND( OFFSET($A$1, 79 - 1, 54 - 1) = "1", OFFSET($A$1, 79 - 1, 55 - 1) = "0" ), 2, IF( AND( OFFSET($A$1, 79 - 1, 54 - 1) = "0", OFFSET($A$1, 79 - 1, 55 - 1) = "1" ), 3, 4 ) ) )</f>
        <v>4</v>
      </c>
      <c r="BF79" s="3">
        <v>0.20997196267899823</v>
      </c>
      <c r="BG79" s="3" t="str">
        <f>"1"</f>
        <v>1</v>
      </c>
      <c r="BH79" t="str">
        <f ca="1">IF((OFFSET($A$1, 79 - 1, 58 - 1)) &gt;= (OFFSET($A$1, 93 - 1, 7 - 1)), "1","0")</f>
        <v>0</v>
      </c>
      <c r="BI79">
        <f ca="1" xml:space="preserve"> IF( AND( OFFSET($A$1, 79 - 1, 59 - 1) = "1", OFFSET($A$1, 79 - 1, 60 - 1) = "1" ), 1, IF( AND( OFFSET($A$1, 79 - 1, 59 - 1) = "1", OFFSET($A$1, 79 - 1, 60 - 1) = "0" ), 2, IF( AND( OFFSET($A$1, 79 - 1, 59 - 1) = "0", OFFSET($A$1, 79 - 1, 60 - 1) = "1" ), 3, 4 ) ) )</f>
        <v>2</v>
      </c>
    </row>
    <row r="80" spans="2:61" x14ac:dyDescent="0.35">
      <c r="C80" s="4">
        <v>0</v>
      </c>
      <c r="D80" s="3">
        <f ca="1">SUM(OFFSET($A$1, 75 - 1, 4 - 1, 1, 2))</f>
        <v>2355</v>
      </c>
      <c r="E80" s="3">
        <f ca="1">SUM(OFFSET($A$1, 75 - 1, 4 - 1, 1, 2)) - OFFSET($A$1, 75 - 1, 5 - 1)</f>
        <v>375</v>
      </c>
      <c r="F80" s="3">
        <f ca="1">IF(OFFSET($A$1, 80 - 1, 4 - 1)=0,"Undefined",((OFFSET($A$1, 80 - 1, 5 - 1))*100) / (OFFSET($A$1, 80 - 1, 4 - 1)))</f>
        <v>15.923566878980891</v>
      </c>
      <c r="BA80" s="3">
        <v>0.21030512889334799</v>
      </c>
      <c r="BB80" s="3" t="str">
        <f>"1"</f>
        <v>1</v>
      </c>
      <c r="BC80" t="str">
        <f ca="1">IF((OFFSET($A$1, 80 - 1, 53 - 1)) &gt;= (OFFSET($A$1, 69 - 1, 7 - 1)), "1","0")</f>
        <v>0</v>
      </c>
      <c r="BD80">
        <f ca="1" xml:space="preserve"> IF( AND( OFFSET($A$1, 80 - 1, 54 - 1) = "1", OFFSET($A$1, 80 - 1, 55 - 1) = "1" ), 1, IF( AND( OFFSET($A$1, 80 - 1, 54 - 1) = "1", OFFSET($A$1, 80 - 1, 55 - 1) = "0" ), 2, IF( AND( OFFSET($A$1, 80 - 1, 54 - 1) = "0", OFFSET($A$1, 80 - 1, 55 - 1) = "1" ), 3, 4 ) ) )</f>
        <v>2</v>
      </c>
      <c r="BF80" s="3">
        <v>0.45444577189386515</v>
      </c>
      <c r="BG80" s="3" t="str">
        <f>"0"</f>
        <v>0</v>
      </c>
      <c r="BH80" t="str">
        <f ca="1">IF((OFFSET($A$1, 80 - 1, 58 - 1)) &gt;= (OFFSET($A$1, 93 - 1, 7 - 1)), "1","0")</f>
        <v>0</v>
      </c>
      <c r="BI80">
        <f ca="1" xml:space="preserve"> IF( AND( OFFSET($A$1, 80 - 1, 59 - 1) = "1", OFFSET($A$1, 80 - 1, 60 - 1) = "1" ), 1, IF( AND( OFFSET($A$1, 80 - 1, 59 - 1) = "1", OFFSET($A$1, 80 - 1, 60 - 1) = "0" ), 2, IF( AND( OFFSET($A$1, 80 - 1, 59 - 1) = "0", OFFSET($A$1, 80 - 1, 60 - 1) = "1" ), 3, 4 ) ) )</f>
        <v>4</v>
      </c>
    </row>
    <row r="81" spans="2:61" x14ac:dyDescent="0.35">
      <c r="C81" s="4" t="s">
        <v>143</v>
      </c>
      <c r="D81" s="3">
        <f ca="1">SUM(OFFSET($A$1, 79 - 1, 4 - 1, 2, 1))</f>
        <v>3653</v>
      </c>
      <c r="E81" s="3">
        <f ca="1">SUM(OFFSET($A$1, 79 - 1, 5 - 1, 2, 1))</f>
        <v>1181</v>
      </c>
      <c r="F81" s="3">
        <f ca="1">IF(OFFSET($A$1, 81 - 1, 4 - 1)=0,"Undefined",((OFFSET($A$1, 81 - 1, 5 - 1))*100) / (OFFSET($A$1, 81 - 1, 4 - 1)))</f>
        <v>32.329592116068987</v>
      </c>
      <c r="BA81" s="3">
        <v>0.45495342189916071</v>
      </c>
      <c r="BB81" s="3" t="str">
        <f>"0"</f>
        <v>0</v>
      </c>
      <c r="BC81" t="str">
        <f ca="1">IF((OFFSET($A$1, 81 - 1, 53 - 1)) &gt;= (OFFSET($A$1, 69 - 1, 7 - 1)), "1","0")</f>
        <v>0</v>
      </c>
      <c r="BD81">
        <f ca="1" xml:space="preserve"> IF( AND( OFFSET($A$1, 81 - 1, 54 - 1) = "1", OFFSET($A$1, 81 - 1, 55 - 1) = "1" ), 1, IF( AND( OFFSET($A$1, 81 - 1, 54 - 1) = "1", OFFSET($A$1, 81 - 1, 55 - 1) = "0" ), 2, IF( AND( OFFSET($A$1, 81 - 1, 54 - 1) = "0", OFFSET($A$1, 81 - 1, 55 - 1) = "1" ), 3, 4 ) ) )</f>
        <v>4</v>
      </c>
      <c r="BF81" s="3">
        <v>0.21132699935211299</v>
      </c>
      <c r="BG81" s="3" t="str">
        <f>"0"</f>
        <v>0</v>
      </c>
      <c r="BH81" t="str">
        <f ca="1">IF((OFFSET($A$1, 81 - 1, 58 - 1)) &gt;= (OFFSET($A$1, 93 - 1, 7 - 1)), "1","0")</f>
        <v>0</v>
      </c>
      <c r="BI81">
        <f ca="1" xml:space="preserve"> IF( AND( OFFSET($A$1, 81 - 1, 59 - 1) = "1", OFFSET($A$1, 81 - 1, 60 - 1) = "1" ), 1, IF( AND( OFFSET($A$1, 81 - 1, 59 - 1) = "1", OFFSET($A$1, 81 - 1, 60 - 1) = "0" ), 2, IF( AND( OFFSET($A$1, 81 - 1, 59 - 1) = "0", OFFSET($A$1, 81 - 1, 60 - 1) = "1" ), 3, 4 ) ) )</f>
        <v>4</v>
      </c>
    </row>
    <row r="82" spans="2:61" x14ac:dyDescent="0.35">
      <c r="BA82" s="3">
        <v>0.21167503536169138</v>
      </c>
      <c r="BB82" s="3" t="str">
        <f>"0"</f>
        <v>0</v>
      </c>
      <c r="BC82" t="str">
        <f ca="1">IF((OFFSET($A$1, 82 - 1, 53 - 1)) &gt;= (OFFSET($A$1, 69 - 1, 7 - 1)), "1","0")</f>
        <v>0</v>
      </c>
      <c r="BD82">
        <f ca="1" xml:space="preserve"> IF( AND( OFFSET($A$1, 82 - 1, 54 - 1) = "1", OFFSET($A$1, 82 - 1, 55 - 1) = "1" ), 1, IF( AND( OFFSET($A$1, 82 - 1, 54 - 1) = "1", OFFSET($A$1, 82 - 1, 55 - 1) = "0" ), 2, IF( AND( OFFSET($A$1, 82 - 1, 54 - 1) = "0", OFFSET($A$1, 82 - 1, 55 - 1) = "1" ), 3, 4 ) ) )</f>
        <v>4</v>
      </c>
      <c r="BF82" s="3">
        <v>0.21202675462516665</v>
      </c>
      <c r="BG82" s="3" t="str">
        <f>"0"</f>
        <v>0</v>
      </c>
      <c r="BH82" t="str">
        <f ca="1">IF((OFFSET($A$1, 82 - 1, 58 - 1)) &gt;= (OFFSET($A$1, 93 - 1, 7 - 1)), "1","0")</f>
        <v>0</v>
      </c>
      <c r="BI82">
        <f ca="1" xml:space="preserve"> IF( AND( OFFSET($A$1, 82 - 1, 59 - 1) = "1", OFFSET($A$1, 82 - 1, 60 - 1) = "1" ), 1, IF( AND( OFFSET($A$1, 82 - 1, 59 - 1) = "1", OFFSET($A$1, 82 - 1, 60 - 1) = "0" ), 2, IF( AND( OFFSET($A$1, 82 - 1, 59 - 1) = "0", OFFSET($A$1, 82 - 1, 60 - 1) = "1" ), 3, 4 ) ) )</f>
        <v>4</v>
      </c>
    </row>
    <row r="83" spans="2:61" ht="15.5" x14ac:dyDescent="0.35">
      <c r="C83" s="12" t="s">
        <v>144</v>
      </c>
      <c r="D83" s="13"/>
      <c r="E83" s="14"/>
      <c r="BA83" s="3">
        <v>0.21238214295223518</v>
      </c>
      <c r="BB83" s="3" t="str">
        <f>"1"</f>
        <v>1</v>
      </c>
      <c r="BC83" t="str">
        <f ca="1">IF((OFFSET($A$1, 83 - 1, 53 - 1)) &gt;= (OFFSET($A$1, 69 - 1, 7 - 1)), "1","0")</f>
        <v>0</v>
      </c>
      <c r="BD83">
        <f ca="1" xml:space="preserve"> IF( AND( OFFSET($A$1, 83 - 1, 54 - 1) = "1", OFFSET($A$1, 83 - 1, 55 - 1) = "1" ), 1, IF( AND( OFFSET($A$1, 83 - 1, 54 - 1) = "1", OFFSET($A$1, 83 - 1, 55 - 1) = "0" ), 2, IF( AND( OFFSET($A$1, 83 - 1, 54 - 1) = "0", OFFSET($A$1, 83 - 1, 55 - 1) = "1" ), 3, 4 ) ) )</f>
        <v>2</v>
      </c>
      <c r="BF83" s="3">
        <v>0.21274118589180463</v>
      </c>
      <c r="BG83" s="3" t="str">
        <f>"0"</f>
        <v>0</v>
      </c>
      <c r="BH83" t="str">
        <f ca="1">IF((OFFSET($A$1, 83 - 1, 58 - 1)) &gt;= (OFFSET($A$1, 93 - 1, 7 - 1)), "1","0")</f>
        <v>0</v>
      </c>
      <c r="BI83">
        <f ca="1" xml:space="preserve"> IF( AND( OFFSET($A$1, 83 - 1, 59 - 1) = "1", OFFSET($A$1, 83 - 1, 60 - 1) = "1" ), 1, IF( AND( OFFSET($A$1, 83 - 1, 59 - 1) = "1", OFFSET($A$1, 83 - 1, 60 - 1) = "0" ), 2, IF( AND( OFFSET($A$1, 83 - 1, 59 - 1) = "0", OFFSET($A$1, 83 - 1, 60 - 1) = "1" ), 3, 4 ) ) )</f>
        <v>4</v>
      </c>
    </row>
    <row r="84" spans="2:61" x14ac:dyDescent="0.35">
      <c r="C84" s="15" t="s">
        <v>145</v>
      </c>
      <c r="D84" s="17"/>
      <c r="E84" s="31">
        <v>1</v>
      </c>
      <c r="BA84" s="3">
        <v>0.45810336358599746</v>
      </c>
      <c r="BB84" s="3" t="str">
        <f>"0"</f>
        <v>0</v>
      </c>
      <c r="BC84" t="str">
        <f ca="1">IF((OFFSET($A$1, 84 - 1, 53 - 1)) &gt;= (OFFSET($A$1, 69 - 1, 7 - 1)), "1","0")</f>
        <v>0</v>
      </c>
      <c r="BD84">
        <f ca="1" xml:space="preserve"> IF( AND( OFFSET($A$1, 84 - 1, 54 - 1) = "1", OFFSET($A$1, 84 - 1, 55 - 1) = "1" ), 1, IF( AND( OFFSET($A$1, 84 - 1, 54 - 1) = "1", OFFSET($A$1, 84 - 1, 55 - 1) = "0" ), 2, IF( AND( OFFSET($A$1, 84 - 1, 54 - 1) = "0", OFFSET($A$1, 84 - 1, 55 - 1) = "1" ), 3, 4 ) ) )</f>
        <v>4</v>
      </c>
      <c r="BF84" s="3">
        <v>0.21347017648441496</v>
      </c>
      <c r="BG84" s="3" t="str">
        <f>"0"</f>
        <v>0</v>
      </c>
      <c r="BH84" t="str">
        <f ca="1">IF((OFFSET($A$1, 84 - 1, 58 - 1)) &gt;= (OFFSET($A$1, 93 - 1, 7 - 1)), "1","0")</f>
        <v>0</v>
      </c>
      <c r="BI84">
        <f ca="1" xml:space="preserve"> IF( AND( OFFSET($A$1, 84 - 1, 59 - 1) = "1", OFFSET($A$1, 84 - 1, 60 - 1) = "1" ), 1, IF( AND( OFFSET($A$1, 84 - 1, 59 - 1) = "1", OFFSET($A$1, 84 - 1, 60 - 1) = "0" ), 2, IF( AND( OFFSET($A$1, 84 - 1, 59 - 1) = "0", OFFSET($A$1, 84 - 1, 60 - 1) = "1" ), 3, 4 ) ) )</f>
        <v>4</v>
      </c>
    </row>
    <row r="85" spans="2:61" x14ac:dyDescent="0.35">
      <c r="C85" s="15" t="s">
        <v>146</v>
      </c>
      <c r="D85" s="17"/>
      <c r="E85" s="31">
        <f ca="1">IF((OFFSET($A$1, 74 - 1, 4 - 1) + OFFSET($A$1, 75 - 1, 4 - 1)) = 0,"Undefined",OFFSET($A$1, 74 - 1, 4 - 1)/(OFFSET($A$1, 74 - 1, 4 - 1) + OFFSET($A$1, 75 - 1, 4 - 1)))</f>
        <v>0.56747404844290661</v>
      </c>
      <c r="BA85" s="3">
        <v>0.21384009390778314</v>
      </c>
      <c r="BB85" s="3" t="str">
        <f>"0"</f>
        <v>0</v>
      </c>
      <c r="BC85" t="str">
        <f ca="1">IF((OFFSET($A$1, 85 - 1, 53 - 1)) &gt;= (OFFSET($A$1, 69 - 1, 7 - 1)), "1","0")</f>
        <v>0</v>
      </c>
      <c r="BD85">
        <f ca="1" xml:space="preserve"> IF( AND( OFFSET($A$1, 85 - 1, 54 - 1) = "1", OFFSET($A$1, 85 - 1, 55 - 1) = "1" ), 1, IF( AND( OFFSET($A$1, 85 - 1, 54 - 1) = "1", OFFSET($A$1, 85 - 1, 55 - 1) = "0" ), 2, IF( AND( OFFSET($A$1, 85 - 1, 54 - 1) = "0", OFFSET($A$1, 85 - 1, 55 - 1) = "1" ), 3, 4 ) ) )</f>
        <v>4</v>
      </c>
      <c r="BF85" s="3">
        <v>0.21421360547912605</v>
      </c>
      <c r="BG85" s="3" t="str">
        <f>"0"</f>
        <v>0</v>
      </c>
      <c r="BH85" t="str">
        <f ca="1">IF((OFFSET($A$1, 85 - 1, 58 - 1)) &gt;= (OFFSET($A$1, 93 - 1, 7 - 1)), "1","0")</f>
        <v>0</v>
      </c>
      <c r="BI85">
        <f ca="1" xml:space="preserve"> IF( AND( OFFSET($A$1, 85 - 1, 59 - 1) = "1", OFFSET($A$1, 85 - 1, 60 - 1) = "1" ), 1, IF( AND( OFFSET($A$1, 85 - 1, 59 - 1) = "1", OFFSET($A$1, 85 - 1, 60 - 1) = "0" ), 2, IF( AND( OFFSET($A$1, 85 - 1, 59 - 1) = "0", OFFSET($A$1, 85 - 1, 60 - 1) = "1" ), 3, 4 ) ) )</f>
        <v>4</v>
      </c>
    </row>
    <row r="86" spans="2:61" x14ac:dyDescent="0.35">
      <c r="C86" s="15" t="s">
        <v>147</v>
      </c>
      <c r="D86" s="17"/>
      <c r="E86" s="31">
        <f ca="1">IF((OFFSET($A$1, 74 - 1, 4 - 1) + OFFSET($A$1, 74 - 1, 5 - 1)) = 0,"Undefined",OFFSET($A$1, 74 - 1, 4 - 1)/(OFFSET($A$1, 74 - 1, 4 - 1) + OFFSET($A$1, 74 - 1, 5 - 1)))</f>
        <v>0.37904468412942988</v>
      </c>
      <c r="BA86" s="3">
        <v>0.21459069540432033</v>
      </c>
      <c r="BB86" s="3" t="str">
        <f>"0"</f>
        <v>0</v>
      </c>
      <c r="BC86" t="str">
        <f ca="1">IF((OFFSET($A$1, 86 - 1, 53 - 1)) &gt;= (OFFSET($A$1, 69 - 1, 7 - 1)), "1","0")</f>
        <v>0</v>
      </c>
      <c r="BD86">
        <f ca="1" xml:space="preserve"> IF( AND( OFFSET($A$1, 86 - 1, 54 - 1) = "1", OFFSET($A$1, 86 - 1, 55 - 1) = "1" ), 1, IF( AND( OFFSET($A$1, 86 - 1, 54 - 1) = "1", OFFSET($A$1, 86 - 1, 55 - 1) = "0" ), 2, IF( AND( OFFSET($A$1, 86 - 1, 54 - 1) = "0", OFFSET($A$1, 86 - 1, 55 - 1) = "1" ), 3, 4 ) ) )</f>
        <v>4</v>
      </c>
      <c r="BF86" s="3">
        <v>0.21497134761291761</v>
      </c>
      <c r="BG86" s="3" t="str">
        <f>"0"</f>
        <v>0</v>
      </c>
      <c r="BH86" t="str">
        <f ca="1">IF((OFFSET($A$1, 86 - 1, 58 - 1)) &gt;= (OFFSET($A$1, 93 - 1, 7 - 1)), "1","0")</f>
        <v>0</v>
      </c>
      <c r="BI86">
        <f ca="1" xml:space="preserve"> IF( AND( OFFSET($A$1, 86 - 1, 59 - 1) = "1", OFFSET($A$1, 86 - 1, 60 - 1) = "1" ), 1, IF( AND( OFFSET($A$1, 86 - 1, 59 - 1) = "1", OFFSET($A$1, 86 - 1, 60 - 1) = "0" ), 2, IF( AND( OFFSET($A$1, 86 - 1, 59 - 1) = "0", OFFSET($A$1, 86 - 1, 60 - 1) = "1" ), 3, 4 ) ) )</f>
        <v>4</v>
      </c>
    </row>
    <row r="87" spans="2:61" x14ac:dyDescent="0.35">
      <c r="C87" s="15" t="s">
        <v>148</v>
      </c>
      <c r="D87" s="17"/>
      <c r="E87" s="31">
        <f ca="1">IF((OFFSET($A$1, 75 - 1, 4 - 1) + OFFSET($A$1, 75 - 1, 5 - 1)) = 0,"Undefined",OFFSET($A$1, 75 - 1, 5 - 1)/(OFFSET($A$1, 75 - 1, 4 - 1) + OFFSET($A$1, 75 - 1, 5 - 1)))</f>
        <v>0.84076433121019112</v>
      </c>
      <c r="BA87" s="3">
        <v>0.21535554575561491</v>
      </c>
      <c r="BB87" s="3" t="str">
        <f>"0"</f>
        <v>0</v>
      </c>
      <c r="BC87" t="str">
        <f ca="1">IF((OFFSET($A$1, 87 - 1, 53 - 1)) &gt;= (OFFSET($A$1, 69 - 1, 7 - 1)), "1","0")</f>
        <v>0</v>
      </c>
      <c r="BD87">
        <f ca="1" xml:space="preserve"> IF( AND( OFFSET($A$1, 87 - 1, 54 - 1) = "1", OFFSET($A$1, 87 - 1, 55 - 1) = "1" ), 1, IF( AND( OFFSET($A$1, 87 - 1, 54 - 1) = "1", OFFSET($A$1, 87 - 1, 55 - 1) = "0" ), 2, IF( AND( OFFSET($A$1, 87 - 1, 54 - 1) = "0", OFFSET($A$1, 87 - 1, 55 - 1) = "1" ), 3, 4 ) ) )</f>
        <v>4</v>
      </c>
      <c r="BF87" s="3">
        <v>0.21574327320174252</v>
      </c>
      <c r="BG87" s="3" t="str">
        <f>"0"</f>
        <v>0</v>
      </c>
      <c r="BH87" t="str">
        <f ca="1">IF((OFFSET($A$1, 87 - 1, 58 - 1)) &gt;= (OFFSET($A$1, 93 - 1, 7 - 1)), "1","0")</f>
        <v>0</v>
      </c>
      <c r="BI87">
        <f ca="1" xml:space="preserve"> IF( AND( OFFSET($A$1, 87 - 1, 59 - 1) = "1", OFFSET($A$1, 87 - 1, 60 - 1) = "1" ), 1, IF( AND( OFFSET($A$1, 87 - 1, 59 - 1) = "1", OFFSET($A$1, 87 - 1, 60 - 1) = "0" ), 2, IF( AND( OFFSET($A$1, 87 - 1, 59 - 1) = "0", OFFSET($A$1, 87 - 1, 60 - 1) = "1" ), 3, 4 ) ) )</f>
        <v>4</v>
      </c>
    </row>
    <row r="88" spans="2:61" x14ac:dyDescent="0.35">
      <c r="C88" s="15" t="s">
        <v>149</v>
      </c>
      <c r="D88" s="17"/>
      <c r="E88" s="31">
        <f ca="1">IF(OR(OFFSET($A$1, 85 - 1, 5 - 1)="Undefined",OFFSET($A$1, 86 - 1, 5 - 1)="Undefined"),"Undefined",IF((OFFSET($A$1, 85 - 1, 5 - 1) + OFFSET($A$1, 86 - 1, 5 - 1))=0,"Undefined",2*OFFSET($A$1, 85 - 1, 5 - 1)*OFFSET($A$1, 86 - 1, 5 - 1)/(OFFSET($A$1, 85 - 1, 5 - 1)+OFFSET($A$1, 86 - 1, 5 - 1))))</f>
        <v>0.45450346420323323</v>
      </c>
      <c r="BA88" s="3">
        <v>0.21613451303677408</v>
      </c>
      <c r="BB88" s="3" t="str">
        <f>"0"</f>
        <v>0</v>
      </c>
      <c r="BC88" t="str">
        <f ca="1">IF((OFFSET($A$1, 88 - 1, 53 - 1)) &gt;= (OFFSET($A$1, 69 - 1, 7 - 1)), "1","0")</f>
        <v>0</v>
      </c>
      <c r="BD88">
        <f ca="1" xml:space="preserve"> IF( AND( OFFSET($A$1, 88 - 1, 54 - 1) = "1", OFFSET($A$1, 88 - 1, 55 - 1) = "1" ), 1, IF( AND( OFFSET($A$1, 88 - 1, 54 - 1) = "1", OFFSET($A$1, 88 - 1, 55 - 1) = "0" ), 2, IF( AND( OFFSET($A$1, 88 - 1, 54 - 1) = "0", OFFSET($A$1, 88 - 1, 55 - 1) = "1" ), 3, 4 ) ) )</f>
        <v>4</v>
      </c>
      <c r="BF88" s="3">
        <v>0.21652924805985752</v>
      </c>
      <c r="BG88" s="3" t="str">
        <f>"1"</f>
        <v>1</v>
      </c>
      <c r="BH88" t="str">
        <f ca="1">IF((OFFSET($A$1, 88 - 1, 58 - 1)) &gt;= (OFFSET($A$1, 93 - 1, 7 - 1)), "1","0")</f>
        <v>0</v>
      </c>
      <c r="BI88">
        <f ca="1" xml:space="preserve"> IF( AND( OFFSET($A$1, 88 - 1, 59 - 1) = "1", OFFSET($A$1, 88 - 1, 60 - 1) = "1" ), 1, IF( AND( OFFSET($A$1, 88 - 1, 59 - 1) = "1", OFFSET($A$1, 88 - 1, 60 - 1) = "0" ), 2, IF( AND( OFFSET($A$1, 88 - 1, 59 - 1) = "0", OFFSET($A$1, 88 - 1, 60 - 1) = "1" ), 3, 4 ) ) )</f>
        <v>2</v>
      </c>
    </row>
    <row r="89" spans="2:61" x14ac:dyDescent="0.35">
      <c r="BA89" s="3">
        <v>0.21692746078137687</v>
      </c>
      <c r="BB89" s="3" t="str">
        <f>"1"</f>
        <v>1</v>
      </c>
      <c r="BC89" t="str">
        <f ca="1">IF((OFFSET($A$1, 89 - 1, 53 - 1)) &gt;= (OFFSET($A$1, 69 - 1, 7 - 1)), "1","0")</f>
        <v>0</v>
      </c>
      <c r="BD89">
        <f ca="1" xml:space="preserve"> IF( AND( OFFSET($A$1, 89 - 1, 54 - 1) = "1", OFFSET($A$1, 89 - 1, 55 - 1) = "1" ), 1, IF( AND( OFFSET($A$1, 89 - 1, 54 - 1) = "1", OFFSET($A$1, 89 - 1, 55 - 1) = "0" ), 2, IF( AND( OFFSET($A$1, 89 - 1, 54 - 1) = "0", OFFSET($A$1, 89 - 1, 55 - 1) = "1" ), 3, 4 ) ) )</f>
        <v>2</v>
      </c>
      <c r="BF89" s="3">
        <v>0.46431995560588513</v>
      </c>
      <c r="BG89" s="3" t="str">
        <f>"1"</f>
        <v>1</v>
      </c>
      <c r="BH89" t="str">
        <f ca="1">IF((OFFSET($A$1, 89 - 1, 58 - 1)) &gt;= (OFFSET($A$1, 93 - 1, 7 - 1)), "1","0")</f>
        <v>0</v>
      </c>
      <c r="BI89">
        <f ca="1" xml:space="preserve"> IF( AND( OFFSET($A$1, 89 - 1, 59 - 1) = "1", OFFSET($A$1, 89 - 1, 60 - 1) = "1" ), 1, IF( AND( OFFSET($A$1, 89 - 1, 59 - 1) = "1", OFFSET($A$1, 89 - 1, 60 - 1) = "0" ), 2, IF( AND( OFFSET($A$1, 89 - 1, 59 - 1) = "0", OFFSET($A$1, 89 - 1, 60 - 1) = "1" ), 3, 4 ) ) )</f>
        <v>2</v>
      </c>
    </row>
    <row r="90" spans="2:61" x14ac:dyDescent="0.35">
      <c r="BA90" s="3">
        <v>0.46491199154526203</v>
      </c>
      <c r="BB90" s="3" t="str">
        <f>"0"</f>
        <v>0</v>
      </c>
      <c r="BC90" t="str">
        <f ca="1">IF((OFFSET($A$1, 90 - 1, 53 - 1)) &gt;= (OFFSET($A$1, 69 - 1, 7 - 1)), "1","0")</f>
        <v>0</v>
      </c>
      <c r="BD90">
        <f ca="1" xml:space="preserve"> IF( AND( OFFSET($A$1, 90 - 1, 54 - 1) = "1", OFFSET($A$1, 90 - 1, 55 - 1) = "1" ), 1, IF( AND( OFFSET($A$1, 90 - 1, 54 - 1) = "1", OFFSET($A$1, 90 - 1, 55 - 1) = "0" ), 2, IF( AND( OFFSET($A$1, 90 - 1, 54 - 1) = "0", OFFSET($A$1, 90 - 1, 55 - 1) = "1" ), 3, 4 ) ) )</f>
        <v>4</v>
      </c>
      <c r="BF90" s="3">
        <v>0.4655083260106585</v>
      </c>
      <c r="BG90" s="3" t="str">
        <f>"0"</f>
        <v>0</v>
      </c>
      <c r="BH90" t="str">
        <f ca="1">IF((OFFSET($A$1, 90 - 1, 58 - 1)) &gt;= (OFFSET($A$1, 93 - 1, 7 - 1)), "1","0")</f>
        <v>0</v>
      </c>
      <c r="BI90">
        <f ca="1" xml:space="preserve"> IF( AND( OFFSET($A$1, 90 - 1, 59 - 1) = "1", OFFSET($A$1, 90 - 1, 60 - 1) = "1" ), 1, IF( AND( OFFSET($A$1, 90 - 1, 59 - 1) = "1", OFFSET($A$1, 90 - 1, 60 - 1) = "0" ), 2, IF( AND( OFFSET($A$1, 90 - 1, 59 - 1) = "0", OFFSET($A$1, 90 - 1, 60 - 1) = "1" ), 3, 4 ) ) )</f>
        <v>4</v>
      </c>
    </row>
    <row r="91" spans="2:61" ht="18.5" x14ac:dyDescent="0.45">
      <c r="B91" s="6" t="s">
        <v>96</v>
      </c>
      <c r="BA91" s="3">
        <v>0.21855472861805678</v>
      </c>
      <c r="BB91" s="3" t="str">
        <f>"0"</f>
        <v>0</v>
      </c>
      <c r="BC91" t="str">
        <f ca="1">IF((OFFSET($A$1, 91 - 1, 53 - 1)) &gt;= (OFFSET($A$1, 69 - 1, 7 - 1)), "1","0")</f>
        <v>0</v>
      </c>
      <c r="BD91">
        <f ca="1" xml:space="preserve"> IF( AND( OFFSET($A$1, 91 - 1, 54 - 1) = "1", OFFSET($A$1, 91 - 1, 55 - 1) = "1" ), 1, IF( AND( OFFSET($A$1, 91 - 1, 54 - 1) = "1", OFFSET($A$1, 91 - 1, 55 - 1) = "0" ), 2, IF( AND( OFFSET($A$1, 91 - 1, 54 - 1) = "0", OFFSET($A$1, 91 - 1, 55 - 1) = "1" ), 3, 4 ) ) )</f>
        <v>4</v>
      </c>
      <c r="BF91" s="3">
        <v>0.21897005721305454</v>
      </c>
      <c r="BG91" s="3" t="str">
        <f>"0"</f>
        <v>0</v>
      </c>
      <c r="BH91" t="str">
        <f ca="1">IF((OFFSET($A$1, 91 - 1, 58 - 1)) &gt;= (OFFSET($A$1, 93 - 1, 7 - 1)), "1","0")</f>
        <v>0</v>
      </c>
      <c r="BI91">
        <f ca="1" xml:space="preserve"> IF( AND( OFFSET($A$1, 91 - 1, 59 - 1) = "1", OFFSET($A$1, 91 - 1, 60 - 1) = "1" ), 1, IF( AND( OFFSET($A$1, 91 - 1, 59 - 1) = "1", OFFSET($A$1, 91 - 1, 60 - 1) = "0" ), 2, IF( AND( OFFSET($A$1, 91 - 1, 59 - 1) = "0", OFFSET($A$1, 91 - 1, 60 - 1) = "1" ), 3, 4 ) ) )</f>
        <v>4</v>
      </c>
    </row>
    <row r="92" spans="2:61" x14ac:dyDescent="0.35">
      <c r="BA92" s="3">
        <v>0.21938875237134162</v>
      </c>
      <c r="BB92" s="3" t="str">
        <f>"1"</f>
        <v>1</v>
      </c>
      <c r="BC92" t="str">
        <f ca="1">IF((OFFSET($A$1, 92 - 1, 53 - 1)) &gt;= (OFFSET($A$1, 69 - 1, 7 - 1)), "1","0")</f>
        <v>0</v>
      </c>
      <c r="BD92">
        <f ca="1" xml:space="preserve"> IF( AND( OFFSET($A$1, 92 - 1, 54 - 1) = "1", OFFSET($A$1, 92 - 1, 55 - 1) = "1" ), 1, IF( AND( OFFSET($A$1, 92 - 1, 54 - 1) = "1", OFFSET($A$1, 92 - 1, 55 - 1) = "0" ), 2, IF( AND( OFFSET($A$1, 92 - 1, 54 - 1) = "0", OFFSET($A$1, 92 - 1, 55 - 1) = "1" ), 3, 4 ) ) )</f>
        <v>2</v>
      </c>
      <c r="BF92" s="3">
        <v>0.21981079451589952</v>
      </c>
      <c r="BG92" s="3" t="str">
        <f>"0"</f>
        <v>0</v>
      </c>
      <c r="BH92" t="str">
        <f ca="1">IF((OFFSET($A$1, 92 - 1, 58 - 1)) &gt;= (OFFSET($A$1, 93 - 1, 7 - 1)), "1","0")</f>
        <v>0</v>
      </c>
      <c r="BI92">
        <f ca="1" xml:space="preserve"> IF( AND( OFFSET($A$1, 92 - 1, 59 - 1) = "1", OFFSET($A$1, 92 - 1, 60 - 1) = "1" ), 1, IF( AND( OFFSET($A$1, 92 - 1, 59 - 1) = "1", OFFSET($A$1, 92 - 1, 60 - 1) = "0" ), 2, IF( AND( OFFSET($A$1, 92 - 1, 59 - 1) = "0", OFFSET($A$1, 92 - 1, 60 - 1) = "1" ), 3, 4 ) ) )</f>
        <v>4</v>
      </c>
    </row>
    <row r="93" spans="2:61" x14ac:dyDescent="0.35">
      <c r="C93" s="33" t="s">
        <v>134</v>
      </c>
      <c r="D93" s="34"/>
      <c r="E93" s="34"/>
      <c r="F93" s="35"/>
      <c r="G93" s="32">
        <v>0.5</v>
      </c>
      <c r="H93" s="33" t="s">
        <v>135</v>
      </c>
      <c r="I93" s="34"/>
      <c r="J93" s="34"/>
      <c r="K93" s="34"/>
      <c r="L93" s="34"/>
      <c r="M93" s="35"/>
      <c r="BA93" s="3">
        <v>0.46855293243311885</v>
      </c>
      <c r="BB93" s="3" t="str">
        <f>"0"</f>
        <v>0</v>
      </c>
      <c r="BC93" t="str">
        <f ca="1">IF((OFFSET($A$1, 93 - 1, 53 - 1)) &gt;= (OFFSET($A$1, 69 - 1, 7 - 1)), "1","0")</f>
        <v>0</v>
      </c>
      <c r="BD93">
        <f ca="1" xml:space="preserve"> IF( AND( OFFSET($A$1, 93 - 1, 54 - 1) = "1", OFFSET($A$1, 93 - 1, 55 - 1) = "1" ), 1, IF( AND( OFFSET($A$1, 93 - 1, 54 - 1) = "1", OFFSET($A$1, 93 - 1, 55 - 1) = "0" ), 2, IF( AND( OFFSET($A$1, 93 - 1, 54 - 1) = "0", OFFSET($A$1, 93 - 1, 55 - 1) = "1" ), 3, 4 ) ) )</f>
        <v>4</v>
      </c>
      <c r="BF93" s="3">
        <v>0.22066483991733615</v>
      </c>
      <c r="BG93" s="3" t="str">
        <f>"0"</f>
        <v>0</v>
      </c>
      <c r="BH93" t="str">
        <f ca="1">IF((OFFSET($A$1, 93 - 1, 58 - 1)) &gt;= (OFFSET($A$1, 93 - 1, 7 - 1)), "1","0")</f>
        <v>0</v>
      </c>
      <c r="BI93">
        <f ca="1" xml:space="preserve"> IF( AND( OFFSET($A$1, 93 - 1, 59 - 1) = "1", OFFSET($A$1, 93 - 1, 60 - 1) = "1" ), 1, IF( AND( OFFSET($A$1, 93 - 1, 59 - 1) = "1", OFFSET($A$1, 93 - 1, 60 - 1) = "0" ), 2, IF( AND( OFFSET($A$1, 93 - 1, 59 - 1) = "0", OFFSET($A$1, 93 - 1, 60 - 1) = "1" ), 3, 4 ) ) )</f>
        <v>4</v>
      </c>
    </row>
    <row r="94" spans="2:61" x14ac:dyDescent="0.35">
      <c r="BA94" s="3">
        <v>0.22109680247532568</v>
      </c>
      <c r="BB94" s="3" t="str">
        <f>"0"</f>
        <v>0</v>
      </c>
      <c r="BC94" t="str">
        <f ca="1">IF((OFFSET($A$1, 94 - 1, 53 - 1)) &gt;= (OFFSET($A$1, 69 - 1, 7 - 1)), "1","0")</f>
        <v>0</v>
      </c>
      <c r="BD94">
        <f ca="1" xml:space="preserve"> IF( AND( OFFSET($A$1, 94 - 1, 54 - 1) = "1", OFFSET($A$1, 94 - 1, 55 - 1) = "1" ), 1, IF( AND( OFFSET($A$1, 94 - 1, 54 - 1) = "1", OFFSET($A$1, 94 - 1, 55 - 1) = "0" ), 2, IF( AND( OFFSET($A$1, 94 - 1, 54 - 1) = "0", OFFSET($A$1, 94 - 1, 55 - 1) = "1" ), 3, 4 ) ) )</f>
        <v>4</v>
      </c>
      <c r="BF94" s="3">
        <v>0.22153203061761467</v>
      </c>
      <c r="BG94" s="3" t="str">
        <f>"0"</f>
        <v>0</v>
      </c>
      <c r="BH94" t="str">
        <f ca="1">IF((OFFSET($A$1, 94 - 1, 58 - 1)) &gt;= (OFFSET($A$1, 93 - 1, 7 - 1)), "1","0")</f>
        <v>0</v>
      </c>
      <c r="BI94">
        <f ca="1" xml:space="preserve"> IF( AND( OFFSET($A$1, 94 - 1, 59 - 1) = "1", OFFSET($A$1, 94 - 1, 60 - 1) = "1" ), 1, IF( AND( OFFSET($A$1, 94 - 1, 59 - 1) = "1", OFFSET($A$1, 94 - 1, 60 - 1) = "0" ), 2, IF( AND( OFFSET($A$1, 94 - 1, 59 - 1) = "0", OFFSET($A$1, 94 - 1, 60 - 1) = "1" ), 3, 4 ) ) )</f>
        <v>4</v>
      </c>
    </row>
    <row r="95" spans="2:61" ht="15.5" x14ac:dyDescent="0.35">
      <c r="C95" s="12" t="s">
        <v>136</v>
      </c>
      <c r="D95" s="13"/>
      <c r="E95" s="14"/>
      <c r="BA95" s="3">
        <v>0.22197050320975092</v>
      </c>
      <c r="BB95" s="3" t="str">
        <f>"0"</f>
        <v>0</v>
      </c>
      <c r="BC95" t="str">
        <f ca="1">IF((OFFSET($A$1, 95 - 1, 53 - 1)) &gt;= (OFFSET($A$1, 69 - 1, 7 - 1)), "1","0")</f>
        <v>0</v>
      </c>
      <c r="BD95">
        <f ca="1" xml:space="preserve"> IF( AND( OFFSET($A$1, 95 - 1, 54 - 1) = "1", OFFSET($A$1, 95 - 1, 55 - 1) = "1" ), 1, IF( AND( OFFSET($A$1, 95 - 1, 54 - 1) = "1", OFFSET($A$1, 95 - 1, 55 - 1) = "0" ), 2, IF( AND( OFFSET($A$1, 95 - 1, 54 - 1) = "0", OFFSET($A$1, 95 - 1, 55 - 1) = "1" ), 3, 4 ) ) )</f>
        <v>4</v>
      </c>
      <c r="BF95" s="3">
        <v>0.22241219879964946</v>
      </c>
      <c r="BG95" s="3" t="str">
        <f>"0"</f>
        <v>0</v>
      </c>
      <c r="BH95" t="str">
        <f ca="1">IF((OFFSET($A$1, 95 - 1, 58 - 1)) &gt;= (OFFSET($A$1, 93 - 1, 7 - 1)), "1","0")</f>
        <v>0</v>
      </c>
      <c r="BI95">
        <f ca="1" xml:space="preserve"> IF( AND( OFFSET($A$1, 95 - 1, 59 - 1) = "1", OFFSET($A$1, 95 - 1, 60 - 1) = "1" ), 1, IF( AND( OFFSET($A$1, 95 - 1, 59 - 1) = "1", OFFSET($A$1, 95 - 1, 60 - 1) = "0" ), 2, IF( AND( OFFSET($A$1, 95 - 1, 59 - 1) = "0", OFFSET($A$1, 95 - 1, 60 - 1) = "1" ), 3, 4 ) ) )</f>
        <v>4</v>
      </c>
    </row>
    <row r="96" spans="2:61" x14ac:dyDescent="0.35">
      <c r="C96" s="11"/>
      <c r="D96" s="36" t="s">
        <v>137</v>
      </c>
      <c r="E96" s="37"/>
      <c r="BA96" s="3">
        <v>0.22285709561564934</v>
      </c>
      <c r="BB96" s="3" t="str">
        <f>"1"</f>
        <v>1</v>
      </c>
      <c r="BC96" t="str">
        <f ca="1">IF((OFFSET($A$1, 96 - 1, 53 - 1)) &gt;= (OFFSET($A$1, 69 - 1, 7 - 1)), "1","0")</f>
        <v>0</v>
      </c>
      <c r="BD96">
        <f ca="1" xml:space="preserve"> IF( AND( OFFSET($A$1, 96 - 1, 54 - 1) = "1", OFFSET($A$1, 96 - 1, 55 - 1) = "1" ), 1, IF( AND( OFFSET($A$1, 96 - 1, 54 - 1) = "1", OFFSET($A$1, 96 - 1, 55 - 1) = "0" ), 2, IF( AND( OFFSET($A$1, 96 - 1, 54 - 1) = "0", OFFSET($A$1, 96 - 1, 55 - 1) = "1" ), 3, 4 ) ) )</f>
        <v>2</v>
      </c>
      <c r="BF96" s="3">
        <v>0.22330517156460769</v>
      </c>
      <c r="BG96" s="3" t="str">
        <f>"0"</f>
        <v>0</v>
      </c>
      <c r="BH96" t="str">
        <f ca="1">IF((OFFSET($A$1, 96 - 1, 58 - 1)) &gt;= (OFFSET($A$1, 93 - 1, 7 - 1)), "1","0")</f>
        <v>0</v>
      </c>
      <c r="BI96">
        <f ca="1" xml:space="preserve"> IF( AND( OFFSET($A$1, 96 - 1, 59 - 1) = "1", OFFSET($A$1, 96 - 1, 60 - 1) = "1" ), 1, IF( AND( OFFSET($A$1, 96 - 1, 59 - 1) = "1", OFFSET($A$1, 96 - 1, 60 - 1) = "0" ), 2, IF( AND( OFFSET($A$1, 96 - 1, 59 - 1) = "0", OFFSET($A$1, 96 - 1, 60 - 1) = "1" ), 3, 4 ) ) )</f>
        <v>4</v>
      </c>
    </row>
    <row r="97" spans="3:61" x14ac:dyDescent="0.35">
      <c r="C97" s="4" t="s">
        <v>138</v>
      </c>
      <c r="D97" s="11">
        <v>1</v>
      </c>
      <c r="E97" s="11">
        <v>0</v>
      </c>
      <c r="BA97" s="3">
        <v>0.47363141874424908</v>
      </c>
      <c r="BB97" s="3" t="str">
        <f>"0"</f>
        <v>0</v>
      </c>
      <c r="BC97" t="str">
        <f ca="1">IF((OFFSET($A$1, 97 - 1, 53 - 1)) &gt;= (OFFSET($A$1, 69 - 1, 7 - 1)), "1","0")</f>
        <v>0</v>
      </c>
      <c r="BD97">
        <f ca="1" xml:space="preserve"> IF( AND( OFFSET($A$1, 97 - 1, 54 - 1) = "1", OFFSET($A$1, 97 - 1, 55 - 1) = "1" ), 1, IF( AND( OFFSET($A$1, 97 - 1, 54 - 1) = "1", OFFSET($A$1, 97 - 1, 55 - 1) = "0" ), 2, IF( AND( OFFSET($A$1, 97 - 1, 54 - 1) = "0", OFFSET($A$1, 97 - 1, 55 - 1) = "1" ), 3, 4 ) ) )</f>
        <v>4</v>
      </c>
      <c r="BF97" s="3">
        <v>0.22421077087037522</v>
      </c>
      <c r="BG97" s="3" t="str">
        <f>"1"</f>
        <v>1</v>
      </c>
      <c r="BH97" t="str">
        <f ca="1">IF((OFFSET($A$1, 97 - 1, 58 - 1)) &gt;= (OFFSET($A$1, 93 - 1, 7 - 1)), "1","0")</f>
        <v>0</v>
      </c>
      <c r="BI97">
        <f ca="1" xml:space="preserve"> IF( AND( OFFSET($A$1, 97 - 1, 59 - 1) = "1", OFFSET($A$1, 97 - 1, 60 - 1) = "1" ), 1, IF( AND( OFFSET($A$1, 97 - 1, 59 - 1) = "1", OFFSET($A$1, 97 - 1, 60 - 1) = "0" ), 2, IF( AND( OFFSET($A$1, 97 - 1, 59 - 1) = "0", OFFSET($A$1, 97 - 1, 60 - 1) = "1" ), 3, 4 ) ) )</f>
        <v>2</v>
      </c>
    </row>
    <row r="98" spans="3:61" x14ac:dyDescent="0.35">
      <c r="C98" s="4">
        <v>1</v>
      </c>
      <c r="D98" s="3">
        <f ca="1" xml:space="preserve"> COUNTIF( OFFSET($A$1, 1 - 1, 61 - 1, 670, 1), 1 )</f>
        <v>102</v>
      </c>
      <c r="E98" s="3">
        <f ca="1" xml:space="preserve"> COUNTIF( OFFSET($A$1, 1 - 1, 61 - 1, 670, 1), 2 )</f>
        <v>173</v>
      </c>
      <c r="BA98" s="3">
        <v>0.22466824841708302</v>
      </c>
      <c r="BB98" s="3" t="str">
        <f>"0"</f>
        <v>0</v>
      </c>
      <c r="BC98" t="str">
        <f ca="1">IF((OFFSET($A$1, 98 - 1, 53 - 1)) &gt;= (OFFSET($A$1, 69 - 1, 7 - 1)), "1","0")</f>
        <v>0</v>
      </c>
      <c r="BD98">
        <f ca="1" xml:space="preserve"> IF( AND( OFFSET($A$1, 98 - 1, 54 - 1) = "1", OFFSET($A$1, 98 - 1, 55 - 1) = "1" ), 1, IF( AND( OFFSET($A$1, 98 - 1, 54 - 1) = "1", OFFSET($A$1, 98 - 1, 55 - 1) = "0" ), 2, IF( AND( OFFSET($A$1, 98 - 1, 54 - 1) = "0", OFFSET($A$1, 98 - 1, 55 - 1) = "1" ), 3, 4 ) ) )</f>
        <v>4</v>
      </c>
      <c r="BF98" s="3">
        <v>0.47559742081532763</v>
      </c>
      <c r="BG98" s="3" t="str">
        <f>"1"</f>
        <v>1</v>
      </c>
      <c r="BH98" t="str">
        <f ca="1">IF((OFFSET($A$1, 98 - 1, 58 - 1)) &gt;= (OFFSET($A$1, 93 - 1, 7 - 1)), "1","0")</f>
        <v>0</v>
      </c>
      <c r="BI98">
        <f ca="1" xml:space="preserve"> IF( AND( OFFSET($A$1, 98 - 1, 59 - 1) = "1", OFFSET($A$1, 98 - 1, 60 - 1) = "1" ), 1, IF( AND( OFFSET($A$1, 98 - 1, 59 - 1) = "1", OFFSET($A$1, 98 - 1, 60 - 1) = "0" ), 2, IF( AND( OFFSET($A$1, 98 - 1, 59 - 1) = "0", OFFSET($A$1, 98 - 1, 60 - 1) = "1" ), 3, 4 ) ) )</f>
        <v>2</v>
      </c>
    </row>
    <row r="99" spans="3:61" x14ac:dyDescent="0.35">
      <c r="C99" s="4">
        <v>0</v>
      </c>
      <c r="D99" s="3">
        <f ca="1" xml:space="preserve"> COUNTIF( OFFSET($A$1, 1 - 1, 61 - 1, 670, 1), 3 )</f>
        <v>74</v>
      </c>
      <c r="E99" s="3">
        <f ca="1" xml:space="preserve"> COUNTIF( OFFSET($A$1, 1 - 1, 61 - 1, 670, 1), 4 )</f>
        <v>320</v>
      </c>
      <c r="BA99" s="3">
        <v>0.22559244231109019</v>
      </c>
      <c r="BB99" s="3" t="str">
        <f>"0"</f>
        <v>0</v>
      </c>
      <c r="BC99" t="str">
        <f ca="1">IF((OFFSET($A$1, 99 - 1, 53 - 1)) &gt;= (OFFSET($A$1, 69 - 1, 7 - 1)), "1","0")</f>
        <v>0</v>
      </c>
      <c r="BD99">
        <f ca="1" xml:space="preserve"> IF( AND( OFFSET($A$1, 99 - 1, 54 - 1) = "1", OFFSET($A$1, 99 - 1, 55 - 1) = "1" ), 1, IF( AND( OFFSET($A$1, 99 - 1, 54 - 1) = "1", OFFSET($A$1, 99 - 1, 55 - 1) = "0" ), 2, IF( AND( OFFSET($A$1, 99 - 1, 54 - 1) = "0", OFFSET($A$1, 99 - 1, 55 - 1) = "1" ), 3, 4 ) ) )</f>
        <v>4</v>
      </c>
      <c r="BF99" s="3">
        <v>0.47692568913493288</v>
      </c>
      <c r="BG99" s="3" t="str">
        <f>"0"</f>
        <v>0</v>
      </c>
      <c r="BH99" t="str">
        <f ca="1">IF((OFFSET($A$1, 99 - 1, 58 - 1)) &gt;= (OFFSET($A$1, 93 - 1, 7 - 1)), "1","0")</f>
        <v>0</v>
      </c>
      <c r="BI99">
        <f ca="1" xml:space="preserve"> IF( AND( OFFSET($A$1, 99 - 1, 59 - 1) = "1", OFFSET($A$1, 99 - 1, 60 - 1) = "1" ), 1, IF( AND( OFFSET($A$1, 99 - 1, 59 - 1) = "1", OFFSET($A$1, 99 - 1, 60 - 1) = "0" ), 2, IF( AND( OFFSET($A$1, 99 - 1, 59 - 1) = "0", OFFSET($A$1, 99 - 1, 60 - 1) = "1" ), 3, 4 ) ) )</f>
        <v>4</v>
      </c>
    </row>
    <row r="100" spans="3:61" x14ac:dyDescent="0.35">
      <c r="BA100" s="3">
        <v>0.22652879476312271</v>
      </c>
      <c r="BB100" s="3" t="str">
        <f>"0"</f>
        <v>0</v>
      </c>
      <c r="BC100" t="str">
        <f ca="1">IF((OFFSET($A$1, 100 - 1, 53 - 1)) &gt;= (OFFSET($A$1, 69 - 1, 7 - 1)), "1","0")</f>
        <v>0</v>
      </c>
      <c r="BD100">
        <f ca="1" xml:space="preserve"> IF( AND( OFFSET($A$1, 100 - 1, 54 - 1) = "1", OFFSET($A$1, 100 - 1, 55 - 1) = "1" ), 1, IF( AND( OFFSET($A$1, 100 - 1, 54 - 1) = "1", OFFSET($A$1, 100 - 1, 55 - 1) = "0" ), 2, IF( AND( OFFSET($A$1, 100 - 1, 54 - 1) = "0", OFFSET($A$1, 100 - 1, 55 - 1) = "1" ), 3, 4 ) ) )</f>
        <v>4</v>
      </c>
      <c r="BF100" s="3">
        <v>0.22700146925731829</v>
      </c>
      <c r="BG100" s="3" t="str">
        <f>"1"</f>
        <v>1</v>
      </c>
      <c r="BH100" t="str">
        <f ca="1">IF((OFFSET($A$1, 100 - 1, 58 - 1)) &gt;= (OFFSET($A$1, 93 - 1, 7 - 1)), "1","0")</f>
        <v>0</v>
      </c>
      <c r="BI100">
        <f ca="1" xml:space="preserve"> IF( AND( OFFSET($A$1, 100 - 1, 59 - 1) = "1", OFFSET($A$1, 100 - 1, 60 - 1) = "1" ), 1, IF( AND( OFFSET($A$1, 100 - 1, 59 - 1) = "1", OFFSET($A$1, 100 - 1, 60 - 1) = "0" ), 2, IF( AND( OFFSET($A$1, 100 - 1, 59 - 1) = "0", OFFSET($A$1, 100 - 1, 60 - 1) = "1" ), 3, 4 ) ) )</f>
        <v>2</v>
      </c>
    </row>
    <row r="101" spans="3:61" ht="15.5" x14ac:dyDescent="0.35">
      <c r="C101" s="12" t="s">
        <v>139</v>
      </c>
      <c r="D101" s="13"/>
      <c r="E101" s="13"/>
      <c r="F101" s="14"/>
      <c r="BA101" s="3">
        <v>0.22747710929092871</v>
      </c>
      <c r="BB101" s="3" t="str">
        <f>"0"</f>
        <v>0</v>
      </c>
      <c r="BC101" t="str">
        <f ca="1">IF((OFFSET($A$1, 101 - 1, 53 - 1)) &gt;= (OFFSET($A$1, 69 - 1, 7 - 1)), "1","0")</f>
        <v>0</v>
      </c>
      <c r="BD101">
        <f ca="1" xml:space="preserve"> IF( AND( OFFSET($A$1, 101 - 1, 54 - 1) = "1", OFFSET($A$1, 101 - 1, 55 - 1) = "1" ), 1, IF( AND( OFFSET($A$1, 101 - 1, 54 - 1) = "1", OFFSET($A$1, 101 - 1, 55 - 1) = "0" ), 2, IF( AND( OFFSET($A$1, 101 - 1, 54 - 1) = "0", OFFSET($A$1, 101 - 1, 55 - 1) = "1" ), 3, 4 ) ) )</f>
        <v>4</v>
      </c>
      <c r="BF101" s="3">
        <v>0.47962265653835739</v>
      </c>
      <c r="BG101" s="3" t="str">
        <f>"1"</f>
        <v>1</v>
      </c>
      <c r="BH101" t="str">
        <f ca="1">IF((OFFSET($A$1, 101 - 1, 58 - 1)) &gt;= (OFFSET($A$1, 93 - 1, 7 - 1)), "1","0")</f>
        <v>0</v>
      </c>
      <c r="BI101">
        <f ca="1" xml:space="preserve"> IF( AND( OFFSET($A$1, 101 - 1, 59 - 1) = "1", OFFSET($A$1, 101 - 1, 60 - 1) = "1" ), 1, IF( AND( OFFSET($A$1, 101 - 1, 59 - 1) = "1", OFFSET($A$1, 101 - 1, 60 - 1) = "0" ), 2, IF( AND( OFFSET($A$1, 101 - 1, 59 - 1) = "0", OFFSET($A$1, 101 - 1, 60 - 1) = "1" ), 3, 4 ) ) )</f>
        <v>2</v>
      </c>
    </row>
    <row r="102" spans="3:61" x14ac:dyDescent="0.35">
      <c r="C102" s="11" t="s">
        <v>127</v>
      </c>
      <c r="D102" s="11" t="s">
        <v>140</v>
      </c>
      <c r="E102" s="11" t="s">
        <v>141</v>
      </c>
      <c r="F102" s="11" t="s">
        <v>142</v>
      </c>
      <c r="BA102" s="3">
        <v>0.22843718403266083</v>
      </c>
      <c r="BB102" s="3" t="str">
        <f>"0"</f>
        <v>0</v>
      </c>
      <c r="BC102" t="str">
        <f ca="1">IF((OFFSET($A$1, 102 - 1, 53 - 1)) &gt;= (OFFSET($A$1, 69 - 1, 7 - 1)), "1","0")</f>
        <v>0</v>
      </c>
      <c r="BD102">
        <f ca="1" xml:space="preserve"> IF( AND( OFFSET($A$1, 102 - 1, 54 - 1) = "1", OFFSET($A$1, 102 - 1, 55 - 1) = "1" ), 1, IF( AND( OFFSET($A$1, 102 - 1, 54 - 1) = "1", OFFSET($A$1, 102 - 1, 55 - 1) = "0" ), 2, IF( AND( OFFSET($A$1, 102 - 1, 54 - 1) = "0", OFFSET($A$1, 102 - 1, 55 - 1) = "1" ), 3, 4 ) ) )</f>
        <v>4</v>
      </c>
      <c r="BF102" s="3">
        <v>0.48099053655507107</v>
      </c>
      <c r="BG102" s="3" t="str">
        <f>"1"</f>
        <v>1</v>
      </c>
      <c r="BH102" t="str">
        <f ca="1">IF((OFFSET($A$1, 102 - 1, 58 - 1)) &gt;= (OFFSET($A$1, 93 - 1, 7 - 1)), "1","0")</f>
        <v>0</v>
      </c>
      <c r="BI102">
        <f ca="1" xml:space="preserve"> IF( AND( OFFSET($A$1, 102 - 1, 59 - 1) = "1", OFFSET($A$1, 102 - 1, 60 - 1) = "1" ), 1, IF( AND( OFFSET($A$1, 102 - 1, 59 - 1) = "1", OFFSET($A$1, 102 - 1, 60 - 1) = "0" ), 2, IF( AND( OFFSET($A$1, 102 - 1, 59 - 1) = "0", OFFSET($A$1, 102 - 1, 60 - 1) = "1" ), 3, 4 ) ) )</f>
        <v>2</v>
      </c>
    </row>
    <row r="103" spans="3:61" x14ac:dyDescent="0.35">
      <c r="C103" s="4">
        <v>1</v>
      </c>
      <c r="D103" s="3">
        <f ca="1">SUM(OFFSET($A$1, 98 - 1, 4 - 1, 1, 2))</f>
        <v>275</v>
      </c>
      <c r="E103" s="3">
        <f ca="1">SUM(OFFSET($A$1, 98 - 1, 4 - 1, 1, 2)) - OFFSET($A$1, 98 - 1, 4 - 1)</f>
        <v>173</v>
      </c>
      <c r="F103" s="3">
        <f ca="1">IF(OFFSET($A$1, 103 - 1, 4 - 1)=0,"Undefined",((OFFSET($A$1, 103 - 1, 5 - 1))*100) / (OFFSET($A$1, 103 - 1, 4 - 1)))</f>
        <v>62.909090909090907</v>
      </c>
      <c r="BA103" s="3">
        <v>0.22940881170446326</v>
      </c>
      <c r="BB103" s="3" t="str">
        <f>"0"</f>
        <v>0</v>
      </c>
      <c r="BC103" t="str">
        <f ca="1">IF((OFFSET($A$1, 103 - 1, 53 - 1)) &gt;= (OFFSET($A$1, 69 - 1, 7 - 1)), "1","0")</f>
        <v>0</v>
      </c>
      <c r="BD103">
        <f ca="1" xml:space="preserve"> IF( AND( OFFSET($A$1, 103 - 1, 54 - 1) = "1", OFFSET($A$1, 103 - 1, 55 - 1) = "1" ), 1, IF( AND( OFFSET($A$1, 103 - 1, 54 - 1) = "1", OFFSET($A$1, 103 - 1, 55 - 1) = "0" ), 2, IF( AND( OFFSET($A$1, 103 - 1, 54 - 1) = "0", OFFSET($A$1, 103 - 1, 55 - 1) = "1" ), 3, 4 ) ) )</f>
        <v>4</v>
      </c>
      <c r="BF103" s="3">
        <v>0.48237079280339251</v>
      </c>
      <c r="BG103" s="3" t="str">
        <f>"1"</f>
        <v>1</v>
      </c>
      <c r="BH103" t="str">
        <f ca="1">IF((OFFSET($A$1, 103 - 1, 58 - 1)) &gt;= (OFFSET($A$1, 93 - 1, 7 - 1)), "1","0")</f>
        <v>0</v>
      </c>
      <c r="BI103">
        <f ca="1" xml:space="preserve"> IF( AND( OFFSET($A$1, 103 - 1, 59 - 1) = "1", OFFSET($A$1, 103 - 1, 60 - 1) = "1" ), 1, IF( AND( OFFSET($A$1, 103 - 1, 59 - 1) = "1", OFFSET($A$1, 103 - 1, 60 - 1) = "0" ), 2, IF( AND( OFFSET($A$1, 103 - 1, 59 - 1) = "0", OFFSET($A$1, 103 - 1, 60 - 1) = "1" ), 3, 4 ) ) )</f>
        <v>2</v>
      </c>
    </row>
    <row r="104" spans="3:61" x14ac:dyDescent="0.35">
      <c r="C104" s="4">
        <v>0</v>
      </c>
      <c r="D104" s="3">
        <f ca="1">SUM(OFFSET($A$1, 99 - 1, 4 - 1, 1, 2))</f>
        <v>394</v>
      </c>
      <c r="E104" s="3">
        <f ca="1">SUM(OFFSET($A$1, 99 - 1, 4 - 1, 1, 2)) - OFFSET($A$1, 99 - 1, 5 - 1)</f>
        <v>74</v>
      </c>
      <c r="F104" s="3">
        <f ca="1">IF(OFFSET($A$1, 104 - 1, 4 - 1)=0,"Undefined",((OFFSET($A$1, 104 - 1, 5 - 1))*100) / (OFFSET($A$1, 104 - 1, 4 - 1)))</f>
        <v>18.781725888324875</v>
      </c>
      <c r="BA104" s="3">
        <v>0.23039177956211854</v>
      </c>
      <c r="BB104" s="3" t="str">
        <f>"0"</f>
        <v>0</v>
      </c>
      <c r="BC104" t="str">
        <f ca="1">IF((OFFSET($A$1, 104 - 1, 53 - 1)) &gt;= (OFFSET($A$1, 69 - 1, 7 - 1)), "1","0")</f>
        <v>0</v>
      </c>
      <c r="BD104">
        <f ca="1" xml:space="preserve"> IF( AND( OFFSET($A$1, 104 - 1, 54 - 1) = "1", OFFSET($A$1, 104 - 1, 55 - 1) = "1" ), 1, IF( AND( OFFSET($A$1, 104 - 1, 54 - 1) = "1", OFFSET($A$1, 104 - 1, 55 - 1) = "0" ), 2, IF( AND( OFFSET($A$1, 104 - 1, 54 - 1) = "0", OFFSET($A$1, 104 - 1, 55 - 1) = "1" ), 3, 4 ) ) )</f>
        <v>4</v>
      </c>
      <c r="BF104" s="3">
        <v>0.48376300306159248</v>
      </c>
      <c r="BG104" s="3" t="str">
        <f>"0"</f>
        <v>0</v>
      </c>
      <c r="BH104" t="str">
        <f ca="1">IF((OFFSET($A$1, 104 - 1, 58 - 1)) &gt;= (OFFSET($A$1, 93 - 1, 7 - 1)), "1","0")</f>
        <v>0</v>
      </c>
      <c r="BI104">
        <f ca="1" xml:space="preserve"> IF( AND( OFFSET($A$1, 104 - 1, 59 - 1) = "1", OFFSET($A$1, 104 - 1, 60 - 1) = "1" ), 1, IF( AND( OFFSET($A$1, 104 - 1, 59 - 1) = "1", OFFSET($A$1, 104 - 1, 60 - 1) = "0" ), 2, IF( AND( OFFSET($A$1, 104 - 1, 59 - 1) = "0", OFFSET($A$1, 104 - 1, 60 - 1) = "1" ), 3, 4 ) ) )</f>
        <v>4</v>
      </c>
    </row>
    <row r="105" spans="3:61" x14ac:dyDescent="0.35">
      <c r="C105" s="4" t="s">
        <v>143</v>
      </c>
      <c r="D105" s="3">
        <f ca="1">SUM(OFFSET($A$1, 103 - 1, 4 - 1, 2, 1))</f>
        <v>669</v>
      </c>
      <c r="E105" s="3">
        <f ca="1">SUM(OFFSET($A$1, 103 - 1, 5 - 1, 2, 1))</f>
        <v>247</v>
      </c>
      <c r="F105" s="3">
        <f ca="1">IF(OFFSET($A$1, 105 - 1, 4 - 1)=0,"Undefined",((OFFSET($A$1, 105 - 1, 5 - 1))*100) / (OFFSET($A$1, 105 - 1, 4 - 1)))</f>
        <v>36.920777279521673</v>
      </c>
      <c r="BA105" s="3">
        <v>0.23138586936692379</v>
      </c>
      <c r="BB105" s="3" t="str">
        <f>"1"</f>
        <v>1</v>
      </c>
      <c r="BC105" t="str">
        <f ca="1">IF((OFFSET($A$1, 105 - 1, 53 - 1)) &gt;= (OFFSET($A$1, 69 - 1, 7 - 1)), "1","0")</f>
        <v>0</v>
      </c>
      <c r="BD105">
        <f ca="1" xml:space="preserve"> IF( AND( OFFSET($A$1, 105 - 1, 54 - 1) = "1", OFFSET($A$1, 105 - 1, 55 - 1) = "1" ), 1, IF( AND( OFFSET($A$1, 105 - 1, 54 - 1) = "1", OFFSET($A$1, 105 - 1, 55 - 1) = "0" ), 2, IF( AND( OFFSET($A$1, 105 - 1, 54 - 1) = "0", OFFSET($A$1, 105 - 1, 55 - 1) = "1" ), 3, 4 ) ) )</f>
        <v>2</v>
      </c>
      <c r="BF105" s="3">
        <v>0.2318870152901055</v>
      </c>
      <c r="BG105" s="3" t="str">
        <f>"0"</f>
        <v>0</v>
      </c>
      <c r="BH105" t="str">
        <f ca="1">IF((OFFSET($A$1, 105 - 1, 58 - 1)) &gt;= (OFFSET($A$1, 93 - 1, 7 - 1)), "1","0")</f>
        <v>0</v>
      </c>
      <c r="BI105">
        <f ca="1" xml:space="preserve"> IF( AND( OFFSET($A$1, 105 - 1, 59 - 1) = "1", OFFSET($A$1, 105 - 1, 60 - 1) = "1" ), 1, IF( AND( OFFSET($A$1, 105 - 1, 59 - 1) = "1", OFFSET($A$1, 105 - 1, 60 - 1) = "0" ), 2, IF( AND( OFFSET($A$1, 105 - 1, 59 - 1) = "0", OFFSET($A$1, 105 - 1, 60 - 1) = "1" ), 3, 4 ) ) )</f>
        <v>4</v>
      </c>
    </row>
    <row r="106" spans="3:61" x14ac:dyDescent="0.35">
      <c r="BA106" s="3">
        <v>0.48587279680095835</v>
      </c>
      <c r="BB106" s="3" t="str">
        <f>"1"</f>
        <v>1</v>
      </c>
      <c r="BC106" t="str">
        <f ca="1">IF((OFFSET($A$1, 106 - 1, 53 - 1)) &gt;= (OFFSET($A$1, 69 - 1, 7 - 1)), "1","0")</f>
        <v>0</v>
      </c>
      <c r="BD106">
        <f ca="1" xml:space="preserve"> IF( AND( OFFSET($A$1, 106 - 1, 54 - 1) = "1", OFFSET($A$1, 106 - 1, 55 - 1) = "1" ), 1, IF( AND( OFFSET($A$1, 106 - 1, 54 - 1) = "1", OFFSET($A$1, 106 - 1, 55 - 1) = "0" ), 2, IF( AND( OFFSET($A$1, 106 - 1, 54 - 1) = "0", OFFSET($A$1, 106 - 1, 55 - 1) = "1" ), 3, 4 ) ) )</f>
        <v>2</v>
      </c>
      <c r="BF106" s="3">
        <v>0.23289736672684497</v>
      </c>
      <c r="BG106" s="3" t="str">
        <f>"0"</f>
        <v>0</v>
      </c>
      <c r="BH106" t="str">
        <f ca="1">IF((OFFSET($A$1, 106 - 1, 58 - 1)) &gt;= (OFFSET($A$1, 93 - 1, 7 - 1)), "1","0")</f>
        <v>0</v>
      </c>
      <c r="BI106">
        <f ca="1" xml:space="preserve"> IF( AND( OFFSET($A$1, 106 - 1, 59 - 1) = "1", OFFSET($A$1, 106 - 1, 60 - 1) = "1" ), 1, IF( AND( OFFSET($A$1, 106 - 1, 59 - 1) = "1", OFFSET($A$1, 106 - 1, 60 - 1) = "0" ), 2, IF( AND( OFFSET($A$1, 106 - 1, 59 - 1) = "0", OFFSET($A$1, 106 - 1, 60 - 1) = "1" ), 3, 4 ) ) )</f>
        <v>4</v>
      </c>
    </row>
    <row r="107" spans="3:61" ht="15.5" x14ac:dyDescent="0.35">
      <c r="C107" s="12" t="s">
        <v>144</v>
      </c>
      <c r="D107" s="13"/>
      <c r="E107" s="14"/>
      <c r="BA107" s="3">
        <v>0.4872930136596399</v>
      </c>
      <c r="BB107" s="3" t="str">
        <f>"1"</f>
        <v>1</v>
      </c>
      <c r="BC107" t="str">
        <f ca="1">IF((OFFSET($A$1, 107 - 1, 53 - 1)) &gt;= (OFFSET($A$1, 69 - 1, 7 - 1)), "1","0")</f>
        <v>0</v>
      </c>
      <c r="BD107">
        <f ca="1" xml:space="preserve"> IF( AND( OFFSET($A$1, 107 - 1, 54 - 1) = "1", OFFSET($A$1, 107 - 1, 55 - 1) = "1" ), 1, IF( AND( OFFSET($A$1, 107 - 1, 54 - 1) = "1", OFFSET($A$1, 107 - 1, 55 - 1) = "0" ), 2, IF( AND( OFFSET($A$1, 107 - 1, 54 - 1) = "0", OFFSET($A$1, 107 - 1, 55 - 1) = "1" ), 3, 4 ) ) )</f>
        <v>2</v>
      </c>
      <c r="BF107" s="3">
        <v>0.23391827029178441</v>
      </c>
      <c r="BG107" s="3" t="str">
        <f>"0"</f>
        <v>0</v>
      </c>
      <c r="BH107" t="str">
        <f ca="1">IF((OFFSET($A$1, 107 - 1, 58 - 1)) &gt;= (OFFSET($A$1, 93 - 1, 7 - 1)), "1","0")</f>
        <v>0</v>
      </c>
      <c r="BI107">
        <f ca="1" xml:space="preserve"> IF( AND( OFFSET($A$1, 107 - 1, 59 - 1) = "1", OFFSET($A$1, 107 - 1, 60 - 1) = "1" ), 1, IF( AND( OFFSET($A$1, 107 - 1, 59 - 1) = "1", OFFSET($A$1, 107 - 1, 60 - 1) = "0" ), 2, IF( AND( OFFSET($A$1, 107 - 1, 59 - 1) = "0", OFFSET($A$1, 107 - 1, 60 - 1) = "1" ), 3, 4 ) ) )</f>
        <v>4</v>
      </c>
    </row>
    <row r="108" spans="3:61" x14ac:dyDescent="0.35">
      <c r="C108" s="15" t="s">
        <v>145</v>
      </c>
      <c r="D108" s="17"/>
      <c r="E108" s="31">
        <v>1</v>
      </c>
      <c r="BA108" s="3">
        <v>0.48872366987459559</v>
      </c>
      <c r="BB108" s="3" t="str">
        <f>"1"</f>
        <v>1</v>
      </c>
      <c r="BC108" t="str">
        <f ca="1">IF((OFFSET($A$1, 108 - 1, 53 - 1)) &gt;= (OFFSET($A$1, 69 - 1, 7 - 1)), "1","0")</f>
        <v>0</v>
      </c>
      <c r="BD108">
        <f ca="1" xml:space="preserve"> IF( AND( OFFSET($A$1, 108 - 1, 54 - 1) = "1", OFFSET($A$1, 108 - 1, 55 - 1) = "1" ), 1, IF( AND( OFFSET($A$1, 108 - 1, 54 - 1) = "1", OFFSET($A$1, 108 - 1, 55 - 1) = "0" ), 2, IF( AND( OFFSET($A$1, 108 - 1, 54 - 1) = "0", OFFSET($A$1, 108 - 1, 55 - 1) = "1" ), 3, 4 ) ) )</f>
        <v>2</v>
      </c>
      <c r="BF108" s="3">
        <v>0.23494948831174536</v>
      </c>
      <c r="BG108" s="3" t="str">
        <f>"0"</f>
        <v>0</v>
      </c>
      <c r="BH108" t="str">
        <f ca="1">IF((OFFSET($A$1, 108 - 1, 58 - 1)) &gt;= (OFFSET($A$1, 93 - 1, 7 - 1)), "1","0")</f>
        <v>0</v>
      </c>
      <c r="BI108">
        <f ca="1" xml:space="preserve"> IF( AND( OFFSET($A$1, 108 - 1, 59 - 1) = "1", OFFSET($A$1, 108 - 1, 60 - 1) = "1" ), 1, IF( AND( OFFSET($A$1, 108 - 1, 59 - 1) = "1", OFFSET($A$1, 108 - 1, 60 - 1) = "0" ), 2, IF( AND( OFFSET($A$1, 108 - 1, 59 - 1) = "0", OFFSET($A$1, 108 - 1, 60 - 1) = "1" ), 3, 4 ) ) )</f>
        <v>4</v>
      </c>
    </row>
    <row r="109" spans="3:61" x14ac:dyDescent="0.35">
      <c r="C109" s="15" t="s">
        <v>146</v>
      </c>
      <c r="D109" s="17"/>
      <c r="E109" s="31">
        <f ca="1">IF((OFFSET($A$1, 98 - 1, 4 - 1) + OFFSET($A$1, 99 - 1, 4 - 1)) = 0,"Undefined",OFFSET($A$1, 98 - 1, 4 - 1)/(OFFSET($A$1, 98 - 1, 4 - 1) + OFFSET($A$1, 99 - 1, 4 - 1)))</f>
        <v>0.57954545454545459</v>
      </c>
      <c r="BA109" s="3">
        <v>0.49016432281345956</v>
      </c>
      <c r="BB109" s="3" t="str">
        <f>"0"</f>
        <v>0</v>
      </c>
      <c r="BC109" t="str">
        <f ca="1">IF((OFFSET($A$1, 109 - 1, 53 - 1)) &gt;= (OFFSET($A$1, 69 - 1, 7 - 1)), "1","0")</f>
        <v>0</v>
      </c>
      <c r="BD109">
        <f ca="1" xml:space="preserve"> IF( AND( OFFSET($A$1, 109 - 1, 54 - 1) = "1", OFFSET($A$1, 109 - 1, 55 - 1) = "1" ), 1, IF( AND( OFFSET($A$1, 109 - 1, 54 - 1) = "1", OFFSET($A$1, 109 - 1, 55 - 1) = "0" ), 2, IF( AND( OFFSET($A$1, 109 - 1, 54 - 1) = "0", OFFSET($A$1, 109 - 1, 55 - 1) = "1" ), 3, 4 ) ) )</f>
        <v>4</v>
      </c>
      <c r="BF109" s="3">
        <v>0.23599077752223374</v>
      </c>
      <c r="BG109" s="3" t="str">
        <f>"0"</f>
        <v>0</v>
      </c>
      <c r="BH109" t="str">
        <f ca="1">IF((OFFSET($A$1, 109 - 1, 58 - 1)) &gt;= (OFFSET($A$1, 93 - 1, 7 - 1)), "1","0")</f>
        <v>0</v>
      </c>
      <c r="BI109">
        <f ca="1" xml:space="preserve"> IF( AND( OFFSET($A$1, 109 - 1, 59 - 1) = "1", OFFSET($A$1, 109 - 1, 60 - 1) = "1" ), 1, IF( AND( OFFSET($A$1, 109 - 1, 59 - 1) = "1", OFFSET($A$1, 109 - 1, 60 - 1) = "0" ), 2, IF( AND( OFFSET($A$1, 109 - 1, 59 - 1) = "0", OFFSET($A$1, 109 - 1, 60 - 1) = "1" ), 3, 4 ) ) )</f>
        <v>4</v>
      </c>
    </row>
    <row r="110" spans="3:61" x14ac:dyDescent="0.35">
      <c r="C110" s="15" t="s">
        <v>147</v>
      </c>
      <c r="D110" s="17"/>
      <c r="E110" s="31">
        <f ca="1">IF((OFFSET($A$1, 98 - 1, 4 - 1) + OFFSET($A$1, 98 - 1, 5 - 1)) = 0,"Undefined",OFFSET($A$1, 98 - 1, 4 - 1)/(OFFSET($A$1, 98 - 1, 4 - 1) + OFFSET($A$1, 98 - 1, 5 - 1)))</f>
        <v>0.37090909090909091</v>
      </c>
      <c r="F110">
        <f ca="1">D98/D103</f>
        <v>0.37090909090909091</v>
      </c>
      <c r="G110">
        <f ca="1">D98/D105</f>
        <v>0.15246636771300448</v>
      </c>
      <c r="BA110" s="3">
        <v>0.23651512127282295</v>
      </c>
      <c r="BB110" s="3" t="str">
        <f>"0"</f>
        <v>0</v>
      </c>
      <c r="BC110" t="str">
        <f ca="1">IF((OFFSET($A$1, 110 - 1, 53 - 1)) &gt;= (OFFSET($A$1, 69 - 1, 7 - 1)), "1","0")</f>
        <v>0</v>
      </c>
      <c r="BD110">
        <f ca="1" xml:space="preserve"> IF( AND( OFFSET($A$1, 110 - 1, 54 - 1) = "1", OFFSET($A$1, 110 - 1, 55 - 1) = "1" ), 1, IF( AND( OFFSET($A$1, 110 - 1, 54 - 1) = "1", OFFSET($A$1, 110 - 1, 55 - 1) = "0" ), 2, IF( AND( OFFSET($A$1, 110 - 1, 54 - 1) = "0", OFFSET($A$1, 110 - 1, 55 - 1) = "1" ), 3, 4 ) ) )</f>
        <v>4</v>
      </c>
      <c r="BF110" s="3">
        <v>0.23704188905944992</v>
      </c>
      <c r="BG110" s="3" t="str">
        <f>"0"</f>
        <v>0</v>
      </c>
      <c r="BH110" t="str">
        <f ca="1">IF((OFFSET($A$1, 110 - 1, 58 - 1)) &gt;= (OFFSET($A$1, 93 - 1, 7 - 1)), "1","0")</f>
        <v>0</v>
      </c>
      <c r="BI110">
        <f ca="1" xml:space="preserve"> IF( AND( OFFSET($A$1, 110 - 1, 59 - 1) = "1", OFFSET($A$1, 110 - 1, 60 - 1) = "1" ), 1, IF( AND( OFFSET($A$1, 110 - 1, 59 - 1) = "1", OFFSET($A$1, 110 - 1, 60 - 1) = "0" ), 2, IF( AND( OFFSET($A$1, 110 - 1, 59 - 1) = "0", OFFSET($A$1, 110 - 1, 60 - 1) = "1" ), 3, 4 ) ) )</f>
        <v>4</v>
      </c>
    </row>
    <row r="111" spans="3:61" x14ac:dyDescent="0.35">
      <c r="C111" s="15" t="s">
        <v>148</v>
      </c>
      <c r="D111" s="17"/>
      <c r="E111" s="31">
        <f ca="1">IF((OFFSET($A$1, 99 - 1, 4 - 1) + OFFSET($A$1, 99 - 1, 5 - 1)) = 0,"Undefined",OFFSET($A$1, 99 - 1, 5 - 1)/(OFFSET($A$1, 99 - 1, 4 - 1) + OFFSET($A$1, 99 - 1, 5 - 1)))</f>
        <v>0.81218274111675126</v>
      </c>
      <c r="F111">
        <f ca="1">D98/(SUM(D98:D99))</f>
        <v>0.57954545454545459</v>
      </c>
      <c r="BA111" s="3">
        <v>0.23757104889879696</v>
      </c>
      <c r="BB111" s="3" t="str">
        <f>"0"</f>
        <v>0</v>
      </c>
      <c r="BC111" t="str">
        <f ca="1">IF((OFFSET($A$1, 111 - 1, 53 - 1)) &gt;= (OFFSET($A$1, 69 - 1, 7 - 1)), "1","0")</f>
        <v>0</v>
      </c>
      <c r="BD111">
        <f ca="1" xml:space="preserve"> IF( AND( OFFSET($A$1, 111 - 1, 54 - 1) = "1", OFFSET($A$1, 111 - 1, 55 - 1) = "1" ), 1, IF( AND( OFFSET($A$1, 111 - 1, 54 - 1) = "1", OFFSET($A$1, 111 - 1, 55 - 1) = "0" ), 2, IF( AND( OFFSET($A$1, 111 - 1, 54 - 1) = "0", OFFSET($A$1, 111 - 1, 55 - 1) = "1" ), 3, 4 ) ) )</f>
        <v>4</v>
      </c>
      <c r="BF111" s="3">
        <v>0.23810256845753219</v>
      </c>
      <c r="BG111" s="3" t="str">
        <f>"1"</f>
        <v>1</v>
      </c>
      <c r="BH111" t="str">
        <f ca="1">IF((OFFSET($A$1, 111 - 1, 58 - 1)) &gt;= (OFFSET($A$1, 93 - 1, 7 - 1)), "1","0")</f>
        <v>0</v>
      </c>
      <c r="BI111">
        <f ca="1" xml:space="preserve"> IF( AND( OFFSET($A$1, 111 - 1, 59 - 1) = "1", OFFSET($A$1, 111 - 1, 60 - 1) = "1" ), 1, IF( AND( OFFSET($A$1, 111 - 1, 59 - 1) = "1", OFFSET($A$1, 111 - 1, 60 - 1) = "0" ), 2, IF( AND( OFFSET($A$1, 111 - 1, 59 - 1) = "0", OFFSET($A$1, 111 - 1, 60 - 1) = "1" ), 3, 4 ) ) )</f>
        <v>2</v>
      </c>
    </row>
    <row r="112" spans="3:61" x14ac:dyDescent="0.35">
      <c r="C112" s="15" t="s">
        <v>149</v>
      </c>
      <c r="D112" s="17"/>
      <c r="E112" s="31">
        <f ca="1">IF(OR(OFFSET($A$1, 109 - 1, 5 - 1)="Undefined",OFFSET($A$1, 110 - 1, 5 - 1)="Undefined"),"Undefined",IF((OFFSET($A$1, 109 - 1, 5 - 1) + OFFSET($A$1, 110 - 1, 5 - 1))=0,"Undefined",2*OFFSET($A$1, 109 - 1, 5 - 1)*OFFSET($A$1, 110 - 1, 5 - 1)/(OFFSET($A$1, 109 - 1, 5 - 1)+OFFSET($A$1, 110 - 1, 5 - 1))))</f>
        <v>0.45232815964523282</v>
      </c>
      <c r="BA112" s="3">
        <v>0.2386364150525267</v>
      </c>
      <c r="BB112" s="3" t="str">
        <f>"0"</f>
        <v>0</v>
      </c>
      <c r="BC112" t="str">
        <f ca="1">IF((OFFSET($A$1, 112 - 1, 53 - 1)) &gt;= (OFFSET($A$1, 69 - 1, 7 - 1)), "1","0")</f>
        <v>0</v>
      </c>
      <c r="BD112">
        <f ca="1" xml:space="preserve"> IF( AND( OFFSET($A$1, 112 - 1, 54 - 1) = "1", OFFSET($A$1, 112 - 1, 55 - 1) = "1" ), 1, IF( AND( OFFSET($A$1, 112 - 1, 54 - 1) = "1", OFFSET($A$1, 112 - 1, 55 - 1) = "0" ), 2, IF( AND( OFFSET($A$1, 112 - 1, 54 - 1) = "0", OFFSET($A$1, 112 - 1, 55 - 1) = "1" ), 3, 4 ) ) )</f>
        <v>4</v>
      </c>
      <c r="BF112" s="3">
        <v>0.49527884817877776</v>
      </c>
      <c r="BG112" s="3" t="str">
        <f>"0"</f>
        <v>0</v>
      </c>
      <c r="BH112" t="str">
        <f ca="1">IF((OFFSET($A$1, 112 - 1, 58 - 1)) &gt;= (OFFSET($A$1, 93 - 1, 7 - 1)), "1","0")</f>
        <v>0</v>
      </c>
      <c r="BI112">
        <f ca="1" xml:space="preserve"> IF( AND( OFFSET($A$1, 112 - 1, 59 - 1) = "1", OFFSET($A$1, 112 - 1, 60 - 1) = "1" ), 1, IF( AND( OFFSET($A$1, 112 - 1, 59 - 1) = "1", OFFSET($A$1, 112 - 1, 60 - 1) = "0" ), 2, IF( AND( OFFSET($A$1, 112 - 1, 59 - 1) = "0", OFFSET($A$1, 112 - 1, 60 - 1) = "1" ), 3, 4 ) ) )</f>
        <v>4</v>
      </c>
    </row>
    <row r="113" spans="53:61" x14ac:dyDescent="0.35">
      <c r="BA113" s="3">
        <v>0.23971095687162663</v>
      </c>
      <c r="BB113" s="3" t="str">
        <f>"1"</f>
        <v>1</v>
      </c>
      <c r="BC113" t="str">
        <f ca="1">IF((OFFSET($A$1, 113 - 1, 53 - 1)) &gt;= (OFFSET($A$1, 69 - 1, 7 - 1)), "1","0")</f>
        <v>0</v>
      </c>
      <c r="BD113">
        <f ca="1" xml:space="preserve"> IF( AND( OFFSET($A$1, 113 - 1, 54 - 1) = "1", OFFSET($A$1, 113 - 1, 55 - 1) = "1" ), 1, IF( AND( OFFSET($A$1, 113 - 1, 54 - 1) = "1", OFFSET($A$1, 113 - 1, 55 - 1) = "0" ), 2, IF( AND( OFFSET($A$1, 113 - 1, 54 - 1) = "0", OFFSET($A$1, 113 - 1, 55 - 1) = "1" ), 3, 4 ) ) )</f>
        <v>2</v>
      </c>
      <c r="BF113" s="3">
        <v>0.24025158498356497</v>
      </c>
      <c r="BG113" s="3" t="str">
        <f>"0"</f>
        <v>0</v>
      </c>
      <c r="BH113" t="str">
        <f ca="1">IF((OFFSET($A$1, 113 - 1, 58 - 1)) &gt;= (OFFSET($A$1, 93 - 1, 7 - 1)), "1","0")</f>
        <v>0</v>
      </c>
      <c r="BI113">
        <f ca="1" xml:space="preserve"> IF( AND( OFFSET($A$1, 113 - 1, 59 - 1) = "1", OFFSET($A$1, 113 - 1, 60 - 1) = "1" ), 1, IF( AND( OFFSET($A$1, 113 - 1, 59 - 1) = "1", OFFSET($A$1, 113 - 1, 60 - 1) = "0" ), 2, IF( AND( OFFSET($A$1, 113 - 1, 59 - 1) = "0", OFFSET($A$1, 113 - 1, 60 - 1) = "1" ), 3, 4 ) ) )</f>
        <v>4</v>
      </c>
    </row>
    <row r="114" spans="53:61" x14ac:dyDescent="0.35">
      <c r="BA114" s="3">
        <v>0.49750177070668455</v>
      </c>
      <c r="BB114" s="3" t="str">
        <f>"0"</f>
        <v>0</v>
      </c>
      <c r="BC114" t="str">
        <f ca="1">IF((OFFSET($A$1, 114 - 1, 53 - 1)) &gt;= (OFFSET($A$1, 69 - 1, 7 - 1)), "1","0")</f>
        <v>0</v>
      </c>
      <c r="BD114">
        <f ca="1" xml:space="preserve"> IF( AND( OFFSET($A$1, 114 - 1, 54 - 1) = "1", OFFSET($A$1, 114 - 1, 55 - 1) = "1" ), 1, IF( AND( OFFSET($A$1, 114 - 1, 54 - 1) = "1", OFFSET($A$1, 114 - 1, 55 - 1) = "0" ), 2, IF( AND( OFFSET($A$1, 114 - 1, 54 - 1) = "0", OFFSET($A$1, 114 - 1, 55 - 1) = "1" ), 3, 4 ) ) )</f>
        <v>4</v>
      </c>
      <c r="BF114" s="3">
        <v>0.24133938522037268</v>
      </c>
      <c r="BG114" s="3" t="str">
        <f>"1"</f>
        <v>1</v>
      </c>
      <c r="BH114" t="str">
        <f ca="1">IF((OFFSET($A$1, 114 - 1, 58 - 1)) &gt;= (OFFSET($A$1, 93 - 1, 7 - 1)), "1","0")</f>
        <v>0</v>
      </c>
      <c r="BI114">
        <f ca="1" xml:space="preserve"> IF( AND( OFFSET($A$1, 114 - 1, 59 - 1) = "1", OFFSET($A$1, 114 - 1, 60 - 1) = "1" ), 1, IF( AND( OFFSET($A$1, 114 - 1, 59 - 1) = "1", OFFSET($A$1, 114 - 1, 60 - 1) = "0" ), 2, IF( AND( OFFSET($A$1, 114 - 1, 59 - 1) = "0", OFFSET($A$1, 114 - 1, 60 - 1) = "1" ), 3, 4 ) ) )</f>
        <v>2</v>
      </c>
    </row>
    <row r="115" spans="53:61" x14ac:dyDescent="0.35">
      <c r="BA115" s="3">
        <v>0.24188648814666464</v>
      </c>
      <c r="BB115" s="3" t="str">
        <f>"0"</f>
        <v>0</v>
      </c>
      <c r="BC115" t="str">
        <f ca="1">IF((OFFSET($A$1, 115 - 1, 53 - 1)) &gt;= (OFFSET($A$1, 69 - 1, 7 - 1)), "1","0")</f>
        <v>0</v>
      </c>
      <c r="BD115">
        <f ca="1" xml:space="preserve"> IF( AND( OFFSET($A$1, 115 - 1, 54 - 1) = "1", OFFSET($A$1, 115 - 1, 55 - 1) = "1" ), 1, IF( AND( OFFSET($A$1, 115 - 1, 54 - 1) = "1", OFFSET($A$1, 115 - 1, 55 - 1) = "0" ), 2, IF( AND( OFFSET($A$1, 115 - 1, 54 - 1) = "0", OFFSET($A$1, 115 - 1, 55 - 1) = "1" ), 3, 4 ) ) )</f>
        <v>4</v>
      </c>
      <c r="BF115" s="3">
        <v>0.49974103115266721</v>
      </c>
      <c r="BG115" s="3" t="str">
        <f>"1"</f>
        <v>1</v>
      </c>
      <c r="BH115" t="str">
        <f ca="1">IF((OFFSET($A$1, 115 - 1, 58 - 1)) &gt;= (OFFSET($A$1, 93 - 1, 7 - 1)), "1","0")</f>
        <v>0</v>
      </c>
      <c r="BI115">
        <f ca="1" xml:space="preserve"> IF( AND( OFFSET($A$1, 115 - 1, 59 - 1) = "1", OFFSET($A$1, 115 - 1, 60 - 1) = "1" ), 1, IF( AND( OFFSET($A$1, 115 - 1, 59 - 1) = "1", OFFSET($A$1, 115 - 1, 60 - 1) = "0" ), 2, IF( AND( OFFSET($A$1, 115 - 1, 59 - 1) = "0", OFFSET($A$1, 115 - 1, 60 - 1) = "1" ), 3, 4 ) ) )</f>
        <v>2</v>
      </c>
    </row>
    <row r="116" spans="53:61" x14ac:dyDescent="0.35">
      <c r="BA116" s="3">
        <v>0.24298692402344035</v>
      </c>
      <c r="BB116" s="3" t="str">
        <f>"0"</f>
        <v>0</v>
      </c>
      <c r="BC116" t="str">
        <f ca="1">IF((OFFSET($A$1, 116 - 1, 53 - 1)) &gt;= (OFFSET($A$1, 69 - 1, 7 - 1)), "1","0")</f>
        <v>0</v>
      </c>
      <c r="BD116">
        <f ca="1" xml:space="preserve"> IF( AND( OFFSET($A$1, 116 - 1, 54 - 1) = "1", OFFSET($A$1, 116 - 1, 55 - 1) = "1" ), 1, IF( AND( OFFSET($A$1, 116 - 1, 54 - 1) = "1", OFFSET($A$1, 116 - 1, 55 - 1) = "0" ), 2, IF( AND( OFFSET($A$1, 116 - 1, 54 - 1) = "0", OFFSET($A$1, 116 - 1, 55 - 1) = "1" ), 3, 4 ) ) )</f>
        <v>4</v>
      </c>
      <c r="BF116" s="3">
        <v>0.50124216864178728</v>
      </c>
      <c r="BG116" s="3" t="str">
        <f>"0"</f>
        <v>0</v>
      </c>
      <c r="BH116" t="str">
        <f ca="1">IF((OFFSET($A$1, 116 - 1, 58 - 1)) &gt;= (OFFSET($A$1, 93 - 1, 7 - 1)), "1","0")</f>
        <v>1</v>
      </c>
      <c r="BI116">
        <f ca="1" xml:space="preserve"> IF( AND( OFFSET($A$1, 116 - 1, 59 - 1) = "1", OFFSET($A$1, 116 - 1, 60 - 1) = "1" ), 1, IF( AND( OFFSET($A$1, 116 - 1, 59 - 1) = "1", OFFSET($A$1, 116 - 1, 60 - 1) = "0" ), 2, IF( AND( OFFSET($A$1, 116 - 1, 59 - 1) = "0", OFFSET($A$1, 116 - 1, 60 - 1) = "1" ), 3, 4 ) ) )</f>
        <v>3</v>
      </c>
    </row>
    <row r="117" spans="53:61" x14ac:dyDescent="0.35">
      <c r="BA117" s="3">
        <v>0.24409542845769383</v>
      </c>
      <c r="BB117" s="3" t="str">
        <f>"0"</f>
        <v>0</v>
      </c>
      <c r="BC117" t="str">
        <f ca="1">IF((OFFSET($A$1, 117 - 1, 53 - 1)) &gt;= (OFFSET($A$1, 69 - 1, 7 - 1)), "1","0")</f>
        <v>0</v>
      </c>
      <c r="BD117">
        <f ca="1" xml:space="preserve"> IF( AND( OFFSET($A$1, 117 - 1, 54 - 1) = "1", OFFSET($A$1, 117 - 1, 55 - 1) = "1" ), 1, IF( AND( OFFSET($A$1, 117 - 1, 54 - 1) = "1", OFFSET($A$1, 117 - 1, 55 - 1) = "0" ), 2, IF( AND( OFFSET($A$1, 117 - 1, 54 - 1) = "0", OFFSET($A$1, 117 - 1, 55 - 1) = "1" ), 3, 4 ) ) )</f>
        <v>4</v>
      </c>
      <c r="BF117" s="3">
        <v>0.24465261579538994</v>
      </c>
      <c r="BG117" s="3" t="str">
        <f>"0"</f>
        <v>0</v>
      </c>
      <c r="BH117" t="str">
        <f ca="1">IF((OFFSET($A$1, 117 - 1, 58 - 1)) &gt;= (OFFSET($A$1, 93 - 1, 7 - 1)), "1","0")</f>
        <v>0</v>
      </c>
      <c r="BI117">
        <f ca="1" xml:space="preserve"> IF( AND( OFFSET($A$1, 117 - 1, 59 - 1) = "1", OFFSET($A$1, 117 - 1, 60 - 1) = "1" ), 1, IF( AND( OFFSET($A$1, 117 - 1, 59 - 1) = "1", OFFSET($A$1, 117 - 1, 60 - 1) = "0" ), 2, IF( AND( OFFSET($A$1, 117 - 1, 59 - 1) = "0", OFFSET($A$1, 117 - 1, 60 - 1) = "1" ), 3, 4 ) ) )</f>
        <v>4</v>
      </c>
    </row>
    <row r="118" spans="53:61" x14ac:dyDescent="0.35">
      <c r="BA118" s="3">
        <v>0.24521171088412747</v>
      </c>
      <c r="BB118" s="3" t="str">
        <f>"0"</f>
        <v>0</v>
      </c>
      <c r="BC118" t="str">
        <f ca="1">IF((OFFSET($A$1, 118 - 1, 53 - 1)) &gt;= (OFFSET($A$1, 69 - 1, 7 - 1)), "1","0")</f>
        <v>0</v>
      </c>
      <c r="BD118">
        <f ca="1" xml:space="preserve"> IF( AND( OFFSET($A$1, 118 - 1, 54 - 1) = "1", OFFSET($A$1, 118 - 1, 55 - 1) = "1" ), 1, IF( AND( OFFSET($A$1, 118 - 1, 54 - 1) = "1", OFFSET($A$1, 118 - 1, 55 - 1) = "0" ), 2, IF( AND( OFFSET($A$1, 118 - 1, 54 - 1) = "0", OFFSET($A$1, 118 - 1, 55 - 1) = "1" ), 3, 4 ) ) )</f>
        <v>4</v>
      </c>
      <c r="BF118" s="3">
        <v>0.24577267655291546</v>
      </c>
      <c r="BG118" s="3" t="str">
        <f>"1"</f>
        <v>1</v>
      </c>
      <c r="BH118" t="str">
        <f ca="1">IF((OFFSET($A$1, 118 - 1, 58 - 1)) &gt;= (OFFSET($A$1, 93 - 1, 7 - 1)), "1","0")</f>
        <v>0</v>
      </c>
      <c r="BI118">
        <f ca="1" xml:space="preserve"> IF( AND( OFFSET($A$1, 118 - 1, 59 - 1) = "1", OFFSET($A$1, 118 - 1, 60 - 1) = "1" ), 1, IF( AND( OFFSET($A$1, 118 - 1, 59 - 1) = "1", OFFSET($A$1, 118 - 1, 60 - 1) = "0" ), 2, IF( AND( OFFSET($A$1, 118 - 1, 59 - 1) = "0", OFFSET($A$1, 118 - 1, 60 - 1) = "1" ), 3, 4 ) ) )</f>
        <v>2</v>
      </c>
    </row>
    <row r="119" spans="53:61" x14ac:dyDescent="0.35">
      <c r="BA119" s="3">
        <v>0.24633547529335045</v>
      </c>
      <c r="BB119" s="3" t="str">
        <f>"0"</f>
        <v>0</v>
      </c>
      <c r="BC119" t="str">
        <f ca="1">IF((OFFSET($A$1, 119 - 1, 53 - 1)) &gt;= (OFFSET($A$1, 69 - 1, 7 - 1)), "1","0")</f>
        <v>0</v>
      </c>
      <c r="BD119">
        <f ca="1" xml:space="preserve"> IF( AND( OFFSET($A$1, 119 - 1, 54 - 1) = "1", OFFSET($A$1, 119 - 1, 55 - 1) = "1" ), 1, IF( AND( OFFSET($A$1, 119 - 1, 54 - 1) = "1", OFFSET($A$1, 119 - 1, 55 - 1) = "0" ), 2, IF( AND( OFFSET($A$1, 119 - 1, 54 - 1) = "0", OFFSET($A$1, 119 - 1, 55 - 1) = "1" ), 3, 4 ) ) )</f>
        <v>4</v>
      </c>
      <c r="BF119" s="3">
        <v>0.50578021278056295</v>
      </c>
      <c r="BG119" s="3" t="str">
        <f>"1"</f>
        <v>1</v>
      </c>
      <c r="BH119" t="str">
        <f ca="1">IF((OFFSET($A$1, 119 - 1, 58 - 1)) &gt;= (OFFSET($A$1, 93 - 1, 7 - 1)), "1","0")</f>
        <v>1</v>
      </c>
      <c r="BI119">
        <f ca="1" xml:space="preserve"> IF( AND( OFFSET($A$1, 119 - 1, 59 - 1) = "1", OFFSET($A$1, 119 - 1, 60 - 1) = "1" ), 1, IF( AND( OFFSET($A$1, 119 - 1, 59 - 1) = "1", OFFSET($A$1, 119 - 1, 60 - 1) = "0" ), 2, IF( AND( OFFSET($A$1, 119 - 1, 59 - 1) = "0", OFFSET($A$1, 119 - 1, 60 - 1) = "1" ), 3, 4 ) ) )</f>
        <v>1</v>
      </c>
    </row>
    <row r="120" spans="53:61" x14ac:dyDescent="0.35">
      <c r="BA120" s="3">
        <v>0.24746642027808105</v>
      </c>
      <c r="BB120" s="3" t="str">
        <f>"0"</f>
        <v>0</v>
      </c>
      <c r="BC120" t="str">
        <f ca="1">IF((OFFSET($A$1, 120 - 1, 53 - 1)) &gt;= (OFFSET($A$1, 69 - 1, 7 - 1)), "1","0")</f>
        <v>0</v>
      </c>
      <c r="BD120">
        <f ca="1" xml:space="preserve"> IF( AND( OFFSET($A$1, 120 - 1, 54 - 1) = "1", OFFSET($A$1, 120 - 1, 55 - 1) = "1" ), 1, IF( AND( OFFSET($A$1, 120 - 1, 54 - 1) = "1", OFFSET($A$1, 120 - 1, 55 - 1) = "0" ), 2, IF( AND( OFFSET($A$1, 120 - 1, 54 - 1) = "0", OFFSET($A$1, 120 - 1, 55 - 1) = "1" ), 3, 4 ) ) )</f>
        <v>4</v>
      </c>
      <c r="BF120" s="3">
        <v>0.50730285141079212</v>
      </c>
      <c r="BG120" s="3" t="str">
        <f>"1"</f>
        <v>1</v>
      </c>
      <c r="BH120" t="str">
        <f ca="1">IF((OFFSET($A$1, 120 - 1, 58 - 1)) &gt;= (OFFSET($A$1, 93 - 1, 7 - 1)), "1","0")</f>
        <v>1</v>
      </c>
      <c r="BI120">
        <f ca="1" xml:space="preserve"> IF( AND( OFFSET($A$1, 120 - 1, 59 - 1) = "1", OFFSET($A$1, 120 - 1, 60 - 1) = "1" ), 1, IF( AND( OFFSET($A$1, 120 - 1, 59 - 1) = "1", OFFSET($A$1, 120 - 1, 60 - 1) = "0" ), 2, IF( AND( OFFSET($A$1, 120 - 1, 59 - 1) = "0", OFFSET($A$1, 120 - 1, 60 - 1) = "1" ), 3, 4 ) ) )</f>
        <v>1</v>
      </c>
    </row>
    <row r="121" spans="53:61" x14ac:dyDescent="0.35">
      <c r="BA121" s="3">
        <v>0.24860423908549686</v>
      </c>
      <c r="BB121" s="3" t="str">
        <f>"1"</f>
        <v>1</v>
      </c>
      <c r="BC121" t="str">
        <f ca="1">IF((OFFSET($A$1, 121 - 1, 53 - 1)) &gt;= (OFFSET($A$1, 69 - 1, 7 - 1)), "1","0")</f>
        <v>0</v>
      </c>
      <c r="BD121">
        <f ca="1" xml:space="preserve"> IF( AND( OFFSET($A$1, 121 - 1, 54 - 1) = "1", OFFSET($A$1, 121 - 1, 55 - 1) = "1" ), 1, IF( AND( OFFSET($A$1, 121 - 1, 54 - 1) = "1", OFFSET($A$1, 121 - 1, 55 - 1) = "0" ), 2, IF( AND( OFFSET($A$1, 121 - 1, 54 - 1) = "0", OFFSET($A$1, 121 - 1, 55 - 1) = "1" ), 3, 4 ) ) )</f>
        <v>2</v>
      </c>
      <c r="BF121" s="3">
        <v>0.50882967039821603</v>
      </c>
      <c r="BG121" s="3" t="str">
        <f>"0"</f>
        <v>0</v>
      </c>
      <c r="BH121" t="str">
        <f ca="1">IF((OFFSET($A$1, 121 - 1, 58 - 1)) &gt;= (OFFSET($A$1, 93 - 1, 7 - 1)), "1","0")</f>
        <v>1</v>
      </c>
      <c r="BI121">
        <f ca="1" xml:space="preserve"> IF( AND( OFFSET($A$1, 121 - 1, 59 - 1) = "1", OFFSET($A$1, 121 - 1, 60 - 1) = "1" ), 1, IF( AND( OFFSET($A$1, 121 - 1, 59 - 1) = "1", OFFSET($A$1, 121 - 1, 60 - 1) = "0" ), 2, IF( AND( OFFSET($A$1, 121 - 1, 59 - 1) = "0", OFFSET($A$1, 121 - 1, 60 - 1) = "1" ), 3, 4 ) ) )</f>
        <v>3</v>
      </c>
    </row>
    <row r="122" spans="53:61" x14ac:dyDescent="0.35">
      <c r="BA122" s="3">
        <v>0.50959449712040172</v>
      </c>
      <c r="BB122" s="3" t="str">
        <f>"1"</f>
        <v>1</v>
      </c>
      <c r="BC122" t="str">
        <f ca="1">IF((OFFSET($A$1, 122 - 1, 53 - 1)) &gt;= (OFFSET($A$1, 69 - 1, 7 - 1)), "1","0")</f>
        <v>1</v>
      </c>
      <c r="BD122">
        <f ca="1" xml:space="preserve"> IF( AND( OFFSET($A$1, 122 - 1, 54 - 1) = "1", OFFSET($A$1, 122 - 1, 55 - 1) = "1" ), 1, IF( AND( OFFSET($A$1, 122 - 1, 54 - 1) = "1", OFFSET($A$1, 122 - 1, 55 - 1) = "0" ), 2, IF( AND( OFFSET($A$1, 122 - 1, 54 - 1) = "0", OFFSET($A$1, 122 - 1, 55 - 1) = "1" ), 3, 4 ) ) )</f>
        <v>1</v>
      </c>
      <c r="BF122" s="3">
        <v>0.25032317169721258</v>
      </c>
      <c r="BG122" s="3" t="str">
        <f>"0"</f>
        <v>0</v>
      </c>
      <c r="BH122" t="str">
        <f ca="1">IF((OFFSET($A$1, 122 - 1, 58 - 1)) &gt;= (OFFSET($A$1, 93 - 1, 7 - 1)), "1","0")</f>
        <v>0</v>
      </c>
      <c r="BI122">
        <f ca="1" xml:space="preserve"> IF( AND( OFFSET($A$1, 122 - 1, 59 - 1) = "1", OFFSET($A$1, 122 - 1, 60 - 1) = "1" ), 1, IF( AND( OFFSET($A$1, 122 - 1, 59 - 1) = "1", OFFSET($A$1, 122 - 1, 60 - 1) = "0" ), 2, IF( AND( OFFSET($A$1, 122 - 1, 59 - 1) = "0", OFFSET($A$1, 122 - 1, 60 - 1) = "1" ), 3, 4 ) ) )</f>
        <v>4</v>
      </c>
    </row>
    <row r="123" spans="53:61" x14ac:dyDescent="0.35">
      <c r="BA123" s="3">
        <v>0.51112668343643786</v>
      </c>
      <c r="BB123" s="3" t="str">
        <f>"0"</f>
        <v>0</v>
      </c>
      <c r="BC123" t="str">
        <f ca="1">IF((OFFSET($A$1, 123 - 1, 53 - 1)) &gt;= (OFFSET($A$1, 69 - 1, 7 - 1)), "1","0")</f>
        <v>1</v>
      </c>
      <c r="BD123">
        <f ca="1" xml:space="preserve"> IF( AND( OFFSET($A$1, 123 - 1, 54 - 1) = "1", OFFSET($A$1, 123 - 1, 55 - 1) = "1" ), 1, IF( AND( OFFSET($A$1, 123 - 1, 54 - 1) = "1", OFFSET($A$1, 123 - 1, 55 - 1) = "0" ), 2, IF( AND( OFFSET($A$1, 123 - 1, 54 - 1) = "0", OFFSET($A$1, 123 - 1, 55 - 1) = "1" ), 3, 4 ) ) )</f>
        <v>3</v>
      </c>
      <c r="BF123" s="3">
        <v>0.25147679848282295</v>
      </c>
      <c r="BG123" s="3" t="str">
        <f>"0"</f>
        <v>0</v>
      </c>
      <c r="BH123" t="str">
        <f ca="1">IF((OFFSET($A$1, 123 - 1, 58 - 1)) &gt;= (OFFSET($A$1, 93 - 1, 7 - 1)), "1","0")</f>
        <v>0</v>
      </c>
      <c r="BI123">
        <f ca="1" xml:space="preserve"> IF( AND( OFFSET($A$1, 123 - 1, 59 - 1) = "1", OFFSET($A$1, 123 - 1, 60 - 1) = "1" ), 1, IF( AND( OFFSET($A$1, 123 - 1, 59 - 1) = "1", OFFSET($A$1, 123 - 1, 60 - 1) = "0" ), 2, IF( AND( OFFSET($A$1, 123 - 1, 59 - 1) = "0", OFFSET($A$1, 123 - 1, 60 - 1) = "1" ), 3, 4 ) ) )</f>
        <v>4</v>
      </c>
    </row>
    <row r="124" spans="53:61" x14ac:dyDescent="0.35">
      <c r="BA124" s="3">
        <v>0.2520557920057056</v>
      </c>
      <c r="BB124" s="3" t="str">
        <f>"0"</f>
        <v>0</v>
      </c>
      <c r="BC124" t="str">
        <f ca="1">IF((OFFSET($A$1, 124 - 1, 53 - 1)) &gt;= (OFFSET($A$1, 69 - 1, 7 - 1)), "1","0")</f>
        <v>0</v>
      </c>
      <c r="BD124">
        <f ca="1" xml:space="preserve"> IF( AND( OFFSET($A$1, 124 - 1, 54 - 1) = "1", OFFSET($A$1, 124 - 1, 55 - 1) = "1" ), 1, IF( AND( OFFSET($A$1, 124 - 1, 54 - 1) = "1", OFFSET($A$1, 124 - 1, 55 - 1) = "0" ), 2, IF( AND( OFFSET($A$1, 124 - 1, 54 - 1) = "0", OFFSET($A$1, 124 - 1, 55 - 1) = "1" ), 3, 4 ) ) )</f>
        <v>4</v>
      </c>
      <c r="BF124" s="3">
        <v>0.25263618426173073</v>
      </c>
      <c r="BG124" s="3" t="str">
        <f>"0"</f>
        <v>0</v>
      </c>
      <c r="BH124" t="str">
        <f ca="1">IF((OFFSET($A$1, 124 - 1, 58 - 1)) &gt;= (OFFSET($A$1, 93 - 1, 7 - 1)), "1","0")</f>
        <v>0</v>
      </c>
      <c r="BI124">
        <f ca="1" xml:space="preserve"> IF( AND( OFFSET($A$1, 124 - 1, 59 - 1) = "1", OFFSET($A$1, 124 - 1, 60 - 1) = "1" ), 1, IF( AND( OFFSET($A$1, 124 - 1, 59 - 1) = "1", OFFSET($A$1, 124 - 1, 60 - 1) = "0" ), 2, IF( AND( OFFSET($A$1, 124 - 1, 59 - 1) = "0", OFFSET($A$1, 124 - 1, 60 - 1) = "1" ), 3, 4 ) ) )</f>
        <v>4</v>
      </c>
    </row>
    <row r="125" spans="53:61" x14ac:dyDescent="0.35">
      <c r="BA125" s="3">
        <v>0.25321793384512775</v>
      </c>
      <c r="BB125" s="3" t="str">
        <f>"1"</f>
        <v>1</v>
      </c>
      <c r="BC125" t="str">
        <f ca="1">IF((OFFSET($A$1, 125 - 1, 53 - 1)) &gt;= (OFFSET($A$1, 69 - 1, 7 - 1)), "1","0")</f>
        <v>0</v>
      </c>
      <c r="BD125">
        <f ca="1" xml:space="preserve"> IF( AND( OFFSET($A$1, 125 - 1, 54 - 1) = "1", OFFSET($A$1, 125 - 1, 55 - 1) = "1" ), 1, IF( AND( OFFSET($A$1, 125 - 1, 54 - 1) = "1", OFFSET($A$1, 125 - 1, 55 - 1) = "0" ), 2, IF( AND( OFFSET($A$1, 125 - 1, 54 - 1) = "0", OFFSET($A$1, 125 - 1, 55 - 1) = "1" ), 3, 4 ) ) )</f>
        <v>2</v>
      </c>
      <c r="BF125" s="3">
        <v>0.25380099904094849</v>
      </c>
      <c r="BG125" s="3" t="str">
        <f>"1"</f>
        <v>1</v>
      </c>
      <c r="BH125" t="str">
        <f ca="1">IF((OFFSET($A$1, 125 - 1, 58 - 1)) &gt;= (OFFSET($A$1, 93 - 1, 7 - 1)), "1","0")</f>
        <v>0</v>
      </c>
      <c r="BI125">
        <f ca="1" xml:space="preserve"> IF( AND( OFFSET($A$1, 125 - 1, 59 - 1) = "1", OFFSET($A$1, 125 - 1, 60 - 1) = "1" ), 1, IF( AND( OFFSET($A$1, 125 - 1, 59 - 1) = "1", OFFSET($A$1, 125 - 1, 60 - 1) = "0" ), 2, IF( AND( OFFSET($A$1, 125 - 1, 59 - 1) = "0", OFFSET($A$1, 125 - 1, 60 - 1) = "1" ), 3, 4 ) ) )</f>
        <v>2</v>
      </c>
    </row>
    <row r="126" spans="53:61" x14ac:dyDescent="0.35">
      <c r="BA126" s="3">
        <v>0.51573914856090386</v>
      </c>
      <c r="BB126" s="3" t="str">
        <f>"1"</f>
        <v>1</v>
      </c>
      <c r="BC126" t="str">
        <f ca="1">IF((OFFSET($A$1, 126 - 1, 53 - 1)) &gt;= (OFFSET($A$1, 69 - 1, 7 - 1)), "1","0")</f>
        <v>1</v>
      </c>
      <c r="BD126">
        <f ca="1" xml:space="preserve"> IF( AND( OFFSET($A$1, 126 - 1, 54 - 1) = "1", OFFSET($A$1, 126 - 1, 55 - 1) = "1" ), 1, IF( AND( OFFSET($A$1, 126 - 1, 54 - 1) = "1", OFFSET($A$1, 126 - 1, 55 - 1) = "0" ), 2, IF( AND( OFFSET($A$1, 126 - 1, 54 - 1) = "0", OFFSET($A$1, 126 - 1, 55 - 1) = "1" ), 3, 4 ) ) )</f>
        <v>1</v>
      </c>
      <c r="BF126" s="3">
        <v>0.51650957561882693</v>
      </c>
      <c r="BG126" s="3" t="str">
        <f>"1"</f>
        <v>1</v>
      </c>
      <c r="BH126" t="str">
        <f ca="1">IF((OFFSET($A$1, 126 - 1, 58 - 1)) &gt;= (OFFSET($A$1, 93 - 1, 7 - 1)), "1","0")</f>
        <v>1</v>
      </c>
      <c r="BI126">
        <f ca="1" xml:space="preserve"> IF( AND( OFFSET($A$1, 126 - 1, 59 - 1) = "1", OFFSET($A$1, 126 - 1, 60 - 1) = "1" ), 1, IF( AND( OFFSET($A$1, 126 - 1, 59 - 1) = "1", OFFSET($A$1, 126 - 1, 60 - 1) = "0" ), 2, IF( AND( OFFSET($A$1, 126 - 1, 59 - 1) = "0", OFFSET($A$1, 126 - 1, 60 - 1) = "1" ), 3, 4 ) ) )</f>
        <v>1</v>
      </c>
    </row>
    <row r="127" spans="53:61" x14ac:dyDescent="0.35">
      <c r="BA127" s="3">
        <v>0.51728032151831582</v>
      </c>
      <c r="BB127" s="3" t="str">
        <f>"1"</f>
        <v>1</v>
      </c>
      <c r="BC127" t="str">
        <f ca="1">IF((OFFSET($A$1, 127 - 1, 53 - 1)) &gt;= (OFFSET($A$1, 69 - 1, 7 - 1)), "1","0")</f>
        <v>1</v>
      </c>
      <c r="BD127">
        <f ca="1" xml:space="preserve"> IF( AND( OFFSET($A$1, 127 - 1, 54 - 1) = "1", OFFSET($A$1, 127 - 1, 55 - 1) = "1" ), 1, IF( AND( OFFSET($A$1, 127 - 1, 54 - 1) = "1", OFFSET($A$1, 127 - 1, 55 - 1) = "0" ), 2, IF( AND( OFFSET($A$1, 127 - 1, 54 - 1) = "0", OFFSET($A$1, 127 - 1, 55 - 1) = "1" ), 3, 4 ) ) )</f>
        <v>1</v>
      </c>
      <c r="BF127" s="3">
        <v>0.51805132546550292</v>
      </c>
      <c r="BG127" s="3" t="str">
        <f>"0"</f>
        <v>0</v>
      </c>
      <c r="BH127" t="str">
        <f ca="1">IF((OFFSET($A$1, 127 - 1, 58 - 1)) &gt;= (OFFSET($A$1, 93 - 1, 7 - 1)), "1","0")</f>
        <v>1</v>
      </c>
      <c r="BI127">
        <f ca="1" xml:space="preserve"> IF( AND( OFFSET($A$1, 127 - 1, 59 - 1) = "1", OFFSET($A$1, 127 - 1, 60 - 1) = "1" ), 1, IF( AND( OFFSET($A$1, 127 - 1, 59 - 1) = "1", OFFSET($A$1, 127 - 1, 60 - 1) = "0" ), 2, IF( AND( OFFSET($A$1, 127 - 1, 59 - 1) = "0", OFFSET($A$1, 127 - 1, 60 - 1) = "1" ), 3, 4 ) ) )</f>
        <v>3</v>
      </c>
    </row>
    <row r="128" spans="53:61" x14ac:dyDescent="0.35">
      <c r="BA128" s="3">
        <v>0.51882252665750417</v>
      </c>
      <c r="BB128" s="3" t="str">
        <f>"0"</f>
        <v>0</v>
      </c>
      <c r="BC128" t="str">
        <f ca="1">IF((OFFSET($A$1, 128 - 1, 53 - 1)) &gt;= (OFFSET($A$1, 69 - 1, 7 - 1)), "1","0")</f>
        <v>1</v>
      </c>
      <c r="BD128">
        <f ca="1" xml:space="preserve"> IF( AND( OFFSET($A$1, 128 - 1, 54 - 1) = "1", OFFSET($A$1, 128 - 1, 55 - 1) = "1" ), 1, IF( AND( OFFSET($A$1, 128 - 1, 54 - 1) = "1", OFFSET($A$1, 128 - 1, 55 - 1) = "0" ), 2, IF( AND( OFFSET($A$1, 128 - 1, 54 - 1) = "0", OFFSET($A$1, 128 - 1, 55 - 1) = "1" ), 3, 4 ) ) )</f>
        <v>3</v>
      </c>
      <c r="BF128" s="3">
        <v>0.25732464382393228</v>
      </c>
      <c r="BG128" s="3" t="str">
        <f>"1"</f>
        <v>1</v>
      </c>
      <c r="BH128" t="str">
        <f ca="1">IF((OFFSET($A$1, 128 - 1, 58 - 1)) &gt;= (OFFSET($A$1, 93 - 1, 7 - 1)), "1","0")</f>
        <v>0</v>
      </c>
      <c r="BI128">
        <f ca="1" xml:space="preserve"> IF( AND( OFFSET($A$1, 128 - 1, 59 - 1) = "1", OFFSET($A$1, 128 - 1, 60 - 1) = "1" ), 1, IF( AND( OFFSET($A$1, 128 - 1, 59 - 1) = "1", OFFSET($A$1, 128 - 1, 60 - 1) = "0" ), 2, IF( AND( OFFSET($A$1, 128 - 1, 59 - 1) = "0", OFFSET($A$1, 128 - 1, 60 - 1) = "1" ), 3, 4 ) ) )</f>
        <v>2</v>
      </c>
    </row>
    <row r="129" spans="53:61" x14ac:dyDescent="0.35">
      <c r="BA129" s="3">
        <v>0.25791572494198384</v>
      </c>
      <c r="BB129" s="3" t="str">
        <f>"0"</f>
        <v>0</v>
      </c>
      <c r="BC129" t="str">
        <f ca="1">IF((OFFSET($A$1, 129 - 1, 53 - 1)) &gt;= (OFFSET($A$1, 69 - 1, 7 - 1)), "1","0")</f>
        <v>0</v>
      </c>
      <c r="BD129">
        <f ca="1" xml:space="preserve"> IF( AND( OFFSET($A$1, 129 - 1, 54 - 1) = "1", OFFSET($A$1, 129 - 1, 55 - 1) = "1" ), 1, IF( AND( OFFSET($A$1, 129 - 1, 54 - 1) = "1", OFFSET($A$1, 129 - 1, 55 - 1) = "0" ), 2, IF( AND( OFFSET($A$1, 129 - 1, 54 - 1) = "0", OFFSET($A$1, 129 - 1, 55 - 1) = "1" ), 3, 4 ) ) )</f>
        <v>4</v>
      </c>
      <c r="BF129" s="3">
        <v>0.52113670568604664</v>
      </c>
      <c r="BG129" s="3" t="str">
        <f>"0"</f>
        <v>0</v>
      </c>
      <c r="BH129" t="str">
        <f ca="1">IF((OFFSET($A$1, 129 - 1, 58 - 1)) &gt;= (OFFSET($A$1, 93 - 1, 7 - 1)), "1","0")</f>
        <v>1</v>
      </c>
      <c r="BI129">
        <f ca="1" xml:space="preserve"> IF( AND( OFFSET($A$1, 129 - 1, 59 - 1) = "1", OFFSET($A$1, 129 - 1, 60 - 1) = "1" ), 1, IF( AND( OFFSET($A$1, 129 - 1, 59 - 1) = "1", OFFSET($A$1, 129 - 1, 60 - 1) = "0" ), 2, IF( AND( OFFSET($A$1, 129 - 1, 59 - 1) = "0", OFFSET($A$1, 129 - 1, 60 - 1) = "1" ), 3, 4 ) ) )</f>
        <v>3</v>
      </c>
    </row>
    <row r="130" spans="53:61" x14ac:dyDescent="0.35">
      <c r="BA130" s="3">
        <v>0.25910075619845885</v>
      </c>
      <c r="BB130" s="3" t="str">
        <f>"0"</f>
        <v>0</v>
      </c>
      <c r="BC130" t="str">
        <f ca="1">IF((OFFSET($A$1, 130 - 1, 53 - 1)) &gt;= (OFFSET($A$1, 69 - 1, 7 - 1)), "1","0")</f>
        <v>0</v>
      </c>
      <c r="BD130">
        <f ca="1" xml:space="preserve"> IF( AND( OFFSET($A$1, 130 - 1, 54 - 1) = "1", OFFSET($A$1, 130 - 1, 55 - 1) = "1" ), 1, IF( AND( OFFSET($A$1, 130 - 1, 54 - 1) = "1", OFFSET($A$1, 130 - 1, 55 - 1) = "0" ), 2, IF( AND( OFFSET($A$1, 130 - 1, 54 - 1) = "0", OFFSET($A$1, 130 - 1, 55 - 1) = "1" ), 3, 4 ) ) )</f>
        <v>4</v>
      </c>
      <c r="BF130" s="3">
        <v>0.25969461734615662</v>
      </c>
      <c r="BG130" s="3" t="str">
        <f>"0"</f>
        <v>0</v>
      </c>
      <c r="BH130" t="str">
        <f ca="1">IF((OFFSET($A$1, 130 - 1, 58 - 1)) &gt;= (OFFSET($A$1, 93 - 1, 7 - 1)), "1","0")</f>
        <v>0</v>
      </c>
      <c r="BI130">
        <f ca="1" xml:space="preserve"> IF( AND( OFFSET($A$1, 130 - 1, 59 - 1) = "1", OFFSET($A$1, 130 - 1, 60 - 1) = "1" ), 1, IF( AND( OFFSET($A$1, 130 - 1, 59 - 1) = "1", OFFSET($A$1, 130 - 1, 60 - 1) = "0" ), 2, IF( AND( OFFSET($A$1, 130 - 1, 59 - 1) = "0", OFFSET($A$1, 130 - 1, 60 - 1) = "1" ), 3, 4 ) ) )</f>
        <v>4</v>
      </c>
    </row>
    <row r="131" spans="53:61" x14ac:dyDescent="0.35">
      <c r="BA131" s="3">
        <v>0.26028931572312258</v>
      </c>
      <c r="BB131" s="3" t="str">
        <f>"0"</f>
        <v>0</v>
      </c>
      <c r="BC131" t="str">
        <f ca="1">IF((OFFSET($A$1, 131 - 1, 53 - 1)) &gt;= (OFFSET($A$1, 69 - 1, 7 - 1)), "1","0")</f>
        <v>0</v>
      </c>
      <c r="BD131">
        <f ca="1" xml:space="preserve"> IF( AND( OFFSET($A$1, 131 - 1, 54 - 1) = "1", OFFSET($A$1, 131 - 1, 55 - 1) = "1" ), 1, IF( AND( OFFSET($A$1, 131 - 1, 54 - 1) = "1", OFFSET($A$1, 131 - 1, 55 - 1) = "0" ), 2, IF( AND( OFFSET($A$1, 131 - 1, 54 - 1) = "0", OFFSET($A$1, 131 - 1, 55 - 1) = "1" ), 3, 4 ) ) )</f>
        <v>4</v>
      </c>
      <c r="BF131" s="3">
        <v>0.26088480615498788</v>
      </c>
      <c r="BG131" s="3" t="str">
        <f>"1"</f>
        <v>1</v>
      </c>
      <c r="BH131" t="str">
        <f ca="1">IF((OFFSET($A$1, 131 - 1, 58 - 1)) &gt;= (OFFSET($A$1, 93 - 1, 7 - 1)), "1","0")</f>
        <v>0</v>
      </c>
      <c r="BI131">
        <f ca="1" xml:space="preserve"> IF( AND( OFFSET($A$1, 131 - 1, 59 - 1) = "1", OFFSET($A$1, 131 - 1, 60 - 1) = "1" ), 1, IF( AND( OFFSET($A$1, 131 - 1, 59 - 1) = "1", OFFSET($A$1, 131 - 1, 60 - 1) = "0" ), 2, IF( AND( OFFSET($A$1, 131 - 1, 59 - 1) = "0", OFFSET($A$1, 131 - 1, 60 - 1) = "1" ), 3, 4 ) ) )</f>
        <v>2</v>
      </c>
    </row>
    <row r="132" spans="53:61" x14ac:dyDescent="0.35">
      <c r="BA132" s="3">
        <v>0.26148104320290538</v>
      </c>
      <c r="BB132" s="3" t="str">
        <f>"0"</f>
        <v>0</v>
      </c>
      <c r="BC132" t="str">
        <f ca="1">IF((OFFSET($A$1, 132 - 1, 53 - 1)) &gt;= (OFFSET($A$1, 69 - 1, 7 - 1)), "1","0")</f>
        <v>0</v>
      </c>
      <c r="BD132">
        <f ca="1" xml:space="preserve"> IF( AND( OFFSET($A$1, 132 - 1, 54 - 1) = "1", OFFSET($A$1, 132 - 1, 55 - 1) = "1" ), 1, IF( AND( OFFSET($A$1, 132 - 1, 54 - 1) = "1", OFFSET($A$1, 132 - 1, 55 - 1) = "0" ), 2, IF( AND( OFFSET($A$1, 132 - 1, 54 - 1) = "0", OFFSET($A$1, 132 - 1, 55 - 1) = "1" ), 3, 4 ) ) )</f>
        <v>4</v>
      </c>
      <c r="BF132" s="3">
        <v>0.52576218551135823</v>
      </c>
      <c r="BG132" s="3" t="str">
        <f>"0"</f>
        <v>0</v>
      </c>
      <c r="BH132" t="str">
        <f ca="1">IF((OFFSET($A$1, 132 - 1, 58 - 1)) &gt;= (OFFSET($A$1, 93 - 1, 7 - 1)), "1","0")</f>
        <v>1</v>
      </c>
      <c r="BI132">
        <f ca="1" xml:space="preserve"> IF( AND( OFFSET($A$1, 132 - 1, 59 - 1) = "1", OFFSET($A$1, 132 - 1, 60 - 1) = "1" ), 1, IF( AND( OFFSET($A$1, 132 - 1, 59 - 1) = "1", OFFSET($A$1, 132 - 1, 60 - 1) = "0" ), 2, IF( AND( OFFSET($A$1, 132 - 1, 59 - 1) = "0", OFFSET($A$1, 132 - 1, 60 - 1) = "1" ), 3, 4 ) ) )</f>
        <v>3</v>
      </c>
    </row>
    <row r="133" spans="53:61" x14ac:dyDescent="0.35">
      <c r="BA133" s="3">
        <v>0.2626755740938263</v>
      </c>
      <c r="BB133" s="3" t="str">
        <f>"0"</f>
        <v>0</v>
      </c>
      <c r="BC133" t="str">
        <f ca="1">IF((OFFSET($A$1, 133 - 1, 53 - 1)) &gt;= (OFFSET($A$1, 69 - 1, 7 - 1)), "1","0")</f>
        <v>0</v>
      </c>
      <c r="BD133">
        <f ca="1" xml:space="preserve"> IF( AND( OFFSET($A$1, 133 - 1, 54 - 1) = "1", OFFSET($A$1, 133 - 1, 55 - 1) = "1" ), 1, IF( AND( OFFSET($A$1, 133 - 1, 54 - 1) = "1", OFFSET($A$1, 133 - 1, 55 - 1) = "0" ), 2, IF( AND( OFFSET($A$1, 133 - 1, 54 - 1) = "0", OFFSET($A$1, 133 - 1, 55 - 1) = "1" ), 3, 4 ) ) )</f>
        <v>4</v>
      </c>
      <c r="BF133" s="3">
        <v>0.26327377577412214</v>
      </c>
      <c r="BG133" s="3" t="str">
        <f>"1"</f>
        <v>1</v>
      </c>
      <c r="BH133" t="str">
        <f ca="1">IF((OFFSET($A$1, 133 - 1, 58 - 1)) &gt;= (OFFSET($A$1, 93 - 1, 7 - 1)), "1","0")</f>
        <v>0</v>
      </c>
      <c r="BI133">
        <f ca="1" xml:space="preserve"> IF( AND( OFFSET($A$1, 133 - 1, 59 - 1) = "1", OFFSET($A$1, 133 - 1, 60 - 1) = "1" ), 1, IF( AND( OFFSET($A$1, 133 - 1, 59 - 1) = "1", OFFSET($A$1, 133 - 1, 60 - 1) = "0" ), 2, IF( AND( OFFSET($A$1, 133 - 1, 59 - 1) = "0", OFFSET($A$1, 133 - 1, 60 - 1) = "1" ), 3, 4 ) ) )</f>
        <v>2</v>
      </c>
    </row>
    <row r="134" spans="53:61" x14ac:dyDescent="0.35">
      <c r="BA134" s="3">
        <v>0.26387253975371844</v>
      </c>
      <c r="BB134" s="3" t="str">
        <f>"1"</f>
        <v>1</v>
      </c>
      <c r="BC134" t="str">
        <f ca="1">IF((OFFSET($A$1, 134 - 1, 53 - 1)) &gt;= (OFFSET($A$1, 69 - 1, 7 - 1)), "1","0")</f>
        <v>0</v>
      </c>
      <c r="BD134">
        <f ca="1" xml:space="preserve"> IF( AND( OFFSET($A$1, 134 - 1, 54 - 1) = "1", OFFSET($A$1, 134 - 1, 55 - 1) = "1" ), 1, IF( AND( OFFSET($A$1, 134 - 1, 54 - 1) = "1", OFFSET($A$1, 134 - 1, 55 - 1) = "0" ), 2, IF( AND( OFFSET($A$1, 134 - 1, 54 - 1) = "0", OFFSET($A$1, 134 - 1, 55 - 1) = "1" ), 3, 4 ) ) )</f>
        <v>2</v>
      </c>
      <c r="BF134" s="3">
        <v>0.52883845318361655</v>
      </c>
      <c r="BG134" s="3" t="str">
        <f>"1"</f>
        <v>1</v>
      </c>
      <c r="BH134" t="str">
        <f ca="1">IF((OFFSET($A$1, 134 - 1, 58 - 1)) &gt;= (OFFSET($A$1, 93 - 1, 7 - 1)), "1","0")</f>
        <v>1</v>
      </c>
      <c r="BI134">
        <f ca="1" xml:space="preserve"> IF( AND( OFFSET($A$1, 134 - 1, 59 - 1) = "1", OFFSET($A$1, 134 - 1, 60 - 1) = "1" ), 1, IF( AND( OFFSET($A$1, 134 - 1, 59 - 1) = "1", OFFSET($A$1, 134 - 1, 60 - 1) = "0" ), 2, IF( AND( OFFSET($A$1, 134 - 1, 59 - 1) = "0", OFFSET($A$1, 134 - 1, 60 - 1) = "1" ), 3, 4 ) ) )</f>
        <v>1</v>
      </c>
    </row>
    <row r="135" spans="53:61" x14ac:dyDescent="0.35">
      <c r="BA135" s="3">
        <v>0.52960604315912896</v>
      </c>
      <c r="BB135" s="3" t="str">
        <f>"0"</f>
        <v>0</v>
      </c>
      <c r="BC135" t="str">
        <f ca="1">IF((OFFSET($A$1, 135 - 1, 53 - 1)) &gt;= (OFFSET($A$1, 69 - 1, 7 - 1)), "1","0")</f>
        <v>1</v>
      </c>
      <c r="BD135">
        <f ca="1" xml:space="preserve"> IF( AND( OFFSET($A$1, 135 - 1, 54 - 1) = "1", OFFSET($A$1, 135 - 1, 55 - 1) = "1" ), 1, IF( AND( OFFSET($A$1, 135 - 1, 54 - 1) = "1", OFFSET($A$1, 135 - 1, 55 - 1) = "0" ), 2, IF( AND( OFFSET($A$1, 135 - 1, 54 - 1) = "0", OFFSET($A$1, 135 - 1, 55 - 1) = "1" ), 3, 4 ) ) )</f>
        <v>3</v>
      </c>
      <c r="BF135" s="3">
        <v>0.53037292202132413</v>
      </c>
      <c r="BG135" s="3" t="str">
        <f>"0"</f>
        <v>0</v>
      </c>
      <c r="BH135" t="str">
        <f ca="1">IF((OFFSET($A$1, 135 - 1, 58 - 1)) &gt;= (OFFSET($A$1, 93 - 1, 7 - 1)), "1","0")</f>
        <v>1</v>
      </c>
      <c r="BI135">
        <f ca="1" xml:space="preserve"> IF( AND( OFFSET($A$1, 135 - 1, 59 - 1) = "1", OFFSET($A$1, 135 - 1, 60 - 1) = "1" ), 1, IF( AND( OFFSET($A$1, 135 - 1, 59 - 1) = "1", OFFSET($A$1, 135 - 1, 60 - 1) = "0" ), 2, IF( AND( OFFSET($A$1, 135 - 1, 59 - 1) = "0", OFFSET($A$1, 135 - 1, 60 - 1) = "1" ), 3, 4 ) ) )</f>
        <v>3</v>
      </c>
    </row>
    <row r="136" spans="53:61" x14ac:dyDescent="0.35">
      <c r="BA136" s="3">
        <v>0.26627228115784002</v>
      </c>
      <c r="BB136" s="3" t="str">
        <f>"0"</f>
        <v>0</v>
      </c>
      <c r="BC136" t="str">
        <f ca="1">IF((OFFSET($A$1, 136 - 1, 53 - 1)) &gt;= (OFFSET($A$1, 69 - 1, 7 - 1)), "1","0")</f>
        <v>0</v>
      </c>
      <c r="BD136">
        <f ca="1" xml:space="preserve"> IF( AND( OFFSET($A$1, 136 - 1, 54 - 1) = "1", OFFSET($A$1, 136 - 1, 55 - 1) = "1" ), 1, IF( AND( OFFSET($A$1, 136 - 1, 54 - 1) = "1", OFFSET($A$1, 136 - 1, 55 - 1) = "0" ), 2, IF( AND( OFFSET($A$1, 136 - 1, 54 - 1) = "0", OFFSET($A$1, 136 - 1, 55 - 1) = "1" ), 3, 4 ) ) )</f>
        <v>4</v>
      </c>
      <c r="BF136" s="3">
        <v>0.26687315146575874</v>
      </c>
      <c r="BG136" s="3" t="str">
        <f>"0"</f>
        <v>0</v>
      </c>
      <c r="BH136" t="str">
        <f ca="1">IF((OFFSET($A$1, 136 - 1, 58 - 1)) &gt;= (OFFSET($A$1, 93 - 1, 7 - 1)), "1","0")</f>
        <v>0</v>
      </c>
      <c r="BI136">
        <f ca="1" xml:space="preserve"> IF( AND( OFFSET($A$1, 136 - 1, 59 - 1) = "1", OFFSET($A$1, 136 - 1, 60 - 1) = "1" ), 1, IF( AND( OFFSET($A$1, 136 - 1, 59 - 1) = "1", OFFSET($A$1, 136 - 1, 60 - 1) = "0" ), 2, IF( AND( OFFSET($A$1, 136 - 1, 59 - 1) = "0", OFFSET($A$1, 136 - 1, 60 - 1) = "1" ), 3, 4 ) ) )</f>
        <v>4</v>
      </c>
    </row>
    <row r="137" spans="53:61" x14ac:dyDescent="0.35">
      <c r="BA137" s="3">
        <v>0.26747430040222975</v>
      </c>
      <c r="BB137" s="3" t="str">
        <f>"1"</f>
        <v>1</v>
      </c>
      <c r="BC137" t="str">
        <f ca="1">IF((OFFSET($A$1, 137 - 1, 53 - 1)) &gt;= (OFFSET($A$1, 69 - 1, 7 - 1)), "1","0")</f>
        <v>0</v>
      </c>
      <c r="BD137">
        <f ca="1" xml:space="preserve"> IF( AND( OFFSET($A$1, 137 - 1, 54 - 1) = "1", OFFSET($A$1, 137 - 1, 55 - 1) = "1" ), 1, IF( AND( OFFSET($A$1, 137 - 1, 54 - 1) = "1", OFFSET($A$1, 137 - 1, 55 - 1) = "0" ), 2, IF( AND( OFFSET($A$1, 137 - 1, 54 - 1) = "0", OFFSET($A$1, 137 - 1, 55 - 1) = "1" ), 3, 4 ) ) )</f>
        <v>2</v>
      </c>
      <c r="BF137" s="3">
        <v>0.26807567990967074</v>
      </c>
      <c r="BG137" s="3" t="str">
        <f>"0"</f>
        <v>0</v>
      </c>
      <c r="BH137" t="str">
        <f ca="1">IF((OFFSET($A$1, 137 - 1, 58 - 1)) &gt;= (OFFSET($A$1, 93 - 1, 7 - 1)), "1","0")</f>
        <v>0</v>
      </c>
      <c r="BI137">
        <f ca="1" xml:space="preserve"> IF( AND( OFFSET($A$1, 137 - 1, 59 - 1) = "1", OFFSET($A$1, 137 - 1, 60 - 1) = "1" ), 1, IF( AND( OFFSET($A$1, 137 - 1, 59 - 1) = "1", OFFSET($A$1, 137 - 1, 60 - 1) = "0" ), 2, IF( AND( OFFSET($A$1, 137 - 1, 59 - 1) = "0", OFFSET($A$1, 137 - 1, 60 - 1) = "1" ), 3, 4 ) ) )</f>
        <v>4</v>
      </c>
    </row>
    <row r="138" spans="53:61" x14ac:dyDescent="0.35">
      <c r="BA138" s="3">
        <v>0.53419455370615354</v>
      </c>
      <c r="BB138" s="3" t="str">
        <f>"1"</f>
        <v>1</v>
      </c>
      <c r="BC138" t="str">
        <f ca="1">IF((OFFSET($A$1, 138 - 1, 53 - 1)) &gt;= (OFFSET($A$1, 69 - 1, 7 - 1)), "1","0")</f>
        <v>1</v>
      </c>
      <c r="BD138">
        <f ca="1" xml:space="preserve"> IF( AND( OFFSET($A$1, 138 - 1, 54 - 1) = "1", OFFSET($A$1, 138 - 1, 55 - 1) = "1" ), 1, IF( AND( OFFSET($A$1, 138 - 1, 54 - 1) = "1", OFFSET($A$1, 138 - 1, 55 - 1) = "0" ), 2, IF( AND( OFFSET($A$1, 138 - 1, 54 - 1) = "0", OFFSET($A$1, 138 - 1, 55 - 1) = "1" ), 3, 4 ) ) )</f>
        <v>1</v>
      </c>
      <c r="BF138" s="3">
        <v>0.26927893736535591</v>
      </c>
      <c r="BG138" s="3" t="str">
        <f>"0"</f>
        <v>0</v>
      </c>
      <c r="BH138" t="str">
        <f ca="1">IF((OFFSET($A$1, 138 - 1, 58 - 1)) &gt;= (OFFSET($A$1, 93 - 1, 7 - 1)), "1","0")</f>
        <v>0</v>
      </c>
      <c r="BI138">
        <f ca="1" xml:space="preserve"> IF( AND( OFFSET($A$1, 138 - 1, 59 - 1) = "1", OFFSET($A$1, 138 - 1, 60 - 1) = "1" ), 1, IF( AND( OFFSET($A$1, 138 - 1, 59 - 1) = "1", OFFSET($A$1, 138 - 1, 60 - 1) = "0" ), 2, IF( AND( OFFSET($A$1, 138 - 1, 59 - 1) = "0", OFFSET($A$1, 138 - 1, 60 - 1) = "1" ), 3, 4 ) ) )</f>
        <v>4</v>
      </c>
    </row>
    <row r="139" spans="53:61" x14ac:dyDescent="0.35">
      <c r="BA139" s="3">
        <v>0.5357161377385643</v>
      </c>
      <c r="BB139" s="3" t="str">
        <f>"0"</f>
        <v>0</v>
      </c>
      <c r="BC139" t="str">
        <f ca="1">IF((OFFSET($A$1, 139 - 1, 53 - 1)) &gt;= (OFFSET($A$1, 69 - 1, 7 - 1)), "1","0")</f>
        <v>1</v>
      </c>
      <c r="BD139">
        <f ca="1" xml:space="preserve"> IF( AND( OFFSET($A$1, 139 - 1, 54 - 1) = "1", OFFSET($A$1, 139 - 1, 55 - 1) = "1" ), 1, IF( AND( OFFSET($A$1, 139 - 1, 54 - 1) = "1", OFFSET($A$1, 139 - 1, 55 - 1) = "0" ), 2, IF( AND( OFFSET($A$1, 139 - 1, 54 - 1) = "0", OFFSET($A$1, 139 - 1, 55 - 1) = "1" ), 3, 4 ) ) )</f>
        <v>3</v>
      </c>
      <c r="BF139" s="3">
        <v>0.27048253527761745</v>
      </c>
      <c r="BG139" s="3" t="str">
        <f>"0"</f>
        <v>0</v>
      </c>
      <c r="BH139" t="str">
        <f ca="1">IF((OFFSET($A$1, 139 - 1, 58 - 1)) &gt;= (OFFSET($A$1, 93 - 1, 7 - 1)), "1","0")</f>
        <v>0</v>
      </c>
      <c r="BI139">
        <f ca="1" xml:space="preserve"> IF( AND( OFFSET($A$1, 139 - 1, 59 - 1) = "1", OFFSET($A$1, 139 - 1, 60 - 1) = "1" ), 1, IF( AND( OFFSET($A$1, 139 - 1, 59 - 1) = "1", OFFSET($A$1, 139 - 1, 60 - 1) = "0" ), 2, IF( AND( OFFSET($A$1, 139 - 1, 59 - 1) = "0", OFFSET($A$1, 139 - 1, 60 - 1) = "1" ), 3, 4 ) ) )</f>
        <v>4</v>
      </c>
    </row>
    <row r="140" spans="53:61" x14ac:dyDescent="0.35">
      <c r="BA140" s="3">
        <v>0.27108433962942363</v>
      </c>
      <c r="BB140" s="3" t="str">
        <f>"0"</f>
        <v>0</v>
      </c>
      <c r="BC140" t="str">
        <f ca="1">IF((OFFSET($A$1, 140 - 1, 53 - 1)) &gt;= (OFFSET($A$1, 69 - 1, 7 - 1)), "1","0")</f>
        <v>0</v>
      </c>
      <c r="BD140">
        <f ca="1" xml:space="preserve"> IF( AND( OFFSET($A$1, 140 - 1, 54 - 1) = "1", OFFSET($A$1, 140 - 1, 55 - 1) = "1" ), 1, IF( AND( OFFSET($A$1, 140 - 1, 54 - 1) = "1", OFFSET($A$1, 140 - 1, 55 - 1) = "0" ), 2, IF( AND( OFFSET($A$1, 140 - 1, 54 - 1) = "0", OFFSET($A$1, 140 - 1, 55 - 1) = "1" ), 3, 4 ) ) )</f>
        <v>4</v>
      </c>
      <c r="BF140" s="3">
        <v>0.27168608199243255</v>
      </c>
      <c r="BG140" s="3" t="str">
        <f>"0"</f>
        <v>0</v>
      </c>
      <c r="BH140" t="str">
        <f ca="1">IF((OFFSET($A$1, 140 - 1, 58 - 1)) &gt;= (OFFSET($A$1, 93 - 1, 7 - 1)), "1","0")</f>
        <v>0</v>
      </c>
      <c r="BI140">
        <f ca="1" xml:space="preserve"> IF( AND( OFFSET($A$1, 140 - 1, 59 - 1) = "1", OFFSET($A$1, 140 - 1, 60 - 1) = "1" ), 1, IF( AND( OFFSET($A$1, 140 - 1, 59 - 1) = "1", OFFSET($A$1, 140 - 1, 60 - 1) = "0" ), 2, IF( AND( OFFSET($A$1, 140 - 1, 59 - 1) = "0", OFFSET($A$1, 140 - 1, 60 - 1) = "1" ), 3, 4 ) ) )</f>
        <v>4</v>
      </c>
    </row>
    <row r="141" spans="53:61" x14ac:dyDescent="0.35">
      <c r="BA141" s="3">
        <v>0.27228771295413828</v>
      </c>
      <c r="BB141" s="3" t="str">
        <f>"0"</f>
        <v>0</v>
      </c>
      <c r="BC141" t="str">
        <f ca="1">IF((OFFSET($A$1, 141 - 1, 53 - 1)) &gt;= (OFFSET($A$1, 69 - 1, 7 - 1)), "1","0")</f>
        <v>0</v>
      </c>
      <c r="BD141">
        <f ca="1" xml:space="preserve"> IF( AND( OFFSET($A$1, 141 - 1, 54 - 1) = "1", OFFSET($A$1, 141 - 1, 55 - 1) = "1" ), 1, IF( AND( OFFSET($A$1, 141 - 1, 54 - 1) = "1", OFFSET($A$1, 141 - 1, 55 - 1) = "0" ), 2, IF( AND( OFFSET($A$1, 141 - 1, 54 - 1) = "0", OFFSET($A$1, 141 - 1, 55 - 1) = "1" ), 3, 4 ) ) )</f>
        <v>4</v>
      </c>
      <c r="BF141" s="3">
        <v>0.27288918293028375</v>
      </c>
      <c r="BG141" s="3" t="str">
        <f>"0"</f>
        <v>0</v>
      </c>
      <c r="BH141" t="str">
        <f ca="1">IF((OFFSET($A$1, 141 - 1, 58 - 1)) &gt;= (OFFSET($A$1, 93 - 1, 7 - 1)), "1","0")</f>
        <v>0</v>
      </c>
      <c r="BI141">
        <f ca="1" xml:space="preserve"> IF( AND( OFFSET($A$1, 141 - 1, 59 - 1) = "1", OFFSET($A$1, 141 - 1, 60 - 1) = "1" ), 1, IF( AND( OFFSET($A$1, 141 - 1, 59 - 1) = "1", OFFSET($A$1, 141 - 1, 60 - 1) = "0" ), 2, IF( AND( OFFSET($A$1, 141 - 1, 59 - 1) = "0", OFFSET($A$1, 141 - 1, 60 - 1) = "1" ), 3, 4 ) ) )</f>
        <v>4</v>
      </c>
    </row>
    <row r="142" spans="53:61" x14ac:dyDescent="0.35">
      <c r="BA142" s="3">
        <v>0.27349044217053875</v>
      </c>
      <c r="BB142" s="3" t="str">
        <f>"0"</f>
        <v>0</v>
      </c>
      <c r="BC142" t="str">
        <f ca="1">IF((OFFSET($A$1, 142 - 1, 53 - 1)) &gt;= (OFFSET($A$1, 69 - 1, 7 - 1)), "1","0")</f>
        <v>0</v>
      </c>
      <c r="BD142">
        <f ca="1" xml:space="preserve"> IF( AND( OFFSET($A$1, 142 - 1, 54 - 1) = "1", OFFSET($A$1, 142 - 1, 55 - 1) = "1" ), 1, IF( AND( OFFSET($A$1, 142 - 1, 54 - 1) = "1", OFFSET($A$1, 142 - 1, 55 - 1) = "0" ), 2, IF( AND( OFFSET($A$1, 142 - 1, 54 - 1) = "0", OFFSET($A$1, 142 - 1, 55 - 1) = "1" ), 3, 4 ) ) )</f>
        <v>4</v>
      </c>
      <c r="BF142" s="3">
        <v>0.27409144076424302</v>
      </c>
      <c r="BG142" s="3" t="str">
        <f>"0"</f>
        <v>0</v>
      </c>
      <c r="BH142" t="str">
        <f ca="1">IF((OFFSET($A$1, 142 - 1, 58 - 1)) &gt;= (OFFSET($A$1, 93 - 1, 7 - 1)), "1","0")</f>
        <v>0</v>
      </c>
      <c r="BI142">
        <f ca="1" xml:space="preserve"> IF( AND( OFFSET($A$1, 142 - 1, 59 - 1) = "1", OFFSET($A$1, 142 - 1, 60 - 1) = "1" ), 1, IF( AND( OFFSET($A$1, 142 - 1, 59 - 1) = "1", OFFSET($A$1, 142 - 1, 60 - 1) = "0" ), 2, IF( AND( OFFSET($A$1, 142 - 1, 59 - 1) = "0", OFFSET($A$1, 142 - 1, 60 - 1) = "1" ), 3, 4 ) ) )</f>
        <v>4</v>
      </c>
    </row>
    <row r="143" spans="53:61" x14ac:dyDescent="0.35">
      <c r="BA143" s="3">
        <v>0.27469212864622067</v>
      </c>
      <c r="BB143" s="3" t="str">
        <f>"0"</f>
        <v>0</v>
      </c>
      <c r="BC143" t="str">
        <f ca="1">IF((OFFSET($A$1, 143 - 1, 53 - 1)) &gt;= (OFFSET($A$1, 69 - 1, 7 - 1)), "1","0")</f>
        <v>0</v>
      </c>
      <c r="BD143">
        <f ca="1" xml:space="preserve"> IF( AND( OFFSET($A$1, 143 - 1, 54 - 1) = "1", OFFSET($A$1, 143 - 1, 55 - 1) = "1" ), 1, IF( AND( OFFSET($A$1, 143 - 1, 54 - 1) = "1", OFFSET($A$1, 143 - 1, 55 - 1) = "0" ), 2, IF( AND( OFFSET($A$1, 143 - 1, 54 - 1) = "0", OFFSET($A$1, 143 - 1, 55 - 1) = "1" ), 3, 4 ) ) )</f>
        <v>4</v>
      </c>
      <c r="BF143" s="3">
        <v>0.27529245560265708</v>
      </c>
      <c r="BG143" s="3" t="str">
        <f>"0"</f>
        <v>0</v>
      </c>
      <c r="BH143" t="str">
        <f ca="1">IF((OFFSET($A$1, 143 - 1, 58 - 1)) &gt;= (OFFSET($A$1, 93 - 1, 7 - 1)), "1","0")</f>
        <v>0</v>
      </c>
      <c r="BI143">
        <f ca="1" xml:space="preserve"> IF( AND( OFFSET($A$1, 143 - 1, 59 - 1) = "1", OFFSET($A$1, 143 - 1, 60 - 1) = "1" ), 1, IF( AND( OFFSET($A$1, 143 - 1, 59 - 1) = "1", OFFSET($A$1, 143 - 1, 60 - 1) = "0" ), 2, IF( AND( OFFSET($A$1, 143 - 1, 59 - 1) = "0", OFFSET($A$1, 143 - 1, 60 - 1) = "1" ), 3, 4 ) ) )</f>
        <v>4</v>
      </c>
    </row>
    <row r="144" spans="53:61" x14ac:dyDescent="0.35">
      <c r="BA144" s="3">
        <v>0.27589237127705185</v>
      </c>
      <c r="BB144" s="3" t="str">
        <f>"0"</f>
        <v>0</v>
      </c>
      <c r="BC144" t="str">
        <f ca="1">IF((OFFSET($A$1, 144 - 1, 53 - 1)) &gt;= (OFFSET($A$1, 69 - 1, 7 - 1)), "1","0")</f>
        <v>0</v>
      </c>
      <c r="BD144">
        <f ca="1" xml:space="preserve"> IF( AND( OFFSET($A$1, 144 - 1, 54 - 1) = "1", OFFSET($A$1, 144 - 1, 55 - 1) = "1" ), 1, IF( AND( OFFSET($A$1, 144 - 1, 54 - 1) = "1", OFFSET($A$1, 144 - 1, 55 - 1) = "0" ), 2, IF( AND( OFFSET($A$1, 144 - 1, 54 - 1) = "0", OFFSET($A$1, 144 - 1, 55 - 1) = "1" ), 3, 4 ) ) )</f>
        <v>4</v>
      </c>
      <c r="BF144" s="3">
        <v>0.2764918251762199</v>
      </c>
      <c r="BG144" s="3" t="str">
        <f>"0"</f>
        <v>0</v>
      </c>
      <c r="BH144" t="str">
        <f ca="1">IF((OFFSET($A$1, 144 - 1, 58 - 1)) &gt;= (OFFSET($A$1, 93 - 1, 7 - 1)), "1","0")</f>
        <v>0</v>
      </c>
      <c r="BI144">
        <f ca="1" xml:space="preserve"> IF( AND( OFFSET($A$1, 144 - 1, 59 - 1) = "1", OFFSET($A$1, 144 - 1, 60 - 1) = "1" ), 1, IF( AND( OFFSET($A$1, 144 - 1, 59 - 1) = "1", OFFSET($A$1, 144 - 1, 60 - 1) = "0" ), 2, IF( AND( OFFSET($A$1, 144 - 1, 59 - 1) = "0", OFFSET($A$1, 144 - 1, 60 - 1) = "1" ), 3, 4 ) ) )</f>
        <v>4</v>
      </c>
    </row>
    <row r="145" spans="53:61" x14ac:dyDescent="0.35">
      <c r="BA145" s="3">
        <v>0.27709076667637206</v>
      </c>
      <c r="BB145" s="3" t="str">
        <f>"0"</f>
        <v>0</v>
      </c>
      <c r="BC145" t="str">
        <f ca="1">IF((OFFSET($A$1, 145 - 1, 53 - 1)) &gt;= (OFFSET($A$1, 69 - 1, 7 - 1)), "1","0")</f>
        <v>0</v>
      </c>
      <c r="BD145">
        <f ca="1" xml:space="preserve"> IF( AND( OFFSET($A$1, 145 - 1, 54 - 1) = "1", OFFSET($A$1, 145 - 1, 55 - 1) = "1" ), 1, IF( AND( OFFSET($A$1, 145 - 1, 54 - 1) = "1", OFFSET($A$1, 145 - 1, 55 - 1) = "0" ), 2, IF( AND( OFFSET($A$1, 145 - 1, 54 - 1) = "0", OFFSET($A$1, 145 - 1, 55 - 1) = "1" ), 3, 4 ) ) )</f>
        <v>4</v>
      </c>
      <c r="BF145" s="3">
        <v>0.27768914502924341</v>
      </c>
      <c r="BG145" s="3" t="str">
        <f>"1"</f>
        <v>1</v>
      </c>
      <c r="BH145" t="str">
        <f ca="1">IF((OFFSET($A$1, 145 - 1, 58 - 1)) &gt;= (OFFSET($A$1, 93 - 1, 7 - 1)), "1","0")</f>
        <v>0</v>
      </c>
      <c r="BI145">
        <f ca="1" xml:space="preserve"> IF( AND( OFFSET($A$1, 145 - 1, 59 - 1) = "1", OFFSET($A$1, 145 - 1, 60 - 1) = "1" ), 1, IF( AND( OFFSET($A$1, 145 - 1, 59 - 1) = "1", OFFSET($A$1, 145 - 1, 60 - 1) = "0" ), 2, IF( AND( OFFSET($A$1, 145 - 1, 59 - 1) = "0", OFFSET($A$1, 145 - 1, 60 - 1) = "1" ), 3, 4 ) ) )</f>
        <v>2</v>
      </c>
    </row>
    <row r="146" spans="53:61" x14ac:dyDescent="0.35">
      <c r="BA146" s="3">
        <v>0.27828690936828981</v>
      </c>
      <c r="BB146" s="3" t="str">
        <f>"0"</f>
        <v>0</v>
      </c>
      <c r="BC146" t="str">
        <f ca="1">IF((OFFSET($A$1, 146 - 1, 53 - 1)) &gt;= (OFFSET($A$1, 69 - 1, 7 - 1)), "1","0")</f>
        <v>0</v>
      </c>
      <c r="BD146">
        <f ca="1" xml:space="preserve"> IF( AND( OFFSET($A$1, 146 - 1, 54 - 1) = "1", OFFSET($A$1, 146 - 1, 55 - 1) = "1" ), 1, IF( AND( OFFSET($A$1, 146 - 1, 54 - 1) = "1", OFFSET($A$1, 146 - 1, 55 - 1) = "0" ), 2, IF( AND( OFFSET($A$1, 146 - 1, 54 - 1) = "0", OFFSET($A$1, 146 - 1, 55 - 1) = "1" ), 3, 4 ) ) )</f>
        <v>4</v>
      </c>
      <c r="BF146" s="3">
        <v>0.54694434867741493</v>
      </c>
      <c r="BG146" s="3" t="str">
        <f>"1"</f>
        <v>1</v>
      </c>
      <c r="BH146" t="str">
        <f ca="1">IF((OFFSET($A$1, 146 - 1, 58 - 1)) &gt;= (OFFSET($A$1, 93 - 1, 7 - 1)), "1","0")</f>
        <v>1</v>
      </c>
      <c r="BI146">
        <f ca="1" xml:space="preserve"> IF( AND( OFFSET($A$1, 146 - 1, 59 - 1) = "1", OFFSET($A$1, 146 - 1, 60 - 1) = "1" ), 1, IF( AND( OFFSET($A$1, 146 - 1, 59 - 1) = "1", OFFSET($A$1, 146 - 1, 60 - 1) = "0" ), 2, IF( AND( OFFSET($A$1, 146 - 1, 59 - 1) = "0", OFFSET($A$1, 146 - 1, 60 - 1) = "1" ), 3, 4 ) ) )</f>
        <v>1</v>
      </c>
    </row>
    <row r="147" spans="53:61" x14ac:dyDescent="0.35">
      <c r="BA147" s="3">
        <v>0.27948039198486752</v>
      </c>
      <c r="BB147" s="3" t="str">
        <f>"0"</f>
        <v>0</v>
      </c>
      <c r="BC147" t="str">
        <f ca="1">IF((OFFSET($A$1, 147 - 1, 53 - 1)) &gt;= (OFFSET($A$1, 69 - 1, 7 - 1)), "1","0")</f>
        <v>0</v>
      </c>
      <c r="BD147">
        <f ca="1" xml:space="preserve"> IF( AND( OFFSET($A$1, 147 - 1, 54 - 1) = "1", OFFSET($A$1, 147 - 1, 55 - 1) = "1" ), 1, IF( AND( OFFSET($A$1, 147 - 1, 54 - 1) = "1", OFFSET($A$1, 147 - 1, 55 - 1) = "0" ), 2, IF( AND( OFFSET($A$1, 147 - 1, 54 - 1) = "0", OFFSET($A$1, 147 - 1, 55 - 1) = "1" ), 3, 4 ) ) )</f>
        <v>4</v>
      </c>
      <c r="BF147" s="3">
        <v>0.54841074873531892</v>
      </c>
      <c r="BG147" s="3" t="str">
        <f>"0"</f>
        <v>0</v>
      </c>
      <c r="BH147" t="str">
        <f ca="1">IF((OFFSET($A$1, 147 - 1, 58 - 1)) &gt;= (OFFSET($A$1, 93 - 1, 7 - 1)), "1","0")</f>
        <v>1</v>
      </c>
      <c r="BI147">
        <f ca="1" xml:space="preserve"> IF( AND( OFFSET($A$1, 147 - 1, 59 - 1) = "1", OFFSET($A$1, 147 - 1, 60 - 1) = "1" ), 1, IF( AND( OFFSET($A$1, 147 - 1, 59 - 1) = "1", OFFSET($A$1, 147 - 1, 60 - 1) = "0" ), 2, IF( AND( OFFSET($A$1, 147 - 1, 59 - 1) = "0", OFFSET($A$1, 147 - 1, 60 - 1) = "1" ), 3, 4 ) ) )</f>
        <v>3</v>
      </c>
    </row>
    <row r="148" spans="53:61" x14ac:dyDescent="0.35">
      <c r="BA148" s="3">
        <v>0.28067080546697992</v>
      </c>
      <c r="BB148" s="3" t="str">
        <f>"1"</f>
        <v>1</v>
      </c>
      <c r="BC148" t="str">
        <f ca="1">IF((OFFSET($A$1, 148 - 1, 53 - 1)) &gt;= (OFFSET($A$1, 69 - 1, 7 - 1)), "1","0")</f>
        <v>0</v>
      </c>
      <c r="BD148">
        <f ca="1" xml:space="preserve"> IF( AND( OFFSET($A$1, 148 - 1, 54 - 1) = "1", OFFSET($A$1, 148 - 1, 55 - 1) = "1" ), 1, IF( AND( OFFSET($A$1, 148 - 1, 54 - 1) = "1", OFFSET($A$1, 148 - 1, 55 - 1) = "0" ), 2, IF( AND( OFFSET($A$1, 148 - 1, 54 - 1) = "0", OFFSET($A$1, 148 - 1, 55 - 1) = "1" ), 3, 4 ) ) )</f>
        <v>2</v>
      </c>
      <c r="BF148" s="3">
        <v>0.28126473303941324</v>
      </c>
      <c r="BG148" s="3" t="str">
        <f>"1"</f>
        <v>1</v>
      </c>
      <c r="BH148" t="str">
        <f ca="1">IF((OFFSET($A$1, 148 - 1, 58 - 1)) &gt;= (OFFSET($A$1, 93 - 1, 7 - 1)), "1","0")</f>
        <v>0</v>
      </c>
      <c r="BI148">
        <f ca="1" xml:space="preserve"> IF( AND( OFFSET($A$1, 148 - 1, 59 - 1) = "1", OFFSET($A$1, 148 - 1, 60 - 1) = "1" ), 1, IF( AND( OFFSET($A$1, 148 - 1, 59 - 1) = "1", OFFSET($A$1, 148 - 1, 60 - 1) = "0" ), 2, IF( AND( OFFSET($A$1, 148 - 1, 59 - 1) = "0", OFFSET($A$1, 148 - 1, 60 - 1) = "1" ), 3, 4 ) ) )</f>
        <v>2</v>
      </c>
    </row>
    <row r="149" spans="53:61" x14ac:dyDescent="0.35">
      <c r="BA149" s="3">
        <v>0.55059398456707731</v>
      </c>
      <c r="BB149" s="3" t="str">
        <f>"1"</f>
        <v>1</v>
      </c>
      <c r="BC149" t="str">
        <f ca="1">IF((OFFSET($A$1, 149 - 1, 53 - 1)) &gt;= (OFFSET($A$1, 69 - 1, 7 - 1)), "1","0")</f>
        <v>1</v>
      </c>
      <c r="BD149">
        <f ca="1" xml:space="preserve"> IF( AND( OFFSET($A$1, 149 - 1, 54 - 1) = "1", OFFSET($A$1, 149 - 1, 55 - 1) = "1" ), 1, IF( AND( OFFSET($A$1, 149 - 1, 54 - 1) = "1", OFFSET($A$1, 149 - 1, 55 - 1) = "0" ), 2, IF( AND( OFFSET($A$1, 149 - 1, 54 - 1) = "0", OFFSET($A$1, 149 - 1, 55 - 1) = "1" ), 3, 4 ) ) )</f>
        <v>1</v>
      </c>
      <c r="BF149" s="3">
        <v>0.55131714532634135</v>
      </c>
      <c r="BG149" s="3" t="str">
        <f>"1"</f>
        <v>1</v>
      </c>
      <c r="BH149" t="str">
        <f ca="1">IF((OFFSET($A$1, 149 - 1, 58 - 1)) &gt;= (OFFSET($A$1, 93 - 1, 7 - 1)), "1","0")</f>
        <v>1</v>
      </c>
      <c r="BI149">
        <f ca="1" xml:space="preserve"> IF( AND( OFFSET($A$1, 149 - 1, 59 - 1) = "1", OFFSET($A$1, 149 - 1, 60 - 1) = "1" ), 1, IF( AND( OFFSET($A$1, 149 - 1, 59 - 1) = "1", OFFSET($A$1, 149 - 1, 60 - 1) = "0" ), 2, IF( AND( OFFSET($A$1, 149 - 1, 59 - 1) = "0", OFFSET($A$1, 149 - 1, 60 - 1) = "1" ), 3, 4 ) ) )</f>
        <v>1</v>
      </c>
    </row>
    <row r="150" spans="53:61" x14ac:dyDescent="0.35">
      <c r="BA150" s="3">
        <v>0.55203792263599427</v>
      </c>
      <c r="BB150" s="3" t="str">
        <f>"1"</f>
        <v>1</v>
      </c>
      <c r="BC150" t="str">
        <f ca="1">IF((OFFSET($A$1, 150 - 1, 53 - 1)) &gt;= (OFFSET($A$1, 69 - 1, 7 - 1)), "1","0")</f>
        <v>1</v>
      </c>
      <c r="BD150">
        <f ca="1" xml:space="preserve"> IF( AND( OFFSET($A$1, 150 - 1, 54 - 1) = "1", OFFSET($A$1, 150 - 1, 55 - 1) = "1" ), 1, IF( AND( OFFSET($A$1, 150 - 1, 54 - 1) = "1", OFFSET($A$1, 150 - 1, 55 - 1) = "0" ), 2, IF( AND( OFFSET($A$1, 150 - 1, 54 - 1) = "0", OFFSET($A$1, 150 - 1, 55 - 1) = "1" ), 3, 4 ) ) )</f>
        <v>1</v>
      </c>
      <c r="BF150" s="3">
        <v>0.55275626219224572</v>
      </c>
      <c r="BG150" s="3" t="str">
        <f>"1"</f>
        <v>1</v>
      </c>
      <c r="BH150" t="str">
        <f ca="1">IF((OFFSET($A$1, 150 - 1, 58 - 1)) &gt;= (OFFSET($A$1, 93 - 1, 7 - 1)), "1","0")</f>
        <v>1</v>
      </c>
      <c r="BI150">
        <f ca="1" xml:space="preserve"> IF( AND( OFFSET($A$1, 150 - 1, 59 - 1) = "1", OFFSET($A$1, 150 - 1, 60 - 1) = "1" ), 1, IF( AND( OFFSET($A$1, 150 - 1, 59 - 1) = "1", OFFSET($A$1, 150 - 1, 60 - 1) = "0" ), 2, IF( AND( OFFSET($A$1, 150 - 1, 59 - 1) = "0", OFFSET($A$1, 150 - 1, 60 - 1) = "1" ), 3, 4 ) ) )</f>
        <v>1</v>
      </c>
    </row>
    <row r="151" spans="53:61" x14ac:dyDescent="0.35">
      <c r="BA151" s="3">
        <v>0.55347210997197049</v>
      </c>
      <c r="BB151" s="3" t="str">
        <f>"1"</f>
        <v>1</v>
      </c>
      <c r="BC151" t="str">
        <f ca="1">IF((OFFSET($A$1, 151 - 1, 53 - 1)) &gt;= (OFFSET($A$1, 69 - 1, 7 - 1)), "1","0")</f>
        <v>1</v>
      </c>
      <c r="BD151">
        <f ca="1" xml:space="preserve"> IF( AND( OFFSET($A$1, 151 - 1, 54 - 1) = "1", OFFSET($A$1, 151 - 1, 55 - 1) = "1" ), 1, IF( AND( OFFSET($A$1, 151 - 1, 54 - 1) = "1", OFFSET($A$1, 151 - 1, 55 - 1) = "0" ), 2, IF( AND( OFFSET($A$1, 151 - 1, 54 - 1) = "0", OFFSET($A$1, 151 - 1, 55 - 1) = "1" ), 3, 4 ) ) )</f>
        <v>1</v>
      </c>
      <c r="BF151" s="3">
        <v>0.55418541223754381</v>
      </c>
      <c r="BG151" s="3" t="str">
        <f>"0"</f>
        <v>0</v>
      </c>
      <c r="BH151" t="str">
        <f ca="1">IF((OFFSET($A$1, 151 - 1, 58 - 1)) &gt;= (OFFSET($A$1, 93 - 1, 7 - 1)), "1","0")</f>
        <v>1</v>
      </c>
      <c r="BI151">
        <f ca="1" xml:space="preserve"> IF( AND( OFFSET($A$1, 151 - 1, 59 - 1) = "1", OFFSET($A$1, 151 - 1, 60 - 1) = "1" ), 1, IF( AND( OFFSET($A$1, 151 - 1, 59 - 1) = "1", OFFSET($A$1, 151 - 1, 60 - 1) = "0" ), 2, IF( AND( OFFSET($A$1, 151 - 1, 59 - 1) = "0", OFFSET($A$1, 151 - 1, 60 - 1) = "1" ), 3, 4 ) ) )</f>
        <v>3</v>
      </c>
    </row>
    <row r="152" spans="53:61" x14ac:dyDescent="0.35">
      <c r="BA152" s="3">
        <v>0.55489611554161045</v>
      </c>
      <c r="BB152" s="3" t="str">
        <f>"1"</f>
        <v>1</v>
      </c>
      <c r="BC152" t="str">
        <f ca="1">IF((OFFSET($A$1, 152 - 1, 53 - 1)) &gt;= (OFFSET($A$1, 69 - 1, 7 - 1)), "1","0")</f>
        <v>1</v>
      </c>
      <c r="BD152">
        <f ca="1" xml:space="preserve"> IF( AND( OFFSET($A$1, 152 - 1, 54 - 1) = "1", OFFSET($A$1, 152 - 1, 55 - 1) = "1" ), 1, IF( AND( OFFSET($A$1, 152 - 1, 54 - 1) = "1", OFFSET($A$1, 152 - 1, 55 - 1) = "0" ), 2, IF( AND( OFFSET($A$1, 152 - 1, 54 - 1) = "0", OFFSET($A$1, 152 - 1, 55 - 1) = "1" ), 3, 4 ) ) )</f>
        <v>1</v>
      </c>
      <c r="BF152" s="3">
        <v>0.28597865029575259</v>
      </c>
      <c r="BG152" s="3" t="str">
        <f>"0"</f>
        <v>0</v>
      </c>
      <c r="BH152" t="str">
        <f ca="1">IF((OFFSET($A$1, 152 - 1, 58 - 1)) &gt;= (OFFSET($A$1, 93 - 1, 7 - 1)), "1","0")</f>
        <v>0</v>
      </c>
      <c r="BI152">
        <f ca="1" xml:space="preserve"> IF( AND( OFFSET($A$1, 152 - 1, 59 - 1) = "1", OFFSET($A$1, 152 - 1, 60 - 1) = "1" ), 1, IF( AND( OFFSET($A$1, 152 - 1, 59 - 1) = "1", OFFSET($A$1, 152 - 1, 60 - 1) = "0" ), 2, IF( AND( OFFSET($A$1, 152 - 1, 59 - 1) = "0", OFFSET($A$1, 152 - 1, 60 - 1) = "1" ), 3, 4 ) ) )</f>
        <v>4</v>
      </c>
    </row>
    <row r="153" spans="53:61" x14ac:dyDescent="0.35">
      <c r="BA153" s="3">
        <v>0.55630951295508113</v>
      </c>
      <c r="BB153" s="3" t="str">
        <f>"1"</f>
        <v>1</v>
      </c>
      <c r="BC153" t="str">
        <f ca="1">IF((OFFSET($A$1, 153 - 1, 53 - 1)) &gt;= (OFFSET($A$1, 69 - 1, 7 - 1)), "1","0")</f>
        <v>1</v>
      </c>
      <c r="BD153">
        <f ca="1" xml:space="preserve"> IF( AND( OFFSET($A$1, 153 - 1, 54 - 1) = "1", OFFSET($A$1, 153 - 1, 55 - 1) = "1" ), 1, IF( AND( OFFSET($A$1, 153 - 1, 54 - 1) = "1", OFFSET($A$1, 153 - 1, 55 - 1) = "0" ), 2, IF( AND( OFFSET($A$1, 153 - 1, 54 - 1) = "0", OFFSET($A$1, 153 - 1, 55 - 1) = "1" ), 3, 4 ) ) )</f>
        <v>1</v>
      </c>
      <c r="BF153" s="3">
        <v>0.2871448156968413</v>
      </c>
      <c r="BG153" s="3" t="str">
        <f>"0"</f>
        <v>0</v>
      </c>
      <c r="BH153" t="str">
        <f ca="1">IF((OFFSET($A$1, 153 - 1, 58 - 1)) &gt;= (OFFSET($A$1, 93 - 1, 7 - 1)), "1","0")</f>
        <v>0</v>
      </c>
      <c r="BI153">
        <f ca="1" xml:space="preserve"> IF( AND( OFFSET($A$1, 153 - 1, 59 - 1) = "1", OFFSET($A$1, 153 - 1, 60 - 1) = "1" ), 1, IF( AND( OFFSET($A$1, 153 - 1, 59 - 1) = "1", OFFSET($A$1, 153 - 1, 60 - 1) = "0" ), 2, IF( AND( OFFSET($A$1, 153 - 1, 59 - 1) = "0", OFFSET($A$1, 153 - 1, 60 - 1) = "1" ), 3, 4 ) ) )</f>
        <v>4</v>
      </c>
    </row>
    <row r="154" spans="53:61" x14ac:dyDescent="0.35">
      <c r="BA154" s="3">
        <v>0.55771188061426924</v>
      </c>
      <c r="BB154" s="3" t="str">
        <f>"1"</f>
        <v>1</v>
      </c>
      <c r="BC154" t="str">
        <f ca="1">IF((OFFSET($A$1, 154 - 1, 53 - 1)) &gt;= (OFFSET($A$1, 69 - 1, 7 - 1)), "1","0")</f>
        <v>1</v>
      </c>
      <c r="BD154">
        <f ca="1" xml:space="preserve"> IF( AND( OFFSET($A$1, 154 - 1, 54 - 1) = "1", OFFSET($A$1, 154 - 1, 55 - 1) = "1" ), 1, IF( AND( OFFSET($A$1, 154 - 1, 54 - 1) = "1", OFFSET($A$1, 154 - 1, 55 - 1) = "0" ), 2, IF( AND( OFFSET($A$1, 154 - 1, 54 - 1) = "0", OFFSET($A$1, 154 - 1, 55 - 1) = "1" ), 3, 4 ) ) )</f>
        <v>1</v>
      </c>
      <c r="BF154" s="3">
        <v>0.28830522625271365</v>
      </c>
      <c r="BG154" s="3" t="str">
        <f>"0"</f>
        <v>0</v>
      </c>
      <c r="BH154" t="str">
        <f ca="1">IF((OFFSET($A$1, 154 - 1, 58 - 1)) &gt;= (OFFSET($A$1, 93 - 1, 7 - 1)), "1","0")</f>
        <v>0</v>
      </c>
      <c r="BI154">
        <f ca="1" xml:space="preserve"> IF( AND( OFFSET($A$1, 154 - 1, 59 - 1) = "1", OFFSET($A$1, 154 - 1, 60 - 1) = "1" ), 1, IF( AND( OFFSET($A$1, 154 - 1, 59 - 1) = "1", OFFSET($A$1, 154 - 1, 60 - 1) = "0" ), 2, IF( AND( OFFSET($A$1, 154 - 1, 59 - 1) = "0", OFFSET($A$1, 154 - 1, 60 - 1) = "1" ), 3, 4 ) ) )</f>
        <v>4</v>
      </c>
    </row>
    <row r="155" spans="53:61" x14ac:dyDescent="0.35">
      <c r="BA155" s="3">
        <v>0.5591028018553319</v>
      </c>
      <c r="BB155" s="3" t="str">
        <f>"0"</f>
        <v>0</v>
      </c>
      <c r="BC155" t="str">
        <f ca="1">IF((OFFSET($A$1, 155 - 1, 53 - 1)) &gt;= (OFFSET($A$1, 69 - 1, 7 - 1)), "1","0")</f>
        <v>1</v>
      </c>
      <c r="BD155">
        <f ca="1" xml:space="preserve"> IF( AND( OFFSET($A$1, 155 - 1, 54 - 1) = "1", OFFSET($A$1, 155 - 1, 55 - 1) = "1" ), 1, IF( AND( OFFSET($A$1, 155 - 1, 54 - 1) = "1", OFFSET($A$1, 155 - 1, 55 - 1) = "0" ), 2, IF( AND( OFFSET($A$1, 155 - 1, 54 - 1) = "0", OFFSET($A$1, 155 - 1, 55 - 1) = "1" ), 3, 4 ) ) )</f>
        <v>3</v>
      </c>
      <c r="BF155" s="3">
        <v>0.28945946693298746</v>
      </c>
      <c r="BG155" s="3" t="str">
        <f>"0"</f>
        <v>0</v>
      </c>
      <c r="BH155" t="str">
        <f ca="1">IF((OFFSET($A$1, 155 - 1, 58 - 1)) &gt;= (OFFSET($A$1, 93 - 1, 7 - 1)), "1","0")</f>
        <v>0</v>
      </c>
      <c r="BI155">
        <f ca="1" xml:space="preserve"> IF( AND( OFFSET($A$1, 155 - 1, 59 - 1) = "1", OFFSET($A$1, 155 - 1, 60 - 1) = "1" ), 1, IF( AND( OFFSET($A$1, 155 - 1, 59 - 1) = "1", OFFSET($A$1, 155 - 1, 60 - 1) = "0" ), 2, IF( AND( OFFSET($A$1, 155 - 1, 59 - 1) = "0", OFFSET($A$1, 155 - 1, 60 - 1) = "1" ), 3, 4 ) ) )</f>
        <v>4</v>
      </c>
    </row>
    <row r="156" spans="53:61" x14ac:dyDescent="0.35">
      <c r="BA156" s="3">
        <v>0.29003414390270499</v>
      </c>
      <c r="BB156" s="3" t="str">
        <f>"1"</f>
        <v>1</v>
      </c>
      <c r="BC156" t="str">
        <f ca="1">IF((OFFSET($A$1, 156 - 1, 53 - 1)) &gt;= (OFFSET($A$1, 69 - 1, 7 - 1)), "1","0")</f>
        <v>0</v>
      </c>
      <c r="BD156">
        <f ca="1" xml:space="preserve"> IF( AND( OFFSET($A$1, 156 - 1, 54 - 1) = "1", OFFSET($A$1, 156 - 1, 55 - 1) = "1" ), 1, IF( AND( OFFSET($A$1, 156 - 1, 54 - 1) = "1", OFFSET($A$1, 156 - 1, 55 - 1) = "0" ), 2, IF( AND( OFFSET($A$1, 156 - 1, 54 - 1) = "0", OFFSET($A$1, 156 - 1, 55 - 1) = "1" ), 3, 4 ) ) )</f>
        <v>2</v>
      </c>
      <c r="BF156" s="3">
        <v>0.29060712283909224</v>
      </c>
      <c r="BG156" s="3" t="str">
        <f>"0"</f>
        <v>0</v>
      </c>
      <c r="BH156" t="str">
        <f ca="1">IF((OFFSET($A$1, 156 - 1, 58 - 1)) &gt;= (OFFSET($A$1, 93 - 1, 7 - 1)), "1","0")</f>
        <v>0</v>
      </c>
      <c r="BI156">
        <f ca="1" xml:space="preserve"> IF( AND( OFFSET($A$1, 156 - 1, 59 - 1) = "1", OFFSET($A$1, 156 - 1, 60 - 1) = "1" ), 1, IF( AND( OFFSET($A$1, 156 - 1, 59 - 1) = "1", OFFSET($A$1, 156 - 1, 60 - 1) = "0" ), 2, IF( AND( OFFSET($A$1, 156 - 1, 59 - 1) = "0", OFFSET($A$1, 156 - 1, 60 - 1) = "1" ), 3, 4 ) ) )</f>
        <v>4</v>
      </c>
    </row>
    <row r="157" spans="53:61" x14ac:dyDescent="0.35">
      <c r="BA157" s="3">
        <v>0.56184866391440325</v>
      </c>
      <c r="BB157" s="3" t="str">
        <f>"1"</f>
        <v>1</v>
      </c>
      <c r="BC157" t="str">
        <f ca="1">IF((OFFSET($A$1, 157 - 1, 53 - 1)) &gt;= (OFFSET($A$1, 69 - 1, 7 - 1)), "1","0")</f>
        <v>1</v>
      </c>
      <c r="BD157">
        <f ca="1" xml:space="preserve"> IF( AND( OFFSET($A$1, 157 - 1, 54 - 1) = "1", OFFSET($A$1, 157 - 1, 55 - 1) = "1" ), 1, IF( AND( OFFSET($A$1, 157 - 1, 54 - 1) = "1", OFFSET($A$1, 157 - 1, 55 - 1) = "0" ), 2, IF( AND( OFFSET($A$1, 157 - 1, 54 - 1) = "0", OFFSET($A$1, 157 - 1, 55 - 1) = "1" ), 3, 4 ) ) )</f>
        <v>1</v>
      </c>
      <c r="BF157" s="3">
        <v>0.29174777942833124</v>
      </c>
      <c r="BG157" s="3" t="str">
        <f>"1"</f>
        <v>1</v>
      </c>
      <c r="BH157" t="str">
        <f ca="1">IF((OFFSET($A$1, 157 - 1, 58 - 1)) &gt;= (OFFSET($A$1, 93 - 1, 7 - 1)), "1","0")</f>
        <v>0</v>
      </c>
      <c r="BI157">
        <f ca="1" xml:space="preserve"> IF( AND( OFFSET($A$1, 157 - 1, 59 - 1) = "1", OFFSET($A$1, 157 - 1, 60 - 1) = "1" ), 1, IF( AND( OFFSET($A$1, 157 - 1, 59 - 1) = "1", OFFSET($A$1, 157 - 1, 60 - 1) = "0" ), 2, IF( AND( OFFSET($A$1, 157 - 1, 59 - 1) = "0", OFFSET($A$1, 157 - 1, 60 - 1) = "1" ), 3, 4 ) ) )</f>
        <v>2</v>
      </c>
    </row>
    <row r="158" spans="53:61" x14ac:dyDescent="0.35">
      <c r="BA158" s="3">
        <v>0.56320279727881928</v>
      </c>
      <c r="BB158" s="3" t="str">
        <f>"1"</f>
        <v>1</v>
      </c>
      <c r="BC158" t="str">
        <f ca="1">IF((OFFSET($A$1, 158 - 1, 53 - 1)) &gt;= (OFFSET($A$1, 69 - 1, 7 - 1)), "1","0")</f>
        <v>1</v>
      </c>
      <c r="BD158">
        <f ca="1" xml:space="preserve"> IF( AND( OFFSET($A$1, 158 - 1, 54 - 1) = "1", OFFSET($A$1, 158 - 1, 55 - 1) = "1" ), 1, IF( AND( OFFSET($A$1, 158 - 1, 54 - 1) = "1", OFFSET($A$1, 158 - 1, 55 - 1) = "0" ), 2, IF( AND( OFFSET($A$1, 158 - 1, 54 - 1) = "0", OFFSET($A$1, 158 - 1, 55 - 1) = "1" ), 3, 4 ) ) )</f>
        <v>1</v>
      </c>
      <c r="BF158" s="3">
        <v>0.56387499056586954</v>
      </c>
      <c r="BG158" s="3" t="str">
        <f>"1"</f>
        <v>1</v>
      </c>
      <c r="BH158" t="str">
        <f ca="1">IF((OFFSET($A$1, 158 - 1, 58 - 1)) &gt;= (OFFSET($A$1, 93 - 1, 7 - 1)), "1","0")</f>
        <v>1</v>
      </c>
      <c r="BI158">
        <f ca="1" xml:space="preserve"> IF( AND( OFFSET($A$1, 158 - 1, 59 - 1) = "1", OFFSET($A$1, 158 - 1, 60 - 1) = "1" ), 1, IF( AND( OFFSET($A$1, 158 - 1, 59 - 1) = "1", OFFSET($A$1, 158 - 1, 60 - 1) = "0" ), 2, IF( AND( OFFSET($A$1, 158 - 1, 59 - 1) = "0", OFFSET($A$1, 158 - 1, 60 - 1) = "1" ), 3, 4 ) ) )</f>
        <v>1</v>
      </c>
    </row>
    <row r="159" spans="53:61" x14ac:dyDescent="0.35">
      <c r="BA159" s="3">
        <v>0.56454386956252345</v>
      </c>
      <c r="BB159" s="3" t="str">
        <f>"1"</f>
        <v>1</v>
      </c>
      <c r="BC159" t="str">
        <f ca="1">IF((OFFSET($A$1, 159 - 1, 53 - 1)) &gt;= (OFFSET($A$1, 69 - 1, 7 - 1)), "1","0")</f>
        <v>1</v>
      </c>
      <c r="BD159">
        <f ca="1" xml:space="preserve"> IF( AND( OFFSET($A$1, 159 - 1, 54 - 1) = "1", OFFSET($A$1, 159 - 1, 55 - 1) = "1" ), 1, IF( AND( OFFSET($A$1, 159 - 1, 54 - 1) = "1", OFFSET($A$1, 159 - 1, 55 - 1) = "0" ), 2, IF( AND( OFFSET($A$1, 159 - 1, 54 - 1) = "0", OFFSET($A$1, 159 - 1, 55 - 1) = "1" ), 3, 4 ) ) )</f>
        <v>1</v>
      </c>
      <c r="BF159" s="3">
        <v>0.56520938568642032</v>
      </c>
      <c r="BG159" s="3" t="str">
        <f>"0"</f>
        <v>0</v>
      </c>
      <c r="BH159" t="str">
        <f ca="1">IF((OFFSET($A$1, 159 - 1, 58 - 1)) &gt;= (OFFSET($A$1, 93 - 1, 7 - 1)), "1","0")</f>
        <v>1</v>
      </c>
      <c r="BI159">
        <f ca="1" xml:space="preserve"> IF( AND( OFFSET($A$1, 159 - 1, 59 - 1) = "1", OFFSET($A$1, 159 - 1, 60 - 1) = "1" ), 1, IF( AND( OFFSET($A$1, 159 - 1, 59 - 1) = "1", OFFSET($A$1, 159 - 1, 60 - 1) = "0" ), 2, IF( AND( OFFSET($A$1, 159 - 1, 59 - 1) = "0", OFFSET($A$1, 159 - 1, 60 - 1) = "1" ), 3, 4 ) ) )</f>
        <v>3</v>
      </c>
    </row>
    <row r="160" spans="53:61" x14ac:dyDescent="0.35">
      <c r="BA160" s="3">
        <v>0.56587149070947995</v>
      </c>
      <c r="BB160" s="3" t="str">
        <f>"0"</f>
        <v>0</v>
      </c>
      <c r="BC160" t="str">
        <f ca="1">IF((OFFSET($A$1, 160 - 1, 53 - 1)) &gt;= (OFFSET($A$1, 69 - 1, 7 - 1)), "1","0")</f>
        <v>1</v>
      </c>
      <c r="BD160">
        <f ca="1" xml:space="preserve"> IF( AND( OFFSET($A$1, 160 - 1, 54 - 1) = "1", OFFSET($A$1, 160 - 1, 55 - 1) = "1" ), 1, IF( AND( OFFSET($A$1, 160 - 1, 54 - 1) = "1", OFFSET($A$1, 160 - 1, 55 - 1) = "0" ), 2, IF( AND( OFFSET($A$1, 160 - 1, 54 - 1) = "0", OFFSET($A$1, 160 - 1, 55 - 1) = "1" ), 3, 4 ) ) )</f>
        <v>3</v>
      </c>
      <c r="BF160" s="3">
        <v>0.29512361794160741</v>
      </c>
      <c r="BG160" s="3" t="str">
        <f>"1"</f>
        <v>1</v>
      </c>
      <c r="BH160" t="str">
        <f ca="1">IF((OFFSET($A$1, 160 - 1, 58 - 1)) &gt;= (OFFSET($A$1, 93 - 1, 7 - 1)), "1","0")</f>
        <v>0</v>
      </c>
      <c r="BI160">
        <f ca="1" xml:space="preserve"> IF( AND( OFFSET($A$1, 160 - 1, 59 - 1) = "1", OFFSET($A$1, 160 - 1, 60 - 1) = "1" ), 1, IF( AND( OFFSET($A$1, 160 - 1, 59 - 1) = "1", OFFSET($A$1, 160 - 1, 60 - 1) = "0" ), 2, IF( AND( OFFSET($A$1, 160 - 1, 59 - 1) = "0", OFFSET($A$1, 160 - 1, 60 - 1) = "1" ), 3, 4 ) ) )</f>
        <v>2</v>
      </c>
    </row>
    <row r="161" spans="53:61" x14ac:dyDescent="0.35">
      <c r="BA161" s="3">
        <v>0.29567898919741242</v>
      </c>
      <c r="BB161" s="3" t="str">
        <f>"0"</f>
        <v>0</v>
      </c>
      <c r="BC161" t="str">
        <f ca="1">IF((OFFSET($A$1, 161 - 1, 53 - 1)) &gt;= (OFFSET($A$1, 69 - 1, 7 - 1)), "1","0")</f>
        <v>0</v>
      </c>
      <c r="BD161">
        <f ca="1" xml:space="preserve"> IF( AND( OFFSET($A$1, 161 - 1, 54 - 1) = "1", OFFSET($A$1, 161 - 1, 55 - 1) = "1" ), 1, IF( AND( OFFSET($A$1, 161 - 1, 54 - 1) = "1", OFFSET($A$1, 161 - 1, 55 - 1) = "0" ), 2, IF( AND( OFFSET($A$1, 161 - 1, 54 - 1) = "0", OFFSET($A$1, 161 - 1, 55 - 1) = "1" ), 3, 4 ) ) )</f>
        <v>4</v>
      </c>
      <c r="BF161" s="3">
        <v>0.56783686227398134</v>
      </c>
      <c r="BG161" s="3" t="str">
        <f>"1"</f>
        <v>1</v>
      </c>
      <c r="BH161" t="str">
        <f ca="1">IF((OFFSET($A$1, 161 - 1, 58 - 1)) &gt;= (OFFSET($A$1, 93 - 1, 7 - 1)), "1","0")</f>
        <v>1</v>
      </c>
      <c r="BI161">
        <f ca="1" xml:space="preserve"> IF( AND( OFFSET($A$1, 161 - 1, 59 - 1) = "1", OFFSET($A$1, 161 - 1, 60 - 1) = "1" ), 1, IF( AND( OFFSET($A$1, 161 - 1, 59 - 1) = "1", OFFSET($A$1, 161 - 1, 60 - 1) = "0" ), 2, IF( AND( OFFSET($A$1, 161 - 1, 59 - 1) = "0", OFFSET($A$1, 161 - 1, 60 - 1) = "1" ), 3, 4 ) ) )</f>
        <v>1</v>
      </c>
    </row>
    <row r="162" spans="53:61" x14ac:dyDescent="0.35">
      <c r="BA162" s="3">
        <v>0.29678303978713888</v>
      </c>
      <c r="BB162" s="3" t="str">
        <f>"1"</f>
        <v>1</v>
      </c>
      <c r="BC162" t="str">
        <f ca="1">IF((OFFSET($A$1, 162 - 1, 53 - 1)) &gt;= (OFFSET($A$1, 69 - 1, 7 - 1)), "1","0")</f>
        <v>0</v>
      </c>
      <c r="BD162">
        <f ca="1" xml:space="preserve"> IF( AND( OFFSET($A$1, 162 - 1, 54 - 1) = "1", OFFSET($A$1, 162 - 1, 55 - 1) = "1" ), 1, IF( AND( OFFSET($A$1, 162 - 1, 54 - 1) = "1", OFFSET($A$1, 162 - 1, 55 - 1) = "0" ), 2, IF( AND( OFFSET($A$1, 162 - 1, 54 - 1) = "0", OFFSET($A$1, 162 - 1, 55 - 1) = "1" ), 3, 4 ) ) )</f>
        <v>2</v>
      </c>
      <c r="BF162" s="3">
        <v>0.56912918652684308</v>
      </c>
      <c r="BG162" s="3" t="str">
        <f>"1"</f>
        <v>1</v>
      </c>
      <c r="BH162" t="str">
        <f ca="1">IF((OFFSET($A$1, 162 - 1, 58 - 1)) &gt;= (OFFSET($A$1, 93 - 1, 7 - 1)), "1","0")</f>
        <v>1</v>
      </c>
      <c r="BI162">
        <f ca="1" xml:space="preserve"> IF( AND( OFFSET($A$1, 162 - 1, 59 - 1) = "1", OFFSET($A$1, 162 - 1, 60 - 1) = "1" ), 1, IF( AND( OFFSET($A$1, 162 - 1, 59 - 1) = "1", OFFSET($A$1, 162 - 1, 60 - 1) = "0" ), 2, IF( AND( OFFSET($A$1, 162 - 1, 59 - 1) = "0", OFFSET($A$1, 162 - 1, 60 - 1) = "1" ), 3, 4 ) ) )</f>
        <v>1</v>
      </c>
    </row>
    <row r="163" spans="53:61" x14ac:dyDescent="0.35">
      <c r="BA163" s="3">
        <v>0.56976983238882906</v>
      </c>
      <c r="BB163" s="3" t="str">
        <f>"1"</f>
        <v>1</v>
      </c>
      <c r="BC163" t="str">
        <f ca="1">IF((OFFSET($A$1, 163 - 1, 53 - 1)) &gt;= (OFFSET($A$1, 69 - 1, 7 - 1)), "1","0")</f>
        <v>1</v>
      </c>
      <c r="BD163">
        <f ca="1" xml:space="preserve"> IF( AND( OFFSET($A$1, 163 - 1, 54 - 1) = "1", OFFSET($A$1, 163 - 1, 55 - 1) = "1" ), 1, IF( AND( OFFSET($A$1, 163 - 1, 54 - 1) = "1", OFFSET($A$1, 163 - 1, 55 - 1) = "0" ), 2, IF( AND( OFFSET($A$1, 163 - 1, 54 - 1) = "0", OFFSET($A$1, 163 - 1, 55 - 1) = "1" ), 3, 4 ) ) )</f>
        <v>1</v>
      </c>
      <c r="BF163" s="3">
        <v>0.57040673973200406</v>
      </c>
      <c r="BG163" s="3" t="str">
        <f>"1"</f>
        <v>1</v>
      </c>
      <c r="BH163" t="str">
        <f ca="1">IF((OFFSET($A$1, 163 - 1, 58 - 1)) &gt;= (OFFSET($A$1, 93 - 1, 7 - 1)), "1","0")</f>
        <v>1</v>
      </c>
      <c r="BI163">
        <f ca="1" xml:space="preserve"> IF( AND( OFFSET($A$1, 163 - 1, 59 - 1) = "1", OFFSET($A$1, 163 - 1, 60 - 1) = "1" ), 1, IF( AND( OFFSET($A$1, 163 - 1, 59 - 1) = "1", OFFSET($A$1, 163 - 1, 60 - 1) = "0" ), 2, IF( AND( OFFSET($A$1, 163 - 1, 59 - 1) = "0", OFFSET($A$1, 163 - 1, 60 - 1) = "1" ), 3, 4 ) ) )</f>
        <v>1</v>
      </c>
    </row>
    <row r="164" spans="53:61" x14ac:dyDescent="0.35">
      <c r="BA164" s="3">
        <v>0.57103986327064393</v>
      </c>
      <c r="BB164" s="3" t="str">
        <f>"0"</f>
        <v>0</v>
      </c>
      <c r="BC164" t="str">
        <f ca="1">IF((OFFSET($A$1, 164 - 1, 53 - 1)) &gt;= (OFFSET($A$1, 69 - 1, 7 - 1)), "1","0")</f>
        <v>1</v>
      </c>
      <c r="BD164">
        <f ca="1" xml:space="preserve"> IF( AND( OFFSET($A$1, 164 - 1, 54 - 1) = "1", OFFSET($A$1, 164 - 1, 55 - 1) = "1" ), 1, IF( AND( OFFSET($A$1, 164 - 1, 54 - 1) = "1", OFFSET($A$1, 164 - 1, 55 - 1) = "0" ), 2, IF( AND( OFFSET($A$1, 164 - 1, 54 - 1) = "0", OFFSET($A$1, 164 - 1, 55 - 1) = "1" ), 3, 4 ) ) )</f>
        <v>3</v>
      </c>
      <c r="BF164" s="3">
        <v>0.57166915809894747</v>
      </c>
      <c r="BG164" s="3" t="str">
        <f>"1"</f>
        <v>1</v>
      </c>
      <c r="BH164" t="str">
        <f ca="1">IF((OFFSET($A$1, 164 - 1, 58 - 1)) &gt;= (OFFSET($A$1, 93 - 1, 7 - 1)), "1","0")</f>
        <v>1</v>
      </c>
      <c r="BI164">
        <f ca="1" xml:space="preserve"> IF( AND( OFFSET($A$1, 164 - 1, 59 - 1) = "1", OFFSET($A$1, 164 - 1, 60 - 1) = "1" ), 1, IF( AND( OFFSET($A$1, 164 - 1, 59 - 1) = "1", OFFSET($A$1, 164 - 1, 60 - 1) = "0" ), 2, IF( AND( OFFSET($A$1, 164 - 1, 59 - 1) = "0", OFFSET($A$1, 164 - 1, 60 - 1) = "1" ), 3, 4 ) ) )</f>
        <v>1</v>
      </c>
    </row>
    <row r="165" spans="53:61" x14ac:dyDescent="0.35">
      <c r="BA165" s="3">
        <v>0.30003798972502327</v>
      </c>
      <c r="BB165" s="3" t="str">
        <f>"0"</f>
        <v>0</v>
      </c>
      <c r="BC165" t="str">
        <f ca="1">IF((OFFSET($A$1, 165 - 1, 53 - 1)) &gt;= (OFFSET($A$1, 69 - 1, 7 - 1)), "1","0")</f>
        <v>0</v>
      </c>
      <c r="BD165">
        <f ca="1" xml:space="preserve"> IF( AND( OFFSET($A$1, 165 - 1, 54 - 1) = "1", OFFSET($A$1, 165 - 1, 55 - 1) = "1" ), 1, IF( AND( OFFSET($A$1, 165 - 1, 54 - 1) = "1", OFFSET($A$1, 165 - 1, 55 - 1) = "0" ), 2, IF( AND( OFFSET($A$1, 165 - 1, 54 - 1) = "0", OFFSET($A$1, 165 - 1, 55 - 1) = "1" ), 3, 4 ) ) )</f>
        <v>4</v>
      </c>
      <c r="BF165" s="3">
        <v>0.57291608391519644</v>
      </c>
      <c r="BG165" s="3" t="str">
        <f>"0"</f>
        <v>0</v>
      </c>
      <c r="BH165" t="str">
        <f ca="1">IF((OFFSET($A$1, 165 - 1, 58 - 1)) &gt;= (OFFSET($A$1, 93 - 1, 7 - 1)), "1","0")</f>
        <v>1</v>
      </c>
      <c r="BI165">
        <f ca="1" xml:space="preserve"> IF( AND( OFFSET($A$1, 165 - 1, 59 - 1) = "1", OFFSET($A$1, 165 - 1, 60 - 1) = "1" ), 1, IF( AND( OFFSET($A$1, 165 - 1, 59 - 1) = "1", OFFSET($A$1, 165 - 1, 60 - 1) = "0" ), 2, IF( AND( OFFSET($A$1, 165 - 1, 59 - 1) = "0", OFFSET($A$1, 165 - 1, 60 - 1) = "1" ), 3, 4 ) ) )</f>
        <v>3</v>
      </c>
    </row>
    <row r="166" spans="53:61" x14ac:dyDescent="0.35">
      <c r="BA166" s="3">
        <v>0.3011025571317486</v>
      </c>
      <c r="BB166" s="3" t="str">
        <f>"0"</f>
        <v>0</v>
      </c>
      <c r="BC166" t="str">
        <f ca="1">IF((OFFSET($A$1, 166 - 1, 53 - 1)) &gt;= (OFFSET($A$1, 69 - 1, 7 - 1)), "1","0")</f>
        <v>0</v>
      </c>
      <c r="BD166">
        <f ca="1" xml:space="preserve"> IF( AND( OFFSET($A$1, 166 - 1, 54 - 1) = "1", OFFSET($A$1, 166 - 1, 55 - 1) = "1" ), 1, IF( AND( OFFSET($A$1, 166 - 1, 54 - 1) = "1", OFFSET($A$1, 166 - 1, 55 - 1) = "0" ), 2, IF( AND( OFFSET($A$1, 166 - 1, 54 - 1) = "0", OFFSET($A$1, 166 - 1, 55 - 1) = "1" ), 3, 4 ) ) )</f>
        <v>4</v>
      </c>
      <c r="BF166" s="3">
        <v>0.30163078705370805</v>
      </c>
      <c r="BG166" s="3" t="str">
        <f>"0"</f>
        <v>0</v>
      </c>
      <c r="BH166" t="str">
        <f ca="1">IF((OFFSET($A$1, 166 - 1, 58 - 1)) &gt;= (OFFSET($A$1, 93 - 1, 7 - 1)), "1","0")</f>
        <v>0</v>
      </c>
      <c r="BI166">
        <f ca="1" xml:space="preserve"> IF( AND( OFFSET($A$1, 166 - 1, 59 - 1) = "1", OFFSET($A$1, 166 - 1, 60 - 1) = "1" ), 1, IF( AND( OFFSET($A$1, 166 - 1, 59 - 1) = "1", OFFSET($A$1, 166 - 1, 60 - 1) = "0" ), 2, IF( AND( OFFSET($A$1, 166 - 1, 59 - 1) = "0", OFFSET($A$1, 166 - 1, 60 - 1) = "1" ), 3, 4 ) ) )</f>
        <v>4</v>
      </c>
    </row>
    <row r="167" spans="53:61" x14ac:dyDescent="0.35">
      <c r="BA167" s="3">
        <v>0.30215624808755365</v>
      </c>
      <c r="BB167" s="3" t="str">
        <f>"0"</f>
        <v>0</v>
      </c>
      <c r="BC167" t="str">
        <f ca="1">IF((OFFSET($A$1, 167 - 1, 53 - 1)) &gt;= (OFFSET($A$1, 69 - 1, 7 - 1)), "1","0")</f>
        <v>0</v>
      </c>
      <c r="BD167">
        <f ca="1" xml:space="preserve"> IF( AND( OFFSET($A$1, 167 - 1, 54 - 1) = "1", OFFSET($A$1, 167 - 1, 55 - 1) = "1" ), 1, IF( AND( OFFSET($A$1, 167 - 1, 54 - 1) = "1", OFFSET($A$1, 167 - 1, 55 - 1) = "0" ), 2, IF( AND( OFFSET($A$1, 167 - 1, 54 - 1) = "0", OFFSET($A$1, 167 - 1, 55 - 1) = "1" ), 3, 4 ) ) )</f>
        <v>4</v>
      </c>
      <c r="BF167" s="3">
        <v>0.30267889067821113</v>
      </c>
      <c r="BG167" s="3" t="str">
        <f>"0"</f>
        <v>0</v>
      </c>
      <c r="BH167" t="str">
        <f ca="1">IF((OFFSET($A$1, 167 - 1, 58 - 1)) &gt;= (OFFSET($A$1, 93 - 1, 7 - 1)), "1","0")</f>
        <v>0</v>
      </c>
      <c r="BI167">
        <f ca="1" xml:space="preserve"> IF( AND( OFFSET($A$1, 167 - 1, 59 - 1) = "1", OFFSET($A$1, 167 - 1, 60 - 1) = "1" ), 1, IF( AND( OFFSET($A$1, 167 - 1, 59 - 1) = "1", OFFSET($A$1, 167 - 1, 60 - 1) = "0" ), 2, IF( AND( OFFSET($A$1, 167 - 1, 59 - 1) = "0", OFFSET($A$1, 167 - 1, 60 - 1) = "1" ), 3, 4 ) ) )</f>
        <v>4</v>
      </c>
    </row>
    <row r="168" spans="53:61" x14ac:dyDescent="0.35">
      <c r="BA168" s="3">
        <v>0.30319866545519397</v>
      </c>
      <c r="BB168" s="3" t="str">
        <f>"0"</f>
        <v>0</v>
      </c>
      <c r="BC168" t="str">
        <f ca="1">IF((OFFSET($A$1, 168 - 1, 53 - 1)) &gt;= (OFFSET($A$1, 69 - 1, 7 - 1)), "1","0")</f>
        <v>0</v>
      </c>
      <c r="BD168">
        <f ca="1" xml:space="preserve"> IF( AND( OFFSET($A$1, 168 - 1, 54 - 1) = "1", OFFSET($A$1, 168 - 1, 55 - 1) = "1" ), 1, IF( AND( OFFSET($A$1, 168 - 1, 54 - 1) = "1", OFFSET($A$1, 168 - 1, 55 - 1) = "0" ), 2, IF( AND( OFFSET($A$1, 168 - 1, 54 - 1) = "0", OFFSET($A$1, 168 - 1, 55 - 1) = "1" ), 3, 4 ) ) )</f>
        <v>4</v>
      </c>
      <c r="BF168" s="3">
        <v>0.30371552323951378</v>
      </c>
      <c r="BG168" s="3" t="str">
        <f>"0"</f>
        <v>0</v>
      </c>
      <c r="BH168" t="str">
        <f ca="1">IF((OFFSET($A$1, 168 - 1, 58 - 1)) &gt;= (OFFSET($A$1, 93 - 1, 7 - 1)), "1","0")</f>
        <v>0</v>
      </c>
      <c r="BI168">
        <f ca="1" xml:space="preserve"> IF( AND( OFFSET($A$1, 168 - 1, 59 - 1) = "1", OFFSET($A$1, 168 - 1, 60 - 1) = "1" ), 1, IF( AND( OFFSET($A$1, 168 - 1, 59 - 1) = "1", OFFSET($A$1, 168 - 1, 60 - 1) = "0" ), 2, IF( AND( OFFSET($A$1, 168 - 1, 59 - 1) = "0", OFFSET($A$1, 168 - 1, 60 - 1) = "1" ), 3, 4 ) ) )</f>
        <v>4</v>
      </c>
    </row>
    <row r="169" spans="53:61" x14ac:dyDescent="0.35">
      <c r="BA169" s="3">
        <v>0.30422941505057871</v>
      </c>
      <c r="BB169" s="3" t="str">
        <f>"0"</f>
        <v>0</v>
      </c>
      <c r="BC169" t="str">
        <f ca="1">IF((OFFSET($A$1, 169 - 1, 53 - 1)) &gt;= (OFFSET($A$1, 69 - 1, 7 - 1)), "1","0")</f>
        <v>0</v>
      </c>
      <c r="BD169">
        <f ca="1" xml:space="preserve"> IF( AND( OFFSET($A$1, 169 - 1, 54 - 1) = "1", OFFSET($A$1, 169 - 1, 55 - 1) = "1" ), 1, IF( AND( OFFSET($A$1, 169 - 1, 54 - 1) = "1", OFFSET($A$1, 169 - 1, 55 - 1) = "0" ), 2, IF( AND( OFFSET($A$1, 169 - 1, 54 - 1) = "0", OFFSET($A$1, 169 - 1, 55 - 1) = "1" ), 3, 4 ) ) )</f>
        <v>4</v>
      </c>
      <c r="BF169" s="3">
        <v>0.3047402921130522</v>
      </c>
      <c r="BG169" s="3" t="str">
        <f>"1"</f>
        <v>1</v>
      </c>
      <c r="BH169" t="str">
        <f ca="1">IF((OFFSET($A$1, 169 - 1, 58 - 1)) &gt;= (OFFSET($A$1, 93 - 1, 7 - 1)), "1","0")</f>
        <v>0</v>
      </c>
      <c r="BI169">
        <f ca="1" xml:space="preserve"> IF( AND( OFFSET($A$1, 169 - 1, 59 - 1) = "1", OFFSET($A$1, 169 - 1, 60 - 1) = "1" ), 1, IF( AND( OFFSET($A$1, 169 - 1, 59 - 1) = "1", OFFSET($A$1, 169 - 1, 60 - 1) = "0" ), 2, IF( AND( OFFSET($A$1, 169 - 1, 59 - 1) = "0", OFFSET($A$1, 169 - 1, 60 - 1) = "1" ), 3, 4 ) ) )</f>
        <v>2</v>
      </c>
    </row>
    <row r="170" spans="53:61" x14ac:dyDescent="0.35">
      <c r="BA170" s="3">
        <v>0.30524810586368628</v>
      </c>
      <c r="BB170" s="3" t="str">
        <f>"0"</f>
        <v>0</v>
      </c>
      <c r="BC170" t="str">
        <f ca="1">IF((OFFSET($A$1, 170 - 1, 53 - 1)) &gt;= (OFFSET($A$1, 69 - 1, 7 - 1)), "1","0")</f>
        <v>0</v>
      </c>
      <c r="BD170">
        <f ca="1" xml:space="preserve"> IF( AND( OFFSET($A$1, 170 - 1, 54 - 1) = "1", OFFSET($A$1, 170 - 1, 55 - 1) = "1" ), 1, IF( AND( OFFSET($A$1, 170 - 1, 54 - 1) = "1", OFFSET($A$1, 170 - 1, 55 - 1) = "0" ), 2, IF( AND( OFFSET($A$1, 170 - 1, 54 - 1) = "0", OFFSET($A$1, 170 - 1, 55 - 1) = "1" ), 3, 4 ) ) )</f>
        <v>4</v>
      </c>
      <c r="BF170" s="3">
        <v>0.57890623923528028</v>
      </c>
      <c r="BG170" s="3" t="str">
        <f>"1"</f>
        <v>1</v>
      </c>
      <c r="BH170" t="str">
        <f ca="1">IF((OFFSET($A$1, 170 - 1, 58 - 1)) &gt;= (OFFSET($A$1, 93 - 1, 7 - 1)), "1","0")</f>
        <v>1</v>
      </c>
      <c r="BI170">
        <f ca="1" xml:space="preserve"> IF( AND( OFFSET($A$1, 170 - 1, 59 - 1) = "1", OFFSET($A$1, 170 - 1, 60 - 1) = "1" ), 1, IF( AND( OFFSET($A$1, 170 - 1, 59 - 1) = "1", OFFSET($A$1, 170 - 1, 60 - 1) = "0" ), 2, IF( AND( OFFSET($A$1, 170 - 1, 59 - 1) = "0", OFFSET($A$1, 170 - 1, 60 - 1) = "1" ), 3, 4 ) ) )</f>
        <v>1</v>
      </c>
    </row>
    <row r="171" spans="53:61" x14ac:dyDescent="0.35">
      <c r="BA171" s="3">
        <v>0.30625435027767944</v>
      </c>
      <c r="BB171" s="3" t="str">
        <f>"0"</f>
        <v>0</v>
      </c>
      <c r="BC171" t="str">
        <f ca="1">IF((OFFSET($A$1, 171 - 1, 53 - 1)) &gt;= (OFFSET($A$1, 69 - 1, 7 - 1)), "1","0")</f>
        <v>0</v>
      </c>
      <c r="BD171">
        <f ca="1" xml:space="preserve"> IF( AND( OFFSET($A$1, 171 - 1, 54 - 1) = "1", OFFSET($A$1, 171 - 1, 55 - 1) = "1" ), 1, IF( AND( OFFSET($A$1, 171 - 1, 54 - 1) = "1", OFFSET($A$1, 171 - 1, 55 - 1) = "0" ), 2, IF( AND( OFFSET($A$1, 171 - 1, 54 - 1) = "0", OFFSET($A$1, 171 - 1, 55 - 1) = "1" ), 3, 4 ) ) )</f>
        <v>4</v>
      </c>
      <c r="BF171" s="3">
        <v>0.58005304689064452</v>
      </c>
      <c r="BG171" s="3" t="str">
        <f>"1"</f>
        <v>1</v>
      </c>
      <c r="BH171" t="str">
        <f ca="1">IF((OFFSET($A$1, 171 - 1, 58 - 1)) &gt;= (OFFSET($A$1, 93 - 1, 7 - 1)), "1","0")</f>
        <v>1</v>
      </c>
      <c r="BI171">
        <f ca="1" xml:space="preserve"> IF( AND( OFFSET($A$1, 171 - 1, 59 - 1) = "1", OFFSET($A$1, 171 - 1, 60 - 1) = "1" ), 1, IF( AND( OFFSET($A$1, 171 - 1, 59 - 1) = "1", OFFSET($A$1, 171 - 1, 60 - 1) = "0" ), 2, IF( AND( OFFSET($A$1, 171 - 1, 59 - 1) = "0", OFFSET($A$1, 171 - 1, 60 - 1) = "1" ), 3, 4 ) ) )</f>
        <v>1</v>
      </c>
    </row>
    <row r="172" spans="53:61" x14ac:dyDescent="0.35">
      <c r="BA172" s="3">
        <v>0.30724776428601819</v>
      </c>
      <c r="BB172" s="3" t="str">
        <f>"0"</f>
        <v>0</v>
      </c>
      <c r="BC172" t="str">
        <f ca="1">IF((OFFSET($A$1, 172 - 1, 53 - 1)) &gt;= (OFFSET($A$1, 69 - 1, 7 - 1)), "1","0")</f>
        <v>0</v>
      </c>
      <c r="BD172">
        <f ca="1" xml:space="preserve"> IF( AND( OFFSET($A$1, 172 - 1, 54 - 1) = "1", OFFSET($A$1, 172 - 1, 55 - 1) = "1" ), 1, IF( AND( OFFSET($A$1, 172 - 1, 54 - 1) = "1", OFFSET($A$1, 172 - 1, 55 - 1) = "0" ), 2, IF( AND( OFFSET($A$1, 172 - 1, 54 - 1) = "0", OFFSET($A$1, 172 - 1, 55 - 1) = "1" ), 3, 4 ) ) )</f>
        <v>4</v>
      </c>
      <c r="BF172" s="3">
        <v>0.58118203378041433</v>
      </c>
      <c r="BG172" s="3" t="str">
        <f>"1"</f>
        <v>1</v>
      </c>
      <c r="BH172" t="str">
        <f ca="1">IF((OFFSET($A$1, 172 - 1, 58 - 1)) &gt;= (OFFSET($A$1, 93 - 1, 7 - 1)), "1","0")</f>
        <v>1</v>
      </c>
      <c r="BI172">
        <f ca="1" xml:space="preserve"> IF( AND( OFFSET($A$1, 172 - 1, 59 - 1) = "1", OFFSET($A$1, 172 - 1, 60 - 1) = "1" ), 1, IF( AND( OFFSET($A$1, 172 - 1, 59 - 1) = "1", OFFSET($A$1, 172 - 1, 60 - 1) = "0" ), 2, IF( AND( OFFSET($A$1, 172 - 1, 59 - 1) = "0", OFFSET($A$1, 172 - 1, 60 - 1) = "1" ), 3, 4 ) ) )</f>
        <v>1</v>
      </c>
    </row>
    <row r="173" spans="53:61" x14ac:dyDescent="0.35">
      <c r="BA173" s="3">
        <v>0.30822796770737032</v>
      </c>
      <c r="BB173" s="3" t="str">
        <f>"1"</f>
        <v>1</v>
      </c>
      <c r="BC173" t="str">
        <f ca="1">IF((OFFSET($A$1, 173 - 1, 53 - 1)) &gt;= (OFFSET($A$1, 69 - 1, 7 - 1)), "1","0")</f>
        <v>0</v>
      </c>
      <c r="BD173">
        <f ca="1" xml:space="preserve"> IF( AND( OFFSET($A$1, 173 - 1, 54 - 1) = "1", OFFSET($A$1, 173 - 1, 55 - 1) = "1" ), 1, IF( AND( OFFSET($A$1, 173 - 1, 54 - 1) = "1", OFFSET($A$1, 173 - 1, 55 - 1) = "0" ), 2, IF( AND( OFFSET($A$1, 173 - 1, 54 - 1) = "0", OFFSET($A$1, 173 - 1, 55 - 1) = "1" ), 3, 4 ) ) )</f>
        <v>2</v>
      </c>
      <c r="BF173" s="3">
        <v>0.58229289304455367</v>
      </c>
      <c r="BG173" s="3" t="str">
        <f>"0"</f>
        <v>0</v>
      </c>
      <c r="BH173" t="str">
        <f ca="1">IF((OFFSET($A$1, 173 - 1, 58 - 1)) &gt;= (OFFSET($A$1, 93 - 1, 7 - 1)), "1","0")</f>
        <v>1</v>
      </c>
      <c r="BI173">
        <f ca="1" xml:space="preserve"> IF( AND( OFFSET($A$1, 173 - 1, 59 - 1) = "1", OFFSET($A$1, 173 - 1, 60 - 1) = "1" ), 1, IF( AND( OFFSET($A$1, 173 - 1, 59 - 1) = "1", OFFSET($A$1, 173 - 1, 60 - 1) = "0" ), 2, IF( AND( OFFSET($A$1, 173 - 1, 59 - 1) = "0", OFFSET($A$1, 173 - 1, 60 - 1) = "1" ), 3, 4 ) ) )</f>
        <v>3</v>
      </c>
    </row>
    <row r="174" spans="53:61" x14ac:dyDescent="0.35">
      <c r="BA174" s="3">
        <v>0.5828414307144878</v>
      </c>
      <c r="BB174" s="3" t="str">
        <f>"1"</f>
        <v>1</v>
      </c>
      <c r="BC174" t="str">
        <f ca="1">IF((OFFSET($A$1, 174 - 1, 53 - 1)) &gt;= (OFFSET($A$1, 69 - 1, 7 - 1)), "1","0")</f>
        <v>1</v>
      </c>
      <c r="BD174">
        <f ca="1" xml:space="preserve"> IF( AND( OFFSET($A$1, 174 - 1, 54 - 1) = "1", OFFSET($A$1, 174 - 1, 55 - 1) = "1" ), 1, IF( AND( OFFSET($A$1, 174 - 1, 54 - 1) = "1", OFFSET($A$1, 174 - 1, 55 - 1) = "0" ), 2, IF( AND( OFFSET($A$1, 174 - 1, 54 - 1) = "0", OFFSET($A$1, 174 - 1, 55 - 1) = "1" ), 3, 4 ) ) )</f>
        <v>1</v>
      </c>
      <c r="BF174" s="3">
        <v>0.30967268133045095</v>
      </c>
      <c r="BG174" s="3" t="str">
        <f>"0"</f>
        <v>0</v>
      </c>
      <c r="BH174" t="str">
        <f ca="1">IF((OFFSET($A$1, 174 - 1, 58 - 1)) &gt;= (OFFSET($A$1, 93 - 1, 7 - 1)), "1","0")</f>
        <v>0</v>
      </c>
      <c r="BI174">
        <f ca="1" xml:space="preserve"> IF( AND( OFFSET($A$1, 174 - 1, 59 - 1) = "1", OFFSET($A$1, 174 - 1, 60 - 1) = "1" ), 1, IF( AND( OFFSET($A$1, 174 - 1, 59 - 1) = "1", OFFSET($A$1, 174 - 1, 60 - 1) = "0" ), 2, IF( AND( OFFSET($A$1, 174 - 1, 59 - 1) = "0", OFFSET($A$1, 174 - 1, 60 - 1) = "1" ), 3, 4 ) ) )</f>
        <v>4</v>
      </c>
    </row>
    <row r="175" spans="53:61" x14ac:dyDescent="0.35">
      <c r="BA175" s="3">
        <v>0.58392453752108142</v>
      </c>
      <c r="BB175" s="3" t="str">
        <f>"1"</f>
        <v>1</v>
      </c>
      <c r="BC175" t="str">
        <f ca="1">IF((OFFSET($A$1, 175 - 1, 53 - 1)) &gt;= (OFFSET($A$1, 69 - 1, 7 - 1)), "1","0")</f>
        <v>1</v>
      </c>
      <c r="BD175">
        <f ca="1" xml:space="preserve"> IF( AND( OFFSET($A$1, 175 - 1, 54 - 1) = "1", OFFSET($A$1, 175 - 1, 55 - 1) = "1" ), 1, IF( AND( OFFSET($A$1, 175 - 1, 54 - 1) = "1", OFFSET($A$1, 175 - 1, 55 - 1) = "0" ), 2, IF( AND( OFFSET($A$1, 175 - 1, 54 - 1) = "0", OFFSET($A$1, 175 - 1, 55 - 1) = "1" ), 3, 4 ) ) )</f>
        <v>1</v>
      </c>
      <c r="BF175" s="3">
        <v>0.31061822200457595</v>
      </c>
      <c r="BG175" s="3" t="str">
        <f>"0"</f>
        <v>0</v>
      </c>
      <c r="BH175" t="str">
        <f ca="1">IF((OFFSET($A$1, 175 - 1, 58 - 1)) &gt;= (OFFSET($A$1, 93 - 1, 7 - 1)), "1","0")</f>
        <v>0</v>
      </c>
      <c r="BI175">
        <f ca="1" xml:space="preserve"> IF( AND( OFFSET($A$1, 175 - 1, 59 - 1) = "1", OFFSET($A$1, 175 - 1, 60 - 1) = "1" ), 1, IF( AND( OFFSET($A$1, 175 - 1, 59 - 1) = "1", OFFSET($A$1, 175 - 1, 60 - 1) = "0" ), 2, IF( AND( OFFSET($A$1, 175 - 1, 59 - 1) = "0", OFFSET($A$1, 175 - 1, 60 - 1) = "1" ), 3, 4 ) ) )</f>
        <v>4</v>
      </c>
    </row>
    <row r="176" spans="53:61" x14ac:dyDescent="0.35">
      <c r="BA176" s="3">
        <v>0.5849887782812655</v>
      </c>
      <c r="BB176" s="3" t="str">
        <f>"0"</f>
        <v>0</v>
      </c>
      <c r="BC176" t="str">
        <f ca="1">IF((OFFSET($A$1, 176 - 1, 53 - 1)) &gt;= (OFFSET($A$1, 69 - 1, 7 - 1)), "1","0")</f>
        <v>1</v>
      </c>
      <c r="BD176">
        <f ca="1" xml:space="preserve"> IF( AND( OFFSET($A$1, 176 - 1, 54 - 1) = "1", OFFSET($A$1, 176 - 1, 55 - 1) = "1" ), 1, IF( AND( OFFSET($A$1, 176 - 1, 54 - 1) = "1", OFFSET($A$1, 176 - 1, 55 - 1) = "0" ), 2, IF( AND( OFFSET($A$1, 176 - 1, 54 - 1) = "0", OFFSET($A$1, 176 - 1, 55 - 1) = "1" ), 3, 4 ) ) )</f>
        <v>3</v>
      </c>
      <c r="BF176" s="3">
        <v>0.31154925462508964</v>
      </c>
      <c r="BG176" s="3" t="str">
        <f>"1"</f>
        <v>1</v>
      </c>
      <c r="BH176" t="str">
        <f ca="1">IF((OFFSET($A$1, 176 - 1, 58 - 1)) &gt;= (OFFSET($A$1, 93 - 1, 7 - 1)), "1","0")</f>
        <v>0</v>
      </c>
      <c r="BI176">
        <f ca="1" xml:space="preserve"> IF( AND( OFFSET($A$1, 176 - 1, 59 - 1) = "1", OFFSET($A$1, 176 - 1, 60 - 1) = "1" ), 1, IF( AND( OFFSET($A$1, 176 - 1, 59 - 1) = "1", OFFSET($A$1, 176 - 1, 60 - 1) = "0" ), 2, IF( AND( OFFSET($A$1, 176 - 1, 59 - 1) = "0", OFFSET($A$1, 176 - 1, 60 - 1) = "1" ), 3, 4 ) ) )</f>
        <v>2</v>
      </c>
    </row>
    <row r="177" spans="53:61" x14ac:dyDescent="0.35">
      <c r="BA177" s="3">
        <v>0.31200921760609185</v>
      </c>
      <c r="BB177" s="3" t="str">
        <f>"0"</f>
        <v>0</v>
      </c>
      <c r="BC177" t="str">
        <f ca="1">IF((OFFSET($A$1, 177 - 1, 53 - 1)) &gt;= (OFFSET($A$1, 69 - 1, 7 - 1)), "1","0")</f>
        <v>0</v>
      </c>
      <c r="BD177">
        <f ca="1" xml:space="preserve"> IF( AND( OFFSET($A$1, 177 - 1, 54 - 1) = "1", OFFSET($A$1, 177 - 1, 55 - 1) = "1" ), 1, IF( AND( OFFSET($A$1, 177 - 1, 54 - 1) = "1", OFFSET($A$1, 177 - 1, 55 - 1) = "0" ), 2, IF( AND( OFFSET($A$1, 177 - 1, 54 - 1) = "0", OFFSET($A$1, 177 - 1, 55 - 1) = "1" ), 3, 4 ) ) )</f>
        <v>4</v>
      </c>
      <c r="BF177" s="3">
        <v>0.58654914654976376</v>
      </c>
      <c r="BG177" s="3" t="str">
        <f>"1"</f>
        <v>1</v>
      </c>
      <c r="BH177" t="str">
        <f ca="1">IF((OFFSET($A$1, 177 - 1, 58 - 1)) &gt;= (OFFSET($A$1, 93 - 1, 7 - 1)), "1","0")</f>
        <v>1</v>
      </c>
      <c r="BI177">
        <f ca="1" xml:space="preserve"> IF( AND( OFFSET($A$1, 177 - 1, 59 - 1) = "1", OFFSET($A$1, 177 - 1, 60 - 1) = "1" ), 1, IF( AND( OFFSET($A$1, 177 - 1, 59 - 1) = "1", OFFSET($A$1, 177 - 1, 60 - 1) = "0" ), 2, IF( AND( OFFSET($A$1, 177 - 1, 59 - 1) = "0", OFFSET($A$1, 177 - 1, 60 - 1) = "1" ), 3, 4 ) ) )</f>
        <v>1</v>
      </c>
    </row>
    <row r="178" spans="53:61" x14ac:dyDescent="0.35">
      <c r="BA178" s="3">
        <v>0.3129178139820179</v>
      </c>
      <c r="BB178" s="3" t="str">
        <f>"0"</f>
        <v>0</v>
      </c>
      <c r="BC178" t="str">
        <f ca="1">IF((OFFSET($A$1, 178 - 1, 53 - 1)) &gt;= (OFFSET($A$1, 69 - 1, 7 - 1)), "1","0")</f>
        <v>0</v>
      </c>
      <c r="BD178">
        <f ca="1" xml:space="preserve"> IF( AND( OFFSET($A$1, 178 - 1, 54 - 1) = "1", OFFSET($A$1, 178 - 1, 55 - 1) = "1" ), 1, IF( AND( OFFSET($A$1, 178 - 1, 54 - 1) = "1", OFFSET($A$1, 178 - 1, 55 - 1) = "0" ), 2, IF( AND( OFFSET($A$1, 178 - 1, 54 - 1) = "0", OFFSET($A$1, 178 - 1, 55 - 1) = "1" ), 3, 4 ) ) )</f>
        <v>4</v>
      </c>
      <c r="BF178" s="3">
        <v>0.58756499500064252</v>
      </c>
      <c r="BG178" s="3" t="str">
        <f>"1"</f>
        <v>1</v>
      </c>
      <c r="BH178" t="str">
        <f ca="1">IF((OFFSET($A$1, 178 - 1, 58 - 1)) &gt;= (OFFSET($A$1, 93 - 1, 7 - 1)), "1","0")</f>
        <v>1</v>
      </c>
      <c r="BI178">
        <f ca="1" xml:space="preserve"> IF( AND( OFFSET($A$1, 178 - 1, 59 - 1) = "1", OFFSET($A$1, 178 - 1, 60 - 1) = "1" ), 1, IF( AND( OFFSET($A$1, 178 - 1, 59 - 1) = "1", OFFSET($A$1, 178 - 1, 60 - 1) = "0" ), 2, IF( AND( OFFSET($A$1, 178 - 1, 59 - 1) = "0", OFFSET($A$1, 178 - 1, 60 - 1) = "1" ), 3, 4 ) ) )</f>
        <v>1</v>
      </c>
    </row>
    <row r="179" spans="53:61" x14ac:dyDescent="0.35">
      <c r="BA179" s="3">
        <v>0.31381101072343093</v>
      </c>
      <c r="BB179" s="3" t="str">
        <f>"0"</f>
        <v>0</v>
      </c>
      <c r="BC179" t="str">
        <f ca="1">IF((OFFSET($A$1, 179 - 1, 53 - 1)) &gt;= (OFFSET($A$1, 69 - 1, 7 - 1)), "1","0")</f>
        <v>0</v>
      </c>
      <c r="BD179">
        <f ca="1" xml:space="preserve"> IF( AND( OFFSET($A$1, 179 - 1, 54 - 1) = "1", OFFSET($A$1, 179 - 1, 55 - 1) = "1" ), 1, IF( AND( OFFSET($A$1, 179 - 1, 54 - 1) = "1", OFFSET($A$1, 179 - 1, 55 - 1) = "0" ), 2, IF( AND( OFFSET($A$1, 179 - 1, 54 - 1) = "0", OFFSET($A$1, 179 - 1, 55 - 1) = "1" ), 3, 4 ) ) )</f>
        <v>4</v>
      </c>
      <c r="BF179" s="3">
        <v>0.58856101306681474</v>
      </c>
      <c r="BG179" s="3" t="str">
        <f>"0"</f>
        <v>0</v>
      </c>
      <c r="BH179" t="str">
        <f ca="1">IF((OFFSET($A$1, 179 - 1, 58 - 1)) &gt;= (OFFSET($A$1, 93 - 1, 7 - 1)), "1","0")</f>
        <v>1</v>
      </c>
      <c r="BI179">
        <f ca="1" xml:space="preserve"> IF( AND( OFFSET($A$1, 179 - 1, 59 - 1) = "1", OFFSET($A$1, 179 - 1, 60 - 1) = "1" ), 1, IF( AND( OFFSET($A$1, 179 - 1, 59 - 1) = "1", OFFSET($A$1, 179 - 1, 60 - 1) = "0" ), 2, IF( AND( OFFSET($A$1, 179 - 1, 59 - 1) = "0", OFFSET($A$1, 179 - 1, 60 - 1) = "1" ), 3, 4 ) ) )</f>
        <v>3</v>
      </c>
    </row>
    <row r="180" spans="53:61" x14ac:dyDescent="0.35">
      <c r="BA180" s="3">
        <v>0.3146884602198346</v>
      </c>
      <c r="BB180" s="3" t="str">
        <f>"0"</f>
        <v>0</v>
      </c>
      <c r="BC180" t="str">
        <f ca="1">IF((OFFSET($A$1, 180 - 1, 53 - 1)) &gt;= (OFFSET($A$1, 69 - 1, 7 - 1)), "1","0")</f>
        <v>0</v>
      </c>
      <c r="BD180">
        <f ca="1" xml:space="preserve"> IF( AND( OFFSET($A$1, 180 - 1, 54 - 1) = "1", OFFSET($A$1, 180 - 1, 55 - 1) = "1" ), 1, IF( AND( OFFSET($A$1, 180 - 1, 54 - 1) = "1", OFFSET($A$1, 180 - 1, 55 - 1) = "0" ), 2, IF( AND( OFFSET($A$1, 180 - 1, 54 - 1) = "0", OFFSET($A$1, 180 - 1, 55 - 1) = "1" ), 3, 4 ) ) )</f>
        <v>4</v>
      </c>
      <c r="BF180" s="3">
        <v>0.3151211726062973</v>
      </c>
      <c r="BG180" s="3" t="str">
        <f>"0"</f>
        <v>0</v>
      </c>
      <c r="BH180" t="str">
        <f ca="1">IF((OFFSET($A$1, 180 - 1, 58 - 1)) &gt;= (OFFSET($A$1, 93 - 1, 7 - 1)), "1","0")</f>
        <v>0</v>
      </c>
      <c r="BI180">
        <f ca="1" xml:space="preserve"> IF( AND( OFFSET($A$1, 180 - 1, 59 - 1) = "1", OFFSET($A$1, 180 - 1, 60 - 1) = "1" ), 1, IF( AND( OFFSET($A$1, 180 - 1, 59 - 1) = "1", OFFSET($A$1, 180 - 1, 60 - 1) = "0" ), 2, IF( AND( OFFSET($A$1, 180 - 1, 59 - 1) = "0", OFFSET($A$1, 180 - 1, 60 - 1) = "1" ), 3, 4 ) ) )</f>
        <v>4</v>
      </c>
    </row>
    <row r="181" spans="53:61" x14ac:dyDescent="0.35">
      <c r="BA181" s="3">
        <v>0.31554982030464468</v>
      </c>
      <c r="BB181" s="3" t="str">
        <f>"1"</f>
        <v>1</v>
      </c>
      <c r="BC181" t="str">
        <f ca="1">IF((OFFSET($A$1, 181 - 1, 53 - 1)) &gt;= (OFFSET($A$1, 69 - 1, 7 - 1)), "1","0")</f>
        <v>0</v>
      </c>
      <c r="BD181">
        <f ca="1" xml:space="preserve"> IF( AND( OFFSET($A$1, 181 - 1, 54 - 1) = "1", OFFSET($A$1, 181 - 1, 55 - 1) = "1" ), 1, IF( AND( OFFSET($A$1, 181 - 1, 54 - 1) = "1", OFFSET($A$1, 181 - 1, 55 - 1) = "0" ), 2, IF( AND( OFFSET($A$1, 181 - 1, 54 - 1) = "0", OFFSET($A$1, 181 - 1, 55 - 1) = "1" ), 3, 4 ) ) )</f>
        <v>2</v>
      </c>
      <c r="BF181" s="3">
        <v>0.31597436142541341</v>
      </c>
      <c r="BG181" s="3" t="str">
        <f>"1"</f>
        <v>1</v>
      </c>
      <c r="BH181" t="str">
        <f ca="1">IF((OFFSET($A$1, 181 - 1, 58 - 1)) &gt;= (OFFSET($A$1, 93 - 1, 7 - 1)), "1","0")</f>
        <v>0</v>
      </c>
      <c r="BI181">
        <f ca="1" xml:space="preserve"> IF( AND( OFFSET($A$1, 181 - 1, 59 - 1) = "1", OFFSET($A$1, 181 - 1, 60 - 1) = "1" ), 1, IF( AND( OFFSET($A$1, 181 - 1, 59 - 1) = "1", OFFSET($A$1, 181 - 1, 60 - 1) = "0" ), 2, IF( AND( OFFSET($A$1, 181 - 1, 59 - 1) = "0", OFFSET($A$1, 181 - 1, 60 - 1) = "1" ), 3, 4 ) ) )</f>
        <v>2</v>
      </c>
    </row>
    <row r="182" spans="53:61" x14ac:dyDescent="0.35">
      <c r="BA182" s="3">
        <v>0.59096260658946775</v>
      </c>
      <c r="BB182" s="3" t="str">
        <f>"1"</f>
        <v>1</v>
      </c>
      <c r="BC182" t="str">
        <f ca="1">IF((OFFSET($A$1, 182 - 1, 53 - 1)) &gt;= (OFFSET($A$1, 69 - 1, 7 - 1)), "1","0")</f>
        <v>1</v>
      </c>
      <c r="BD182">
        <f ca="1" xml:space="preserve"> IF( AND( OFFSET($A$1, 182 - 1, 54 - 1) = "1", OFFSET($A$1, 182 - 1, 55 - 1) = "1" ), 1, IF( AND( OFFSET($A$1, 182 - 1, 54 - 1) = "1", OFFSET($A$1, 182 - 1, 55 - 1) = "0" ), 2, IF( AND( OFFSET($A$1, 182 - 1, 54 - 1) = "0", OFFSET($A$1, 182 - 1, 55 - 1) = "1" ), 3, 4 ) ) )</f>
        <v>1</v>
      </c>
      <c r="BF182" s="3">
        <v>0.59142751237408053</v>
      </c>
      <c r="BG182" s="3" t="str">
        <f>"0"</f>
        <v>0</v>
      </c>
      <c r="BH182" t="str">
        <f ca="1">IF((OFFSET($A$1, 182 - 1, 58 - 1)) &gt;= (OFFSET($A$1, 93 - 1, 7 - 1)), "1","0")</f>
        <v>1</v>
      </c>
      <c r="BI182">
        <f ca="1" xml:space="preserve"> IF( AND( OFFSET($A$1, 182 - 1, 59 - 1) = "1", OFFSET($A$1, 182 - 1, 60 - 1) = "1" ), 1, IF( AND( OFFSET($A$1, 182 - 1, 59 - 1) = "1", OFFSET($A$1, 182 - 1, 60 - 1) = "0" ), 2, IF( AND( OFFSET($A$1, 182 - 1, 59 - 1) = "0", OFFSET($A$1, 182 - 1, 60 - 1) = "1" ), 3, 4 ) ) )</f>
        <v>3</v>
      </c>
    </row>
    <row r="183" spans="53:61" x14ac:dyDescent="0.35">
      <c r="BA183" s="3">
        <v>0.59188720984512533</v>
      </c>
      <c r="BB183" s="3" t="str">
        <f>"1"</f>
        <v>1</v>
      </c>
      <c r="BC183" t="str">
        <f ca="1">IF((OFFSET($A$1, 183 - 1, 53 - 1)) &gt;= (OFFSET($A$1, 69 - 1, 7 - 1)), "1","0")</f>
        <v>1</v>
      </c>
      <c r="BD183">
        <f ca="1" xml:space="preserve"> IF( AND( OFFSET($A$1, 183 - 1, 54 - 1) = "1", OFFSET($A$1, 183 - 1, 55 - 1) = "1" ), 1, IF( AND( OFFSET($A$1, 183 - 1, 54 - 1) = "1", OFFSET($A$1, 183 - 1, 55 - 1) = "0" ), 2, IF( AND( OFFSET($A$1, 183 - 1, 54 - 1) = "0", OFFSET($A$1, 183 - 1, 55 - 1) = "1" ), 3, 4 ) ) )</f>
        <v>1</v>
      </c>
      <c r="BF183" s="3">
        <v>0.31763063518297008</v>
      </c>
      <c r="BG183" s="3" t="str">
        <f>"0"</f>
        <v>0</v>
      </c>
      <c r="BH183" t="str">
        <f ca="1">IF((OFFSET($A$1, 183 - 1, 58 - 1)) &gt;= (OFFSET($A$1, 93 - 1, 7 - 1)), "1","0")</f>
        <v>0</v>
      </c>
      <c r="BI183">
        <f ca="1" xml:space="preserve"> IF( AND( OFFSET($A$1, 183 - 1, 59 - 1) = "1", OFFSET($A$1, 183 - 1, 60 - 1) = "1" ), 1, IF( AND( OFFSET($A$1, 183 - 1, 59 - 1) = "1", OFFSET($A$1, 183 - 1, 60 - 1) = "0" ), 2, IF( AND( OFFSET($A$1, 183 - 1, 59 - 1) = "0", OFFSET($A$1, 183 - 1, 60 - 1) = "1" ), 3, 4 ) ) )</f>
        <v>4</v>
      </c>
    </row>
    <row r="184" spans="53:61" x14ac:dyDescent="0.35">
      <c r="BA184" s="3">
        <v>0.59279086242263013</v>
      </c>
      <c r="BB184" s="3" t="str">
        <f>"0"</f>
        <v>0</v>
      </c>
      <c r="BC184" t="str">
        <f ca="1">IF((OFFSET($A$1, 184 - 1, 53 - 1)) &gt;= (OFFSET($A$1, 69 - 1, 7 - 1)), "1","0")</f>
        <v>1</v>
      </c>
      <c r="BD184">
        <f ca="1" xml:space="preserve"> IF( AND( OFFSET($A$1, 184 - 1, 54 - 1) = "1", OFFSET($A$1, 184 - 1, 55 - 1) = "1" ), 1, IF( AND( OFFSET($A$1, 184 - 1, 54 - 1) = "1", OFFSET($A$1, 184 - 1, 55 - 1) = "0" ), 2, IF( AND( OFFSET($A$1, 184 - 1, 54 - 1) = "0", OFFSET($A$1, 184 - 1, 55 - 1) = "1" ), 3, 4 ) ) )</f>
        <v>3</v>
      </c>
      <c r="BF184" s="3">
        <v>0.31843307071434068</v>
      </c>
      <c r="BG184" s="3" t="str">
        <f>"1"</f>
        <v>1</v>
      </c>
      <c r="BH184" t="str">
        <f ca="1">IF((OFFSET($A$1, 184 - 1, 58 - 1)) &gt;= (OFFSET($A$1, 93 - 1, 7 - 1)), "1","0")</f>
        <v>0</v>
      </c>
      <c r="BI184">
        <f ca="1" xml:space="preserve"> IF( AND( OFFSET($A$1, 184 - 1, 59 - 1) = "1", OFFSET($A$1, 184 - 1, 60 - 1) = "1" ), 1, IF( AND( OFFSET($A$1, 184 - 1, 59 - 1) = "1", OFFSET($A$1, 184 - 1, 60 - 1) = "0" ), 2, IF( AND( OFFSET($A$1, 184 - 1, 59 - 1) = "0", OFFSET($A$1, 184 - 1, 60 - 1) = "1" ), 3, 4 ) ) )</f>
        <v>2</v>
      </c>
    </row>
    <row r="185" spans="53:61" x14ac:dyDescent="0.35">
      <c r="BA185" s="3">
        <v>0.31882772412228205</v>
      </c>
      <c r="BB185" s="3" t="str">
        <f>"0"</f>
        <v>0</v>
      </c>
      <c r="BC185" t="str">
        <f ca="1">IF((OFFSET($A$1, 185 - 1, 53 - 1)) &gt;= (OFFSET($A$1, 69 - 1, 7 - 1)), "1","0")</f>
        <v>0</v>
      </c>
      <c r="BD185">
        <f ca="1" xml:space="preserve"> IF( AND( OFFSET($A$1, 185 - 1, 54 - 1) = "1", OFFSET($A$1, 185 - 1, 55 - 1) = "1" ), 1, IF( AND( OFFSET($A$1, 185 - 1, 54 - 1) = "1", OFFSET($A$1, 185 - 1, 55 - 1) = "0" ), 2, IF( AND( OFFSET($A$1, 185 - 1, 54 - 1) = "0", OFFSET($A$1, 185 - 1, 55 - 1) = "1" ), 3, 4 ) ) )</f>
        <v>4</v>
      </c>
      <c r="BF185" s="3">
        <v>0.59410655589641681</v>
      </c>
      <c r="BG185" s="3" t="str">
        <f>"0"</f>
        <v>0</v>
      </c>
      <c r="BH185" t="str">
        <f ca="1">IF((OFFSET($A$1, 185 - 1, 58 - 1)) &gt;= (OFFSET($A$1, 93 - 1, 7 - 1)), "1","0")</f>
        <v>1</v>
      </c>
      <c r="BI185">
        <f ca="1" xml:space="preserve"> IF( AND( OFFSET($A$1, 185 - 1, 59 - 1) = "1", OFFSET($A$1, 185 - 1, 60 - 1) = "1" ), 1, IF( AND( OFFSET($A$1, 185 - 1, 59 - 1) = "1", OFFSET($A$1, 185 - 1, 60 - 1) = "0" ), 2, IF( AND( OFFSET($A$1, 185 - 1, 59 - 1) = "0", OFFSET($A$1, 185 - 1, 60 - 1) = "1" ), 3, 4 ) ) )</f>
        <v>3</v>
      </c>
    </row>
    <row r="186" spans="53:61" x14ac:dyDescent="0.35">
      <c r="BA186" s="3">
        <v>0.31960370809265304</v>
      </c>
      <c r="BB186" s="3" t="str">
        <f>"0"</f>
        <v>0</v>
      </c>
      <c r="BC186" t="str">
        <f ca="1">IF((OFFSET($A$1, 186 - 1, 53 - 1)) &gt;= (OFFSET($A$1, 69 - 1, 7 - 1)), "1","0")</f>
        <v>0</v>
      </c>
      <c r="BD186">
        <f ca="1" xml:space="preserve"> IF( AND( OFFSET($A$1, 186 - 1, 54 - 1) = "1", OFFSET($A$1, 186 - 1, 55 - 1) = "1" ), 1, IF( AND( OFFSET($A$1, 186 - 1, 54 - 1) = "1", OFFSET($A$1, 186 - 1, 55 - 1) = "0" ), 2, IF( AND( OFFSET($A$1, 186 - 1, 54 - 1) = "0", OFFSET($A$1, 186 - 1, 55 - 1) = "1" ), 3, 4 ) ) )</f>
        <v>4</v>
      </c>
      <c r="BF186" s="3">
        <v>0.31998496222682338</v>
      </c>
      <c r="BG186" s="3" t="str">
        <f>"0"</f>
        <v>0</v>
      </c>
      <c r="BH186" t="str">
        <f ca="1">IF((OFFSET($A$1, 186 - 1, 58 - 1)) &gt;= (OFFSET($A$1, 93 - 1, 7 - 1)), "1","0")</f>
        <v>0</v>
      </c>
      <c r="BI186">
        <f ca="1" xml:space="preserve"> IF( AND( OFFSET($A$1, 186 - 1, 59 - 1) = "1", OFFSET($A$1, 186 - 1, 60 - 1) = "1" ), 1, IF( AND( OFFSET($A$1, 186 - 1, 59 - 1) = "1", OFFSET($A$1, 186 - 1, 60 - 1) = "0" ), 2, IF( AND( OFFSET($A$1, 186 - 1, 59 - 1) = "0", OFFSET($A$1, 186 - 1, 60 - 1) = "1" ), 3, 4 ) ) )</f>
        <v>4</v>
      </c>
    </row>
    <row r="187" spans="53:61" x14ac:dyDescent="0.35">
      <c r="BA187" s="3">
        <v>0.32036167419993988</v>
      </c>
      <c r="BB187" s="3" t="str">
        <f>"0"</f>
        <v>0</v>
      </c>
      <c r="BC187" t="str">
        <f ca="1">IF((OFFSET($A$1, 187 - 1, 53 - 1)) &gt;= (OFFSET($A$1, 69 - 1, 7 - 1)), "1","0")</f>
        <v>0</v>
      </c>
      <c r="BD187">
        <f ca="1" xml:space="preserve"> IF( AND( OFFSET($A$1, 187 - 1, 54 - 1) = "1", OFFSET($A$1, 187 - 1, 55 - 1) = "1" ), 1, IF( AND( OFFSET($A$1, 187 - 1, 54 - 1) = "1", OFFSET($A$1, 187 - 1, 55 - 1) = "0" ), 2, IF( AND( OFFSET($A$1, 187 - 1, 54 - 1) = "0", OFFSET($A$1, 187 - 1, 55 - 1) = "1" ), 3, 4 ) ) )</f>
        <v>4</v>
      </c>
      <c r="BF187" s="3">
        <v>0.3207338068431061</v>
      </c>
      <c r="BG187" s="3" t="str">
        <f>"0"</f>
        <v>0</v>
      </c>
      <c r="BH187" t="str">
        <f ca="1">IF((OFFSET($A$1, 187 - 1, 58 - 1)) &gt;= (OFFSET($A$1, 93 - 1, 7 - 1)), "1","0")</f>
        <v>0</v>
      </c>
      <c r="BI187">
        <f ca="1" xml:space="preserve"> IF( AND( OFFSET($A$1, 187 - 1, 59 - 1) = "1", OFFSET($A$1, 187 - 1, 60 - 1) = "1" ), 1, IF( AND( OFFSET($A$1, 187 - 1, 59 - 1) = "1", OFFSET($A$1, 187 - 1, 60 - 1) = "0" ), 2, IF( AND( OFFSET($A$1, 187 - 1, 59 - 1) = "0", OFFSET($A$1, 187 - 1, 60 - 1) = "1" ), 3, 4 ) ) )</f>
        <v>4</v>
      </c>
    </row>
    <row r="188" spans="53:61" x14ac:dyDescent="0.35">
      <c r="BA188" s="3">
        <v>0.32110132341446906</v>
      </c>
      <c r="BB188" s="3" t="str">
        <f>"1"</f>
        <v>1</v>
      </c>
      <c r="BC188" t="str">
        <f ca="1">IF((OFFSET($A$1, 188 - 1, 53 - 1)) &gt;= (OFFSET($A$1, 69 - 1, 7 - 1)), "1","0")</f>
        <v>0</v>
      </c>
      <c r="BD188">
        <f ca="1" xml:space="preserve"> IF( AND( OFFSET($A$1, 188 - 1, 54 - 1) = "1", OFFSET($A$1, 188 - 1, 55 - 1) = "1" ), 1, IF( AND( OFFSET($A$1, 188 - 1, 54 - 1) = "1", OFFSET($A$1, 188 - 1, 55 - 1) = "0" ), 2, IF( AND( OFFSET($A$1, 188 - 1, 54 - 1) = "0", OFFSET($A$1, 188 - 1, 55 - 1) = "1" ), 3, 4 ) ) )</f>
        <v>2</v>
      </c>
      <c r="BF188" s="3">
        <v>0.32146418760408568</v>
      </c>
      <c r="BG188" s="3" t="str">
        <f>"0"</f>
        <v>0</v>
      </c>
      <c r="BH188" t="str">
        <f ca="1">IF((OFFSET($A$1, 188 - 1, 58 - 1)) &gt;= (OFFSET($A$1, 93 - 1, 7 - 1)), "1","0")</f>
        <v>0</v>
      </c>
      <c r="BI188">
        <f ca="1" xml:space="preserve"> IF( AND( OFFSET($A$1, 188 - 1, 59 - 1) = "1", OFFSET($A$1, 188 - 1, 60 - 1) = "1" ), 1, IF( AND( OFFSET($A$1, 188 - 1, 59 - 1) = "1", OFFSET($A$1, 188 - 1, 60 - 1) = "0" ), 2, IF( AND( OFFSET($A$1, 188 - 1, 59 - 1) = "0", OFFSET($A$1, 188 - 1, 60 - 1) = "1" ), 3, 4 ) ) )</f>
        <v>4</v>
      </c>
    </row>
    <row r="189" spans="53:61" x14ac:dyDescent="0.35">
      <c r="BA189" s="3">
        <v>0.5969870212492524</v>
      </c>
      <c r="BB189" s="3" t="str">
        <f>"0"</f>
        <v>0</v>
      </c>
      <c r="BC189" t="str">
        <f ca="1">IF((OFFSET($A$1, 189 - 1, 53 - 1)) &gt;= (OFFSET($A$1, 69 - 1, 7 - 1)), "1","0")</f>
        <v>1</v>
      </c>
      <c r="BD189">
        <f ca="1" xml:space="preserve"> IF( AND( OFFSET($A$1, 189 - 1, 54 - 1) = "1", OFFSET($A$1, 189 - 1, 55 - 1) = "1" ), 1, IF( AND( OFFSET($A$1, 189 - 1, 54 - 1) = "1", OFFSET($A$1, 189 - 1, 55 - 1) = "0" ), 2, IF( AND( OFFSET($A$1, 189 - 1, 54 - 1) = "0", OFFSET($A$1, 189 - 1, 55 - 1) = "1" ), 3, 4 ) ) )</f>
        <v>3</v>
      </c>
      <c r="BF189" s="3">
        <v>0.32217581578657939</v>
      </c>
      <c r="BG189" s="3" t="str">
        <f>"0"</f>
        <v>0</v>
      </c>
      <c r="BH189" t="str">
        <f ca="1">IF((OFFSET($A$1, 189 - 1, 58 - 1)) &gt;= (OFFSET($A$1, 93 - 1, 7 - 1)), "1","0")</f>
        <v>0</v>
      </c>
      <c r="BI189">
        <f ca="1" xml:space="preserve"> IF( AND( OFFSET($A$1, 189 - 1, 59 - 1) = "1", OFFSET($A$1, 189 - 1, 60 - 1) = "1" ), 1, IF( AND( OFFSET($A$1, 189 - 1, 59 - 1) = "1", OFFSET($A$1, 189 - 1, 60 - 1) = "0" ), 2, IF( AND( OFFSET($A$1, 189 - 1, 59 - 1) = "0", OFFSET($A$1, 189 - 1, 60 - 1) = "1" ), 3, 4 ) ) )</f>
        <v>4</v>
      </c>
    </row>
    <row r="190" spans="53:61" x14ac:dyDescent="0.35">
      <c r="BA190" s="3">
        <v>0.3225245093619532</v>
      </c>
      <c r="BB190" s="3" t="str">
        <f>"0"</f>
        <v>0</v>
      </c>
      <c r="BC190" t="str">
        <f ca="1">IF((OFFSET($A$1, 190 - 1, 53 - 1)) &gt;= (OFFSET($A$1, 69 - 1, 7 - 1)), "1","0")</f>
        <v>0</v>
      </c>
      <c r="BD190">
        <f ca="1" xml:space="preserve"> IF( AND( OFFSET($A$1, 190 - 1, 54 - 1) = "1", OFFSET($A$1, 190 - 1, 55 - 1) = "1" ), 1, IF( AND( OFFSET($A$1, 190 - 1, 54 - 1) = "1", OFFSET($A$1, 190 - 1, 55 - 1) = "0" ), 2, IF( AND( OFFSET($A$1, 190 - 1, 54 - 1) = "0", OFFSET($A$1, 190 - 1, 55 - 1) = "1" ), 3, 4 ) ) )</f>
        <v>4</v>
      </c>
      <c r="BF190" s="3">
        <v>0.32286840972982206</v>
      </c>
      <c r="BG190" s="3" t="str">
        <f>"0"</f>
        <v>0</v>
      </c>
      <c r="BH190" t="str">
        <f ca="1">IF((OFFSET($A$1, 190 - 1, 58 - 1)) &gt;= (OFFSET($A$1, 93 - 1, 7 - 1)), "1","0")</f>
        <v>0</v>
      </c>
      <c r="BI190">
        <f ca="1" xml:space="preserve"> IF( AND( OFFSET($A$1, 190 - 1, 59 - 1) = "1", OFFSET($A$1, 190 - 1, 60 - 1) = "1" ), 1, IF( AND( OFFSET($A$1, 190 - 1, 59 - 1) = "1", OFFSET($A$1, 190 - 1, 60 - 1) = "0" ), 2, IF( AND( OFFSET($A$1, 190 - 1, 59 - 1) = "0", OFFSET($A$1, 190 - 1, 60 - 1) = "1" ), 3, 4 ) ) )</f>
        <v>4</v>
      </c>
    </row>
    <row r="191" spans="53:61" x14ac:dyDescent="0.35">
      <c r="BA191" s="3">
        <v>0.32320748281036504</v>
      </c>
      <c r="BB191" s="3" t="str">
        <f>"0"</f>
        <v>0</v>
      </c>
      <c r="BC191" t="str">
        <f ca="1">IF((OFFSET($A$1, 191 - 1, 53 - 1)) &gt;= (OFFSET($A$1, 69 - 1, 7 - 1)), "1","0")</f>
        <v>0</v>
      </c>
      <c r="BD191">
        <f ca="1" xml:space="preserve"> IF( AND( OFFSET($A$1, 191 - 1, 54 - 1) = "1", OFFSET($A$1, 191 - 1, 55 - 1) = "1" ), 1, IF( AND( OFFSET($A$1, 191 - 1, 54 - 1) = "1", OFFSET($A$1, 191 - 1, 55 - 1) = "0" ), 2, IF( AND( OFFSET($A$1, 191 - 1, 54 - 1) = "0", OFFSET($A$1, 191 - 1, 55 - 1) = "1" ), 3, 4 ) ) )</f>
        <v>4</v>
      </c>
      <c r="BF191" s="3">
        <v>0.32354169498340712</v>
      </c>
      <c r="BG191" s="3" t="str">
        <f>"0"</f>
        <v>0</v>
      </c>
      <c r="BH191" t="str">
        <f ca="1">IF((OFFSET($A$1, 191 - 1, 58 - 1)) &gt;= (OFFSET($A$1, 93 - 1, 7 - 1)), "1","0")</f>
        <v>0</v>
      </c>
      <c r="BI191">
        <f ca="1" xml:space="preserve"> IF( AND( OFFSET($A$1, 191 - 1, 59 - 1) = "1", OFFSET($A$1, 191 - 1, 60 - 1) = "1" ), 1, IF( AND( OFFSET($A$1, 191 - 1, 59 - 1) = "1", OFFSET($A$1, 191 - 1, 60 - 1) = "0" ), 2, IF( AND( OFFSET($A$1, 191 - 1, 59 - 1) = "0", OFFSET($A$1, 191 - 1, 60 - 1) = "1" ), 3, 4 ) ) )</f>
        <v>4</v>
      </c>
    </row>
    <row r="192" spans="53:61" x14ac:dyDescent="0.35">
      <c r="BA192" s="3">
        <v>0.3238710130927957</v>
      </c>
      <c r="BB192" s="3" t="str">
        <f>"1"</f>
        <v>1</v>
      </c>
      <c r="BC192" t="str">
        <f ca="1">IF((OFFSET($A$1, 192 - 1, 53 - 1)) &gt;= (OFFSET($A$1, 69 - 1, 7 - 1)), "1","0")</f>
        <v>0</v>
      </c>
      <c r="BD192">
        <f ca="1" xml:space="preserve"> IF( AND( OFFSET($A$1, 192 - 1, 54 - 1) = "1", OFFSET($A$1, 192 - 1, 55 - 1) = "1" ), 1, IF( AND( OFFSET($A$1, 192 - 1, 54 - 1) = "1", OFFSET($A$1, 192 - 1, 55 - 1) = "0" ), 2, IF( AND( OFFSET($A$1, 192 - 1, 54 - 1) = "0", OFFSET($A$1, 192 - 1, 55 - 1) = "1" ), 3, 4 ) ) )</f>
        <v>2</v>
      </c>
      <c r="BF192" s="3">
        <v>0.3241954044507051</v>
      </c>
      <c r="BG192" s="3" t="str">
        <f>"0"</f>
        <v>0</v>
      </c>
      <c r="BH192" t="str">
        <f ca="1">IF((OFFSET($A$1, 192 - 1, 58 - 1)) &gt;= (OFFSET($A$1, 93 - 1, 7 - 1)), "1","0")</f>
        <v>0</v>
      </c>
      <c r="BI192">
        <f ca="1" xml:space="preserve"> IF( AND( OFFSET($A$1, 192 - 1, 59 - 1) = "1", OFFSET($A$1, 192 - 1, 60 - 1) = "1" ), 1, IF( AND( OFFSET($A$1, 192 - 1, 59 - 1) = "1", OFFSET($A$1, 192 - 1, 60 - 1) = "0" ), 2, IF( AND( OFFSET($A$1, 192 - 1, 59 - 1) = "0", OFFSET($A$1, 192 - 1, 60 - 1) = "1" ), 3, 4 ) ) )</f>
        <v>4</v>
      </c>
    </row>
    <row r="193" spans="53:61" x14ac:dyDescent="0.35">
      <c r="BA193" s="3">
        <v>0.59994506026684513</v>
      </c>
      <c r="BB193" s="3" t="str">
        <f>"1"</f>
        <v>1</v>
      </c>
      <c r="BC193" t="str">
        <f ca="1">IF((OFFSET($A$1, 193 - 1, 53 - 1)) &gt;= (OFFSET($A$1, 69 - 1, 7 - 1)), "1","0")</f>
        <v>1</v>
      </c>
      <c r="BD193">
        <f ca="1" xml:space="preserve"> IF( AND( OFFSET($A$1, 193 - 1, 54 - 1) = "1", OFFSET($A$1, 193 - 1, 55 - 1) = "1" ), 1, IF( AND( OFFSET($A$1, 193 - 1, 54 - 1) = "1", OFFSET($A$1, 193 - 1, 55 - 1) = "0" ), 2, IF( AND( OFFSET($A$1, 193 - 1, 54 - 1) = "0", OFFSET($A$1, 193 - 1, 55 - 1) = "1" ), 3, 4 ) ) )</f>
        <v>1</v>
      </c>
      <c r="BF193" s="3">
        <v>0.32482927852773469</v>
      </c>
      <c r="BG193" s="3" t="str">
        <f>"0"</f>
        <v>0</v>
      </c>
      <c r="BH193" t="str">
        <f ca="1">IF((OFFSET($A$1, 193 - 1, 58 - 1)) &gt;= (OFFSET($A$1, 93 - 1, 7 - 1)), "1","0")</f>
        <v>0</v>
      </c>
      <c r="BI193">
        <f ca="1" xml:space="preserve"> IF( AND( OFFSET($A$1, 193 - 1, 59 - 1) = "1", OFFSET($A$1, 193 - 1, 60 - 1) = "1" ), 1, IF( AND( OFFSET($A$1, 193 - 1, 59 - 1) = "1", OFFSET($A$1, 193 - 1, 60 - 1) = "0" ), 2, IF( AND( OFFSET($A$1, 193 - 1, 59 - 1) = "0", OFFSET($A$1, 193 - 1, 60 - 1) = "1" ), 3, 4 ) ) )</f>
        <v>4</v>
      </c>
    </row>
    <row r="194" spans="53:61" x14ac:dyDescent="0.35">
      <c r="BA194" s="3">
        <v>0.60062760098896339</v>
      </c>
      <c r="BB194" s="3" t="str">
        <f>"0"</f>
        <v>0</v>
      </c>
      <c r="BC194" t="str">
        <f ca="1">IF((OFFSET($A$1, 194 - 1, 53 - 1)) &gt;= (OFFSET($A$1, 69 - 1, 7 - 1)), "1","0")</f>
        <v>1</v>
      </c>
      <c r="BD194">
        <f ca="1" xml:space="preserve"> IF( AND( OFFSET($A$1, 194 - 1, 54 - 1) = "1", OFFSET($A$1, 194 - 1, 55 - 1) = "1" ), 1, IF( AND( OFFSET($A$1, 194 - 1, 54 - 1) = "1", OFFSET($A$1, 194 - 1, 55 - 1) = "0" ), 2, IF( AND( OFFSET($A$1, 194 - 1, 54 - 1) = "0", OFFSET($A$1, 194 - 1, 55 - 1) = "1" ), 3, 4 ) ) )</f>
        <v>3</v>
      </c>
      <c r="BF194" s="3">
        <v>0.32544306523743666</v>
      </c>
      <c r="BG194" s="3" t="str">
        <f>"0"</f>
        <v>0</v>
      </c>
      <c r="BH194" t="str">
        <f ca="1">IF((OFFSET($A$1, 194 - 1, 58 - 1)) &gt;= (OFFSET($A$1, 93 - 1, 7 - 1)), "1","0")</f>
        <v>0</v>
      </c>
      <c r="BI194">
        <f ca="1" xml:space="preserve"> IF( AND( OFFSET($A$1, 194 - 1, 59 - 1) = "1", OFFSET($A$1, 194 - 1, 60 - 1) = "1" ), 1, IF( AND( OFFSET($A$1, 194 - 1, 59 - 1) = "1", OFFSET($A$1, 194 - 1, 60 - 1) = "0" ), 2, IF( AND( OFFSET($A$1, 194 - 1, 59 - 1) = "0", OFFSET($A$1, 194 - 1, 60 - 1) = "1" ), 3, 4 ) ) )</f>
        <v>4</v>
      </c>
    </row>
    <row r="195" spans="53:61" x14ac:dyDescent="0.35">
      <c r="BA195" s="3">
        <v>0.32574234920419731</v>
      </c>
      <c r="BB195" s="3" t="str">
        <f>"1"</f>
        <v>1</v>
      </c>
      <c r="BC195" t="str">
        <f ca="1">IF((OFFSET($A$1, 195 - 1, 53 - 1)) &gt;= (OFFSET($A$1, 69 - 1, 7 - 1)), "1","0")</f>
        <v>0</v>
      </c>
      <c r="BD195">
        <f ca="1" xml:space="preserve"> IF( AND( OFFSET($A$1, 195 - 1, 54 - 1) = "1", OFFSET($A$1, 195 - 1, 55 - 1) = "1" ), 1, IF( AND( OFFSET($A$1, 195 - 1, 54 - 1) = "1", OFFSET($A$1, 195 - 1, 55 - 1) = "0" ), 2, IF( AND( OFFSET($A$1, 195 - 1, 54 - 1) = "0", OFFSET($A$1, 195 - 1, 55 - 1) = "1" ), 3, 4 ) ) )</f>
        <v>2</v>
      </c>
      <c r="BF195" s="3">
        <v>0.32603652035932768</v>
      </c>
      <c r="BG195" s="3" t="str">
        <f>"1"</f>
        <v>1</v>
      </c>
      <c r="BH195" t="str">
        <f ca="1">IF((OFFSET($A$1, 195 - 1, 58 - 1)) &gt;= (OFFSET($A$1, 93 - 1, 7 - 1)), "1","0")</f>
        <v>0</v>
      </c>
      <c r="BI195">
        <f ca="1" xml:space="preserve"> IF( AND( OFFSET($A$1, 195 - 1, 59 - 1) = "1", OFFSET($A$1, 195 - 1, 60 - 1) = "1" ), 1, IF( AND( OFFSET($A$1, 195 - 1, 59 - 1) = "1", OFFSET($A$1, 195 - 1, 60 - 1) = "0" ), 2, IF( AND( OFFSET($A$1, 195 - 1, 59 - 1) = "0", OFFSET($A$1, 195 - 1, 60 - 1) = "1" ), 3, 4 ) ) )</f>
        <v>2</v>
      </c>
    </row>
    <row r="196" spans="53:61" x14ac:dyDescent="0.35">
      <c r="BA196" s="3">
        <v>0.60192313774582085</v>
      </c>
      <c r="BB196" s="3" t="str">
        <f>"1"</f>
        <v>1</v>
      </c>
      <c r="BC196" t="str">
        <f ca="1">IF((OFFSET($A$1, 196 - 1, 53 - 1)) &gt;= (OFFSET($A$1, 69 - 1, 7 - 1)), "1","0")</f>
        <v>1</v>
      </c>
      <c r="BD196">
        <f ca="1" xml:space="preserve"> IF( AND( OFFSET($A$1, 196 - 1, 54 - 1) = "1", OFFSET($A$1, 196 - 1, 55 - 1) = "1" ), 1, IF( AND( OFFSET($A$1, 196 - 1, 54 - 1) = "1", OFFSET($A$1, 196 - 1, 55 - 1) = "0" ), 2, IF( AND( OFFSET($A$1, 196 - 1, 54 - 1) = "0", OFFSET($A$1, 196 - 1, 55 - 1) = "1" ), 3, 4 ) ) )</f>
        <v>1</v>
      </c>
      <c r="BF196" s="3">
        <v>0.60223241904593727</v>
      </c>
      <c r="BG196" s="3" t="str">
        <f>"1"</f>
        <v>1</v>
      </c>
      <c r="BH196" t="str">
        <f ca="1">IF((OFFSET($A$1, 196 - 1, 58 - 1)) &gt;= (OFFSET($A$1, 93 - 1, 7 - 1)), "1","0")</f>
        <v>1</v>
      </c>
      <c r="BI196">
        <f ca="1" xml:space="preserve"> IF( AND( OFFSET($A$1, 196 - 1, 59 - 1) = "1", OFFSET($A$1, 196 - 1, 60 - 1) = "1" ), 1, IF( AND( OFFSET($A$1, 196 - 1, 59 - 1) = "1", OFFSET($A$1, 196 - 1, 60 - 1) = "0" ), 2, IF( AND( OFFSET($A$1, 196 - 1, 59 - 1) = "0", OFFSET($A$1, 196 - 1, 60 - 1) = "1" ), 3, 4 ) ) )</f>
        <v>1</v>
      </c>
    </row>
    <row r="197" spans="53:61" x14ac:dyDescent="0.35">
      <c r="BA197" s="3">
        <v>0.60253582154031171</v>
      </c>
      <c r="BB197" s="3" t="str">
        <f>"1"</f>
        <v>1</v>
      </c>
      <c r="BC197" t="str">
        <f ca="1">IF((OFFSET($A$1, 197 - 1, 53 - 1)) &gt;= (OFFSET($A$1, 69 - 1, 7 - 1)), "1","0")</f>
        <v>1</v>
      </c>
      <c r="BD197">
        <f ca="1" xml:space="preserve"> IF( AND( OFFSET($A$1, 197 - 1, 54 - 1) = "1", OFFSET($A$1, 197 - 1, 55 - 1) = "1" ), 1, IF( AND( OFFSET($A$1, 197 - 1, 54 - 1) = "1", OFFSET($A$1, 197 - 1, 55 - 1) = "0" ), 2, IF( AND( OFFSET($A$1, 197 - 1, 54 - 1) = "0", OFFSET($A$1, 197 - 1, 55 - 1) = "1" ), 3, 4 ) ) )</f>
        <v>1</v>
      </c>
      <c r="BF197" s="3">
        <v>0.60283332709052706</v>
      </c>
      <c r="BG197" s="3" t="str">
        <f>"0"</f>
        <v>0</v>
      </c>
      <c r="BH197" t="str">
        <f ca="1">IF((OFFSET($A$1, 197 - 1, 58 - 1)) &gt;= (OFFSET($A$1, 93 - 1, 7 - 1)), "1","0")</f>
        <v>1</v>
      </c>
      <c r="BI197">
        <f ca="1" xml:space="preserve"> IF( AND( OFFSET($A$1, 197 - 1, 59 - 1) = "1", OFFSET($A$1, 197 - 1, 60 - 1) = "1" ), 1, IF( AND( OFFSET($A$1, 197 - 1, 59 - 1) = "1", OFFSET($A$1, 197 - 1, 60 - 1) = "0" ), 2, IF( AND( OFFSET($A$1, 197 - 1, 59 - 1) = "0", OFFSET($A$1, 197 - 1, 60 - 1) = "1" ), 3, 4 ) ) )</f>
        <v>3</v>
      </c>
    </row>
    <row r="198" spans="53:61" x14ac:dyDescent="0.35">
      <c r="BA198" s="3">
        <v>0.60312491794882228</v>
      </c>
      <c r="BB198" s="3" t="str">
        <f>"0"</f>
        <v>0</v>
      </c>
      <c r="BC198" t="str">
        <f ca="1">IF((OFFSET($A$1, 198 - 1, 53 - 1)) &gt;= (OFFSET($A$1, 69 - 1, 7 - 1)), "1","0")</f>
        <v>1</v>
      </c>
      <c r="BD198">
        <f ca="1" xml:space="preserve"> IF( AND( OFFSET($A$1, 198 - 1, 54 - 1) = "1", OFFSET($A$1, 198 - 1, 55 - 1) = "1" ), 1, IF( AND( OFFSET($A$1, 198 - 1, 54 - 1) = "1", OFFSET($A$1, 198 - 1, 55 - 1) = "0" ), 2, IF( AND( OFFSET($A$1, 198 - 1, 54 - 1) = "0", OFFSET($A$1, 198 - 1, 55 - 1) = "1" ), 3, 4 ) ) )</f>
        <v>3</v>
      </c>
      <c r="BF198" s="3">
        <v>0.32769257293454823</v>
      </c>
      <c r="BG198" s="3" t="str">
        <f>"0"</f>
        <v>0</v>
      </c>
      <c r="BH198" t="str">
        <f ca="1">IF((OFFSET($A$1, 198 - 1, 58 - 1)) &gt;= (OFFSET($A$1, 93 - 1, 7 - 1)), "1","0")</f>
        <v>0</v>
      </c>
      <c r="BI198">
        <f ca="1" xml:space="preserve"> IF( AND( OFFSET($A$1, 198 - 1, 59 - 1) = "1", OFFSET($A$1, 198 - 1, 60 - 1) = "1" ), 1, IF( AND( OFFSET($A$1, 198 - 1, 59 - 1) = "1", OFFSET($A$1, 198 - 1, 60 - 1) = "0" ), 2, IF( AND( OFFSET($A$1, 198 - 1, 59 - 1) = "0", OFFSET($A$1, 198 - 1, 60 - 1) = "1" ), 3, 4 ) ) )</f>
        <v>4</v>
      </c>
    </row>
    <row r="199" spans="53:61" x14ac:dyDescent="0.35">
      <c r="BA199" s="3">
        <v>0.32795016240619257</v>
      </c>
      <c r="BB199" s="3" t="str">
        <f>"0"</f>
        <v>0</v>
      </c>
      <c r="BC199" t="str">
        <f ca="1">IF((OFFSET($A$1, 199 - 1, 53 - 1)) &gt;= (OFFSET($A$1, 69 - 1, 7 - 1)), "1","0")</f>
        <v>0</v>
      </c>
      <c r="BD199">
        <f ca="1" xml:space="preserve"> IF( AND( OFFSET($A$1, 199 - 1, 54 - 1) = "1", OFFSET($A$1, 199 - 1, 55 - 1) = "1" ), 1, IF( AND( OFFSET($A$1, 199 - 1, 54 - 1) = "1", OFFSET($A$1, 199 - 1, 55 - 1) = "0" ), 2, IF( AND( OFFSET($A$1, 199 - 1, 54 - 1) = "0", OFFSET($A$1, 199 - 1, 55 - 1) = "1" ), 3, 4 ) ) )</f>
        <v>4</v>
      </c>
      <c r="BF199" s="3">
        <v>0.32820241890928464</v>
      </c>
      <c r="BG199" s="3" t="str">
        <f>"0"</f>
        <v>0</v>
      </c>
      <c r="BH199" t="str">
        <f ca="1">IF((OFFSET($A$1, 199 - 1, 58 - 1)) &gt;= (OFFSET($A$1, 93 - 1, 7 - 1)), "1","0")</f>
        <v>0</v>
      </c>
      <c r="BI199">
        <f ca="1" xml:space="preserve"> IF( AND( OFFSET($A$1, 199 - 1, 59 - 1) = "1", OFFSET($A$1, 199 - 1, 60 - 1) = "1" ), 1, IF( AND( OFFSET($A$1, 199 - 1, 59 - 1) = "1", OFFSET($A$1, 199 - 1, 60 - 1) = "0" ), 2, IF( AND( OFFSET($A$1, 199 - 1, 59 - 1) = "0", OFFSET($A$1, 199 - 1, 60 - 1) = "1" ), 3, 4 ) ) )</f>
        <v>4</v>
      </c>
    </row>
    <row r="200" spans="53:61" x14ac:dyDescent="0.35">
      <c r="BA200" s="3">
        <v>0.32844931724813592</v>
      </c>
      <c r="BB200" s="3" t="str">
        <f>"0"</f>
        <v>0</v>
      </c>
      <c r="BC200" t="str">
        <f ca="1">IF((OFFSET($A$1, 200 - 1, 53 - 1)) &gt;= (OFFSET($A$1, 69 - 1, 7 - 1)), "1","0")</f>
        <v>0</v>
      </c>
      <c r="BD200">
        <f ca="1" xml:space="preserve"> IF( AND( OFFSET($A$1, 200 - 1, 54 - 1) = "1", OFFSET($A$1, 200 - 1, 55 - 1) = "1" ), 1, IF( AND( OFFSET($A$1, 200 - 1, 54 - 1) = "1", OFFSET($A$1, 200 - 1, 55 - 1) = "0" ), 2, IF( AND( OFFSET($A$1, 200 - 1, 54 - 1) = "0", OFFSET($A$1, 200 - 1, 55 - 1) = "1" ), 3, 4 ) ) )</f>
        <v>4</v>
      </c>
      <c r="BF200" s="3">
        <v>0.32869083275437455</v>
      </c>
      <c r="BG200" s="3" t="str">
        <f>"1"</f>
        <v>1</v>
      </c>
      <c r="BH200" t="str">
        <f ca="1">IF((OFFSET($A$1, 200 - 1, 58 - 1)) &gt;= (OFFSET($A$1, 93 - 1, 7 - 1)), "1","0")</f>
        <v>0</v>
      </c>
      <c r="BI200">
        <f ca="1" xml:space="preserve"> IF( AND( OFFSET($A$1, 200 - 1, 59 - 1) = "1", OFFSET($A$1, 200 - 1, 60 - 1) = "1" ), 1, IF( AND( OFFSET($A$1, 200 - 1, 59 - 1) = "1", OFFSET($A$1, 200 - 1, 60 - 1) = "0" ), 2, IF( AND( OFFSET($A$1, 200 - 1, 59 - 1) = "0", OFFSET($A$1, 200 - 1, 60 - 1) = "1" ), 3, 4 ) ) )</f>
        <v>2</v>
      </c>
    </row>
    <row r="201" spans="53:61" x14ac:dyDescent="0.35">
      <c r="BA201" s="3">
        <v>0.32892694129001204</v>
      </c>
      <c r="BB201" s="3" t="str">
        <f>"1"</f>
        <v>1</v>
      </c>
      <c r="BC201" t="str">
        <f ca="1">IF((OFFSET($A$1, 201 - 1, 53 - 1)) &gt;= (OFFSET($A$1, 69 - 1, 7 - 1)), "1","0")</f>
        <v>0</v>
      </c>
      <c r="BD201">
        <f ca="1" xml:space="preserve"> IF( AND( OFFSET($A$1, 201 - 1, 54 - 1) = "1", OFFSET($A$1, 201 - 1, 55 - 1) = "1" ), 1, IF( AND( OFFSET($A$1, 201 - 1, 54 - 1) = "1", OFFSET($A$1, 201 - 1, 55 - 1) = "0" ), 2, IF( AND( OFFSET($A$1, 201 - 1, 54 - 1) = "0", OFFSET($A$1, 201 - 1, 55 - 1) = "1" ), 3, 4 ) ) )</f>
        <v>2</v>
      </c>
      <c r="BF201" s="3">
        <v>0.60499903331367166</v>
      </c>
      <c r="BG201" s="3" t="str">
        <f>"0"</f>
        <v>0</v>
      </c>
      <c r="BH201" t="str">
        <f ca="1">IF((OFFSET($A$1, 201 - 1, 58 - 1)) &gt;= (OFFSET($A$1, 93 - 1, 7 - 1)), "1","0")</f>
        <v>1</v>
      </c>
      <c r="BI201">
        <f ca="1" xml:space="preserve"> IF( AND( OFFSET($A$1, 201 - 1, 59 - 1) = "1", OFFSET($A$1, 201 - 1, 60 - 1) = "1" ), 1, IF( AND( OFFSET($A$1, 201 - 1, 59 - 1) = "1", OFFSET($A$1, 201 - 1, 60 - 1) = "0" ), 2, IF( AND( OFFSET($A$1, 201 - 1, 59 - 1) = "0", OFFSET($A$1, 201 - 1, 60 - 1) = "1" ), 3, 4 ) ) )</f>
        <v>3</v>
      </c>
    </row>
    <row r="202" spans="53:61" x14ac:dyDescent="0.35">
      <c r="BA202" s="3">
        <v>0.60524271424229414</v>
      </c>
      <c r="BB202" s="3" t="str">
        <f>"1"</f>
        <v>1</v>
      </c>
      <c r="BC202" t="str">
        <f ca="1">IF((OFFSET($A$1, 202 - 1, 53 - 1)) &gt;= (OFFSET($A$1, 69 - 1, 7 - 1)), "1","0")</f>
        <v>1</v>
      </c>
      <c r="BD202">
        <f ca="1" xml:space="preserve"> IF( AND( OFFSET($A$1, 202 - 1, 54 - 1) = "1", OFFSET($A$1, 202 - 1, 55 - 1) = "1" ), 1, IF( AND( OFFSET($A$1, 202 - 1, 54 - 1) = "1", OFFSET($A$1, 202 - 1, 55 - 1) = "0" ), 2, IF( AND( OFFSET($A$1, 202 - 1, 54 - 1) = "0", OFFSET($A$1, 202 - 1, 55 - 1) = "1" ), 3, 4 ) ) )</f>
        <v>1</v>
      </c>
      <c r="BF202" s="3">
        <v>0.3296025917114706</v>
      </c>
      <c r="BG202" s="3" t="str">
        <f>"1"</f>
        <v>1</v>
      </c>
      <c r="BH202" t="str">
        <f ca="1">IF((OFFSET($A$1, 202 - 1, 58 - 1)) &gt;= (OFFSET($A$1, 93 - 1, 7 - 1)), "1","0")</f>
        <v>0</v>
      </c>
      <c r="BI202">
        <f ca="1" xml:space="preserve"> IF( AND( OFFSET($A$1, 202 - 1, 59 - 1) = "1", OFFSET($A$1, 202 - 1, 60 - 1) = "1" ), 1, IF( AND( OFFSET($A$1, 202 - 1, 59 - 1) = "1", OFFSET($A$1, 202 - 1, 60 - 1) = "0" ), 2, IF( AND( OFFSET($A$1, 202 - 1, 59 - 1) = "0", OFFSET($A$1, 202 - 1, 60 - 1) = "1" ), 3, 4 ) ) )</f>
        <v>2</v>
      </c>
    </row>
    <row r="203" spans="53:61" x14ac:dyDescent="0.35">
      <c r="BA203" s="3">
        <v>0.60571189114298274</v>
      </c>
      <c r="BB203" s="3" t="str">
        <f>"0"</f>
        <v>0</v>
      </c>
      <c r="BC203" t="str">
        <f ca="1">IF((OFFSET($A$1, 203 - 1, 53 - 1)) &gt;= (OFFSET($A$1, 69 - 1, 7 - 1)), "1","0")</f>
        <v>1</v>
      </c>
      <c r="BD203">
        <f ca="1" xml:space="preserve"> IF( AND( OFFSET($A$1, 203 - 1, 54 - 1) = "1", OFFSET($A$1, 203 - 1, 55 - 1) = "1" ), 1, IF( AND( OFFSET($A$1, 203 - 1, 54 - 1) = "1", OFFSET($A$1, 203 - 1, 55 - 1) = "0" ), 2, IF( AND( OFFSET($A$1, 203 - 1, 54 - 1) = "0", OFFSET($A$1, 203 - 1, 55 - 1) = "1" ), 3, 4 ) ) )</f>
        <v>3</v>
      </c>
      <c r="BF203" s="3">
        <v>0.60593735969424023</v>
      </c>
      <c r="BG203" s="3" t="str">
        <f>"0"</f>
        <v>0</v>
      </c>
      <c r="BH203" t="str">
        <f ca="1">IF((OFFSET($A$1, 203 - 1, 58 - 1)) &gt;= (OFFSET($A$1, 93 - 1, 7 - 1)), "1","0")</f>
        <v>1</v>
      </c>
      <c r="BI203">
        <f ca="1" xml:space="preserve"> IF( AND( OFFSET($A$1, 203 - 1, 59 - 1) = "1", OFFSET($A$1, 203 - 1, 60 - 1) = "1" ), 1, IF( AND( OFFSET($A$1, 203 - 1, 59 - 1) = "1", OFFSET($A$1, 203 - 1, 60 - 1) = "0" ), 2, IF( AND( OFFSET($A$1, 203 - 1, 59 - 1) = "0", OFFSET($A$1, 203 - 1, 60 - 1) = "1" ), 3, 4 ) ) )</f>
        <v>3</v>
      </c>
    </row>
    <row r="204" spans="53:61" x14ac:dyDescent="0.35">
      <c r="BA204" s="3">
        <v>0.3302287619605348</v>
      </c>
      <c r="BB204" s="3" t="str">
        <f>"0"</f>
        <v>0</v>
      </c>
      <c r="BC204" t="str">
        <f ca="1">IF((OFFSET($A$1, 204 - 1, 53 - 1)) &gt;= (OFFSET($A$1, 69 - 1, 7 - 1)), "1","0")</f>
        <v>0</v>
      </c>
      <c r="BD204">
        <f ca="1" xml:space="preserve"> IF( AND( OFFSET($A$1, 204 - 1, 54 - 1) = "1", OFFSET($A$1, 204 - 1, 55 - 1) = "1" ), 1, IF( AND( OFFSET($A$1, 204 - 1, 54 - 1) = "1", OFFSET($A$1, 204 - 1, 55 - 1) = "0" ), 2, IF( AND( OFFSET($A$1, 204 - 1, 54 - 1) = "0", OFFSET($A$1, 204 - 1, 55 - 1) = "1" ), 3, 4 ) ) )</f>
        <v>4</v>
      </c>
      <c r="BF204" s="3">
        <v>0.3304263910002142</v>
      </c>
      <c r="BG204" s="3" t="str">
        <f>"1"</f>
        <v>1</v>
      </c>
      <c r="BH204" t="str">
        <f ca="1">IF((OFFSET($A$1, 204 - 1, 58 - 1)) &gt;= (OFFSET($A$1, 93 - 1, 7 - 1)), "1","0")</f>
        <v>0</v>
      </c>
      <c r="BI204">
        <f ca="1" xml:space="preserve"> IF( AND( OFFSET($A$1, 204 - 1, 59 - 1) = "1", OFFSET($A$1, 204 - 1, 60 - 1) = "1" ), 1, IF( AND( OFFSET($A$1, 204 - 1, 59 - 1) = "1", OFFSET($A$1, 204 - 1, 60 - 1) = "0" ), 2, IF( AND( OFFSET($A$1, 204 - 1, 59 - 1) = "0", OFFSET($A$1, 204 - 1, 60 - 1) = "1" ), 3, 4 ) ) )</f>
        <v>2</v>
      </c>
    </row>
    <row r="205" spans="53:61" x14ac:dyDescent="0.35">
      <c r="BA205" s="3">
        <v>0.3306184394027985</v>
      </c>
      <c r="BB205" s="3" t="str">
        <f>"0"</f>
        <v>0</v>
      </c>
      <c r="BC205" t="str">
        <f ca="1">IF((OFFSET($A$1, 205 - 1, 53 - 1)) &gt;= (OFFSET($A$1, 69 - 1, 7 - 1)), "1","0")</f>
        <v>0</v>
      </c>
      <c r="BD205">
        <f ca="1" xml:space="preserve"> IF( AND( OFFSET($A$1, 205 - 1, 54 - 1) = "1", OFFSET($A$1, 205 - 1, 55 - 1) = "1" ), 1, IF( AND( OFFSET($A$1, 205 - 1, 54 - 1) = "1", OFFSET($A$1, 205 - 1, 55 - 1) = "0" ), 2, IF( AND( OFFSET($A$1, 205 - 1, 54 - 1) = "0", OFFSET($A$1, 205 - 1, 55 - 1) = "1" ), 3, 4 ) ) )</f>
        <v>4</v>
      </c>
      <c r="BF205" s="3">
        <v>0.60677813229368427</v>
      </c>
      <c r="BG205" s="3" t="str">
        <f>"0"</f>
        <v>0</v>
      </c>
      <c r="BH205" t="str">
        <f ca="1">IF((OFFSET($A$1, 205 - 1, 58 - 1)) &gt;= (OFFSET($A$1, 93 - 1, 7 - 1)), "1","0")</f>
        <v>1</v>
      </c>
      <c r="BI205">
        <f ca="1" xml:space="preserve"> IF( AND( OFFSET($A$1, 205 - 1, 59 - 1) = "1", OFFSET($A$1, 205 - 1, 60 - 1) = "1" ), 1, IF( AND( OFFSET($A$1, 205 - 1, 59 - 1) = "1", OFFSET($A$1, 205 - 1, 60 - 1) = "0" ), 2, IF( AND( OFFSET($A$1, 205 - 1, 59 - 1) = "0", OFFSET($A$1, 205 - 1, 60 - 1) = "1" ), 3, 4 ) ) )</f>
        <v>3</v>
      </c>
    </row>
    <row r="206" spans="53:61" x14ac:dyDescent="0.35">
      <c r="BA206" s="3">
        <v>0.33098571789894221</v>
      </c>
      <c r="BB206" s="3" t="str">
        <f>"0"</f>
        <v>0</v>
      </c>
      <c r="BC206" t="str">
        <f ca="1">IF((OFFSET($A$1, 206 - 1, 53 - 1)) &gt;= (OFFSET($A$1, 69 - 1, 7 - 1)), "1","0")</f>
        <v>0</v>
      </c>
      <c r="BD206">
        <f ca="1" xml:space="preserve"> IF( AND( OFFSET($A$1, 206 - 1, 54 - 1) = "1", OFFSET($A$1, 206 - 1, 55 - 1) = "1" ), 1, IF( AND( OFFSET($A$1, 206 - 1, 54 - 1) = "1", OFFSET($A$1, 206 - 1, 55 - 1) = "0" ), 2, IF( AND( OFFSET($A$1, 206 - 1, 54 - 1) = "0", OFFSET($A$1, 206 - 1, 55 - 1) = "1" ), 3, 4 ) ) )</f>
        <v>4</v>
      </c>
      <c r="BF206" s="3">
        <v>0.33116091118843194</v>
      </c>
      <c r="BG206" s="3" t="str">
        <f>"0"</f>
        <v>0</v>
      </c>
      <c r="BH206" t="str">
        <f ca="1">IF((OFFSET($A$1, 206 - 1, 58 - 1)) &gt;= (OFFSET($A$1, 93 - 1, 7 - 1)), "1","0")</f>
        <v>0</v>
      </c>
      <c r="BI206">
        <f ca="1" xml:space="preserve"> IF( AND( OFFSET($A$1, 206 - 1, 59 - 1) = "1", OFFSET($A$1, 206 - 1, 60 - 1) = "1" ), 1, IF( AND( OFFSET($A$1, 206 - 1, 59 - 1) = "1", OFFSET($A$1, 206 - 1, 60 - 1) = "0" ), 2, IF( AND( OFFSET($A$1, 206 - 1, 59 - 1) = "0", OFFSET($A$1, 206 - 1, 60 - 1) = "1" ), 3, 4 ) ) )</f>
        <v>4</v>
      </c>
    </row>
    <row r="207" spans="53:61" x14ac:dyDescent="0.35">
      <c r="BA207" s="3">
        <v>0.33133045023714153</v>
      </c>
      <c r="BB207" s="3" t="str">
        <f>"1"</f>
        <v>1</v>
      </c>
      <c r="BC207" t="str">
        <f ca="1">IF((OFFSET($A$1, 207 - 1, 53 - 1)) &gt;= (OFFSET($A$1, 69 - 1, 7 - 1)), "1","0")</f>
        <v>0</v>
      </c>
      <c r="BD207">
        <f ca="1" xml:space="preserve"> IF( AND( OFFSET($A$1, 207 - 1, 54 - 1) = "1", OFFSET($A$1, 207 - 1, 55 - 1) = "1" ), 1, IF( AND( OFFSET($A$1, 207 - 1, 54 - 1) = "1", OFFSET($A$1, 207 - 1, 55 - 1) = "0" ), 2, IF( AND( OFFSET($A$1, 207 - 1, 54 - 1) = "0", OFFSET($A$1, 207 - 1, 55 - 1) = "1" ), 3, 4 ) ) )</f>
        <v>2</v>
      </c>
      <c r="BF207" s="3">
        <v>0.33149431804773133</v>
      </c>
      <c r="BG207" s="3" t="str">
        <f>"0"</f>
        <v>0</v>
      </c>
      <c r="BH207" t="str">
        <f ca="1">IF((OFFSET($A$1, 207 - 1, 58 - 1)) &gt;= (OFFSET($A$1, 93 - 1, 7 - 1)), "1","0")</f>
        <v>0</v>
      </c>
      <c r="BI207">
        <f ca="1" xml:space="preserve"> IF( AND( OFFSET($A$1, 207 - 1, 59 - 1) = "1", OFFSET($A$1, 207 - 1, 60 - 1) = "1" ), 1, IF( AND( OFFSET($A$1, 207 - 1, 59 - 1) = "1", OFFSET($A$1, 207 - 1, 60 - 1) = "0" ), 2, IF( AND( OFFSET($A$1, 207 - 1, 59 - 1) = "0", OFFSET($A$1, 207 - 1, 60 - 1) = "1" ), 3, 4 ) ) )</f>
        <v>4</v>
      </c>
    </row>
    <row r="208" spans="53:61" x14ac:dyDescent="0.35">
      <c r="BA208" s="3">
        <v>0.60769073225511738</v>
      </c>
      <c r="BB208" s="3" t="str">
        <f>"1"</f>
        <v>1</v>
      </c>
      <c r="BC208" t="str">
        <f ca="1">IF((OFFSET($A$1, 208 - 1, 53 - 1)) &gt;= (OFFSET($A$1, 69 - 1, 7 - 1)), "1","0")</f>
        <v>1</v>
      </c>
      <c r="BD208">
        <f ca="1" xml:space="preserve"> IF( AND( OFFSET($A$1, 208 - 1, 54 - 1) = "1", OFFSET($A$1, 208 - 1, 55 - 1) = "1" ), 1, IF( AND( OFFSET($A$1, 208 - 1, 54 - 1) = "1", OFFSET($A$1, 208 - 1, 55 - 1) = "0" ), 2, IF( AND( OFFSET($A$1, 208 - 1, 54 - 1) = "0", OFFSET($A$1, 208 - 1, 55 - 1) = "1" ), 3, 4 ) ) )</f>
        <v>1</v>
      </c>
      <c r="BF208" s="3">
        <v>0.33180497479534288</v>
      </c>
      <c r="BG208" s="3" t="str">
        <f>"0"</f>
        <v>0</v>
      </c>
      <c r="BH208" t="str">
        <f ca="1">IF((OFFSET($A$1, 208 - 1, 58 - 1)) &gt;= (OFFSET($A$1, 93 - 1, 7 - 1)), "1","0")</f>
        <v>0</v>
      </c>
      <c r="BI208">
        <f ca="1" xml:space="preserve"> IF( AND( OFFSET($A$1, 208 - 1, 59 - 1) = "1", OFFSET($A$1, 208 - 1, 60 - 1) = "1" ), 1, IF( AND( OFFSET($A$1, 208 - 1, 59 - 1) = "1", OFFSET($A$1, 208 - 1, 60 - 1) = "0" ), 2, IF( AND( OFFSET($A$1, 208 - 1, 59 - 1) = "0", OFFSET($A$1, 208 - 1, 60 - 1) = "1" ), 3, 4 ) ) )</f>
        <v>4</v>
      </c>
    </row>
    <row r="209" spans="53:61" x14ac:dyDescent="0.35">
      <c r="BA209" s="3">
        <v>0.60801245018717964</v>
      </c>
      <c r="BB209" s="3" t="str">
        <f>"1"</f>
        <v>1</v>
      </c>
      <c r="BC209" t="str">
        <f ca="1">IF((OFFSET($A$1, 209 - 1, 53 - 1)) &gt;= (OFFSET($A$1, 69 - 1, 7 - 1)), "1","0")</f>
        <v>1</v>
      </c>
      <c r="BD209">
        <f ca="1" xml:space="preserve"> IF( AND( OFFSET($A$1, 209 - 1, 54 - 1) = "1", OFFSET($A$1, 209 - 1, 55 - 1) = "1" ), 1, IF( AND( OFFSET($A$1, 209 - 1, 54 - 1) = "1", OFFSET($A$1, 209 - 1, 55 - 1) = "0" ), 2, IF( AND( OFFSET($A$1, 209 - 1, 54 - 1) = "0", OFFSET($A$1, 209 - 1, 55 - 1) = "1" ), 3, 4 ) ) )</f>
        <v>1</v>
      </c>
      <c r="BF209" s="3">
        <v>0.33209275680028727</v>
      </c>
      <c r="BG209" s="3" t="str">
        <f>"0"</f>
        <v>0</v>
      </c>
      <c r="BH209" t="str">
        <f ca="1">IF((OFFSET($A$1, 209 - 1, 58 - 1)) &gt;= (OFFSET($A$1, 93 - 1, 7 - 1)), "1","0")</f>
        <v>0</v>
      </c>
      <c r="BI209">
        <f ca="1" xml:space="preserve"> IF( AND( OFFSET($A$1, 209 - 1, 59 - 1) = "1", OFFSET($A$1, 209 - 1, 60 - 1) = "1" ), 1, IF( AND( OFFSET($A$1, 209 - 1, 59 - 1) = "1", OFFSET($A$1, 209 - 1, 60 - 1) = "0" ), 2, IF( AND( OFFSET($A$1, 209 - 1, 59 - 1) = "0", OFFSET($A$1, 209 - 1, 60 - 1) = "1" ), 3, 4 ) ) )</f>
        <v>4</v>
      </c>
    </row>
    <row r="210" spans="53:61" x14ac:dyDescent="0.35">
      <c r="BA210" s="3">
        <v>0.60830929856292393</v>
      </c>
      <c r="BB210" s="3" t="str">
        <f>"1"</f>
        <v>1</v>
      </c>
      <c r="BC210" t="str">
        <f ca="1">IF((OFFSET($A$1, 210 - 1, 53 - 1)) &gt;= (OFFSET($A$1, 69 - 1, 7 - 1)), "1","0")</f>
        <v>1</v>
      </c>
      <c r="BD210">
        <f ca="1" xml:space="preserve"> IF( AND( OFFSET($A$1, 210 - 1, 54 - 1) = "1", OFFSET($A$1, 210 - 1, 55 - 1) = "1" ), 1, IF( AND( OFFSET($A$1, 210 - 1, 54 - 1) = "1", OFFSET($A$1, 210 - 1, 55 - 1) = "0" ), 2, IF( AND( OFFSET($A$1, 210 - 1, 54 - 1) = "0", OFFSET($A$1, 210 - 1, 55 - 1) = "1" ), 3, 4 ) ) )</f>
        <v>1</v>
      </c>
      <c r="BF210" s="3">
        <v>0.33235754857251587</v>
      </c>
      <c r="BG210" s="3" t="str">
        <f>"1"</f>
        <v>1</v>
      </c>
      <c r="BH210" t="str">
        <f ca="1">IF((OFFSET($A$1, 210 - 1, 58 - 1)) &gt;= (OFFSET($A$1, 93 - 1, 7 - 1)), "1","0")</f>
        <v>0</v>
      </c>
      <c r="BI210">
        <f ca="1" xml:space="preserve"> IF( AND( OFFSET($A$1, 210 - 1, 59 - 1) = "1", OFFSET($A$1, 210 - 1, 60 - 1) = "1" ), 1, IF( AND( OFFSET($A$1, 210 - 1, 59 - 1) = "1", OFFSET($A$1, 210 - 1, 60 - 1) = "0" ), 2, IF( AND( OFFSET($A$1, 210 - 1, 59 - 1) = "0", OFFSET($A$1, 210 - 1, 60 - 1) = "1" ), 3, 4 ) ) )</f>
        <v>2</v>
      </c>
    </row>
    <row r="211" spans="53:61" x14ac:dyDescent="0.35">
      <c r="BA211" s="3">
        <v>0.60858120940547389</v>
      </c>
      <c r="BB211" s="3" t="str">
        <f>"0"</f>
        <v>0</v>
      </c>
      <c r="BC211" t="str">
        <f ca="1">IF((OFFSET($A$1, 211 - 1, 53 - 1)) &gt;= (OFFSET($A$1, 69 - 1, 7 - 1)), "1","0")</f>
        <v>1</v>
      </c>
      <c r="BD211">
        <f ca="1" xml:space="preserve"> IF( AND( OFFSET($A$1, 211 - 1, 54 - 1) = "1", OFFSET($A$1, 211 - 1, 55 - 1) = "1" ), 1, IF( AND( OFFSET($A$1, 211 - 1, 54 - 1) = "1", OFFSET($A$1, 211 - 1, 55 - 1) = "0" ), 2, IF( AND( OFFSET($A$1, 211 - 1, 54 - 1) = "0", OFFSET($A$1, 211 - 1, 55 - 1) = "1" ), 3, 4 ) ) )</f>
        <v>3</v>
      </c>
      <c r="BF211" s="3">
        <v>0.60870779360942562</v>
      </c>
      <c r="BG211" s="3" t="str">
        <f>"0"</f>
        <v>0</v>
      </c>
      <c r="BH211" t="str">
        <f ca="1">IF((OFFSET($A$1, 211 - 1, 58 - 1)) &gt;= (OFFSET($A$1, 93 - 1, 7 - 1)), "1","0")</f>
        <v>1</v>
      </c>
      <c r="BI211">
        <f ca="1" xml:space="preserve"> IF( AND( OFFSET($A$1, 211 - 1, 59 - 1) = "1", OFFSET($A$1, 211 - 1, 60 - 1) = "1" ), 1, IF( AND( OFFSET($A$1, 211 - 1, 59 - 1) = "1", OFFSET($A$1, 211 - 1, 60 - 1) = "0" ), 2, IF( AND( OFFSET($A$1, 211 - 1, 59 - 1) = "0", OFFSET($A$1, 211 - 1, 60 - 1) = "1" ), 3, 4 ) ) )</f>
        <v>3</v>
      </c>
    </row>
    <row r="212" spans="53:61" x14ac:dyDescent="0.35">
      <c r="BA212" s="3">
        <v>0.33271139955362822</v>
      </c>
      <c r="BB212" s="3" t="str">
        <f>"0"</f>
        <v>0</v>
      </c>
      <c r="BC212" t="str">
        <f ca="1">IF((OFFSET($A$1, 212 - 1, 53 - 1)) &gt;= (OFFSET($A$1, 69 - 1, 7 - 1)), "1","0")</f>
        <v>0</v>
      </c>
      <c r="BD212">
        <f ca="1" xml:space="preserve"> IF( AND( OFFSET($A$1, 212 - 1, 54 - 1) = "1", OFFSET($A$1, 212 - 1, 55 - 1) = "1" ), 1, IF( AND( OFFSET($A$1, 212 - 1, 54 - 1) = "1", OFFSET($A$1, 212 - 1, 55 - 1) = "0" ), 2, IF( AND( OFFSET($A$1, 212 - 1, 54 - 1) = "0", OFFSET($A$1, 212 - 1, 55 - 1) = "1" ), 3, 4 ) ) )</f>
        <v>4</v>
      </c>
      <c r="BF212" s="3">
        <v>0.3328177454897796</v>
      </c>
      <c r="BG212" s="3" t="str">
        <f>"0"</f>
        <v>0</v>
      </c>
      <c r="BH212" t="str">
        <f ca="1">IF((OFFSET($A$1, 212 - 1, 58 - 1)) &gt;= (OFFSET($A$1, 93 - 1, 7 - 1)), "1","0")</f>
        <v>0</v>
      </c>
      <c r="BI212">
        <f ca="1" xml:space="preserve"> IF( AND( OFFSET($A$1, 212 - 1, 59 - 1) = "1", OFFSET($A$1, 212 - 1, 60 - 1) = "1" ), 1, IF( AND( OFFSET($A$1, 212 - 1, 59 - 1) = "1", OFFSET($A$1, 212 - 1, 60 - 1) = "0" ), 2, IF( AND( OFFSET($A$1, 212 - 1, 59 - 1) = "0", OFFSET($A$1, 212 - 1, 60 - 1) = "1" ), 3, 4 ) ) )</f>
        <v>4</v>
      </c>
    </row>
    <row r="213" spans="53:61" x14ac:dyDescent="0.35">
      <c r="BA213" s="3">
        <v>0.33291827094799775</v>
      </c>
      <c r="BB213" s="3" t="str">
        <f>"0"</f>
        <v>0</v>
      </c>
      <c r="BC213" t="str">
        <f ca="1">IF((OFFSET($A$1, 213 - 1, 53 - 1)) &gt;= (OFFSET($A$1, 69 - 1, 7 - 1)), "1","0")</f>
        <v>0</v>
      </c>
      <c r="BD213">
        <f ca="1" xml:space="preserve"> IF( AND( OFFSET($A$1, 213 - 1, 54 - 1) = "1", OFFSET($A$1, 213 - 1, 55 - 1) = "1" ), 1, IF( AND( OFFSET($A$1, 213 - 1, 54 - 1) = "1", OFFSET($A$1, 213 - 1, 55 - 1) = "0" ), 2, IF( AND( OFFSET($A$1, 213 - 1, 54 - 1) = "0", OFFSET($A$1, 213 - 1, 55 - 1) = "1" ), 3, 4 ) ) )</f>
        <v>4</v>
      </c>
      <c r="BF213" s="3">
        <v>0.33301296583317019</v>
      </c>
      <c r="BG213" s="3" t="str">
        <f>"1"</f>
        <v>1</v>
      </c>
      <c r="BH213" t="str">
        <f ca="1">IF((OFFSET($A$1, 213 - 1, 58 - 1)) &gt;= (OFFSET($A$1, 93 - 1, 7 - 1)), "1","0")</f>
        <v>0</v>
      </c>
      <c r="BI213">
        <f ca="1" xml:space="preserve"> IF( AND( OFFSET($A$1, 213 - 1, 59 - 1) = "1", OFFSET($A$1, 213 - 1, 60 - 1) = "1" ), 1, IF( AND( OFFSET($A$1, 213 - 1, 59 - 1) = "1", OFFSET($A$1, 213 - 1, 60 - 1) = "0" ), 2, IF( AND( OFFSET($A$1, 213 - 1, 59 - 1) = "0", OFFSET($A$1, 213 - 1, 60 - 1) = "1" ), 3, 4 ) ) )</f>
        <v>2</v>
      </c>
    </row>
    <row r="214" spans="53:61" x14ac:dyDescent="0.35">
      <c r="BA214" s="3">
        <v>0.33310182063480859</v>
      </c>
      <c r="BB214" s="3" t="str">
        <f>"0"</f>
        <v>0</v>
      </c>
      <c r="BC214" t="str">
        <f ca="1">IF((OFFSET($A$1, 214 - 1, 53 - 1)) &gt;= (OFFSET($A$1, 69 - 1, 7 - 1)), "1","0")</f>
        <v>0</v>
      </c>
      <c r="BD214">
        <f ca="1" xml:space="preserve"> IF( AND( OFFSET($A$1, 214 - 1, 54 - 1) = "1", OFFSET($A$1, 214 - 1, 55 - 1) = "1" ), 1, IF( AND( OFFSET($A$1, 214 - 1, 54 - 1) = "1", OFFSET($A$1, 214 - 1, 55 - 1) = "0" ), 2, IF( AND( OFFSET($A$1, 214 - 1, 54 - 1) = "0", OFFSET($A$1, 214 - 1, 55 - 1) = "1" ), 3, 4 ) ) )</f>
        <v>4</v>
      </c>
      <c r="BF214" s="3">
        <v>0.60933566986786503</v>
      </c>
      <c r="BG214" s="3" t="str">
        <f>"1"</f>
        <v>1</v>
      </c>
      <c r="BH214" t="str">
        <f ca="1">IF((OFFSET($A$1, 214 - 1, 58 - 1)) &gt;= (OFFSET($A$1, 93 - 1, 7 - 1)), "1","0")</f>
        <v>1</v>
      </c>
      <c r="BI214">
        <f ca="1" xml:space="preserve"> IF( AND( OFFSET($A$1, 214 - 1, 59 - 1) = "1", OFFSET($A$1, 214 - 1, 60 - 1) = "1" ), 1, IF( AND( OFFSET($A$1, 214 - 1, 59 - 1) = "1", OFFSET($A$1, 214 - 1, 60 - 1) = "0" ), 2, IF( AND( OFFSET($A$1, 214 - 1, 59 - 1) = "0", OFFSET($A$1, 214 - 1, 60 - 1) = "1" ), 3, 4 ) ) )</f>
        <v>1</v>
      </c>
    </row>
    <row r="215" spans="53:61" x14ac:dyDescent="0.35">
      <c r="BA215" s="3">
        <v>0.33326197487530956</v>
      </c>
      <c r="BB215" s="3" t="str">
        <f>"0"</f>
        <v>0</v>
      </c>
      <c r="BC215" t="str">
        <f ca="1">IF((OFFSET($A$1, 215 - 1, 53 - 1)) &gt;= (OFFSET($A$1, 69 - 1, 7 - 1)), "1","0")</f>
        <v>0</v>
      </c>
      <c r="BD215">
        <f ca="1" xml:space="preserve"> IF( AND( OFFSET($A$1, 215 - 1, 54 - 1) = "1", OFFSET($A$1, 215 - 1, 55 - 1) = "1" ), 1, IF( AND( OFFSET($A$1, 215 - 1, 54 - 1) = "1", OFFSET($A$1, 215 - 1, 55 - 1) = "0" ), 2, IF( AND( OFFSET($A$1, 215 - 1, 54 - 1) = "0", OFFSET($A$1, 215 - 1, 55 - 1) = "1" ), 3, 4 ) ) )</f>
        <v>4</v>
      </c>
      <c r="BF215" s="3">
        <v>0.60949467696286219</v>
      </c>
      <c r="BG215" s="3" t="str">
        <f>"1"</f>
        <v>1</v>
      </c>
      <c r="BH215" t="str">
        <f ca="1">IF((OFFSET($A$1, 215 - 1, 58 - 1)) &gt;= (OFFSET($A$1, 93 - 1, 7 - 1)), "1","0")</f>
        <v>1</v>
      </c>
      <c r="BI215">
        <f ca="1" xml:space="preserve"> IF( AND( OFFSET($A$1, 215 - 1, 59 - 1) = "1", OFFSET($A$1, 215 - 1, 60 - 1) = "1" ), 1, IF( AND( OFFSET($A$1, 215 - 1, 59 - 1) = "1", OFFSET($A$1, 215 - 1, 60 - 1) = "0" ), 2, IF( AND( OFFSET($A$1, 215 - 1, 59 - 1) = "0", OFFSET($A$1, 215 - 1, 60 - 1) = "1" ), 3, 4 ) ) )</f>
        <v>1</v>
      </c>
    </row>
    <row r="216" spans="53:61" x14ac:dyDescent="0.35">
      <c r="BA216" s="3">
        <v>0.33339866931894269</v>
      </c>
      <c r="BB216" s="3" t="str">
        <f>"0"</f>
        <v>0</v>
      </c>
      <c r="BC216" t="str">
        <f ca="1">IF((OFFSET($A$1, 216 - 1, 53 - 1)) &gt;= (OFFSET($A$1, 69 - 1, 7 - 1)), "1","0")</f>
        <v>0</v>
      </c>
      <c r="BD216">
        <f ca="1" xml:space="preserve"> IF( AND( OFFSET($A$1, 216 - 1, 54 - 1) = "1", OFFSET($A$1, 216 - 1, 55 - 1) = "1" ), 1, IF( AND( OFFSET($A$1, 216 - 1, 54 - 1) = "1", OFFSET($A$1, 216 - 1, 55 - 1) = "0" ), 2, IF( AND( OFFSET($A$1, 216 - 1, 54 - 1) = "0", OFFSET($A$1, 216 - 1, 55 - 1) = "1" ), 3, 4 ) ) )</f>
        <v>4</v>
      </c>
      <c r="BF216" s="3">
        <v>0.60962847667433617</v>
      </c>
      <c r="BG216" s="3" t="str">
        <f>"0"</f>
        <v>0</v>
      </c>
      <c r="BH216" t="str">
        <f ca="1">IF((OFFSET($A$1, 216 - 1, 58 - 1)) &gt;= (OFFSET($A$1, 93 - 1, 7 - 1)), "1","0")</f>
        <v>1</v>
      </c>
      <c r="BI216">
        <f ca="1" xml:space="preserve"> IF( AND( OFFSET($A$1, 216 - 1, 59 - 1) = "1", OFFSET($A$1, 216 - 1, 60 - 1) = "1" ), 1, IF( AND( OFFSET($A$1, 216 - 1, 59 - 1) = "1", OFFSET($A$1, 216 - 1, 60 - 1) = "0" ), 2, IF( AND( OFFSET($A$1, 216 - 1, 59 - 1) = "0", OFFSET($A$1, 216 - 1, 60 - 1) = "1" ), 3, 4 ) ) )</f>
        <v>3</v>
      </c>
    </row>
    <row r="217" spans="53:61" x14ac:dyDescent="0.35">
      <c r="BA217" s="3">
        <v>0.33351184903362885</v>
      </c>
      <c r="BB217" s="3" t="str">
        <f>"0"</f>
        <v>0</v>
      </c>
      <c r="BC217" t="str">
        <f ca="1">IF((OFFSET($A$1, 217 - 1, 53 - 1)) &gt;= (OFFSET($A$1, 69 - 1, 7 - 1)), "1","0")</f>
        <v>0</v>
      </c>
      <c r="BD217">
        <f ca="1" xml:space="preserve"> IF( AND( OFFSET($A$1, 217 - 1, 54 - 1) = "1", OFFSET($A$1, 217 - 1, 55 - 1) = "1" ), 1, IF( AND( OFFSET($A$1, 217 - 1, 54 - 1) = "1", OFFSET($A$1, 217 - 1, 55 - 1) = "0" ), 2, IF( AND( OFFSET($A$1, 217 - 1, 54 - 1) = "0", OFFSET($A$1, 217 - 1, 55 - 1) = "1" ), 3, 4 ) ) )</f>
        <v>4</v>
      </c>
      <c r="BF217" s="3">
        <v>0.33355960628314923</v>
      </c>
      <c r="BG217" s="3" t="str">
        <f>"1"</f>
        <v>1</v>
      </c>
      <c r="BH217" t="str">
        <f ca="1">IF((OFFSET($A$1, 217 - 1, 58 - 1)) &gt;= (OFFSET($A$1, 93 - 1, 7 - 1)), "1","0")</f>
        <v>0</v>
      </c>
      <c r="BI217">
        <f ca="1" xml:space="preserve"> IF( AND( OFFSET($A$1, 217 - 1, 59 - 1) = "1", OFFSET($A$1, 217 - 1, 60 - 1) = "1" ), 1, IF( AND( OFFSET($A$1, 217 - 1, 59 - 1) = "1", OFFSET($A$1, 217 - 1, 60 - 1) = "0" ), 2, IF( AND( OFFSET($A$1, 217 - 1, 59 - 1) = "0", OFFSET($A$1, 217 - 1, 60 - 1) = "1" ), 3, 4 ) ) )</f>
        <v>2</v>
      </c>
    </row>
    <row r="218" spans="53:61" x14ac:dyDescent="0.35">
      <c r="BA218" s="3">
        <v>0.33360146853157152</v>
      </c>
      <c r="BB218" s="3" t="str">
        <f>"0"</f>
        <v>0</v>
      </c>
      <c r="BC218" t="str">
        <f ca="1">IF((OFFSET($A$1, 218 - 1, 53 - 1)) &gt;= (OFFSET($A$1, 69 - 1, 7 - 1)), "1","0")</f>
        <v>0</v>
      </c>
      <c r="BD218">
        <f ca="1" xml:space="preserve"> IF( AND( OFFSET($A$1, 218 - 1, 54 - 1) = "1", OFFSET($A$1, 218 - 1, 55 - 1) = "1" ), 1, IF( AND( OFFSET($A$1, 218 - 1, 54 - 1) = "1", OFFSET($A$1, 218 - 1, 55 - 1) = "0" ), 2, IF( AND( OFFSET($A$1, 218 - 1, 54 - 1) = "0", OFFSET($A$1, 218 - 1, 55 - 1) = "1" ), 3, 4 ) ) )</f>
        <v>4</v>
      </c>
      <c r="BF218" s="3">
        <v>0.60982033849292627</v>
      </c>
      <c r="BG218" s="3" t="str">
        <f>"1"</f>
        <v>1</v>
      </c>
      <c r="BH218" t="str">
        <f ca="1">IF((OFFSET($A$1, 218 - 1, 58 - 1)) &gt;= (OFFSET($A$1, 93 - 1, 7 - 1)), "1","0")</f>
        <v>1</v>
      </c>
      <c r="BI218">
        <f ca="1" xml:space="preserve"> IF( AND( OFFSET($A$1, 218 - 1, 59 - 1) = "1", OFFSET($A$1, 218 - 1, 60 - 1) = "1" ), 1, IF( AND( OFFSET($A$1, 218 - 1, 59 - 1) = "1", OFFSET($A$1, 218 - 1, 60 - 1) = "0" ), 2, IF( AND( OFFSET($A$1, 218 - 1, 59 - 1) = "0", OFFSET($A$1, 218 - 1, 60 - 1) = "1" ), 3, 4 ) ) )</f>
        <v>1</v>
      </c>
    </row>
    <row r="219" spans="53:61" x14ac:dyDescent="0.35">
      <c r="BA219" s="3">
        <v>0.33366749179059085</v>
      </c>
      <c r="BB219" s="3" t="str">
        <f>"0"</f>
        <v>0</v>
      </c>
      <c r="BC219" t="str">
        <f ca="1">IF((OFFSET($A$1, 219 - 1, 53 - 1)) &gt;= (OFFSET($A$1, 69 - 1, 7 - 1)), "1","0")</f>
        <v>0</v>
      </c>
      <c r="BD219">
        <f ca="1" xml:space="preserve"> IF( AND( OFFSET($A$1, 219 - 1, 54 - 1) = "1", OFFSET($A$1, 219 - 1, 55 - 1) = "1" ), 1, IF( AND( OFFSET($A$1, 219 - 1, 54 - 1) = "1", OFFSET($A$1, 219 - 1, 55 - 1) = "0" ), 2, IF( AND( OFFSET($A$1, 219 - 1, 54 - 1) = "0", OFFSET($A$1, 219 - 1, 55 - 1) = "1" ), 3, 4 ) ) )</f>
        <v>4</v>
      </c>
      <c r="BF219" s="3">
        <v>0.60987835721131778</v>
      </c>
      <c r="BG219" s="3" t="str">
        <f>"0"</f>
        <v>0</v>
      </c>
      <c r="BH219" t="str">
        <f ca="1">IF((OFFSET($A$1, 219 - 1, 58 - 1)) &gt;= (OFFSET($A$1, 93 - 1, 7 - 1)), "1","0")</f>
        <v>1</v>
      </c>
      <c r="BI219">
        <f ca="1" xml:space="preserve"> IF( AND( OFFSET($A$1, 219 - 1, 59 - 1) = "1", OFFSET($A$1, 219 - 1, 60 - 1) = "1" ), 1, IF( AND( OFFSET($A$1, 219 - 1, 59 - 1) = "1", OFFSET($A$1, 219 - 1, 60 - 1) = "0" ), 2, IF( AND( OFFSET($A$1, 219 - 1, 59 - 1) = "0", OFFSET($A$1, 219 - 1, 60 - 1) = "1" ), 3, 4 ) ) )</f>
        <v>3</v>
      </c>
    </row>
    <row r="220" spans="53:61" x14ac:dyDescent="0.35">
      <c r="BA220" s="3">
        <v>0.33370989227099673</v>
      </c>
      <c r="BB220" s="3" t="str">
        <f>"0"</f>
        <v>0</v>
      </c>
      <c r="BC220" t="str">
        <f ca="1">IF((OFFSET($A$1, 220 - 1, 53 - 1)) &gt;= (OFFSET($A$1, 69 - 1, 7 - 1)), "1","0")</f>
        <v>0</v>
      </c>
      <c r="BD220">
        <f ca="1" xml:space="preserve"> IF( AND( OFFSET($A$1, 220 - 1, 54 - 1) = "1", OFFSET($A$1, 220 - 1, 55 - 1) = "1" ), 1, IF( AND( OFFSET($A$1, 220 - 1, 54 - 1) = "1", OFFSET($A$1, 220 - 1, 55 - 1) = "0" ), 2, IF( AND( OFFSET($A$1, 220 - 1, 54 - 1) = "0", OFFSET($A$1, 220 - 1, 55 - 1) = "1" ), 3, 4 ) ) )</f>
        <v>4</v>
      </c>
      <c r="BF220" s="3">
        <v>0.33372222827158199</v>
      </c>
      <c r="BG220" s="3" t="str">
        <f>"0"</f>
        <v>0</v>
      </c>
      <c r="BH220" t="str">
        <f ca="1">IF((OFFSET($A$1, 220 - 1, 58 - 1)) &gt;= (OFFSET($A$1, 93 - 1, 7 - 1)), "1","0")</f>
        <v>0</v>
      </c>
      <c r="BI220">
        <f ca="1" xml:space="preserve"> IF( AND( OFFSET($A$1, 220 - 1, 59 - 1) = "1", OFFSET($A$1, 220 - 1, 60 - 1) = "1" ), 1, IF( AND( OFFSET($A$1, 220 - 1, 59 - 1) = "1", OFFSET($A$1, 220 - 1, 60 - 1) = "0" ), 2, IF( AND( OFFSET($A$1, 220 - 1, 59 - 1) = "0", OFFSET($A$1, 220 - 1, 60 - 1) = "1" ), 3, 4 ) ) )</f>
        <v>4</v>
      </c>
    </row>
    <row r="221" spans="53:61" x14ac:dyDescent="0.35">
      <c r="BA221" s="3">
        <v>0.33372865292800702</v>
      </c>
      <c r="BB221" s="3" t="str">
        <f>"0"</f>
        <v>0</v>
      </c>
      <c r="BC221" t="str">
        <f ca="1">IF((OFFSET($A$1, 221 - 1, 53 - 1)) &gt;= (OFFSET($A$1, 69 - 1, 7 - 1)), "1","0")</f>
        <v>0</v>
      </c>
      <c r="BD221">
        <f ca="1" xml:space="preserve"> IF( AND( OFFSET($A$1, 221 - 1, 54 - 1) = "1", OFFSET($A$1, 221 - 1, 55 - 1) = "1" ), 1, IF( AND( OFFSET($A$1, 221 - 1, 54 - 1) = "1", OFFSET($A$1, 221 - 1, 55 - 1) = "0" ), 2, IF( AND( OFFSET($A$1, 221 - 1, 54 - 1) = "0", OFFSET($A$1, 221 - 1, 55 - 1) = "1" ), 3, 4 ) ) )</f>
        <v>4</v>
      </c>
      <c r="BF221" s="3">
        <v>0.33372916559456106</v>
      </c>
      <c r="BG221" s="3" t="str">
        <f>"0"</f>
        <v>0</v>
      </c>
      <c r="BH221" t="str">
        <f ca="1">IF((OFFSET($A$1, 221 - 1, 58 - 1)) &gt;= (OFFSET($A$1, 93 - 1, 7 - 1)), "1","0")</f>
        <v>0</v>
      </c>
      <c r="BI221">
        <f ca="1" xml:space="preserve"> IF( AND( OFFSET($A$1, 221 - 1, 59 - 1) = "1", OFFSET($A$1, 221 - 1, 60 - 1) = "1" ), 1, IF( AND( OFFSET($A$1, 221 - 1, 59 - 1) = "1", OFFSET($A$1, 221 - 1, 60 - 1) = "0" ), 2, IF( AND( OFFSET($A$1, 221 - 1, 59 - 1) = "0", OFFSET($A$1, 221 - 1, 60 - 1) = "1" ), 3, 4 ) ) )</f>
        <v>4</v>
      </c>
    </row>
    <row r="222" spans="53:61" x14ac:dyDescent="0.35">
      <c r="BA222" s="3">
        <v>0.33372376621971839</v>
      </c>
      <c r="BB222" s="3" t="str">
        <f>"1"</f>
        <v>1</v>
      </c>
      <c r="BC222" t="str">
        <f ca="1">IF((OFFSET($A$1, 222 - 1, 53 - 1)) &gt;= (OFFSET($A$1, 69 - 1, 7 - 1)), "1","0")</f>
        <v>0</v>
      </c>
      <c r="BD222">
        <f ca="1" xml:space="preserve"> IF( AND( OFFSET($A$1, 222 - 1, 54 - 1) = "1", OFFSET($A$1, 222 - 1, 55 - 1) = "1" ), 1, IF( AND( OFFSET($A$1, 222 - 1, 54 - 1) = "1", OFFSET($A$1, 222 - 1, 55 - 1) = "0" ), 2, IF( AND( OFFSET($A$1, 222 - 1, 54 - 1) = "0", OFFSET($A$1, 222 - 1, 55 - 1) = "1" ), 3, 4 ) ) )</f>
        <v>2</v>
      </c>
      <c r="BF222" s="3">
        <v>0.33371245534614419</v>
      </c>
      <c r="BG222" s="3" t="str">
        <f>"1"</f>
        <v>1</v>
      </c>
      <c r="BH222" t="str">
        <f ca="1">IF((OFFSET($A$1, 222 - 1, 58 - 1)) &gt;= (OFFSET($A$1, 93 - 1, 7 - 1)), "1","0")</f>
        <v>0</v>
      </c>
      <c r="BI222">
        <f ca="1" xml:space="preserve"> IF( AND( OFFSET($A$1, 222 - 1, 59 - 1) = "1", OFFSET($A$1, 222 - 1, 60 - 1) = "1" ), 1, IF( AND( OFFSET($A$1, 222 - 1, 59 - 1) = "1", OFFSET($A$1, 222 - 1, 60 - 1) = "0" ), 2, IF( AND( OFFSET($A$1, 222 - 1, 59 - 1) = "0", OFFSET($A$1, 222 - 1, 60 - 1) = "1" ), 3, 4 ) ) )</f>
        <v>2</v>
      </c>
    </row>
    <row r="223" spans="53:61" x14ac:dyDescent="0.35">
      <c r="BA223" s="3">
        <v>0.60988219663873355</v>
      </c>
      <c r="BB223" s="3" t="str">
        <f>"1"</f>
        <v>1</v>
      </c>
      <c r="BC223" t="str">
        <f ca="1">IF((OFFSET($A$1, 223 - 1, 53 - 1)) &gt;= (OFFSET($A$1, 69 - 1, 7 - 1)), "1","0")</f>
        <v>1</v>
      </c>
      <c r="BD223">
        <f ca="1" xml:space="preserve"> IF( AND( OFFSET($A$1, 223 - 1, 54 - 1) = "1", OFFSET($A$1, 223 - 1, 55 - 1) = "1" ), 1, IF( AND( OFFSET($A$1, 223 - 1, 54 - 1) = "1", OFFSET($A$1, 223 - 1, 55 - 1) = "0" ), 2, IF( AND( OFFSET($A$1, 223 - 1, 54 - 1) = "0", OFFSET($A$1, 223 - 1, 55 - 1) = "1" ), 3, 4 ) ) )</f>
        <v>1</v>
      </c>
      <c r="BF223" s="3">
        <v>0.60985744497424421</v>
      </c>
      <c r="BG223" s="3" t="str">
        <f>"1"</f>
        <v>1</v>
      </c>
      <c r="BH223" t="str">
        <f ca="1">IF((OFFSET($A$1, 223 - 1, 58 - 1)) &gt;= (OFFSET($A$1, 93 - 1, 7 - 1)), "1","0")</f>
        <v>1</v>
      </c>
      <c r="BI223">
        <f ca="1" xml:space="preserve"> IF( AND( OFFSET($A$1, 223 - 1, 59 - 1) = "1", OFFSET($A$1, 223 - 1, 60 - 1) = "1" ), 1, IF( AND( OFFSET($A$1, 223 - 1, 59 - 1) = "1", OFFSET($A$1, 223 - 1, 60 - 1) = "0" ), 2, IF( AND( OFFSET($A$1, 223 - 1, 59 - 1) = "0", OFFSET($A$1, 223 - 1, 60 - 1) = "1" ), 3, 4 ) ) )</f>
        <v>1</v>
      </c>
    </row>
    <row r="224" spans="53:61" x14ac:dyDescent="0.35">
      <c r="BA224" s="3">
        <v>0.60982637085686864</v>
      </c>
      <c r="BB224" s="3" t="str">
        <f>"0"</f>
        <v>0</v>
      </c>
      <c r="BC224" t="str">
        <f ca="1">IF((OFFSET($A$1, 224 - 1, 53 - 1)) &gt;= (OFFSET($A$1, 69 - 1, 7 - 1)), "1","0")</f>
        <v>1</v>
      </c>
      <c r="BD224">
        <f ca="1" xml:space="preserve"> IF( AND( OFFSET($A$1, 224 - 1, 54 - 1) = "1", OFFSET($A$1, 224 - 1, 55 - 1) = "1" ), 1, IF( AND( OFFSET($A$1, 224 - 1, 54 - 1) = "1", OFFSET($A$1, 224 - 1, 55 - 1) = "0" ), 2, IF( AND( OFFSET($A$1, 224 - 1, 54 - 1) = "0", OFFSET($A$1, 224 - 1, 55 - 1) = "1" ), 3, 4 ) ) )</f>
        <v>3</v>
      </c>
      <c r="BF224" s="3">
        <v>0.60978897604170601</v>
      </c>
      <c r="BG224" s="3" t="str">
        <f>"1"</f>
        <v>1</v>
      </c>
      <c r="BH224" t="str">
        <f ca="1">IF((OFFSET($A$1, 224 - 1, 58 - 1)) &gt;= (OFFSET($A$1, 93 - 1, 7 - 1)), "1","0")</f>
        <v>1</v>
      </c>
      <c r="BI224">
        <f ca="1" xml:space="preserve"> IF( AND( OFFSET($A$1, 224 - 1, 59 - 1) = "1", OFFSET($A$1, 224 - 1, 60 - 1) = "1" ), 1, IF( AND( OFFSET($A$1, 224 - 1, 59 - 1) = "1", OFFSET($A$1, 224 - 1, 60 - 1) = "0" ), 2, IF( AND( OFFSET($A$1, 224 - 1, 59 - 1) = "0", OFFSET($A$1, 224 - 1, 60 - 1) = "1" ), 3, 4 ) ) )</f>
        <v>1</v>
      </c>
    </row>
    <row r="225" spans="53:61" x14ac:dyDescent="0.35">
      <c r="BA225" s="3">
        <v>0.33356728907012867</v>
      </c>
      <c r="BB225" s="3" t="str">
        <f>"1"</f>
        <v>1</v>
      </c>
      <c r="BC225" t="str">
        <f ca="1">IF((OFFSET($A$1, 225 - 1, 53 - 1)) &gt;= (OFFSET($A$1, 69 - 1, 7 - 1)), "1","0")</f>
        <v>0</v>
      </c>
      <c r="BD225">
        <f ca="1" xml:space="preserve"> IF( AND( OFFSET($A$1, 225 - 1, 54 - 1) = "1", OFFSET($A$1, 225 - 1, 55 - 1) = "1" ), 1, IF( AND( OFFSET($A$1, 225 - 1, 54 - 1) = "1", OFFSET($A$1, 225 - 1, 55 - 1) = "0" ), 2, IF( AND( OFFSET($A$1, 225 - 1, 54 - 1) = "0", OFFSET($A$1, 225 - 1, 55 - 1) = "1" ), 3, 4 ) ) )</f>
        <v>2</v>
      </c>
      <c r="BF225" s="3">
        <v>0.60969523312656393</v>
      </c>
      <c r="BG225" s="3" t="str">
        <f>"1"</f>
        <v>1</v>
      </c>
      <c r="BH225" t="str">
        <f ca="1">IF((OFFSET($A$1, 225 - 1, 58 - 1)) &gt;= (OFFSET($A$1, 93 - 1, 7 - 1)), "1","0")</f>
        <v>1</v>
      </c>
      <c r="BI225">
        <f ca="1" xml:space="preserve"> IF( AND( OFFSET($A$1, 225 - 1, 59 - 1) = "1", OFFSET($A$1, 225 - 1, 60 - 1) = "1" ), 1, IF( AND( OFFSET($A$1, 225 - 1, 59 - 1) = "1", OFFSET($A$1, 225 - 1, 60 - 1) = "0" ), 2, IF( AND( OFFSET($A$1, 225 - 1, 59 - 1) = "0", OFFSET($A$1, 225 - 1, 60 - 1) = "1" ), 3, 4 ) ) )</f>
        <v>1</v>
      </c>
    </row>
    <row r="226" spans="53:61" x14ac:dyDescent="0.35">
      <c r="BA226" s="3">
        <v>0.60963889032558349</v>
      </c>
      <c r="BB226" s="3" t="str">
        <f>"0"</f>
        <v>0</v>
      </c>
      <c r="BC226" t="str">
        <f ca="1">IF((OFFSET($A$1, 226 - 1, 53 - 1)) &gt;= (OFFSET($A$1, 69 - 1, 7 - 1)), "1","0")</f>
        <v>1</v>
      </c>
      <c r="BD226">
        <f ca="1" xml:space="preserve"> IF( AND( OFFSET($A$1, 226 - 1, 54 - 1) = "1", OFFSET($A$1, 226 - 1, 55 - 1) = "1" ), 1, IF( AND( OFFSET($A$1, 226 - 1, 54 - 1) = "1", OFFSET($A$1, 226 - 1, 55 - 1) = "0" ), 2, IF( AND( OFFSET($A$1, 226 - 1, 54 - 1) = "0", OFFSET($A$1, 226 - 1, 55 - 1) = "1" ), 3, 4 ) ) )</f>
        <v>3</v>
      </c>
      <c r="BF226" s="3">
        <v>0.60957623742532951</v>
      </c>
      <c r="BG226" s="3" t="str">
        <f>"0"</f>
        <v>0</v>
      </c>
      <c r="BH226" t="str">
        <f ca="1">IF((OFFSET($A$1, 226 - 1, 58 - 1)) &gt;= (OFFSET($A$1, 93 - 1, 7 - 1)), "1","0")</f>
        <v>1</v>
      </c>
      <c r="BI226">
        <f ca="1" xml:space="preserve"> IF( AND( OFFSET($A$1, 226 - 1, 59 - 1) = "1", OFFSET($A$1, 226 - 1, 60 - 1) = "1" ), 1, IF( AND( OFFSET($A$1, 226 - 1, 59 - 1) = "1", OFFSET($A$1, 226 - 1, 60 - 1) = "0" ), 2, IF( AND( OFFSET($A$1, 226 - 1, 59 - 1) = "0", OFFSET($A$1, 226 - 1, 60 - 1) = "1" ), 3, 4 ) ) )</f>
        <v>3</v>
      </c>
    </row>
    <row r="227" spans="53:61" x14ac:dyDescent="0.35">
      <c r="BA227" s="3">
        <v>0.3333450235045709</v>
      </c>
      <c r="BB227" s="3" t="str">
        <f>"0"</f>
        <v>0</v>
      </c>
      <c r="BC227" t="str">
        <f ca="1">IF((OFFSET($A$1, 227 - 1, 53 - 1)) &gt;= (OFFSET($A$1, 69 - 1, 7 - 1)), "1","0")</f>
        <v>0</v>
      </c>
      <c r="BD227">
        <f ca="1" xml:space="preserve"> IF( AND( OFFSET($A$1, 227 - 1, 54 - 1) = "1", OFFSET($A$1, 227 - 1, 55 - 1) = "1" ), 1, IF( AND( OFFSET($A$1, 227 - 1, 54 - 1) = "1", OFFSET($A$1, 227 - 1, 55 - 1) = "0" ), 2, IF( AND( OFFSET($A$1, 227 - 1, 54 - 1) = "0", OFFSET($A$1, 227 - 1, 55 - 1) = "1" ), 3, 4 ) ) )</f>
        <v>4</v>
      </c>
      <c r="BF227" s="3">
        <v>0.33327475807755436</v>
      </c>
      <c r="BG227" s="3" t="str">
        <f>"0"</f>
        <v>0</v>
      </c>
      <c r="BH227" t="str">
        <f ca="1">IF((OFFSET($A$1, 227 - 1, 58 - 1)) &gt;= (OFFSET($A$1, 93 - 1, 7 - 1)), "1","0")</f>
        <v>0</v>
      </c>
      <c r="BI227">
        <f ca="1" xml:space="preserve"> IF( AND( OFFSET($A$1, 227 - 1, 59 - 1) = "1", OFFSET($A$1, 227 - 1, 60 - 1) = "1" ), 1, IF( AND( OFFSET($A$1, 227 - 1, 59 - 1) = "1", OFFSET($A$1, 227 - 1, 60 - 1) = "0" ), 2, IF( AND( OFFSET($A$1, 227 - 1, 59 - 1) = "0", OFFSET($A$1, 227 - 1, 60 - 1) = "1" ), 3, 4 ) ) )</f>
        <v>4</v>
      </c>
    </row>
    <row r="228" spans="53:61" x14ac:dyDescent="0.35">
      <c r="BA228" s="3">
        <v>0.33319862626992014</v>
      </c>
      <c r="BB228" s="3" t="str">
        <f>"1"</f>
        <v>1</v>
      </c>
      <c r="BC228" t="str">
        <f ca="1">IF((OFFSET($A$1, 228 - 1, 53 - 1)) &gt;= (OFFSET($A$1, 69 - 1, 7 - 1)), "1","0")</f>
        <v>0</v>
      </c>
      <c r="BD228">
        <f ca="1" xml:space="preserve"> IF( AND( OFFSET($A$1, 228 - 1, 54 - 1) = "1", OFFSET($A$1, 228 - 1, 55 - 1) = "1" ), 1, IF( AND( OFFSET($A$1, 228 - 1, 54 - 1) = "1", OFFSET($A$1, 228 - 1, 55 - 1) = "0" ), 2, IF( AND( OFFSET($A$1, 228 - 1, 54 - 1) = "0", OFFSET($A$1, 228 - 1, 55 - 1) = "1" ), 3, 4 ) ) )</f>
        <v>2</v>
      </c>
      <c r="BF228" s="3">
        <v>0.33311663572980316</v>
      </c>
      <c r="BG228" s="3" t="str">
        <f>"1"</f>
        <v>1</v>
      </c>
      <c r="BH228" t="str">
        <f ca="1">IF((OFFSET($A$1, 228 - 1, 58 - 1)) &gt;= (OFFSET($A$1, 93 - 1, 7 - 1)), "1","0")</f>
        <v>0</v>
      </c>
      <c r="BI228">
        <f ca="1" xml:space="preserve"> IF( AND( OFFSET($A$1, 228 - 1, 59 - 1) = "1", OFFSET($A$1, 228 - 1, 60 - 1) = "1" ), 1, IF( AND( OFFSET($A$1, 228 - 1, 59 - 1) = "1", OFFSET($A$1, 228 - 1, 60 - 1) = "0" ), 2, IF( AND( OFFSET($A$1, 228 - 1, 59 - 1) = "0", OFFSET($A$1, 228 - 1, 60 - 1) = "1" ), 3, 4 ) ) )</f>
        <v>2</v>
      </c>
    </row>
    <row r="229" spans="53:61" x14ac:dyDescent="0.35">
      <c r="BA229" s="3">
        <v>0.60916845809727582</v>
      </c>
      <c r="BB229" s="3" t="str">
        <f>"1"</f>
        <v>1</v>
      </c>
      <c r="BC229" t="str">
        <f ca="1">IF((OFFSET($A$1, 229 - 1, 53 - 1)) &gt;= (OFFSET($A$1, 69 - 1, 7 - 1)), "1","0")</f>
        <v>1</v>
      </c>
      <c r="BD229">
        <f ca="1" xml:space="preserve"> IF( AND( OFFSET($A$1, 229 - 1, 54 - 1) = "1", OFFSET($A$1, 229 - 1, 55 - 1) = "1" ), 1, IF( AND( OFFSET($A$1, 229 - 1, 54 - 1) = "1", OFFSET($A$1, 229 - 1, 55 - 1) = "0" ), 2, IF( AND( OFFSET($A$1, 229 - 1, 54 - 1) = "0", OFFSET($A$1, 229 - 1, 55 - 1) = "1" ), 3, 4 ) ) )</f>
        <v>1</v>
      </c>
      <c r="BF229" s="3">
        <v>0.60906803163317735</v>
      </c>
      <c r="BG229" s="3" t="str">
        <f>"1"</f>
        <v>1</v>
      </c>
      <c r="BH229" t="str">
        <f ca="1">IF((OFFSET($A$1, 229 - 1, 58 - 1)) &gt;= (OFFSET($A$1, 93 - 1, 7 - 1)), "1","0")</f>
        <v>1</v>
      </c>
      <c r="BI229">
        <f ca="1" xml:space="preserve"> IF( AND( OFFSET($A$1, 229 - 1, 59 - 1) = "1", OFFSET($A$1, 229 - 1, 60 - 1) = "1" ), 1, IF( AND( OFFSET($A$1, 229 - 1, 59 - 1) = "1", OFFSET($A$1, 229 - 1, 60 - 1) = "0" ), 2, IF( AND( OFFSET($A$1, 229 - 1, 59 - 1) = "0", OFFSET($A$1, 229 - 1, 60 - 1) = "1" ), 3, 4 ) ) )</f>
        <v>1</v>
      </c>
    </row>
    <row r="230" spans="53:61" x14ac:dyDescent="0.35">
      <c r="BA230" s="3">
        <v>0.60896132744037257</v>
      </c>
      <c r="BB230" s="3" t="str">
        <f>"0"</f>
        <v>0</v>
      </c>
      <c r="BC230" t="str">
        <f ca="1">IF((OFFSET($A$1, 230 - 1, 53 - 1)) &gt;= (OFFSET($A$1, 69 - 1, 7 - 1)), "1","0")</f>
        <v>1</v>
      </c>
      <c r="BD230">
        <f ca="1" xml:space="preserve"> IF( AND( OFFSET($A$1, 230 - 1, 54 - 1) = "1", OFFSET($A$1, 230 - 1, 55 - 1) = "1" ), 1, IF( AND( OFFSET($A$1, 230 - 1, 54 - 1) = "1", OFFSET($A$1, 230 - 1, 55 - 1) = "0" ), 2, IF( AND( OFFSET($A$1, 230 - 1, 54 - 1) = "0", OFFSET($A$1, 230 - 1, 55 - 1) = "1" ), 3, 4 ) ) )</f>
        <v>3</v>
      </c>
      <c r="BF230" s="3">
        <v>0.60884835158604678</v>
      </c>
      <c r="BG230" s="3" t="str">
        <f>"0"</f>
        <v>0</v>
      </c>
      <c r="BH230" t="str">
        <f ca="1">IF((OFFSET($A$1, 230 - 1, 58 - 1)) &gt;= (OFFSET($A$1, 93 - 1, 7 - 1)), "1","0")</f>
        <v>1</v>
      </c>
      <c r="BI230">
        <f ca="1" xml:space="preserve"> IF( AND( OFFSET($A$1, 230 - 1, 59 - 1) = "1", OFFSET($A$1, 230 - 1, 60 - 1) = "1" ), 1, IF( AND( OFFSET($A$1, 230 - 1, 59 - 1) = "1", OFFSET($A$1, 230 - 1, 60 - 1) = "0" ), 2, IF( AND( OFFSET($A$1, 230 - 1, 59 - 1) = "0", OFFSET($A$1, 230 - 1, 60 - 1) = "1" ), 3, 4 ) ) )</f>
        <v>3</v>
      </c>
    </row>
    <row r="231" spans="53:61" x14ac:dyDescent="0.35">
      <c r="BA231" s="3">
        <v>0.33261911082635093</v>
      </c>
      <c r="BB231" s="3" t="str">
        <f>"0"</f>
        <v>0</v>
      </c>
      <c r="BC231" t="str">
        <f ca="1">IF((OFFSET($A$1, 231 - 1, 53 - 1)) &gt;= (OFFSET($A$1, 69 - 1, 7 - 1)), "1","0")</f>
        <v>0</v>
      </c>
      <c r="BD231">
        <f ca="1" xml:space="preserve"> IF( AND( OFFSET($A$1, 231 - 1, 54 - 1) = "1", OFFSET($A$1, 231 - 1, 55 - 1) = "1" ), 1, IF( AND( OFFSET($A$1, 231 - 1, 54 - 1) = "1", OFFSET($A$1, 231 - 1, 55 - 1) = "0" ), 2, IF( AND( OFFSET($A$1, 231 - 1, 54 - 1) = "0", OFFSET($A$1, 231 - 1, 55 - 1) = "1" ), 3, 4 ) ) )</f>
        <v>4</v>
      </c>
      <c r="BF231" s="3">
        <v>0.33250216135511185</v>
      </c>
      <c r="BG231" s="3" t="str">
        <f>"0"</f>
        <v>0</v>
      </c>
      <c r="BH231" t="str">
        <f ca="1">IF((OFFSET($A$1, 231 - 1, 58 - 1)) &gt;= (OFFSET($A$1, 93 - 1, 7 - 1)), "1","0")</f>
        <v>0</v>
      </c>
      <c r="BI231">
        <f ca="1" xml:space="preserve"> IF( AND( OFFSET($A$1, 231 - 1, 59 - 1) = "1", OFFSET($A$1, 231 - 1, 60 - 1) = "1" ), 1, IF( AND( OFFSET($A$1, 231 - 1, 59 - 1) = "1", OFFSET($A$1, 231 - 1, 60 - 1) = "0" ), 2, IF( AND( OFFSET($A$1, 231 - 1, 59 - 1) = "0", OFFSET($A$1, 231 - 1, 60 - 1) = "1" ), 3, 4 ) ) )</f>
        <v>4</v>
      </c>
    </row>
    <row r="232" spans="53:61" x14ac:dyDescent="0.35">
      <c r="BA232" s="3">
        <v>0.33237942309150126</v>
      </c>
      <c r="BB232" s="3" t="str">
        <f>"0"</f>
        <v>0</v>
      </c>
      <c r="BC232" t="str">
        <f ca="1">IF((OFFSET($A$1, 232 - 1, 53 - 1)) &gt;= (OFFSET($A$1, 69 - 1, 7 - 1)), "1","0")</f>
        <v>0</v>
      </c>
      <c r="BD232">
        <f ca="1" xml:space="preserve"> IF( AND( OFFSET($A$1, 232 - 1, 54 - 1) = "1", OFFSET($A$1, 232 - 1, 55 - 1) = "1" ), 1, IF( AND( OFFSET($A$1, 232 - 1, 54 - 1) = "1", OFFSET($A$1, 232 - 1, 55 - 1) = "0" ), 2, IF( AND( OFFSET($A$1, 232 - 1, 54 - 1) = "0", OFFSET($A$1, 232 - 1, 55 - 1) = "1" ), 3, 4 ) ) )</f>
        <v>4</v>
      </c>
      <c r="BF232" s="3">
        <v>0.33225090835611015</v>
      </c>
      <c r="BG232" s="3" t="str">
        <f>"1"</f>
        <v>1</v>
      </c>
      <c r="BH232" t="str">
        <f ca="1">IF((OFFSET($A$1, 232 - 1, 58 - 1)) &gt;= (OFFSET($A$1, 93 - 1, 7 - 1)), "1","0")</f>
        <v>0</v>
      </c>
      <c r="BI232">
        <f ca="1" xml:space="preserve"> IF( AND( OFFSET($A$1, 232 - 1, 59 - 1) = "1", OFFSET($A$1, 232 - 1, 60 - 1) = "1" ), 1, IF( AND( OFFSET($A$1, 232 - 1, 59 - 1) = "1", OFFSET($A$1, 232 - 1, 60 - 1) = "0" ), 2, IF( AND( OFFSET($A$1, 232 - 1, 59 - 1) = "0", OFFSET($A$1, 232 - 1, 60 - 1) = "1" ), 3, 4 ) ) )</f>
        <v>2</v>
      </c>
    </row>
    <row r="233" spans="53:61" x14ac:dyDescent="0.35">
      <c r="BA233" s="3">
        <v>0.33211663004774677</v>
      </c>
      <c r="BB233" s="3" t="str">
        <f>"0"</f>
        <v>0</v>
      </c>
      <c r="BC233" t="str">
        <f ca="1">IF((OFFSET($A$1, 233 - 1, 53 - 1)) &gt;= (OFFSET($A$1, 69 - 1, 7 - 1)), "1","0")</f>
        <v>0</v>
      </c>
      <c r="BD233">
        <f ca="1" xml:space="preserve"> IF( AND( OFFSET($A$1, 233 - 1, 54 - 1) = "1", OFFSET($A$1, 233 - 1, 55 - 1) = "1" ), 1, IF( AND( OFFSET($A$1, 233 - 1, 54 - 1) = "1", OFFSET($A$1, 233 - 1, 55 - 1) = "0" ), 2, IF( AND( OFFSET($A$1, 233 - 1, 54 - 1) = "0", OFFSET($A$1, 233 - 1, 55 - 1) = "1" ), 3, 4 ) ) )</f>
        <v>4</v>
      </c>
      <c r="BF233" s="3">
        <v>0.60803917705295552</v>
      </c>
      <c r="BG233" s="3" t="str">
        <f>"1"</f>
        <v>1</v>
      </c>
      <c r="BH233" t="str">
        <f ca="1">IF((OFFSET($A$1, 233 - 1, 58 - 1)) &gt;= (OFFSET($A$1, 93 - 1, 7 - 1)), "1","0")</f>
        <v>1</v>
      </c>
      <c r="BI233">
        <f ca="1" xml:space="preserve"> IF( AND( OFFSET($A$1, 233 - 1, 59 - 1) = "1", OFFSET($A$1, 233 - 1, 60 - 1) = "1" ), 1, IF( AND( OFFSET($A$1, 233 - 1, 59 - 1) = "1", OFFSET($A$1, 233 - 1, 60 - 1) = "0" ), 2, IF( AND( OFFSET($A$1, 233 - 1, 59 - 1) = "0", OFFSET($A$1, 233 - 1, 60 - 1) = "1" ), 3, 4 ) ) )</f>
        <v>1</v>
      </c>
    </row>
    <row r="234" spans="53:61" x14ac:dyDescent="0.35">
      <c r="BA234" s="3">
        <v>0.33183083718914308</v>
      </c>
      <c r="BB234" s="3" t="str">
        <f>"0"</f>
        <v>0</v>
      </c>
      <c r="BC234" t="str">
        <f ca="1">IF((OFFSET($A$1, 234 - 1, 53 - 1)) &gt;= (OFFSET($A$1, 69 - 1, 7 - 1)), "1","0")</f>
        <v>0</v>
      </c>
      <c r="BD234">
        <f ca="1" xml:space="preserve"> IF( AND( OFFSET($A$1, 234 - 1, 54 - 1) = "1", OFFSET($A$1, 234 - 1, 55 - 1) = "1" ), 1, IF( AND( OFFSET($A$1, 234 - 1, 54 - 1) = "1", OFFSET($A$1, 234 - 1, 55 - 1) = "0" ), 2, IF( AND( OFFSET($A$1, 234 - 1, 54 - 1) = "0", OFFSET($A$1, 234 - 1, 55 - 1) = "1" ), 3, 4 ) ) )</f>
        <v>4</v>
      </c>
      <c r="BF234" s="3">
        <v>0.60771961283363296</v>
      </c>
      <c r="BG234" s="3" t="str">
        <f>"1"</f>
        <v>1</v>
      </c>
      <c r="BH234" t="str">
        <f ca="1">IF((OFFSET($A$1, 234 - 1, 58 - 1)) &gt;= (OFFSET($A$1, 93 - 1, 7 - 1)), "1","0")</f>
        <v>1</v>
      </c>
      <c r="BI234">
        <f ca="1" xml:space="preserve"> IF( AND( OFFSET($A$1, 234 - 1, 59 - 1) = "1", OFFSET($A$1, 234 - 1, 60 - 1) = "1" ), 1, IF( AND( OFFSET($A$1, 234 - 1, 59 - 1) = "1", OFFSET($A$1, 234 - 1, 60 - 1) = "0" ), 2, IF( AND( OFFSET($A$1, 234 - 1, 59 - 1) = "0", OFFSET($A$1, 234 - 1, 60 - 1) = "1" ), 3, 4 ) ) )</f>
        <v>1</v>
      </c>
    </row>
    <row r="235" spans="53:61" x14ac:dyDescent="0.35">
      <c r="BA235" s="3">
        <v>0.33152215921042233</v>
      </c>
      <c r="BB235" s="3" t="str">
        <f>"1"</f>
        <v>1</v>
      </c>
      <c r="BC235" t="str">
        <f ca="1">IF((OFFSET($A$1, 235 - 1, 53 - 1)) &gt;= (OFFSET($A$1, 69 - 1, 7 - 1)), "1","0")</f>
        <v>0</v>
      </c>
      <c r="BD235">
        <f ca="1" xml:space="preserve"> IF( AND( OFFSET($A$1, 235 - 1, 54 - 1) = "1", OFFSET($A$1, 235 - 1, 55 - 1) = "1" ), 1, IF( AND( OFFSET($A$1, 235 - 1, 54 - 1) = "1", OFFSET($A$1, 235 - 1, 55 - 1) = "0" ), 2, IF( AND( OFFSET($A$1, 235 - 1, 54 - 1) = "0", OFFSET($A$1, 235 - 1, 55 - 1) = "1" ), 3, 4 ) ) )</f>
        <v>2</v>
      </c>
      <c r="BF235" s="3">
        <v>0.60737524627226613</v>
      </c>
      <c r="BG235" s="3" t="str">
        <f>"0"</f>
        <v>0</v>
      </c>
      <c r="BH235" t="str">
        <f ca="1">IF((OFFSET($A$1, 235 - 1, 58 - 1)) &gt;= (OFFSET($A$1, 93 - 1, 7 - 1)), "1","0")</f>
        <v>1</v>
      </c>
      <c r="BI235">
        <f ca="1" xml:space="preserve"> IF( AND( OFFSET($A$1, 235 - 1, 59 - 1) = "1", OFFSET($A$1, 235 - 1, 60 - 1) = "1" ), 1, IF( AND( OFFSET($A$1, 235 - 1, 59 - 1) = "1", OFFSET($A$1, 235 - 1, 60 - 1) = "0" ), 2, IF( AND( OFFSET($A$1, 235 - 1, 59 - 1) = "0", OFFSET($A$1, 235 - 1, 60 - 1) = "1" ), 3, 4 ) ) )</f>
        <v>3</v>
      </c>
    </row>
    <row r="236" spans="53:61" x14ac:dyDescent="0.35">
      <c r="BA236" s="3">
        <v>0.60719378664442725</v>
      </c>
      <c r="BB236" s="3" t="str">
        <f>"0"</f>
        <v>0</v>
      </c>
      <c r="BC236" t="str">
        <f ca="1">IF((OFFSET($A$1, 236 - 1, 53 - 1)) &gt;= (OFFSET($A$1, 69 - 1, 7 - 1)), "1","0")</f>
        <v>1</v>
      </c>
      <c r="BD236">
        <f ca="1" xml:space="preserve"> IF( AND( OFFSET($A$1, 236 - 1, 54 - 1) = "1", OFFSET($A$1, 236 - 1, 55 - 1) = "1" ), 1, IF( AND( OFFSET($A$1, 236 - 1, 54 - 1) = "1", OFFSET($A$1, 236 - 1, 55 - 1) = "0" ), 2, IF( AND( OFFSET($A$1, 236 - 1, 54 - 1) = "0", OFFSET($A$1, 236 - 1, 55 - 1) = "1" ), 3, 4 ) ) )</f>
        <v>3</v>
      </c>
      <c r="BF236" s="3">
        <v>0.3310165060298117</v>
      </c>
      <c r="BG236" s="3" t="str">
        <f>"1"</f>
        <v>1</v>
      </c>
      <c r="BH236" t="str">
        <f ca="1">IF((OFFSET($A$1, 236 - 1, 58 - 1)) &gt;= (OFFSET($A$1, 93 - 1, 7 - 1)), "1","0")</f>
        <v>0</v>
      </c>
      <c r="BI236">
        <f ca="1" xml:space="preserve"> IF( AND( OFFSET($A$1, 236 - 1, 59 - 1) = "1", OFFSET($A$1, 236 - 1, 60 - 1) = "1" ), 1, IF( AND( OFFSET($A$1, 236 - 1, 59 - 1) = "1", OFFSET($A$1, 236 - 1, 60 - 1) = "0" ), 2, IF( AND( OFFSET($A$1, 236 - 1, 59 - 1) = "0", OFFSET($A$1, 236 - 1, 60 - 1) = "1" ), 3, 4 ) ) )</f>
        <v>2</v>
      </c>
    </row>
    <row r="237" spans="53:61" x14ac:dyDescent="0.35">
      <c r="BA237" s="3">
        <v>0.33083665234167819</v>
      </c>
      <c r="BB237" s="3" t="str">
        <f>"0"</f>
        <v>0</v>
      </c>
      <c r="BC237" t="str">
        <f ca="1">IF((OFFSET($A$1, 237 - 1, 53 - 1)) &gt;= (OFFSET($A$1, 69 - 1, 7 - 1)), "1","0")</f>
        <v>0</v>
      </c>
      <c r="BD237">
        <f ca="1" xml:space="preserve"> IF( AND( OFFSET($A$1, 237 - 1, 54 - 1) = "1", OFFSET($A$1, 237 - 1, 55 - 1) = "1" ), 1, IF( AND( OFFSET($A$1, 237 - 1, 54 - 1) = "1", OFFSET($A$1, 237 - 1, 55 - 1) = "0" ), 2, IF( AND( OFFSET($A$1, 237 - 1, 54 - 1) = "0", OFFSET($A$1, 237 - 1, 55 - 1) = "1" ), 3, 4 ) ) )</f>
        <v>4</v>
      </c>
      <c r="BF237" s="3">
        <v>0.60661242900495915</v>
      </c>
      <c r="BG237" s="3" t="str">
        <f>"1"</f>
        <v>1</v>
      </c>
      <c r="BH237" t="str">
        <f ca="1">IF((OFFSET($A$1, 237 - 1, 58 - 1)) &gt;= (OFFSET($A$1, 93 - 1, 7 - 1)), "1","0")</f>
        <v>1</v>
      </c>
      <c r="BI237">
        <f ca="1" xml:space="preserve"> IF( AND( OFFSET($A$1, 237 - 1, 59 - 1) = "1", OFFSET($A$1, 237 - 1, 60 - 1) = "1" ), 1, IF( AND( OFFSET($A$1, 237 - 1, 59 - 1) = "1", OFFSET($A$1, 237 - 1, 60 - 1) = "0" ), 2, IF( AND( OFFSET($A$1, 237 - 1, 59 - 1) = "0", OFFSET($A$1, 237 - 1, 60 - 1) = "1" ), 3, 4 ) ) )</f>
        <v>1</v>
      </c>
    </row>
    <row r="238" spans="53:61" x14ac:dyDescent="0.35">
      <c r="BA238" s="3">
        <v>0.33046009832857703</v>
      </c>
      <c r="BB238" s="3" t="str">
        <f>"1"</f>
        <v>1</v>
      </c>
      <c r="BC238" t="str">
        <f ca="1">IF((OFFSET($A$1, 238 - 1, 53 - 1)) &gt;= (OFFSET($A$1, 69 - 1, 7 - 1)), "1","0")</f>
        <v>0</v>
      </c>
      <c r="BD238">
        <f ca="1" xml:space="preserve"> IF( AND( OFFSET($A$1, 238 - 1, 54 - 1) = "1", OFFSET($A$1, 238 - 1, 55 - 1) = "1" ), 1, IF( AND( OFFSET($A$1, 238 - 1, 54 - 1) = "1", OFFSET($A$1, 238 - 1, 55 - 1) = "0" ), 2, IF( AND( OFFSET($A$1, 238 - 1, 54 - 1) = "0", OFFSET($A$1, 238 - 1, 55 - 1) = "1" ), 3, 4 ) ) )</f>
        <v>2</v>
      </c>
      <c r="BF238" s="3">
        <v>0.60619415458066861</v>
      </c>
      <c r="BG238" s="3" t="str">
        <f>"1"</f>
        <v>1</v>
      </c>
      <c r="BH238" t="str">
        <f ca="1">IF((OFFSET($A$1, 238 - 1, 58 - 1)) &gt;= (OFFSET($A$1, 93 - 1, 7 - 1)), "1","0")</f>
        <v>1</v>
      </c>
      <c r="BI238">
        <f ca="1" xml:space="preserve"> IF( AND( OFFSET($A$1, 238 - 1, 59 - 1) = "1", OFFSET($A$1, 238 - 1, 60 - 1) = "1" ), 1, IF( AND( OFFSET($A$1, 238 - 1, 59 - 1) = "1", OFFSET($A$1, 238 - 1, 60 - 1) = "0" ), 2, IF( AND( OFFSET($A$1, 238 - 1, 59 - 1) = "0", OFFSET($A$1, 238 - 1, 60 - 1) = "1" ), 3, 4 ) ) )</f>
        <v>1</v>
      </c>
    </row>
    <row r="239" spans="53:61" x14ac:dyDescent="0.35">
      <c r="BA239" s="3">
        <v>0.60597584241990665</v>
      </c>
      <c r="BB239" s="3" t="str">
        <f>"1"</f>
        <v>1</v>
      </c>
      <c r="BC239" t="str">
        <f ca="1">IF((OFFSET($A$1, 239 - 1, 53 - 1)) &gt;= (OFFSET($A$1, 69 - 1, 7 - 1)), "1","0")</f>
        <v>1</v>
      </c>
      <c r="BD239">
        <f ca="1" xml:space="preserve"> IF( AND( OFFSET($A$1, 239 - 1, 54 - 1) = "1", OFFSET($A$1, 239 - 1, 55 - 1) = "1" ), 1, IF( AND( OFFSET($A$1, 239 - 1, 54 - 1) = "1", OFFSET($A$1, 239 - 1, 55 - 1) = "0" ), 2, IF( AND( OFFSET($A$1, 239 - 1, 54 - 1) = "0", OFFSET($A$1, 239 - 1, 55 - 1) = "1" ), 3, 4 ) ) )</f>
        <v>1</v>
      </c>
      <c r="BF239" s="3">
        <v>0.60575143043559221</v>
      </c>
      <c r="BG239" s="3" t="str">
        <f>"1"</f>
        <v>1</v>
      </c>
      <c r="BH239" t="str">
        <f ca="1">IF((OFFSET($A$1, 239 - 1, 58 - 1)) &gt;= (OFFSET($A$1, 93 - 1, 7 - 1)), "1","0")</f>
        <v>1</v>
      </c>
      <c r="BI239">
        <f ca="1" xml:space="preserve"> IF( AND( OFFSET($A$1, 239 - 1, 59 - 1) = "1", OFFSET($A$1, 239 - 1, 60 - 1) = "1" ), 1, IF( AND( OFFSET($A$1, 239 - 1, 59 - 1) = "1", OFFSET($A$1, 239 - 1, 60 - 1) = "0" ), 2, IF( AND( OFFSET($A$1, 239 - 1, 59 - 1) = "0", OFFSET($A$1, 239 - 1, 60 - 1) = "1" ), 3, 4 ) ) )</f>
        <v>1</v>
      </c>
    </row>
    <row r="240" spans="53:61" x14ac:dyDescent="0.35">
      <c r="BA240" s="3">
        <v>0.60552093170516241</v>
      </c>
      <c r="BB240" s="3" t="str">
        <f>"0"</f>
        <v>0</v>
      </c>
      <c r="BC240" t="str">
        <f ca="1">IF((OFFSET($A$1, 240 - 1, 53 - 1)) &gt;= (OFFSET($A$1, 69 - 1, 7 - 1)), "1","0")</f>
        <v>1</v>
      </c>
      <c r="BD240">
        <f ca="1" xml:space="preserve"> IF( AND( OFFSET($A$1, 240 - 1, 54 - 1) = "1", OFFSET($A$1, 240 - 1, 55 - 1) = "1" ), 1, IF( AND( OFFSET($A$1, 240 - 1, 54 - 1) = "1", OFFSET($A$1, 240 - 1, 55 - 1) = "0" ), 2, IF( AND( OFFSET($A$1, 240 - 1, 54 - 1) = "0", OFFSET($A$1, 240 - 1, 55 - 1) = "1" ), 3, 4 ) ) )</f>
        <v>3</v>
      </c>
      <c r="BF240" s="3">
        <v>0.60528435968388361</v>
      </c>
      <c r="BG240" s="3" t="str">
        <f>"1"</f>
        <v>1</v>
      </c>
      <c r="BH240" t="str">
        <f ca="1">IF((OFFSET($A$1, 240 - 1, 58 - 1)) &gt;= (OFFSET($A$1, 93 - 1, 7 - 1)), "1","0")</f>
        <v>1</v>
      </c>
      <c r="BI240">
        <f ca="1" xml:space="preserve"> IF( AND( OFFSET($A$1, 240 - 1, 59 - 1) = "1", OFFSET($A$1, 240 - 1, 60 - 1) = "1" ), 1, IF( AND( OFFSET($A$1, 240 - 1, 59 - 1) = "1", OFFSET($A$1, 240 - 1, 60 - 1) = "0" ), 2, IF( AND( OFFSET($A$1, 240 - 1, 59 - 1) = "0", OFFSET($A$1, 240 - 1, 60 - 1) = "1" ), 3, 4 ) ) )</f>
        <v>1</v>
      </c>
    </row>
    <row r="241" spans="53:61" x14ac:dyDescent="0.35">
      <c r="BA241" s="3">
        <v>0.32919707123814707</v>
      </c>
      <c r="BB241" s="3" t="str">
        <f>"1"</f>
        <v>1</v>
      </c>
      <c r="BC241" t="str">
        <f ca="1">IF((OFFSET($A$1, 241 - 1, 53 - 1)) &gt;= (OFFSET($A$1, 69 - 1, 7 - 1)), "1","0")</f>
        <v>0</v>
      </c>
      <c r="BD241">
        <f ca="1" xml:space="preserve"> IF( AND( OFFSET($A$1, 241 - 1, 54 - 1) = "1", OFFSET($A$1, 241 - 1, 55 - 1) = "1" ), 1, IF( AND( OFFSET($A$1, 241 - 1, 54 - 1) = "1", OFFSET($A$1, 241 - 1, 55 - 1) = "0" ), 2, IF( AND( OFFSET($A$1, 241 - 1, 54 - 1) = "0", OFFSET($A$1, 241 - 1, 55 - 1) = "1" ), 3, 4 ) ) )</f>
        <v>2</v>
      </c>
      <c r="BF241" s="3">
        <v>0.60479305148507068</v>
      </c>
      <c r="BG241" s="3" t="str">
        <f>"0"</f>
        <v>0</v>
      </c>
      <c r="BH241" t="str">
        <f ca="1">IF((OFFSET($A$1, 241 - 1, 58 - 1)) &gt;= (OFFSET($A$1, 93 - 1, 7 - 1)), "1","0")</f>
        <v>1</v>
      </c>
      <c r="BI241">
        <f ca="1" xml:space="preserve"> IF( AND( OFFSET($A$1, 241 - 1, 59 - 1) = "1", OFFSET($A$1, 241 - 1, 60 - 1) = "1" ), 1, IF( AND( OFFSET($A$1, 241 - 1, 59 - 1) = "1", OFFSET($A$1, 241 - 1, 60 - 1) = "0" ), 2, IF( AND( OFFSET($A$1, 241 - 1, 59 - 1) = "0", OFFSET($A$1, 241 - 1, 60 - 1) = "1" ), 3, 4 ) ) )</f>
        <v>3</v>
      </c>
    </row>
    <row r="242" spans="53:61" x14ac:dyDescent="0.35">
      <c r="BA242" s="3">
        <v>0.6045383441163753</v>
      </c>
      <c r="BB242" s="3" t="str">
        <f>"1"</f>
        <v>1</v>
      </c>
      <c r="BC242" t="str">
        <f ca="1">IF((OFFSET($A$1, 242 - 1, 53 - 1)) &gt;= (OFFSET($A$1, 69 - 1, 7 - 1)), "1","0")</f>
        <v>1</v>
      </c>
      <c r="BD242">
        <f ca="1" xml:space="preserve"> IF( AND( OFFSET($A$1, 242 - 1, 54 - 1) = "1", OFFSET($A$1, 242 - 1, 55 - 1) = "1" ), 1, IF( AND( OFFSET($A$1, 242 - 1, 54 - 1) = "1", OFFSET($A$1, 242 - 1, 55 - 1) = "0" ), 2, IF( AND( OFFSET($A$1, 242 - 1, 54 - 1) = "0", OFFSET($A$1, 242 - 1, 55 - 1) = "1" ), 3, 4 ) ) )</f>
        <v>1</v>
      </c>
      <c r="BF242" s="3">
        <v>0.32849158957206809</v>
      </c>
      <c r="BG242" s="3" t="str">
        <f>"0"</f>
        <v>0</v>
      </c>
      <c r="BH242" t="str">
        <f ca="1">IF((OFFSET($A$1, 242 - 1, 58 - 1)) &gt;= (OFFSET($A$1, 93 - 1, 7 - 1)), "1","0")</f>
        <v>0</v>
      </c>
      <c r="BI242">
        <f ca="1" xml:space="preserve"> IF( AND( OFFSET($A$1, 242 - 1, 59 - 1) = "1", OFFSET($A$1, 242 - 1, 60 - 1) = "1" ), 1, IF( AND( OFFSET($A$1, 242 - 1, 59 - 1) = "1", OFFSET($A$1, 242 - 1, 60 - 1) = "0" ), 2, IF( AND( OFFSET($A$1, 242 - 1, 59 - 1) = "0", OFFSET($A$1, 242 - 1, 60 - 1) = "1" ), 3, 4 ) ) )</f>
        <v>4</v>
      </c>
    </row>
    <row r="243" spans="53:61" x14ac:dyDescent="0.35">
      <c r="BA243" s="3">
        <v>0.60401089772549521</v>
      </c>
      <c r="BB243" s="3" t="str">
        <f>"1"</f>
        <v>1</v>
      </c>
      <c r="BC243" t="str">
        <f ca="1">IF((OFFSET($A$1, 243 - 1, 53 - 1)) &gt;= (OFFSET($A$1, 69 - 1, 7 - 1)), "1","0")</f>
        <v>1</v>
      </c>
      <c r="BD243">
        <f ca="1" xml:space="preserve"> IF( AND( OFFSET($A$1, 243 - 1, 54 - 1) = "1", OFFSET($A$1, 243 - 1, 55 - 1) = "1" ), 1, IF( AND( OFFSET($A$1, 243 - 1, 54 - 1) = "1", OFFSET($A$1, 243 - 1, 55 - 1) = "0" ), 2, IF( AND( OFFSET($A$1, 243 - 1, 54 - 1) = "0", OFFSET($A$1, 243 - 1, 55 - 1) = "1" ), 3, 4 ) ) )</f>
        <v>1</v>
      </c>
      <c r="BF243" s="3">
        <v>0.32799429398729907</v>
      </c>
      <c r="BG243" s="3" t="str">
        <f>"0"</f>
        <v>0</v>
      </c>
      <c r="BH243" t="str">
        <f ca="1">IF((OFFSET($A$1, 243 - 1, 58 - 1)) &gt;= (OFFSET($A$1, 93 - 1, 7 - 1)), "1","0")</f>
        <v>0</v>
      </c>
      <c r="BI243">
        <f ca="1" xml:space="preserve"> IF( AND( OFFSET($A$1, 243 - 1, 59 - 1) = "1", OFFSET($A$1, 243 - 1, 60 - 1) = "1" ), 1, IF( AND( OFFSET($A$1, 243 - 1, 59 - 1) = "1", OFFSET($A$1, 243 - 1, 60 - 1) = "0" ), 2, IF( AND( OFFSET($A$1, 243 - 1, 59 - 1) = "0", OFFSET($A$1, 243 - 1, 60 - 1) = "1" ), 3, 4 ) ) )</f>
        <v>4</v>
      </c>
    </row>
    <row r="244" spans="53:61" x14ac:dyDescent="0.35">
      <c r="BA244" s="3">
        <v>0.60345951344993487</v>
      </c>
      <c r="BB244" s="3" t="str">
        <f>"1"</f>
        <v>1</v>
      </c>
      <c r="BC244" t="str">
        <f ca="1">IF((OFFSET($A$1, 244 - 1, 53 - 1)) &gt;= (OFFSET($A$1, 69 - 1, 7 - 1)), "1","0")</f>
        <v>1</v>
      </c>
      <c r="BD244">
        <f ca="1" xml:space="preserve"> IF( AND( OFFSET($A$1, 244 - 1, 54 - 1) = "1", OFFSET($A$1, 244 - 1, 55 - 1) = "1" ), 1, IF( AND( OFFSET($A$1, 244 - 1, 54 - 1) = "1", OFFSET($A$1, 244 - 1, 55 - 1) = "0" ), 2, IF( AND( OFFSET($A$1, 244 - 1, 54 - 1) = "0", OFFSET($A$1, 244 - 1, 55 - 1) = "1" ), 3, 4 ) ) )</f>
        <v>1</v>
      </c>
      <c r="BF244" s="3">
        <v>0.32747564942374469</v>
      </c>
      <c r="BG244" s="3" t="str">
        <f>"1"</f>
        <v>1</v>
      </c>
      <c r="BH244" t="str">
        <f ca="1">IF((OFFSET($A$1, 244 - 1, 58 - 1)) &gt;= (OFFSET($A$1, 93 - 1, 7 - 1)), "1","0")</f>
        <v>0</v>
      </c>
      <c r="BI244">
        <f ca="1" xml:space="preserve"> IF( AND( OFFSET($A$1, 244 - 1, 59 - 1) = "1", OFFSET($A$1, 244 - 1, 60 - 1) = "1" ), 1, IF( AND( OFFSET($A$1, 244 - 1, 59 - 1) = "1", OFFSET($A$1, 244 - 1, 60 - 1) = "0" ), 2, IF( AND( OFFSET($A$1, 244 - 1, 59 - 1) = "0", OFFSET($A$1, 244 - 1, 60 - 1) = "1" ), 3, 4 ) ) )</f>
        <v>2</v>
      </c>
    </row>
    <row r="245" spans="53:61" x14ac:dyDescent="0.35">
      <c r="BA245" s="3">
        <v>0.60288432186825236</v>
      </c>
      <c r="BB245" s="3" t="str">
        <f>"0"</f>
        <v>0</v>
      </c>
      <c r="BC245" t="str">
        <f ca="1">IF((OFFSET($A$1, 245 - 1, 53 - 1)) &gt;= (OFFSET($A$1, 69 - 1, 7 - 1)), "1","0")</f>
        <v>1</v>
      </c>
      <c r="BD245">
        <f ca="1" xml:space="preserve"> IF( AND( OFFSET($A$1, 245 - 1, 54 - 1) = "1", OFFSET($A$1, 245 - 1, 55 - 1) = "1" ), 1, IF( AND( OFFSET($A$1, 245 - 1, 54 - 1) = "1", OFFSET($A$1, 245 - 1, 55 - 1) = "0" ), 2, IF( AND( OFFSET($A$1, 245 - 1, 54 - 1) = "0", OFFSET($A$1, 245 - 1, 55 - 1) = "1" ), 3, 4 ) ) )</f>
        <v>3</v>
      </c>
      <c r="BF245" s="3">
        <v>0.60258784083670969</v>
      </c>
      <c r="BG245" s="3" t="str">
        <f>"1"</f>
        <v>1</v>
      </c>
      <c r="BH245" t="str">
        <f ca="1">IF((OFFSET($A$1, 245 - 1, 58 - 1)) &gt;= (OFFSET($A$1, 93 - 1, 7 - 1)), "1","0")</f>
        <v>1</v>
      </c>
      <c r="BI245">
        <f ca="1" xml:space="preserve"> IF( AND( OFFSET($A$1, 245 - 1, 59 - 1) = "1", OFFSET($A$1, 245 - 1, 60 - 1) = "1" ), 1, IF( AND( OFFSET($A$1, 245 - 1, 59 - 1) = "1", OFFSET($A$1, 245 - 1, 60 - 1) = "0" ), 2, IF( AND( OFFSET($A$1, 245 - 1, 59 - 1) = "0", OFFSET($A$1, 245 - 1, 60 - 1) = "1" ), 3, 4 ) ) )</f>
        <v>1</v>
      </c>
    </row>
    <row r="246" spans="53:61" x14ac:dyDescent="0.35">
      <c r="BA246" s="3">
        <v>0.32665810857334115</v>
      </c>
      <c r="BB246" s="3" t="str">
        <f>"1"</f>
        <v>1</v>
      </c>
      <c r="BC246" t="str">
        <f ca="1">IF((OFFSET($A$1, 246 - 1, 53 - 1)) &gt;= (OFFSET($A$1, 69 - 1, 7 - 1)), "1","0")</f>
        <v>0</v>
      </c>
      <c r="BD246">
        <f ca="1" xml:space="preserve"> IF( AND( OFFSET($A$1, 246 - 1, 54 - 1) = "1", OFFSET($A$1, 246 - 1, 55 - 1) = "1" ), 1, IF( AND( OFFSET($A$1, 246 - 1, 54 - 1) = "1", OFFSET($A$1, 246 - 1, 55 - 1) = "0" ), 2, IF( AND( OFFSET($A$1, 246 - 1, 54 - 1) = "0", OFFSET($A$1, 246 - 1, 55 - 1) = "1" ), 3, 4 ) ) )</f>
        <v>2</v>
      </c>
      <c r="BF246" s="3">
        <v>0.60197719669388849</v>
      </c>
      <c r="BG246" s="3" t="str">
        <f>"0"</f>
        <v>0</v>
      </c>
      <c r="BH246" t="str">
        <f ca="1">IF((OFFSET($A$1, 246 - 1, 58 - 1)) &gt;= (OFFSET($A$1, 93 - 1, 7 - 1)), "1","0")</f>
        <v>1</v>
      </c>
      <c r="BI246">
        <f ca="1" xml:space="preserve"> IF( AND( OFFSET($A$1, 246 - 1, 59 - 1) = "1", OFFSET($A$1, 246 - 1, 60 - 1) = "1" ), 1, IF( AND( OFFSET($A$1, 246 - 1, 59 - 1) = "1", OFFSET($A$1, 246 - 1, 60 - 1) = "0" ), 2, IF( AND( OFFSET($A$1, 246 - 1, 59 - 1) = "0", OFFSET($A$1, 246 - 1, 60 - 1) = "1" ), 3, 4 ) ) )</f>
        <v>3</v>
      </c>
    </row>
    <row r="247" spans="53:61" x14ac:dyDescent="0.35">
      <c r="BA247" s="3">
        <v>0.60166307011532882</v>
      </c>
      <c r="BB247" s="3" t="str">
        <f>"1"</f>
        <v>1</v>
      </c>
      <c r="BC247" t="str">
        <f ca="1">IF((OFFSET($A$1, 247 - 1, 53 - 1)) &gt;= (OFFSET($A$1, 69 - 1, 7 - 1)), "1","0")</f>
        <v>1</v>
      </c>
      <c r="BD247">
        <f ca="1" xml:space="preserve"> IF( AND( OFFSET($A$1, 247 - 1, 54 - 1) = "1", OFFSET($A$1, 247 - 1, 55 - 1) = "1" ), 1, IF( AND( OFFSET($A$1, 247 - 1, 54 - 1) = "1", OFFSET($A$1, 247 - 1, 55 - 1) = "0" ), 2, IF( AND( OFFSET($A$1, 247 - 1, 54 - 1) = "0", OFFSET($A$1, 247 - 1, 55 - 1) = "1" ), 3, 4 ) ) )</f>
        <v>1</v>
      </c>
      <c r="BF247" s="3">
        <v>0.32579373434123049</v>
      </c>
      <c r="BG247" s="3" t="str">
        <f>"1"</f>
        <v>1</v>
      </c>
      <c r="BH247" t="str">
        <f ca="1">IF((OFFSET($A$1, 247 - 1, 58 - 1)) &gt;= (OFFSET($A$1, 93 - 1, 7 - 1)), "1","0")</f>
        <v>0</v>
      </c>
      <c r="BI247">
        <f ca="1" xml:space="preserve"> IF( AND( OFFSET($A$1, 247 - 1, 59 - 1) = "1", OFFSET($A$1, 247 - 1, 60 - 1) = "1" ), 1, IF( AND( OFFSET($A$1, 247 - 1, 59 - 1) = "1", OFFSET($A$1, 247 - 1, 60 - 1) = "0" ), 2, IF( AND( OFFSET($A$1, 247 - 1, 59 - 1) = "0", OFFSET($A$1, 247 - 1, 60 - 1) = "1" ), 3, 4 ) ) )</f>
        <v>2</v>
      </c>
    </row>
    <row r="248" spans="53:61" x14ac:dyDescent="0.35">
      <c r="BA248" s="3">
        <v>0.60101730221864158</v>
      </c>
      <c r="BB248" s="3" t="str">
        <f>"0"</f>
        <v>0</v>
      </c>
      <c r="BC248" t="str">
        <f ca="1">IF((OFFSET($A$1, 248 - 1, 53 - 1)) &gt;= (OFFSET($A$1, 69 - 1, 7 - 1)), "1","0")</f>
        <v>1</v>
      </c>
      <c r="BD248">
        <f ca="1" xml:space="preserve"> IF( AND( OFFSET($A$1, 248 - 1, 54 - 1) = "1", OFFSET($A$1, 248 - 1, 55 - 1) = "1" ), 1, IF( AND( OFFSET($A$1, 248 - 1, 54 - 1) = "1", OFFSET($A$1, 248 - 1, 55 - 1) = "0" ), 2, IF( AND( OFFSET($A$1, 248 - 1, 54 - 1) = "0", OFFSET($A$1, 248 - 1, 55 - 1) = "1" ), 3, 4 ) ) )</f>
        <v>3</v>
      </c>
      <c r="BF248" s="3">
        <v>0.60068569979203179</v>
      </c>
      <c r="BG248" s="3" t="str">
        <f>"1"</f>
        <v>1</v>
      </c>
      <c r="BH248" t="str">
        <f ca="1">IF((OFFSET($A$1, 248 - 1, 58 - 1)) &gt;= (OFFSET($A$1, 93 - 1, 7 - 1)), "1","0")</f>
        <v>1</v>
      </c>
      <c r="BI248">
        <f ca="1" xml:space="preserve"> IF( AND( OFFSET($A$1, 248 - 1, 59 - 1) = "1", OFFSET($A$1, 248 - 1, 60 - 1) = "1" ), 1, IF( AND( OFFSET($A$1, 248 - 1, 59 - 1) = "1", OFFSET($A$1, 248 - 1, 60 - 1) = "0" ), 2, IF( AND( OFFSET($A$1, 248 - 1, 59 - 1) = "0", OFFSET($A$1, 248 - 1, 60 - 1) = "1" ), 3, 4 ) ) )</f>
        <v>1</v>
      </c>
    </row>
    <row r="249" spans="53:61" x14ac:dyDescent="0.35">
      <c r="BA249" s="3">
        <v>0.32488330174010516</v>
      </c>
      <c r="BB249" s="3" t="str">
        <f>"1"</f>
        <v>1</v>
      </c>
      <c r="BC249" t="str">
        <f ca="1">IF((OFFSET($A$1, 249 - 1, 53 - 1)) &gt;= (OFFSET($A$1, 69 - 1, 7 - 1)), "1","0")</f>
        <v>0</v>
      </c>
      <c r="BD249">
        <f ca="1" xml:space="preserve"> IF( AND( OFFSET($A$1, 249 - 1, 54 - 1) = "1", OFFSET($A$1, 249 - 1, 55 - 1) = "1" ), 1, IF( AND( OFFSET($A$1, 249 - 1, 54 - 1) = "1", OFFSET($A$1, 249 - 1, 55 - 1) = "0" ), 2, IF( AND( OFFSET($A$1, 249 - 1, 54 - 1) = "0", OFFSET($A$1, 249 - 1, 55 - 1) = "1" ), 3, 4 ) ) )</f>
        <v>2</v>
      </c>
      <c r="BF249" s="3">
        <v>0.60000515817771971</v>
      </c>
      <c r="BG249" s="3" t="str">
        <f>"1"</f>
        <v>1</v>
      </c>
      <c r="BH249" t="str">
        <f ca="1">IF((OFFSET($A$1, 249 - 1, 58 - 1)) &gt;= (OFFSET($A$1, 93 - 1, 7 - 1)), "1","0")</f>
        <v>1</v>
      </c>
      <c r="BI249">
        <f ca="1" xml:space="preserve"> IF( AND( OFFSET($A$1, 249 - 1, 59 - 1) = "1", OFFSET($A$1, 249 - 1, 60 - 1) = "1" ), 1, IF( AND( OFFSET($A$1, 249 - 1, 59 - 1) = "1", OFFSET($A$1, 249 - 1, 60 - 1) = "0" ), 2, IF( AND( OFFSET($A$1, 249 - 1, 59 - 1) = "0", OFFSET($A$1, 249 - 1, 60 - 1) = "1" ), 3, 4 ) ) )</f>
        <v>1</v>
      </c>
    </row>
    <row r="250" spans="53:61" x14ac:dyDescent="0.35">
      <c r="BA250" s="3">
        <v>0.59965626025919982</v>
      </c>
      <c r="BB250" s="3" t="str">
        <f>"1"</f>
        <v>1</v>
      </c>
      <c r="BC250" t="str">
        <f ca="1">IF((OFFSET($A$1, 250 - 1, 53 - 1)) &gt;= (OFFSET($A$1, 69 - 1, 7 - 1)), "1","0")</f>
        <v>1</v>
      </c>
      <c r="BD250">
        <f ca="1" xml:space="preserve"> IF( AND( OFFSET($A$1, 250 - 1, 54 - 1) = "1", OFFSET($A$1, 250 - 1, 55 - 1) = "1" ), 1, IF( AND( OFFSET($A$1, 250 - 1, 54 - 1) = "1", OFFSET($A$1, 250 - 1, 55 - 1) = "0" ), 2, IF( AND( OFFSET($A$1, 250 - 1, 54 - 1) = "0", OFFSET($A$1, 250 - 1, 55 - 1) = "1" ), 3, 4 ) ) )</f>
        <v>1</v>
      </c>
      <c r="BF250" s="3">
        <v>0.59930163910993983</v>
      </c>
      <c r="BG250" s="3" t="str">
        <f>"1"</f>
        <v>1</v>
      </c>
      <c r="BH250" t="str">
        <f ca="1">IF((OFFSET($A$1, 250 - 1, 58 - 1)) &gt;= (OFFSET($A$1, 93 - 1, 7 - 1)), "1","0")</f>
        <v>1</v>
      </c>
      <c r="BI250">
        <f ca="1" xml:space="preserve"> IF( AND( OFFSET($A$1, 250 - 1, 59 - 1) = "1", OFFSET($A$1, 250 - 1, 60 - 1) = "1" ), 1, IF( AND( OFFSET($A$1, 250 - 1, 59 - 1) = "1", OFFSET($A$1, 250 - 1, 60 - 1) = "0" ), 2, IF( AND( OFFSET($A$1, 250 - 1, 59 - 1) = "0", OFFSET($A$1, 250 - 1, 60 - 1) = "1" ), 3, 4 ) ) )</f>
        <v>1</v>
      </c>
    </row>
    <row r="251" spans="53:61" x14ac:dyDescent="0.35">
      <c r="BA251" s="3">
        <v>0.5989413163621039</v>
      </c>
      <c r="BB251" s="3" t="str">
        <f>"1"</f>
        <v>1</v>
      </c>
      <c r="BC251" t="str">
        <f ca="1">IF((OFFSET($A$1, 251 - 1, 53 - 1)) &gt;= (OFFSET($A$1, 69 - 1, 7 - 1)), "1","0")</f>
        <v>1</v>
      </c>
      <c r="BD251">
        <f ca="1" xml:space="preserve"> IF( AND( OFFSET($A$1, 251 - 1, 54 - 1) = "1", OFFSET($A$1, 251 - 1, 55 - 1) = "1" ), 1, IF( AND( OFFSET($A$1, 251 - 1, 54 - 1) = "1", OFFSET($A$1, 251 - 1, 55 - 1) = "0" ), 2, IF( AND( OFFSET($A$1, 251 - 1, 54 - 1) = "0", OFFSET($A$1, 251 - 1, 55 - 1) = "1" ), 3, 4 ) ) )</f>
        <v>1</v>
      </c>
      <c r="BF251" s="3">
        <v>0.59857531404866737</v>
      </c>
      <c r="BG251" s="3" t="str">
        <f>"0"</f>
        <v>0</v>
      </c>
      <c r="BH251" t="str">
        <f ca="1">IF((OFFSET($A$1, 251 - 1, 58 - 1)) &gt;= (OFFSET($A$1, 93 - 1, 7 - 1)), "1","0")</f>
        <v>1</v>
      </c>
      <c r="BI251">
        <f ca="1" xml:space="preserve"> IF( AND( OFFSET($A$1, 251 - 1, 59 - 1) = "1", OFFSET($A$1, 251 - 1, 60 - 1) = "1" ), 1, IF( AND( OFFSET($A$1, 251 - 1, 59 - 1) = "1", OFFSET($A$1, 251 - 1, 60 - 1) = "0" ), 2, IF( AND( OFFSET($A$1, 251 - 1, 59 - 1) = "0", OFFSET($A$1, 251 - 1, 60 - 1) = "1" ), 3, 4 ) ) )</f>
        <v>3</v>
      </c>
    </row>
    <row r="252" spans="53:61" x14ac:dyDescent="0.35">
      <c r="BA252" s="3">
        <v>0.59820365460437908</v>
      </c>
      <c r="BB252" s="3" t="str">
        <f>"1"</f>
        <v>1</v>
      </c>
      <c r="BC252" t="str">
        <f ca="1">IF((OFFSET($A$1, 252 - 1, 53 - 1)) &gt;= (OFFSET($A$1, 69 - 1, 7 - 1)), "1","0")</f>
        <v>1</v>
      </c>
      <c r="BD252">
        <f ca="1" xml:space="preserve"> IF( AND( OFFSET($A$1, 252 - 1, 54 - 1) = "1", OFFSET($A$1, 252 - 1, 55 - 1) = "1" ), 1, IF( AND( OFFSET($A$1, 252 - 1, 54 - 1) = "1", OFFSET($A$1, 252 - 1, 55 - 1) = "0" ), 2, IF( AND( OFFSET($A$1, 252 - 1, 54 - 1) = "0", OFFSET($A$1, 252 - 1, 55 - 1) = "1" ), 3, 4 ) ) )</f>
        <v>1</v>
      </c>
      <c r="BF252" s="3">
        <v>0.32258449621839719</v>
      </c>
      <c r="BG252" s="3" t="str">
        <f>"0"</f>
        <v>0</v>
      </c>
      <c r="BH252" t="str">
        <f ca="1">IF((OFFSET($A$1, 252 - 1, 58 - 1)) &gt;= (OFFSET($A$1, 93 - 1, 7 - 1)), "1","0")</f>
        <v>0</v>
      </c>
      <c r="BI252">
        <f ca="1" xml:space="preserve"> IF( AND( OFFSET($A$1, 252 - 1, 59 - 1) = "1", OFFSET($A$1, 252 - 1, 60 - 1) = "1" ), 1, IF( AND( OFFSET($A$1, 252 - 1, 59 - 1) = "1", OFFSET($A$1, 252 - 1, 60 - 1) = "0" ), 2, IF( AND( OFFSET($A$1, 252 - 1, 59 - 1) = "0", OFFSET($A$1, 252 - 1, 60 - 1) = "1" ), 3, 4 ) ) )</f>
        <v>4</v>
      </c>
    </row>
    <row r="253" spans="53:61" x14ac:dyDescent="0.35">
      <c r="BA253" s="3">
        <v>0.59744345607674987</v>
      </c>
      <c r="BB253" s="3" t="str">
        <f>"1"</f>
        <v>1</v>
      </c>
      <c r="BC253" t="str">
        <f ca="1">IF((OFFSET($A$1, 253 - 1, 53 - 1)) &gt;= (OFFSET($A$1, 69 - 1, 7 - 1)), "1","0")</f>
        <v>1</v>
      </c>
      <c r="BD253">
        <f ca="1" xml:space="preserve"> IF( AND( OFFSET($A$1, 253 - 1, 54 - 1) = "1", OFFSET($A$1, 253 - 1, 55 - 1) = "1" ), 1, IF( AND( OFFSET($A$1, 253 - 1, 54 - 1) = "1", OFFSET($A$1, 253 - 1, 55 - 1) = "0" ), 2, IF( AND( OFFSET($A$1, 253 - 1, 54 - 1) = "0", OFFSET($A$1, 253 - 1, 55 - 1) = "1" ), 3, 4 ) ) )</f>
        <v>1</v>
      </c>
      <c r="BF253" s="3">
        <v>0.32188400201164807</v>
      </c>
      <c r="BG253" s="3" t="str">
        <f>"1"</f>
        <v>1</v>
      </c>
      <c r="BH253" t="str">
        <f ca="1">IF((OFFSET($A$1, 253 - 1, 58 - 1)) &gt;= (OFFSET($A$1, 93 - 1, 7 - 1)), "1","0")</f>
        <v>0</v>
      </c>
      <c r="BI253">
        <f ca="1" xml:space="preserve"> IF( AND( OFFSET($A$1, 253 - 1, 59 - 1) = "1", OFFSET($A$1, 253 - 1, 60 - 1) = "1" ), 1, IF( AND( OFFSET($A$1, 253 - 1, 59 - 1) = "1", OFFSET($A$1, 253 - 1, 60 - 1) = "0" ), 2, IF( AND( OFFSET($A$1, 253 - 1, 59 - 1) = "0", OFFSET($A$1, 253 - 1, 60 - 1) = "1" ), 3, 4 ) ) )</f>
        <v>2</v>
      </c>
    </row>
    <row r="254" spans="53:61" x14ac:dyDescent="0.35">
      <c r="BA254" s="3">
        <v>0.59666090832801877</v>
      </c>
      <c r="BB254" s="3" t="str">
        <f>"1"</f>
        <v>1</v>
      </c>
      <c r="BC254" t="str">
        <f ca="1">IF((OFFSET($A$1, 254 - 1, 53 - 1)) &gt;= (OFFSET($A$1, 69 - 1, 7 - 1)), "1","0")</f>
        <v>1</v>
      </c>
      <c r="BD254">
        <f ca="1" xml:space="preserve"> IF( AND( OFFSET($A$1, 254 - 1, 54 - 1) = "1", OFFSET($A$1, 254 - 1, 55 - 1) = "1" ), 1, IF( AND( OFFSET($A$1, 254 - 1, 54 - 1) = "1", OFFSET($A$1, 254 - 1, 55 - 1) = "0" ), 2, IF( AND( OFFSET($A$1, 254 - 1, 54 - 1) = "0", OFFSET($A$1, 254 - 1, 55 - 1) = "1" ), 3, 4 ) ) )</f>
        <v>1</v>
      </c>
      <c r="BF254" s="3">
        <v>0.5962613138776518</v>
      </c>
      <c r="BG254" s="3" t="str">
        <f>"1"</f>
        <v>1</v>
      </c>
      <c r="BH254" t="str">
        <f ca="1">IF((OFFSET($A$1, 254 - 1, 58 - 1)) &gt;= (OFFSET($A$1, 93 - 1, 7 - 1)), "1","0")</f>
        <v>1</v>
      </c>
      <c r="BI254">
        <f ca="1" xml:space="preserve"> IF( AND( OFFSET($A$1, 254 - 1, 59 - 1) = "1", OFFSET($A$1, 254 - 1, 60 - 1) = "1" ), 1, IF( AND( OFFSET($A$1, 254 - 1, 59 - 1) = "1", OFFSET($A$1, 254 - 1, 60 - 1) = "0" ), 2, IF( AND( OFFSET($A$1, 254 - 1, 59 - 1) = "0", OFFSET($A$1, 254 - 1, 60 - 1) = "1" ), 3, 4 ) ) )</f>
        <v>1</v>
      </c>
    </row>
    <row r="255" spans="53:61" x14ac:dyDescent="0.35">
      <c r="BA255" s="3">
        <v>0.5958562053935017</v>
      </c>
      <c r="BB255" s="3" t="str">
        <f>"1"</f>
        <v>1</v>
      </c>
      <c r="BC255" t="str">
        <f ca="1">IF((OFFSET($A$1, 255 - 1, 53 - 1)) &gt;= (OFFSET($A$1, 69 - 1, 7 - 1)), "1","0")</f>
        <v>1</v>
      </c>
      <c r="BD255">
        <f ca="1" xml:space="preserve"> IF( AND( OFFSET($A$1, 255 - 1, 54 - 1) = "1", OFFSET($A$1, 255 - 1, 55 - 1) = "1" ), 1, IF( AND( OFFSET($A$1, 255 - 1, 54 - 1) = "1", OFFSET($A$1, 255 - 1, 55 - 1) = "0" ), 2, IF( AND( OFFSET($A$1, 255 - 1, 54 - 1) = "0", OFFSET($A$1, 255 - 1, 55 - 1) = "1" ), 3, 4 ) ) )</f>
        <v>1</v>
      </c>
      <c r="BF255" s="3">
        <v>0.59544560814790071</v>
      </c>
      <c r="BG255" s="3" t="str">
        <f>"0"</f>
        <v>0</v>
      </c>
      <c r="BH255" t="str">
        <f ca="1">IF((OFFSET($A$1, 255 - 1, 58 - 1)) &gt;= (OFFSET($A$1, 93 - 1, 7 - 1)), "1","0")</f>
        <v>1</v>
      </c>
      <c r="BI255">
        <f ca="1" xml:space="preserve"> IF( AND( OFFSET($A$1, 255 - 1, 59 - 1) = "1", OFFSET($A$1, 255 - 1, 60 - 1) = "1" ), 1, IF( AND( OFFSET($A$1, 255 - 1, 59 - 1) = "1", OFFSET($A$1, 255 - 1, 60 - 1) = "0" ), 2, IF( AND( OFFSET($A$1, 255 - 1, 59 - 1) = "0", OFFSET($A$1, 255 - 1, 60 - 1) = "1" ), 3, 4 ) ) )</f>
        <v>3</v>
      </c>
    </row>
    <row r="256" spans="53:61" x14ac:dyDescent="0.35">
      <c r="BA256" s="3">
        <v>0.59502954782183926</v>
      </c>
      <c r="BB256" s="3" t="str">
        <f>"1"</f>
        <v>1</v>
      </c>
      <c r="BC256" t="str">
        <f ca="1">IF((OFFSET($A$1, 256 - 1, 53 - 1)) &gt;= (OFFSET($A$1, 69 - 1, 7 - 1)), "1","0")</f>
        <v>1</v>
      </c>
      <c r="BD256">
        <f ca="1" xml:space="preserve"> IF( AND( OFFSET($A$1, 256 - 1, 54 - 1) = "1", OFFSET($A$1, 256 - 1, 55 - 1) = "1" ), 1, IF( AND( OFFSET($A$1, 256 - 1, 54 - 1) = "1", OFFSET($A$1, 256 - 1, 55 - 1) = "0" ), 2, IF( AND( OFFSET($A$1, 256 - 1, 54 - 1) = "0", OFFSET($A$1, 256 - 1, 55 - 1) = "1" ), 3, 4 ) ) )</f>
        <v>1</v>
      </c>
      <c r="BF256" s="3">
        <v>0.31967015258960357</v>
      </c>
      <c r="BG256" s="3" t="str">
        <f>"0"</f>
        <v>0</v>
      </c>
      <c r="BH256" t="str">
        <f ca="1">IF((OFFSET($A$1, 256 - 1, 58 - 1)) &gt;= (OFFSET($A$1, 93 - 1, 7 - 1)), "1","0")</f>
        <v>0</v>
      </c>
      <c r="BI256">
        <f ca="1" xml:space="preserve"> IF( AND( OFFSET($A$1, 256 - 1, 59 - 1) = "1", OFFSET($A$1, 256 - 1, 60 - 1) = "1" ), 1, IF( AND( OFFSET($A$1, 256 - 1, 59 - 1) = "1", OFFSET($A$1, 256 - 1, 60 - 1) = "0" ), 2, IF( AND( OFFSET($A$1, 256 - 1, 59 - 1) = "0", OFFSET($A$1, 256 - 1, 60 - 1) = "1" ), 3, 4 ) ) )</f>
        <v>4</v>
      </c>
    </row>
    <row r="257" spans="53:61" x14ac:dyDescent="0.35">
      <c r="BA257" s="3">
        <v>0.5941811426999789</v>
      </c>
      <c r="BB257" s="3" t="str">
        <f>"0"</f>
        <v>0</v>
      </c>
      <c r="BC257" t="str">
        <f ca="1">IF((OFFSET($A$1, 257 - 1, 53 - 1)) &gt;= (OFFSET($A$1, 69 - 1, 7 - 1)), "1","0")</f>
        <v>1</v>
      </c>
      <c r="BD257">
        <f ca="1" xml:space="preserve"> IF( AND( OFFSET($A$1, 257 - 1, 54 - 1) = "1", OFFSET($A$1, 257 - 1, 55 - 1) = "1" ), 1, IF( AND( OFFSET($A$1, 257 - 1, 54 - 1) = "1", OFFSET($A$1, 257 - 1, 55 - 1) = "0" ), 2, IF( AND( OFFSET($A$1, 257 - 1, 54 - 1) = "0", OFFSET($A$1, 257 - 1, 55 - 1) = "1" ), 3, 4 ) ) )</f>
        <v>3</v>
      </c>
      <c r="BF257" s="3">
        <v>0.31889571901983088</v>
      </c>
      <c r="BG257" s="3" t="str">
        <f>"0"</f>
        <v>0</v>
      </c>
      <c r="BH257" t="str">
        <f ca="1">IF((OFFSET($A$1, 257 - 1, 58 - 1)) &gt;= (OFFSET($A$1, 93 - 1, 7 - 1)), "1","0")</f>
        <v>0</v>
      </c>
      <c r="BI257">
        <f ca="1" xml:space="preserve"> IF( AND( OFFSET($A$1, 257 - 1, 59 - 1) = "1", OFFSET($A$1, 257 - 1, 60 - 1) = "1" ), 1, IF( AND( OFFSET($A$1, 257 - 1, 59 - 1) = "1", OFFSET($A$1, 257 - 1, 60 - 1) = "0" ), 2, IF( AND( OFFSET($A$1, 257 - 1, 59 - 1) = "0", OFFSET($A$1, 257 - 1, 60 - 1) = "1" ), 3, 4 ) ) )</f>
        <v>4</v>
      </c>
    </row>
    <row r="258" spans="53:61" x14ac:dyDescent="0.35">
      <c r="BA258" s="3">
        <v>0.31850183080901151</v>
      </c>
      <c r="BB258" s="3" t="str">
        <f>"0"</f>
        <v>0</v>
      </c>
      <c r="BC258" t="str">
        <f ca="1">IF((OFFSET($A$1, 258 - 1, 53 - 1)) &gt;= (OFFSET($A$1, 69 - 1, 7 - 1)), "1","0")</f>
        <v>0</v>
      </c>
      <c r="BD258">
        <f ca="1" xml:space="preserve"> IF( AND( OFFSET($A$1, 258 - 1, 54 - 1) = "1", OFFSET($A$1, 258 - 1, 55 - 1) = "1" ), 1, IF( AND( OFFSET($A$1, 258 - 1, 54 - 1) = "1", OFFSET($A$1, 258 - 1, 55 - 1) = "0" ), 2, IF( AND( OFFSET($A$1, 258 - 1, 54 - 1) = "0", OFFSET($A$1, 258 - 1, 55 - 1) = "1" ), 3, 4 ) ) )</f>
        <v>4</v>
      </c>
      <c r="BF258" s="3">
        <v>0.31810354652077072</v>
      </c>
      <c r="BG258" s="3" t="str">
        <f>"0"</f>
        <v>0</v>
      </c>
      <c r="BH258" t="str">
        <f ca="1">IF((OFFSET($A$1, 258 - 1, 58 - 1)) &gt;= (OFFSET($A$1, 93 - 1, 7 - 1)), "1","0")</f>
        <v>0</v>
      </c>
      <c r="BI258">
        <f ca="1" xml:space="preserve"> IF( AND( OFFSET($A$1, 258 - 1, 59 - 1) = "1", OFFSET($A$1, 258 - 1, 60 - 1) = "1" ), 1, IF( AND( OFFSET($A$1, 258 - 1, 59 - 1) = "1", OFFSET($A$1, 258 - 1, 60 - 1) = "0" ), 2, IF( AND( OFFSET($A$1, 258 - 1, 59 - 1) = "0", OFFSET($A$1, 258 - 1, 60 - 1) = "1" ), 3, 4 ) ) )</f>
        <v>4</v>
      </c>
    </row>
    <row r="259" spans="53:61" x14ac:dyDescent="0.35">
      <c r="BA259" s="3">
        <v>0.31770090531455952</v>
      </c>
      <c r="BB259" s="3" t="str">
        <f>"1"</f>
        <v>1</v>
      </c>
      <c r="BC259" t="str">
        <f ca="1">IF((OFFSET($A$1, 259 - 1, 53 - 1)) &gt;= (OFFSET($A$1, 69 - 1, 7 - 1)), "1","0")</f>
        <v>0</v>
      </c>
      <c r="BD259">
        <f ca="1" xml:space="preserve"> IF( AND( OFFSET($A$1, 259 - 1, 54 - 1) = "1", OFFSET($A$1, 259 - 1, 55 - 1) = "1" ), 1, IF( AND( OFFSET($A$1, 259 - 1, 54 - 1) = "1", OFFSET($A$1, 259 - 1, 55 - 1) = "0" ), 2, IF( AND( OFFSET($A$1, 259 - 1, 54 - 1) = "0", OFFSET($A$1, 259 - 1, 55 - 1) = "1" ), 3, 4 ) ) )</f>
        <v>2</v>
      </c>
      <c r="BF259" s="3">
        <v>0.31729394674717171</v>
      </c>
      <c r="BG259" s="3" t="str">
        <f>"1"</f>
        <v>1</v>
      </c>
      <c r="BH259" t="str">
        <f ca="1">IF((OFFSET($A$1, 259 - 1, 58 - 1)) &gt;= (OFFSET($A$1, 93 - 1, 7 - 1)), "1","0")</f>
        <v>0</v>
      </c>
      <c r="BI259">
        <f ca="1" xml:space="preserve"> IF( AND( OFFSET($A$1, 259 - 1, 59 - 1) = "1", OFFSET($A$1, 259 - 1, 60 - 1) = "1" ), 1, IF( AND( OFFSET($A$1, 259 - 1, 59 - 1) = "1", OFFSET($A$1, 259 - 1, 60 - 1) = "0" ), 2, IF( AND( OFFSET($A$1, 259 - 1, 59 - 1) = "0", OFFSET($A$1, 259 - 1, 60 - 1) = "1" ), 3, 4 ) ) )</f>
        <v>2</v>
      </c>
    </row>
    <row r="260" spans="53:61" x14ac:dyDescent="0.35">
      <c r="BA260" s="3">
        <v>0.59150761144328534</v>
      </c>
      <c r="BB260" s="3" t="str">
        <f>"0"</f>
        <v>0</v>
      </c>
      <c r="BC260" t="str">
        <f ca="1">IF((OFFSET($A$1, 260 - 1, 53 - 1)) &gt;= (OFFSET($A$1, 69 - 1, 7 - 1)), "1","0")</f>
        <v>1</v>
      </c>
      <c r="BD260">
        <f ca="1" xml:space="preserve"> IF( AND( OFFSET($A$1, 260 - 1, 54 - 1) = "1", OFFSET($A$1, 260 - 1, 55 - 1) = "1" ), 1, IF( AND( OFFSET($A$1, 260 - 1, 54 - 1) = "1", OFFSET($A$1, 260 - 1, 55 - 1) = "0" ), 2, IF( AND( OFFSET($A$1, 260 - 1, 54 - 1) = "0", OFFSET($A$1, 260 - 1, 55 - 1) = "1" ), 3, 4 ) ) )</f>
        <v>3</v>
      </c>
      <c r="BF260" s="3">
        <v>0.59104360680230883</v>
      </c>
      <c r="BG260" s="3" t="str">
        <f>"1"</f>
        <v>1</v>
      </c>
      <c r="BH260" t="str">
        <f ca="1">IF((OFFSET($A$1, 260 - 1, 58 - 1)) &gt;= (OFFSET($A$1, 93 - 1, 7 - 1)), "1","0")</f>
        <v>1</v>
      </c>
      <c r="BI260">
        <f ca="1" xml:space="preserve"> IF( AND( OFFSET($A$1, 260 - 1, 59 - 1) = "1", OFFSET($A$1, 260 - 1, 60 - 1) = "1" ), 1, IF( AND( OFFSET($A$1, 260 - 1, 59 - 1) = "1", OFFSET($A$1, 260 - 1, 60 - 1) = "0" ), 2, IF( AND( OFFSET($A$1, 260 - 1, 59 - 1) = "0", OFFSET($A$1, 260 - 1, 60 - 1) = "1" ), 3, 4 ) ) )</f>
        <v>1</v>
      </c>
    </row>
    <row r="261" spans="53:61" x14ac:dyDescent="0.35">
      <c r="BA261" s="3">
        <v>0.31604756829380692</v>
      </c>
      <c r="BB261" s="3" t="str">
        <f>"0"</f>
        <v>0</v>
      </c>
      <c r="BC261" t="str">
        <f ca="1">IF((OFFSET($A$1, 261 - 1, 53 - 1)) &gt;= (OFFSET($A$1, 69 - 1, 7 - 1)), "1","0")</f>
        <v>0</v>
      </c>
      <c r="BD261">
        <f ca="1" xml:space="preserve"> IF( AND( OFFSET($A$1, 261 - 1, 54 - 1) = "1", OFFSET($A$1, 261 - 1, 55 - 1) = "1" ), 1, IF( AND( OFFSET($A$1, 261 - 1, 54 - 1) = "1", OFFSET($A$1, 261 - 1, 55 - 1) = "0" ), 2, IF( AND( OFFSET($A$1, 261 - 1, 54 - 1) = "0", OFFSET($A$1, 261 - 1, 55 - 1) = "1" ), 3, 4 ) ) )</f>
        <v>4</v>
      </c>
      <c r="BF261" s="3">
        <v>0.59010007678564003</v>
      </c>
      <c r="BG261" s="3" t="str">
        <f>"0"</f>
        <v>0</v>
      </c>
      <c r="BH261" t="str">
        <f ca="1">IF((OFFSET($A$1, 261 - 1, 58 - 1)) &gt;= (OFFSET($A$1, 93 - 1, 7 - 1)), "1","0")</f>
        <v>1</v>
      </c>
      <c r="BI261">
        <f ca="1" xml:space="preserve"> IF( AND( OFFSET($A$1, 261 - 1, 59 - 1) = "1", OFFSET($A$1, 261 - 1, 60 - 1) = "1" ), 1, IF( AND( OFFSET($A$1, 261 - 1, 59 - 1) = "1", OFFSET($A$1, 261 - 1, 60 - 1) = "0" ), 2, IF( AND( OFFSET($A$1, 261 - 1, 59 - 1) = "0", OFFSET($A$1, 261 - 1, 60 - 1) = "1" ), 3, 4 ) ) )</f>
        <v>3</v>
      </c>
    </row>
    <row r="262" spans="53:61" x14ac:dyDescent="0.35">
      <c r="BA262" s="3">
        <v>0.31519580511831713</v>
      </c>
      <c r="BB262" s="3" t="str">
        <f>"0"</f>
        <v>0</v>
      </c>
      <c r="BC262" t="str">
        <f ca="1">IF((OFFSET($A$1, 262 - 1, 53 - 1)) &gt;= (OFFSET($A$1, 69 - 1, 7 - 1)), "1","0")</f>
        <v>0</v>
      </c>
      <c r="BD262">
        <f ca="1" xml:space="preserve"> IF( AND( OFFSET($A$1, 262 - 1, 54 - 1) = "1", OFFSET($A$1, 262 - 1, 55 - 1) = "1" ), 1, IF( AND( OFFSET($A$1, 262 - 1, 54 - 1) = "1", OFFSET($A$1, 262 - 1, 55 - 1) = "0" ), 2, IF( AND( OFFSET($A$1, 262 - 1, 54 - 1) = "0", OFFSET($A$1, 262 - 1, 55 - 1) = "1" ), 3, 4 ) ) )</f>
        <v>4</v>
      </c>
      <c r="BF262" s="3">
        <v>0.31476379464899745</v>
      </c>
      <c r="BG262" s="3" t="str">
        <f>"1"</f>
        <v>1</v>
      </c>
      <c r="BH262" t="str">
        <f ca="1">IF((OFFSET($A$1, 262 - 1, 58 - 1)) &gt;= (OFFSET($A$1, 93 - 1, 7 - 1)), "1","0")</f>
        <v>0</v>
      </c>
      <c r="BI262">
        <f ca="1" xml:space="preserve"> IF( AND( OFFSET($A$1, 262 - 1, 59 - 1) = "1", OFFSET($A$1, 262 - 1, 60 - 1) = "1" ), 1, IF( AND( OFFSET($A$1, 262 - 1, 59 - 1) = "1", OFFSET($A$1, 262 - 1, 60 - 1) = "0" ), 2, IF( AND( OFFSET($A$1, 262 - 1, 59 - 1) = "0", OFFSET($A$1, 262 - 1, 60 - 1) = "1" ), 3, 4 ) ) )</f>
        <v>2</v>
      </c>
    </row>
    <row r="263" spans="53:61" x14ac:dyDescent="0.35">
      <c r="BA263" s="3">
        <v>0.31432775438649219</v>
      </c>
      <c r="BB263" s="3" t="str">
        <f>"0"</f>
        <v>0</v>
      </c>
      <c r="BC263" t="str">
        <f ca="1">IF((OFFSET($A$1, 263 - 1, 53 - 1)) &gt;= (OFFSET($A$1, 69 - 1, 7 - 1)), "1","0")</f>
        <v>0</v>
      </c>
      <c r="BD263">
        <f ca="1" xml:space="preserve"> IF( AND( OFFSET($A$1, 263 - 1, 54 - 1) = "1", OFFSET($A$1, 263 - 1, 55 - 1) = "1" ), 1, IF( AND( OFFSET($A$1, 263 - 1, 54 - 1) = "1", OFFSET($A$1, 263 - 1, 55 - 1) = "0" ), 2, IF( AND( OFFSET($A$1, 263 - 1, 54 - 1) = "0", OFFSET($A$1, 263 - 1, 55 - 1) = "1" ), 3, 4 ) ) )</f>
        <v>4</v>
      </c>
      <c r="BF263" s="3">
        <v>0.58815179440453946</v>
      </c>
      <c r="BG263" s="3" t="str">
        <f>"0"</f>
        <v>0</v>
      </c>
      <c r="BH263" t="str">
        <f ca="1">IF((OFFSET($A$1, 263 - 1, 58 - 1)) &gt;= (OFFSET($A$1, 93 - 1, 7 - 1)), "1","0")</f>
        <v>1</v>
      </c>
      <c r="BI263">
        <f ca="1" xml:space="preserve"> IF( AND( OFFSET($A$1, 263 - 1, 59 - 1) = "1", OFFSET($A$1, 263 - 1, 60 - 1) = "1" ), 1, IF( AND( OFFSET($A$1, 263 - 1, 59 - 1) = "1", OFFSET($A$1, 263 - 1, 60 - 1) = "0" ), 2, IF( AND( OFFSET($A$1, 263 - 1, 59 - 1) = "0", OFFSET($A$1, 263 - 1, 60 - 1) = "1" ), 3, 4 ) ) )</f>
        <v>3</v>
      </c>
    </row>
    <row r="264" spans="53:61" x14ac:dyDescent="0.35">
      <c r="BA264" s="3">
        <v>0.31344375498341726</v>
      </c>
      <c r="BB264" s="3" t="str">
        <f>"1"</f>
        <v>1</v>
      </c>
      <c r="BC264" t="str">
        <f ca="1">IF((OFFSET($A$1, 264 - 1, 53 - 1)) &gt;= (OFFSET($A$1, 69 - 1, 7 - 1)), "1","0")</f>
        <v>0</v>
      </c>
      <c r="BD264">
        <f ca="1" xml:space="preserve"> IF( AND( OFFSET($A$1, 264 - 1, 54 - 1) = "1", OFFSET($A$1, 264 - 1, 55 - 1) = "1" ), 1, IF( AND( OFFSET($A$1, 264 - 1, 54 - 1) = "1", OFFSET($A$1, 264 - 1, 55 - 1) = "0" ), 2, IF( AND( OFFSET($A$1, 264 - 1, 54 - 1) = "0", OFFSET($A$1, 264 - 1, 55 - 1) = "1" ), 3, 4 ) ) )</f>
        <v>2</v>
      </c>
      <c r="BF264" s="3">
        <v>0.3129958819556517</v>
      </c>
      <c r="BG264" s="3" t="str">
        <f>"1"</f>
        <v>1</v>
      </c>
      <c r="BH264" t="str">
        <f ca="1">IF((OFFSET($A$1, 264 - 1, 58 - 1)) &gt;= (OFFSET($A$1, 93 - 1, 7 - 1)), "1","0")</f>
        <v>0</v>
      </c>
      <c r="BI264">
        <f ca="1" xml:space="preserve"> IF( AND( OFFSET($A$1, 264 - 1, 59 - 1) = "1", OFFSET($A$1, 264 - 1, 60 - 1) = "1" ), 1, IF( AND( OFFSET($A$1, 264 - 1, 59 - 1) = "1", OFFSET($A$1, 264 - 1, 60 - 1) = "0" ), 2, IF( AND( OFFSET($A$1, 264 - 1, 59 - 1) = "0", OFFSET($A$1, 264 - 1, 60 - 1) = "1" ), 3, 4 ) ) )</f>
        <v>2</v>
      </c>
    </row>
    <row r="265" spans="53:61" x14ac:dyDescent="0.35">
      <c r="BA265" s="3">
        <v>0.58663801393384241</v>
      </c>
      <c r="BB265" s="3" t="str">
        <f>"0"</f>
        <v>0</v>
      </c>
      <c r="BC265" t="str">
        <f ca="1">IF((OFFSET($A$1, 265 - 1, 53 - 1)) &gt;= (OFFSET($A$1, 69 - 1, 7 - 1)), "1","0")</f>
        <v>1</v>
      </c>
      <c r="BD265">
        <f ca="1" xml:space="preserve"> IF( AND( OFFSET($A$1, 265 - 1, 54 - 1) = "1", OFFSET($A$1, 265 - 1, 55 - 1) = "1" ), 1, IF( AND( OFFSET($A$1, 265 - 1, 54 - 1) = "1", OFFSET($A$1, 265 - 1, 55 - 1) = "0" ), 2, IF( AND( OFFSET($A$1, 265 - 1, 54 - 1) = "0", OFFSET($A$1, 265 - 1, 55 - 1) = "1" ), 3, 4 ) ) )</f>
        <v>3</v>
      </c>
      <c r="BF265" s="3">
        <v>0.58612358235957562</v>
      </c>
      <c r="BG265" s="3" t="str">
        <f>"0"</f>
        <v>0</v>
      </c>
      <c r="BH265" t="str">
        <f ca="1">IF((OFFSET($A$1, 265 - 1, 58 - 1)) &gt;= (OFFSET($A$1, 93 - 1, 7 - 1)), "1","0")</f>
        <v>1</v>
      </c>
      <c r="BI265">
        <f ca="1" xml:space="preserve"> IF( AND( OFFSET($A$1, 265 - 1, 59 - 1) = "1", OFFSET($A$1, 265 - 1, 60 - 1) = "1" ), 1, IF( AND( OFFSET($A$1, 265 - 1, 59 - 1) = "1", OFFSET($A$1, 265 - 1, 60 - 1) = "0" ), 2, IF( AND( OFFSET($A$1, 265 - 1, 59 - 1) = "0", OFFSET($A$1, 265 - 1, 60 - 1) = "1" ), 3, 4 ) ) )</f>
        <v>3</v>
      </c>
    </row>
    <row r="266" spans="53:61" x14ac:dyDescent="0.35">
      <c r="BA266" s="3">
        <v>0.31162929328653061</v>
      </c>
      <c r="BB266" s="3" t="str">
        <f>"0"</f>
        <v>0</v>
      </c>
      <c r="BC266" t="str">
        <f ca="1">IF((OFFSET($A$1, 266 - 1, 53 - 1)) &gt;= (OFFSET($A$1, 69 - 1, 7 - 1)), "1","0")</f>
        <v>0</v>
      </c>
      <c r="BD266">
        <f ca="1" xml:space="preserve"> IF( AND( OFFSET($A$1, 266 - 1, 54 - 1) = "1", OFFSET($A$1, 266 - 1, 55 - 1) = "1" ), 1, IF( AND( OFFSET($A$1, 266 - 1, 54 - 1) = "1", OFFSET($A$1, 266 - 1, 55 - 1) = "0" ), 2, IF( AND( OFFSET($A$1, 266 - 1, 54 - 1) = "0", OFFSET($A$1, 266 - 1, 55 - 1) = "1" ), 3, 4 ) ) )</f>
        <v>4</v>
      </c>
      <c r="BF266" s="3">
        <v>0.31116625457918762</v>
      </c>
      <c r="BG266" s="3" t="str">
        <f>"0"</f>
        <v>0</v>
      </c>
      <c r="BH266" t="str">
        <f ca="1">IF((OFFSET($A$1, 266 - 1, 58 - 1)) &gt;= (OFFSET($A$1, 93 - 1, 7 - 1)), "1","0")</f>
        <v>0</v>
      </c>
      <c r="BI266">
        <f ca="1" xml:space="preserve"> IF( AND( OFFSET($A$1, 266 - 1, 59 - 1) = "1", OFFSET($A$1, 266 - 1, 60 - 1) = "1" ), 1, IF( AND( OFFSET($A$1, 266 - 1, 59 - 1) = "1", OFFSET($A$1, 266 - 1, 60 - 1) = "0" ), 2, IF( AND( OFFSET($A$1, 266 - 1, 59 - 1) = "0", OFFSET($A$1, 266 - 1, 60 - 1) = "1" ), 3, 4 ) ) )</f>
        <v>4</v>
      </c>
    </row>
    <row r="267" spans="53:61" x14ac:dyDescent="0.35">
      <c r="BA267" s="3">
        <v>0.31069953577515586</v>
      </c>
      <c r="BB267" s="3" t="str">
        <f>"0"</f>
        <v>0</v>
      </c>
      <c r="BC267" t="str">
        <f ca="1">IF((OFFSET($A$1, 267 - 1, 53 - 1)) &gt;= (OFFSET($A$1, 69 - 1, 7 - 1)), "1","0")</f>
        <v>0</v>
      </c>
      <c r="BD267">
        <f ca="1" xml:space="preserve"> IF( AND( OFFSET($A$1, 267 - 1, 54 - 1) = "1", OFFSET($A$1, 267 - 1, 55 - 1) = "1" ), 1, IF( AND( OFFSET($A$1, 267 - 1, 54 - 1) = "1", OFFSET($A$1, 267 - 1, 55 - 1) = "0" ), 2, IF( AND( OFFSET($A$1, 267 - 1, 54 - 1) = "0", OFFSET($A$1, 267 - 1, 55 - 1) = "1" ), 3, 4 ) ) )</f>
        <v>4</v>
      </c>
      <c r="BF267" s="3">
        <v>0.31022918202274519</v>
      </c>
      <c r="BG267" s="3" t="str">
        <f>"0"</f>
        <v>0</v>
      </c>
      <c r="BH267" t="str">
        <f ca="1">IF((OFFSET($A$1, 267 - 1, 58 - 1)) &gt;= (OFFSET($A$1, 93 - 1, 7 - 1)), "1","0")</f>
        <v>0</v>
      </c>
      <c r="BI267">
        <f ca="1" xml:space="preserve"> IF( AND( OFFSET($A$1, 267 - 1, 59 - 1) = "1", OFFSET($A$1, 267 - 1, 60 - 1) = "1" ), 1, IF( AND( OFFSET($A$1, 267 - 1, 59 - 1) = "1", OFFSET($A$1, 267 - 1, 60 - 1) = "0" ), 2, IF( AND( OFFSET($A$1, 267 - 1, 59 - 1) = "0", OFFSET($A$1, 267 - 1, 60 - 1) = "1" ), 3, 4 ) ) )</f>
        <v>4</v>
      </c>
    </row>
    <row r="268" spans="53:61" x14ac:dyDescent="0.35">
      <c r="BA268" s="3">
        <v>0.30975523876888555</v>
      </c>
      <c r="BB268" s="3" t="str">
        <f>"0"</f>
        <v>0</v>
      </c>
      <c r="BC268" t="str">
        <f ca="1">IF((OFFSET($A$1, 268 - 1, 53 - 1)) &gt;= (OFFSET($A$1, 69 - 1, 7 - 1)), "1","0")</f>
        <v>0</v>
      </c>
      <c r="BD268">
        <f ca="1" xml:space="preserve"> IF( AND( OFFSET($A$1, 268 - 1, 54 - 1) = "1", OFFSET($A$1, 268 - 1, 55 - 1) = "1" ), 1, IF( AND( OFFSET($A$1, 268 - 1, 54 - 1) = "1", OFFSET($A$1, 268 - 1, 55 - 1) = "0" ), 2, IF( AND( OFFSET($A$1, 268 - 1, 54 - 1) = "0", OFFSET($A$1, 268 - 1, 55 - 1) = "1" ), 3, 4 ) ) )</f>
        <v>4</v>
      </c>
      <c r="BF268" s="3">
        <v>0.3092777517528274</v>
      </c>
      <c r="BG268" s="3" t="str">
        <f>"0"</f>
        <v>0</v>
      </c>
      <c r="BH268" t="str">
        <f ca="1">IF((OFFSET($A$1, 268 - 1, 58 - 1)) &gt;= (OFFSET($A$1, 93 - 1, 7 - 1)), "1","0")</f>
        <v>0</v>
      </c>
      <c r="BI268">
        <f ca="1" xml:space="preserve"> IF( AND( OFFSET($A$1, 268 - 1, 59 - 1) = "1", OFFSET($A$1, 268 - 1, 60 - 1) = "1" ), 1, IF( AND( OFFSET($A$1, 268 - 1, 59 - 1) = "1", OFFSET($A$1, 268 - 1, 60 - 1) = "0" ), 2, IF( AND( OFFSET($A$1, 268 - 1, 59 - 1) = "0", OFFSET($A$1, 268 - 1, 60 - 1) = "1" ), 3, 4 ) ) )</f>
        <v>4</v>
      </c>
    </row>
    <row r="269" spans="53:61" x14ac:dyDescent="0.35">
      <c r="BA269" s="3">
        <v>0.30879676699978531</v>
      </c>
      <c r="BB269" s="3" t="str">
        <f>"1"</f>
        <v>1</v>
      </c>
      <c r="BC269" t="str">
        <f ca="1">IF((OFFSET($A$1, 269 - 1, 53 - 1)) &gt;= (OFFSET($A$1, 69 - 1, 7 - 1)), "1","0")</f>
        <v>0</v>
      </c>
      <c r="BD269">
        <f ca="1" xml:space="preserve"> IF( AND( OFFSET($A$1, 269 - 1, 54 - 1) = "1", OFFSET($A$1, 269 - 1, 55 - 1) = "1" ), 1, IF( AND( OFFSET($A$1, 269 - 1, 54 - 1) = "1", OFFSET($A$1, 269 - 1, 55 - 1) = "0" ), 2, IF( AND( OFFSET($A$1, 269 - 1, 54 - 1) = "0", OFFSET($A$1, 269 - 1, 55 - 1) = "1" ), 3, 4 ) ) )</f>
        <v>2</v>
      </c>
      <c r="BF269" s="3">
        <v>0.30831233081454068</v>
      </c>
      <c r="BG269" s="3" t="str">
        <f>"1"</f>
        <v>1</v>
      </c>
      <c r="BH269" t="str">
        <f ca="1">IF((OFFSET($A$1, 269 - 1, 58 - 1)) &gt;= (OFFSET($A$1, 93 - 1, 7 - 1)), "1","0")</f>
        <v>0</v>
      </c>
      <c r="BI269">
        <f ca="1" xml:space="preserve"> IF( AND( OFFSET($A$1, 269 - 1, 59 - 1) = "1", OFFSET($A$1, 269 - 1, 60 - 1) = "1" ), 1, IF( AND( OFFSET($A$1, 269 - 1, 59 - 1) = "1", OFFSET($A$1, 269 - 1, 60 - 1) = "0" ), 2, IF( AND( OFFSET($A$1, 269 - 1, 59 - 1) = "0", OFFSET($A$1, 269 - 1, 60 - 1) = "1" ), 3, 4 ) ) )</f>
        <v>2</v>
      </c>
    </row>
    <row r="270" spans="53:61" x14ac:dyDescent="0.35">
      <c r="BA270" s="3">
        <v>0.58127908361580483</v>
      </c>
      <c r="BB270" s="3" t="str">
        <f>"1"</f>
        <v>1</v>
      </c>
      <c r="BC270" t="str">
        <f ca="1">IF((OFFSET($A$1, 270 - 1, 53 - 1)) &gt;= (OFFSET($A$1, 69 - 1, 7 - 1)), "1","0")</f>
        <v>1</v>
      </c>
      <c r="BD270">
        <f ca="1" xml:space="preserve"> IF( AND( OFFSET($A$1, 270 - 1, 54 - 1) = "1", OFFSET($A$1, 270 - 1, 55 - 1) = "1" ), 1, IF( AND( OFFSET($A$1, 270 - 1, 54 - 1) = "1", OFFSET($A$1, 270 - 1, 55 - 1) = "0" ), 2, IF( AND( OFFSET($A$1, 270 - 1, 54 - 1) = "0", OFFSET($A$1, 270 - 1, 55 - 1) = "1" ), 3, 4 ) ) )</f>
        <v>1</v>
      </c>
      <c r="BF270" s="3">
        <v>0.58071762035773034</v>
      </c>
      <c r="BG270" s="3" t="str">
        <f>"1"</f>
        <v>1</v>
      </c>
      <c r="BH270" t="str">
        <f ca="1">IF((OFFSET($A$1, 270 - 1, 58 - 1)) &gt;= (OFFSET($A$1, 93 - 1, 7 - 1)), "1","0")</f>
        <v>1</v>
      </c>
      <c r="BI270">
        <f ca="1" xml:space="preserve"> IF( AND( OFFSET($A$1, 270 - 1, 59 - 1) = "1", OFFSET($A$1, 270 - 1, 60 - 1) = "1" ), 1, IF( AND( OFFSET($A$1, 270 - 1, 59 - 1) = "1", OFFSET($A$1, 270 - 1, 60 - 1) = "0" ), 2, IF( AND( OFFSET($A$1, 270 - 1, 59 - 1) = "0", OFFSET($A$1, 270 - 1, 60 - 1) = "1" ), 3, 4 ) ) )</f>
        <v>1</v>
      </c>
    </row>
    <row r="271" spans="53:61" x14ac:dyDescent="0.35">
      <c r="BA271" s="3">
        <v>0.5801516565980116</v>
      </c>
      <c r="BB271" s="3" t="str">
        <f>"1"</f>
        <v>1</v>
      </c>
      <c r="BC271" t="str">
        <f ca="1">IF((OFFSET($A$1, 271 - 1, 53 - 1)) &gt;= (OFFSET($A$1, 69 - 1, 7 - 1)), "1","0")</f>
        <v>1</v>
      </c>
      <c r="BD271">
        <f ca="1" xml:space="preserve"> IF( AND( OFFSET($A$1, 271 - 1, 54 - 1) = "1", OFFSET($A$1, 271 - 1, 55 - 1) = "1" ), 1, IF( AND( OFFSET($A$1, 271 - 1, 54 - 1) = "1", OFFSET($A$1, 271 - 1, 55 - 1) = "0" ), 2, IF( AND( OFFSET($A$1, 271 - 1, 54 - 1) = "0", OFFSET($A$1, 271 - 1, 55 - 1) = "1" ), 3, 4 ) ) )</f>
        <v>1</v>
      </c>
      <c r="BF271" s="3">
        <v>0.57958123082794</v>
      </c>
      <c r="BG271" s="3" t="str">
        <f>"1"</f>
        <v>1</v>
      </c>
      <c r="BH271" t="str">
        <f ca="1">IF((OFFSET($A$1, 271 - 1, 58 - 1)) &gt;= (OFFSET($A$1, 93 - 1, 7 - 1)), "1","0")</f>
        <v>1</v>
      </c>
      <c r="BI271">
        <f ca="1" xml:space="preserve"> IF( AND( OFFSET($A$1, 271 - 1, 59 - 1) = "1", OFFSET($A$1, 271 - 1, 60 - 1) = "1" ), 1, IF( AND( OFFSET($A$1, 271 - 1, 59 - 1) = "1", OFFSET($A$1, 271 - 1, 60 - 1) = "0" ), 2, IF( AND( OFFSET($A$1, 271 - 1, 59 - 1) = "0", OFFSET($A$1, 271 - 1, 60 - 1) = "1" ), 3, 4 ) ) )</f>
        <v>1</v>
      </c>
    </row>
    <row r="272" spans="53:61" x14ac:dyDescent="0.35">
      <c r="BA272" s="3">
        <v>0.57900638194664877</v>
      </c>
      <c r="BB272" s="3" t="str">
        <f>"0"</f>
        <v>0</v>
      </c>
      <c r="BC272" t="str">
        <f ca="1">IF((OFFSET($A$1, 272 - 1, 53 - 1)) &gt;= (OFFSET($A$1, 69 - 1, 7 - 1)), "1","0")</f>
        <v>1</v>
      </c>
      <c r="BD272">
        <f ca="1" xml:space="preserve"> IF( AND( OFFSET($A$1, 272 - 1, 54 - 1) = "1", OFFSET($A$1, 272 - 1, 55 - 1) = "1" ), 1, IF( AND( OFFSET($A$1, 272 - 1, 54 - 1) = "1", OFFSET($A$1, 272 - 1, 55 - 1) = "0" ), 2, IF( AND( OFFSET($A$1, 272 - 1, 54 - 1) = "0", OFFSET($A$1, 272 - 1, 55 - 1) = "1" ), 3, 4 ) ) )</f>
        <v>3</v>
      </c>
      <c r="BF272" s="3">
        <v>0.57842714926002825</v>
      </c>
      <c r="BG272" s="3" t="str">
        <f>"1"</f>
        <v>1</v>
      </c>
      <c r="BH272" t="str">
        <f ca="1">IF((OFFSET($A$1, 272 - 1, 58 - 1)) &gt;= (OFFSET($A$1, 93 - 1, 7 - 1)), "1","0")</f>
        <v>1</v>
      </c>
      <c r="BI272">
        <f ca="1" xml:space="preserve"> IF( AND( OFFSET($A$1, 272 - 1, 59 - 1) = "1", OFFSET($A$1, 272 - 1, 60 - 1) = "1" ), 1, IF( AND( OFFSET($A$1, 272 - 1, 59 - 1) = "1", OFFSET($A$1, 272 - 1, 60 - 1) = "0" ), 2, IF( AND( OFFSET($A$1, 272 - 1, 59 - 1) = "0", OFFSET($A$1, 272 - 1, 60 - 1) = "1" ), 3, 4 ) ) )</f>
        <v>1</v>
      </c>
    </row>
    <row r="273" spans="53:61" x14ac:dyDescent="0.35">
      <c r="BA273" s="3">
        <v>0.30482858272874758</v>
      </c>
      <c r="BB273" s="3" t="str">
        <f>"1"</f>
        <v>1</v>
      </c>
      <c r="BC273" t="str">
        <f ca="1">IF((OFFSET($A$1, 273 - 1, 53 - 1)) &gt;= (OFFSET($A$1, 69 - 1, 7 - 1)), "1","0")</f>
        <v>0</v>
      </c>
      <c r="BD273">
        <f ca="1" xml:space="preserve"> IF( AND( OFFSET($A$1, 273 - 1, 54 - 1) = "1", OFFSET($A$1, 273 - 1, 55 - 1) = "1" ), 1, IF( AND( OFFSET($A$1, 273 - 1, 54 - 1) = "1", OFFSET($A$1, 273 - 1, 55 - 1) = "0" ), 2, IF( AND( OFFSET($A$1, 273 - 1, 54 - 1) = "0", OFFSET($A$1, 273 - 1, 55 - 1) = "1" ), 3, 4 ) ) )</f>
        <v>2</v>
      </c>
      <c r="BF273" s="3">
        <v>0.57725569172101376</v>
      </c>
      <c r="BG273" s="3" t="str">
        <f>"0"</f>
        <v>0</v>
      </c>
      <c r="BH273" t="str">
        <f ca="1">IF((OFFSET($A$1, 273 - 1, 58 - 1)) &gt;= (OFFSET($A$1, 93 - 1, 7 - 1)), "1","0")</f>
        <v>1</v>
      </c>
      <c r="BI273">
        <f ca="1" xml:space="preserve"> IF( AND( OFFSET($A$1, 273 - 1, 59 - 1) = "1", OFFSET($A$1, 273 - 1, 60 - 1) = "1" ), 1, IF( AND( OFFSET($A$1, 273 - 1, 59 - 1) = "1", OFFSET($A$1, 273 - 1, 60 - 1) = "0" ), 2, IF( AND( OFFSET($A$1, 273 - 1, 59 - 1) = "0", OFFSET($A$1, 273 - 1, 60 - 1) = "1" ), 3, 4 ) ) )</f>
        <v>3</v>
      </c>
    </row>
    <row r="274" spans="53:61" x14ac:dyDescent="0.35">
      <c r="BA274" s="3">
        <v>0.57666354750322701</v>
      </c>
      <c r="BB274" s="3" t="str">
        <f>"0"</f>
        <v>0</v>
      </c>
      <c r="BC274" t="str">
        <f ca="1">IF((OFFSET($A$1, 274 - 1, 53 - 1)) &gt;= (OFFSET($A$1, 69 - 1, 7 - 1)), "1","0")</f>
        <v>1</v>
      </c>
      <c r="BD274">
        <f ca="1" xml:space="preserve"> IF( AND( OFFSET($A$1, 274 - 1, 54 - 1) = "1", OFFSET($A$1, 274 - 1, 55 - 1) = "1" ), 1, IF( AND( OFFSET($A$1, 274 - 1, 54 - 1) = "1", OFFSET($A$1, 274 - 1, 55 - 1) = "0" ), 2, IF( AND( OFFSET($A$1, 274 - 1, 54 - 1) = "0", OFFSET($A$1, 274 - 1, 55 - 1) = "1" ), 3, 4 ) ) )</f>
        <v>3</v>
      </c>
      <c r="BF274" s="3">
        <v>0.30328851409974278</v>
      </c>
      <c r="BG274" s="3" t="str">
        <f>"0"</f>
        <v>0</v>
      </c>
      <c r="BH274" t="str">
        <f ca="1">IF((OFFSET($A$1, 274 - 1, 58 - 1)) &gt;= (OFFSET($A$1, 93 - 1, 7 - 1)), "1","0")</f>
        <v>0</v>
      </c>
      <c r="BI274">
        <f ca="1" xml:space="preserve"> IF( AND( OFFSET($A$1, 274 - 1, 59 - 1) = "1", OFFSET($A$1, 274 - 1, 60 - 1) = "1" ), 1, IF( AND( OFFSET($A$1, 274 - 1, 59 - 1) = "1", OFFSET($A$1, 274 - 1, 60 - 1) = "0" ), 2, IF( AND( OFFSET($A$1, 274 - 1, 59 - 1) = "0", OFFSET($A$1, 274 - 1, 60 - 1) = "1" ), 3, 4 ) ) )</f>
        <v>4</v>
      </c>
    </row>
    <row r="275" spans="53:61" x14ac:dyDescent="0.35">
      <c r="BA275" s="3">
        <v>0.30276924169476849</v>
      </c>
      <c r="BB275" s="3" t="str">
        <f>"1"</f>
        <v>1</v>
      </c>
      <c r="BC275" t="str">
        <f ca="1">IF((OFFSET($A$1, 275 - 1, 53 - 1)) &gt;= (OFFSET($A$1, 69 - 1, 7 - 1)), "1","0")</f>
        <v>0</v>
      </c>
      <c r="BD275">
        <f ca="1" xml:space="preserve"> IF( AND( OFFSET($A$1, 275 - 1, 54 - 1) = "1", OFFSET($A$1, 275 - 1, 55 - 1) = "1" ), 1, IF( AND( OFFSET($A$1, 275 - 1, 54 - 1) = "1", OFFSET($A$1, 275 - 1, 55 - 1) = "0" ), 2, IF( AND( OFFSET($A$1, 275 - 1, 54 - 1) = "0", OFFSET($A$1, 275 - 1, 55 - 1) = "1" ), 3, 4 ) ) )</f>
        <v>2</v>
      </c>
      <c r="BF275" s="3">
        <v>0.30224709293312985</v>
      </c>
      <c r="BG275" s="3" t="str">
        <f>"0"</f>
        <v>0</v>
      </c>
      <c r="BH275" t="str">
        <f ca="1">IF((OFFSET($A$1, 275 - 1, 58 - 1)) &gt;= (OFFSET($A$1, 93 - 1, 7 - 1)), "1","0")</f>
        <v>0</v>
      </c>
      <c r="BI275">
        <f ca="1" xml:space="preserve"> IF( AND( OFFSET($A$1, 275 - 1, 59 - 1) = "1", OFFSET($A$1, 275 - 1, 60 - 1) = "1" ), 1, IF( AND( OFFSET($A$1, 275 - 1, 59 - 1) = "1", OFFSET($A$1, 275 - 1, 60 - 1) = "0" ), 2, IF( AND( OFFSET($A$1, 275 - 1, 59 - 1) = "0", OFFSET($A$1, 275 - 1, 60 - 1) = "1" ), 3, 4 ) ) )</f>
        <v>4</v>
      </c>
    </row>
    <row r="276" spans="53:61" x14ac:dyDescent="0.35">
      <c r="BA276" s="3">
        <v>0.57425316043900299</v>
      </c>
      <c r="BB276" s="3" t="str">
        <f>"1"</f>
        <v>1</v>
      </c>
      <c r="BC276" t="str">
        <f ca="1">IF((OFFSET($A$1, 276 - 1, 53 - 1)) &gt;= (OFFSET($A$1, 69 - 1, 7 - 1)), "1","0")</f>
        <v>1</v>
      </c>
      <c r="BD276">
        <f ca="1" xml:space="preserve"> IF( AND( OFFSET($A$1, 276 - 1, 54 - 1) = "1", OFFSET($A$1, 276 - 1, 55 - 1) = "1" ), 1, IF( AND( OFFSET($A$1, 276 - 1, 54 - 1) = "1", OFFSET($A$1, 276 - 1, 55 - 1) = "0" ), 2, IF( AND( OFFSET($A$1, 276 - 1, 54 - 1) = "0", OFFSET($A$1, 276 - 1, 55 - 1) = "1" ), 3, 4 ) ) )</f>
        <v>1</v>
      </c>
      <c r="BF276" s="3">
        <v>0.30119436387673398</v>
      </c>
      <c r="BG276" s="3" t="str">
        <f>"0"</f>
        <v>0</v>
      </c>
      <c r="BH276" t="str">
        <f ca="1">IF((OFFSET($A$1, 276 - 1, 58 - 1)) &gt;= (OFFSET($A$1, 93 - 1, 7 - 1)), "1","0")</f>
        <v>0</v>
      </c>
      <c r="BI276">
        <f ca="1" xml:space="preserve"> IF( AND( OFFSET($A$1, 276 - 1, 59 - 1) = "1", OFFSET($A$1, 276 - 1, 60 - 1) = "1" ), 1, IF( AND( OFFSET($A$1, 276 - 1, 59 - 1) = "1", OFFSET($A$1, 276 - 1, 60 - 1) = "0" ), 2, IF( AND( OFFSET($A$1, 276 - 1, 59 - 1) = "0", OFFSET($A$1, 276 - 1, 60 - 1) = "1" ), 3, 4 ) ) )</f>
        <v>4</v>
      </c>
    </row>
    <row r="277" spans="53:61" x14ac:dyDescent="0.35">
      <c r="BA277" s="3">
        <v>0.57302346900887602</v>
      </c>
      <c r="BB277" s="3" t="str">
        <f>"0"</f>
        <v>0</v>
      </c>
      <c r="BC277" t="str">
        <f ca="1">IF((OFFSET($A$1, 277 - 1, 53 - 1)) &gt;= (OFFSET($A$1, 69 - 1, 7 - 1)), "1","0")</f>
        <v>1</v>
      </c>
      <c r="BD277">
        <f ca="1" xml:space="preserve"> IF( AND( OFFSET($A$1, 277 - 1, 54 - 1) = "1", OFFSET($A$1, 277 - 1, 55 - 1) = "1" ), 1, IF( AND( OFFSET($A$1, 277 - 1, 54 - 1) = "1", OFFSET($A$1, 277 - 1, 55 - 1) = "0" ), 2, IF( AND( OFFSET($A$1, 277 - 1, 54 - 1) = "0", OFFSET($A$1, 277 - 1, 55 - 1) = "1" ), 3, 4 ) ) )</f>
        <v>3</v>
      </c>
      <c r="BF277" s="3">
        <v>0.30013072382050754</v>
      </c>
      <c r="BG277" s="3" t="str">
        <f>"0"</f>
        <v>0</v>
      </c>
      <c r="BH277" t="str">
        <f ca="1">IF((OFFSET($A$1, 277 - 1, 58 - 1)) &gt;= (OFFSET($A$1, 93 - 1, 7 - 1)), "1","0")</f>
        <v>0</v>
      </c>
      <c r="BI277">
        <f ca="1" xml:space="preserve"> IF( AND( OFFSET($A$1, 277 - 1, 59 - 1) = "1", OFFSET($A$1, 277 - 1, 60 - 1) = "1" ), 1, IF( AND( OFFSET($A$1, 277 - 1, 59 - 1) = "1", OFFSET($A$1, 277 - 1, 60 - 1) = "0" ), 2, IF( AND( OFFSET($A$1, 277 - 1, 59 - 1) = "0", OFFSET($A$1, 277 - 1, 60 - 1) = "1" ), 3, 4 ) ) )</f>
        <v>4</v>
      </c>
    </row>
    <row r="278" spans="53:61" x14ac:dyDescent="0.35">
      <c r="BA278" s="3">
        <v>0.29959493695363104</v>
      </c>
      <c r="BB278" s="3" t="str">
        <f>"0"</f>
        <v>0</v>
      </c>
      <c r="BC278" t="str">
        <f ca="1">IF((OFFSET($A$1, 278 - 1, 53 - 1)) &gt;= (OFFSET($A$1, 69 - 1, 7 - 1)), "1","0")</f>
        <v>0</v>
      </c>
      <c r="BD278">
        <f ca="1" xml:space="preserve"> IF( AND( OFFSET($A$1, 278 - 1, 54 - 1) = "1", OFFSET($A$1, 278 - 1, 55 - 1) = "1" ), 1, IF( AND( OFFSET($A$1, 278 - 1, 54 - 1) = "1", OFFSET($A$1, 278 - 1, 55 - 1) = "0" ), 2, IF( AND( OFFSET($A$1, 278 - 1, 54 - 1) = "0", OFFSET($A$1, 278 - 1, 55 - 1) = "1" ), 3, 4 ) ) )</f>
        <v>4</v>
      </c>
      <c r="BF278" s="3">
        <v>0.29905657240440459</v>
      </c>
      <c r="BG278" s="3" t="str">
        <f>"1"</f>
        <v>1</v>
      </c>
      <c r="BH278" t="str">
        <f ca="1">IF((OFFSET($A$1, 278 - 1, 58 - 1)) &gt;= (OFFSET($A$1, 93 - 1, 7 - 1)), "1","0")</f>
        <v>0</v>
      </c>
      <c r="BI278">
        <f ca="1" xml:space="preserve"> IF( AND( OFFSET($A$1, 278 - 1, 59 - 1) = "1", OFFSET($A$1, 278 - 1, 60 - 1) = "1" ), 1, IF( AND( OFFSET($A$1, 278 - 1, 59 - 1) = "1", OFFSET($A$1, 278 - 1, 60 - 1) = "0" ), 2, IF( AND( OFFSET($A$1, 278 - 1, 59 - 1) = "0", OFFSET($A$1, 278 - 1, 60 - 1) = "1" ), 3, 4 ) ) )</f>
        <v>2</v>
      </c>
    </row>
    <row r="279" spans="53:61" x14ac:dyDescent="0.35">
      <c r="BA279" s="3">
        <v>0.29851568052079758</v>
      </c>
      <c r="BB279" s="3" t="str">
        <f>"0"</f>
        <v>0</v>
      </c>
      <c r="BC279" t="str">
        <f ca="1">IF((OFFSET($A$1, 279 - 1, 53 - 1)) &gt;= (OFFSET($A$1, 69 - 1, 7 - 1)), "1","0")</f>
        <v>0</v>
      </c>
      <c r="BD279">
        <f ca="1" xml:space="preserve"> IF( AND( OFFSET($A$1, 279 - 1, 54 - 1) = "1", OFFSET($A$1, 279 - 1, 55 - 1) = "1" ), 1, IF( AND( OFFSET($A$1, 279 - 1, 54 - 1) = "1", OFFSET($A$1, 279 - 1, 55 - 1) = "0" ), 2, IF( AND( OFFSET($A$1, 279 - 1, 54 - 1) = "0", OFFSET($A$1, 279 - 1, 55 - 1) = "1" ), 3, 4 ) ) )</f>
        <v>4</v>
      </c>
      <c r="BF279" s="3">
        <v>0.56988055990500952</v>
      </c>
      <c r="BG279" s="3" t="str">
        <f>"0"</f>
        <v>0</v>
      </c>
      <c r="BH279" t="str">
        <f ca="1">IF((OFFSET($A$1, 279 - 1, 58 - 1)) &gt;= (OFFSET($A$1, 93 - 1, 7 - 1)), "1","0")</f>
        <v>1</v>
      </c>
      <c r="BI279">
        <f ca="1" xml:space="preserve"> IF( AND( OFFSET($A$1, 279 - 1, 59 - 1) = "1", OFFSET($A$1, 279 - 1, 60 - 1) = "1" ), 1, IF( AND( OFFSET($A$1, 279 - 1, 59 - 1) = "1", OFFSET($A$1, 279 - 1, 60 - 1) = "0" ), 2, IF( AND( OFFSET($A$1, 279 - 1, 59 - 1) = "0", OFFSET($A$1, 279 - 1, 60 - 1) = "1" ), 3, 4 ) ) )</f>
        <v>3</v>
      </c>
    </row>
    <row r="280" spans="53:61" x14ac:dyDescent="0.35">
      <c r="BA280" s="3">
        <v>0.29742651685446597</v>
      </c>
      <c r="BB280" s="3" t="str">
        <f>"0"</f>
        <v>0</v>
      </c>
      <c r="BC280" t="str">
        <f ca="1">IF((OFFSET($A$1, 280 - 1, 53 - 1)) &gt;= (OFFSET($A$1, 69 - 1, 7 - 1)), "1","0")</f>
        <v>0</v>
      </c>
      <c r="BD280">
        <f ca="1" xml:space="preserve"> IF( AND( OFFSET($A$1, 280 - 1, 54 - 1) = "1", OFFSET($A$1, 280 - 1, 55 - 1) = "1" ), 1, IF( AND( OFFSET($A$1, 280 - 1, 54 - 1) = "1", OFFSET($A$1, 280 - 1, 55 - 1) = "0" ), 2, IF( AND( OFFSET($A$1, 280 - 1, 54 - 1) = "0", OFFSET($A$1, 280 - 1, 55 - 1) = "1" ), 3, 4 ) ) )</f>
        <v>4</v>
      </c>
      <c r="BF280" s="3">
        <v>0.29687834645865147</v>
      </c>
      <c r="BG280" s="3" t="str">
        <f>"1"</f>
        <v>1</v>
      </c>
      <c r="BH280" t="str">
        <f ca="1">IF((OFFSET($A$1, 280 - 1, 58 - 1)) &gt;= (OFFSET($A$1, 93 - 1, 7 - 1)), "1","0")</f>
        <v>0</v>
      </c>
      <c r="BI280">
        <f ca="1" xml:space="preserve"> IF( AND( OFFSET($A$1, 280 - 1, 59 - 1) = "1", OFFSET($A$1, 280 - 1, 60 - 1) = "1" ), 1, IF( AND( OFFSET($A$1, 280 - 1, 59 - 1) = "1", OFFSET($A$1, 280 - 1, 60 - 1) = "0" ), 2, IF( AND( OFFSET($A$1, 280 - 1, 59 - 1) = "0", OFFSET($A$1, 280 - 1, 60 - 1) = "1" ), 3, 4 ) ) )</f>
        <v>2</v>
      </c>
    </row>
    <row r="281" spans="53:61" x14ac:dyDescent="0.35">
      <c r="BA281" s="3">
        <v>0.29632785148813467</v>
      </c>
      <c r="BB281" s="3" t="str">
        <f>"1"</f>
        <v>1</v>
      </c>
      <c r="BC281" t="str">
        <f ca="1">IF((OFFSET($A$1, 281 - 1, 53 - 1)) &gt;= (OFFSET($A$1, 69 - 1, 7 - 1)), "1","0")</f>
        <v>0</v>
      </c>
      <c r="BD281">
        <f ca="1" xml:space="preserve"> IF( AND( OFFSET($A$1, 281 - 1, 54 - 1) = "1", OFFSET($A$1, 281 - 1, 55 - 1) = "1" ), 1, IF( AND( OFFSET($A$1, 281 - 1, 54 - 1) = "1", OFFSET($A$1, 281 - 1, 55 - 1) = "0" ), 2, IF( AND( OFFSET($A$1, 281 - 1, 54 - 1) = "0", OFFSET($A$1, 281 - 1, 55 - 1) = "1" ), 3, 4 ) ) )</f>
        <v>2</v>
      </c>
      <c r="BF281" s="3">
        <v>0.56729853633370098</v>
      </c>
      <c r="BG281" s="3" t="str">
        <f>"0"</f>
        <v>0</v>
      </c>
      <c r="BH281" t="str">
        <f ca="1">IF((OFFSET($A$1, 281 - 1, 58 - 1)) &gt;= (OFFSET($A$1, 93 - 1, 7 - 1)), "1","0")</f>
        <v>1</v>
      </c>
      <c r="BI281">
        <f ca="1" xml:space="preserve"> IF( AND( OFFSET($A$1, 281 - 1, 59 - 1) = "1", OFFSET($A$1, 281 - 1, 60 - 1) = "1" ), 1, IF( AND( OFFSET($A$1, 281 - 1, 59 - 1) = "1", OFFSET($A$1, 281 - 1, 60 - 1) = "0" ), 2, IF( AND( OFFSET($A$1, 281 - 1, 59 - 1) = "0", OFFSET($A$1, 281 - 1, 60 - 1) = "1" ), 3, 4 ) ) )</f>
        <v>3</v>
      </c>
    </row>
    <row r="282" spans="53:61" x14ac:dyDescent="0.35">
      <c r="BA282" s="3">
        <v>0.56664400969695361</v>
      </c>
      <c r="BB282" s="3" t="str">
        <f>"1"</f>
        <v>1</v>
      </c>
      <c r="BC282" t="str">
        <f ca="1">IF((OFFSET($A$1, 282 - 1, 53 - 1)) &gt;= (OFFSET($A$1, 69 - 1, 7 - 1)), "1","0")</f>
        <v>1</v>
      </c>
      <c r="BD282">
        <f ca="1" xml:space="preserve"> IF( AND( OFFSET($A$1, 282 - 1, 54 - 1) = "1", OFFSET($A$1, 282 - 1, 55 - 1) = "1" ), 1, IF( AND( OFFSET($A$1, 282 - 1, 54 - 1) = "1", OFFSET($A$1, 282 - 1, 55 - 1) = "0" ), 2, IF( AND( OFFSET($A$1, 282 - 1, 54 - 1) = "0", OFFSET($A$1, 282 - 1, 55 - 1) = "1" ), 3, 4 ) ) )</f>
        <v>1</v>
      </c>
      <c r="BF282" s="3">
        <v>0.29466292962873364</v>
      </c>
      <c r="BG282" s="3" t="str">
        <f>"0"</f>
        <v>0</v>
      </c>
      <c r="BH282" t="str">
        <f ca="1">IF((OFFSET($A$1, 282 - 1, 58 - 1)) &gt;= (OFFSET($A$1, 93 - 1, 7 - 1)), "1","0")</f>
        <v>0</v>
      </c>
      <c r="BI282">
        <f ca="1" xml:space="preserve"> IF( AND( OFFSET($A$1, 282 - 1, 59 - 1) = "1", OFFSET($A$1, 282 - 1, 60 - 1) = "1" ), 1, IF( AND( OFFSET($A$1, 282 - 1, 59 - 1) = "1", OFFSET($A$1, 282 - 1, 60 - 1) = "0" ), 2, IF( AND( OFFSET($A$1, 282 - 1, 59 - 1) = "0", OFFSET($A$1, 282 - 1, 60 - 1) = "1" ), 3, 4 ) ) )</f>
        <v>4</v>
      </c>
    </row>
    <row r="283" spans="53:61" x14ac:dyDescent="0.35">
      <c r="BA283" s="3">
        <v>0.56532445981836787</v>
      </c>
      <c r="BB283" s="3" t="str">
        <f>"1"</f>
        <v>1</v>
      </c>
      <c r="BC283" t="str">
        <f ca="1">IF((OFFSET($A$1, 283 - 1, 53 - 1)) &gt;= (OFFSET($A$1, 69 - 1, 7 - 1)), "1","0")</f>
        <v>1</v>
      </c>
      <c r="BD283">
        <f ca="1" xml:space="preserve"> IF( AND( OFFSET($A$1, 283 - 1, 54 - 1) = "1", OFFSET($A$1, 283 - 1, 55 - 1) = "1" ), 1, IF( AND( OFFSET($A$1, 283 - 1, 54 - 1) = "1", OFFSET($A$1, 283 - 1, 55 - 1) = "0" ), 2, IF( AND( OFFSET($A$1, 283 - 1, 54 - 1) = "0", OFFSET($A$1, 283 - 1, 55 - 1) = "1" ), 3, 4 ) ) )</f>
        <v>1</v>
      </c>
      <c r="BF283" s="3">
        <v>0.29354229654012665</v>
      </c>
      <c r="BG283" s="3" t="str">
        <f>"0"</f>
        <v>0</v>
      </c>
      <c r="BH283" t="str">
        <f ca="1">IF((OFFSET($A$1, 283 - 1, 58 - 1)) &gt;= (OFFSET($A$1, 93 - 1, 7 - 1)), "1","0")</f>
        <v>0</v>
      </c>
      <c r="BI283">
        <f ca="1" xml:space="preserve"> IF( AND( OFFSET($A$1, 283 - 1, 59 - 1) = "1", OFFSET($A$1, 283 - 1, 60 - 1) = "1" ), 1, IF( AND( OFFSET($A$1, 283 - 1, 59 - 1) = "1", OFFSET($A$1, 283 - 1, 60 - 1) = "0" ), 2, IF( AND( OFFSET($A$1, 283 - 1, 59 - 1) = "0", OFFSET($A$1, 283 - 1, 60 - 1) = "1" ), 3, 4 ) ) )</f>
        <v>4</v>
      </c>
    </row>
    <row r="284" spans="53:61" x14ac:dyDescent="0.35">
      <c r="BA284" s="3">
        <v>0.56399123258301587</v>
      </c>
      <c r="BB284" s="3" t="str">
        <f>"0"</f>
        <v>0</v>
      </c>
      <c r="BC284" t="str">
        <f ca="1">IF((OFFSET($A$1, 284 - 1, 53 - 1)) &gt;= (OFFSET($A$1, 69 - 1, 7 - 1)), "1","0")</f>
        <v>1</v>
      </c>
      <c r="BD284">
        <f ca="1" xml:space="preserve"> IF( AND( OFFSET($A$1, 284 - 1, 54 - 1) = "1", OFFSET($A$1, 284 - 1, 55 - 1) = "1" ), 1, IF( AND( OFFSET($A$1, 284 - 1, 54 - 1) = "1", OFFSET($A$1, 284 - 1, 55 - 1) = "0" ), 2, IF( AND( OFFSET($A$1, 284 - 1, 54 - 1) = "0", OFFSET($A$1, 284 - 1, 55 - 1) = "1" ), 3, 4 ) ) )</f>
        <v>3</v>
      </c>
      <c r="BF284" s="3">
        <v>0.29241359508167486</v>
      </c>
      <c r="BG284" s="3" t="str">
        <f>"0"</f>
        <v>0</v>
      </c>
      <c r="BH284" t="str">
        <f ca="1">IF((OFFSET($A$1, 284 - 1, 58 - 1)) &gt;= (OFFSET($A$1, 93 - 1, 7 - 1)), "1","0")</f>
        <v>0</v>
      </c>
      <c r="BI284">
        <f ca="1" xml:space="preserve"> IF( AND( OFFSET($A$1, 284 - 1, 59 - 1) = "1", OFFSET($A$1, 284 - 1, 60 - 1) = "1" ), 1, IF( AND( OFFSET($A$1, 284 - 1, 59 - 1) = "1", OFFSET($A$1, 284 - 1, 60 - 1) = "0" ), 2, IF( AND( OFFSET($A$1, 284 - 1, 59 - 1) = "0", OFFSET($A$1, 284 - 1, 60 - 1) = "1" ), 3, 4 ) ) )</f>
        <v>4</v>
      </c>
    </row>
    <row r="285" spans="53:61" x14ac:dyDescent="0.35">
      <c r="BA285" s="3">
        <v>0.29184634760414879</v>
      </c>
      <c r="BB285" s="3" t="str">
        <f>"1"</f>
        <v>1</v>
      </c>
      <c r="BC285" t="str">
        <f ca="1">IF((OFFSET($A$1, 285 - 1, 53 - 1)) &gt;= (OFFSET($A$1, 69 - 1, 7 - 1)), "1","0")</f>
        <v>0</v>
      </c>
      <c r="BD285">
        <f ca="1" xml:space="preserve"> IF( AND( OFFSET($A$1, 285 - 1, 54 - 1) = "1", OFFSET($A$1, 285 - 1, 55 - 1) = "1" ), 1, IF( AND( OFFSET($A$1, 285 - 1, 54 - 1) = "1", OFFSET($A$1, 285 - 1, 55 - 1) = "0" ), 2, IF( AND( OFFSET($A$1, 285 - 1, 54 - 1) = "0", OFFSET($A$1, 285 - 1, 55 - 1) = "1" ), 3, 4 ) ) )</f>
        <v>2</v>
      </c>
      <c r="BF285" s="3">
        <v>0.29127723782865839</v>
      </c>
      <c r="BG285" s="3" t="str">
        <f>"0"</f>
        <v>0</v>
      </c>
      <c r="BH285" t="str">
        <f ca="1">IF((OFFSET($A$1, 285 - 1, 58 - 1)) &gt;= (OFFSET($A$1, 93 - 1, 7 - 1)), "1","0")</f>
        <v>0</v>
      </c>
      <c r="BI285">
        <f ca="1" xml:space="preserve"> IF( AND( OFFSET($A$1, 285 - 1, 59 - 1) = "1", OFFSET($A$1, 285 - 1, 60 - 1) = "1" ), 1, IF( AND( OFFSET($A$1, 285 - 1, 59 - 1) = "1", OFFSET($A$1, 285 - 1, 60 - 1) = "0" ), 2, IF( AND( OFFSET($A$1, 285 - 1, 59 - 1) = "0", OFFSET($A$1, 285 - 1, 60 - 1) = "1" ), 3, 4 ) ) )</f>
        <v>4</v>
      </c>
    </row>
    <row r="286" spans="53:61" x14ac:dyDescent="0.35">
      <c r="BA286" s="3">
        <v>0.56128529863942522</v>
      </c>
      <c r="BB286" s="3" t="str">
        <f>"0"</f>
        <v>0</v>
      </c>
      <c r="BC286" t="str">
        <f ca="1">IF((OFFSET($A$1, 286 - 1, 53 - 1)) &gt;= (OFFSET($A$1, 69 - 1, 7 - 1)), "1","0")</f>
        <v>1</v>
      </c>
      <c r="BD286">
        <f ca="1" xml:space="preserve"> IF( AND( OFFSET($A$1, 286 - 1, 54 - 1) = "1", OFFSET($A$1, 286 - 1, 55 - 1) = "1" ), 1, IF( AND( OFFSET($A$1, 286 - 1, 54 - 1) = "1", OFFSET($A$1, 286 - 1, 55 - 1) = "0" ), 2, IF( AND( OFFSET($A$1, 286 - 1, 54 - 1) = "0", OFFSET($A$1, 286 - 1, 55 - 1) = "1" ), 3, 4 ) ) )</f>
        <v>3</v>
      </c>
      <c r="BF286" s="3">
        <v>0.29013363829654193</v>
      </c>
      <c r="BG286" s="3" t="str">
        <f>"1"</f>
        <v>1</v>
      </c>
      <c r="BH286" t="str">
        <f ca="1">IF((OFFSET($A$1, 286 - 1, 58 - 1)) &gt;= (OFFSET($A$1, 93 - 1, 7 - 1)), "1","0")</f>
        <v>0</v>
      </c>
      <c r="BI286">
        <f ca="1" xml:space="preserve"> IF( AND( OFFSET($A$1, 286 - 1, 59 - 1) = "1", OFFSET($A$1, 286 - 1, 60 - 1) = "1" ), 1, IF( AND( OFFSET($A$1, 286 - 1, 59 - 1) = "1", OFFSET($A$1, 286 - 1, 60 - 1) = "0" ), 2, IF( AND( OFFSET($A$1, 286 - 1, 59 - 1) = "0", OFFSET($A$1, 286 - 1, 60 - 1) = "1" ), 3, 4 ) ) )</f>
        <v>2</v>
      </c>
    </row>
    <row r="287" spans="53:61" x14ac:dyDescent="0.35">
      <c r="BA287" s="3">
        <v>0.28955925210072742</v>
      </c>
      <c r="BB287" s="3" t="str">
        <f>"0"</f>
        <v>0</v>
      </c>
      <c r="BC287" t="str">
        <f ca="1">IF((OFFSET($A$1, 287 - 1, 53 - 1)) &gt;= (OFFSET($A$1, 69 - 1, 7 - 1)), "1","0")</f>
        <v>0</v>
      </c>
      <c r="BD287">
        <f ca="1" xml:space="preserve"> IF( AND( OFFSET($A$1, 287 - 1, 54 - 1) = "1", OFFSET($A$1, 287 - 1, 55 - 1) = "1" ), 1, IF( AND( OFFSET($A$1, 287 - 1, 54 - 1) = "1", OFFSET($A$1, 287 - 1, 55 - 1) = "0" ), 2, IF( AND( OFFSET($A$1, 287 - 1, 54 - 1) = "0", OFFSET($A$1, 287 - 1, 55 - 1) = "1" ), 3, 4 ) ) )</f>
        <v>4</v>
      </c>
      <c r="BF287" s="3">
        <v>0.55922286213088856</v>
      </c>
      <c r="BG287" s="3" t="str">
        <f>"1"</f>
        <v>1</v>
      </c>
      <c r="BH287" t="str">
        <f ca="1">IF((OFFSET($A$1, 287 - 1, 58 - 1)) &gt;= (OFFSET($A$1, 93 - 1, 7 - 1)), "1","0")</f>
        <v>1</v>
      </c>
      <c r="BI287">
        <f ca="1" xml:space="preserve"> IF( AND( OFFSET($A$1, 287 - 1, 59 - 1) = "1", OFFSET($A$1, 287 - 1, 60 - 1) = "1" ), 1, IF( AND( OFFSET($A$1, 287 - 1, 59 - 1) = "1", OFFSET($A$1, 287 - 1, 60 - 1) = "0" ), 2, IF( AND( OFFSET($A$1, 287 - 1, 59 - 1) = "0", OFFSET($A$1, 287 - 1, 60 - 1) = "1" ), 3, 4 ) ) )</f>
        <v>1</v>
      </c>
    </row>
    <row r="288" spans="53:61" x14ac:dyDescent="0.35">
      <c r="BA288" s="3">
        <v>0.28840556599083855</v>
      </c>
      <c r="BB288" s="3" t="str">
        <f>"0"</f>
        <v>0</v>
      </c>
      <c r="BC288" t="str">
        <f ca="1">IF((OFFSET($A$1, 288 - 1, 53 - 1)) &gt;= (OFFSET($A$1, 69 - 1, 7 - 1)), "1","0")</f>
        <v>0</v>
      </c>
      <c r="BD288">
        <f ca="1" xml:space="preserve"> IF( AND( OFFSET($A$1, 288 - 1, 54 - 1) = "1", OFFSET($A$1, 288 - 1, 55 - 1) = "1" ), 1, IF( AND( OFFSET($A$1, 288 - 1, 54 - 1) = "1", OFFSET($A$1, 288 - 1, 55 - 1) = "0" ), 2, IF( AND( OFFSET($A$1, 288 - 1, 54 - 1) = "0", OFFSET($A$1, 288 - 1, 55 - 1) = "1" ), 3, 4 ) ) )</f>
        <v>4</v>
      </c>
      <c r="BF288" s="3">
        <v>0.55783295292768764</v>
      </c>
      <c r="BG288" s="3" t="str">
        <f>"1"</f>
        <v>1</v>
      </c>
      <c r="BH288" t="str">
        <f ca="1">IF((OFFSET($A$1, 288 - 1, 58 - 1)) &gt;= (OFFSET($A$1, 93 - 1, 7 - 1)), "1","0")</f>
        <v>1</v>
      </c>
      <c r="BI288">
        <f ca="1" xml:space="preserve"> IF( AND( OFFSET($A$1, 288 - 1, 59 - 1) = "1", OFFSET($A$1, 288 - 1, 60 - 1) = "1" ), 1, IF( AND( OFFSET($A$1, 288 - 1, 59 - 1) = "1", OFFSET($A$1, 288 - 1, 60 - 1) = "0" ), 2, IF( AND( OFFSET($A$1, 288 - 1, 59 - 1) = "0", OFFSET($A$1, 288 - 1, 60 - 1) = "1" ), 3, 4 ) ) )</f>
        <v>1</v>
      </c>
    </row>
    <row r="289" spans="53:61" x14ac:dyDescent="0.35">
      <c r="BA289" s="3">
        <v>0.28724567401917939</v>
      </c>
      <c r="BB289" s="3" t="str">
        <f>"1"</f>
        <v>1</v>
      </c>
      <c r="BC289" t="str">
        <f ca="1">IF((OFFSET($A$1, 289 - 1, 53 - 1)) &gt;= (OFFSET($A$1, 69 - 1, 7 - 1)), "1","0")</f>
        <v>0</v>
      </c>
      <c r="BD289">
        <f ca="1" xml:space="preserve"> IF( AND( OFFSET($A$1, 289 - 1, 54 - 1) = "1", OFFSET($A$1, 289 - 1, 55 - 1) = "1" ), 1, IF( AND( OFFSET($A$1, 289 - 1, 54 - 1) = "1", OFFSET($A$1, 289 - 1, 55 - 1) = "0" ), 2, IF( AND( OFFSET($A$1, 289 - 1, 54 - 1) = "0", OFFSET($A$1, 289 - 1, 55 - 1) = "1" ), 3, 4 ) ) )</f>
        <v>2</v>
      </c>
      <c r="BF289" s="3">
        <v>0.55643156141255523</v>
      </c>
      <c r="BG289" s="3" t="str">
        <f>"1"</f>
        <v>1</v>
      </c>
      <c r="BH289" t="str">
        <f ca="1">IF((OFFSET($A$1, 289 - 1, 58 - 1)) &gt;= (OFFSET($A$1, 93 - 1, 7 - 1)), "1","0")</f>
        <v>1</v>
      </c>
      <c r="BI289">
        <f ca="1" xml:space="preserve"> IF( AND( OFFSET($A$1, 289 - 1, 59 - 1) = "1", OFFSET($A$1, 289 - 1, 60 - 1) = "1" ), 1, IF( AND( OFFSET($A$1, 289 - 1, 59 - 1) = "1", OFFSET($A$1, 289 - 1, 60 - 1) = "0" ), 2, IF( AND( OFFSET($A$1, 289 - 1, 59 - 1) = "0", OFFSET($A$1, 289 - 1, 60 - 1) = "1" ), 3, 4 ) ) )</f>
        <v>1</v>
      </c>
    </row>
    <row r="290" spans="53:61" x14ac:dyDescent="0.35">
      <c r="BA290" s="3">
        <v>0.55572668966486083</v>
      </c>
      <c r="BB290" s="3" t="str">
        <f>"1"</f>
        <v>1</v>
      </c>
      <c r="BC290" t="str">
        <f ca="1">IF((OFFSET($A$1, 290 - 1, 53 - 1)) &gt;= (OFFSET($A$1, 69 - 1, 7 - 1)), "1","0")</f>
        <v>1</v>
      </c>
      <c r="BD290">
        <f ca="1" xml:space="preserve"> IF( AND( OFFSET($A$1, 290 - 1, 54 - 1) = "1", OFFSET($A$1, 290 - 1, 55 - 1) = "1" ), 1, IF( AND( OFFSET($A$1, 290 - 1, 54 - 1) = "1", OFFSET($A$1, 290 - 1, 55 - 1) = "0" ), 2, IF( AND( OFFSET($A$1, 290 - 1, 54 - 1) = "0", OFFSET($A$1, 290 - 1, 55 - 1) = "1" ), 3, 4 ) ) )</f>
        <v>1</v>
      </c>
      <c r="BF290" s="3">
        <v>0.55501910381493202</v>
      </c>
      <c r="BG290" s="3" t="str">
        <f>"1"</f>
        <v>1</v>
      </c>
      <c r="BH290" t="str">
        <f ca="1">IF((OFFSET($A$1, 290 - 1, 58 - 1)) &gt;= (OFFSET($A$1, 93 - 1, 7 - 1)), "1","0")</f>
        <v>1</v>
      </c>
      <c r="BI290">
        <f ca="1" xml:space="preserve"> IF( AND( OFFSET($A$1, 290 - 1, 59 - 1) = "1", OFFSET($A$1, 290 - 1, 60 - 1) = "1" ), 1, IF( AND( OFFSET($A$1, 290 - 1, 59 - 1) = "1", OFFSET($A$1, 290 - 1, 60 - 1) = "0" ), 2, IF( AND( OFFSET($A$1, 290 - 1, 59 - 1) = "0", OFFSET($A$1, 290 - 1, 60 - 1) = "1" ), 3, 4 ) ) )</f>
        <v>1</v>
      </c>
    </row>
    <row r="291" spans="53:61" x14ac:dyDescent="0.35">
      <c r="BA291" s="3">
        <v>0.55430885666325269</v>
      </c>
      <c r="BB291" s="3" t="str">
        <f>"1"</f>
        <v>1</v>
      </c>
      <c r="BC291" t="str">
        <f ca="1">IF((OFFSET($A$1, 291 - 1, 53 - 1)) &gt;= (OFFSET($A$1, 69 - 1, 7 - 1)), "1","0")</f>
        <v>1</v>
      </c>
      <c r="BD291">
        <f ca="1" xml:space="preserve"> IF( AND( OFFSET($A$1, 291 - 1, 54 - 1) = "1", OFFSET($A$1, 291 - 1, 55 - 1) = "1" ), 1, IF( AND( OFFSET($A$1, 291 - 1, 54 - 1) = "1", OFFSET($A$1, 291 - 1, 55 - 1) = "0" ), 2, IF( AND( OFFSET($A$1, 291 - 1, 54 - 1) = "0", OFFSET($A$1, 291 - 1, 55 - 1) = "1" ), 3, 4 ) ) )</f>
        <v>1</v>
      </c>
      <c r="BF291" s="3">
        <v>0.55359600131061937</v>
      </c>
      <c r="BG291" s="3" t="str">
        <f>"0"</f>
        <v>0</v>
      </c>
      <c r="BH291" t="str">
        <f ca="1">IF((OFFSET($A$1, 291 - 1, 58 - 1)) &gt;= (OFFSET($A$1, 93 - 1, 7 - 1)), "1","0")</f>
        <v>1</v>
      </c>
      <c r="BI291">
        <f ca="1" xml:space="preserve"> IF( AND( OFFSET($A$1, 291 - 1, 59 - 1) = "1", OFFSET($A$1, 291 - 1, 60 - 1) = "1" ), 1, IF( AND( OFFSET($A$1, 291 - 1, 59 - 1) = "1", OFFSET($A$1, 291 - 1, 60 - 1) = "0" ), 2, IF( AND( OFFSET($A$1, 291 - 1, 59 - 1) = "0", OFFSET($A$1, 291 - 1, 60 - 1) = "1" ), 3, 4 ) ) )</f>
        <v>3</v>
      </c>
    </row>
    <row r="292" spans="53:61" x14ac:dyDescent="0.35">
      <c r="BA292" s="3">
        <v>0.55288059115357135</v>
      </c>
      <c r="BB292" s="3" t="str">
        <f>"0"</f>
        <v>0</v>
      </c>
      <c r="BC292" t="str">
        <f ca="1">IF((OFFSET($A$1, 292 - 1, 53 - 1)) &gt;= (OFFSET($A$1, 69 - 1, 7 - 1)), "1","0")</f>
        <v>1</v>
      </c>
      <c r="BD292">
        <f ca="1" xml:space="preserve"> IF( AND( OFFSET($A$1, 292 - 1, 54 - 1) = "1", OFFSET($A$1, 292 - 1, 55 - 1) = "1" ), 1, IF( AND( OFFSET($A$1, 292 - 1, 54 - 1) = "1", OFFSET($A$1, 292 - 1, 55 - 1) = "0" ), 2, IF( AND( OFFSET($A$1, 292 - 1, 54 - 1) = "0", OFFSET($A$1, 292 - 1, 55 - 1) = "1" ), 3, 4 ) ) )</f>
        <v>3</v>
      </c>
      <c r="BF292" s="3">
        <v>0.28314317167627256</v>
      </c>
      <c r="BG292" s="3" t="str">
        <f>"1"</f>
        <v>1</v>
      </c>
      <c r="BH292" t="str">
        <f ca="1">IF((OFFSET($A$1, 292 - 1, 58 - 1)) &gt;= (OFFSET($A$1, 93 - 1, 7 - 1)), "1","0")</f>
        <v>0</v>
      </c>
      <c r="BI292">
        <f ca="1" xml:space="preserve"> IF( AND( OFFSET($A$1, 292 - 1, 59 - 1) = "1", OFFSET($A$1, 292 - 1, 60 - 1) = "1" ), 1, IF( AND( OFFSET($A$1, 292 - 1, 59 - 1) = "1", OFFSET($A$1, 292 - 1, 60 - 1) = "0" ), 2, IF( AND( OFFSET($A$1, 292 - 1, 59 - 1) = "0", OFFSET($A$1, 292 - 1, 60 - 1) = "1" ), 3, 4 ) ) )</f>
        <v>2</v>
      </c>
    </row>
    <row r="293" spans="53:61" x14ac:dyDescent="0.35">
      <c r="BA293" s="3">
        <v>0.28255234567149129</v>
      </c>
      <c r="BB293" s="3" t="str">
        <f>"1"</f>
        <v>1</v>
      </c>
      <c r="BC293" t="str">
        <f ca="1">IF((OFFSET($A$1, 293 - 1, 53 - 1)) &gt;= (OFFSET($A$1, 69 - 1, 7 - 1)), "1","0")</f>
        <v>0</v>
      </c>
      <c r="BD293">
        <f ca="1" xml:space="preserve"> IF( AND( OFFSET($A$1, 293 - 1, 54 - 1) = "1", OFFSET($A$1, 293 - 1, 55 - 1) = "1" ), 1, IF( AND( OFFSET($A$1, 293 - 1, 54 - 1) = "1", OFFSET($A$1, 293 - 1, 55 - 1) = "0" ), 2, IF( AND( OFFSET($A$1, 293 - 1, 54 - 1) = "0", OFFSET($A$1, 293 - 1, 55 - 1) = "1" ), 3, 4 ) ) )</f>
        <v>2</v>
      </c>
      <c r="BF293" s="3">
        <v>0.5507195701589932</v>
      </c>
      <c r="BG293" s="3" t="str">
        <f>"0"</f>
        <v>0</v>
      </c>
      <c r="BH293" t="str">
        <f ca="1">IF((OFFSET($A$1, 293 - 1, 58 - 1)) &gt;= (OFFSET($A$1, 93 - 1, 7 - 1)), "1","0")</f>
        <v>1</v>
      </c>
      <c r="BI293">
        <f ca="1" xml:space="preserve"> IF( AND( OFFSET($A$1, 293 - 1, 59 - 1) = "1", OFFSET($A$1, 293 - 1, 60 - 1) = "1" ), 1, IF( AND( OFFSET($A$1, 293 - 1, 59 - 1) = "1", OFFSET($A$1, 293 - 1, 60 - 1) = "0" ), 2, IF( AND( OFFSET($A$1, 293 - 1, 59 - 1) = "0", OFFSET($A$1, 293 - 1, 60 - 1) = "1" ), 3, 4 ) ) )</f>
        <v>3</v>
      </c>
    </row>
    <row r="294" spans="53:61" x14ac:dyDescent="0.35">
      <c r="BA294" s="3">
        <v>0.54999448049962374</v>
      </c>
      <c r="BB294" s="3" t="str">
        <f>"1"</f>
        <v>1</v>
      </c>
      <c r="BC294" t="str">
        <f ca="1">IF((OFFSET($A$1, 294 - 1, 53 - 1)) &gt;= (OFFSET($A$1, 69 - 1, 7 - 1)), "1","0")</f>
        <v>1</v>
      </c>
      <c r="BD294">
        <f ca="1" xml:space="preserve"> IF( AND( OFFSET($A$1, 294 - 1, 54 - 1) = "1", OFFSET($A$1, 294 - 1, 55 - 1) = "1" ), 1, IF( AND( OFFSET($A$1, 294 - 1, 54 - 1) = "1", OFFSET($A$1, 294 - 1, 55 - 1) = "0" ), 2, IF( AND( OFFSET($A$1, 294 - 1, 54 - 1) = "0", OFFSET($A$1, 294 - 1, 55 - 1) = "1" ), 3, 4 ) ) )</f>
        <v>1</v>
      </c>
      <c r="BF294" s="3">
        <v>0.28077387359575295</v>
      </c>
      <c r="BG294" s="3" t="str">
        <f>"0"</f>
        <v>0</v>
      </c>
      <c r="BH294" t="str">
        <f ca="1">IF((OFFSET($A$1, 294 - 1, 58 - 1)) &gt;= (OFFSET($A$1, 93 - 1, 7 - 1)), "1","0")</f>
        <v>0</v>
      </c>
      <c r="BI294">
        <f ca="1" xml:space="preserve"> IF( AND( OFFSET($A$1, 294 - 1, 59 - 1) = "1", OFFSET($A$1, 294 - 1, 60 - 1) = "1" ), 1, IF( AND( OFFSET($A$1, 294 - 1, 59 - 1) = "1", OFFSET($A$1, 294 - 1, 60 - 1) = "0" ), 2, IF( AND( OFFSET($A$1, 294 - 1, 59 - 1) = "0", OFFSET($A$1, 294 - 1, 60 - 1) = "1" ), 3, 4 ) ) )</f>
        <v>4</v>
      </c>
    </row>
    <row r="295" spans="53:61" x14ac:dyDescent="0.35">
      <c r="BA295" s="3">
        <v>0.54853750559606218</v>
      </c>
      <c r="BB295" s="3" t="str">
        <f>"1"</f>
        <v>1</v>
      </c>
      <c r="BC295" t="str">
        <f ca="1">IF((OFFSET($A$1, 295 - 1, 53 - 1)) &gt;= (OFFSET($A$1, 69 - 1, 7 - 1)), "1","0")</f>
        <v>1</v>
      </c>
      <c r="BD295">
        <f ca="1" xml:space="preserve"> IF( AND( OFFSET($A$1, 295 - 1, 54 - 1) = "1", OFFSET($A$1, 295 - 1, 55 - 1) = "1" ), 1, IF( AND( OFFSET($A$1, 295 - 1, 54 - 1) = "1", OFFSET($A$1, 295 - 1, 55 - 1) = "0" ), 2, IF( AND( OFFSET($A$1, 295 - 1, 54 - 1) = "0", OFFSET($A$1, 295 - 1, 55 - 1) = "1" ), 3, 4 ) ) )</f>
        <v>1</v>
      </c>
      <c r="BF295" s="3">
        <v>0.27958374557619481</v>
      </c>
      <c r="BG295" s="3" t="str">
        <f>"0"</f>
        <v>0</v>
      </c>
      <c r="BH295" t="str">
        <f ca="1">IF((OFFSET($A$1, 295 - 1, 58 - 1)) &gt;= (OFFSET($A$1, 93 - 1, 7 - 1)), "1","0")</f>
        <v>0</v>
      </c>
      <c r="BI295">
        <f ca="1" xml:space="preserve"> IF( AND( OFFSET($A$1, 295 - 1, 59 - 1) = "1", OFFSET($A$1, 295 - 1, 60 - 1) = "1" ), 1, IF( AND( OFFSET($A$1, 295 - 1, 59 - 1) = "1", OFFSET($A$1, 295 - 1, 60 - 1) = "0" ), 2, IF( AND( OFFSET($A$1, 295 - 1, 59 - 1) = "0", OFFSET($A$1, 295 - 1, 60 - 1) = "1" ), 3, 4 ) ) )</f>
        <v>4</v>
      </c>
    </row>
    <row r="296" spans="53:61" x14ac:dyDescent="0.35">
      <c r="BA296" s="3">
        <v>0.54707183834869566</v>
      </c>
      <c r="BB296" s="3" t="str">
        <f>"0"</f>
        <v>0</v>
      </c>
      <c r="BC296" t="str">
        <f ca="1">IF((OFFSET($A$1, 296 - 1, 53 - 1)) &gt;= (OFFSET($A$1, 69 - 1, 7 - 1)), "1","0")</f>
        <v>1</v>
      </c>
      <c r="BD296">
        <f ca="1" xml:space="preserve"> IF( AND( OFFSET($A$1, 296 - 1, 54 - 1) = "1", OFFSET($A$1, 296 - 1, 55 - 1) = "1" ), 1, IF( AND( OFFSET($A$1, 296 - 1, 54 - 1) = "1", OFFSET($A$1, 296 - 1, 55 - 1) = "0" ), 2, IF( AND( OFFSET($A$1, 296 - 1, 54 - 1) = "0", OFFSET($A$1, 296 - 1, 55 - 1) = "1" ), 3, 4 ) ) )</f>
        <v>3</v>
      </c>
      <c r="BF296" s="3">
        <v>0.27839051287777561</v>
      </c>
      <c r="BG296" s="3" t="str">
        <f>"1"</f>
        <v>1</v>
      </c>
      <c r="BH296" t="str">
        <f ca="1">IF((OFFSET($A$1, 296 - 1, 58 - 1)) &gt;= (OFFSET($A$1, 93 - 1, 7 - 1)), "1","0")</f>
        <v>0</v>
      </c>
      <c r="BI296">
        <f ca="1" xml:space="preserve"> IF( AND( OFFSET($A$1, 296 - 1, 59 - 1) = "1", OFFSET($A$1, 296 - 1, 60 - 1) = "1" ), 1, IF( AND( OFFSET($A$1, 296 - 1, 59 - 1) = "1", OFFSET($A$1, 296 - 1, 60 - 1) = "0" ), 2, IF( AND( OFFSET($A$1, 296 - 1, 59 - 1) = "0", OFFSET($A$1, 296 - 1, 60 - 1) = "1" ), 3, 4 ) ) )</f>
        <v>2</v>
      </c>
    </row>
    <row r="297" spans="53:61" x14ac:dyDescent="0.35">
      <c r="BA297" s="3">
        <v>0.27779286021080613</v>
      </c>
      <c r="BB297" s="3" t="str">
        <f>"0"</f>
        <v>0</v>
      </c>
      <c r="BC297" t="str">
        <f ca="1">IF((OFFSET($A$1, 297 - 1, 53 - 1)) &gt;= (OFFSET($A$1, 69 - 1, 7 - 1)), "1","0")</f>
        <v>0</v>
      </c>
      <c r="BD297">
        <f ca="1" xml:space="preserve"> IF( AND( OFFSET($A$1, 297 - 1, 54 - 1) = "1", OFFSET($A$1, 297 - 1, 55 - 1) = "1" ), 1, IF( AND( OFFSET($A$1, 297 - 1, 54 - 1) = "1", OFFSET($A$1, 297 - 1, 55 - 1) = "0" ), 2, IF( AND( OFFSET($A$1, 297 - 1, 54 - 1) = "0", OFFSET($A$1, 297 - 1, 55 - 1) = "1" ), 3, 4 ) ) )</f>
        <v>4</v>
      </c>
      <c r="BF297" s="3">
        <v>0.54485801536569434</v>
      </c>
      <c r="BG297" s="3" t="str">
        <f>"1"</f>
        <v>1</v>
      </c>
      <c r="BH297" t="str">
        <f ca="1">IF((OFFSET($A$1, 297 - 1, 58 - 1)) &gt;= (OFFSET($A$1, 93 - 1, 7 - 1)), "1","0")</f>
        <v>1</v>
      </c>
      <c r="BI297">
        <f ca="1" xml:space="preserve"> IF( AND( OFFSET($A$1, 297 - 1, 59 - 1) = "1", OFFSET($A$1, 297 - 1, 60 - 1) = "1" ), 1, IF( AND( OFFSET($A$1, 297 - 1, 59 - 1) = "1", OFFSET($A$1, 297 - 1, 60 - 1) = "0" ), 2, IF( AND( OFFSET($A$1, 297 - 1, 59 - 1) = "0", OFFSET($A$1, 297 - 1, 60 - 1) = "1" ), 3, 4 ) ) )</f>
        <v>1</v>
      </c>
    </row>
    <row r="298" spans="53:61" x14ac:dyDescent="0.35">
      <c r="BA298" s="3">
        <v>0.27659573722186553</v>
      </c>
      <c r="BB298" s="3" t="str">
        <f>"1"</f>
        <v>1</v>
      </c>
      <c r="BC298" t="str">
        <f ca="1">IF((OFFSET($A$1, 298 - 1, 53 - 1)) &gt;= (OFFSET($A$1, 69 - 1, 7 - 1)), "1","0")</f>
        <v>0</v>
      </c>
      <c r="BD298">
        <f ca="1" xml:space="preserve"> IF( AND( OFFSET($A$1, 298 - 1, 54 - 1) = "1", OFFSET($A$1, 298 - 1, 55 - 1) = "1" ), 1, IF( AND( OFFSET($A$1, 298 - 1, 54 - 1) = "1", OFFSET($A$1, 298 - 1, 55 - 1) = "0" ), 2, IF( AND( OFFSET($A$1, 298 - 1, 54 - 1) = "0", OFFSET($A$1, 298 - 1, 55 - 1) = "1" ), 3, 4 ) ) )</f>
        <v>2</v>
      </c>
      <c r="BF298" s="3">
        <v>0.54337257570702857</v>
      </c>
      <c r="BG298" s="3" t="str">
        <f>"0"</f>
        <v>0</v>
      </c>
      <c r="BH298" t="str">
        <f ca="1">IF((OFFSET($A$1, 298 - 1, 58 - 1)) &gt;= (OFFSET($A$1, 93 - 1, 7 - 1)), "1","0")</f>
        <v>1</v>
      </c>
      <c r="BI298">
        <f ca="1" xml:space="preserve"> IF( AND( OFFSET($A$1, 298 - 1, 59 - 1) = "1", OFFSET($A$1, 298 - 1, 60 - 1) = "1" ), 1, IF( AND( OFFSET($A$1, 298 - 1, 59 - 1) = "1", OFFSET($A$1, 298 - 1, 60 - 1) = "0" ), 2, IF( AND( OFFSET($A$1, 298 - 1, 59 - 1) = "0", OFFSET($A$1, 298 - 1, 60 - 1) = "1" ), 3, 4 ) ) )</f>
        <v>3</v>
      </c>
    </row>
    <row r="299" spans="53:61" x14ac:dyDescent="0.35">
      <c r="BA299" s="3">
        <v>0.54262715893038649</v>
      </c>
      <c r="BB299" s="3" t="str">
        <f>"1"</f>
        <v>1</v>
      </c>
      <c r="BC299" t="str">
        <f ca="1">IF((OFFSET($A$1, 299 - 1, 53 - 1)) &gt;= (OFFSET($A$1, 69 - 1, 7 - 1)), "1","0")</f>
        <v>1</v>
      </c>
      <c r="BD299">
        <f ca="1" xml:space="preserve"> IF( AND( OFFSET($A$1, 299 - 1, 54 - 1) = "1", OFFSET($A$1, 299 - 1, 55 - 1) = "1" ), 1, IF( AND( OFFSET($A$1, 299 - 1, 54 - 1) = "1", OFFSET($A$1, 299 - 1, 55 - 1) = "0" ), 2, IF( AND( OFFSET($A$1, 299 - 1, 54 - 1) = "0", OFFSET($A$1, 299 - 1, 55 - 1) = "1" ), 3, 4 ) ) )</f>
        <v>1</v>
      </c>
      <c r="BF299" s="3">
        <v>0.27479627010214219</v>
      </c>
      <c r="BG299" s="3" t="str">
        <f>"0"</f>
        <v>0</v>
      </c>
      <c r="BH299" t="str">
        <f ca="1">IF((OFFSET($A$1, 299 - 1, 58 - 1)) &gt;= (OFFSET($A$1, 93 - 1, 7 - 1)), "1","0")</f>
        <v>0</v>
      </c>
      <c r="BI299">
        <f ca="1" xml:space="preserve"> IF( AND( OFFSET($A$1, 299 - 1, 59 - 1) = "1", OFFSET($A$1, 299 - 1, 60 - 1) = "1" ), 1, IF( AND( OFFSET($A$1, 299 - 1, 59 - 1) = "1", OFFSET($A$1, 299 - 1, 60 - 1) = "0" ), 2, IF( AND( OFFSET($A$1, 299 - 1, 59 - 1) = "0", OFFSET($A$1, 299 - 1, 60 - 1) = "1" ), 3, 4 ) ) )</f>
        <v>4</v>
      </c>
    </row>
    <row r="300" spans="53:61" x14ac:dyDescent="0.35">
      <c r="BA300" s="3">
        <v>0.54113121761247918</v>
      </c>
      <c r="BB300" s="3" t="str">
        <f>"1"</f>
        <v>1</v>
      </c>
      <c r="BC300" t="str">
        <f ca="1">IF((OFFSET($A$1, 300 - 1, 53 - 1)) &gt;= (OFFSET($A$1, 69 - 1, 7 - 1)), "1","0")</f>
        <v>1</v>
      </c>
      <c r="BD300">
        <f ca="1" xml:space="preserve"> IF( AND( OFFSET($A$1, 300 - 1, 54 - 1) = "1", OFFSET($A$1, 300 - 1, 55 - 1) = "1" ), 1, IF( AND( OFFSET($A$1, 300 - 1, 54 - 1) = "1", OFFSET($A$1, 300 - 1, 55 - 1) = "0" ), 2, IF( AND( OFFSET($A$1, 300 - 1, 54 - 1) = "0", OFFSET($A$1, 300 - 1, 55 - 1) = "1" ), 3, 4 ) ) )</f>
        <v>1</v>
      </c>
      <c r="BF300" s="3">
        <v>0.2735946929120322</v>
      </c>
      <c r="BG300" s="3" t="str">
        <f>"1"</f>
        <v>1</v>
      </c>
      <c r="BH300" t="str">
        <f ca="1">IF((OFFSET($A$1, 300 - 1, 58 - 1)) &gt;= (OFFSET($A$1, 93 - 1, 7 - 1)), "1","0")</f>
        <v>0</v>
      </c>
      <c r="BI300">
        <f ca="1" xml:space="preserve"> IF( AND( OFFSET($A$1, 300 - 1, 59 - 1) = "1", OFFSET($A$1, 300 - 1, 60 - 1) = "1" ), 1, IF( AND( OFFSET($A$1, 300 - 1, 59 - 1) = "1", OFFSET($A$1, 300 - 1, 60 - 1) = "0" ), 2, IF( AND( OFFSET($A$1, 300 - 1, 59 - 1) = "0", OFFSET($A$1, 300 - 1, 60 - 1) = "1" ), 3, 4 ) ) )</f>
        <v>2</v>
      </c>
    </row>
    <row r="301" spans="53:61" x14ac:dyDescent="0.35">
      <c r="BA301" s="3">
        <v>0.53962884988754878</v>
      </c>
      <c r="BB301" s="3" t="str">
        <f>"1"</f>
        <v>1</v>
      </c>
      <c r="BC301" t="str">
        <f ca="1">IF((OFFSET($A$1, 301 - 1, 53 - 1)) &gt;= (OFFSET($A$1, 69 - 1, 7 - 1)), "1","0")</f>
        <v>1</v>
      </c>
      <c r="BD301">
        <f ca="1" xml:space="preserve"> IF( AND( OFFSET($A$1, 301 - 1, 54 - 1) = "1", OFFSET($A$1, 301 - 1, 55 - 1) = "1" ), 1, IF( AND( OFFSET($A$1, 301 - 1, 54 - 1) = "1", OFFSET($A$1, 301 - 1, 55 - 1) = "0" ), 2, IF( AND( OFFSET($A$1, 301 - 1, 54 - 1) = "0", OFFSET($A$1, 301 - 1, 55 - 1) = "1" ), 3, 4 ) ) )</f>
        <v>1</v>
      </c>
      <c r="BF301" s="3">
        <v>0.53887540085045893</v>
      </c>
      <c r="BG301" s="3" t="str">
        <f>"0"</f>
        <v>0</v>
      </c>
      <c r="BH301" t="str">
        <f ca="1">IF((OFFSET($A$1, 301 - 1, 58 - 1)) &gt;= (OFFSET($A$1, 93 - 1, 7 - 1)), "1","0")</f>
        <v>1</v>
      </c>
      <c r="BI301">
        <f ca="1" xml:space="preserve"> IF( AND( OFFSET($A$1, 301 - 1, 59 - 1) = "1", OFFSET($A$1, 301 - 1, 60 - 1) = "1" ), 1, IF( AND( OFFSET($A$1, 301 - 1, 59 - 1) = "1", OFFSET($A$1, 301 - 1, 60 - 1) = "0" ), 2, IF( AND( OFFSET($A$1, 301 - 1, 59 - 1) = "0", OFFSET($A$1, 301 - 1, 60 - 1) = "1" ), 3, 4 ) ) )</f>
        <v>3</v>
      </c>
    </row>
    <row r="302" spans="53:61" x14ac:dyDescent="0.35">
      <c r="BA302" s="3">
        <v>0.53812051926741133</v>
      </c>
      <c r="BB302" s="3" t="str">
        <f>"1"</f>
        <v>1</v>
      </c>
      <c r="BC302" t="str">
        <f ca="1">IF((OFFSET($A$1, 302 - 1, 53 - 1)) &gt;= (OFFSET($A$1, 69 - 1, 7 - 1)), "1","0")</f>
        <v>1</v>
      </c>
      <c r="BD302">
        <f ca="1" xml:space="preserve"> IF( AND( OFFSET($A$1, 302 - 1, 54 - 1) = "1", OFFSET($A$1, 302 - 1, 55 - 1) = "1" ), 1, IF( AND( OFFSET($A$1, 302 - 1, 54 - 1) = "1", OFFSET($A$1, 302 - 1, 55 - 1) = "0" ), 2, IF( AND( OFFSET($A$1, 302 - 1, 54 - 1) = "0", OFFSET($A$1, 302 - 1, 55 - 1) = "1" ), 3, 4 ) ) )</f>
        <v>1</v>
      </c>
      <c r="BF302" s="3">
        <v>0.27118870510464227</v>
      </c>
      <c r="BG302" s="3" t="str">
        <f>"0"</f>
        <v>0</v>
      </c>
      <c r="BH302" t="str">
        <f ca="1">IF((OFFSET($A$1, 302 - 1, 58 - 1)) &gt;= (OFFSET($A$1, 93 - 1, 7 - 1)), "1","0")</f>
        <v>0</v>
      </c>
      <c r="BI302">
        <f ca="1" xml:space="preserve"> IF( AND( OFFSET($A$1, 302 - 1, 59 - 1) = "1", OFFSET($A$1, 302 - 1, 60 - 1) = "1" ), 1, IF( AND( OFFSET($A$1, 302 - 1, 59 - 1) = "1", OFFSET($A$1, 302 - 1, 60 - 1) = "0" ), 2, IF( AND( OFFSET($A$1, 302 - 1, 59 - 1) = "0", OFFSET($A$1, 302 - 1, 60 - 1) = "1" ), 3, 4 ) ) )</f>
        <v>4</v>
      </c>
    </row>
    <row r="303" spans="53:61" x14ac:dyDescent="0.35">
      <c r="BA303" s="3">
        <v>0.53660669226245761</v>
      </c>
      <c r="BB303" s="3" t="str">
        <f>"1"</f>
        <v>1</v>
      </c>
      <c r="BC303" t="str">
        <f ca="1">IF((OFFSET($A$1, 303 - 1, 53 - 1)) &gt;= (OFFSET($A$1, 69 - 1, 7 - 1)), "1","0")</f>
        <v>1</v>
      </c>
      <c r="BD303">
        <f ca="1" xml:space="preserve"> IF( AND( OFFSET($A$1, 303 - 1, 54 - 1) = "1", OFFSET($A$1, 303 - 1, 55 - 1) = "1" ), 1, IF( AND( OFFSET($A$1, 303 - 1, 54 - 1) = "1", OFFSET($A$1, 303 - 1, 55 - 1) = "0" ), 2, IF( AND( OFFSET($A$1, 303 - 1, 54 - 1) = "0", OFFSET($A$1, 303 - 1, 55 - 1) = "1" ), 3, 4 ) ) )</f>
        <v>1</v>
      </c>
      <c r="BF303" s="3">
        <v>0.26998508955484035</v>
      </c>
      <c r="BG303" s="3" t="str">
        <f>"1"</f>
        <v>1</v>
      </c>
      <c r="BH303" t="str">
        <f ca="1">IF((OFFSET($A$1, 303 - 1, 58 - 1)) &gt;= (OFFSET($A$1, 93 - 1, 7 - 1)), "1","0")</f>
        <v>0</v>
      </c>
      <c r="BI303">
        <f ca="1" xml:space="preserve"> IF( AND( OFFSET($A$1, 303 - 1, 59 - 1) = "1", OFFSET($A$1, 303 - 1, 60 - 1) = "1" ), 1, IF( AND( OFFSET($A$1, 303 - 1, 59 - 1) = "1", OFFSET($A$1, 303 - 1, 60 - 1) = "0" ), 2, IF( AND( OFFSET($A$1, 303 - 1, 59 - 1) = "0", OFFSET($A$1, 303 - 1, 60 - 1) = "1" ), 3, 4 ) ) )</f>
        <v>2</v>
      </c>
    </row>
    <row r="304" spans="53:61" x14ac:dyDescent="0.35">
      <c r="BA304" s="3">
        <v>0.53508783818368999</v>
      </c>
      <c r="BB304" s="3" t="str">
        <f>"0"</f>
        <v>0</v>
      </c>
      <c r="BC304" t="str">
        <f ca="1">IF((OFFSET($A$1, 304 - 1, 53 - 1)) &gt;= (OFFSET($A$1, 69 - 1, 7 - 1)), "1","0")</f>
        <v>1</v>
      </c>
      <c r="BD304">
        <f ca="1" xml:space="preserve"> IF( AND( OFFSET($A$1, 304 - 1, 54 - 1) = "1", OFFSET($A$1, 304 - 1, 55 - 1) = "1" ), 1, IF( AND( OFFSET($A$1, 304 - 1, 54 - 1) = "1", OFFSET($A$1, 304 - 1, 55 - 1) = "0" ), 2, IF( AND( OFFSET($A$1, 304 - 1, 54 - 1) = "0", OFFSET($A$1, 304 - 1, 55 - 1) = "1" ), 3, 4 ) ) )</f>
        <v>3</v>
      </c>
      <c r="BF304" s="3">
        <v>0.53432667336755757</v>
      </c>
      <c r="BG304" s="3" t="str">
        <f>"1"</f>
        <v>1</v>
      </c>
      <c r="BH304" t="str">
        <f ca="1">IF((OFFSET($A$1, 304 - 1, 58 - 1)) &gt;= (OFFSET($A$1, 93 - 1, 7 - 1)), "1","0")</f>
        <v>1</v>
      </c>
      <c r="BI304">
        <f ca="1" xml:space="preserve"> IF( AND( OFFSET($A$1, 304 - 1, 59 - 1) = "1", OFFSET($A$1, 304 - 1, 60 - 1) = "1" ), 1, IF( AND( OFFSET($A$1, 304 - 1, 59 - 1) = "1", OFFSET($A$1, 304 - 1, 60 - 1) = "0" ), 2, IF( AND( OFFSET($A$1, 304 - 1, 59 - 1) = "0", OFFSET($A$1, 304 - 1, 60 - 1) = "1" ), 3, 4 ) ) )</f>
        <v>1</v>
      </c>
    </row>
    <row r="305" spans="53:61" x14ac:dyDescent="0.35">
      <c r="BA305" s="3">
        <v>0.26817999653538915</v>
      </c>
      <c r="BB305" s="3" t="str">
        <f>"0"</f>
        <v>0</v>
      </c>
      <c r="BC305" t="str">
        <f ca="1">IF((OFFSET($A$1, 305 - 1, 53 - 1)) &gt;= (OFFSET($A$1, 69 - 1, 7 - 1)), "1","0")</f>
        <v>0</v>
      </c>
      <c r="BD305">
        <f ca="1" xml:space="preserve"> IF( AND( OFFSET($A$1, 305 - 1, 54 - 1) = "1", OFFSET($A$1, 305 - 1, 55 - 1) = "1" ), 1, IF( AND( OFFSET($A$1, 305 - 1, 54 - 1) = "1", OFFSET($A$1, 305 - 1, 55 - 1) = "0" ), 2, IF( AND( OFFSET($A$1, 305 - 1, 54 - 1) = "0", OFFSET($A$1, 305 - 1, 55 - 1) = "1" ), 3, 4 ) ) )</f>
        <v>4</v>
      </c>
      <c r="BF305" s="3">
        <v>0.53280116426548296</v>
      </c>
      <c r="BG305" s="3" t="str">
        <f>"1"</f>
        <v>1</v>
      </c>
      <c r="BH305" t="str">
        <f ca="1">IF((OFFSET($A$1, 305 - 1, 58 - 1)) &gt;= (OFFSET($A$1, 93 - 1, 7 - 1)), "1","0")</f>
        <v>1</v>
      </c>
      <c r="BI305">
        <f ca="1" xml:space="preserve"> IF( AND( OFFSET($A$1, 305 - 1, 59 - 1) = "1", OFFSET($A$1, 305 - 1, 60 - 1) = "1" ), 1, IF( AND( OFFSET($A$1, 305 - 1, 59 - 1) = "1", OFFSET($A$1, 305 - 1, 60 - 1) = "0" ), 2, IF( AND( OFFSET($A$1, 305 - 1, 59 - 1) = "0", OFFSET($A$1, 305 - 1, 60 - 1) = "1" ), 3, 4 ) ) )</f>
        <v>1</v>
      </c>
    </row>
    <row r="306" spans="53:61" x14ac:dyDescent="0.35">
      <c r="BA306" s="3">
        <v>0.26697738957107287</v>
      </c>
      <c r="BB306" s="3" t="str">
        <f>"0"</f>
        <v>0</v>
      </c>
      <c r="BC306" t="str">
        <f ca="1">IF((OFFSET($A$1, 306 - 1, 53 - 1)) &gt;= (OFFSET($A$1, 69 - 1, 7 - 1)), "1","0")</f>
        <v>0</v>
      </c>
      <c r="BD306">
        <f ca="1" xml:space="preserve"> IF( AND( OFFSET($A$1, 306 - 1, 54 - 1) = "1", OFFSET($A$1, 306 - 1, 55 - 1) = "1" ), 1, IF( AND( OFFSET($A$1, 306 - 1, 54 - 1) = "1", OFFSET($A$1, 306 - 1, 55 - 1) = "0" ), 2, IF( AND( OFFSET($A$1, 306 - 1, 54 - 1) = "0", OFFSET($A$1, 306 - 1, 55 - 1) = "1" ), 3, 4 ) ) )</f>
        <v>4</v>
      </c>
      <c r="BF306" s="3">
        <v>0.53127181228817799</v>
      </c>
      <c r="BG306" s="3" t="str">
        <f>"1"</f>
        <v>1</v>
      </c>
      <c r="BH306" t="str">
        <f ca="1">IF((OFFSET($A$1, 306 - 1, 58 - 1)) &gt;= (OFFSET($A$1, 93 - 1, 7 - 1)), "1","0")</f>
        <v>1</v>
      </c>
      <c r="BI306">
        <f ca="1" xml:space="preserve"> IF( AND( OFFSET($A$1, 306 - 1, 59 - 1) = "1", OFFSET($A$1, 306 - 1, 60 - 1) = "1" ), 1, IF( AND( OFFSET($A$1, 306 - 1, 59 - 1) = "1", OFFSET($A$1, 306 - 1, 60 - 1) = "0" ), 2, IF( AND( OFFSET($A$1, 306 - 1, 59 - 1) = "0", OFFSET($A$1, 306 - 1, 60 - 1) = "1" ), 3, 4 ) ) )</f>
        <v>1</v>
      </c>
    </row>
    <row r="307" spans="53:61" x14ac:dyDescent="0.35">
      <c r="BA307" s="3">
        <v>0.2657758636299748</v>
      </c>
      <c r="BB307" s="3" t="str">
        <f>"1"</f>
        <v>1</v>
      </c>
      <c r="BC307" t="str">
        <f ca="1">IF((OFFSET($A$1, 307 - 1, 53 - 1)) &gt;= (OFFSET($A$1, 69 - 1, 7 - 1)), "1","0")</f>
        <v>0</v>
      </c>
      <c r="BD307">
        <f ca="1" xml:space="preserve"> IF( AND( OFFSET($A$1, 307 - 1, 54 - 1) = "1", OFFSET($A$1, 307 - 1, 55 - 1) = "1" ), 1, IF( AND( OFFSET($A$1, 307 - 1, 54 - 1) = "1", OFFSET($A$1, 307 - 1, 55 - 1) = "0" ), 2, IF( AND( OFFSET($A$1, 307 - 1, 54 - 1) = "0", OFFSET($A$1, 307 - 1, 55 - 1) = "1" ), 3, 4 ) ) )</f>
        <v>2</v>
      </c>
      <c r="BF307" s="3">
        <v>0.52973909493902749</v>
      </c>
      <c r="BG307" s="3" t="str">
        <f>"1"</f>
        <v>1</v>
      </c>
      <c r="BH307" t="str">
        <f ca="1">IF((OFFSET($A$1, 307 - 1, 58 - 1)) &gt;= (OFFSET($A$1, 93 - 1, 7 - 1)), "1","0")</f>
        <v>1</v>
      </c>
      <c r="BI307">
        <f ca="1" xml:space="preserve"> IF( AND( OFFSET($A$1, 307 - 1, 59 - 1) = "1", OFFSET($A$1, 307 - 1, 60 - 1) = "1" ), 1, IF( AND( OFFSET($A$1, 307 - 1, 59 - 1) = "1", OFFSET($A$1, 307 - 1, 60 - 1) = "0" ), 2, IF( AND( OFFSET($A$1, 307 - 1, 59 - 1) = "0", OFFSET($A$1, 307 - 1, 60 - 1) = "1" ), 3, 4 ) ) )</f>
        <v>1</v>
      </c>
    </row>
    <row r="308" spans="53:61" x14ac:dyDescent="0.35">
      <c r="BA308" s="3">
        <v>0.52897162398643305</v>
      </c>
      <c r="BB308" s="3" t="str">
        <f>"1"</f>
        <v>1</v>
      </c>
      <c r="BC308" t="str">
        <f ca="1">IF((OFFSET($A$1, 308 - 1, 53 - 1)) &gt;= (OFFSET($A$1, 69 - 1, 7 - 1)), "1","0")</f>
        <v>1</v>
      </c>
      <c r="BD308">
        <f ca="1" xml:space="preserve"> IF( AND( OFFSET($A$1, 308 - 1, 54 - 1) = "1", OFFSET($A$1, 308 - 1, 55 - 1) = "1" ), 1, IF( AND( OFFSET($A$1, 308 - 1, 54 - 1) = "1", OFFSET($A$1, 308 - 1, 55 - 1) = "0" ), 2, IF( AND( OFFSET($A$1, 308 - 1, 54 - 1) = "0", OFFSET($A$1, 308 - 1, 55 - 1) = "1" ), 3, 4 ) ) )</f>
        <v>1</v>
      </c>
      <c r="BF308" s="3">
        <v>0.52820349158930602</v>
      </c>
      <c r="BG308" s="3" t="str">
        <f>"1"</f>
        <v>1</v>
      </c>
      <c r="BH308" t="str">
        <f ca="1">IF((OFFSET($A$1, 308 - 1, 58 - 1)) &gt;= (OFFSET($A$1, 93 - 1, 7 - 1)), "1","0")</f>
        <v>1</v>
      </c>
      <c r="BI308">
        <f ca="1" xml:space="preserve"> IF( AND( OFFSET($A$1, 308 - 1, 59 - 1) = "1", OFFSET($A$1, 308 - 1, 60 - 1) = "1" ), 1, IF( AND( OFFSET($A$1, 308 - 1, 59 - 1) = "1", OFFSET($A$1, 308 - 1, 60 - 1) = "0" ), 2, IF( AND( OFFSET($A$1, 308 - 1, 59 - 1) = "0", OFFSET($A$1, 308 - 1, 60 - 1) = "1" ), 3, 4 ) ) )</f>
        <v>1</v>
      </c>
    </row>
    <row r="309" spans="53:61" x14ac:dyDescent="0.35">
      <c r="BA309" s="3">
        <v>0.52743475792563099</v>
      </c>
      <c r="BB309" s="3" t="str">
        <f>"0"</f>
        <v>0</v>
      </c>
      <c r="BC309" t="str">
        <f ca="1">IF((OFFSET($A$1, 309 - 1, 53 - 1)) &gt;= (OFFSET($A$1, 69 - 1, 7 - 1)), "1","0")</f>
        <v>1</v>
      </c>
      <c r="BD309">
        <f ca="1" xml:space="preserve"> IF( AND( OFFSET($A$1, 309 - 1, 54 - 1) = "1", OFFSET($A$1, 309 - 1, 55 - 1) = "1" ), 1, IF( AND( OFFSET($A$1, 309 - 1, 54 - 1) = "1", OFFSET($A$1, 309 - 1, 55 - 1) = "0" ), 2, IF( AND( OFFSET($A$1, 309 - 1, 54 - 1) = "0", OFFSET($A$1, 309 - 1, 55 - 1) = "1" ), 3, 4 ) ) )</f>
        <v>3</v>
      </c>
      <c r="BF309" s="3">
        <v>0.52666548326312557</v>
      </c>
      <c r="BG309" s="3" t="str">
        <f>"0"</f>
        <v>0</v>
      </c>
      <c r="BH309" t="str">
        <f ca="1">IF((OFFSET($A$1, 309 - 1, 58 - 1)) &gt;= (OFFSET($A$1, 93 - 1, 7 - 1)), "1","0")</f>
        <v>1</v>
      </c>
      <c r="BI309">
        <f ca="1" xml:space="preserve"> IF( AND( OFFSET($A$1, 309 - 1, 59 - 1) = "1", OFFSET($A$1, 309 - 1, 60 - 1) = "1" ), 1, IF( AND( OFFSET($A$1, 309 - 1, 59 - 1) = "1", OFFSET($A$1, 309 - 1, 60 - 1) = "0" ), 2, IF( AND( OFFSET($A$1, 309 - 1, 59 - 1) = "0", OFFSET($A$1, 309 - 1, 60 - 1) = "1" ), 3, 4 ) ) )</f>
        <v>3</v>
      </c>
    </row>
    <row r="310" spans="53:61" x14ac:dyDescent="0.35">
      <c r="BA310" s="3">
        <v>0.26218157553093718</v>
      </c>
      <c r="BB310" s="3" t="str">
        <f>"0"</f>
        <v>0</v>
      </c>
      <c r="BC310" t="str">
        <f ca="1">IF((OFFSET($A$1, 310 - 1, 53 - 1)) &gt;= (OFFSET($A$1, 69 - 1, 7 - 1)), "1","0")</f>
        <v>0</v>
      </c>
      <c r="BD310">
        <f ca="1" xml:space="preserve"> IF( AND( OFFSET($A$1, 310 - 1, 54 - 1) = "1", OFFSET($A$1, 310 - 1, 55 - 1) = "1" ), 1, IF( AND( OFFSET($A$1, 310 - 1, 54 - 1) = "1", OFFSET($A$1, 310 - 1, 55 - 1) = "0" ), 2, IF( AND( OFFSET($A$1, 310 - 1, 54 - 1) = "0", OFFSET($A$1, 310 - 1, 55 - 1) = "1" ), 3, 4 ) ) )</f>
        <v>4</v>
      </c>
      <c r="BF310" s="3">
        <v>0.26158452067580096</v>
      </c>
      <c r="BG310" s="3" t="str">
        <f>"0"</f>
        <v>0</v>
      </c>
      <c r="BH310" t="str">
        <f ca="1">IF((OFFSET($A$1, 310 - 1, 58 - 1)) &gt;= (OFFSET($A$1, 93 - 1, 7 - 1)), "1","0")</f>
        <v>0</v>
      </c>
      <c r="BI310">
        <f ca="1" xml:space="preserve"> IF( AND( OFFSET($A$1, 310 - 1, 59 - 1) = "1", OFFSET($A$1, 310 - 1, 60 - 1) = "1" ), 1, IF( AND( OFFSET($A$1, 310 - 1, 59 - 1) = "1", OFFSET($A$1, 310 - 1, 60 - 1) = "0" ), 2, IF( AND( OFFSET($A$1, 310 - 1, 59 - 1) = "0", OFFSET($A$1, 310 - 1, 60 - 1) = "1" ), 3, 4 ) ) )</f>
        <v>4</v>
      </c>
    </row>
    <row r="311" spans="53:61" x14ac:dyDescent="0.35">
      <c r="BA311" s="3">
        <v>0.26098815878573139</v>
      </c>
      <c r="BB311" s="3" t="str">
        <f>"1"</f>
        <v>1</v>
      </c>
      <c r="BC311" t="str">
        <f ca="1">IF((OFFSET($A$1, 311 - 1, 53 - 1)) &gt;= (OFFSET($A$1, 69 - 1, 7 - 1)), "1","0")</f>
        <v>0</v>
      </c>
      <c r="BD311">
        <f ca="1" xml:space="preserve"> IF( AND( OFFSET($A$1, 311 - 1, 54 - 1) = "1", OFFSET($A$1, 311 - 1, 55 - 1) = "1" ), 1, IF( AND( OFFSET($A$1, 311 - 1, 54 - 1) = "1", OFFSET($A$1, 311 - 1, 55 - 1) = "0" ), 2, IF( AND( OFFSET($A$1, 311 - 1, 54 - 1) = "0", OFFSET($A$1, 311 - 1, 55 - 1) = "1" ), 3, 4 ) ) )</f>
        <v>2</v>
      </c>
      <c r="BF311" s="3">
        <v>0.26039253560468523</v>
      </c>
      <c r="BG311" s="3" t="str">
        <f>"1"</f>
        <v>1</v>
      </c>
      <c r="BH311" t="str">
        <f ca="1">IF((OFFSET($A$1, 311 - 1, 58 - 1)) &gt;= (OFFSET($A$1, 93 - 1, 7 - 1)), "1","0")</f>
        <v>0</v>
      </c>
      <c r="BI311">
        <f ca="1" xml:space="preserve"> IF( AND( OFFSET($A$1, 311 - 1, 59 - 1) = "1", OFFSET($A$1, 311 - 1, 60 - 1) = "1" ), 1, IF( AND( OFFSET($A$1, 311 - 1, 59 - 1) = "1", OFFSET($A$1, 311 - 1, 60 - 1) = "0" ), 2, IF( AND( OFFSET($A$1, 311 - 1, 59 - 1) = "0", OFFSET($A$1, 311 - 1, 60 - 1) = "1" ), 3, 4 ) ) )</f>
        <v>2</v>
      </c>
    </row>
    <row r="312" spans="53:61" x14ac:dyDescent="0.35">
      <c r="BA312" s="3">
        <v>0.52281310975565731</v>
      </c>
      <c r="BB312" s="3" t="str">
        <f>"0"</f>
        <v>0</v>
      </c>
      <c r="BC312" t="str">
        <f ca="1">IF((OFFSET($A$1, 312 - 1, 53 - 1)) &gt;= (OFFSET($A$1, 69 - 1, 7 - 1)), "1","0")</f>
        <v>1</v>
      </c>
      <c r="BD312">
        <f ca="1" xml:space="preserve"> IF( AND( OFFSET($A$1, 312 - 1, 54 - 1) = "1", OFFSET($A$1, 312 - 1, 55 - 1) = "1" ), 1, IF( AND( OFFSET($A$1, 312 - 1, 54 - 1) = "1", OFFSET($A$1, 312 - 1, 55 - 1) = "0" ), 2, IF( AND( OFFSET($A$1, 312 - 1, 54 - 1) = "0", OFFSET($A$1, 312 - 1, 55 - 1) = "1" ), 3, 4 ) ) )</f>
        <v>3</v>
      </c>
      <c r="BF312" s="3">
        <v>0.52204185888223442</v>
      </c>
      <c r="BG312" s="3" t="str">
        <f>"0"</f>
        <v>0</v>
      </c>
      <c r="BH312" t="str">
        <f ca="1">IF((OFFSET($A$1, 312 - 1, 58 - 1)) &gt;= (OFFSET($A$1, 93 - 1, 7 - 1)), "1","0")</f>
        <v>1</v>
      </c>
      <c r="BI312">
        <f ca="1" xml:space="preserve"> IF( AND( OFFSET($A$1, 312 - 1, 59 - 1) = "1", OFFSET($A$1, 312 - 1, 60 - 1) = "1" ), 1, IF( AND( OFFSET($A$1, 312 - 1, 59 - 1) = "1", OFFSET($A$1, 312 - 1, 60 - 1) = "0" ), 2, IF( AND( OFFSET($A$1, 312 - 1, 59 - 1) = "0", OFFSET($A$1, 312 - 1, 60 - 1) = "1" ), 3, 4 ) ) )</f>
        <v>3</v>
      </c>
    </row>
    <row r="313" spans="53:61" x14ac:dyDescent="0.35">
      <c r="BA313" s="3">
        <v>0.25861055183579207</v>
      </c>
      <c r="BB313" s="3" t="str">
        <f>"0"</f>
        <v>0</v>
      </c>
      <c r="BC313" t="str">
        <f ca="1">IF((OFFSET($A$1, 313 - 1, 53 - 1)) &gt;= (OFFSET($A$1, 69 - 1, 7 - 1)), "1","0")</f>
        <v>0</v>
      </c>
      <c r="BD313">
        <f ca="1" xml:space="preserve"> IF( AND( OFFSET($A$1, 313 - 1, 54 - 1) = "1", OFFSET($A$1, 313 - 1, 55 - 1) = "1" ), 1, IF( AND( OFFSET($A$1, 313 - 1, 54 - 1) = "1", OFFSET($A$1, 313 - 1, 55 - 1) = "0" ), 2, IF( AND( OFFSET($A$1, 313 - 1, 54 - 1) = "0", OFFSET($A$1, 313 - 1, 55 - 1) = "1" ), 3, 4 ) ) )</f>
        <v>4</v>
      </c>
      <c r="BF313" s="3">
        <v>0.25801833567606808</v>
      </c>
      <c r="BG313" s="3" t="str">
        <f>"0"</f>
        <v>0</v>
      </c>
      <c r="BH313" t="str">
        <f ca="1">IF((OFFSET($A$1, 313 - 1, 58 - 1)) &gt;= (OFFSET($A$1, 93 - 1, 7 - 1)), "1","0")</f>
        <v>0</v>
      </c>
      <c r="BI313">
        <f ca="1" xml:space="preserve"> IF( AND( OFFSET($A$1, 313 - 1, 59 - 1) = "1", OFFSET($A$1, 313 - 1, 60 - 1) = "1" ), 1, IF( AND( OFFSET($A$1, 313 - 1, 59 - 1) = "1", OFFSET($A$1, 313 - 1, 60 - 1) = "0" ), 2, IF( AND( OFFSET($A$1, 313 - 1, 59 - 1) = "0", OFFSET($A$1, 313 - 1, 60 - 1) = "1" ), 3, 4 ) ) )</f>
        <v>4</v>
      </c>
    </row>
    <row r="314" spans="53:61" x14ac:dyDescent="0.35">
      <c r="BA314" s="3">
        <v>0.25742708296934247</v>
      </c>
      <c r="BB314" s="3" t="str">
        <f>"0"</f>
        <v>0</v>
      </c>
      <c r="BC314" t="str">
        <f ca="1">IF((OFFSET($A$1, 314 - 1, 53 - 1)) &gt;= (OFFSET($A$1, 69 - 1, 7 - 1)), "1","0")</f>
        <v>0</v>
      </c>
      <c r="BD314">
        <f ca="1" xml:space="preserve"> IF( AND( OFFSET($A$1, 314 - 1, 54 - 1) = "1", OFFSET($A$1, 314 - 1, 55 - 1) = "1" ), 1, IF( AND( OFFSET($A$1, 314 - 1, 54 - 1) = "1", OFFSET($A$1, 314 - 1, 55 - 1) = "0" ), 2, IF( AND( OFFSET($A$1, 314 - 1, 54 - 1) = "0", OFFSET($A$1, 314 - 1, 55 - 1) = "1" ), 3, 4 ) ) )</f>
        <v>4</v>
      </c>
      <c r="BF314" s="3">
        <v>0.25683683784172495</v>
      </c>
      <c r="BG314" s="3" t="str">
        <f>"0"</f>
        <v>0</v>
      </c>
      <c r="BH314" t="str">
        <f ca="1">IF((OFFSET($A$1, 314 - 1, 58 - 1)) &gt;= (OFFSET($A$1, 93 - 1, 7 - 1)), "1","0")</f>
        <v>0</v>
      </c>
      <c r="BI314">
        <f ca="1" xml:space="preserve"> IF( AND( OFFSET($A$1, 314 - 1, 59 - 1) = "1", OFFSET($A$1, 314 - 1, 60 - 1) = "1" ), 1, IF( AND( OFFSET($A$1, 314 - 1, 59 - 1) = "1", OFFSET($A$1, 314 - 1, 60 - 1) = "0" ), 2, IF( AND( OFFSET($A$1, 314 - 1, 59 - 1) = "0", OFFSET($A$1, 314 - 1, 60 - 1) = "1" ), 3, 4 ) ) )</f>
        <v>4</v>
      </c>
    </row>
    <row r="315" spans="53:61" x14ac:dyDescent="0.35">
      <c r="BA315" s="3">
        <v>0.25624764413636092</v>
      </c>
      <c r="BB315" s="3" t="str">
        <f>"1"</f>
        <v>1</v>
      </c>
      <c r="BC315" t="str">
        <f ca="1">IF((OFFSET($A$1, 315 - 1, 53 - 1)) &gt;= (OFFSET($A$1, 69 - 1, 7 - 1)), "1","0")</f>
        <v>0</v>
      </c>
      <c r="BD315">
        <f ca="1" xml:space="preserve"> IF( AND( OFFSET($A$1, 315 - 1, 54 - 1) = "1", OFFSET($A$1, 315 - 1, 55 - 1) = "1" ), 1, IF( AND( OFFSET($A$1, 315 - 1, 54 - 1) = "1", OFFSET($A$1, 315 - 1, 55 - 1) = "0" ), 2, IF( AND( OFFSET($A$1, 315 - 1, 54 - 1) = "0", OFFSET($A$1, 315 - 1, 55 - 1) = "1" ), 3, 4 ) ) )</f>
        <v>2</v>
      </c>
      <c r="BF315" s="3">
        <v>0.25565954540987884</v>
      </c>
      <c r="BG315" s="3" t="str">
        <f>"0"</f>
        <v>0</v>
      </c>
      <c r="BH315" t="str">
        <f ca="1">IF((OFFSET($A$1, 315 - 1, 58 - 1)) &gt;= (OFFSET($A$1, 93 - 1, 7 - 1)), "1","0")</f>
        <v>0</v>
      </c>
      <c r="BI315">
        <f ca="1" xml:space="preserve"> IF( AND( OFFSET($A$1, 315 - 1, 59 - 1) = "1", OFFSET($A$1, 315 - 1, 60 - 1) = "1" ), 1, IF( AND( OFFSET($A$1, 315 - 1, 59 - 1) = "1", OFFSET($A$1, 315 - 1, 60 - 1) = "0" ), 2, IF( AND( OFFSET($A$1, 315 - 1, 59 - 1) = "0", OFFSET($A$1, 315 - 1, 60 - 1) = "1" ), 3, 4 ) ) )</f>
        <v>4</v>
      </c>
    </row>
    <row r="316" spans="53:61" x14ac:dyDescent="0.35">
      <c r="BA316" s="3">
        <v>0.5166432242536767</v>
      </c>
      <c r="BB316" s="3" t="str">
        <f>"1"</f>
        <v>1</v>
      </c>
      <c r="BC316" t="str">
        <f ca="1">IF((OFFSET($A$1, 316 - 1, 53 - 1)) &gt;= (OFFSET($A$1, 69 - 1, 7 - 1)), "1","0")</f>
        <v>1</v>
      </c>
      <c r="BD316">
        <f ca="1" xml:space="preserve"> IF( AND( OFFSET($A$1, 316 - 1, 54 - 1) = "1", OFFSET($A$1, 316 - 1, 55 - 1) = "1" ), 1, IF( AND( OFFSET($A$1, 316 - 1, 54 - 1) = "1", OFFSET($A$1, 316 - 1, 55 - 1) = "0" ), 2, IF( AND( OFFSET($A$1, 316 - 1, 54 - 1) = "0", OFFSET($A$1, 316 - 1, 55 - 1) = "1" ), 3, 4 ) ) )</f>
        <v>1</v>
      </c>
      <c r="BF316" s="3">
        <v>0.2544868056668203</v>
      </c>
      <c r="BG316" s="3" t="str">
        <f>"0"</f>
        <v>0</v>
      </c>
      <c r="BH316" t="str">
        <f ca="1">IF((OFFSET($A$1, 316 - 1, 58 - 1)) &gt;= (OFFSET($A$1, 93 - 1, 7 - 1)), "1","0")</f>
        <v>0</v>
      </c>
      <c r="BI316">
        <f ca="1" xml:space="preserve"> IF( AND( OFFSET($A$1, 316 - 1, 59 - 1) = "1", OFFSET($A$1, 316 - 1, 60 - 1) = "1" ), 1, IF( AND( OFFSET($A$1, 316 - 1, 59 - 1) = "1", OFFSET($A$1, 316 - 1, 60 - 1) = "0" ), 2, IF( AND( OFFSET($A$1, 316 - 1, 59 - 1) = "0", OFFSET($A$1, 316 - 1, 60 - 1) = "1" ), 3, 4 ) ) )</f>
        <v>4</v>
      </c>
    </row>
    <row r="317" spans="53:61" x14ac:dyDescent="0.35">
      <c r="BA317" s="3">
        <v>0.51510261991154038</v>
      </c>
      <c r="BB317" s="3" t="str">
        <f>"1"</f>
        <v>1</v>
      </c>
      <c r="BC317" t="str">
        <f ca="1">IF((OFFSET($A$1, 317 - 1, 53 - 1)) &gt;= (OFFSET($A$1, 69 - 1, 7 - 1)), "1","0")</f>
        <v>1</v>
      </c>
      <c r="BD317">
        <f ca="1" xml:space="preserve"> IF( AND( OFFSET($A$1, 317 - 1, 54 - 1) = "1", OFFSET($A$1, 317 - 1, 55 - 1) = "1" ), 1, IF( AND( OFFSET($A$1, 317 - 1, 54 - 1) = "1", OFFSET($A$1, 317 - 1, 55 - 1) = "0" ), 2, IF( AND( OFFSET($A$1, 317 - 1, 54 - 1) = "0", OFFSET($A$1, 317 - 1, 55 - 1) = "1" ), 3, 4 ) ) )</f>
        <v>1</v>
      </c>
      <c r="BF317" s="3">
        <v>0.25331896120620256</v>
      </c>
      <c r="BG317" s="3" t="str">
        <f>"1"</f>
        <v>1</v>
      </c>
      <c r="BH317" t="str">
        <f ca="1">IF((OFFSET($A$1, 317 - 1, 58 - 1)) &gt;= (OFFSET($A$1, 93 - 1, 7 - 1)), "1","0")</f>
        <v>0</v>
      </c>
      <c r="BI317">
        <f ca="1" xml:space="preserve"> IF( AND( OFFSET($A$1, 317 - 1, 59 - 1) = "1", OFFSET($A$1, 317 - 1, 60 - 1) = "1" ), 1, IF( AND( OFFSET($A$1, 317 - 1, 59 - 1) = "1", OFFSET($A$1, 317 - 1, 60 - 1) = "0" ), 2, IF( AND( OFFSET($A$1, 317 - 1, 59 - 1) = "0", OFFSET($A$1, 317 - 1, 60 - 1) = "1" ), 3, 4 ) ) )</f>
        <v>2</v>
      </c>
    </row>
    <row r="318" spans="53:61" x14ac:dyDescent="0.35">
      <c r="BA318" s="3">
        <v>0.51356373489836793</v>
      </c>
      <c r="BB318" s="3" t="str">
        <f>"0"</f>
        <v>0</v>
      </c>
      <c r="BC318" t="str">
        <f ca="1">IF((OFFSET($A$1, 318 - 1, 53 - 1)) &gt;= (OFFSET($A$1, 69 - 1, 7 - 1)), "1","0")</f>
        <v>1</v>
      </c>
      <c r="BD318">
        <f ca="1" xml:space="preserve"> IF( AND( OFFSET($A$1, 318 - 1, 54 - 1) = "1", OFFSET($A$1, 318 - 1, 55 - 1) = "1" ), 1, IF( AND( OFFSET($A$1, 318 - 1, 54 - 1) = "1", OFFSET($A$1, 318 - 1, 55 - 1) = "0" ), 2, IF( AND( OFFSET($A$1, 318 - 1, 54 - 1) = "0", OFFSET($A$1, 318 - 1, 55 - 1) = "1" ), 3, 4 ) ) )</f>
        <v>3</v>
      </c>
      <c r="BF318" s="3">
        <v>0.5127950889410311</v>
      </c>
      <c r="BG318" s="3" t="str">
        <f>"1"</f>
        <v>1</v>
      </c>
      <c r="BH318" t="str">
        <f ca="1">IF((OFFSET($A$1, 318 - 1, 58 - 1)) &gt;= (OFFSET($A$1, 93 - 1, 7 - 1)), "1","0")</f>
        <v>1</v>
      </c>
      <c r="BI318">
        <f ca="1" xml:space="preserve"> IF( AND( OFFSET($A$1, 318 - 1, 59 - 1) = "1", OFFSET($A$1, 318 - 1, 60 - 1) = "1" ), 1, IF( AND( OFFSET($A$1, 318 - 1, 59 - 1) = "1", OFFSET($A$1, 318 - 1, 60 - 1) = "0" ), 2, IF( AND( OFFSET($A$1, 318 - 1, 59 - 1) = "0", OFFSET($A$1, 318 - 1, 60 - 1) = "1" ), 3, 4 ) ) )</f>
        <v>1</v>
      </c>
    </row>
    <row r="319" spans="53:61" x14ac:dyDescent="0.35">
      <c r="BA319" s="3">
        <v>0.25157711076796163</v>
      </c>
      <c r="BB319" s="3" t="str">
        <f>"0"</f>
        <v>0</v>
      </c>
      <c r="BC319" t="str">
        <f ca="1">IF((OFFSET($A$1, 319 - 1, 53 - 1)) &gt;= (OFFSET($A$1, 69 - 1, 7 - 1)), "1","0")</f>
        <v>0</v>
      </c>
      <c r="BD319">
        <f ca="1" xml:space="preserve"> IF( AND( OFFSET($A$1, 319 - 1, 54 - 1) = "1", OFFSET($A$1, 319 - 1, 55 - 1) = "1" ), 1, IF( AND( OFFSET($A$1, 319 - 1, 54 - 1) = "1", OFFSET($A$1, 319 - 1, 55 - 1) = "0" ), 2, IF( AND( OFFSET($A$1, 319 - 1, 54 - 1) = "0", OFFSET($A$1, 319 - 1, 55 - 1) = "1" ), 3, 4 ) ) )</f>
        <v>4</v>
      </c>
      <c r="BF319" s="3">
        <v>0.51125969337584376</v>
      </c>
      <c r="BG319" s="3" t="str">
        <f>"1"</f>
        <v>1</v>
      </c>
      <c r="BH319" t="str">
        <f ca="1">IF((OFFSET($A$1, 319 - 1, 58 - 1)) &gt;= (OFFSET($A$1, 93 - 1, 7 - 1)), "1","0")</f>
        <v>1</v>
      </c>
      <c r="BI319">
        <f ca="1" xml:space="preserve"> IF( AND( OFFSET($A$1, 319 - 1, 59 - 1) = "1", OFFSET($A$1, 319 - 1, 60 - 1) = "1" ), 1, IF( AND( OFFSET($A$1, 319 - 1, 59 - 1) = "1", OFFSET($A$1, 319 - 1, 60 - 1) = "0" ), 2, IF( AND( OFFSET($A$1, 319 - 1, 59 - 1) = "0", OFFSET($A$1, 319 - 1, 60 - 1) = "1" ), 3, 4 ) ) )</f>
        <v>1</v>
      </c>
    </row>
    <row r="320" spans="53:61" x14ac:dyDescent="0.35">
      <c r="BA320" s="3">
        <v>0.25042297165338501</v>
      </c>
      <c r="BB320" s="3" t="str">
        <f>"0"</f>
        <v>0</v>
      </c>
      <c r="BC320" t="str">
        <f ca="1">IF((OFFSET($A$1, 320 - 1, 53 - 1)) &gt;= (OFFSET($A$1, 69 - 1, 7 - 1)), "1","0")</f>
        <v>0</v>
      </c>
      <c r="BD320">
        <f ca="1" xml:space="preserve"> IF( AND( OFFSET($A$1, 320 - 1, 54 - 1) = "1", OFFSET($A$1, 320 - 1, 55 - 1) = "1" ), 1, IF( AND( OFFSET($A$1, 320 - 1, 54 - 1) = "1", OFFSET($A$1, 320 - 1, 55 - 1) = "0" ), 2, IF( AND( OFFSET($A$1, 320 - 1, 54 - 1) = "0", OFFSET($A$1, 320 - 1, 55 - 1) = "1" ), 3, 4 ) ) )</f>
        <v>4</v>
      </c>
      <c r="BF320" s="3">
        <v>0.50972722999678555</v>
      </c>
      <c r="BG320" s="3" t="str">
        <f>"1"</f>
        <v>1</v>
      </c>
      <c r="BH320" t="str">
        <f ca="1">IF((OFFSET($A$1, 320 - 1, 58 - 1)) &gt;= (OFFSET($A$1, 93 - 1, 7 - 1)), "1","0")</f>
        <v>1</v>
      </c>
      <c r="BI320">
        <f ca="1" xml:space="preserve"> IF( AND( OFFSET($A$1, 320 - 1, 59 - 1) = "1", OFFSET($A$1, 320 - 1, 60 - 1) = "1" ), 1, IF( AND( OFFSET($A$1, 320 - 1, 59 - 1) = "1", OFFSET($A$1, 320 - 1, 60 - 1) = "0" ), 2, IF( AND( OFFSET($A$1, 320 - 1, 59 - 1) = "0", OFFSET($A$1, 320 - 1, 60 - 1) = "1" ), 3, 4 ) ) )</f>
        <v>1</v>
      </c>
    </row>
    <row r="321" spans="53:61" x14ac:dyDescent="0.35">
      <c r="BA321" s="3">
        <v>0.2492748885148553</v>
      </c>
      <c r="BB321" s="3" t="str">
        <f>"1"</f>
        <v>1</v>
      </c>
      <c r="BC321" t="str">
        <f ca="1">IF((OFFSET($A$1, 321 - 1, 53 - 1)) &gt;= (OFFSET($A$1, 69 - 1, 7 - 1)), "1","0")</f>
        <v>0</v>
      </c>
      <c r="BD321">
        <f ca="1" xml:space="preserve"> IF( AND( OFFSET($A$1, 321 - 1, 54 - 1) = "1", OFFSET($A$1, 321 - 1, 55 - 1) = "1" ), 1, IF( AND( OFFSET($A$1, 321 - 1, 54 - 1) = "1", OFFSET($A$1, 321 - 1, 55 - 1) = "0" ), 2, IF( AND( OFFSET($A$1, 321 - 1, 54 - 1) = "0", OFFSET($A$1, 321 - 1, 55 - 1) = "1" ), 3, 4 ) ) )</f>
        <v>2</v>
      </c>
      <c r="BF321" s="3">
        <v>0.5081981823552455</v>
      </c>
      <c r="BG321" s="3" t="str">
        <f>"0"</f>
        <v>0</v>
      </c>
      <c r="BH321" t="str">
        <f ca="1">IF((OFFSET($A$1, 321 - 1, 58 - 1)) &gt;= (OFFSET($A$1, 93 - 1, 7 - 1)), "1","0")</f>
        <v>1</v>
      </c>
      <c r="BI321">
        <f ca="1" xml:space="preserve"> IF( AND( OFFSET($A$1, 321 - 1, 59 - 1) = "1", OFFSET($A$1, 321 - 1, 60 - 1) = "1" ), 1, IF( AND( OFFSET($A$1, 321 - 1, 59 - 1) = "1", OFFSET($A$1, 321 - 1, 60 - 1) = "0" ), 2, IF( AND( OFFSET($A$1, 321 - 1, 59 - 1) = "0", OFFSET($A$1, 321 - 1, 60 - 1) = "1" ), 3, 4 ) ) )</f>
        <v>3</v>
      </c>
    </row>
    <row r="322" spans="53:61" x14ac:dyDescent="0.35">
      <c r="BA322" s="3">
        <v>0.50743509021212396</v>
      </c>
      <c r="BB322" s="3" t="str">
        <f>"1"</f>
        <v>1</v>
      </c>
      <c r="BC322" t="str">
        <f ca="1">IF((OFFSET($A$1, 322 - 1, 53 - 1)) &gt;= (OFFSET($A$1, 69 - 1, 7 - 1)), "1","0")</f>
        <v>1</v>
      </c>
      <c r="BD322">
        <f ca="1" xml:space="preserve"> IF( AND( OFFSET($A$1, 322 - 1, 54 - 1) = "1", OFFSET($A$1, 322 - 1, 55 - 1) = "1" ), 1, IF( AND( OFFSET($A$1, 322 - 1, 54 - 1) = "1", OFFSET($A$1, 322 - 1, 55 - 1) = "0" ), 2, IF( AND( OFFSET($A$1, 322 - 1, 54 - 1) = "0", OFFSET($A$1, 322 - 1, 55 - 1) = "1" ), 3, 4 ) ) )</f>
        <v>1</v>
      </c>
      <c r="BF322" s="3">
        <v>0.24756481798890584</v>
      </c>
      <c r="BG322" s="3" t="str">
        <f>"0"</f>
        <v>0</v>
      </c>
      <c r="BH322" t="str">
        <f ca="1">IF((OFFSET($A$1, 322 - 1, 58 - 1)) &gt;= (OFFSET($A$1, 93 - 1, 7 - 1)), "1","0")</f>
        <v>0</v>
      </c>
      <c r="BI322">
        <f ca="1" xml:space="preserve"> IF( AND( OFFSET($A$1, 322 - 1, 59 - 1) = "1", OFFSET($A$1, 322 - 1, 60 - 1) = "1" ), 1, IF( AND( OFFSET($A$1, 322 - 1, 59 - 1) = "1", OFFSET($A$1, 322 - 1, 60 - 1) = "0" ), 2, IF( AND( OFFSET($A$1, 322 - 1, 59 - 1) = "0", OFFSET($A$1, 322 - 1, 60 - 1) = "1" ), 3, 4 ) ) )</f>
        <v>4</v>
      </c>
    </row>
    <row r="323" spans="53:61" x14ac:dyDescent="0.35">
      <c r="BA323" s="3">
        <v>0.50591207005740835</v>
      </c>
      <c r="BB323" s="3" t="str">
        <f>"0"</f>
        <v>0</v>
      </c>
      <c r="BC323" t="str">
        <f ca="1">IF((OFFSET($A$1, 323 - 1, 53 - 1)) &gt;= (OFFSET($A$1, 69 - 1, 7 - 1)), "1","0")</f>
        <v>1</v>
      </c>
      <c r="BD323">
        <f ca="1" xml:space="preserve"> IF( AND( OFFSET($A$1, 323 - 1, 54 - 1) = "1", OFFSET($A$1, 323 - 1, 55 - 1) = "1" ), 1, IF( AND( OFFSET($A$1, 323 - 1, 54 - 1) = "1", OFFSET($A$1, 323 - 1, 55 - 1) = "0" ), 2, IF( AND( OFFSET($A$1, 323 - 1, 54 - 1) = "0", OFFSET($A$1, 323 - 1, 55 - 1) = "1" ), 3, 4 ) ) )</f>
        <v>3</v>
      </c>
      <c r="BF323" s="3">
        <v>0.24643326472073976</v>
      </c>
      <c r="BG323" s="3" t="str">
        <f>"1"</f>
        <v>1</v>
      </c>
      <c r="BH323" t="str">
        <f ca="1">IF((OFFSET($A$1, 323 - 1, 58 - 1)) &gt;= (OFFSET($A$1, 93 - 1, 7 - 1)), "1","0")</f>
        <v>0</v>
      </c>
      <c r="BI323">
        <f ca="1" xml:space="preserve"> IF( AND( OFFSET($A$1, 323 - 1, 59 - 1) = "1", OFFSET($A$1, 323 - 1, 60 - 1) = "1" ), 1, IF( AND( OFFSET($A$1, 323 - 1, 59 - 1) = "1", OFFSET($A$1, 323 - 1, 60 - 1) = "0" ), 2, IF( AND( OFFSET($A$1, 323 - 1, 59 - 1) = "0", OFFSET($A$1, 323 - 1, 60 - 1) = "1" ), 3, 4 ) ) )</f>
        <v>2</v>
      </c>
    </row>
    <row r="324" spans="53:61" x14ac:dyDescent="0.35">
      <c r="BA324" s="3">
        <v>0.24587015191368969</v>
      </c>
      <c r="BB324" s="3" t="str">
        <f>"0"</f>
        <v>0</v>
      </c>
      <c r="BC324" t="str">
        <f ca="1">IF((OFFSET($A$1, 324 - 1, 53 - 1)) &gt;= (OFFSET($A$1, 69 - 1, 7 - 1)), "1","0")</f>
        <v>0</v>
      </c>
      <c r="BD324">
        <f ca="1" xml:space="preserve"> IF( AND( OFFSET($A$1, 324 - 1, 54 - 1) = "1", OFFSET($A$1, 324 - 1, 55 - 1) = "1" ), 1, IF( AND( OFFSET($A$1, 324 - 1, 54 - 1) = "1", OFFSET($A$1, 324 - 1, 55 - 1) = "0" ), 2, IF( AND( OFFSET($A$1, 324 - 1, 54 - 1) = "0", OFFSET($A$1, 324 - 1, 55 - 1) = "1" ), 3, 4 ) ) )</f>
        <v>4</v>
      </c>
      <c r="BF324" s="3">
        <v>0.5036363494126942</v>
      </c>
      <c r="BG324" s="3" t="str">
        <f>"0"</f>
        <v>0</v>
      </c>
      <c r="BH324" t="str">
        <f ca="1">IF((OFFSET($A$1, 324 - 1, 58 - 1)) &gt;= (OFFSET($A$1, 93 - 1, 7 - 1)), "1","0")</f>
        <v>1</v>
      </c>
      <c r="BI324">
        <f ca="1" xml:space="preserve"> IF( AND( OFFSET($A$1, 324 - 1, 59 - 1) = "1", OFFSET($A$1, 324 - 1, 60 - 1) = "1" ), 1, IF( AND( OFFSET($A$1, 324 - 1, 59 - 1) = "1", OFFSET($A$1, 324 - 1, 60 - 1) = "0" ), 2, IF( AND( OFFSET($A$1, 324 - 1, 59 - 1) = "0", OFFSET($A$1, 324 - 1, 60 - 1) = "1" ), 3, 4 ) ) )</f>
        <v>3</v>
      </c>
    </row>
    <row r="325" spans="53:61" x14ac:dyDescent="0.35">
      <c r="BA325" s="3">
        <v>0.24474944346349109</v>
      </c>
      <c r="BB325" s="3" t="str">
        <f>"0"</f>
        <v>0</v>
      </c>
      <c r="BC325" t="str">
        <f ca="1">IF((OFFSET($A$1, 325 - 1, 53 - 1)) &gt;= (OFFSET($A$1, 69 - 1, 7 - 1)), "1","0")</f>
        <v>0</v>
      </c>
      <c r="BD325">
        <f ca="1" xml:space="preserve"> IF( AND( OFFSET($A$1, 325 - 1, 54 - 1) = "1", OFFSET($A$1, 325 - 1, 55 - 1) = "1" ), 1, IF( AND( OFFSET($A$1, 325 - 1, 54 - 1) = "1", OFFSET($A$1, 325 - 1, 55 - 1) = "0" ), 2, IF( AND( OFFSET($A$1, 325 - 1, 54 - 1) = "0", OFFSET($A$1, 325 - 1, 55 - 1) = "1" ), 3, 4 ) ) )</f>
        <v>4</v>
      </c>
      <c r="BF325" s="3">
        <v>0.2441919226167229</v>
      </c>
      <c r="BG325" s="3" t="str">
        <f>"1"</f>
        <v>1</v>
      </c>
      <c r="BH325" t="str">
        <f ca="1">IF((OFFSET($A$1, 325 - 1, 58 - 1)) &gt;= (OFFSET($A$1, 93 - 1, 7 - 1)), "1","0")</f>
        <v>0</v>
      </c>
      <c r="BI325">
        <f ca="1" xml:space="preserve"> IF( AND( OFFSET($A$1, 325 - 1, 59 - 1) = "1", OFFSET($A$1, 325 - 1, 60 - 1) = "1" ), 1, IF( AND( OFFSET($A$1, 325 - 1, 59 - 1) = "1", OFFSET($A$1, 325 - 1, 60 - 1) = "0" ), 2, IF( AND( OFFSET($A$1, 325 - 1, 59 - 1) = "0", OFFSET($A$1, 325 - 1, 60 - 1) = "1" ), 3, 4 ) ) )</f>
        <v>2</v>
      </c>
    </row>
    <row r="326" spans="53:61" x14ac:dyDescent="0.35">
      <c r="BA326" s="3">
        <v>0.24363633998967249</v>
      </c>
      <c r="BB326" s="3" t="str">
        <f>"1"</f>
        <v>1</v>
      </c>
      <c r="BC326" t="str">
        <f ca="1">IF((OFFSET($A$1, 326 - 1, 53 - 1)) &gt;= (OFFSET($A$1, 69 - 1, 7 - 1)), "1","0")</f>
        <v>0</v>
      </c>
      <c r="BD326">
        <f ca="1" xml:space="preserve"> IF( AND( OFFSET($A$1, 326 - 1, 54 - 1) = "1", OFFSET($A$1, 326 - 1, 55 - 1) = "1" ), 1, IF( AND( OFFSET($A$1, 326 - 1, 54 - 1) = "1", OFFSET($A$1, 326 - 1, 55 - 1) = "0" ), 2, IF( AND( OFFSET($A$1, 326 - 1, 54 - 1) = "0", OFFSET($A$1, 326 - 1, 55 - 1) = "1" ), 3, 4 ) ) )</f>
        <v>2</v>
      </c>
      <c r="BF326" s="3">
        <v>0.50062100525925191</v>
      </c>
      <c r="BG326" s="3" t="str">
        <f>"1"</f>
        <v>1</v>
      </c>
      <c r="BH326" t="str">
        <f ca="1">IF((OFFSET($A$1, 326 - 1, 58 - 1)) &gt;= (OFFSET($A$1, 93 - 1, 7 - 1)), "1","0")</f>
        <v>1</v>
      </c>
      <c r="BI326">
        <f ca="1" xml:space="preserve"> IF( AND( OFFSET($A$1, 326 - 1, 59 - 1) = "1", OFFSET($A$1, 326 - 1, 60 - 1) = "1" ), 1, IF( AND( OFFSET($A$1, 326 - 1, 59 - 1) = "1", OFFSET($A$1, 326 - 1, 60 - 1) = "0" ), 2, IF( AND( OFFSET($A$1, 326 - 1, 59 - 1) = "0", OFFSET($A$1, 326 - 1, 60 - 1) = "1" ), 3, 4 ) ) )</f>
        <v>1</v>
      </c>
    </row>
    <row r="327" spans="53:61" x14ac:dyDescent="0.35">
      <c r="BA327" s="3">
        <v>0.49987094863073944</v>
      </c>
      <c r="BB327" s="3" t="str">
        <f>"0"</f>
        <v>0</v>
      </c>
      <c r="BC327" t="str">
        <f ca="1">IF((OFFSET($A$1, 327 - 1, 53 - 1)) &gt;= (OFFSET($A$1, 69 - 1, 7 - 1)), "1","0")</f>
        <v>0</v>
      </c>
      <c r="BD327">
        <f ca="1" xml:space="preserve"> IF( AND( OFFSET($A$1, 327 - 1, 54 - 1) = "1", OFFSET($A$1, 327 - 1, 55 - 1) = "1" ), 1, IF( AND( OFFSET($A$1, 327 - 1, 54 - 1) = "1", OFFSET($A$1, 327 - 1, 55 - 1) = "0" ), 2, IF( AND( OFFSET($A$1, 327 - 1, 54 - 1) = "0", OFFSET($A$1, 327 - 1, 55 - 1) = "1" ), 3, 4 ) ) )</f>
        <v>4</v>
      </c>
      <c r="BF327" s="3">
        <v>0.4991225217436755</v>
      </c>
      <c r="BG327" s="3" t="str">
        <f>"0"</f>
        <v>0</v>
      </c>
      <c r="BH327" t="str">
        <f ca="1">IF((OFFSET($A$1, 327 - 1, 58 - 1)) &gt;= (OFFSET($A$1, 93 - 1, 7 - 1)), "1","0")</f>
        <v>0</v>
      </c>
      <c r="BI327">
        <f ca="1" xml:space="preserve"> IF( AND( OFFSET($A$1, 327 - 1, 59 - 1) = "1", OFFSET($A$1, 327 - 1, 60 - 1) = "1" ), 1, IF( AND( OFFSET($A$1, 327 - 1, 59 - 1) = "1", OFFSET($A$1, 327 - 1, 60 - 1) = "0" ), 2, IF( AND( OFFSET($A$1, 327 - 1, 59 - 1) = "0", OFFSET($A$1, 327 - 1, 60 - 1) = "1" ), 3, 4 ) ) )</f>
        <v>4</v>
      </c>
    </row>
    <row r="328" spans="53:61" x14ac:dyDescent="0.35">
      <c r="BA328" s="3">
        <v>0.24143411756848426</v>
      </c>
      <c r="BB328" s="3" t="str">
        <f>"0"</f>
        <v>0</v>
      </c>
      <c r="BC328" t="str">
        <f ca="1">IF((OFFSET($A$1, 328 - 1, 53 - 1)) &gt;= (OFFSET($A$1, 69 - 1, 7 - 1)), "1","0")</f>
        <v>0</v>
      </c>
      <c r="BD328">
        <f ca="1" xml:space="preserve"> IF( AND( OFFSET($A$1, 328 - 1, 54 - 1) = "1", OFFSET($A$1, 328 - 1, 55 - 1) = "1" ), 1, IF( AND( OFFSET($A$1, 328 - 1, 54 - 1) = "1", OFFSET($A$1, 328 - 1, 55 - 1) = "0" ), 2, IF( AND( OFFSET($A$1, 328 - 1, 54 - 1) = "0", OFFSET($A$1, 328 - 1, 55 - 1) = "1" ), 3, 4 ) ) )</f>
        <v>4</v>
      </c>
      <c r="BF328" s="3">
        <v>0.24088876745793497</v>
      </c>
      <c r="BG328" s="3" t="str">
        <f>"0"</f>
        <v>0</v>
      </c>
      <c r="BH328" t="str">
        <f ca="1">IF((OFFSET($A$1, 328 - 1, 58 - 1)) &gt;= (OFFSET($A$1, 93 - 1, 7 - 1)), "1","0")</f>
        <v>0</v>
      </c>
      <c r="BI328">
        <f ca="1" xml:space="preserve"> IF( AND( OFFSET($A$1, 328 - 1, 59 - 1) = "1", OFFSET($A$1, 328 - 1, 60 - 1) = "1" ), 1, IF( AND( OFFSET($A$1, 328 - 1, 59 - 1) = "1", OFFSET($A$1, 328 - 1, 60 - 1) = "0" ), 2, IF( AND( OFFSET($A$1, 328 - 1, 59 - 1) = "0", OFFSET($A$1, 328 - 1, 60 - 1) = "1" ), 3, 4 ) ) )</f>
        <v>4</v>
      </c>
    </row>
    <row r="329" spans="53:61" x14ac:dyDescent="0.35">
      <c r="BA329" s="3">
        <v>0.24034556972864268</v>
      </c>
      <c r="BB329" s="3" t="str">
        <f>"0"</f>
        <v>0</v>
      </c>
      <c r="BC329" t="str">
        <f ca="1">IF((OFFSET($A$1, 329 - 1, 53 - 1)) &gt;= (OFFSET($A$1, 69 - 1, 7 - 1)), "1","0")</f>
        <v>0</v>
      </c>
      <c r="BD329">
        <f ca="1" xml:space="preserve"> IF( AND( OFFSET($A$1, 329 - 1, 54 - 1) = "1", OFFSET($A$1, 329 - 1, 55 - 1) = "1" ), 1, IF( AND( OFFSET($A$1, 329 - 1, 54 - 1) = "1", OFFSET($A$1, 329 - 1, 55 - 1) = "0" ), 2, IF( AND( OFFSET($A$1, 329 - 1, 54 - 1) = "0", OFFSET($A$1, 329 - 1, 55 - 1) = "1" ), 3, 4 ) ) )</f>
        <v>4</v>
      </c>
      <c r="BF329" s="3">
        <v>0.23980455886672952</v>
      </c>
      <c r="BG329" s="3" t="str">
        <f>"1"</f>
        <v>1</v>
      </c>
      <c r="BH329" t="str">
        <f ca="1">IF((OFFSET($A$1, 329 - 1, 58 - 1)) &gt;= (OFFSET($A$1, 93 - 1, 7 - 1)), "1","0")</f>
        <v>0</v>
      </c>
      <c r="BI329">
        <f ca="1" xml:space="preserve"> IF( AND( OFFSET($A$1, 329 - 1, 59 - 1) = "1", OFFSET($A$1, 329 - 1, 60 - 1) = "1" ), 1, IF( AND( OFFSET($A$1, 329 - 1, 59 - 1) = "1", OFFSET($A$1, 329 - 1, 60 - 1) = "0" ), 2, IF( AND( OFFSET($A$1, 329 - 1, 59 - 1) = "0", OFFSET($A$1, 329 - 1, 60 - 1) = "1" ), 3, 4 ) ) )</f>
        <v>2</v>
      </c>
    </row>
    <row r="330" spans="53:61" x14ac:dyDescent="0.35">
      <c r="BA330" s="3">
        <v>0.23926576901100158</v>
      </c>
      <c r="BB330" s="3" t="str">
        <f>"0"</f>
        <v>0</v>
      </c>
      <c r="BC330" t="str">
        <f ca="1">IF((OFFSET($A$1, 330 - 1, 53 - 1)) &gt;= (OFFSET($A$1, 69 - 1, 7 - 1)), "1","0")</f>
        <v>0</v>
      </c>
      <c r="BD330">
        <f ca="1" xml:space="preserve"> IF( AND( OFFSET($A$1, 330 - 1, 54 - 1) = "1", OFFSET($A$1, 330 - 1, 55 - 1) = "1" ), 1, IF( AND( OFFSET($A$1, 330 - 1, 54 - 1) = "1", OFFSET($A$1, 330 - 1, 55 - 1) = "0" ), 2, IF( AND( OFFSET($A$1, 330 - 1, 54 - 1) = "0", OFFSET($A$1, 330 - 1, 55 - 1) = "1" ), 3, 4 ) ) )</f>
        <v>4</v>
      </c>
      <c r="BF330" s="3">
        <v>0.49466946028974035</v>
      </c>
      <c r="BG330" s="3" t="str">
        <f>"1"</f>
        <v>1</v>
      </c>
      <c r="BH330" t="str">
        <f ca="1">IF((OFFSET($A$1, 330 - 1, 58 - 1)) &gt;= (OFFSET($A$1, 93 - 1, 7 - 1)), "1","0")</f>
        <v>0</v>
      </c>
      <c r="BI330">
        <f ca="1" xml:space="preserve"> IF( AND( OFFSET($A$1, 330 - 1, 59 - 1) = "1", OFFSET($A$1, 330 - 1, 60 - 1) = "1" ), 1, IF( AND( OFFSET($A$1, 330 - 1, 59 - 1) = "1", OFFSET($A$1, 330 - 1, 60 - 1) = "0" ), 2, IF( AND( OFFSET($A$1, 330 - 1, 59 - 1) = "0", OFFSET($A$1, 330 - 1, 60 - 1) = "1" ), 3, 4 ) ) )</f>
        <v>2</v>
      </c>
    </row>
    <row r="331" spans="53:61" x14ac:dyDescent="0.35">
      <c r="BA331" s="3">
        <v>0.23819498713282053</v>
      </c>
      <c r="BB331" s="3" t="str">
        <f>"0"</f>
        <v>0</v>
      </c>
      <c r="BC331" t="str">
        <f ca="1">IF((OFFSET($A$1, 331 - 1, 53 - 1)) &gt;= (OFFSET($A$1, 69 - 1, 7 - 1)), "1","0")</f>
        <v>0</v>
      </c>
      <c r="BD331">
        <f ca="1" xml:space="preserve"> IF( AND( OFFSET($A$1, 331 - 1, 54 - 1) = "1", OFFSET($A$1, 331 - 1, 55 - 1) = "1" ), 1, IF( AND( OFFSET($A$1, 331 - 1, 54 - 1) = "1", OFFSET($A$1, 331 - 1, 55 - 1) = "0" ), 2, IF( AND( OFFSET($A$1, 331 - 1, 54 - 1) = "0", OFFSET($A$1, 331 - 1, 55 - 1) = "1" ), 3, 4 ) ) )</f>
        <v>4</v>
      </c>
      <c r="BF331" s="3">
        <v>0.49320078474911105</v>
      </c>
      <c r="BG331" s="3" t="str">
        <f>"1"</f>
        <v>1</v>
      </c>
      <c r="BH331" t="str">
        <f ca="1">IF((OFFSET($A$1, 331 - 1, 58 - 1)) &gt;= (OFFSET($A$1, 93 - 1, 7 - 1)), "1","0")</f>
        <v>0</v>
      </c>
      <c r="BI331">
        <f ca="1" xml:space="preserve"> IF( AND( OFFSET($A$1, 331 - 1, 59 - 1) = "1", OFFSET($A$1, 331 - 1, 60 - 1) = "1" ), 1, IF( AND( OFFSET($A$1, 331 - 1, 59 - 1) = "1", OFFSET($A$1, 331 - 1, 60 - 1) = "0" ), 2, IF( AND( OFFSET($A$1, 331 - 1, 59 - 1) = "0", OFFSET($A$1, 331 - 1, 60 - 1) = "1" ), 3, 4 ) ) )</f>
        <v>2</v>
      </c>
    </row>
    <row r="332" spans="53:61" x14ac:dyDescent="0.35">
      <c r="BA332" s="3">
        <v>0.2371334902351116</v>
      </c>
      <c r="BB332" s="3" t="str">
        <f>"0"</f>
        <v>0</v>
      </c>
      <c r="BC332" t="str">
        <f ca="1">IF((OFFSET($A$1, 332 - 1, 53 - 1)) &gt;= (OFFSET($A$1, 69 - 1, 7 - 1)), "1","0")</f>
        <v>0</v>
      </c>
      <c r="BD332">
        <f ca="1" xml:space="preserve"> IF( AND( OFFSET($A$1, 332 - 1, 54 - 1) = "1", OFFSET($A$1, 332 - 1, 55 - 1) = "1" ), 1, IF( AND( OFFSET($A$1, 332 - 1, 54 - 1) = "1", OFFSET($A$1, 332 - 1, 55 - 1) = "0" ), 2, IF( AND( OFFSET($A$1, 332 - 1, 54 - 1) = "0", OFFSET($A$1, 332 - 1, 55 - 1) = "1" ), 3, 4 ) ) )</f>
        <v>4</v>
      </c>
      <c r="BF332" s="3">
        <v>0.49174071470430514</v>
      </c>
      <c r="BG332" s="3" t="str">
        <f>"1"</f>
        <v>1</v>
      </c>
      <c r="BH332" t="str">
        <f ca="1">IF((OFFSET($A$1, 332 - 1, 58 - 1)) &gt;= (OFFSET($A$1, 93 - 1, 7 - 1)), "1","0")</f>
        <v>0</v>
      </c>
      <c r="BI332">
        <f ca="1" xml:space="preserve"> IF( AND( OFFSET($A$1, 332 - 1, 59 - 1) = "1", OFFSET($A$1, 332 - 1, 60 - 1) = "1" ), 1, IF( AND( OFFSET($A$1, 332 - 1, 59 - 1) = "1", OFFSET($A$1, 332 - 1, 60 - 1) = "0" ), 2, IF( AND( OFFSET($A$1, 332 - 1, 59 - 1) = "0", OFFSET($A$1, 332 - 1, 60 - 1) = "1" ), 3, 4 ) ) )</f>
        <v>2</v>
      </c>
    </row>
    <row r="333" spans="53:61" x14ac:dyDescent="0.35">
      <c r="BA333" s="3">
        <v>0.23608153886846325</v>
      </c>
      <c r="BB333" s="3" t="str">
        <f>"0"</f>
        <v>0</v>
      </c>
      <c r="BC333" t="str">
        <f ca="1">IF((OFFSET($A$1, 333 - 1, 53 - 1)) &gt;= (OFFSET($A$1, 69 - 1, 7 - 1)), "1","0")</f>
        <v>0</v>
      </c>
      <c r="BD333">
        <f ca="1" xml:space="preserve"> IF( AND( OFFSET($A$1, 333 - 1, 54 - 1) = "1", OFFSET($A$1, 333 - 1, 55 - 1) = "1" ), 1, IF( AND( OFFSET($A$1, 333 - 1, 54 - 1) = "1", OFFSET($A$1, 333 - 1, 55 - 1) = "0" ), 2, IF( AND( OFFSET($A$1, 333 - 1, 54 - 1) = "0", OFFSET($A$1, 333 - 1, 55 - 1) = "1" ), 3, 4 ) ) )</f>
        <v>4</v>
      </c>
      <c r="BF333" s="3">
        <v>0.49028970480491013</v>
      </c>
      <c r="BG333" s="3" t="str">
        <f>"1"</f>
        <v>1</v>
      </c>
      <c r="BH333" t="str">
        <f ca="1">IF((OFFSET($A$1, 333 - 1, 58 - 1)) &gt;= (OFFSET($A$1, 93 - 1, 7 - 1)), "1","0")</f>
        <v>0</v>
      </c>
      <c r="BI333">
        <f ca="1" xml:space="preserve"> IF( AND( OFFSET($A$1, 333 - 1, 59 - 1) = "1", OFFSET($A$1, 333 - 1, 60 - 1) = "1" ), 1, IF( AND( OFFSET($A$1, 333 - 1, 59 - 1) = "1", OFFSET($A$1, 333 - 1, 60 - 1) = "0" ), 2, IF( AND( OFFSET($A$1, 333 - 1, 59 - 1) = "0", OFFSET($A$1, 333 - 1, 60 - 1) = "1" ), 3, 4 ) ) )</f>
        <v>2</v>
      </c>
    </row>
    <row r="334" spans="53:61" x14ac:dyDescent="0.35">
      <c r="BA334" s="3">
        <v>0.23503938798447685</v>
      </c>
      <c r="BB334" s="3" t="str">
        <f>"1"</f>
        <v>1</v>
      </c>
      <c r="BC334" t="str">
        <f ca="1">IF((OFFSET($A$1, 334 - 1, 53 - 1)) &gt;= (OFFSET($A$1, 69 - 1, 7 - 1)), "1","0")</f>
        <v>0</v>
      </c>
      <c r="BD334">
        <f ca="1" xml:space="preserve"> IF( AND( OFFSET($A$1, 334 - 1, 54 - 1) = "1", OFFSET($A$1, 334 - 1, 55 - 1) = "1" ), 1, IF( AND( OFFSET($A$1, 334 - 1, 54 - 1) = "1", OFFSET($A$1, 334 - 1, 55 - 1) = "0" ), 2, IF( AND( OFFSET($A$1, 334 - 1, 54 - 1) = "0", OFFSET($A$1, 334 - 1, 55 - 1) = "1" ), 3, 4 ) ) )</f>
        <v>2</v>
      </c>
      <c r="BF334" s="3">
        <v>0.48884820599502549</v>
      </c>
      <c r="BG334" s="3" t="str">
        <f>"1"</f>
        <v>1</v>
      </c>
      <c r="BH334" t="str">
        <f ca="1">IF((OFFSET($A$1, 334 - 1, 58 - 1)) &gt;= (OFFSET($A$1, 93 - 1, 7 - 1)), "1","0")</f>
        <v>0</v>
      </c>
      <c r="BI334">
        <f ca="1" xml:space="preserve"> IF( AND( OFFSET($A$1, 334 - 1, 59 - 1) = "1", OFFSET($A$1, 334 - 1, 60 - 1) = "1" ), 1, IF( AND( OFFSET($A$1, 334 - 1, 59 - 1) = "1", OFFSET($A$1, 334 - 1, 60 - 1) = "0" ), 2, IF( AND( OFFSET($A$1, 334 - 1, 59 - 1) = "0", OFFSET($A$1, 334 - 1, 60 - 1) = "1" ), 3, 4 ) ) )</f>
        <v>2</v>
      </c>
    </row>
    <row r="335" spans="53:61" x14ac:dyDescent="0.35">
      <c r="BA335" s="3">
        <v>0.48813116311068183</v>
      </c>
      <c r="BB335" s="3" t="str">
        <f>"0"</f>
        <v>0</v>
      </c>
      <c r="BC335" t="str">
        <f ca="1">IF((OFFSET($A$1, 335 - 1, 53 - 1)) &gt;= (OFFSET($A$1, 69 - 1, 7 - 1)), "1","0")</f>
        <v>0</v>
      </c>
      <c r="BD335">
        <f ca="1" xml:space="preserve"> IF( AND( OFFSET($A$1, 335 - 1, 54 - 1) = "1", OFFSET($A$1, 335 - 1, 55 - 1) = "1" ), 1, IF( AND( OFFSET($A$1, 335 - 1, 54 - 1) = "1", OFFSET($A$1, 335 - 1, 55 - 1) = "0" ), 2, IF( AND( OFFSET($A$1, 335 - 1, 54 - 1) = "0", OFFSET($A$1, 335 - 1, 55 - 1) = "1" ), 3, 4 ) ) )</f>
        <v>4</v>
      </c>
      <c r="BF335" s="3">
        <v>0.48741666533167932</v>
      </c>
      <c r="BG335" s="3" t="str">
        <f>"1"</f>
        <v>1</v>
      </c>
      <c r="BH335" t="str">
        <f ca="1">IF((OFFSET($A$1, 335 - 1, 58 - 1)) &gt;= (OFFSET($A$1, 93 - 1, 7 - 1)), "1","0")</f>
        <v>0</v>
      </c>
      <c r="BI335">
        <f ca="1" xml:space="preserve"> IF( AND( OFFSET($A$1, 335 - 1, 59 - 1) = "1", OFFSET($A$1, 335 - 1, 60 - 1) = "1" ), 1, IF( AND( OFFSET($A$1, 335 - 1, 59 - 1) = "1", OFFSET($A$1, 335 - 1, 60 - 1) = "0" ), 2, IF( AND( OFFSET($A$1, 335 - 1, 59 - 1) = "0", OFFSET($A$1, 335 - 1, 60 - 1) = "1" ), 3, 4 ) ) )</f>
        <v>2</v>
      </c>
    </row>
    <row r="336" spans="53:61" x14ac:dyDescent="0.35">
      <c r="BA336" s="3">
        <v>0.23298547946291814</v>
      </c>
      <c r="BB336" s="3" t="str">
        <f>"1"</f>
        <v>1</v>
      </c>
      <c r="BC336" t="str">
        <f ca="1">IF((OFFSET($A$1, 336 - 1, 53 - 1)) &gt;= (OFFSET($A$1, 69 - 1, 7 - 1)), "1","0")</f>
        <v>0</v>
      </c>
      <c r="BD336">
        <f ca="1" xml:space="preserve"> IF( AND( OFFSET($A$1, 336 - 1, 54 - 1) = "1", OFFSET($A$1, 336 - 1, 55 - 1) = "1" ), 1, IF( AND( OFFSET($A$1, 336 - 1, 54 - 1) = "1", OFFSET($A$1, 336 - 1, 55 - 1) = "0" ), 2, IF( AND( OFFSET($A$1, 336 - 1, 54 - 1) = "0", OFFSET($A$1, 336 - 1, 55 - 1) = "1" ), 3, 4 ) ) )</f>
        <v>2</v>
      </c>
      <c r="BF336" s="3">
        <v>0.48599552580783484</v>
      </c>
      <c r="BG336" s="3" t="str">
        <f>"1"</f>
        <v>1</v>
      </c>
      <c r="BH336" t="str">
        <f ca="1">IF((OFFSET($A$1, 336 - 1, 58 - 1)) &gt;= (OFFSET($A$1, 93 - 1, 7 - 1)), "1","0")</f>
        <v>0</v>
      </c>
      <c r="BI336">
        <f ca="1" xml:space="preserve"> IF( AND( OFFSET($A$1, 336 - 1, 59 - 1) = "1", OFFSET($A$1, 336 - 1, 60 - 1) = "1" ), 1, IF( AND( OFFSET($A$1, 336 - 1, 59 - 1) = "1", OFFSET($A$1, 336 - 1, 60 - 1) = "0" ), 2, IF( AND( OFFSET($A$1, 336 - 1, 59 - 1) = "0", OFFSET($A$1, 336 - 1, 60 - 1) = "1" ), 3, 4 ) ) )</f>
        <v>2</v>
      </c>
    </row>
    <row r="337" spans="53:61" x14ac:dyDescent="0.35">
      <c r="BA337" s="3">
        <v>0.48528899375477141</v>
      </c>
      <c r="BB337" s="3" t="str">
        <f>"0"</f>
        <v>0</v>
      </c>
      <c r="BC337" t="str">
        <f ca="1">IF((OFFSET($A$1, 337 - 1, 53 - 1)) &gt;= (OFFSET($A$1, 69 - 1, 7 - 1)), "1","0")</f>
        <v>0</v>
      </c>
      <c r="BD337">
        <f ca="1" xml:space="preserve"> IF( AND( OFFSET($A$1, 337 - 1, 54 - 1) = "1", OFFSET($A$1, 337 - 1, 55 - 1) = "1" ), 1, IF( AND( OFFSET($A$1, 337 - 1, 54 - 1) = "1", OFFSET($A$1, 337 - 1, 55 - 1) = "0" ), 2, IF( AND( OFFSET($A$1, 337 - 1, 54 - 1) = "0", OFFSET($A$1, 337 - 1, 55 - 1) = "1" ), 3, 4 ) ) )</f>
        <v>4</v>
      </c>
      <c r="BF337" s="3">
        <v>0.48458522618015021</v>
      </c>
      <c r="BG337" s="3" t="str">
        <f>"1"</f>
        <v>1</v>
      </c>
      <c r="BH337" t="str">
        <f ca="1">IF((OFFSET($A$1, 337 - 1, 58 - 1)) &gt;= (OFFSET($A$1, 93 - 1, 7 - 1)), "1","0")</f>
        <v>0</v>
      </c>
      <c r="BI337">
        <f ca="1" xml:space="preserve"> IF( AND( OFFSET($A$1, 337 - 1, 59 - 1) = "1", OFFSET($A$1, 337 - 1, 60 - 1) = "1" ), 1, IF( AND( OFFSET($A$1, 337 - 1, 59 - 1) = "1", OFFSET($A$1, 337 - 1, 60 - 1) = "0" ), 2, IF( AND( OFFSET($A$1, 337 - 1, 59 - 1) = "0", OFFSET($A$1, 337 - 1, 60 - 1) = "1" ), 3, 4 ) ) )</f>
        <v>2</v>
      </c>
    </row>
    <row r="338" spans="53:61" x14ac:dyDescent="0.35">
      <c r="BA338" s="3">
        <v>0.23097369232012468</v>
      </c>
      <c r="BB338" s="3" t="str">
        <f>"0"</f>
        <v>0</v>
      </c>
      <c r="BC338" t="str">
        <f ca="1">IF((OFFSET($A$1, 338 - 1, 53 - 1)) &gt;= (OFFSET($A$1, 69 - 1, 7 - 1)), "1","0")</f>
        <v>0</v>
      </c>
      <c r="BD338">
        <f ca="1" xml:space="preserve"> IF( AND( OFFSET($A$1, 338 - 1, 54 - 1) = "1", OFFSET($A$1, 338 - 1, 55 - 1) = "1" ), 1, IF( AND( OFFSET($A$1, 338 - 1, 54 - 1) = "1", OFFSET($A$1, 338 - 1, 55 - 1) = "0" ), 2, IF( AND( OFFSET($A$1, 338 - 1, 54 - 1) = "0", OFFSET($A$1, 338 - 1, 55 - 1) = "1" ), 3, 4 ) ) )</f>
        <v>4</v>
      </c>
      <c r="BF338" s="3">
        <v>0.48318620080162961</v>
      </c>
      <c r="BG338" s="3" t="str">
        <f>"1"</f>
        <v>1</v>
      </c>
      <c r="BH338" t="str">
        <f ca="1">IF((OFFSET($A$1, 338 - 1, 58 - 1)) &gt;= (OFFSET($A$1, 93 - 1, 7 - 1)), "1","0")</f>
        <v>0</v>
      </c>
      <c r="BI338">
        <f ca="1" xml:space="preserve"> IF( AND( OFFSET($A$1, 338 - 1, 59 - 1) = "1", OFFSET($A$1, 338 - 1, 60 - 1) = "1" ), 1, IF( AND( OFFSET($A$1, 338 - 1, 59 - 1) = "1", OFFSET($A$1, 338 - 1, 60 - 1) = "0" ), 2, IF( AND( OFFSET($A$1, 338 - 1, 59 - 1) = "0", OFFSET($A$1, 338 - 1, 60 - 1) = "1" ), 3, 4 ) ) )</f>
        <v>2</v>
      </c>
    </row>
    <row r="339" spans="53:61" x14ac:dyDescent="0.35">
      <c r="BA339" s="3">
        <v>0.22998417224119447</v>
      </c>
      <c r="BB339" s="3" t="str">
        <f>"1"</f>
        <v>1</v>
      </c>
      <c r="BC339" t="str">
        <f ca="1">IF((OFFSET($A$1, 339 - 1, 53 - 1)) &gt;= (OFFSET($A$1, 69 - 1, 7 - 1)), "1","0")</f>
        <v>0</v>
      </c>
      <c r="BD339">
        <f ca="1" xml:space="preserve"> IF( AND( OFFSET($A$1, 339 - 1, 54 - 1) = "1", OFFSET($A$1, 339 - 1, 55 - 1) = "1" ), 1, IF( AND( OFFSET($A$1, 339 - 1, 54 - 1) = "1", OFFSET($A$1, 339 - 1, 55 - 1) = "0" ), 2, IF( AND( OFFSET($A$1, 339 - 1, 54 - 1) = "0", OFFSET($A$1, 339 - 1, 55 - 1) = "1" ), 3, 4 ) ) )</f>
        <v>2</v>
      </c>
      <c r="BF339" s="3">
        <v>0.48179887945931138</v>
      </c>
      <c r="BG339" s="3" t="str">
        <f>"0"</f>
        <v>0</v>
      </c>
      <c r="BH339" t="str">
        <f ca="1">IF((OFFSET($A$1, 339 - 1, 58 - 1)) &gt;= (OFFSET($A$1, 93 - 1, 7 - 1)), "1","0")</f>
        <v>0</v>
      </c>
      <c r="BI339">
        <f ca="1" xml:space="preserve"> IF( AND( OFFSET($A$1, 339 - 1, 59 - 1) = "1", OFFSET($A$1, 339 - 1, 60 - 1) = "1" ), 1, IF( AND( OFFSET($A$1, 339 - 1, 59 - 1) = "1", OFFSET($A$1, 339 - 1, 60 - 1) = "0" ), 2, IF( AND( OFFSET($A$1, 339 - 1, 59 - 1) = "0", OFFSET($A$1, 339 - 1, 60 - 1) = "1" ), 3, 4 ) ) )</f>
        <v>4</v>
      </c>
    </row>
    <row r="340" spans="53:61" x14ac:dyDescent="0.35">
      <c r="BA340" s="3">
        <v>0.4811097408228866</v>
      </c>
      <c r="BB340" s="3" t="str">
        <f>"0"</f>
        <v>0</v>
      </c>
      <c r="BC340" t="str">
        <f ca="1">IF((OFFSET($A$1, 340 - 1, 53 - 1)) &gt;= (OFFSET($A$1, 69 - 1, 7 - 1)), "1","0")</f>
        <v>0</v>
      </c>
      <c r="BD340">
        <f ca="1" xml:space="preserve"> IF( AND( OFFSET($A$1, 340 - 1, 54 - 1) = "1", OFFSET($A$1, 340 - 1, 55 - 1) = "1" ), 1, IF( AND( OFFSET($A$1, 340 - 1, 54 - 1) = "1", OFFSET($A$1, 340 - 1, 55 - 1) = "0" ), 2, IF( AND( OFFSET($A$1, 340 - 1, 54 - 1) = "0", OFFSET($A$1, 340 - 1, 55 - 1) = "1" ), 3, 4 ) ) )</f>
        <v>4</v>
      </c>
      <c r="BF340" s="3">
        <v>0.22852098384516795</v>
      </c>
      <c r="BG340" s="3" t="str">
        <f>"0"</f>
        <v>0</v>
      </c>
      <c r="BH340" t="str">
        <f ca="1">IF((OFFSET($A$1, 340 - 1, 58 - 1)) &gt;= (OFFSET($A$1, 93 - 1, 7 - 1)), "1","0")</f>
        <v>0</v>
      </c>
      <c r="BI340">
        <f ca="1" xml:space="preserve"> IF( AND( OFFSET($A$1, 340 - 1, 59 - 1) = "1", OFFSET($A$1, 340 - 1, 60 - 1) = "1" ), 1, IF( AND( OFFSET($A$1, 340 - 1, 59 - 1) = "1", OFFSET($A$1, 340 - 1, 60 - 1) = "0" ), 2, IF( AND( OFFSET($A$1, 340 - 1, 59 - 1) = "0", OFFSET($A$1, 340 - 1, 60 - 1) = "1" ), 3, 4 ) ) )</f>
        <v>4</v>
      </c>
    </row>
    <row r="341" spans="53:61" x14ac:dyDescent="0.35">
      <c r="BA341" s="3">
        <v>0.22803898647795415</v>
      </c>
      <c r="BB341" s="3" t="str">
        <f>"0"</f>
        <v>0</v>
      </c>
      <c r="BC341" t="str">
        <f ca="1">IF((OFFSET($A$1, 341 - 1, 53 - 1)) &gt;= (OFFSET($A$1, 69 - 1, 7 - 1)), "1","0")</f>
        <v>0</v>
      </c>
      <c r="BD341">
        <f ca="1" xml:space="preserve"> IF( AND( OFFSET($A$1, 341 - 1, 54 - 1) = "1", OFFSET($A$1, 341 - 1, 55 - 1) = "1" ), 1, IF( AND( OFFSET($A$1, 341 - 1, 54 - 1) = "1", OFFSET($A$1, 341 - 1, 55 - 1) = "0" ), 2, IF( AND( OFFSET($A$1, 341 - 1, 54 - 1) = "0", OFFSET($A$1, 341 - 1, 55 - 1) = "1" ), 3, 4 ) ) )</f>
        <v>4</v>
      </c>
      <c r="BF341" s="3">
        <v>0.22755989901017368</v>
      </c>
      <c r="BG341" s="3" t="str">
        <f>"1"</f>
        <v>1</v>
      </c>
      <c r="BH341" t="str">
        <f ca="1">IF((OFFSET($A$1, 341 - 1, 58 - 1)) &gt;= (OFFSET($A$1, 93 - 1, 7 - 1)), "1","0")</f>
        <v>0</v>
      </c>
      <c r="BI341">
        <f ca="1" xml:space="preserve"> IF( AND( OFFSET($A$1, 341 - 1, 59 - 1) = "1", OFFSET($A$1, 341 - 1, 60 - 1) = "1" ), 1, IF( AND( OFFSET($A$1, 341 - 1, 59 - 1) = "1", OFFSET($A$1, 341 - 1, 60 - 1) = "0" ), 2, IF( AND( OFFSET($A$1, 341 - 1, 59 - 1) = "0", OFFSET($A$1, 341 - 1, 60 - 1) = "1" ), 3, 4 ) ) )</f>
        <v>2</v>
      </c>
    </row>
    <row r="342" spans="53:61" x14ac:dyDescent="0.35">
      <c r="BA342" s="3">
        <v>0.22708374724084407</v>
      </c>
      <c r="BB342" s="3" t="str">
        <f>"0"</f>
        <v>0</v>
      </c>
      <c r="BC342" t="str">
        <f ca="1">IF((OFFSET($A$1, 342 - 1, 53 - 1)) &gt;= (OFFSET($A$1, 69 - 1, 7 - 1)), "1","0")</f>
        <v>0</v>
      </c>
      <c r="BD342">
        <f ca="1" xml:space="preserve"> IF( AND( OFFSET($A$1, 342 - 1, 54 - 1) = "1", OFFSET($A$1, 342 - 1, 55 - 1) = "1" ), 1, IF( AND( OFFSET($A$1, 342 - 1, 54 - 1) = "1", OFFSET($A$1, 342 - 1, 55 - 1) = "0" ), 2, IF( AND( OFFSET($A$1, 342 - 1, 54 - 1) = "0", OFFSET($A$1, 342 - 1, 55 - 1) = "1" ), 3, 4 ) ) )</f>
        <v>4</v>
      </c>
      <c r="BF342" s="3">
        <v>0.47771136576690687</v>
      </c>
      <c r="BG342" s="3" t="str">
        <f>"1"</f>
        <v>1</v>
      </c>
      <c r="BH342" t="str">
        <f ca="1">IF((OFFSET($A$1, 342 - 1, 58 - 1)) &gt;= (OFFSET($A$1, 93 - 1, 7 - 1)), "1","0")</f>
        <v>0</v>
      </c>
      <c r="BI342">
        <f ca="1" xml:space="preserve"> IF( AND( OFFSET($A$1, 342 - 1, 59 - 1) = "1", OFFSET($A$1, 342 - 1, 60 - 1) = "1" ), 1, IF( AND( OFFSET($A$1, 342 - 1, 59 - 1) = "1", OFFSET($A$1, 342 - 1, 60 - 1) = "0" ), 2, IF( AND( OFFSET($A$1, 342 - 1, 59 - 1) = "0", OFFSET($A$1, 342 - 1, 60 - 1) = "1" ), 3, 4 ) ) )</f>
        <v>2</v>
      </c>
    </row>
    <row r="343" spans="53:61" x14ac:dyDescent="0.35">
      <c r="BA343" s="3">
        <v>0.2261403522992558</v>
      </c>
      <c r="BB343" s="3" t="str">
        <f>"0"</f>
        <v>0</v>
      </c>
      <c r="BC343" t="str">
        <f ca="1">IF((OFFSET($A$1, 343 - 1, 53 - 1)) &gt;= (OFFSET($A$1, 69 - 1, 7 - 1)), "1","0")</f>
        <v>0</v>
      </c>
      <c r="BD343">
        <f ca="1" xml:space="preserve"> IF( AND( OFFSET($A$1, 343 - 1, 54 - 1) = "1", OFFSET($A$1, 343 - 1, 55 - 1) = "1" ), 1, IF( AND( OFFSET($A$1, 343 - 1, 54 - 1) = "1", OFFSET($A$1, 343 - 1, 55 - 1) = "0" ), 2, IF( AND( OFFSET($A$1, 343 - 1, 54 - 1) = "0", OFFSET($A$1, 343 - 1, 55 - 1) = "1" ), 3, 4 ) ) )</f>
        <v>4</v>
      </c>
      <c r="BF343" s="3">
        <v>0.47637506173080135</v>
      </c>
      <c r="BG343" s="3" t="str">
        <f>"1"</f>
        <v>1</v>
      </c>
      <c r="BH343" t="str">
        <f ca="1">IF((OFFSET($A$1, 343 - 1, 58 - 1)) &gt;= (OFFSET($A$1, 93 - 1, 7 - 1)), "1","0")</f>
        <v>0</v>
      </c>
      <c r="BI343">
        <f ca="1" xml:space="preserve"> IF( AND( OFFSET($A$1, 343 - 1, 59 - 1) = "1", OFFSET($A$1, 343 - 1, 60 - 1) = "1" ), 1, IF( AND( OFFSET($A$1, 343 - 1, 59 - 1) = "1", OFFSET($A$1, 343 - 1, 60 - 1) = "0" ), 2, IF( AND( OFFSET($A$1, 343 - 1, 59 - 1) = "0", OFFSET($A$1, 343 - 1, 60 - 1) = "1" ), 3, 4 ) ) )</f>
        <v>2</v>
      </c>
    </row>
    <row r="344" spans="53:61" x14ac:dyDescent="0.35">
      <c r="BA344" s="3">
        <v>0.22520900128636057</v>
      </c>
      <c r="BB344" s="3" t="str">
        <f>"0"</f>
        <v>0</v>
      </c>
      <c r="BC344" t="str">
        <f ca="1">IF((OFFSET($A$1, 344 - 1, 53 - 1)) &gt;= (OFFSET($A$1, 69 - 1, 7 - 1)), "1","0")</f>
        <v>0</v>
      </c>
      <c r="BD344">
        <f ca="1" xml:space="preserve"> IF( AND( OFFSET($A$1, 344 - 1, 54 - 1) = "1", OFFSET($A$1, 344 - 1, 55 - 1) = "1" ), 1, IF( AND( OFFSET($A$1, 344 - 1, 54 - 1) = "1", OFFSET($A$1, 344 - 1, 55 - 1) = "0" ), 2, IF( AND( OFFSET($A$1, 344 - 1, 54 - 1) = "0", OFFSET($A$1, 344 - 1, 55 - 1) = "1" ), 3, 4 ) ) )</f>
        <v>4</v>
      </c>
      <c r="BF344" s="3">
        <v>0.47505253686184562</v>
      </c>
      <c r="BG344" s="3" t="str">
        <f>"1"</f>
        <v>1</v>
      </c>
      <c r="BH344" t="str">
        <f ca="1">IF((OFFSET($A$1, 344 - 1, 58 - 1)) &gt;= (OFFSET($A$1, 93 - 1, 7 - 1)), "1","0")</f>
        <v>0</v>
      </c>
      <c r="BI344">
        <f ca="1" xml:space="preserve"> IF( AND( OFFSET($A$1, 344 - 1, 59 - 1) = "1", OFFSET($A$1, 344 - 1, 60 - 1) = "1" ), 1, IF( AND( OFFSET($A$1, 344 - 1, 59 - 1) = "1", OFFSET($A$1, 344 - 1, 60 - 1) = "0" ), 2, IF( AND( OFFSET($A$1, 344 - 1, 59 - 1) = "0", OFFSET($A$1, 344 - 1, 60 - 1) = "1" ), 3, 4 ) ) )</f>
        <v>2</v>
      </c>
    </row>
    <row r="345" spans="53:61" x14ac:dyDescent="0.35">
      <c r="BA345" s="3">
        <v>0.22428988847440601</v>
      </c>
      <c r="BB345" s="3" t="str">
        <f>"0"</f>
        <v>0</v>
      </c>
      <c r="BC345" t="str">
        <f ca="1">IF((OFFSET($A$1, 345 - 1, 53 - 1)) &gt;= (OFFSET($A$1, 69 - 1, 7 - 1)), "1","0")</f>
        <v>0</v>
      </c>
      <c r="BD345">
        <f ca="1" xml:space="preserve"> IF( AND( OFFSET($A$1, 345 - 1, 54 - 1) = "1", OFFSET($A$1, 345 - 1, 55 - 1) = "1" ), 1, IF( AND( OFFSET($A$1, 345 - 1, 54 - 1) = "1", OFFSET($A$1, 345 - 1, 55 - 1) = "0" ), 2, IF( AND( OFFSET($A$1, 345 - 1, 54 - 1) = "0", OFFSET($A$1, 345 - 1, 55 - 1) = "1" ), 3, 4 ) ) )</f>
        <v>4</v>
      </c>
      <c r="BF345" s="3">
        <v>0.47374419043797578</v>
      </c>
      <c r="BG345" s="3" t="str">
        <f>"1"</f>
        <v>1</v>
      </c>
      <c r="BH345" t="str">
        <f ca="1">IF((OFFSET($A$1, 345 - 1, 58 - 1)) &gt;= (OFFSET($A$1, 93 - 1, 7 - 1)), "1","0")</f>
        <v>0</v>
      </c>
      <c r="BI345">
        <f ca="1" xml:space="preserve"> IF( AND( OFFSET($A$1, 345 - 1, 59 - 1) = "1", OFFSET($A$1, 345 - 1, 60 - 1) = "1" ), 1, IF( AND( OFFSET($A$1, 345 - 1, 59 - 1) = "1", OFFSET($A$1, 345 - 1, 60 - 1) = "0" ), 2, IF( AND( OFFSET($A$1, 345 - 1, 59 - 1) = "0", OFFSET($A$1, 345 - 1, 60 - 1) = "1" ), 3, 4 ) ) )</f>
        <v>2</v>
      </c>
    </row>
    <row r="346" spans="53:61" x14ac:dyDescent="0.35">
      <c r="BA346" s="3">
        <v>0.22338320282256485</v>
      </c>
      <c r="BB346" s="3" t="str">
        <f>"1"</f>
        <v>1</v>
      </c>
      <c r="BC346" t="str">
        <f ca="1">IF((OFFSET($A$1, 346 - 1, 53 - 1)) &gt;= (OFFSET($A$1, 69 - 1, 7 - 1)), "1","0")</f>
        <v>0</v>
      </c>
      <c r="BD346">
        <f ca="1" xml:space="preserve"> IF( AND( OFFSET($A$1, 346 - 1, 54 - 1) = "1", OFFSET($A$1, 346 - 1, 55 - 1) = "1" ), 1, IF( AND( OFFSET($A$1, 346 - 1, 54 - 1) = "1", OFFSET($A$1, 346 - 1, 55 - 1) = "0" ), 2, IF( AND( OFFSET($A$1, 346 - 1, 54 - 1) = "0", OFFSET($A$1, 346 - 1, 55 - 1) = "1" ), 3, 4 ) ) )</f>
        <v>2</v>
      </c>
      <c r="BF346" s="3">
        <v>0.47245041618431516</v>
      </c>
      <c r="BG346" s="3" t="str">
        <f>"1"</f>
        <v>1</v>
      </c>
      <c r="BH346" t="str">
        <f ca="1">IF((OFFSET($A$1, 346 - 1, 58 - 1)) &gt;= (OFFSET($A$1, 93 - 1, 7 - 1)), "1","0")</f>
        <v>0</v>
      </c>
      <c r="BI346">
        <f ca="1" xml:space="preserve"> IF( AND( OFFSET($A$1, 346 - 1, 59 - 1) = "1", OFFSET($A$1, 346 - 1, 60 - 1) = "1" ), 1, IF( AND( OFFSET($A$1, 346 - 1, 59 - 1) = "1", OFFSET($A$1, 346 - 1, 60 - 1) = "0" ), 2, IF( AND( OFFSET($A$1, 346 - 1, 59 - 1) = "0", OFFSET($A$1, 346 - 1, 60 - 1) = "1" ), 3, 4 ) ) )</f>
        <v>2</v>
      </c>
    </row>
    <row r="347" spans="53:61" x14ac:dyDescent="0.35">
      <c r="BA347" s="3">
        <v>0.47180911511271095</v>
      </c>
      <c r="BB347" s="3" t="str">
        <f>"0"</f>
        <v>0</v>
      </c>
      <c r="BC347" t="str">
        <f ca="1">IF((OFFSET($A$1, 347 - 1, 53 - 1)) &gt;= (OFFSET($A$1, 69 - 1, 7 - 1)), "1","0")</f>
        <v>0</v>
      </c>
      <c r="BD347">
        <f ca="1" xml:space="preserve"> IF( AND( OFFSET($A$1, 347 - 1, 54 - 1) = "1", OFFSET($A$1, 347 - 1, 55 - 1) = "1" ), 1, IF( AND( OFFSET($A$1, 347 - 1, 54 - 1) = "1", OFFSET($A$1, 347 - 1, 55 - 1) = "0" ), 2, IF( AND( OFFSET($A$1, 347 - 1, 54 - 1) = "0", OFFSET($A$1, 347 - 1, 55 - 1) = "1" ), 3, 4 ) ) )</f>
        <v>4</v>
      </c>
      <c r="BF347" s="3">
        <v>0.47117160215435189</v>
      </c>
      <c r="BG347" s="3" t="str">
        <f>"1"</f>
        <v>1</v>
      </c>
      <c r="BH347" t="str">
        <f ca="1">IF((OFFSET($A$1, 347 - 1, 58 - 1)) &gt;= (OFFSET($A$1, 93 - 1, 7 - 1)), "1","0")</f>
        <v>0</v>
      </c>
      <c r="BI347">
        <f ca="1" xml:space="preserve"> IF( AND( OFFSET($A$1, 347 - 1, 59 - 1) = "1", OFFSET($A$1, 347 - 1, 60 - 1) = "1" ), 1, IF( AND( OFFSET($A$1, 347 - 1, 59 - 1) = "1", OFFSET($A$1, 347 - 1, 60 - 1) = "0" ), 2, IF( AND( OFFSET($A$1, 347 - 1, 59 - 1) = "0", OFFSET($A$1, 347 - 1, 60 - 1) = "1" ), 3, 4 ) ) )</f>
        <v>2</v>
      </c>
    </row>
    <row r="348" spans="53:61" x14ac:dyDescent="0.35">
      <c r="BA348" s="3">
        <v>0.22160784258286448</v>
      </c>
      <c r="BB348" s="3" t="str">
        <f>"0"</f>
        <v>0</v>
      </c>
      <c r="BC348" t="str">
        <f ca="1">IF((OFFSET($A$1, 348 - 1, 53 - 1)) &gt;= (OFFSET($A$1, 69 - 1, 7 - 1)), "1","0")</f>
        <v>0</v>
      </c>
      <c r="BD348">
        <f ca="1" xml:space="preserve"> IF( AND( OFFSET($A$1, 348 - 1, 54 - 1) = "1", OFFSET($A$1, 348 - 1, 55 - 1) = "1" ), 1, IF( AND( OFFSET($A$1, 348 - 1, 54 - 1) = "1", OFFSET($A$1, 348 - 1, 55 - 1) = "0" ), 2, IF( AND( OFFSET($A$1, 348 - 1, 54 - 1) = "0", OFFSET($A$1, 348 - 1, 55 - 1) = "1" ), 3, 4 ) ) )</f>
        <v>4</v>
      </c>
      <c r="BF348" s="3">
        <v>0.46990813061673803</v>
      </c>
      <c r="BG348" s="3" t="str">
        <f>"0"</f>
        <v>0</v>
      </c>
      <c r="BH348" t="str">
        <f ca="1">IF((OFFSET($A$1, 348 - 1, 58 - 1)) &gt;= (OFFSET($A$1, 93 - 1, 7 - 1)), "1","0")</f>
        <v>0</v>
      </c>
      <c r="BI348">
        <f ca="1" xml:space="preserve"> IF( AND( OFFSET($A$1, 348 - 1, 59 - 1) = "1", OFFSET($A$1, 348 - 1, 60 - 1) = "1" ), 1, IF( AND( OFFSET($A$1, 348 - 1, 59 - 1) = "1", OFFSET($A$1, 348 - 1, 60 - 1) = "0" ), 2, IF( AND( OFFSET($A$1, 348 - 1, 59 - 1) = "0", OFFSET($A$1, 348 - 1, 60 - 1) = "1" ), 3, 4 ) ) )</f>
        <v>4</v>
      </c>
    </row>
    <row r="349" spans="53:61" x14ac:dyDescent="0.35">
      <c r="BA349" s="3">
        <v>0.2207395198283523</v>
      </c>
      <c r="BB349" s="3" t="str">
        <f>"0"</f>
        <v>0</v>
      </c>
      <c r="BC349" t="str">
        <f ca="1">IF((OFFSET($A$1, 349 - 1, 53 - 1)) &gt;= (OFFSET($A$1, 69 - 1, 7 - 1)), "1","0")</f>
        <v>0</v>
      </c>
      <c r="BD349">
        <f ca="1" xml:space="preserve"> IF( AND( OFFSET($A$1, 349 - 1, 54 - 1) = "1", OFFSET($A$1, 349 - 1, 55 - 1) = "1" ), 1, IF( AND( OFFSET($A$1, 349 - 1, 54 - 1) = "1", OFFSET($A$1, 349 - 1, 55 - 1) = "0" ), 2, IF( AND( OFFSET($A$1, 349 - 1, 54 - 1) = "0", OFFSET($A$1, 349 - 1, 55 - 1) = "1" ), 3, 4 ) ) )</f>
        <v>4</v>
      </c>
      <c r="BF349" s="3">
        <v>0.22031027223697999</v>
      </c>
      <c r="BG349" s="3" t="str">
        <f>"0"</f>
        <v>0</v>
      </c>
      <c r="BH349" t="str">
        <f ca="1">IF((OFFSET($A$1, 349 - 1, 58 - 1)) &gt;= (OFFSET($A$1, 93 - 1, 7 - 1)), "1","0")</f>
        <v>0</v>
      </c>
      <c r="BI349">
        <f ca="1" xml:space="preserve"> IF( AND( OFFSET($A$1, 349 - 1, 59 - 1) = "1", OFFSET($A$1, 349 - 1, 60 - 1) = "1" ), 1, IF( AND( OFFSET($A$1, 349 - 1, 59 - 1) = "1", OFFSET($A$1, 349 - 1, 60 - 1) = "0" ), 2, IF( AND( OFFSET($A$1, 349 - 1, 59 - 1) = "0", OFFSET($A$1, 349 - 1, 60 - 1) = "1" ), 3, 4 ) ) )</f>
        <v>4</v>
      </c>
    </row>
    <row r="350" spans="53:61" x14ac:dyDescent="0.35">
      <c r="BA350" s="3">
        <v>0.21988432802011521</v>
      </c>
      <c r="BB350" s="3" t="str">
        <f>"0"</f>
        <v>0</v>
      </c>
      <c r="BC350" t="str">
        <f ca="1">IF((OFFSET($A$1, 350 - 1, 53 - 1)) &gt;= (OFFSET($A$1, 69 - 1, 7 - 1)), "1","0")</f>
        <v>0</v>
      </c>
      <c r="BD350">
        <f ca="1" xml:space="preserve"> IF( AND( OFFSET($A$1, 350 - 1, 54 - 1) = "1", OFFSET($A$1, 350 - 1, 55 - 1) = "1" ), 1, IF( AND( OFFSET($A$1, 350 - 1, 54 - 1) = "1", OFFSET($A$1, 350 - 1, 55 - 1) = "0" ), 2, IF( AND( OFFSET($A$1, 350 - 1, 54 - 1) = "0", OFFSET($A$1, 350 - 1, 55 - 1) = "1" ), 3, 4 ) ) )</f>
        <v>4</v>
      </c>
      <c r="BF350" s="3">
        <v>0.21946170742531526</v>
      </c>
      <c r="BG350" s="3" t="str">
        <f>"1"</f>
        <v>1</v>
      </c>
      <c r="BH350" t="str">
        <f ca="1">IF((OFFSET($A$1, 350 - 1, 58 - 1)) &gt;= (OFFSET($A$1, 93 - 1, 7 - 1)), "1","0")</f>
        <v>0</v>
      </c>
      <c r="BI350">
        <f ca="1" xml:space="preserve"> IF( AND( OFFSET($A$1, 350 - 1, 59 - 1) = "1", OFFSET($A$1, 350 - 1, 60 - 1) = "1" ), 1, IF( AND( OFFSET($A$1, 350 - 1, 59 - 1) = "1", OFFSET($A$1, 350 - 1, 60 - 1) = "0" ), 2, IF( AND( OFFSET($A$1, 350 - 1, 59 - 1) = "0", OFFSET($A$1, 350 - 1, 60 - 1) = "1" ), 3, 4 ) ) )</f>
        <v>2</v>
      </c>
    </row>
    <row r="351" spans="53:61" x14ac:dyDescent="0.35">
      <c r="BA351" s="3">
        <v>0.21904243039035792</v>
      </c>
      <c r="BB351" s="3" t="str">
        <f>"0"</f>
        <v>0</v>
      </c>
      <c r="BC351" t="str">
        <f ca="1">IF((OFFSET($A$1, 351 - 1, 53 - 1)) &gt;= (OFFSET($A$1, 69 - 1, 7 - 1)), "1","0")</f>
        <v>0</v>
      </c>
      <c r="BD351">
        <f ca="1" xml:space="preserve"> IF( AND( OFFSET($A$1, 351 - 1, 54 - 1) = "1", OFFSET($A$1, 351 - 1, 55 - 1) = "1" ), 1, IF( AND( OFFSET($A$1, 351 - 1, 54 - 1) = "1", OFFSET($A$1, 351 - 1, 55 - 1) = "0" ), 2, IF( AND( OFFSET($A$1, 351 - 1, 54 - 1) = "0", OFFSET($A$1, 351 - 1, 55 - 1) = "1" ), 3, 4 ) ) )</f>
        <v>4</v>
      </c>
      <c r="BF351" s="3">
        <v>0.46621350465273287</v>
      </c>
      <c r="BG351" s="3" t="str">
        <f>"0"</f>
        <v>0</v>
      </c>
      <c r="BH351" t="str">
        <f ca="1">IF((OFFSET($A$1, 351 - 1, 58 - 1)) &gt;= (OFFSET($A$1, 93 - 1, 7 - 1)), "1","0")</f>
        <v>0</v>
      </c>
      <c r="BI351">
        <f ca="1" xml:space="preserve"> IF( AND( OFFSET($A$1, 351 - 1, 59 - 1) = "1", OFFSET($A$1, 351 - 1, 60 - 1) = "1" ), 1, IF( AND( OFFSET($A$1, 351 - 1, 59 - 1) = "1", OFFSET($A$1, 351 - 1, 60 - 1) = "0" ), 2, IF( AND( OFFSET($A$1, 351 - 1, 59 - 1) = "0", OFFSET($A$1, 351 - 1, 60 - 1) = "1" ), 3, 4 ) ) )</f>
        <v>4</v>
      </c>
    </row>
    <row r="352" spans="53:61" x14ac:dyDescent="0.35">
      <c r="BA352" s="3">
        <v>0.21821398521512544</v>
      </c>
      <c r="BB352" s="3" t="str">
        <f>"0"</f>
        <v>0</v>
      </c>
      <c r="BC352" t="str">
        <f ca="1">IF((OFFSET($A$1, 352 - 1, 53 - 1)) &gt;= (OFFSET($A$1, 69 - 1, 7 - 1)), "1","0")</f>
        <v>0</v>
      </c>
      <c r="BD352">
        <f ca="1" xml:space="preserve"> IF( AND( OFFSET($A$1, 352 - 1, 54 - 1) = "1", OFFSET($A$1, 352 - 1, 55 - 1) = "1" ), 1, IF( AND( OFFSET($A$1, 352 - 1, 54 - 1) = "1", OFFSET($A$1, 352 - 1, 55 - 1) = "0" ), 2, IF( AND( OFFSET($A$1, 352 - 1, 54 - 1) = "0", OFFSET($A$1, 352 - 1, 55 - 1) = "1" ), 3, 4 ) ) )</f>
        <v>4</v>
      </c>
      <c r="BF352" s="3">
        <v>0.21780485542104797</v>
      </c>
      <c r="BG352" s="3" t="str">
        <f>"1"</f>
        <v>1</v>
      </c>
      <c r="BH352" t="str">
        <f ca="1">IF((OFFSET($A$1, 352 - 1, 58 - 1)) &gt;= (OFFSET($A$1, 93 - 1, 7 - 1)), "1","0")</f>
        <v>0</v>
      </c>
      <c r="BI352">
        <f ca="1" xml:space="preserve"> IF( AND( OFFSET($A$1, 352 - 1, 59 - 1) = "1", OFFSET($A$1, 352 - 1, 60 - 1) = "1" ), 1, IF( AND( OFFSET($A$1, 352 - 1, 59 - 1) = "1", OFFSET($A$1, 352 - 1, 60 - 1) = "0" ), 2, IF( AND( OFFSET($A$1, 352 - 1, 59 - 1) = "0", OFFSET($A$1, 352 - 1, 60 - 1) = "1" ), 3, 4 ) ) )</f>
        <v>2</v>
      </c>
    </row>
    <row r="353" spans="53:61" x14ac:dyDescent="0.35">
      <c r="BA353" s="3">
        <v>0.21739914588369261</v>
      </c>
      <c r="BB353" s="3" t="str">
        <f>"0"</f>
        <v>0</v>
      </c>
      <c r="BC353" t="str">
        <f ca="1">IF((OFFSET($A$1, 353 - 1, 53 - 1)) &gt;= (OFFSET($A$1, 69 - 1, 7 - 1)), "1","0")</f>
        <v>0</v>
      </c>
      <c r="BD353">
        <f ca="1" xml:space="preserve"> IF( AND( OFFSET($A$1, 353 - 1, 54 - 1) = "1", OFFSET($A$1, 353 - 1, 55 - 1) = "1" ), 1, IF( AND( OFFSET($A$1, 353 - 1, 54 - 1) = "1", OFFSET($A$1, 353 - 1, 55 - 1) = "0" ), 2, IF( AND( OFFSET($A$1, 353 - 1, 54 - 1) = "0", OFFSET($A$1, 353 - 1, 55 - 1) = "1" ), 3, 4 ) ) )</f>
        <v>4</v>
      </c>
      <c r="BF353" s="3">
        <v>0.46383387169804929</v>
      </c>
      <c r="BG353" s="3" t="str">
        <f>"1"</f>
        <v>1</v>
      </c>
      <c r="BH353" t="str">
        <f ca="1">IF((OFFSET($A$1, 353 - 1, 58 - 1)) &gt;= (OFFSET($A$1, 93 - 1, 7 - 1)), "1","0")</f>
        <v>0</v>
      </c>
      <c r="BI353">
        <f ca="1" xml:space="preserve"> IF( AND( OFFSET($A$1, 353 - 1, 59 - 1) = "1", OFFSET($A$1, 353 - 1, 60 - 1) = "1" ), 1, IF( AND( OFFSET($A$1, 353 - 1, 59 - 1) = "1", OFFSET($A$1, 353 - 1, 60 - 1) = "0" ), 2, IF( AND( OFFSET($A$1, 353 - 1, 59 - 1) = "0", OFFSET($A$1, 353 - 1, 60 - 1) = "1" ), 3, 4 ) ) )</f>
        <v>2</v>
      </c>
    </row>
    <row r="354" spans="53:61" x14ac:dyDescent="0.35">
      <c r="BA354" s="3">
        <v>0.21659806097028356</v>
      </c>
      <c r="BB354" s="3" t="str">
        <f>"0"</f>
        <v>0</v>
      </c>
      <c r="BC354" t="str">
        <f ca="1">IF((OFFSET($A$1, 354 - 1, 53 - 1)) &gt;= (OFFSET($A$1, 69 - 1, 7 - 1)), "1","0")</f>
        <v>0</v>
      </c>
      <c r="BD354">
        <f ca="1" xml:space="preserve"> IF( AND( OFFSET($A$1, 354 - 1, 54 - 1) = "1", OFFSET($A$1, 354 - 1, 55 - 1) = "1" ), 1, IF( AND( OFFSET($A$1, 354 - 1, 54 - 1) = "1", OFFSET($A$1, 354 - 1, 55 - 1) = "0" ), 2, IF( AND( OFFSET($A$1, 354 - 1, 54 - 1) = "0", OFFSET($A$1, 354 - 1, 55 - 1) = "1" ), 3, 4 ) ) )</f>
        <v>4</v>
      </c>
      <c r="BF354" s="3">
        <v>0.46267014595987904</v>
      </c>
      <c r="BG354" s="3" t="str">
        <f>"1"</f>
        <v>1</v>
      </c>
      <c r="BH354" t="str">
        <f ca="1">IF((OFFSET($A$1, 354 - 1, 58 - 1)) &gt;= (OFFSET($A$1, 93 - 1, 7 - 1)), "1","0")</f>
        <v>0</v>
      </c>
      <c r="BI354">
        <f ca="1" xml:space="preserve"> IF( AND( OFFSET($A$1, 354 - 1, 59 - 1) = "1", OFFSET($A$1, 354 - 1, 60 - 1) = "1" ), 1, IF( AND( OFFSET($A$1, 354 - 1, 59 - 1) = "1", OFFSET($A$1, 354 - 1, 60 - 1) = "0" ), 2, IF( AND( OFFSET($A$1, 354 - 1, 59 - 1) = "0", OFFSET($A$1, 354 - 1, 60 - 1) = "1" ), 3, 4 ) ) )</f>
        <v>2</v>
      </c>
    </row>
    <row r="355" spans="53:61" x14ac:dyDescent="0.35">
      <c r="BA355" s="3">
        <v>0.21581087430793228</v>
      </c>
      <c r="BB355" s="3" t="str">
        <f>"0"</f>
        <v>0</v>
      </c>
      <c r="BC355" t="str">
        <f ca="1">IF((OFFSET($A$1, 355 - 1, 53 - 1)) &gt;= (OFFSET($A$1, 69 - 1, 7 - 1)), "1","0")</f>
        <v>0</v>
      </c>
      <c r="BD355">
        <f ca="1" xml:space="preserve"> IF( AND( OFFSET($A$1, 355 - 1, 54 - 1) = "1", OFFSET($A$1, 355 - 1, 55 - 1) = "1" ), 1, IF( AND( OFFSET($A$1, 355 - 1, 54 - 1) = "1", OFFSET($A$1, 355 - 1, 55 - 1) = "0" ), 2, IF( AND( OFFSET($A$1, 355 - 1, 54 - 1) = "0", OFFSET($A$1, 355 - 1, 55 - 1) = "1" ), 3, 4 ) ) )</f>
        <v>4</v>
      </c>
      <c r="BF355" s="3">
        <v>0.46152426828922755</v>
      </c>
      <c r="BG355" s="3" t="str">
        <f>"0"</f>
        <v>0</v>
      </c>
      <c r="BH355" t="str">
        <f ca="1">IF((OFFSET($A$1, 355 - 1, 58 - 1)) &gt;= (OFFSET($A$1, 93 - 1, 7 - 1)), "1","0")</f>
        <v>0</v>
      </c>
      <c r="BI355">
        <f ca="1" xml:space="preserve"> IF( AND( OFFSET($A$1, 355 - 1, 59 - 1) = "1", OFFSET($A$1, 355 - 1, 60 - 1) = "1" ), 1, IF( AND( OFFSET($A$1, 355 - 1, 59 - 1) = "1", OFFSET($A$1, 355 - 1, 60 - 1) = "0" ), 2, IF( AND( OFFSET($A$1, 355 - 1, 59 - 1) = "0", OFFSET($A$1, 355 - 1, 60 - 1) = "1" ), 3, 4 ) ) )</f>
        <v>4</v>
      </c>
    </row>
    <row r="356" spans="53:61" x14ac:dyDescent="0.35">
      <c r="BA356" s="3">
        <v>0.21503772506429686</v>
      </c>
      <c r="BB356" s="3" t="str">
        <f>"0"</f>
        <v>0</v>
      </c>
      <c r="BC356" t="str">
        <f ca="1">IF((OFFSET($A$1, 356 - 1, 53 - 1)) &gt;= (OFFSET($A$1, 69 - 1, 7 - 1)), "1","0")</f>
        <v>0</v>
      </c>
      <c r="BD356">
        <f ca="1" xml:space="preserve"> IF( AND( OFFSET($A$1, 356 - 1, 54 - 1) = "1", OFFSET($A$1, 356 - 1, 55 - 1) = "1" ), 1, IF( AND( OFFSET($A$1, 356 - 1, 54 - 1) = "1", OFFSET($A$1, 356 - 1, 55 - 1) = "0" ), 2, IF( AND( OFFSET($A$1, 356 - 1, 54 - 1) = "0", OFFSET($A$1, 356 - 1, 55 - 1) = "1" ), 3, 4 ) ) )</f>
        <v>4</v>
      </c>
      <c r="BF356" s="3">
        <v>0.21465645670776112</v>
      </c>
      <c r="BG356" s="3" t="str">
        <f>"1"</f>
        <v>1</v>
      </c>
      <c r="BH356" t="str">
        <f ca="1">IF((OFFSET($A$1, 356 - 1, 58 - 1)) &gt;= (OFFSET($A$1, 93 - 1, 7 - 1)), "1","0")</f>
        <v>0</v>
      </c>
      <c r="BI356">
        <f ca="1" xml:space="preserve"> IF( AND( OFFSET($A$1, 356 - 1, 59 - 1) = "1", OFFSET($A$1, 356 - 1, 60 - 1) = "1" ), 1, IF( AND( OFFSET($A$1, 356 - 1, 59 - 1) = "1", OFFSET($A$1, 356 - 1, 60 - 1) = "0" ), 2, IF( AND( OFFSET($A$1, 356 - 1, 59 - 1) = "0", OFFSET($A$1, 356 - 1, 60 - 1) = "1" ), 3, 4 ) ) )</f>
        <v>2</v>
      </c>
    </row>
    <row r="357" spans="53:61" x14ac:dyDescent="0.35">
      <c r="BA357" s="3">
        <v>0.21427874781924144</v>
      </c>
      <c r="BB357" s="3" t="str">
        <f>"1"</f>
        <v>1</v>
      </c>
      <c r="BC357" t="str">
        <f ca="1">IF((OFFSET($A$1, 357 - 1, 53 - 1)) &gt;= (OFFSET($A$1, 69 - 1, 7 - 1)), "1","0")</f>
        <v>0</v>
      </c>
      <c r="BD357">
        <f ca="1" xml:space="preserve"> IF( AND( OFFSET($A$1, 357 - 1, 54 - 1) = "1", OFFSET($A$1, 357 - 1, 55 - 1) = "1" ), 1, IF( AND( OFFSET($A$1, 357 - 1, 54 - 1) = "1", OFFSET($A$1, 357 - 1, 55 - 1) = "0" ), 2, IF( AND( OFFSET($A$1, 357 - 1, 54 - 1) = "0", OFFSET($A$1, 357 - 1, 55 - 1) = "1" ), 3, 4 ) ) )</f>
        <v>2</v>
      </c>
      <c r="BF357" s="3">
        <v>0.45928738093962806</v>
      </c>
      <c r="BG357" s="3" t="str">
        <f>"0"</f>
        <v>0</v>
      </c>
      <c r="BH357" t="str">
        <f ca="1">IF((OFFSET($A$1, 357 - 1, 58 - 1)) &gt;= (OFFSET($A$1, 93 - 1, 7 - 1)), "1","0")</f>
        <v>0</v>
      </c>
      <c r="BI357">
        <f ca="1" xml:space="preserve"> IF( AND( OFFSET($A$1, 357 - 1, 59 - 1) = "1", OFFSET($A$1, 357 - 1, 60 - 1) = "1" ), 1, IF( AND( OFFSET($A$1, 357 - 1, 59 - 1) = "1", OFFSET($A$1, 357 - 1, 60 - 1) = "0" ), 2, IF( AND( OFFSET($A$1, 357 - 1, 59 - 1) = "0", OFFSET($A$1, 357 - 1, 60 - 1) = "1" ), 3, 4 ) ) )</f>
        <v>4</v>
      </c>
    </row>
    <row r="358" spans="53:61" x14ac:dyDescent="0.35">
      <c r="BA358" s="3">
        <v>0.45873982585867012</v>
      </c>
      <c r="BB358" s="3" t="str">
        <f>"1"</f>
        <v>1</v>
      </c>
      <c r="BC358" t="str">
        <f ca="1">IF((OFFSET($A$1, 358 - 1, 53 - 1)) &gt;= (OFFSET($A$1, 69 - 1, 7 - 1)), "1","0")</f>
        <v>0</v>
      </c>
      <c r="BD358">
        <f ca="1" xml:space="preserve"> IF( AND( OFFSET($A$1, 358 - 1, 54 - 1) = "1", OFFSET($A$1, 358 - 1, 55 - 1) = "1" ), 1, IF( AND( OFFSET($A$1, 358 - 1, 54 - 1) = "1", OFFSET($A$1, 358 - 1, 55 - 1) = "0" ), 2, IF( AND( OFFSET($A$1, 358 - 1, 54 - 1) = "0", OFFSET($A$1, 358 - 1, 55 - 1) = "1" ), 3, 4 ) ) )</f>
        <v>2</v>
      </c>
      <c r="BF358" s="3">
        <v>0.21316713776678839</v>
      </c>
      <c r="BG358" s="3" t="str">
        <f>"0"</f>
        <v>0</v>
      </c>
      <c r="BH358" t="str">
        <f ca="1">IF((OFFSET($A$1, 358 - 1, 58 - 1)) &gt;= (OFFSET($A$1, 93 - 1, 7 - 1)), "1","0")</f>
        <v>0</v>
      </c>
      <c r="BI358">
        <f ca="1" xml:space="preserve"> IF( AND( OFFSET($A$1, 358 - 1, 59 - 1) = "1", OFFSET($A$1, 358 - 1, 60 - 1) = "1" ), 1, IF( AND( OFFSET($A$1, 358 - 1, 59 - 1) = "1", OFFSET($A$1, 358 - 1, 60 - 1) = "0" ), 2, IF( AND( OFFSET($A$1, 358 - 1, 59 - 1) = "0", OFFSET($A$1, 358 - 1, 60 - 1) = "1" ), 3, 4 ) ) )</f>
        <v>4</v>
      </c>
    </row>
    <row r="359" spans="53:61" x14ac:dyDescent="0.35">
      <c r="BA359" s="3">
        <v>0.45765899238330537</v>
      </c>
      <c r="BB359" s="3" t="str">
        <f>"0"</f>
        <v>0</v>
      </c>
      <c r="BC359" t="str">
        <f ca="1">IF((OFFSET($A$1, 359 - 1, 53 - 1)) &gt;= (OFFSET($A$1, 69 - 1, 7 - 1)), "1","0")</f>
        <v>0</v>
      </c>
      <c r="BD359">
        <f ca="1" xml:space="preserve"> IF( AND( OFFSET($A$1, 359 - 1, 54 - 1) = "1", OFFSET($A$1, 359 - 1, 55 - 1) = "1" ), 1, IF( AND( OFFSET($A$1, 359 - 1, 54 - 1) = "1", OFFSET($A$1, 359 - 1, 55 - 1) = "0" ), 2, IF( AND( OFFSET($A$1, 359 - 1, 54 - 1) = "0", OFFSET($A$1, 359 - 1, 55 - 1) = "1" ), 3, 4 ) ) )</f>
        <v>4</v>
      </c>
      <c r="BF359" s="3">
        <v>0.21244414991575331</v>
      </c>
      <c r="BG359" s="3" t="str">
        <f>"0"</f>
        <v>0</v>
      </c>
      <c r="BH359" t="str">
        <f ca="1">IF((OFFSET($A$1, 359 - 1, 58 - 1)) &gt;= (OFFSET($A$1, 93 - 1, 7 - 1)), "1","0")</f>
        <v>0</v>
      </c>
      <c r="BI359">
        <f ca="1" xml:space="preserve"> IF( AND( OFFSET($A$1, 359 - 1, 59 - 1) = "1", OFFSET($A$1, 359 - 1, 60 - 1) = "1" ), 1, IF( AND( OFFSET($A$1, 359 - 1, 59 - 1) = "1", OFFSET($A$1, 359 - 1, 60 - 1) = "0" ), 2, IF( AND( OFFSET($A$1, 359 - 1, 59 - 1) = "0", OFFSET($A$1, 359 - 1, 60 - 1) = "1" ), 3, 4 ) ) )</f>
        <v>4</v>
      </c>
    </row>
    <row r="360" spans="53:61" x14ac:dyDescent="0.35">
      <c r="BA360" s="3">
        <v>0.21208812672930744</v>
      </c>
      <c r="BB360" s="3" t="str">
        <f>"0"</f>
        <v>0</v>
      </c>
      <c r="BC360" t="str">
        <f ca="1">IF((OFFSET($A$1, 360 - 1, 53 - 1)) &gt;= (OFFSET($A$1, 69 - 1, 7 - 1)), "1","0")</f>
        <v>0</v>
      </c>
      <c r="BD360">
        <f ca="1" xml:space="preserve"> IF( AND( OFFSET($A$1, 360 - 1, 54 - 1) = "1", OFFSET($A$1, 360 - 1, 55 - 1) = "1" ), 1, IF( AND( OFFSET($A$1, 360 - 1, 54 - 1) = "1", OFFSET($A$1, 360 - 1, 55 - 1) = "0" ), 2, IF( AND( OFFSET($A$1, 360 - 1, 54 - 1) = "0", OFFSET($A$1, 360 - 1, 55 - 1) = "1" ), 3, 4 ) ) )</f>
        <v>4</v>
      </c>
      <c r="BF360" s="3">
        <v>0.21173577011898054</v>
      </c>
      <c r="BG360" s="3" t="str">
        <f>"0"</f>
        <v>0</v>
      </c>
      <c r="BH360" t="str">
        <f ca="1">IF((OFFSET($A$1, 360 - 1, 58 - 1)) &gt;= (OFFSET($A$1, 93 - 1, 7 - 1)), "1","0")</f>
        <v>0</v>
      </c>
      <c r="BI360">
        <f ca="1" xml:space="preserve"> IF( AND( OFFSET($A$1, 360 - 1, 59 - 1) = "1", OFFSET($A$1, 360 - 1, 60 - 1) = "1" ), 1, IF( AND( OFFSET($A$1, 360 - 1, 59 - 1) = "1", OFFSET($A$1, 360 - 1, 60 - 1) = "0" ), 2, IF( AND( OFFSET($A$1, 360 - 1, 59 - 1) = "0", OFFSET($A$1, 360 - 1, 60 - 1) = "1" ), 3, 4 ) ) )</f>
        <v>4</v>
      </c>
    </row>
    <row r="361" spans="53:61" x14ac:dyDescent="0.35">
      <c r="BA361" s="3">
        <v>0.21138709432011543</v>
      </c>
      <c r="BB361" s="3" t="str">
        <f>"0"</f>
        <v>0</v>
      </c>
      <c r="BC361" t="str">
        <f ca="1">IF((OFFSET($A$1, 361 - 1, 53 - 1)) &gt;= (OFFSET($A$1, 69 - 1, 7 - 1)), "1","0")</f>
        <v>0</v>
      </c>
      <c r="BD361">
        <f ca="1" xml:space="preserve"> IF( AND( OFFSET($A$1, 361 - 1, 54 - 1) = "1", OFFSET($A$1, 361 - 1, 55 - 1) = "1" ), 1, IF( AND( OFFSET($A$1, 361 - 1, 54 - 1) = "1", OFFSET($A$1, 361 - 1, 55 - 1) = "0" ), 2, IF( AND( OFFSET($A$1, 361 - 1, 54 - 1) = "0", OFFSET($A$1, 361 - 1, 55 - 1) = "1" ), 3, 4 ) ) )</f>
        <v>4</v>
      </c>
      <c r="BF361" s="3">
        <v>0.21104211330944464</v>
      </c>
      <c r="BG361" s="3" t="str">
        <f>"1"</f>
        <v>1</v>
      </c>
      <c r="BH361" t="str">
        <f ca="1">IF((OFFSET($A$1, 361 - 1, 58 - 1)) &gt;= (OFFSET($A$1, 93 - 1, 7 - 1)), "1","0")</f>
        <v>0</v>
      </c>
      <c r="BI361">
        <f ca="1" xml:space="preserve"> IF( AND( OFFSET($A$1, 361 - 1, 59 - 1) = "1", OFFSET($A$1, 361 - 1, 60 - 1) = "1" ), 1, IF( AND( OFFSET($A$1, 361 - 1, 59 - 1) = "1", OFFSET($A$1, 361 - 1, 60 - 1) = "0" ), 2, IF( AND( OFFSET($A$1, 361 - 1, 59 - 1) = "0", OFFSET($A$1, 361 - 1, 60 - 1) = "1" ), 3, 4 ) ) )</f>
        <v>2</v>
      </c>
    </row>
    <row r="362" spans="53:61" x14ac:dyDescent="0.35">
      <c r="BA362" s="3">
        <v>0.2107008408077298</v>
      </c>
      <c r="BB362" s="3" t="str">
        <f>"0"</f>
        <v>0</v>
      </c>
      <c r="BC362" t="str">
        <f ca="1">IF((OFFSET($A$1, 362 - 1, 53 - 1)) &gt;= (OFFSET($A$1, 69 - 1, 7 - 1)), "1","0")</f>
        <v>0</v>
      </c>
      <c r="BD362">
        <f ca="1" xml:space="preserve"> IF( AND( OFFSET($A$1, 362 - 1, 54 - 1) = "1", OFFSET($A$1, 362 - 1, 55 - 1) = "1" ), 1, IF( AND( OFFSET($A$1, 362 - 1, 54 - 1) = "1", OFFSET($A$1, 362 - 1, 55 - 1) = "0" ), 2, IF( AND( OFFSET($A$1, 362 - 1, 54 - 1) = "0", OFFSET($A$1, 362 - 1, 55 - 1) = "1" ), 3, 4 ) ) )</f>
        <v>4</v>
      </c>
      <c r="BF362" s="3">
        <v>0.45402997488940394</v>
      </c>
      <c r="BG362" s="3" t="str">
        <f>"0"</f>
        <v>0</v>
      </c>
      <c r="BH362" t="str">
        <f ca="1">IF((OFFSET($A$1, 362 - 1, 58 - 1)) &gt;= (OFFSET($A$1, 93 - 1, 7 - 1)), "1","0")</f>
        <v>0</v>
      </c>
      <c r="BI362">
        <f ca="1" xml:space="preserve"> IF( AND( OFFSET($A$1, 362 - 1, 59 - 1) = "1", OFFSET($A$1, 362 - 1, 60 - 1) = "1" ), 1, IF( AND( OFFSET($A$1, 362 - 1, 59 - 1) = "1", OFFSET($A$1, 362 - 1, 60 - 1) = "0" ), 2, IF( AND( OFFSET($A$1, 362 - 1, 59 - 1) = "0", OFFSET($A$1, 362 - 1, 60 - 1) = "1" ), 3, 4 ) ) )</f>
        <v>4</v>
      </c>
    </row>
    <row r="363" spans="53:61" x14ac:dyDescent="0.35">
      <c r="BA363" s="3">
        <v>0.21002947495026406</v>
      </c>
      <c r="BB363" s="3" t="str">
        <f>"1"</f>
        <v>1</v>
      </c>
      <c r="BC363" t="str">
        <f ca="1">IF((OFFSET($A$1, 363 - 1, 53 - 1)) &gt;= (OFFSET($A$1, 69 - 1, 7 - 1)), "1","0")</f>
        <v>0</v>
      </c>
      <c r="BD363">
        <f ca="1" xml:space="preserve"> IF( AND( OFFSET($A$1, 363 - 1, 54 - 1) = "1", OFFSET($A$1, 363 - 1, 55 - 1) = "1" ), 1, IF( AND( OFFSET($A$1, 363 - 1, 54 - 1) = "1", OFFSET($A$1, 363 - 1, 55 - 1) = "0" ), 2, IF( AND( OFFSET($A$1, 363 - 1, 54 - 1) = "0", OFFSET($A$1, 363 - 1, 55 - 1) = "1" ), 3, 4 ) ) )</f>
        <v>2</v>
      </c>
      <c r="BF363" s="3">
        <v>0.20969940778005991</v>
      </c>
      <c r="BG363" s="3" t="str">
        <f>"0"</f>
        <v>0</v>
      </c>
      <c r="BH363" t="str">
        <f ca="1">IF((OFFSET($A$1, 363 - 1, 58 - 1)) &gt;= (OFFSET($A$1, 93 - 1, 7 - 1)), "1","0")</f>
        <v>0</v>
      </c>
      <c r="BI363">
        <f ca="1" xml:space="preserve"> IF( AND( OFFSET($A$1, 363 - 1, 59 - 1) = "1", OFFSET($A$1, 363 - 1, 60 - 1) = "1" ), 1, IF( AND( OFFSET($A$1, 363 - 1, 59 - 1) = "1", OFFSET($A$1, 363 - 1, 60 - 1) = "0" ), 2, IF( AND( OFFSET($A$1, 363 - 1, 59 - 1) = "0", OFFSET($A$1, 363 - 1, 60 - 1) = "1" ), 3, 4 ) ) )</f>
        <v>4</v>
      </c>
    </row>
    <row r="364" spans="53:61" x14ac:dyDescent="0.35">
      <c r="BA364" s="3">
        <v>0.45255016707370249</v>
      </c>
      <c r="BB364" s="3" t="str">
        <f>"1"</f>
        <v>1</v>
      </c>
      <c r="BC364" t="str">
        <f ca="1">IF((OFFSET($A$1, 364 - 1, 53 - 1)) &gt;= (OFFSET($A$1, 69 - 1, 7 - 1)), "1","0")</f>
        <v>0</v>
      </c>
      <c r="BD364">
        <f ca="1" xml:space="preserve"> IF( AND( OFFSET($A$1, 364 - 1, 54 - 1) = "1", OFFSET($A$1, 364 - 1, 55 - 1) = "1" ), 1, IF( AND( OFFSET($A$1, 364 - 1, 54 - 1) = "1", OFFSET($A$1, 364 - 1, 55 - 1) = "0" ), 2, IF( AND( OFFSET($A$1, 364 - 1, 54 - 1) = "0", OFFSET($A$1, 364 - 1, 55 - 1) = "1" ), 3, 4 ) ) )</f>
        <v>2</v>
      </c>
      <c r="BF364" s="3">
        <v>0.20905056857653978</v>
      </c>
      <c r="BG364" s="3" t="str">
        <f>"0"</f>
        <v>0</v>
      </c>
      <c r="BH364" t="str">
        <f ca="1">IF((OFFSET($A$1, 364 - 1, 58 - 1)) &gt;= (OFFSET($A$1, 93 - 1, 7 - 1)), "1","0")</f>
        <v>0</v>
      </c>
      <c r="BI364">
        <f ca="1" xml:space="preserve"> IF( AND( OFFSET($A$1, 364 - 1, 59 - 1) = "1", OFFSET($A$1, 364 - 1, 60 - 1) = "1" ), 1, IF( AND( OFFSET($A$1, 364 - 1, 59 - 1) = "1", OFFSET($A$1, 364 - 1, 60 - 1) = "0" ), 2, IF( AND( OFFSET($A$1, 364 - 1, 59 - 1) = "0", OFFSET($A$1, 364 - 1, 60 - 1) = "1" ), 3, 4 ) ) )</f>
        <v>4</v>
      </c>
    </row>
    <row r="365" spans="53:61" x14ac:dyDescent="0.35">
      <c r="BA365" s="3">
        <v>0.4515894936855413</v>
      </c>
      <c r="BB365" s="3" t="str">
        <f>"0"</f>
        <v>0</v>
      </c>
      <c r="BC365" t="str">
        <f ca="1">IF((OFFSET($A$1, 365 - 1, 53 - 1)) &gt;= (OFFSET($A$1, 69 - 1, 7 - 1)), "1","0")</f>
        <v>0</v>
      </c>
      <c r="BD365">
        <f ca="1" xml:space="preserve"> IF( AND( OFFSET($A$1, 365 - 1, 54 - 1) = "1", OFFSET($A$1, 365 - 1, 55 - 1) = "1" ), 1, IF( AND( OFFSET($A$1, 365 - 1, 54 - 1) = "1", OFFSET($A$1, 365 - 1, 55 - 1) = "0" ), 2, IF( AND( OFFSET($A$1, 365 - 1, 54 - 1) = "0", OFFSET($A$1, 365 - 1, 55 - 1) = "1" ), 3, 4 ) ) )</f>
        <v>4</v>
      </c>
      <c r="BF365" s="3">
        <v>0.20841687156327265</v>
      </c>
      <c r="BG365" s="3" t="str">
        <f>"0"</f>
        <v>0</v>
      </c>
      <c r="BH365" t="str">
        <f ca="1">IF((OFFSET($A$1, 365 - 1, 58 - 1)) &gt;= (OFFSET($A$1, 93 - 1, 7 - 1)), "1","0")</f>
        <v>0</v>
      </c>
      <c r="BI365">
        <f ca="1" xml:space="preserve"> IF( AND( OFFSET($A$1, 365 - 1, 59 - 1) = "1", OFFSET($A$1, 365 - 1, 60 - 1) = "1" ), 1, IF( AND( OFFSET($A$1, 365 - 1, 59 - 1) = "1", OFFSET($A$1, 365 - 1, 60 - 1) = "0" ), 2, IF( AND( OFFSET($A$1, 365 - 1, 59 - 1) = "0", OFFSET($A$1, 365 - 1, 60 - 1) = "1" ), 3, 4 ) ) )</f>
        <v>4</v>
      </c>
    </row>
    <row r="366" spans="53:61" x14ac:dyDescent="0.35">
      <c r="BA366" s="3">
        <v>0.20810573124088685</v>
      </c>
      <c r="BB366" s="3" t="str">
        <f>"0"</f>
        <v>0</v>
      </c>
      <c r="BC366" t="str">
        <f ca="1">IF((OFFSET($A$1, 366 - 1, 53 - 1)) &gt;= (OFFSET($A$1, 69 - 1, 7 - 1)), "1","0")</f>
        <v>0</v>
      </c>
      <c r="BD366">
        <f ca="1" xml:space="preserve"> IF( AND( OFFSET($A$1, 366 - 1, 54 - 1) = "1", OFFSET($A$1, 366 - 1, 55 - 1) = "1" ), 1, IF( AND( OFFSET($A$1, 366 - 1, 54 - 1) = "1", OFFSET($A$1, 366 - 1, 55 - 1) = "0" ), 2, IF( AND( OFFSET($A$1, 366 - 1, 54 - 1) = "0", OFFSET($A$1, 366 - 1, 55 - 1) = "1" ), 3, 4 ) ) )</f>
        <v>4</v>
      </c>
      <c r="BF366" s="3">
        <v>0.20779841183435241</v>
      </c>
      <c r="BG366" s="3" t="str">
        <f>"0"</f>
        <v>0</v>
      </c>
      <c r="BH366" t="str">
        <f ca="1">IF((OFFSET($A$1, 366 - 1, 58 - 1)) &gt;= (OFFSET($A$1, 93 - 1, 7 - 1)), "1","0")</f>
        <v>0</v>
      </c>
      <c r="BI366">
        <f ca="1" xml:space="preserve"> IF( AND( OFFSET($A$1, 366 - 1, 59 - 1) = "1", OFFSET($A$1, 366 - 1, 60 - 1) = "1" ), 1, IF( AND( OFFSET($A$1, 366 - 1, 59 - 1) = "1", OFFSET($A$1, 366 - 1, 60 - 1) = "0" ), 2, IF( AND( OFFSET($A$1, 366 - 1, 59 - 1) = "0", OFFSET($A$1, 366 - 1, 60 - 1) = "1" ), 3, 4 ) ) )</f>
        <v>4</v>
      </c>
    </row>
    <row r="367" spans="53:61" x14ac:dyDescent="0.35">
      <c r="BA367" s="3">
        <v>0.20749492465109753</v>
      </c>
      <c r="BB367" s="3" t="str">
        <f>"0"</f>
        <v>0</v>
      </c>
      <c r="BC367" t="str">
        <f ca="1">IF((OFFSET($A$1, 367 - 1, 53 - 1)) &gt;= (OFFSET($A$1, 69 - 1, 7 - 1)), "1","0")</f>
        <v>0</v>
      </c>
      <c r="BD367">
        <f ca="1" xml:space="preserve"> IF( AND( OFFSET($A$1, 367 - 1, 54 - 1) = "1", OFFSET($A$1, 367 - 1, 55 - 1) = "1" ), 1, IF( AND( OFFSET($A$1, 367 - 1, 54 - 1) = "1", OFFSET($A$1, 367 - 1, 55 - 1) = "0" ), 2, IF( AND( OFFSET($A$1, 367 - 1, 54 - 1) = "0", OFFSET($A$1, 367 - 1, 55 - 1) = "1" ), 3, 4 ) ) )</f>
        <v>4</v>
      </c>
      <c r="BF367" s="3">
        <v>0.20719528077187255</v>
      </c>
      <c r="BG367" s="3" t="str">
        <f>"0"</f>
        <v>0</v>
      </c>
      <c r="BH367" t="str">
        <f ca="1">IF((OFFSET($A$1, 367 - 1, 58 - 1)) &gt;= (OFFSET($A$1, 93 - 1, 7 - 1)), "1","0")</f>
        <v>0</v>
      </c>
      <c r="BI367">
        <f ca="1" xml:space="preserve"> IF( AND( OFFSET($A$1, 367 - 1, 59 - 1) = "1", OFFSET($A$1, 367 - 1, 60 - 1) = "1" ), 1, IF( AND( OFFSET($A$1, 367 - 1, 59 - 1) = "1", OFFSET($A$1, 367 - 1, 60 - 1) = "0" ), 2, IF( AND( OFFSET($A$1, 367 - 1, 59 - 1) = "0", OFFSET($A$1, 367 - 1, 60 - 1) = "1" ), 3, 4 ) ) )</f>
        <v>4</v>
      </c>
    </row>
    <row r="368" spans="53:61" x14ac:dyDescent="0.35">
      <c r="BA368" s="3">
        <v>0.20689949105339986</v>
      </c>
      <c r="BB368" s="3" t="str">
        <f>"0"</f>
        <v>0</v>
      </c>
      <c r="BC368" t="str">
        <f ca="1">IF((OFFSET($A$1, 368 - 1, 53 - 1)) &gt;= (OFFSET($A$1, 69 - 1, 7 - 1)), "1","0")</f>
        <v>0</v>
      </c>
      <c r="BD368">
        <f ca="1" xml:space="preserve"> IF( AND( OFFSET($A$1, 368 - 1, 54 - 1) = "1", OFFSET($A$1, 368 - 1, 55 - 1) = "1" ), 1, IF( AND( OFFSET($A$1, 368 - 1, 54 - 1) = "1", OFFSET($A$1, 368 - 1, 55 - 1) = "0" ), 2, IF( AND( OFFSET($A$1, 368 - 1, 54 - 1) = "0", OFFSET($A$1, 368 - 1, 55 - 1) = "1" ), 3, 4 ) ) )</f>
        <v>4</v>
      </c>
      <c r="BF368" s="3">
        <v>0.20660756613102005</v>
      </c>
      <c r="BG368" s="3" t="str">
        <f>"0"</f>
        <v>0</v>
      </c>
      <c r="BH368" t="str">
        <f ca="1">IF((OFFSET($A$1, 368 - 1, 58 - 1)) &gt;= (OFFSET($A$1, 93 - 1, 7 - 1)), "1","0")</f>
        <v>0</v>
      </c>
      <c r="BI368">
        <f ca="1" xml:space="preserve"> IF( AND( OFFSET($A$1, 368 - 1, 59 - 1) = "1", OFFSET($A$1, 368 - 1, 60 - 1) = "1" ), 1, IF( AND( OFFSET($A$1, 368 - 1, 59 - 1) = "1", OFFSET($A$1, 368 - 1, 60 - 1) = "0" ), 2, IF( AND( OFFSET($A$1, 368 - 1, 59 - 1) = "0", OFFSET($A$1, 368 - 1, 60 - 1) = "1" ), 3, 4 ) ) )</f>
        <v>4</v>
      </c>
    </row>
    <row r="369" spans="53:61" x14ac:dyDescent="0.35">
      <c r="BA369" s="3">
        <v>0.20631951642132645</v>
      </c>
      <c r="BB369" s="3" t="str">
        <f>"1"</f>
        <v>1</v>
      </c>
      <c r="BC369" t="str">
        <f ca="1">IF((OFFSET($A$1, 369 - 1, 53 - 1)) &gt;= (OFFSET($A$1, 69 - 1, 7 - 1)), "1","0")</f>
        <v>0</v>
      </c>
      <c r="BD369">
        <f ca="1" xml:space="preserve"> IF( AND( OFFSET($A$1, 369 - 1, 54 - 1) = "1", OFFSET($A$1, 369 - 1, 55 - 1) = "1" ), 1, IF( AND( OFFSET($A$1, 369 - 1, 54 - 1) = "1", OFFSET($A$1, 369 - 1, 55 - 1) = "0" ), 2, IF( AND( OFFSET($A$1, 369 - 1, 54 - 1) = "0", OFFSET($A$1, 369 - 1, 55 - 1) = "1" ), 3, 4 ) ) )</f>
        <v>2</v>
      </c>
      <c r="BF369" s="3">
        <v>0.20603535212479168</v>
      </c>
      <c r="BG369" s="3" t="str">
        <f>"0"</f>
        <v>0</v>
      </c>
      <c r="BH369" t="str">
        <f ca="1">IF((OFFSET($A$1, 369 - 1, 58 - 1)) &gt;= (OFFSET($A$1, 93 - 1, 7 - 1)), "1","0")</f>
        <v>0</v>
      </c>
      <c r="BI369">
        <f ca="1" xml:space="preserve"> IF( AND( OFFSET($A$1, 369 - 1, 59 - 1) = "1", OFFSET($A$1, 369 - 1, 60 - 1) = "1" ), 1, IF( AND( OFFSET($A$1, 369 - 1, 59 - 1) = "1", OFFSET($A$1, 369 - 1, 60 - 1) = "0" ), 2, IF( AND( OFFSET($A$1, 369 - 1, 59 - 1) = "0", OFFSET($A$1, 369 - 1, 60 - 1) = "1" ), 3, 4 ) ) )</f>
        <v>4</v>
      </c>
    </row>
    <row r="370" spans="53:61" x14ac:dyDescent="0.35">
      <c r="BA370" s="3">
        <v>0.44710634704893981</v>
      </c>
      <c r="BB370" s="3" t="str">
        <f>"0"</f>
        <v>0</v>
      </c>
      <c r="BC370" t="str">
        <f ca="1">IF((OFFSET($A$1, 370 - 1, 53 - 1)) &gt;= (OFFSET($A$1, 69 - 1, 7 - 1)), "1","0")</f>
        <v>0</v>
      </c>
      <c r="BD370">
        <f ca="1" xml:space="preserve"> IF( AND( OFFSET($A$1, 370 - 1, 54 - 1) = "1", OFFSET($A$1, 370 - 1, 55 - 1) = "1" ), 1, IF( AND( OFFSET($A$1, 370 - 1, 54 - 1) = "1", OFFSET($A$1, 370 - 1, 55 - 1) = "0" ), 2, IF( AND( OFFSET($A$1, 370 - 1, 54 - 1) = "0", OFFSET($A$1, 370 - 1, 55 - 1) = "1" ), 3, 4 ) ) )</f>
        <v>4</v>
      </c>
      <c r="BF370" s="3">
        <v>0.20547871950816962</v>
      </c>
      <c r="BG370" s="3" t="str">
        <f>"0"</f>
        <v>0</v>
      </c>
      <c r="BH370" t="str">
        <f ca="1">IF((OFFSET($A$1, 370 - 1, 58 - 1)) &gt;= (OFFSET($A$1, 93 - 1, 7 - 1)), "1","0")</f>
        <v>0</v>
      </c>
      <c r="BI370">
        <f ca="1" xml:space="preserve"> IF( AND( OFFSET($A$1, 370 - 1, 59 - 1) = "1", OFFSET($A$1, 370 - 1, 60 - 1) = "1" ), 1, IF( AND( OFFSET($A$1, 370 - 1, 59 - 1) = "1", OFFSET($A$1, 370 - 1, 60 - 1) = "0" ), 2, IF( AND( OFFSET($A$1, 370 - 1, 59 - 1) = "0", OFFSET($A$1, 370 - 1, 60 - 1) = "1" ), 3, 4 ) ) )</f>
        <v>4</v>
      </c>
    </row>
    <row r="371" spans="53:61" x14ac:dyDescent="0.35">
      <c r="BA371" s="3">
        <v>0.20520627053190621</v>
      </c>
      <c r="BB371" s="3" t="str">
        <f>"1"</f>
        <v>1</v>
      </c>
      <c r="BC371" t="str">
        <f ca="1">IF((OFFSET($A$1, 371 - 1, 53 - 1)) &gt;= (OFFSET($A$1, 69 - 1, 7 - 1)), "1","0")</f>
        <v>0</v>
      </c>
      <c r="BD371">
        <f ca="1" xml:space="preserve"> IF( AND( OFFSET($A$1, 371 - 1, 54 - 1) = "1", OFFSET($A$1, 371 - 1, 55 - 1) = "1" ), 1, IF( AND( OFFSET($A$1, 371 - 1, 54 - 1) = "1", OFFSET($A$1, 371 - 1, 55 - 1) = "0" ), 2, IF( AND( OFFSET($A$1, 371 - 1, 54 - 1) = "0", OFFSET($A$1, 371 - 1, 55 - 1) = "1" ), 3, 4 ) ) )</f>
        <v>2</v>
      </c>
      <c r="BF371" s="3">
        <v>0.2049377456616186</v>
      </c>
      <c r="BG371" s="3" t="str">
        <f>"0"</f>
        <v>0</v>
      </c>
      <c r="BH371" t="str">
        <f ca="1">IF((OFFSET($A$1, 371 - 1, 58 - 1)) &gt;= (OFFSET($A$1, 93 - 1, 7 - 1)), "1","0")</f>
        <v>0</v>
      </c>
      <c r="BI371">
        <f ca="1" xml:space="preserve"> IF( AND( OFFSET($A$1, 371 - 1, 59 - 1) = "1", OFFSET($A$1, 371 - 1, 60 - 1) = "1" ), 1, IF( AND( OFFSET($A$1, 371 - 1, 59 - 1) = "1", OFFSET($A$1, 371 - 1, 60 - 1) = "0" ), 2, IF( AND( OFFSET($A$1, 371 - 1, 59 - 1) = "0", OFFSET($A$1, 371 - 1, 60 - 1) = "1" ), 3, 4 ) ) )</f>
        <v>4</v>
      </c>
    </row>
    <row r="372" spans="53:61" x14ac:dyDescent="0.35">
      <c r="BA372" s="3">
        <v>0.44546711378903348</v>
      </c>
      <c r="BB372" s="3" t="str">
        <f>"0"</f>
        <v>0</v>
      </c>
      <c r="BC372" t="str">
        <f ca="1">IF((OFFSET($A$1, 372 - 1, 53 - 1)) &gt;= (OFFSET($A$1, 69 - 1, 7 - 1)), "1","0")</f>
        <v>0</v>
      </c>
      <c r="BD372">
        <f ca="1" xml:space="preserve"> IF( AND( OFFSET($A$1, 372 - 1, 54 - 1) = "1", OFFSET($A$1, 372 - 1, 55 - 1) = "1" ), 1, IF( AND( OFFSET($A$1, 372 - 1, 54 - 1) = "1", OFFSET($A$1, 372 - 1, 55 - 1) = "0" ), 2, IF( AND( OFFSET($A$1, 372 - 1, 54 - 1) = "0", OFFSET($A$1, 372 - 1, 55 - 1) = "1" ), 3, 4 ) ) )</f>
        <v>4</v>
      </c>
      <c r="BF372" s="3">
        <v>0.20441250467375907</v>
      </c>
      <c r="BG372" s="3" t="str">
        <f>"0"</f>
        <v>0</v>
      </c>
      <c r="BH372" t="str">
        <f ca="1">IF((OFFSET($A$1, 372 - 1, 58 - 1)) &gt;= (OFFSET($A$1, 93 - 1, 7 - 1)), "1","0")</f>
        <v>0</v>
      </c>
      <c r="BI372">
        <f ca="1" xml:space="preserve"> IF( AND( OFFSET($A$1, 372 - 1, 59 - 1) = "1", OFFSET($A$1, 372 - 1, 60 - 1) = "1" ), 1, IF( AND( OFFSET($A$1, 372 - 1, 59 - 1) = "1", OFFSET($A$1, 372 - 1, 60 - 1) = "0" ), 2, IF( AND( OFFSET($A$1, 372 - 1, 59 - 1) = "0", OFFSET($A$1, 372 - 1, 60 - 1) = "1" ), 3, 4 ) ) )</f>
        <v>4</v>
      </c>
    </row>
    <row r="373" spans="53:61" x14ac:dyDescent="0.35">
      <c r="BA373" s="3">
        <v>0.20415580627454763</v>
      </c>
      <c r="BB373" s="3" t="str">
        <f>"0"</f>
        <v>0</v>
      </c>
      <c r="BC373" t="str">
        <f ca="1">IF((OFFSET($A$1, 373 - 1, 53 - 1)) &gt;= (OFFSET($A$1, 69 - 1, 7 - 1)), "1","0")</f>
        <v>0</v>
      </c>
      <c r="BD373">
        <f ca="1" xml:space="preserve"> IF( AND( OFFSET($A$1, 373 - 1, 54 - 1) = "1", OFFSET($A$1, 373 - 1, 55 - 1) = "1" ), 1, IF( AND( OFFSET($A$1, 373 - 1, 54 - 1) = "1", OFFSET($A$1, 373 - 1, 55 - 1) = "0" ), 2, IF( AND( OFFSET($A$1, 373 - 1, 54 - 1) = "0", OFFSET($A$1, 373 - 1, 55 - 1) = "1" ), 3, 4 ) ) )</f>
        <v>4</v>
      </c>
      <c r="BF373" s="3">
        <v>0.20390306742307249</v>
      </c>
      <c r="BG373" s="3" t="str">
        <f>"0"</f>
        <v>0</v>
      </c>
      <c r="BH373" t="str">
        <f ca="1">IF((OFFSET($A$1, 373 - 1, 58 - 1)) &gt;= (OFFSET($A$1, 93 - 1, 7 - 1)), "1","0")</f>
        <v>0</v>
      </c>
      <c r="BI373">
        <f ca="1" xml:space="preserve"> IF( AND( OFFSET($A$1, 373 - 1, 59 - 1) = "1", OFFSET($A$1, 373 - 1, 60 - 1) = "1" ), 1, IF( AND( OFFSET($A$1, 373 - 1, 59 - 1) = "1", OFFSET($A$1, 373 - 1, 60 - 1) = "0" ), 2, IF( AND( OFFSET($A$1, 373 - 1, 59 - 1) = "0", OFFSET($A$1, 373 - 1, 60 - 1) = "1" ), 3, 4 ) ) )</f>
        <v>4</v>
      </c>
    </row>
    <row r="374" spans="53:61" x14ac:dyDescent="0.35">
      <c r="BA374" s="3">
        <v>0.20365429649078517</v>
      </c>
      <c r="BB374" s="3" t="str">
        <f>"0"</f>
        <v>0</v>
      </c>
      <c r="BC374" t="str">
        <f ca="1">IF((OFFSET($A$1, 374 - 1, 53 - 1)) &gt;= (OFFSET($A$1, 69 - 1, 7 - 1)), "1","0")</f>
        <v>0</v>
      </c>
      <c r="BD374">
        <f ca="1" xml:space="preserve"> IF( AND( OFFSET($A$1, 374 - 1, 54 - 1) = "1", OFFSET($A$1, 374 - 1, 55 - 1) = "1" ), 1, IF( AND( OFFSET($A$1, 374 - 1, 54 - 1) = "1", OFFSET($A$1, 374 - 1, 55 - 1) = "0" ), 2, IF( AND( OFFSET($A$1, 374 - 1, 54 - 1) = "0", OFFSET($A$1, 374 - 1, 55 - 1) = "1" ), 3, 4 ) ) )</f>
        <v>4</v>
      </c>
      <c r="BF374" s="3">
        <v>0.20340950165851371</v>
      </c>
      <c r="BG374" s="3" t="str">
        <f>"1"</f>
        <v>1</v>
      </c>
      <c r="BH374" t="str">
        <f ca="1">IF((OFFSET($A$1, 374 - 1, 58 - 1)) &gt;= (OFFSET($A$1, 93 - 1, 7 - 1)), "1","0")</f>
        <v>0</v>
      </c>
      <c r="BI374">
        <f ca="1" xml:space="preserve"> IF( AND( OFFSET($A$1, 374 - 1, 59 - 1) = "1", OFFSET($A$1, 374 - 1, 60 - 1) = "1" ), 1, IF( AND( OFFSET($A$1, 374 - 1, 59 - 1) = "1", OFFSET($A$1, 374 - 1, 60 - 1) = "0" ), 2, IF( AND( OFFSET($A$1, 374 - 1, 59 - 1) = "0", OFFSET($A$1, 374 - 1, 60 - 1) = "1" ), 3, 4 ) ) )</f>
        <v>2</v>
      </c>
    </row>
    <row r="375" spans="53:61" x14ac:dyDescent="0.35">
      <c r="BA375" s="3">
        <v>0.20316869091891196</v>
      </c>
      <c r="BB375" s="3" t="str">
        <f>"0"</f>
        <v>0</v>
      </c>
      <c r="BC375" t="str">
        <f ca="1">IF((OFFSET($A$1, 375 - 1, 53 - 1)) &gt;= (OFFSET($A$1, 69 - 1, 7 - 1)), "1","0")</f>
        <v>0</v>
      </c>
      <c r="BD375">
        <f ca="1" xml:space="preserve"> IF( AND( OFFSET($A$1, 375 - 1, 54 - 1) = "1", OFFSET($A$1, 375 - 1, 55 - 1) = "1" ), 1, IF( AND( OFFSET($A$1, 375 - 1, 54 - 1) = "1", OFFSET($A$1, 375 - 1, 55 - 1) = "0" ), 2, IF( AND( OFFSET($A$1, 375 - 1, 54 - 1) = "0", OFFSET($A$1, 375 - 1, 55 - 1) = "1" ), 3, 4 ) ) )</f>
        <v>4</v>
      </c>
      <c r="BF375" s="3">
        <v>0.44281784743287173</v>
      </c>
      <c r="BG375" s="3" t="str">
        <f>"1"</f>
        <v>1</v>
      </c>
      <c r="BH375" t="str">
        <f ca="1">IF((OFFSET($A$1, 375 - 1, 58 - 1)) &gt;= (OFFSET($A$1, 93 - 1, 7 - 1)), "1","0")</f>
        <v>0</v>
      </c>
      <c r="BI375">
        <f ca="1" xml:space="preserve"> IF( AND( OFFSET($A$1, 375 - 1, 59 - 1) = "1", OFFSET($A$1, 375 - 1, 60 - 1) = "1" ), 1, IF( AND( OFFSET($A$1, 375 - 1, 59 - 1) = "1", OFFSET($A$1, 375 - 1, 60 - 1) = "0" ), 2, IF( AND( OFFSET($A$1, 375 - 1, 59 - 1) = "0", OFFSET($A$1, 375 - 1, 60 - 1) = "1" ), 3, 4 ) ) )</f>
        <v>2</v>
      </c>
    </row>
    <row r="376" spans="53:61" x14ac:dyDescent="0.35">
      <c r="BA376" s="3">
        <v>0.20269905276200956</v>
      </c>
      <c r="BB376" s="3" t="str">
        <f>"0"</f>
        <v>0</v>
      </c>
      <c r="BC376" t="str">
        <f ca="1">IF((OFFSET($A$1, 376 - 1, 53 - 1)) &gt;= (OFFSET($A$1, 69 - 1, 7 - 1)), "1","0")</f>
        <v>0</v>
      </c>
      <c r="BD376">
        <f ca="1" xml:space="preserve"> IF( AND( OFFSET($A$1, 376 - 1, 54 - 1) = "1", OFFSET($A$1, 376 - 1, 55 - 1) = "1" ), 1, IF( AND( OFFSET($A$1, 376 - 1, 54 - 1) = "1", OFFSET($A$1, 376 - 1, 55 - 1) = "0" ), 2, IF( AND( OFFSET($A$1, 376 - 1, 54 - 1) = "0", OFFSET($A$1, 376 - 1, 55 - 1) = "1" ), 3, 4 ) ) )</f>
        <v>4</v>
      </c>
      <c r="BF376" s="3">
        <v>0.4421132036347511</v>
      </c>
      <c r="BG376" s="3" t="str">
        <f>"1"</f>
        <v>1</v>
      </c>
      <c r="BH376" t="str">
        <f ca="1">IF((OFFSET($A$1, 376 - 1, 58 - 1)) &gt;= (OFFSET($A$1, 93 - 1, 7 - 1)), "1","0")</f>
        <v>0</v>
      </c>
      <c r="BI376">
        <f ca="1" xml:space="preserve"> IF( AND( OFFSET($A$1, 376 - 1, 59 - 1) = "1", OFFSET($A$1, 376 - 1, 60 - 1) = "1" ), 1, IF( AND( OFFSET($A$1, 376 - 1, 59 - 1) = "1", OFFSET($A$1, 376 - 1, 60 - 1) = "0" ), 2, IF( AND( OFFSET($A$1, 376 - 1, 59 - 1) = "0", OFFSET($A$1, 376 - 1, 60 - 1) = "1" ), 3, 4 ) ) )</f>
        <v>2</v>
      </c>
    </row>
    <row r="377" spans="53:61" x14ac:dyDescent="0.35">
      <c r="BA377" s="3">
        <v>0.20224544228950264</v>
      </c>
      <c r="BB377" s="3" t="str">
        <f>"0"</f>
        <v>0</v>
      </c>
      <c r="BC377" t="str">
        <f ca="1">IF((OFFSET($A$1, 377 - 1, 53 - 1)) &gt;= (OFFSET($A$1, 69 - 1, 7 - 1)), "1","0")</f>
        <v>0</v>
      </c>
      <c r="BD377">
        <f ca="1" xml:space="preserve"> IF( AND( OFFSET($A$1, 377 - 1, 54 - 1) = "1", OFFSET($A$1, 377 - 1, 55 - 1) = "1" ), 1, IF( AND( OFFSET($A$1, 377 - 1, 54 - 1) = "1", OFFSET($A$1, 377 - 1, 55 - 1) = "0" ), 2, IF( AND( OFFSET($A$1, 377 - 1, 54 - 1) = "0", OFFSET($A$1, 377 - 1, 55 - 1) = "1" ), 3, 4 ) ) )</f>
        <v>4</v>
      </c>
      <c r="BF377" s="3">
        <v>0.44143215285432114</v>
      </c>
      <c r="BG377" s="3" t="str">
        <f>"1"</f>
        <v>1</v>
      </c>
      <c r="BH377" t="str">
        <f ca="1">IF((OFFSET($A$1, 377 - 1, 58 - 1)) &gt;= (OFFSET($A$1, 93 - 1, 7 - 1)), "1","0")</f>
        <v>0</v>
      </c>
      <c r="BI377">
        <f ca="1" xml:space="preserve"> IF( AND( OFFSET($A$1, 377 - 1, 59 - 1) = "1", OFFSET($A$1, 377 - 1, 60 - 1) = "1" ), 1, IF( AND( OFFSET($A$1, 377 - 1, 59 - 1) = "1", OFFSET($A$1, 377 - 1, 60 - 1) = "0" ), 2, IF( AND( OFFSET($A$1, 377 - 1, 59 - 1) = "0", OFFSET($A$1, 377 - 1, 60 - 1) = "1" ), 3, 4 ) ) )</f>
        <v>2</v>
      </c>
    </row>
    <row r="378" spans="53:61" x14ac:dyDescent="0.35">
      <c r="BA378" s="3">
        <v>0.20180791691292321</v>
      </c>
      <c r="BB378" s="3" t="str">
        <f>"0"</f>
        <v>0</v>
      </c>
      <c r="BC378" t="str">
        <f ca="1">IF((OFFSET($A$1, 378 - 1, 53 - 1)) &gt;= (OFFSET($A$1, 69 - 1, 7 - 1)), "1","0")</f>
        <v>0</v>
      </c>
      <c r="BD378">
        <f ca="1" xml:space="preserve"> IF( AND( OFFSET($A$1, 378 - 1, 54 - 1) = "1", OFFSET($A$1, 378 - 1, 55 - 1) = "1" ), 1, IF( AND( OFFSET($A$1, 378 - 1, 54 - 1) = "1", OFFSET($A$1, 378 - 1, 55 - 1) = "0" ), 2, IF( AND( OFFSET($A$1, 378 - 1, 54 - 1) = "0", OFFSET($A$1, 378 - 1, 55 - 1) = "1" ), 3, 4 ) ) )</f>
        <v>4</v>
      </c>
      <c r="BF378" s="3">
        <v>0.4407748764836007</v>
      </c>
      <c r="BG378" s="3" t="str">
        <f>"1"</f>
        <v>1</v>
      </c>
      <c r="BH378" t="str">
        <f ca="1">IF((OFFSET($A$1, 378 - 1, 58 - 1)) &gt;= (OFFSET($A$1, 93 - 1, 7 - 1)), "1","0")</f>
        <v>0</v>
      </c>
      <c r="BI378">
        <f ca="1" xml:space="preserve"> IF( AND( OFFSET($A$1, 378 - 1, 59 - 1) = "1", OFFSET($A$1, 378 - 1, 60 - 1) = "1" ), 1, IF( AND( OFFSET($A$1, 378 - 1, 59 - 1) = "1", OFFSET($A$1, 378 - 1, 60 - 1) = "0" ), 2, IF( AND( OFFSET($A$1, 378 - 1, 59 - 1) = "0", OFFSET($A$1, 378 - 1, 60 - 1) = "1" ), 3, 4 ) ) )</f>
        <v>2</v>
      </c>
    </row>
    <row r="379" spans="53:61" x14ac:dyDescent="0.35">
      <c r="BA379" s="3">
        <v>0.20138653126002243</v>
      </c>
      <c r="BB379" s="3" t="str">
        <f>"0"</f>
        <v>0</v>
      </c>
      <c r="BC379" t="str">
        <f ca="1">IF((OFFSET($A$1, 379 - 1, 53 - 1)) &gt;= (OFFSET($A$1, 69 - 1, 7 - 1)), "1","0")</f>
        <v>0</v>
      </c>
      <c r="BD379">
        <f ca="1" xml:space="preserve"> IF( AND( OFFSET($A$1, 379 - 1, 54 - 1) = "1", OFFSET($A$1, 379 - 1, 55 - 1) = "1" ), 1, IF( AND( OFFSET($A$1, 379 - 1, 54 - 1) = "1", OFFSET($A$1, 379 - 1, 55 - 1) = "0" ), 2, IF( AND( OFFSET($A$1, 379 - 1, 54 - 1) = "0", OFFSET($A$1, 379 - 1, 55 - 1) = "1" ), 3, 4 ) ) )</f>
        <v>4</v>
      </c>
      <c r="BF379" s="3">
        <v>0.44014154897932217</v>
      </c>
      <c r="BG379" s="3" t="str">
        <f>"1"</f>
        <v>1</v>
      </c>
      <c r="BH379" t="str">
        <f ca="1">IF((OFFSET($A$1, 379 - 1, 58 - 1)) &gt;= (OFFSET($A$1, 93 - 1, 7 - 1)), "1","0")</f>
        <v>0</v>
      </c>
      <c r="BI379">
        <f ca="1" xml:space="preserve"> IF( AND( OFFSET($A$1, 379 - 1, 59 - 1) = "1", OFFSET($A$1, 379 - 1, 60 - 1) = "1" ), 1, IF( AND( OFFSET($A$1, 379 - 1, 59 - 1) = "1", OFFSET($A$1, 379 - 1, 60 - 1) = "0" ), 2, IF( AND( OFFSET($A$1, 379 - 1, 59 - 1) = "0", OFFSET($A$1, 379 - 1, 60 - 1) = "1" ), 3, 4 ) ) )</f>
        <v>2</v>
      </c>
    </row>
    <row r="380" spans="53:61" x14ac:dyDescent="0.35">
      <c r="BA380" s="3">
        <v>0.20098133724711784</v>
      </c>
      <c r="BB380" s="3" t="str">
        <f>"0"</f>
        <v>0</v>
      </c>
      <c r="BC380" t="str">
        <f ca="1">IF((OFFSET($A$1, 380 - 1, 53 - 1)) &gt;= (OFFSET($A$1, 69 - 1, 7 - 1)), "1","0")</f>
        <v>0</v>
      </c>
      <c r="BD380">
        <f ca="1" xml:space="preserve"> IF( AND( OFFSET($A$1, 380 - 1, 54 - 1) = "1", OFFSET($A$1, 380 - 1, 55 - 1) = "1" ), 1, IF( AND( OFFSET($A$1, 380 - 1, 54 - 1) = "1", OFFSET($A$1, 380 - 1, 55 - 1) = "0" ), 2, IF( AND( OFFSET($A$1, 380 - 1, 54 - 1) = "0", OFFSET($A$1, 380 - 1, 55 - 1) = "1" ), 3, 4 ) ) )</f>
        <v>4</v>
      </c>
      <c r="BF380" s="3">
        <v>0.439532337876192</v>
      </c>
      <c r="BG380" s="3" t="str">
        <f>"1"</f>
        <v>1</v>
      </c>
      <c r="BH380" t="str">
        <f ca="1">IF((OFFSET($A$1, 380 - 1, 58 - 1)) &gt;= (OFFSET($A$1, 93 - 1, 7 - 1)), "1","0")</f>
        <v>0</v>
      </c>
      <c r="BI380">
        <f ca="1" xml:space="preserve"> IF( AND( OFFSET($A$1, 380 - 1, 59 - 1) = "1", OFFSET($A$1, 380 - 1, 60 - 1) = "1" ), 1, IF( AND( OFFSET($A$1, 380 - 1, 59 - 1) = "1", OFFSET($A$1, 380 - 1, 60 - 1) = "0" ), 2, IF( AND( OFFSET($A$1, 380 - 1, 59 - 1) = "0", OFFSET($A$1, 380 - 1, 60 - 1) = "1" ), 3, 4 ) ) )</f>
        <v>2</v>
      </c>
    </row>
    <row r="381" spans="53:61" x14ac:dyDescent="0.35">
      <c r="BA381" s="3">
        <v>0.20059238414957078</v>
      </c>
      <c r="BB381" s="3" t="str">
        <f>"0"</f>
        <v>0</v>
      </c>
      <c r="BC381" t="str">
        <f ca="1">IF((OFFSET($A$1, 381 - 1, 53 - 1)) &gt;= (OFFSET($A$1, 69 - 1, 7 - 1)), "1","0")</f>
        <v>0</v>
      </c>
      <c r="BD381">
        <f ca="1" xml:space="preserve"> IF( AND( OFFSET($A$1, 381 - 1, 54 - 1) = "1", OFFSET($A$1, 381 - 1, 55 - 1) = "1" ), 1, IF( AND( OFFSET($A$1, 381 - 1, 54 - 1) = "1", OFFSET($A$1, 381 - 1, 55 - 1) = "0" ), 2, IF( AND( OFFSET($A$1, 381 - 1, 54 - 1) = "0", OFFSET($A$1, 381 - 1, 55 - 1) = "1" ), 3, 4 ) ) )</f>
        <v>4</v>
      </c>
      <c r="BF381" s="3">
        <v>0.43894740380132813</v>
      </c>
      <c r="BG381" s="3" t="str">
        <f>"0"</f>
        <v>0</v>
      </c>
      <c r="BH381" t="str">
        <f ca="1">IF((OFFSET($A$1, 381 - 1, 58 - 1)) &gt;= (OFFSET($A$1, 93 - 1, 7 - 1)), "1","0")</f>
        <v>0</v>
      </c>
      <c r="BI381">
        <f ca="1" xml:space="preserve"> IF( AND( OFFSET($A$1, 381 - 1, 59 - 1) = "1", OFFSET($A$1, 381 - 1, 60 - 1) = "1" ), 1, IF( AND( OFFSET($A$1, 381 - 1, 59 - 1) = "1", OFFSET($A$1, 381 - 1, 60 - 1) = "0" ), 2, IF( AND( OFFSET($A$1, 381 - 1, 59 - 1) = "0", OFFSET($A$1, 381 - 1, 60 - 1) = "1" ), 3, 4 ) ) )</f>
        <v>4</v>
      </c>
    </row>
    <row r="382" spans="53:61" x14ac:dyDescent="0.35">
      <c r="BA382" s="3">
        <v>0.20021971867028948</v>
      </c>
      <c r="BB382" s="3" t="str">
        <f>"0"</f>
        <v>0</v>
      </c>
      <c r="BC382" t="str">
        <f ca="1">IF((OFFSET($A$1, 382 - 1, 53 - 1)) &gt;= (OFFSET($A$1, 69 - 1, 7 - 1)), "1","0")</f>
        <v>0</v>
      </c>
      <c r="BD382">
        <f ca="1" xml:space="preserve"> IF( AND( OFFSET($A$1, 382 - 1, 54 - 1) = "1", OFFSET($A$1, 382 - 1, 55 - 1) = "1" ), 1, IF( AND( OFFSET($A$1, 382 - 1, 54 - 1) = "1", OFFSET($A$1, 382 - 1, 55 - 1) = "0" ), 2, IF( AND( OFFSET($A$1, 382 - 1, 54 - 1) = "0", OFFSET($A$1, 382 - 1, 55 - 1) = "1" ), 3, 4 ) ) )</f>
        <v>4</v>
      </c>
      <c r="BF382" s="3">
        <v>0.20003950769514497</v>
      </c>
      <c r="BG382" s="3" t="str">
        <f>"0"</f>
        <v>0</v>
      </c>
      <c r="BH382" t="str">
        <f ca="1">IF((OFFSET($A$1, 382 - 1, 58 - 1)) &gt;= (OFFSET($A$1, 93 - 1, 7 - 1)), "1","0")</f>
        <v>0</v>
      </c>
      <c r="BI382">
        <f ca="1" xml:space="preserve"> IF( AND( OFFSET($A$1, 382 - 1, 59 - 1) = "1", OFFSET($A$1, 382 - 1, 60 - 1) = "1" ), 1, IF( AND( OFFSET($A$1, 382 - 1, 59 - 1) = "1", OFFSET($A$1, 382 - 1, 60 - 1) = "0" ), 2, IF( AND( OFFSET($A$1, 382 - 1, 59 - 1) = "0", OFFSET($A$1, 382 - 1, 60 - 1) = "1" ), 3, 4 ) ) )</f>
        <v>4</v>
      </c>
    </row>
    <row r="383" spans="53:61" x14ac:dyDescent="0.35">
      <c r="BA383" s="3">
        <v>0.19986338500616146</v>
      </c>
      <c r="BB383" s="3" t="str">
        <f>"0"</f>
        <v>0</v>
      </c>
      <c r="BC383" t="str">
        <f ca="1">IF((OFFSET($A$1, 383 - 1, 53 - 1)) &gt;= (OFFSET($A$1, 69 - 1, 7 - 1)), "1","0")</f>
        <v>0</v>
      </c>
      <c r="BD383">
        <f ca="1" xml:space="preserve"> IF( AND( OFFSET($A$1, 383 - 1, 54 - 1) = "1", OFFSET($A$1, 383 - 1, 55 - 1) = "1" ), 1, IF( AND( OFFSET($A$1, 383 - 1, 54 - 1) = "1", OFFSET($A$1, 383 - 1, 55 - 1) = "0" ), 2, IF( AND( OFFSET($A$1, 383 - 1, 54 - 1) = "0", OFFSET($A$1, 383 - 1, 55 - 1) = "1" ), 3, 4 ) ) )</f>
        <v>4</v>
      </c>
      <c r="BF383" s="3">
        <v>0.19969135574692859</v>
      </c>
      <c r="BG383" s="3" t="str">
        <f>"0"</f>
        <v>0</v>
      </c>
      <c r="BH383" t="str">
        <f ca="1">IF((OFFSET($A$1, 383 - 1, 58 - 1)) &gt;= (OFFSET($A$1, 93 - 1, 7 - 1)), "1","0")</f>
        <v>0</v>
      </c>
      <c r="BI383">
        <f ca="1" xml:space="preserve"> IF( AND( OFFSET($A$1, 383 - 1, 59 - 1) = "1", OFFSET($A$1, 383 - 1, 60 - 1) = "1" ), 1, IF( AND( OFFSET($A$1, 383 - 1, 59 - 1) = "1", OFFSET($A$1, 383 - 1, 60 - 1) = "0" ), 2, IF( AND( OFFSET($A$1, 383 - 1, 59 - 1) = "0", OFFSET($A$1, 383 - 1, 60 - 1) = "1" ), 3, 4 ) ) )</f>
        <v>4</v>
      </c>
    </row>
    <row r="384" spans="53:61" x14ac:dyDescent="0.35">
      <c r="BA384" s="3">
        <v>0.19952342491231967</v>
      </c>
      <c r="BB384" s="3" t="str">
        <f>"1"</f>
        <v>1</v>
      </c>
      <c r="BC384" t="str">
        <f ca="1">IF((OFFSET($A$1, 384 - 1, 53 - 1)) &gt;= (OFFSET($A$1, 69 - 1, 7 - 1)), "1","0")</f>
        <v>0</v>
      </c>
      <c r="BD384">
        <f ca="1" xml:space="preserve"> IF( AND( OFFSET($A$1, 384 - 1, 54 - 1) = "1", OFFSET($A$1, 384 - 1, 55 - 1) = "1" ), 1, IF( AND( OFFSET($A$1, 384 - 1, 54 - 1) = "1", OFFSET($A$1, 384 - 1, 55 - 1) = "0" ), 2, IF( AND( OFFSET($A$1, 384 - 1, 54 - 1) = "0", OFFSET($A$1, 384 - 1, 55 - 1) = "1" ), 3, 4 ) ) )</f>
        <v>2</v>
      </c>
      <c r="BF384" s="3">
        <v>0.19935959735037628</v>
      </c>
      <c r="BG384" s="3" t="str">
        <f>"0"</f>
        <v>0</v>
      </c>
      <c r="BH384" t="str">
        <f ca="1">IF((OFFSET($A$1, 384 - 1, 58 - 1)) &gt;= (OFFSET($A$1, 93 - 1, 7 - 1)), "1","0")</f>
        <v>0</v>
      </c>
      <c r="BI384">
        <f ca="1" xml:space="preserve"> IF( AND( OFFSET($A$1, 384 - 1, 59 - 1) = "1", OFFSET($A$1, 384 - 1, 60 - 1) = "1" ), 1, IF( AND( OFFSET($A$1, 384 - 1, 59 - 1) = "1", OFFSET($A$1, 384 - 1, 60 - 1) = "0" ), 2, IF( AND( OFFSET($A$1, 384 - 1, 59 - 1) = "0", OFFSET($A$1, 384 - 1, 60 - 1) = "1" ), 3, 4 ) ) )</f>
        <v>4</v>
      </c>
    </row>
    <row r="385" spans="53:61" x14ac:dyDescent="0.35">
      <c r="BA385" s="3">
        <v>0.43709347368672491</v>
      </c>
      <c r="BB385" s="3" t="str">
        <f>"0"</f>
        <v>0</v>
      </c>
      <c r="BC385" t="str">
        <f ca="1">IF((OFFSET($A$1, 385 - 1, 53 - 1)) &gt;= (OFFSET($A$1, 69 - 1, 7 - 1)), "1","0")</f>
        <v>0</v>
      </c>
      <c r="BD385">
        <f ca="1" xml:space="preserve"> IF( AND( OFFSET($A$1, 385 - 1, 54 - 1) = "1", OFFSET($A$1, 385 - 1, 55 - 1) = "1" ), 1, IF( AND( OFFSET($A$1, 385 - 1, 54 - 1) = "1", OFFSET($A$1, 385 - 1, 55 - 1) = "0" ), 2, IF( AND( OFFSET($A$1, 385 - 1, 54 - 1) = "0", OFFSET($A$1, 385 - 1, 55 - 1) = "1" ), 3, 4 ) ) )</f>
        <v>4</v>
      </c>
      <c r="BF385" s="3">
        <v>0.19904427071353198</v>
      </c>
      <c r="BG385" s="3" t="str">
        <f>"0"</f>
        <v>0</v>
      </c>
      <c r="BH385" t="str">
        <f ca="1">IF((OFFSET($A$1, 385 - 1, 58 - 1)) &gt;= (OFFSET($A$1, 93 - 1, 7 - 1)), "1","0")</f>
        <v>0</v>
      </c>
      <c r="BI385">
        <f ca="1" xml:space="preserve"> IF( AND( OFFSET($A$1, 385 - 1, 59 - 1) = "1", OFFSET($A$1, 385 - 1, 60 - 1) = "1" ), 1, IF( AND( OFFSET($A$1, 385 - 1, 59 - 1) = "1", OFFSET($A$1, 385 - 1, 60 - 1) = "0" ), 2, IF( AND( OFFSET($A$1, 385 - 1, 59 - 1) = "0", OFFSET($A$1, 385 - 1, 60 - 1) = "1" ), 3, 4 ) ) )</f>
        <v>4</v>
      </c>
    </row>
    <row r="386" spans="53:61" x14ac:dyDescent="0.35">
      <c r="BA386" s="3">
        <v>0.19889278061698232</v>
      </c>
      <c r="BB386" s="3" t="str">
        <f>"0"</f>
        <v>0</v>
      </c>
      <c r="BC386" t="str">
        <f ca="1">IF((OFFSET($A$1, 386 - 1, 53 - 1)) &gt;= (OFFSET($A$1, 69 - 1, 7 - 1)), "1","0")</f>
        <v>0</v>
      </c>
      <c r="BD386">
        <f ca="1" xml:space="preserve"> IF( AND( OFFSET($A$1, 386 - 1, 54 - 1) = "1", OFFSET($A$1, 386 - 1, 55 - 1) = "1" ), 1, IF( AND( OFFSET($A$1, 386 - 1, 54 - 1) = "1", OFFSET($A$1, 386 - 1, 55 - 1) = "0" ), 2, IF( AND( OFFSET($A$1, 386 - 1, 54 - 1) = "0", OFFSET($A$1, 386 - 1, 55 - 1) = "1" ), 3, 4 ) ) )</f>
        <v>4</v>
      </c>
      <c r="BF386" s="3">
        <v>0.19874541175330138</v>
      </c>
      <c r="BG386" s="3" t="str">
        <f>"0"</f>
        <v>0</v>
      </c>
      <c r="BH386" t="str">
        <f ca="1">IF((OFFSET($A$1, 386 - 1, 58 - 1)) &gt;= (OFFSET($A$1, 93 - 1, 7 - 1)), "1","0")</f>
        <v>0</v>
      </c>
      <c r="BI386">
        <f ca="1" xml:space="preserve"> IF( AND( OFFSET($A$1, 386 - 1, 59 - 1) = "1", OFFSET($A$1, 386 - 1, 60 - 1) = "1" ), 1, IF( AND( OFFSET($A$1, 386 - 1, 59 - 1) = "1", OFFSET($A$1, 386 - 1, 60 - 1) = "0" ), 2, IF( AND( OFFSET($A$1, 386 - 1, 59 - 1) = "0", OFFSET($A$1, 386 - 1, 60 - 1) = "1" ), 3, 4 ) ) )</f>
        <v>4</v>
      </c>
    </row>
    <row r="387" spans="53:61" x14ac:dyDescent="0.35">
      <c r="BA387" s="3">
        <v>0.19860216826330088</v>
      </c>
      <c r="BB387" s="3" t="str">
        <f>"0"</f>
        <v>0</v>
      </c>
      <c r="BC387" t="str">
        <f ca="1">IF((OFFSET($A$1, 387 - 1, 53 - 1)) &gt;= (OFFSET($A$1, 69 - 1, 7 - 1)), "1","0")</f>
        <v>0</v>
      </c>
      <c r="BD387">
        <f ca="1" xml:space="preserve"> IF( AND( OFFSET($A$1, 387 - 1, 54 - 1) = "1", OFFSET($A$1, 387 - 1, 55 - 1) = "1" ), 1, IF( AND( OFFSET($A$1, 387 - 1, 54 - 1) = "1", OFFSET($A$1, 387 - 1, 55 - 1) = "0" ), 2, IF( AND( OFFSET($A$1, 387 - 1, 54 - 1) = "0", OFFSET($A$1, 387 - 1, 55 - 1) = "1" ), 3, 4 ) ) )</f>
        <v>4</v>
      </c>
      <c r="BF387" s="3">
        <v>0.19846305415146023</v>
      </c>
      <c r="BG387" s="3" t="str">
        <f>"0"</f>
        <v>0</v>
      </c>
      <c r="BH387" t="str">
        <f ca="1">IF((OFFSET($A$1, 387 - 1, 58 - 1)) &gt;= (OFFSET($A$1, 93 - 1, 7 - 1)), "1","0")</f>
        <v>0</v>
      </c>
      <c r="BI387">
        <f ca="1" xml:space="preserve"> IF( AND( OFFSET($A$1, 387 - 1, 59 - 1) = "1", OFFSET($A$1, 387 - 1, 60 - 1) = "1" ), 1, IF( AND( OFFSET($A$1, 387 - 1, 59 - 1) = "1", OFFSET($A$1, 387 - 1, 60 - 1) = "0" ), 2, IF( AND( OFFSET($A$1, 387 - 1, 59 - 1) = "0", OFFSET($A$1, 387 - 1, 60 - 1) = "1" ), 3, 4 ) ) )</f>
        <v>4</v>
      </c>
    </row>
    <row r="388" spans="53:61" x14ac:dyDescent="0.35">
      <c r="BA388" s="3">
        <v>0.1983280732875356</v>
      </c>
      <c r="BB388" s="3" t="str">
        <f>"0"</f>
        <v>0</v>
      </c>
      <c r="BC388" t="str">
        <f ca="1">IF((OFFSET($A$1, 388 - 1, 53 - 1)) &gt;= (OFFSET($A$1, 69 - 1, 7 - 1)), "1","0")</f>
        <v>0</v>
      </c>
      <c r="BD388">
        <f ca="1" xml:space="preserve"> IF( AND( OFFSET($A$1, 388 - 1, 54 - 1) = "1", OFFSET($A$1, 388 - 1, 55 - 1) = "1" ), 1, IF( AND( OFFSET($A$1, 388 - 1, 54 - 1) = "1", OFFSET($A$1, 388 - 1, 55 - 1) = "0" ), 2, IF( AND( OFFSET($A$1, 388 - 1, 54 - 1) = "0", OFFSET($A$1, 388 - 1, 55 - 1) = "1" ), 3, 4 ) ) )</f>
        <v>4</v>
      </c>
      <c r="BF388" s="3">
        <v>0.19819722940813103</v>
      </c>
      <c r="BG388" s="3" t="str">
        <f>"0"</f>
        <v>0</v>
      </c>
      <c r="BH388" t="str">
        <f ca="1">IF((OFFSET($A$1, 388 - 1, 58 - 1)) &gt;= (OFFSET($A$1, 93 - 1, 7 - 1)), "1","0")</f>
        <v>0</v>
      </c>
      <c r="BI388">
        <f ca="1" xml:space="preserve"> IF( AND( OFFSET($A$1, 388 - 1, 59 - 1) = "1", OFFSET($A$1, 388 - 1, 60 - 1) = "1" ), 1, IF( AND( OFFSET($A$1, 388 - 1, 59 - 1) = "1", OFFSET($A$1, 388 - 1, 60 - 1) = "0" ), 2, IF( AND( OFFSET($A$1, 388 - 1, 59 - 1) = "0", OFFSET($A$1, 388 - 1, 60 - 1) = "1" ), 3, 4 ) ) )</f>
        <v>4</v>
      </c>
    </row>
    <row r="389" spans="53:61" x14ac:dyDescent="0.35">
      <c r="BA389" s="3">
        <v>0.19807052611822432</v>
      </c>
      <c r="BB389" s="3" t="str">
        <f>"1"</f>
        <v>1</v>
      </c>
      <c r="BC389" t="str">
        <f ca="1">IF((OFFSET($A$1, 389 - 1, 53 - 1)) &gt;= (OFFSET($A$1, 69 - 1, 7 - 1)), "1","0")</f>
        <v>0</v>
      </c>
      <c r="BD389">
        <f ca="1" xml:space="preserve"> IF( AND( OFFSET($A$1, 389 - 1, 54 - 1) = "1", OFFSET($A$1, 389 - 1, 55 - 1) = "1" ), 1, IF( AND( OFFSET($A$1, 389 - 1, 54 - 1) = "1", OFFSET($A$1, 389 - 1, 55 - 1) = "0" ), 2, IF( AND( OFFSET($A$1, 389 - 1, 54 - 1) = "0", OFFSET($A$1, 389 - 1, 55 - 1) = "1" ), 3, 4 ) ) )</f>
        <v>2</v>
      </c>
      <c r="BF389" s="3">
        <v>0.19794796689265345</v>
      </c>
      <c r="BG389" s="3" t="str">
        <f>"1"</f>
        <v>1</v>
      </c>
      <c r="BH389" t="str">
        <f ca="1">IF((OFFSET($A$1, 389 - 1, 58 - 1)) &gt;= (OFFSET($A$1, 93 - 1, 7 - 1)), "1","0")</f>
        <v>0</v>
      </c>
      <c r="BI389">
        <f ca="1" xml:space="preserve"> IF( AND( OFFSET($A$1, 389 - 1, 59 - 1) = "1", OFFSET($A$1, 389 - 1, 60 - 1) = "1" ), 1, IF( AND( OFFSET($A$1, 389 - 1, 59 - 1) = "1", OFFSET($A$1, 389 - 1, 60 - 1) = "0" ), 2, IF( AND( OFFSET($A$1, 389 - 1, 59 - 1) = "0", OFFSET($A$1, 389 - 1, 60 - 1) = "1" ), 3, 4 ) ) )</f>
        <v>2</v>
      </c>
    </row>
    <row r="390" spans="53:61" x14ac:dyDescent="0.35">
      <c r="BA390" s="3">
        <v>0.43497555793428988</v>
      </c>
      <c r="BB390" s="3" t="str">
        <f>"1"</f>
        <v>1</v>
      </c>
      <c r="BC390" t="str">
        <f ca="1">IF((OFFSET($A$1, 390 - 1, 53 - 1)) &gt;= (OFFSET($A$1, 69 - 1, 7 - 1)), "1","0")</f>
        <v>0</v>
      </c>
      <c r="BD390">
        <f ca="1" xml:space="preserve"> IF( AND( OFFSET($A$1, 390 - 1, 54 - 1) = "1", OFFSET($A$1, 390 - 1, 55 - 1) = "1" ), 1, IF( AND( OFFSET($A$1, 390 - 1, 54 - 1) = "1", OFFSET($A$1, 390 - 1, 55 - 1) = "0" ), 2, IF( AND( OFFSET($A$1, 390 - 1, 54 - 1) = "0", OFFSET($A$1, 390 - 1, 55 - 1) = "1" ), 3, 4 ) ) )</f>
        <v>2</v>
      </c>
      <c r="BF390" s="3">
        <v>0.43479856857950211</v>
      </c>
      <c r="BG390" s="3" t="str">
        <f>"0"</f>
        <v>0</v>
      </c>
      <c r="BH390" t="str">
        <f ca="1">IF((OFFSET($A$1, 390 - 1, 58 - 1)) &gt;= (OFFSET($A$1, 93 - 1, 7 - 1)), "1","0")</f>
        <v>0</v>
      </c>
      <c r="BI390">
        <f ca="1" xml:space="preserve"> IF( AND( OFFSET($A$1, 390 - 1, 59 - 1) = "1", OFFSET($A$1, 390 - 1, 60 - 1) = "1" ), 1, IF( AND( OFFSET($A$1, 390 - 1, 59 - 1) = "1", OFFSET($A$1, 390 - 1, 60 - 1) = "0" ), 2, IF( AND( OFFSET($A$1, 390 - 1, 59 - 1) = "0", OFFSET($A$1, 390 - 1, 60 - 1) = "1" ), 3, 4 ) ) )</f>
        <v>4</v>
      </c>
    </row>
    <row r="391" spans="53:61" x14ac:dyDescent="0.35">
      <c r="BA391" s="3">
        <v>0.43462795609140703</v>
      </c>
      <c r="BB391" s="3" t="str">
        <f>"1"</f>
        <v>1</v>
      </c>
      <c r="BC391" t="str">
        <f ca="1">IF((OFFSET($A$1, 391 - 1, 53 - 1)) &gt;= (OFFSET($A$1, 69 - 1, 7 - 1)), "1","0")</f>
        <v>0</v>
      </c>
      <c r="BD391">
        <f ca="1" xml:space="preserve"> IF( AND( OFFSET($A$1, 391 - 1, 54 - 1) = "1", OFFSET($A$1, 391 - 1, 55 - 1) = "1" ), 1, IF( AND( OFFSET($A$1, 391 - 1, 54 - 1) = "1", OFFSET($A$1, 391 - 1, 55 - 1) = "0" ), 2, IF( AND( OFFSET($A$1, 391 - 1, 54 - 1) = "0", OFFSET($A$1, 391 - 1, 55 - 1) = "1" ), 3, 4 ) ) )</f>
        <v>2</v>
      </c>
      <c r="BF391" s="3">
        <v>0.19749923565515923</v>
      </c>
      <c r="BG391" s="3" t="str">
        <f>"1"</f>
        <v>1</v>
      </c>
      <c r="BH391" t="str">
        <f ca="1">IF((OFFSET($A$1, 391 - 1, 58 - 1)) &gt;= (OFFSET($A$1, 93 - 1, 7 - 1)), "1","0")</f>
        <v>0</v>
      </c>
      <c r="BI391">
        <f ca="1" xml:space="preserve"> IF( AND( OFFSET($A$1, 391 - 1, 59 - 1) = "1", OFFSET($A$1, 391 - 1, 60 - 1) = "1" ), 1, IF( AND( OFFSET($A$1, 391 - 1, 59 - 1) = "1", OFFSET($A$1, 391 - 1, 60 - 1) = "0" ), 2, IF( AND( OFFSET($A$1, 391 - 1, 59 - 1) = "0", OFFSET($A$1, 391 - 1, 60 - 1) = "1" ), 3, 4 ) ) )</f>
        <v>2</v>
      </c>
    </row>
    <row r="392" spans="53:61" x14ac:dyDescent="0.35">
      <c r="BA392" s="3">
        <v>0.43430590501398608</v>
      </c>
      <c r="BB392" s="3" t="str">
        <f>"0"</f>
        <v>0</v>
      </c>
      <c r="BC392" t="str">
        <f ca="1">IF((OFFSET($A$1, 392 - 1, 53 - 1)) &gt;= (OFFSET($A$1, 69 - 1, 7 - 1)), "1","0")</f>
        <v>0</v>
      </c>
      <c r="BD392">
        <f ca="1" xml:space="preserve"> IF( AND( OFFSET($A$1, 392 - 1, 54 - 1) = "1", OFFSET($A$1, 392 - 1, 55 - 1) = "1" ), 1, IF( AND( OFFSET($A$1, 392 - 1, 54 - 1) = "1", OFFSET($A$1, 392 - 1, 55 - 1) = "0" ), 2, IF( AND( OFFSET($A$1, 392 - 1, 54 - 1) = "0", OFFSET($A$1, 392 - 1, 55 - 1) = "1" ), 3, 4 ) ) )</f>
        <v>4</v>
      </c>
      <c r="BF392" s="3">
        <v>0.43415448702575832</v>
      </c>
      <c r="BG392" s="3" t="str">
        <f>"1"</f>
        <v>1</v>
      </c>
      <c r="BH392" t="str">
        <f ca="1">IF((OFFSET($A$1, 392 - 1, 58 - 1)) &gt;= (OFFSET($A$1, 93 - 1, 7 - 1)), "1","0")</f>
        <v>0</v>
      </c>
      <c r="BI392">
        <f ca="1" xml:space="preserve"> IF( AND( OFFSET($A$1, 392 - 1, 59 - 1) = "1", OFFSET($A$1, 392 - 1, 60 - 1) = "1" ), 1, IF( AND( OFFSET($A$1, 392 - 1, 59 - 1) = "1", OFFSET($A$1, 392 - 1, 60 - 1) = "0" ), 2, IF( AND( OFFSET($A$1, 392 - 1, 59 - 1) = "0", OFFSET($A$1, 392 - 1, 60 - 1) = "1" ), 3, 4 ) ) )</f>
        <v>2</v>
      </c>
    </row>
    <row r="393" spans="53:61" x14ac:dyDescent="0.35">
      <c r="BA393" s="3">
        <v>0.19720635131842715</v>
      </c>
      <c r="BB393" s="3" t="str">
        <f>"1"</f>
        <v>1</v>
      </c>
      <c r="BC393" t="str">
        <f ca="1">IF((OFFSET($A$1, 393 - 1, 53 - 1)) &gt;= (OFFSET($A$1, 69 - 1, 7 - 1)), "1","0")</f>
        <v>0</v>
      </c>
      <c r="BD393">
        <f ca="1" xml:space="preserve"> IF( AND( OFFSET($A$1, 393 - 1, 54 - 1) = "1", OFFSET($A$1, 393 - 1, 55 - 1) = "1" ), 1, IF( AND( OFFSET($A$1, 393 - 1, 54 - 1) = "1", OFFSET($A$1, 393 - 1, 55 - 1) = "0" ), 2, IF( AND( OFFSET($A$1, 393 - 1, 54 - 1) = "0", OFFSET($A$1, 393 - 1, 55 - 1) = "1" ), 3, 4 ) ) )</f>
        <v>2</v>
      </c>
      <c r="BF393" s="3">
        <v>0.43387091451329424</v>
      </c>
      <c r="BG393" s="3" t="str">
        <f>"0"</f>
        <v>0</v>
      </c>
      <c r="BH393" t="str">
        <f ca="1">IF((OFFSET($A$1, 393 - 1, 58 - 1)) &gt;= (OFFSET($A$1, 93 - 1, 7 - 1)), "1","0")</f>
        <v>0</v>
      </c>
      <c r="BI393">
        <f ca="1" xml:space="preserve"> IF( AND( OFFSET($A$1, 393 - 1, 59 - 1) = "1", OFFSET($A$1, 393 - 1, 60 - 1) = "1" ), 1, IF( AND( OFFSET($A$1, 393 - 1, 59 - 1) = "1", OFFSET($A$1, 393 - 1, 60 - 1) = "0" ), 2, IF( AND( OFFSET($A$1, 393 - 1, 59 - 1) = "0", OFFSET($A$1, 393 - 1, 60 - 1) = "1" ), 3, 4 ) ) )</f>
        <v>4</v>
      </c>
    </row>
    <row r="394" spans="53:61" x14ac:dyDescent="0.35">
      <c r="BA394" s="3">
        <v>0.43373877808032013</v>
      </c>
      <c r="BB394" s="3" t="str">
        <f>"0"</f>
        <v>0</v>
      </c>
      <c r="BC394" t="str">
        <f ca="1">IF((OFFSET($A$1, 394 - 1, 53 - 1)) &gt;= (OFFSET($A$1, 69 - 1, 7 - 1)), "1","0")</f>
        <v>0</v>
      </c>
      <c r="BD394">
        <f ca="1" xml:space="preserve"> IF( AND( OFFSET($A$1, 394 - 1, 54 - 1) = "1", OFFSET($A$1, 394 - 1, 55 - 1) = "1" ), 1, IF( AND( OFFSET($A$1, 394 - 1, 54 - 1) = "1", OFFSET($A$1, 394 - 1, 55 - 1) = "0" ), 2, IF( AND( OFFSET($A$1, 394 - 1, 54 - 1) = "0", OFFSET($A$1, 394 - 1, 55 - 1) = "1" ), 3, 4 ) ) )</f>
        <v>4</v>
      </c>
      <c r="BF394" s="3">
        <v>0.1969509723465753</v>
      </c>
      <c r="BG394" s="3" t="str">
        <f>"0"</f>
        <v>0</v>
      </c>
      <c r="BH394" t="str">
        <f ca="1">IF((OFFSET($A$1, 394 - 1, 58 - 1)) &gt;= (OFFSET($A$1, 93 - 1, 7 - 1)), "1","0")</f>
        <v>0</v>
      </c>
      <c r="BI394">
        <f ca="1" xml:space="preserve"> IF( AND( OFFSET($A$1, 394 - 1, 59 - 1) = "1", OFFSET($A$1, 394 - 1, 60 - 1) = "1" ), 1, IF( AND( OFFSET($A$1, 394 - 1, 59 - 1) = "1", OFFSET($A$1, 394 - 1, 60 - 1) = "0" ), 2, IF( AND( OFFSET($A$1, 394 - 1, 59 - 1) = "0", OFFSET($A$1, 394 - 1, 60 - 1) = "1" ), 3, 4 ) ) )</f>
        <v>4</v>
      </c>
    </row>
    <row r="395" spans="53:61" x14ac:dyDescent="0.35">
      <c r="BA395" s="3">
        <v>0.19687419130427164</v>
      </c>
      <c r="BB395" s="3" t="str">
        <f>"0"</f>
        <v>0</v>
      </c>
      <c r="BC395" t="str">
        <f ca="1">IF((OFFSET($A$1, 395 - 1, 53 - 1)) &gt;= (OFFSET($A$1, 69 - 1, 7 - 1)), "1","0")</f>
        <v>0</v>
      </c>
      <c r="BD395">
        <f ca="1" xml:space="preserve"> IF( AND( OFFSET($A$1, 395 - 1, 54 - 1) = "1", OFFSET($A$1, 395 - 1, 55 - 1) = "1" ), 1, IF( AND( OFFSET($A$1, 395 - 1, 54 - 1) = "1", OFFSET($A$1, 395 - 1, 55 - 1) = "0" ), 2, IF( AND( OFFSET($A$1, 395 - 1, 54 - 1) = "0", OFFSET($A$1, 395 - 1, 55 - 1) = "1" ), 3, 4 ) ) )</f>
        <v>4</v>
      </c>
      <c r="BF395" s="3">
        <v>0.19680158635447997</v>
      </c>
      <c r="BG395" s="3" t="str">
        <f>"0"</f>
        <v>0</v>
      </c>
      <c r="BH395" t="str">
        <f ca="1">IF((OFFSET($A$1, 395 - 1, 58 - 1)) &gt;= (OFFSET($A$1, 93 - 1, 7 - 1)), "1","0")</f>
        <v>0</v>
      </c>
      <c r="BI395">
        <f ca="1" xml:space="preserve"> IF( AND( OFFSET($A$1, 395 - 1, 59 - 1) = "1", OFFSET($A$1, 395 - 1, 60 - 1) = "1" ), 1, IF( AND( OFFSET($A$1, 395 - 1, 59 - 1) = "1", OFFSET($A$1, 395 - 1, 60 - 1) = "0" ), 2, IF( AND( OFFSET($A$1, 395 - 1, 59 - 1) = "0", OFFSET($A$1, 395 - 1, 60 - 1) = "1" ), 3, 4 ) ) )</f>
        <v>4</v>
      </c>
    </row>
    <row r="396" spans="53:61" x14ac:dyDescent="0.35">
      <c r="BA396" s="3">
        <v>0.19673315939536459</v>
      </c>
      <c r="BB396" s="3" t="str">
        <f>"0"</f>
        <v>0</v>
      </c>
      <c r="BC396" t="str">
        <f ca="1">IF((OFFSET($A$1, 396 - 1, 53 - 1)) &gt;= (OFFSET($A$1, 69 - 1, 7 - 1)), "1","0")</f>
        <v>0</v>
      </c>
      <c r="BD396">
        <f ca="1" xml:space="preserve"> IF( AND( OFFSET($A$1, 396 - 1, 54 - 1) = "1", OFFSET($A$1, 396 - 1, 55 - 1) = "1" ), 1, IF( AND( OFFSET($A$1, 396 - 1, 54 - 1) = "1", OFFSET($A$1, 396 - 1, 55 - 1) = "0" ), 2, IF( AND( OFFSET($A$1, 396 - 1, 54 - 1) = "0", OFFSET($A$1, 396 - 1, 55 - 1) = "1" ), 3, 4 ) ) )</f>
        <v>4</v>
      </c>
      <c r="BF396" s="3">
        <v>0.19666891221107116</v>
      </c>
      <c r="BG396" s="3" t="str">
        <f>"0"</f>
        <v>0</v>
      </c>
      <c r="BH396" t="str">
        <f ca="1">IF((OFFSET($A$1, 396 - 1, 58 - 1)) &gt;= (OFFSET($A$1, 93 - 1, 7 - 1)), "1","0")</f>
        <v>0</v>
      </c>
      <c r="BI396">
        <f ca="1" xml:space="preserve"> IF( AND( OFFSET($A$1, 396 - 1, 59 - 1) = "1", OFFSET($A$1, 396 - 1, 60 - 1) = "1" ), 1, IF( AND( OFFSET($A$1, 396 - 1, 59 - 1) = "1", OFFSET($A$1, 396 - 1, 60 - 1) = "0" ), 2, IF( AND( OFFSET($A$1, 396 - 1, 59 - 1) = "0", OFFSET($A$1, 396 - 1, 60 - 1) = "1" ), 3, 4 ) ) )</f>
        <v>4</v>
      </c>
    </row>
    <row r="397" spans="53:61" x14ac:dyDescent="0.35">
      <c r="BA397" s="3">
        <v>0.19660884647252999</v>
      </c>
      <c r="BB397" s="3" t="str">
        <f>"0"</f>
        <v>0</v>
      </c>
      <c r="BC397" t="str">
        <f ca="1">IF((OFFSET($A$1, 397 - 1, 53 - 1)) &gt;= (OFFSET($A$1, 69 - 1, 7 - 1)), "1","0")</f>
        <v>0</v>
      </c>
      <c r="BD397">
        <f ca="1" xml:space="preserve"> IF( AND( OFFSET($A$1, 397 - 1, 54 - 1) = "1", OFFSET($A$1, 397 - 1, 55 - 1) = "1" ), 1, IF( AND( OFFSET($A$1, 397 - 1, 54 - 1) = "1", OFFSET($A$1, 397 - 1, 55 - 1) = "0" ), 2, IF( AND( OFFSET($A$1, 397 - 1, 54 - 1) = "0", OFFSET($A$1, 397 - 1, 55 - 1) = "1" ), 3, 4 ) ) )</f>
        <v>4</v>
      </c>
      <c r="BF397" s="3">
        <v>0.19655296373821124</v>
      </c>
      <c r="BG397" s="3" t="str">
        <f>"0"</f>
        <v>0</v>
      </c>
      <c r="BH397" t="str">
        <f ca="1">IF((OFFSET($A$1, 397 - 1, 58 - 1)) &gt;= (OFFSET($A$1, 93 - 1, 7 - 1)), "1","0")</f>
        <v>0</v>
      </c>
      <c r="BI397">
        <f ca="1" xml:space="preserve"> IF( AND( OFFSET($A$1, 397 - 1, 59 - 1) = "1", OFFSET($A$1, 397 - 1, 60 - 1) = "1" ), 1, IF( AND( OFFSET($A$1, 397 - 1, 59 - 1) = "1", OFFSET($A$1, 397 - 1, 60 - 1) = "0" ), 2, IF( AND( OFFSET($A$1, 397 - 1, 59 - 1) = "0", OFFSET($A$1, 397 - 1, 60 - 1) = "1" ), 3, 4 ) ) )</f>
        <v>4</v>
      </c>
    </row>
    <row r="398" spans="53:61" x14ac:dyDescent="0.35">
      <c r="BA398" s="3">
        <v>0.19650126545483204</v>
      </c>
      <c r="BB398" s="3" t="str">
        <f>"0"</f>
        <v>0</v>
      </c>
      <c r="BC398" t="str">
        <f ca="1">IF((OFFSET($A$1, 398 - 1, 53 - 1)) &gt;= (OFFSET($A$1, 69 - 1, 7 - 1)), "1","0")</f>
        <v>0</v>
      </c>
      <c r="BD398">
        <f ca="1" xml:space="preserve"> IF( AND( OFFSET($A$1, 398 - 1, 54 - 1) = "1", OFFSET($A$1, 398 - 1, 55 - 1) = "1" ), 1, IF( AND( OFFSET($A$1, 398 - 1, 54 - 1) = "1", OFFSET($A$1, 398 - 1, 55 - 1) = "0" ), 2, IF( AND( OFFSET($A$1, 398 - 1, 54 - 1) = "0", OFFSET($A$1, 398 - 1, 55 - 1) = "1" ), 3, 4 ) ) )</f>
        <v>4</v>
      </c>
      <c r="BF398" s="3">
        <v>0.19645375295801606</v>
      </c>
      <c r="BG398" s="3" t="str">
        <f>"0"</f>
        <v>0</v>
      </c>
      <c r="BH398" t="str">
        <f ca="1">IF((OFFSET($A$1, 398 - 1, 58 - 1)) &gt;= (OFFSET($A$1, 93 - 1, 7 - 1)), "1","0")</f>
        <v>0</v>
      </c>
      <c r="BI398">
        <f ca="1" xml:space="preserve"> IF( AND( OFFSET($A$1, 398 - 1, 59 - 1) = "1", OFFSET($A$1, 398 - 1, 60 - 1) = "1" ), 1, IF( AND( OFFSET($A$1, 398 - 1, 59 - 1) = "1", OFFSET($A$1, 398 - 1, 60 - 1) = "0" ), 2, IF( AND( OFFSET($A$1, 398 - 1, 59 - 1) = "0", OFFSET($A$1, 398 - 1, 60 - 1) = "1" ), 3, 4 ) ) )</f>
        <v>4</v>
      </c>
    </row>
    <row r="399" spans="53:61" x14ac:dyDescent="0.35">
      <c r="BA399" s="3">
        <v>0.19641042747290258</v>
      </c>
      <c r="BB399" s="3" t="str">
        <f>"0"</f>
        <v>0</v>
      </c>
      <c r="BC399" t="str">
        <f ca="1">IF((OFFSET($A$1, 399 - 1, 53 - 1)) &gt;= (OFFSET($A$1, 69 - 1, 7 - 1)), "1","0")</f>
        <v>0</v>
      </c>
      <c r="BD399">
        <f ca="1" xml:space="preserve"> IF( AND( OFFSET($A$1, 399 - 1, 54 - 1) = "1", OFFSET($A$1, 399 - 1, 55 - 1) = "1" ), 1, IF( AND( OFFSET($A$1, 399 - 1, 54 - 1) = "1", OFFSET($A$1, 399 - 1, 55 - 1) = "0" ), 2, IF( AND( OFFSET($A$1, 399 - 1, 54 - 1) = "0", OFFSET($A$1, 399 - 1, 55 - 1) = "1" ), 3, 4 ) ) )</f>
        <v>4</v>
      </c>
      <c r="BF399" s="3">
        <v>0.19637129011470841</v>
      </c>
      <c r="BG399" s="3" t="str">
        <f>"0"</f>
        <v>0</v>
      </c>
      <c r="BH399" t="str">
        <f ca="1">IF((OFFSET($A$1, 399 - 1, 58 - 1)) &gt;= (OFFSET($A$1, 93 - 1, 7 - 1)), "1","0")</f>
        <v>0</v>
      </c>
      <c r="BI399">
        <f ca="1" xml:space="preserve"> IF( AND( OFFSET($A$1, 399 - 1, 59 - 1) = "1", OFFSET($A$1, 399 - 1, 60 - 1) = "1" ), 1, IF( AND( OFFSET($A$1, 399 - 1, 59 - 1) = "1", OFFSET($A$1, 399 - 1, 60 - 1) = "0" ), 2, IF( AND( OFFSET($A$1, 399 - 1, 59 - 1) = "0", OFFSET($A$1, 399 - 1, 60 - 1) = "1" ), 3, 4 ) ) )</f>
        <v>4</v>
      </c>
    </row>
    <row r="400" spans="53:61" x14ac:dyDescent="0.35">
      <c r="BA400" s="3">
        <v>0.19633634188924054</v>
      </c>
      <c r="BB400" s="3" t="str">
        <f>"0"</f>
        <v>0</v>
      </c>
      <c r="BC400" t="str">
        <f ca="1">IF((OFFSET($A$1, 400 - 1, 53 - 1)) &gt;= (OFFSET($A$1, 69 - 1, 7 - 1)), "1","0")</f>
        <v>0</v>
      </c>
      <c r="BD400">
        <f ca="1" xml:space="preserve"> IF( AND( OFFSET($A$1, 400 - 1, 54 - 1) = "1", OFFSET($A$1, 400 - 1, 55 - 1) = "1" ), 1, IF( AND( OFFSET($A$1, 400 - 1, 54 - 1) = "1", OFFSET($A$1, 400 - 1, 55 - 1) = "0" ), 2, IF( AND( OFFSET($A$1, 400 - 1, 54 - 1) = "0", OFFSET($A$1, 400 - 1, 55 - 1) = "1" ), 3, 4 ) ) )</f>
        <v>4</v>
      </c>
      <c r="BF400" s="3">
        <v>0.19630558369335865</v>
      </c>
      <c r="BG400" s="3" t="str">
        <f>"1"</f>
        <v>1</v>
      </c>
      <c r="BH400" t="str">
        <f ca="1">IF((OFFSET($A$1, 400 - 1, 58 - 1)) &gt;= (OFFSET($A$1, 93 - 1, 7 - 1)), "1","0")</f>
        <v>0</v>
      </c>
      <c r="BI400">
        <f ca="1" xml:space="preserve"> IF( AND( OFFSET($A$1, 400 - 1, 59 - 1) = "1", OFFSET($A$1, 400 - 1, 60 - 1) = "1" ), 1, IF( AND( OFFSET($A$1, 400 - 1, 59 - 1) = "1", OFFSET($A$1, 400 - 1, 60 - 1) = "0" ), 2, IF( AND( OFFSET($A$1, 400 - 1, 59 - 1) = "0", OFFSET($A$1, 400 - 1, 60 - 1) = "1" ), 3, 4 ) ) )</f>
        <v>2</v>
      </c>
    </row>
    <row r="401" spans="53:61" x14ac:dyDescent="0.35">
      <c r="BA401" s="3">
        <v>0.19627901631538988</v>
      </c>
      <c r="BB401" s="3" t="str">
        <f>"0"</f>
        <v>0</v>
      </c>
      <c r="BC401" t="str">
        <f ca="1">IF((OFFSET($A$1, 401 - 1, 53 - 1)) &gt;= (OFFSET($A$1, 69 - 1, 7 - 1)), "1","0")</f>
        <v>0</v>
      </c>
      <c r="BD401">
        <f ca="1" xml:space="preserve"> IF( AND( OFFSET($A$1, 401 - 1, 54 - 1) = "1", OFFSET($A$1, 401 - 1, 55 - 1) = "1" ), 1, IF( AND( OFFSET($A$1, 401 - 1, 54 - 1) = "1", OFFSET($A$1, 401 - 1, 55 - 1) = "0" ), 2, IF( AND( OFFSET($A$1, 401 - 1, 54 - 1) = "0", OFFSET($A$1, 401 - 1, 55 - 1) = "1" ), 3, 4 ) ) )</f>
        <v>4</v>
      </c>
      <c r="BF401" s="3">
        <v>0.43253380661716967</v>
      </c>
      <c r="BG401" s="3" t="str">
        <f>"1"</f>
        <v>1</v>
      </c>
      <c r="BH401" t="str">
        <f ca="1">IF((OFFSET($A$1, 401 - 1, 58 - 1)) &gt;= (OFFSET($A$1, 93 - 1, 7 - 1)), "1","0")</f>
        <v>0</v>
      </c>
      <c r="BI401">
        <f ca="1" xml:space="preserve"> IF( AND( OFFSET($A$1, 401 - 1, 59 - 1) = "1", OFFSET($A$1, 401 - 1, 60 - 1) = "1" ), 1, IF( AND( OFFSET($A$1, 401 - 1, 59 - 1) = "1", OFFSET($A$1, 401 - 1, 60 - 1) = "0" ), 2, IF( AND( OFFSET($A$1, 401 - 1, 59 - 1) = "0", OFFSET($A$1, 401 - 1, 60 - 1) = "1" ), 3, 4 ) ) )</f>
        <v>2</v>
      </c>
    </row>
    <row r="402" spans="53:61" x14ac:dyDescent="0.35">
      <c r="BA402" s="3">
        <v>0.1962384566259735</v>
      </c>
      <c r="BB402" s="3" t="str">
        <f>"1"</f>
        <v>1</v>
      </c>
      <c r="BC402" t="str">
        <f ca="1">IF((OFFSET($A$1, 402 - 1, 53 - 1)) &gt;= (OFFSET($A$1, 69 - 1, 7 - 1)), "1","0")</f>
        <v>0</v>
      </c>
      <c r="BD402">
        <f ca="1" xml:space="preserve"> IF( AND( OFFSET($A$1, 402 - 1, 54 - 1) = "1", OFFSET($A$1, 402 - 1, 55 - 1) = "1" ), 1, IF( AND( OFFSET($A$1, 402 - 1, 54 - 1) = "1", OFFSET($A$1, 402 - 1, 55 - 1) = "0" ), 2, IF( AND( OFFSET($A$1, 402 - 1, 54 - 1) = "0", OFFSET($A$1, 402 - 1, 55 - 1) = "1" ), 3, 4 ) ) )</f>
        <v>2</v>
      </c>
      <c r="BF402" s="3">
        <v>0.43248373877058655</v>
      </c>
      <c r="BG402" s="3" t="str">
        <f>"1"</f>
        <v>1</v>
      </c>
      <c r="BH402" t="str">
        <f ca="1">IF((OFFSET($A$1, 402 - 1, 58 - 1)) &gt;= (OFFSET($A$1, 93 - 1, 7 - 1)), "1","0")</f>
        <v>0</v>
      </c>
      <c r="BI402">
        <f ca="1" xml:space="preserve"> IF( AND( OFFSET($A$1, 402 - 1, 59 - 1) = "1", OFFSET($A$1, 402 - 1, 60 - 1) = "1" ), 1, IF( AND( OFFSET($A$1, 402 - 1, 59 - 1) = "1", OFFSET($A$1, 402 - 1, 60 - 1) = "0" ), 2, IF( AND( OFFSET($A$1, 402 - 1, 59 - 1) = "0", OFFSET($A$1, 402 - 1, 60 - 1) = "1" ), 3, 4 ) ) )</f>
        <v>2</v>
      </c>
    </row>
    <row r="403" spans="53:61" x14ac:dyDescent="0.35">
      <c r="BA403" s="3">
        <v>0.4324684904892635</v>
      </c>
      <c r="BB403" s="3" t="str">
        <f>"0"</f>
        <v>0</v>
      </c>
      <c r="BC403" t="str">
        <f ca="1">IF((OFFSET($A$1, 403 - 1, 53 - 1)) &gt;= (OFFSET($A$1, 69 - 1, 7 - 1)), "1","0")</f>
        <v>0</v>
      </c>
      <c r="BD403">
        <f ca="1" xml:space="preserve"> IF( AND( OFFSET($A$1, 403 - 1, 54 - 1) = "1", OFFSET($A$1, 403 - 1, 55 - 1) = "1" ), 1, IF( AND( OFFSET($A$1, 403 - 1, 54 - 1) = "1", OFFSET($A$1, 403 - 1, 55 - 1) = "0" ), 2, IF( AND( OFFSET($A$1, 403 - 1, 54 - 1) = "0", OFFSET($A$1, 403 - 1, 55 - 1) = "1" ), 3, 4 ) ) )</f>
        <v>4</v>
      </c>
      <c r="BF403" s="3">
        <v>0.43245976739196279</v>
      </c>
      <c r="BG403" s="3" t="str">
        <f>"1"</f>
        <v>1</v>
      </c>
      <c r="BH403" t="str">
        <f ca="1">IF((OFFSET($A$1, 403 - 1, 58 - 1)) &gt;= (OFFSET($A$1, 93 - 1, 7 - 1)), "1","0")</f>
        <v>0</v>
      </c>
      <c r="BI403">
        <f ca="1" xml:space="preserve"> IF( AND( OFFSET($A$1, 403 - 1, 59 - 1) = "1", OFFSET($A$1, 403 - 1, 60 - 1) = "1" ), 1, IF( AND( OFFSET($A$1, 403 - 1, 59 - 1) = "1", OFFSET($A$1, 403 - 1, 60 - 1) = "0" ), 2, IF( AND( OFFSET($A$1, 403 - 1, 59 - 1) = "0", OFFSET($A$1, 403 - 1, 60 - 1) = "1" ), 3, 4 ) ) )</f>
        <v>2</v>
      </c>
    </row>
    <row r="404" spans="53:61" x14ac:dyDescent="0.35">
      <c r="BA404" s="3">
        <v>0.19620764977640839</v>
      </c>
      <c r="BB404" s="3" t="str">
        <f>"0"</f>
        <v>0</v>
      </c>
      <c r="BC404" t="str">
        <f ca="1">IF((OFFSET($A$1, 404 - 1, 53 - 1)) &gt;= (OFFSET($A$1, 69 - 1, 7 - 1)), "1","0")</f>
        <v>0</v>
      </c>
      <c r="BD404">
        <f ca="1" xml:space="preserve"> IF( AND( OFFSET($A$1, 404 - 1, 54 - 1) = "1", OFFSET($A$1, 404 - 1, 55 - 1) = "1" ), 1, IF( AND( OFFSET($A$1, 404 - 1, 54 - 1) = "1", OFFSET($A$1, 404 - 1, 55 - 1) = "0" ), 2, IF( AND( OFFSET($A$1, 404 - 1, 54 - 1) = "0", OFFSET($A$1, 404 - 1, 55 - 1) = "1" ), 3, 4 ) ) )</f>
        <v>4</v>
      </c>
      <c r="BF404" s="3">
        <v>0.43246189854243572</v>
      </c>
      <c r="BG404" s="3" t="str">
        <f>"1"</f>
        <v>1</v>
      </c>
      <c r="BH404" t="str">
        <f ca="1">IF((OFFSET($A$1, 404 - 1, 58 - 1)) &gt;= (OFFSET($A$1, 93 - 1, 7 - 1)), "1","0")</f>
        <v>0</v>
      </c>
      <c r="BI404">
        <f ca="1" xml:space="preserve"> IF( AND( OFFSET($A$1, 404 - 1, 59 - 1) = "1", OFFSET($A$1, 404 - 1, 60 - 1) = "1" ), 1, IF( AND( OFFSET($A$1, 404 - 1, 59 - 1) = "1", OFFSET($A$1, 404 - 1, 60 - 1) = "0" ), 2, IF( AND( OFFSET($A$1, 404 - 1, 59 - 1) = "0", OFFSET($A$1, 404 - 1, 60 - 1) = "1" ), 3, 4 ) ) )</f>
        <v>2</v>
      </c>
    </row>
    <row r="405" spans="53:61" x14ac:dyDescent="0.35">
      <c r="BA405" s="3">
        <v>0.19621740576290428</v>
      </c>
      <c r="BB405" s="3" t="str">
        <f>"0"</f>
        <v>0</v>
      </c>
      <c r="BC405" t="str">
        <f ca="1">IF((OFFSET($A$1, 405 - 1, 53 - 1)) &gt;= (OFFSET($A$1, 69 - 1, 7 - 1)), "1","0")</f>
        <v>0</v>
      </c>
      <c r="BD405">
        <f ca="1" xml:space="preserve"> IF( AND( OFFSET($A$1, 405 - 1, 54 - 1) = "1", OFFSET($A$1, 405 - 1, 55 - 1) = "1" ), 1, IF( AND( OFFSET($A$1, 405 - 1, 54 - 1) = "1", OFFSET($A$1, 405 - 1, 55 - 1) = "0" ), 2, IF( AND( OFFSET($A$1, 405 - 1, 54 - 1) = "0", OFFSET($A$1, 405 - 1, 55 - 1) = "1" ), 3, 4 ) ) )</f>
        <v>4</v>
      </c>
      <c r="BF405" s="3">
        <v>0.43249013168318212</v>
      </c>
      <c r="BG405" s="3" t="str">
        <f>"0"</f>
        <v>0</v>
      </c>
      <c r="BH405" t="str">
        <f ca="1">IF((OFFSET($A$1, 405 - 1, 58 - 1)) &gt;= (OFFSET($A$1, 93 - 1, 7 - 1)), "1","0")</f>
        <v>0</v>
      </c>
      <c r="BI405">
        <f ca="1" xml:space="preserve"> IF( AND( OFFSET($A$1, 405 - 1, 59 - 1) = "1", OFFSET($A$1, 405 - 1, 60 - 1) = "1" ), 1, IF( AND( OFFSET($A$1, 405 - 1, 59 - 1) = "1", OFFSET($A$1, 405 - 1, 60 - 1) = "0" ), 2, IF( AND( OFFSET($A$1, 405 - 1, 59 - 1) = "0", OFFSET($A$1, 405 - 1, 60 - 1) = "1" ), 3, 4 ) ) )</f>
        <v>4</v>
      </c>
    </row>
    <row r="406" spans="53:61" x14ac:dyDescent="0.35">
      <c r="BA406" s="3">
        <v>0.19624393393297843</v>
      </c>
      <c r="BB406" s="3" t="str">
        <f>"0"</f>
        <v>0</v>
      </c>
      <c r="BC406" t="str">
        <f ca="1">IF((OFFSET($A$1, 406 - 1, 53 - 1)) &gt;= (OFFSET($A$1, 69 - 1, 7 - 1)), "1","0")</f>
        <v>0</v>
      </c>
      <c r="BD406">
        <f ca="1" xml:space="preserve"> IF( AND( OFFSET($A$1, 406 - 1, 54 - 1) = "1", OFFSET($A$1, 406 - 1, 55 - 1) = "1" ), 1, IF( AND( OFFSET($A$1, 406 - 1, 54 - 1) = "1", OFFSET($A$1, 406 - 1, 55 - 1) = "0" ), 2, IF( AND( OFFSET($A$1, 406 - 1, 54 - 1) = "0", OFFSET($A$1, 406 - 1, 55 - 1) = "1" ), 3, 4 ) ) )</f>
        <v>4</v>
      </c>
      <c r="BF406" s="3">
        <v>0.19626348680693348</v>
      </c>
      <c r="BG406" s="3" t="str">
        <f>"0"</f>
        <v>0</v>
      </c>
      <c r="BH406" t="str">
        <f ca="1">IF((OFFSET($A$1, 406 - 1, 58 - 1)) &gt;= (OFFSET($A$1, 93 - 1, 7 - 1)), "1","0")</f>
        <v>0</v>
      </c>
      <c r="BI406">
        <f ca="1" xml:space="preserve"> IF( AND( OFFSET($A$1, 406 - 1, 59 - 1) = "1", OFFSET($A$1, 406 - 1, 60 - 1) = "1" ), 1, IF( AND( OFFSET($A$1, 406 - 1, 59 - 1) = "1", OFFSET($A$1, 406 - 1, 60 - 1) = "0" ), 2, IF( AND( OFFSET($A$1, 406 - 1, 59 - 1) = "0", OFFSET($A$1, 406 - 1, 60 - 1) = "1" ), 3, 4 ) ) )</f>
        <v>4</v>
      </c>
    </row>
    <row r="407" spans="53:61" x14ac:dyDescent="0.35">
      <c r="BA407" s="3">
        <v>0.19628723157620992</v>
      </c>
      <c r="BB407" s="3" t="str">
        <f>"1"</f>
        <v>1</v>
      </c>
      <c r="BC407" t="str">
        <f ca="1">IF((OFFSET($A$1, 407 - 1, 53 - 1)) &gt;= (OFFSET($A$1, 69 - 1, 7 - 1)), "1","0")</f>
        <v>0</v>
      </c>
      <c r="BD407">
        <f ca="1" xml:space="preserve"> IF( AND( OFFSET($A$1, 407 - 1, 54 - 1) = "1", OFFSET($A$1, 407 - 1, 55 - 1) = "1" ), 1, IF( AND( OFFSET($A$1, 407 - 1, 54 - 1) = "1", OFFSET($A$1, 407 - 1, 55 - 1) = "0" ), 2, IF( AND( OFFSET($A$1, 407 - 1, 54 - 1) = "0", OFFSET($A$1, 407 - 1, 55 - 1) = "1" ), 3, 4 ) ) )</f>
        <v>2</v>
      </c>
      <c r="BF407" s="3">
        <v>0.19631516763331222</v>
      </c>
      <c r="BG407" s="3" t="str">
        <f>"1"</f>
        <v>1</v>
      </c>
      <c r="BH407" t="str">
        <f ca="1">IF((OFFSET($A$1, 407 - 1, 58 - 1)) &gt;= (OFFSET($A$1, 93 - 1, 7 - 1)), "1","0")</f>
        <v>0</v>
      </c>
      <c r="BI407">
        <f ca="1" xml:space="preserve"> IF( AND( OFFSET($A$1, 407 - 1, 59 - 1) = "1", OFFSET($A$1, 407 - 1, 60 - 1) = "1" ), 1, IF( AND( OFFSET($A$1, 407 - 1, 59 - 1) = "1", OFFSET($A$1, 407 - 1, 60 - 1) = "0" ), 2, IF( AND( OFFSET($A$1, 407 - 1, 59 - 1) = "0", OFFSET($A$1, 407 - 1, 60 - 1) = "1" ), 3, 4 ) ) )</f>
        <v>2</v>
      </c>
    </row>
    <row r="408" spans="53:61" x14ac:dyDescent="0.35">
      <c r="BA408" s="3">
        <v>0.43267484764641917</v>
      </c>
      <c r="BB408" s="3" t="str">
        <f>"0"</f>
        <v>0</v>
      </c>
      <c r="BC408" t="str">
        <f ca="1">IF((OFFSET($A$1, 408 - 1, 53 - 1)) &gt;= (OFFSET($A$1, 69 - 1, 7 - 1)), "1","0")</f>
        <v>0</v>
      </c>
      <c r="BD408">
        <f ca="1" xml:space="preserve"> IF( AND( OFFSET($A$1, 408 - 1, 54 - 1) = "1", OFFSET($A$1, 408 - 1, 55 - 1) = "1" ), 1, IF( AND( OFFSET($A$1, 408 - 1, 54 - 1) = "1", OFFSET($A$1, 408 - 1, 55 - 1) = "0" ), 2, IF( AND( OFFSET($A$1, 408 - 1, 54 - 1) = "0", OFFSET($A$1, 408 - 1, 55 - 1) = "1" ), 3, 4 ) ) )</f>
        <v>4</v>
      </c>
      <c r="BF408" s="3">
        <v>0.43273133864662594</v>
      </c>
      <c r="BG408" s="3" t="str">
        <f>"1"</f>
        <v>1</v>
      </c>
      <c r="BH408" t="str">
        <f ca="1">IF((OFFSET($A$1, 408 - 1, 58 - 1)) &gt;= (OFFSET($A$1, 93 - 1, 7 - 1)), "1","0")</f>
        <v>0</v>
      </c>
      <c r="BI408">
        <f ca="1" xml:space="preserve"> IF( AND( OFFSET($A$1, 408 - 1, 59 - 1) = "1", OFFSET($A$1, 408 - 1, 60 - 1) = "1" ), 1, IF( AND( OFFSET($A$1, 408 - 1, 59 - 1) = "1", OFFSET($A$1, 408 - 1, 60 - 1) = "0" ), 2, IF( AND( OFFSET($A$1, 408 - 1, 59 - 1) = "0", OFFSET($A$1, 408 - 1, 60 - 1) = "1" ), 3, 4 ) ) )</f>
        <v>2</v>
      </c>
    </row>
    <row r="409" spans="53:61" x14ac:dyDescent="0.35">
      <c r="BA409" s="3">
        <v>0.19642411583532035</v>
      </c>
      <c r="BB409" s="3" t="str">
        <f>"0"</f>
        <v>0</v>
      </c>
      <c r="BC409" t="str">
        <f ca="1">IF((OFFSET($A$1, 409 - 1, 53 - 1)) &gt;= (OFFSET($A$1, 69 - 1, 7 - 1)), "1","0")</f>
        <v>0</v>
      </c>
      <c r="BD409">
        <f ca="1" xml:space="preserve"> IF( AND( OFFSET($A$1, 409 - 1, 54 - 1) = "1", OFFSET($A$1, 409 - 1, 55 - 1) = "1" ), 1, IF( AND( OFFSET($A$1, 409 - 1, 54 - 1) = "1", OFFSET($A$1, 409 - 1, 55 - 1) = "0" ), 2, IF( AND( OFFSET($A$1, 409 - 1, 54 - 1) = "0", OFFSET($A$1, 409 - 1, 55 - 1) = "1" ), 3, 4 ) ) )</f>
        <v>4</v>
      </c>
      <c r="BF409" s="3">
        <v>0.43286384232605851</v>
      </c>
      <c r="BG409" s="3" t="str">
        <f>"0"</f>
        <v>0</v>
      </c>
      <c r="BH409" t="str">
        <f ca="1">IF((OFFSET($A$1, 409 - 1, 58 - 1)) &gt;= (OFFSET($A$1, 93 - 1, 7 - 1)), "1","0")</f>
        <v>0</v>
      </c>
      <c r="BI409">
        <f ca="1" xml:space="preserve"> IF( AND( OFFSET($A$1, 409 - 1, 59 - 1) = "1", OFFSET($A$1, 409 - 1, 60 - 1) = "1" ), 1, IF( AND( OFFSET($A$1, 409 - 1, 59 - 1) = "1", OFFSET($A$1, 409 - 1, 60 - 1) = "0" ), 2, IF( AND( OFFSET($A$1, 409 - 1, 59 - 1) = "0", OFFSET($A$1, 409 - 1, 60 - 1) = "1" ), 3, 4 ) ) )</f>
        <v>4</v>
      </c>
    </row>
    <row r="410" spans="53:61" x14ac:dyDescent="0.35">
      <c r="BA410" s="3">
        <v>0.19651768839738204</v>
      </c>
      <c r="BB410" s="3" t="str">
        <f>"1"</f>
        <v>1</v>
      </c>
      <c r="BC410" t="str">
        <f ca="1">IF((OFFSET($A$1, 410 - 1, 53 - 1)) &gt;= (OFFSET($A$1, 69 - 1, 7 - 1)), "1","0")</f>
        <v>0</v>
      </c>
      <c r="BD410">
        <f ca="1" xml:space="preserve"> IF( AND( OFFSET($A$1, 410 - 1, 54 - 1) = "1", OFFSET($A$1, 410 - 1, 55 - 1) = "1" ), 1, IF( AND( OFFSET($A$1, 410 - 1, 54 - 1) = "1", OFFSET($A$1, 410 - 1, 55 - 1) = "0" ), 2, IF( AND( OFFSET($A$1, 410 - 1, 54 - 1) = "0", OFFSET($A$1, 410 - 1, 55 - 1) = "1" ), 3, 4 ) ) )</f>
        <v>2</v>
      </c>
      <c r="BF410" s="3">
        <v>0.19657075335283838</v>
      </c>
      <c r="BG410" s="3" t="str">
        <f>"0"</f>
        <v>0</v>
      </c>
      <c r="BH410" t="str">
        <f ca="1">IF((OFFSET($A$1, 410 - 1, 58 - 1)) &gt;= (OFFSET($A$1, 93 - 1, 7 - 1)), "1","0")</f>
        <v>0</v>
      </c>
      <c r="BI410">
        <f ca="1" xml:space="preserve"> IF( AND( OFFSET($A$1, 410 - 1, 59 - 1) = "1", OFFSET($A$1, 410 - 1, 60 - 1) = "1" ), 1, IF( AND( OFFSET($A$1, 410 - 1, 59 - 1) = "1", OFFSET($A$1, 410 - 1, 60 - 1) = "0" ), 2, IF( AND( OFFSET($A$1, 410 - 1, 59 - 1) = "0", OFFSET($A$1, 410 - 1, 60 - 1) = "1" ), 3, 4 ) ) )</f>
        <v>4</v>
      </c>
    </row>
    <row r="411" spans="53:61" x14ac:dyDescent="0.35">
      <c r="BA411" s="3">
        <v>0.43311133599680735</v>
      </c>
      <c r="BB411" s="3" t="str">
        <f>"0"</f>
        <v>0</v>
      </c>
      <c r="BC411" t="str">
        <f ca="1">IF((OFFSET($A$1, 411 - 1, 53 - 1)) &gt;= (OFFSET($A$1, 69 - 1, 7 - 1)), "1","0")</f>
        <v>0</v>
      </c>
      <c r="BD411">
        <f ca="1" xml:space="preserve"> IF( AND( OFFSET($A$1, 411 - 1, 54 - 1) = "1", OFFSET($A$1, 411 - 1, 55 - 1) = "1" ), 1, IF( AND( OFFSET($A$1, 411 - 1, 54 - 1) = "1", OFFSET($A$1, 411 - 1, 55 - 1) = "0" ), 2, IF( AND( OFFSET($A$1, 411 - 1, 54 - 1) = "0", OFFSET($A$1, 411 - 1, 55 - 1) = "1" ), 3, 4 ) ) )</f>
        <v>4</v>
      </c>
      <c r="BF411" s="3">
        <v>0.19668943375280659</v>
      </c>
      <c r="BG411" s="3" t="str">
        <f>"0"</f>
        <v>0</v>
      </c>
      <c r="BH411" t="str">
        <f ca="1">IF((OFFSET($A$1, 411 - 1, 58 - 1)) &gt;= (OFFSET($A$1, 93 - 1, 7 - 1)), "1","0")</f>
        <v>0</v>
      </c>
      <c r="BI411">
        <f ca="1" xml:space="preserve"> IF( AND( OFFSET($A$1, 411 - 1, 59 - 1) = "1", OFFSET($A$1, 411 - 1, 60 - 1) = "1" ), 1, IF( AND( OFFSET($A$1, 411 - 1, 59 - 1) = "1", OFFSET($A$1, 411 - 1, 60 - 1) = "0" ), 2, IF( AND( OFFSET($A$1, 411 - 1, 59 - 1) = "0", OFFSET($A$1, 411 - 1, 60 - 1) = "1" ), 3, 4 ) ) )</f>
        <v>4</v>
      </c>
    </row>
    <row r="412" spans="53:61" x14ac:dyDescent="0.35">
      <c r="BA412" s="3">
        <v>0.19675504611906436</v>
      </c>
      <c r="BB412" s="3" t="str">
        <f>"1"</f>
        <v>1</v>
      </c>
      <c r="BC412" t="str">
        <f ca="1">IF((OFFSET($A$1, 412 - 1, 53 - 1)) &gt;= (OFFSET($A$1, 69 - 1, 7 - 1)), "1","0")</f>
        <v>0</v>
      </c>
      <c r="BD412">
        <f ca="1" xml:space="preserve"> IF( AND( OFFSET($A$1, 412 - 1, 54 - 1) = "1", OFFSET($A$1, 412 - 1, 55 - 1) = "1" ), 1, IF( AND( OFFSET($A$1, 412 - 1, 54 - 1) = "1", OFFSET($A$1, 412 - 1, 55 - 1) = "0" ), 2, IF( AND( OFFSET($A$1, 412 - 1, 54 - 1) = "0", OFFSET($A$1, 412 - 1, 55 - 1) = "1" ), 3, 4 ) ) )</f>
        <v>2</v>
      </c>
      <c r="BF412" s="3">
        <v>0.19682483768998144</v>
      </c>
      <c r="BG412" s="3" t="str">
        <f>"0"</f>
        <v>0</v>
      </c>
      <c r="BH412" t="str">
        <f ca="1">IF((OFFSET($A$1, 412 - 1, 58 - 1)) &gt;= (OFFSET($A$1, 93 - 1, 7 - 1)), "1","0")</f>
        <v>0</v>
      </c>
      <c r="BI412">
        <f ca="1" xml:space="preserve"> IF( AND( OFFSET($A$1, 412 - 1, 59 - 1) = "1", OFFSET($A$1, 412 - 1, 60 - 1) = "1" ), 1, IF( AND( OFFSET($A$1, 412 - 1, 59 - 1) = "1", OFFSET($A$1, 412 - 1, 60 - 1) = "0" ), 2, IF( AND( OFFSET($A$1, 412 - 1, 59 - 1) = "0", OFFSET($A$1, 412 - 1, 60 - 1) = "1" ), 3, 4 ) ) )</f>
        <v>4</v>
      </c>
    </row>
    <row r="413" spans="53:61" x14ac:dyDescent="0.35">
      <c r="BA413" s="3">
        <v>0.43353207702478386</v>
      </c>
      <c r="BB413" s="3" t="str">
        <f>"1"</f>
        <v>1</v>
      </c>
      <c r="BC413" t="str">
        <f ca="1">IF((OFFSET($A$1, 413 - 1, 53 - 1)) &gt;= (OFFSET($A$1, 69 - 1, 7 - 1)), "1","0")</f>
        <v>0</v>
      </c>
      <c r="BD413">
        <f ca="1" xml:space="preserve"> IF( AND( OFFSET($A$1, 413 - 1, 54 - 1) = "1", OFFSET($A$1, 413 - 1, 55 - 1) = "1" ), 1, IF( AND( OFFSET($A$1, 413 - 1, 54 - 1) = "1", OFFSET($A$1, 413 - 1, 55 - 1) = "0" ), 2, IF( AND( OFFSET($A$1, 413 - 1, 54 - 1) = "0", OFFSET($A$1, 413 - 1, 55 - 1) = "1" ), 3, 4 ) ) )</f>
        <v>2</v>
      </c>
      <c r="BF413" s="3">
        <v>0.19697695104634153</v>
      </c>
      <c r="BG413" s="3" t="str">
        <f>"1"</f>
        <v>1</v>
      </c>
      <c r="BH413" t="str">
        <f ca="1">IF((OFFSET($A$1, 413 - 1, 58 - 1)) &gt;= (OFFSET($A$1, 93 - 1, 7 - 1)), "1","0")</f>
        <v>0</v>
      </c>
      <c r="BI413">
        <f ca="1" xml:space="preserve"> IF( AND( OFFSET($A$1, 413 - 1, 59 - 1) = "1", OFFSET($A$1, 413 - 1, 60 - 1) = "1" ), 1, IF( AND( OFFSET($A$1, 413 - 1, 59 - 1) = "1", OFFSET($A$1, 413 - 1, 60 - 1) = "0" ), 2, IF( AND( OFFSET($A$1, 413 - 1, 59 - 1) = "0", OFFSET($A$1, 413 - 1, 60 - 1) = "1" ), 3, 4 ) ) )</f>
        <v>2</v>
      </c>
    </row>
    <row r="414" spans="53:61" x14ac:dyDescent="0.35">
      <c r="BA414" s="3">
        <v>0.4337812217386629</v>
      </c>
      <c r="BB414" s="3" t="str">
        <f>"0"</f>
        <v>0</v>
      </c>
      <c r="BC414" t="str">
        <f ca="1">IF((OFFSET($A$1, 414 - 1, 53 - 1)) &gt;= (OFFSET($A$1, 69 - 1, 7 - 1)), "1","0")</f>
        <v>0</v>
      </c>
      <c r="BD414">
        <f ca="1" xml:space="preserve"> IF( AND( OFFSET($A$1, 414 - 1, 54 - 1) = "1", OFFSET($A$1, 414 - 1, 55 - 1) = "1" ), 1, IF( AND( OFFSET($A$1, 414 - 1, 54 - 1) = "1", OFFSET($A$1, 414 - 1, 55 - 1) = "0" ), 2, IF( AND( OFFSET($A$1, 414 - 1, 54 - 1) = "0", OFFSET($A$1, 414 - 1, 55 - 1) = "1" ), 3, 4 ) ) )</f>
        <v>4</v>
      </c>
      <c r="BF414" s="3">
        <v>0.43391546098053779</v>
      </c>
      <c r="BG414" s="3" t="str">
        <f>"0"</f>
        <v>0</v>
      </c>
      <c r="BH414" t="str">
        <f ca="1">IF((OFFSET($A$1, 414 - 1, 58 - 1)) &gt;= (OFFSET($A$1, 93 - 1, 7 - 1)), "1","0")</f>
        <v>0</v>
      </c>
      <c r="BI414">
        <f ca="1" xml:space="preserve"> IF( AND( OFFSET($A$1, 414 - 1, 59 - 1) = "1", OFFSET($A$1, 414 - 1, 60 - 1) = "1" ), 1, IF( AND( OFFSET($A$1, 414 - 1, 59 - 1) = "1", OFFSET($A$1, 414 - 1, 60 - 1) = "0" ), 2, IF( AND( OFFSET($A$1, 414 - 1, 59 - 1) = "0", OFFSET($A$1, 414 - 1, 60 - 1) = "1" ), 3, 4 ) ) )</f>
        <v>4</v>
      </c>
    </row>
    <row r="415" spans="53:61" x14ac:dyDescent="0.35">
      <c r="BA415" s="3">
        <v>0.19723641585056859</v>
      </c>
      <c r="BB415" s="3" t="str">
        <f>"0"</f>
        <v>0</v>
      </c>
      <c r="BC415" t="str">
        <f ca="1">IF((OFFSET($A$1, 415 - 1, 53 - 1)) &gt;= (OFFSET($A$1, 69 - 1, 7 - 1)), "1","0")</f>
        <v>0</v>
      </c>
      <c r="BD415">
        <f ca="1" xml:space="preserve"> IF( AND( OFFSET($A$1, 415 - 1, 54 - 1) = "1", OFFSET($A$1, 415 - 1, 55 - 1) = "1" ), 1, IF( AND( OFFSET($A$1, 415 - 1, 54 - 1) = "1", OFFSET($A$1, 415 - 1, 55 - 1) = "0" ), 2, IF( AND( OFFSET($A$1, 415 - 1, 54 - 1) = "0", OFFSET($A$1, 415 - 1, 55 - 1) = "1" ), 3, 4 ) ) )</f>
        <v>4</v>
      </c>
      <c r="BF415" s="3">
        <v>0.19733124037082037</v>
      </c>
      <c r="BG415" s="3" t="str">
        <f>"1"</f>
        <v>1</v>
      </c>
      <c r="BH415" t="str">
        <f ca="1">IF((OFFSET($A$1, 415 - 1, 58 - 1)) &gt;= (OFFSET($A$1, 93 - 1, 7 - 1)), "1","0")</f>
        <v>0</v>
      </c>
      <c r="BI415">
        <f ca="1" xml:space="preserve"> IF( AND( OFFSET($A$1, 415 - 1, 59 - 1) = "1", OFFSET($A$1, 415 - 1, 60 - 1) = "1" ), 1, IF( AND( OFFSET($A$1, 415 - 1, 59 - 1) = "1", OFFSET($A$1, 415 - 1, 60 - 1) = "0" ), 2, IF( AND( OFFSET($A$1, 415 - 1, 59 - 1) = "0", OFFSET($A$1, 415 - 1, 60 - 1) = "1" ), 3, 4 ) ) )</f>
        <v>2</v>
      </c>
    </row>
    <row r="416" spans="53:61" x14ac:dyDescent="0.35">
      <c r="BA416" s="3">
        <v>0.19743022891459377</v>
      </c>
      <c r="BB416" s="3" t="str">
        <f>"0"</f>
        <v>0</v>
      </c>
      <c r="BC416" t="str">
        <f ca="1">IF((OFFSET($A$1, 416 - 1, 53 - 1)) &gt;= (OFFSET($A$1, 69 - 1, 7 - 1)), "1","0")</f>
        <v>0</v>
      </c>
      <c r="BD416">
        <f ca="1" xml:space="preserve"> IF( AND( OFFSET($A$1, 416 - 1, 54 - 1) = "1", OFFSET($A$1, 416 - 1, 55 - 1) = "1" ), 1, IF( AND( OFFSET($A$1, 416 - 1, 54 - 1) = "1", OFFSET($A$1, 416 - 1, 55 - 1) = "0" ), 2, IF( AND( OFFSET($A$1, 416 - 1, 54 - 1) = "0", OFFSET($A$1, 416 - 1, 55 - 1) = "1" ), 3, 4 ) ) )</f>
        <v>4</v>
      </c>
      <c r="BF416" s="3">
        <v>0.4345166593387943</v>
      </c>
      <c r="BG416" s="3" t="str">
        <f>"0"</f>
        <v>0</v>
      </c>
      <c r="BH416" t="str">
        <f ca="1">IF((OFFSET($A$1, 416 - 1, 58 - 1)) &gt;= (OFFSET($A$1, 93 - 1, 7 - 1)), "1","0")</f>
        <v>0</v>
      </c>
      <c r="BI416">
        <f ca="1" xml:space="preserve"> IF( AND( OFFSET($A$1, 416 - 1, 59 - 1) = "1", OFFSET($A$1, 416 - 1, 60 - 1) = "1" ), 1, IF( AND( OFFSET($A$1, 416 - 1, 59 - 1) = "1", OFFSET($A$1, 416 - 1, 60 - 1) = "0" ), 2, IF( AND( OFFSET($A$1, 416 - 1, 59 - 1) = "0", OFFSET($A$1, 416 - 1, 60 - 1) = "1" ), 3, 4 ) ) )</f>
        <v>4</v>
      </c>
    </row>
    <row r="417" spans="53:61" x14ac:dyDescent="0.35">
      <c r="BA417" s="3">
        <v>0.19764068738664683</v>
      </c>
      <c r="BB417" s="3" t="str">
        <f>"0"</f>
        <v>0</v>
      </c>
      <c r="BC417" t="str">
        <f ca="1">IF((OFFSET($A$1, 417 - 1, 53 - 1)) &gt;= (OFFSET($A$1, 69 - 1, 7 - 1)), "1","0")</f>
        <v>0</v>
      </c>
      <c r="BD417">
        <f ca="1" xml:space="preserve"> IF( AND( OFFSET($A$1, 417 - 1, 54 - 1) = "1", OFFSET($A$1, 417 - 1, 55 - 1) = "1" ), 1, IF( AND( OFFSET($A$1, 417 - 1, 54 - 1) = "1", OFFSET($A$1, 417 - 1, 55 - 1) = "0" ), 2, IF( AND( OFFSET($A$1, 417 - 1, 54 - 1) = "0", OFFSET($A$1, 417 - 1, 55 - 1) = "1" ), 3, 4 ) ) )</f>
        <v>4</v>
      </c>
      <c r="BF417" s="3">
        <v>0.19775215166734797</v>
      </c>
      <c r="BG417" s="3" t="str">
        <f>"1"</f>
        <v>1</v>
      </c>
      <c r="BH417" t="str">
        <f ca="1">IF((OFFSET($A$1, 417 - 1, 58 - 1)) &gt;= (OFFSET($A$1, 93 - 1, 7 - 1)), "1","0")</f>
        <v>0</v>
      </c>
      <c r="BI417">
        <f ca="1" xml:space="preserve"> IF( AND( OFFSET($A$1, 417 - 1, 59 - 1) = "1", OFFSET($A$1, 417 - 1, 60 - 1) = "1" ), 1, IF( AND( OFFSET($A$1, 417 - 1, 59 - 1) = "1", OFFSET($A$1, 417 - 1, 60 - 1) = "0" ), 2, IF( AND( OFFSET($A$1, 417 - 1, 59 - 1) = "0", OFFSET($A$1, 417 - 1, 60 - 1) = "1" ), 3, 4 ) ) )</f>
        <v>2</v>
      </c>
    </row>
    <row r="418" spans="53:61" x14ac:dyDescent="0.35">
      <c r="BA418" s="3">
        <v>0.1978677686739844</v>
      </c>
      <c r="BB418" s="3" t="str">
        <f>"0"</f>
        <v>0</v>
      </c>
      <c r="BC418" t="str">
        <f ca="1">IF((OFFSET($A$1, 418 - 1, 53 - 1)) &gt;= (OFFSET($A$1, 69 - 1, 7 - 1)), "1","0")</f>
        <v>0</v>
      </c>
      <c r="BD418">
        <f ca="1" xml:space="preserve"> IF( AND( OFFSET($A$1, 418 - 1, 54 - 1) = "1", OFFSET($A$1, 418 - 1, 55 - 1) = "1" ), 1, IF( AND( OFFSET($A$1, 418 - 1, 54 - 1) = "1", OFFSET($A$1, 418 - 1, 55 - 1) = "0" ), 2, IF( AND( OFFSET($A$1, 418 - 1, 54 - 1) = "0", OFFSET($A$1, 418 - 1, 55 - 1) = "1" ), 3, 4 ) ) )</f>
        <v>4</v>
      </c>
      <c r="BF418" s="3">
        <v>0.43522016803545877</v>
      </c>
      <c r="BG418" s="3" t="str">
        <f>"1"</f>
        <v>1</v>
      </c>
      <c r="BH418" t="str">
        <f ca="1">IF((OFFSET($A$1, 418 - 1, 58 - 1)) &gt;= (OFFSET($A$1, 93 - 1, 7 - 1)), "1","0")</f>
        <v>0</v>
      </c>
      <c r="BI418">
        <f ca="1" xml:space="preserve"> IF( AND( OFFSET($A$1, 418 - 1, 59 - 1) = "1", OFFSET($A$1, 418 - 1, 60 - 1) = "1" ), 1, IF( AND( OFFSET($A$1, 418 - 1, 59 - 1) = "1", OFFSET($A$1, 418 - 1, 60 - 1) = "0" ), 2, IF( AND( OFFSET($A$1, 418 - 1, 59 - 1) = "0", OFFSET($A$1, 418 - 1, 60 - 1) = "1" ), 3, 4 ) ) )</f>
        <v>2</v>
      </c>
    </row>
    <row r="419" spans="53:61" x14ac:dyDescent="0.35">
      <c r="BA419" s="3">
        <v>0.19811144820315127</v>
      </c>
      <c r="BB419" s="3" t="str">
        <f>"0"</f>
        <v>0</v>
      </c>
      <c r="BC419" t="str">
        <f ca="1">IF((OFFSET($A$1, 419 - 1, 53 - 1)) &gt;= (OFFSET($A$1, 69 - 1, 7 - 1)), "1","0")</f>
        <v>0</v>
      </c>
      <c r="BD419">
        <f ca="1" xml:space="preserve"> IF( AND( OFFSET($A$1, 419 - 1, 54 - 1) = "1", OFFSET($A$1, 419 - 1, 55 - 1) = "1" ), 1, IF( AND( OFFSET($A$1, 419 - 1, 54 - 1) = "1", OFFSET($A$1, 419 - 1, 55 - 1) = "0" ), 2, IF( AND( OFFSET($A$1, 419 - 1, 54 - 1) = "0", OFFSET($A$1, 419 - 1, 55 - 1) = "1" ), 3, 4 ) ) )</f>
        <v>4</v>
      </c>
      <c r="BF419" s="3">
        <v>0.43561006741424052</v>
      </c>
      <c r="BG419" s="3" t="str">
        <f>"0"</f>
        <v>0</v>
      </c>
      <c r="BH419" t="str">
        <f ca="1">IF((OFFSET($A$1, 419 - 1, 58 - 1)) &gt;= (OFFSET($A$1, 93 - 1, 7 - 1)), "1","0")</f>
        <v>0</v>
      </c>
      <c r="BI419">
        <f ca="1" xml:space="preserve"> IF( AND( OFFSET($A$1, 419 - 1, 59 - 1) = "1", OFFSET($A$1, 419 - 1, 60 - 1) = "1" ), 1, IF( AND( OFFSET($A$1, 419 - 1, 59 - 1) = "1", OFFSET($A$1, 419 - 1, 60 - 1) = "0" ), 2, IF( AND( OFFSET($A$1, 419 - 1, 59 - 1) = "0", OFFSET($A$1, 419 - 1, 60 - 1) = "1" ), 3, 4 ) ) )</f>
        <v>4</v>
      </c>
    </row>
    <row r="420" spans="53:61" x14ac:dyDescent="0.35">
      <c r="BA420" s="3">
        <v>0.19837169937825838</v>
      </c>
      <c r="BB420" s="3" t="str">
        <f>"0"</f>
        <v>0</v>
      </c>
      <c r="BC420" t="str">
        <f ca="1">IF((OFFSET($A$1, 420 - 1, 53 - 1)) &gt;= (OFFSET($A$1, 69 - 1, 7 - 1)), "1","0")</f>
        <v>0</v>
      </c>
      <c r="BD420">
        <f ca="1" xml:space="preserve"> IF( AND( OFFSET($A$1, 420 - 1, 54 - 1) = "1", OFFSET($A$1, 420 - 1, 55 - 1) = "1" ), 1, IF( AND( OFFSET($A$1, 420 - 1, 54 - 1) = "1", OFFSET($A$1, 420 - 1, 55 - 1) = "0" ), 2, IF( AND( OFFSET($A$1, 420 - 1, 54 - 1) = "0", OFFSET($A$1, 420 - 1, 55 - 1) = "1" ), 3, 4 ) ) )</f>
        <v>4</v>
      </c>
      <c r="BF420" s="3">
        <v>0.19850803045791224</v>
      </c>
      <c r="BG420" s="3" t="str">
        <f>"0"</f>
        <v>0</v>
      </c>
      <c r="BH420" t="str">
        <f ca="1">IF((OFFSET($A$1, 420 - 1, 58 - 1)) &gt;= (OFFSET($A$1, 93 - 1, 7 - 1)), "1","0")</f>
        <v>0</v>
      </c>
      <c r="BI420">
        <f ca="1" xml:space="preserve"> IF( AND( OFFSET($A$1, 420 - 1, 59 - 1) = "1", OFFSET($A$1, 420 - 1, 60 - 1) = "1" ), 1, IF( AND( OFFSET($A$1, 420 - 1, 59 - 1) = "1", OFFSET($A$1, 420 - 1, 60 - 1) = "0" ), 2, IF( AND( OFFSET($A$1, 420 - 1, 59 - 1) = "0", OFFSET($A$1, 420 - 1, 60 - 1) = "1" ), 3, 4 ) ) )</f>
        <v>4</v>
      </c>
    </row>
    <row r="421" spans="53:61" x14ac:dyDescent="0.35">
      <c r="BA421" s="3">
        <v>0.19864849353645</v>
      </c>
      <c r="BB421" s="3" t="str">
        <f>"0"</f>
        <v>0</v>
      </c>
      <c r="BC421" t="str">
        <f ca="1">IF((OFFSET($A$1, 421 - 1, 53 - 1)) &gt;= (OFFSET($A$1, 69 - 1, 7 - 1)), "1","0")</f>
        <v>0</v>
      </c>
      <c r="BD421">
        <f ca="1" xml:space="preserve"> IF( AND( OFFSET($A$1, 421 - 1, 54 - 1) = "1", OFFSET($A$1, 421 - 1, 55 - 1) = "1" ), 1, IF( AND( OFFSET($A$1, 421 - 1, 54 - 1) = "1", OFFSET($A$1, 421 - 1, 55 - 1) = "0" ), 2, IF( AND( OFFSET($A$1, 421 - 1, 54 - 1) = "0", OFFSET($A$1, 421 - 1, 55 - 1) = "1" ), 3, 4 ) ) )</f>
        <v>4</v>
      </c>
      <c r="BF421" s="3">
        <v>0.19879308470029269</v>
      </c>
      <c r="BG421" s="3" t="str">
        <f>"0"</f>
        <v>0</v>
      </c>
      <c r="BH421" t="str">
        <f ca="1">IF((OFFSET($A$1, 421 - 1, 58 - 1)) &gt;= (OFFSET($A$1, 93 - 1, 7 - 1)), "1","0")</f>
        <v>0</v>
      </c>
      <c r="BI421">
        <f ca="1" xml:space="preserve"> IF( AND( OFFSET($A$1, 421 - 1, 59 - 1) = "1", OFFSET($A$1, 421 - 1, 60 - 1) = "1" ), 1, IF( AND( OFFSET($A$1, 421 - 1, 59 - 1) = "1", OFFSET($A$1, 421 - 1, 60 - 1) = "0" ), 2, IF( AND( OFFSET($A$1, 421 - 1, 59 - 1) = "0", OFFSET($A$1, 421 - 1, 60 - 1) = "1" ), 3, 4 ) ) )</f>
        <v>4</v>
      </c>
    </row>
    <row r="422" spans="53:61" x14ac:dyDescent="0.35">
      <c r="BA422" s="3">
        <v>0.19894179990061828</v>
      </c>
      <c r="BB422" s="3" t="str">
        <f>"0"</f>
        <v>0</v>
      </c>
      <c r="BC422" t="str">
        <f ca="1">IF((OFFSET($A$1, 422 - 1, 53 - 1)) &gt;= (OFFSET($A$1, 69 - 1, 7 - 1)), "1","0")</f>
        <v>0</v>
      </c>
      <c r="BD422">
        <f ca="1" xml:space="preserve"> IF( AND( OFFSET($A$1, 422 - 1, 54 - 1) = "1", OFFSET($A$1, 422 - 1, 55 - 1) = "1" ), 1, IF( AND( OFFSET($A$1, 422 - 1, 54 - 1) = "1", OFFSET($A$1, 422 - 1, 55 - 1) = "0" ), 2, IF( AND( OFFSET($A$1, 422 - 1, 54 - 1) = "0", OFFSET($A$1, 422 - 1, 55 - 1) = "1" ), 3, 4 ) ) )</f>
        <v>4</v>
      </c>
      <c r="BF422" s="3">
        <v>0.1990946349517364</v>
      </c>
      <c r="BG422" s="3" t="str">
        <f>"0"</f>
        <v>0</v>
      </c>
      <c r="BH422" t="str">
        <f ca="1">IF((OFFSET($A$1, 422 - 1, 58 - 1)) &gt;= (OFFSET($A$1, 93 - 1, 7 - 1)), "1","0")</f>
        <v>0</v>
      </c>
      <c r="BI422">
        <f ca="1" xml:space="preserve"> IF( AND( OFFSET($A$1, 422 - 1, 59 - 1) = "1", OFFSET($A$1, 422 - 1, 60 - 1) = "1" ), 1, IF( AND( OFFSET($A$1, 422 - 1, 59 - 1) = "1", OFFSET($A$1, 422 - 1, 60 - 1) = "0" ), 2, IF( AND( OFFSET($A$1, 422 - 1, 59 - 1) = "0", OFFSET($A$1, 422 - 1, 60 - 1) = "1" ), 3, 4 ) ) )</f>
        <v>4</v>
      </c>
    </row>
    <row r="423" spans="53:61" x14ac:dyDescent="0.35">
      <c r="BA423" s="3">
        <v>0.19925158552942498</v>
      </c>
      <c r="BB423" s="3" t="str">
        <f>"0"</f>
        <v>0</v>
      </c>
      <c r="BC423" t="str">
        <f ca="1">IF((OFFSET($A$1, 423 - 1, 53 - 1)) &gt;= (OFFSET($A$1, 69 - 1, 7 - 1)), "1","0")</f>
        <v>0</v>
      </c>
      <c r="BD423">
        <f ca="1" xml:space="preserve"> IF( AND( OFFSET($A$1, 423 - 1, 54 - 1) = "1", OFFSET($A$1, 423 - 1, 55 - 1) = "1" ), 1, IF( AND( OFFSET($A$1, 423 - 1, 54 - 1) = "1", OFFSET($A$1, 423 - 1, 55 - 1) = "0" ), 2, IF( AND( OFFSET($A$1, 423 - 1, 54 - 1) = "0", OFFSET($A$1, 423 - 1, 55 - 1) = "1" ), 3, 4 ) ) )</f>
        <v>4</v>
      </c>
      <c r="BF423" s="3">
        <v>0.19941264716922466</v>
      </c>
      <c r="BG423" s="3" t="str">
        <f>"1"</f>
        <v>1</v>
      </c>
      <c r="BH423" t="str">
        <f ca="1">IF((OFFSET($A$1, 423 - 1, 58 - 1)) &gt;= (OFFSET($A$1, 93 - 1, 7 - 1)), "1","0")</f>
        <v>0</v>
      </c>
      <c r="BI423">
        <f ca="1" xml:space="preserve"> IF( AND( OFFSET($A$1, 423 - 1, 59 - 1) = "1", OFFSET($A$1, 423 - 1, 60 - 1) = "1" ), 1, IF( AND( OFFSET($A$1, 423 - 1, 59 - 1) = "1", OFFSET($A$1, 423 - 1, 60 - 1) = "0" ), 2, IF( AND( OFFSET($A$1, 423 - 1, 59 - 1) = "0", OFFSET($A$1, 423 - 1, 60 - 1) = "1" ), 3, 4 ) ) )</f>
        <v>2</v>
      </c>
    </row>
    <row r="424" spans="53:61" x14ac:dyDescent="0.35">
      <c r="BA424" s="3">
        <v>0.19957781526469554</v>
      </c>
      <c r="BB424" s="3" t="str">
        <f>"0"</f>
        <v>0</v>
      </c>
      <c r="BC424" t="str">
        <f ca="1">IF((OFFSET($A$1, 424 - 1, 53 - 1)) &gt;= (OFFSET($A$1, 69 - 1, 7 - 1)), "1","0")</f>
        <v>0</v>
      </c>
      <c r="BD424">
        <f ca="1" xml:space="preserve"> IF( AND( OFFSET($A$1, 424 - 1, 54 - 1) = "1", OFFSET($A$1, 424 - 1, 55 - 1) = "1" ), 1, IF( AND( OFFSET($A$1, 424 - 1, 54 - 1) = "1", OFFSET($A$1, 424 - 1, 55 - 1) = "0" ), 2, IF( AND( OFFSET($A$1, 424 - 1, 54 - 1) = "0", OFFSET($A$1, 424 - 1, 55 - 1) = "1" ), 3, 4 ) ) )</f>
        <v>4</v>
      </c>
      <c r="BF424" s="3">
        <v>0.4379367987855321</v>
      </c>
      <c r="BG424" s="3" t="str">
        <f>"1"</f>
        <v>1</v>
      </c>
      <c r="BH424" t="str">
        <f ca="1">IF((OFFSET($A$1, 424 - 1, 58 - 1)) &gt;= (OFFSET($A$1, 93 - 1, 7 - 1)), "1","0")</f>
        <v>0</v>
      </c>
      <c r="BI424">
        <f ca="1" xml:space="preserve"> IF( AND( OFFSET($A$1, 424 - 1, 59 - 1) = "1", OFFSET($A$1, 424 - 1, 60 - 1) = "1" ), 1, IF( AND( OFFSET($A$1, 424 - 1, 59 - 1) = "1", OFFSET($A$1, 424 - 1, 60 - 1) = "0" ), 2, IF( AND( OFFSET($A$1, 424 - 1, 59 - 1) = "0", OFFSET($A$1, 424 - 1, 60 - 1) = "1" ), 3, 4 ) ) )</f>
        <v>2</v>
      </c>
    </row>
    <row r="425" spans="53:61" x14ac:dyDescent="0.35">
      <c r="BA425" s="3">
        <v>0.19992045167625383</v>
      </c>
      <c r="BB425" s="3" t="str">
        <f>"0"</f>
        <v>0</v>
      </c>
      <c r="BC425" t="str">
        <f ca="1">IF((OFFSET($A$1, 425 - 1, 53 - 1)) &gt;= (OFFSET($A$1, 69 - 1, 7 - 1)), "1","0")</f>
        <v>0</v>
      </c>
      <c r="BD425">
        <f ca="1" xml:space="preserve"> IF( AND( OFFSET($A$1, 425 - 1, 54 - 1) = "1", OFFSET($A$1, 425 - 1, 55 - 1) = "1" ), 1, IF( AND( OFFSET($A$1, 425 - 1, 54 - 1) = "1", OFFSET($A$1, 425 - 1, 55 - 1) = "0" ), 2, IF( AND( OFFSET($A$1, 425 - 1, 54 - 1) = "0", OFFSET($A$1, 425 - 1, 55 - 1) = "1" ), 3, 4 ) ) )</f>
        <v>4</v>
      </c>
      <c r="BF425" s="3">
        <v>0.43847674738787323</v>
      </c>
      <c r="BG425" s="3" t="str">
        <f>"1"</f>
        <v>1</v>
      </c>
      <c r="BH425" t="str">
        <f ca="1">IF((OFFSET($A$1, 425 - 1, 58 - 1)) &gt;= (OFFSET($A$1, 93 - 1, 7 - 1)), "1","0")</f>
        <v>0</v>
      </c>
      <c r="BI425">
        <f ca="1" xml:space="preserve"> IF( AND( OFFSET($A$1, 425 - 1, 59 - 1) = "1", OFFSET($A$1, 425 - 1, 60 - 1) = "1" ), 1, IF( AND( OFFSET($A$1, 425 - 1, 59 - 1) = "1", OFFSET($A$1, 425 - 1, 60 - 1) = "0" ), 2, IF( AND( OFFSET($A$1, 425 - 1, 59 - 1) = "0", OFFSET($A$1, 425 - 1, 60 - 1) = "1" ), 3, 4 ) ) )</f>
        <v>2</v>
      </c>
    </row>
    <row r="426" spans="53:61" x14ac:dyDescent="0.35">
      <c r="BA426" s="3">
        <v>0.20027945500427183</v>
      </c>
      <c r="BB426" s="3" t="str">
        <f>"0"</f>
        <v>0</v>
      </c>
      <c r="BC426" t="str">
        <f ca="1">IF((OFFSET($A$1, 426 - 1, 53 - 1)) &gt;= (OFFSET($A$1, 69 - 1, 7 - 1)), "1","0")</f>
        <v>0</v>
      </c>
      <c r="BD426">
        <f ca="1" xml:space="preserve"> IF( AND( OFFSET($A$1, 426 - 1, 54 - 1) = "1", OFFSET($A$1, 426 - 1, 55 - 1) = "1" ), 1, IF( AND( OFFSET($A$1, 426 - 1, 54 - 1) = "1", OFFSET($A$1, 426 - 1, 55 - 1) = "0" ), 2, IF( AND( OFFSET($A$1, 426 - 1, 54 - 1) = "0", OFFSET($A$1, 426 - 1, 55 - 1) = "1" ), 3, 4 ) ) )</f>
        <v>4</v>
      </c>
      <c r="BF426" s="3">
        <v>0.43904125010153888</v>
      </c>
      <c r="BG426" s="3" t="str">
        <f>"1"</f>
        <v>1</v>
      </c>
      <c r="BH426" t="str">
        <f ca="1">IF((OFFSET($A$1, 426 - 1, 58 - 1)) &gt;= (OFFSET($A$1, 93 - 1, 7 - 1)), "1","0")</f>
        <v>0</v>
      </c>
      <c r="BI426">
        <f ca="1" xml:space="preserve"> IF( AND( OFFSET($A$1, 426 - 1, 59 - 1) = "1", OFFSET($A$1, 426 - 1, 60 - 1) = "1" ), 1, IF( AND( OFFSET($A$1, 426 - 1, 59 - 1) = "1", OFFSET($A$1, 426 - 1, 60 - 1) = "0" ), 2, IF( AND( OFFSET($A$1, 426 - 1, 59 - 1) = "0", OFFSET($A$1, 426 - 1, 60 - 1) = "1" ), 3, 4 ) ) )</f>
        <v>2</v>
      </c>
    </row>
    <row r="427" spans="53:61" x14ac:dyDescent="0.35">
      <c r="BA427" s="3">
        <v>0.20065478309921059</v>
      </c>
      <c r="BB427" s="3" t="str">
        <f>"0"</f>
        <v>0</v>
      </c>
      <c r="BC427" t="str">
        <f ca="1">IF((OFFSET($A$1, 427 - 1, 53 - 1)) &gt;= (OFFSET($A$1, 69 - 1, 7 - 1)), "1","0")</f>
        <v>0</v>
      </c>
      <c r="BD427">
        <f ca="1" xml:space="preserve"> IF( AND( OFFSET($A$1, 427 - 1, 54 - 1) = "1", OFFSET($A$1, 427 - 1, 55 - 1) = "1" ), 1, IF( AND( OFFSET($A$1, 427 - 1, 54 - 1) = "1", OFFSET($A$1, 427 - 1, 55 - 1) = "0" ), 2, IF( AND( OFFSET($A$1, 427 - 1, 54 - 1) = "0", OFFSET($A$1, 427 - 1, 55 - 1) = "1" ), 3, 4 ) ) )</f>
        <v>4</v>
      </c>
      <c r="BF427" s="3">
        <v>0.4396301589458923</v>
      </c>
      <c r="BG427" s="3" t="str">
        <f>"0"</f>
        <v>0</v>
      </c>
      <c r="BH427" t="str">
        <f ca="1">IF((OFFSET($A$1, 427 - 1, 58 - 1)) &gt;= (OFFSET($A$1, 93 - 1, 7 - 1)), "1","0")</f>
        <v>0</v>
      </c>
      <c r="BI427">
        <f ca="1" xml:space="preserve"> IF( AND( OFFSET($A$1, 427 - 1, 59 - 1) = "1", OFFSET($A$1, 427 - 1, 60 - 1) = "1" ), 1, IF( AND( OFFSET($A$1, 427 - 1, 59 - 1) = "1", OFFSET($A$1, 427 - 1, 60 - 1) = "0" ), 2, IF( AND( OFFSET($A$1, 427 - 1, 59 - 1) = "0", OFFSET($A$1, 427 - 1, 60 - 1) = "1" ), 3, 4 ) ) )</f>
        <v>4</v>
      </c>
    </row>
    <row r="428" spans="53:61" x14ac:dyDescent="0.35">
      <c r="BA428" s="3">
        <v>0.20104639135943447</v>
      </c>
      <c r="BB428" s="3" t="str">
        <f>"0"</f>
        <v>0</v>
      </c>
      <c r="BC428" t="str">
        <f ca="1">IF((OFFSET($A$1, 428 - 1, 53 - 1)) &gt;= (OFFSET($A$1, 69 - 1, 7 - 1)), "1","0")</f>
        <v>0</v>
      </c>
      <c r="BD428">
        <f ca="1" xml:space="preserve"> IF( AND( OFFSET($A$1, 428 - 1, 54 - 1) = "1", OFFSET($A$1, 428 - 1, 55 - 1) = "1" ), 1, IF( AND( OFFSET($A$1, 428 - 1, 54 - 1) = "1", OFFSET($A$1, 428 - 1, 55 - 1) = "0" ), 2, IF( AND( OFFSET($A$1, 428 - 1, 54 - 1) = "0", OFFSET($A$1, 428 - 1, 55 - 1) = "1" ), 3, 4 ) ) )</f>
        <v>4</v>
      </c>
      <c r="BF428" s="3">
        <v>0.20124828592716257</v>
      </c>
      <c r="BG428" s="3" t="str">
        <f>"0"</f>
        <v>0</v>
      </c>
      <c r="BH428" t="str">
        <f ca="1">IF((OFFSET($A$1, 428 - 1, 58 - 1)) &gt;= (OFFSET($A$1, 93 - 1, 7 - 1)), "1","0")</f>
        <v>0</v>
      </c>
      <c r="BI428">
        <f ca="1" xml:space="preserve"> IF( AND( OFFSET($A$1, 428 - 1, 59 - 1) = "1", OFFSET($A$1, 428 - 1, 60 - 1) = "1" ), 1, IF( AND( OFFSET($A$1, 428 - 1, 59 - 1) = "1", OFFSET($A$1, 428 - 1, 60 - 1) = "0" ), 2, IF( AND( OFFSET($A$1, 428 - 1, 59 - 1) = "0", OFFSET($A$1, 428 - 1, 60 - 1) = "1" ), 3, 4 ) ) )</f>
        <v>4</v>
      </c>
    </row>
    <row r="429" spans="53:61" x14ac:dyDescent="0.35">
      <c r="BA429" s="3">
        <v>0.20145423266658527</v>
      </c>
      <c r="BB429" s="3" t="str">
        <f>"0"</f>
        <v>0</v>
      </c>
      <c r="BC429" t="str">
        <f ca="1">IF((OFFSET($A$1, 429 - 1, 53 - 1)) &gt;= (OFFSET($A$1, 69 - 1, 7 - 1)), "1","0")</f>
        <v>0</v>
      </c>
      <c r="BD429">
        <f ca="1" xml:space="preserve"> IF( AND( OFFSET($A$1, 429 - 1, 54 - 1) = "1", OFFSET($A$1, 429 - 1, 55 - 1) = "1" ), 1, IF( AND( OFFSET($A$1, 429 - 1, 54 - 1) = "1", OFFSET($A$1, 429 - 1, 55 - 1) = "0" ), 2, IF( AND( OFFSET($A$1, 429 - 1, 54 - 1) = "0", OFFSET($A$1, 429 - 1, 55 - 1) = "1" ), 3, 4 ) ) )</f>
        <v>4</v>
      </c>
      <c r="BF429" s="3">
        <v>0.201664225283714</v>
      </c>
      <c r="BG429" s="3" t="str">
        <f>"0"</f>
        <v>0</v>
      </c>
      <c r="BH429" t="str">
        <f ca="1">IF((OFFSET($A$1, 429 - 1, 58 - 1)) &gt;= (OFFSET($A$1, 93 - 1, 7 - 1)), "1","0")</f>
        <v>0</v>
      </c>
      <c r="BI429">
        <f ca="1" xml:space="preserve"> IF( AND( OFFSET($A$1, 429 - 1, 59 - 1) = "1", OFFSET($A$1, 429 - 1, 60 - 1) = "1" ), 1, IF( AND( OFFSET($A$1, 429 - 1, 59 - 1) = "1", OFFSET($A$1, 429 - 1, 60 - 1) = "0" ), 2, IF( AND( OFFSET($A$1, 429 - 1, 59 - 1) = "0", OFFSET($A$1, 429 - 1, 60 - 1) = "1" ), 3, 4 ) ) )</f>
        <v>4</v>
      </c>
    </row>
    <row r="430" spans="53:61" x14ac:dyDescent="0.35">
      <c r="BA430" s="3">
        <v>0.20187825731880496</v>
      </c>
      <c r="BB430" s="3" t="str">
        <f>"0"</f>
        <v>0</v>
      </c>
      <c r="BC430" t="str">
        <f ca="1">IF((OFFSET($A$1, 430 - 1, 53 - 1)) &gt;= (OFFSET($A$1, 69 - 1, 7 - 1)), "1","0")</f>
        <v>0</v>
      </c>
      <c r="BD430">
        <f ca="1" xml:space="preserve"> IF( AND( OFFSET($A$1, 430 - 1, 54 - 1) = "1", OFFSET($A$1, 430 - 1, 55 - 1) = "1" ), 1, IF( AND( OFFSET($A$1, 430 - 1, 54 - 1) = "1", OFFSET($A$1, 430 - 1, 55 - 1) = "0" ), 2, IF( AND( OFFSET($A$1, 430 - 1, 54 - 1) = "0", OFFSET($A$1, 430 - 1, 55 - 1) = "1" ), 3, 4 ) ) )</f>
        <v>4</v>
      </c>
      <c r="BF430" s="3">
        <v>0.20209632214416046</v>
      </c>
      <c r="BG430" s="3" t="str">
        <f>"0"</f>
        <v>0</v>
      </c>
      <c r="BH430" t="str">
        <f ca="1">IF((OFFSET($A$1, 430 - 1, 58 - 1)) &gt;= (OFFSET($A$1, 93 - 1, 7 - 1)), "1","0")</f>
        <v>0</v>
      </c>
      <c r="BI430">
        <f ca="1" xml:space="preserve"> IF( AND( OFFSET($A$1, 430 - 1, 59 - 1) = "1", OFFSET($A$1, 430 - 1, 60 - 1) = "1" ), 1, IF( AND( OFFSET($A$1, 430 - 1, 59 - 1) = "1", OFFSET($A$1, 430 - 1, 60 - 1) = "0" ), 2, IF( AND( OFFSET($A$1, 430 - 1, 59 - 1) = "0", OFFSET($A$1, 430 - 1, 60 - 1) = "1" ), 3, 4 ) ) )</f>
        <v>4</v>
      </c>
    </row>
    <row r="431" spans="53:61" x14ac:dyDescent="0.35">
      <c r="BA431" s="3">
        <v>0.20231841296190359</v>
      </c>
      <c r="BB431" s="3" t="str">
        <f>"0"</f>
        <v>0</v>
      </c>
      <c r="BC431" t="str">
        <f ca="1">IF((OFFSET($A$1, 431 - 1, 53 - 1)) &gt;= (OFFSET($A$1, 69 - 1, 7 - 1)), "1","0")</f>
        <v>0</v>
      </c>
      <c r="BD431">
        <f ca="1" xml:space="preserve"> IF( AND( OFFSET($A$1, 431 - 1, 54 - 1) = "1", OFFSET($A$1, 431 - 1, 55 - 1) = "1" ), 1, IF( AND( OFFSET($A$1, 431 - 1, 54 - 1) = "1", OFFSET($A$1, 431 - 1, 55 - 1) = "0" ), 2, IF( AND( OFFSET($A$1, 431 - 1, 54 - 1) = "0", OFFSET($A$1, 431 - 1, 55 - 1) = "1" ), 3, 4 ) ) )</f>
        <v>4</v>
      </c>
      <c r="BF431" s="3">
        <v>0.20254452280171861</v>
      </c>
      <c r="BG431" s="3" t="str">
        <f>"0"</f>
        <v>0</v>
      </c>
      <c r="BH431" t="str">
        <f ca="1">IF((OFFSET($A$1, 431 - 1, 58 - 1)) &gt;= (OFFSET($A$1, 93 - 1, 7 - 1)), "1","0")</f>
        <v>0</v>
      </c>
      <c r="BI431">
        <f ca="1" xml:space="preserve"> IF( AND( OFFSET($A$1, 431 - 1, 59 - 1) = "1", OFFSET($A$1, 431 - 1, 60 - 1) = "1" ), 1, IF( AND( OFFSET($A$1, 431 - 1, 59 - 1) = "1", OFFSET($A$1, 431 - 1, 60 - 1) = "0" ), 2, IF( AND( OFFSET($A$1, 431 - 1, 59 - 1) = "0", OFFSET($A$1, 431 - 1, 60 - 1) = "1" ), 3, 4 ) ) )</f>
        <v>4</v>
      </c>
    </row>
    <row r="432" spans="53:61" x14ac:dyDescent="0.35">
      <c r="BA432" s="3">
        <v>0.20277464451856944</v>
      </c>
      <c r="BB432" s="3" t="str">
        <f>"0"</f>
        <v>0</v>
      </c>
      <c r="BC432" t="str">
        <f ca="1">IF((OFFSET($A$1, 432 - 1, 53 - 1)) &gt;= (OFFSET($A$1, 69 - 1, 7 - 1)), "1","0")</f>
        <v>0</v>
      </c>
      <c r="BD432">
        <f ca="1" xml:space="preserve"> IF( AND( OFFSET($A$1, 432 - 1, 54 - 1) = "1", OFFSET($A$1, 432 - 1, 55 - 1) = "1" ), 1, IF( AND( OFFSET($A$1, 432 - 1, 54 - 1) = "1", OFFSET($A$1, 432 - 1, 55 - 1) = "0" ), 2, IF( AND( OFFSET($A$1, 432 - 1, 54 - 1) = "0", OFFSET($A$1, 432 - 1, 55 - 1) = "1" ), 3, 4 ) ) )</f>
        <v>4</v>
      </c>
      <c r="BF432" s="3">
        <v>0.20300877079038565</v>
      </c>
      <c r="BG432" s="3" t="str">
        <f>"0"</f>
        <v>0</v>
      </c>
      <c r="BH432" t="str">
        <f ca="1">IF((OFFSET($A$1, 432 - 1, 58 - 1)) &gt;= (OFFSET($A$1, 93 - 1, 7 - 1)), "1","0")</f>
        <v>0</v>
      </c>
      <c r="BI432">
        <f ca="1" xml:space="preserve"> IF( AND( OFFSET($A$1, 432 - 1, 59 - 1) = "1", OFFSET($A$1, 432 - 1, 60 - 1) = "1" ), 1, IF( AND( OFFSET($A$1, 432 - 1, 59 - 1) = "1", OFFSET($A$1, 432 - 1, 60 - 1) = "0" ), 2, IF( AND( OFFSET($A$1, 432 - 1, 59 - 1) = "0", OFFSET($A$1, 432 - 1, 60 - 1) = "1" ), 3, 4 ) ) )</f>
        <v>4</v>
      </c>
    </row>
    <row r="433" spans="53:61" x14ac:dyDescent="0.35">
      <c r="BA433" s="3">
        <v>0.20324689411572602</v>
      </c>
      <c r="BB433" s="3" t="str">
        <f>"0"</f>
        <v>0</v>
      </c>
      <c r="BC433" t="str">
        <f ca="1">IF((OFFSET($A$1, 433 - 1, 53 - 1)) &gt;= (OFFSET($A$1, 69 - 1, 7 - 1)), "1","0")</f>
        <v>0</v>
      </c>
      <c r="BD433">
        <f ca="1" xml:space="preserve"> IF( AND( OFFSET($A$1, 433 - 1, 54 - 1) = "1", OFFSET($A$1, 433 - 1, 55 - 1) = "1" ), 1, IF( AND( OFFSET($A$1, 433 - 1, 54 - 1) = "1", OFFSET($A$1, 433 - 1, 55 - 1) = "0" ), 2, IF( AND( OFFSET($A$1, 433 - 1, 54 - 1) = "0", OFFSET($A$1, 433 - 1, 55 - 1) = "1" ), 3, 4 ) ) )</f>
        <v>4</v>
      </c>
      <c r="BF433" s="3">
        <v>0.20348900681141233</v>
      </c>
      <c r="BG433" s="3" t="str">
        <f>"1"</f>
        <v>1</v>
      </c>
      <c r="BH433" t="str">
        <f ca="1">IF((OFFSET($A$1, 433 - 1, 58 - 1)) &gt;= (OFFSET($A$1, 93 - 1, 7 - 1)), "1","0")</f>
        <v>0</v>
      </c>
      <c r="BI433">
        <f ca="1" xml:space="preserve"> IF( AND( OFFSET($A$1, 433 - 1, 59 - 1) = "1", OFFSET($A$1, 433 - 1, 60 - 1) = "1" ), 1, IF( AND( OFFSET($A$1, 433 - 1, 59 - 1) = "1", OFFSET($A$1, 433 - 1, 60 - 1) = "0" ), 2, IF( AND( OFFSET($A$1, 433 - 1, 59 - 1) = "0", OFFSET($A$1, 433 - 1, 60 - 1) = "1" ), 3, 4 ) ) )</f>
        <v>2</v>
      </c>
    </row>
    <row r="434" spans="53:61" x14ac:dyDescent="0.35">
      <c r="BA434" s="3">
        <v>0.20373510101014292</v>
      </c>
      <c r="BB434" s="3" t="str">
        <f>"0"</f>
        <v>0</v>
      </c>
      <c r="BC434" t="str">
        <f ca="1">IF((OFFSET($A$1, 434 - 1, 53 - 1)) &gt;= (OFFSET($A$1, 69 - 1, 7 - 1)), "1","0")</f>
        <v>0</v>
      </c>
      <c r="BD434">
        <f ca="1" xml:space="preserve"> IF( AND( OFFSET($A$1, 434 - 1, 54 - 1) = "1", OFFSET($A$1, 434 - 1, 55 - 1) = "1" ), 1, IF( AND( OFFSET($A$1, 434 - 1, 54 - 1) = "1", OFFSET($A$1, 434 - 1, 55 - 1) = "0" ), 2, IF( AND( OFFSET($A$1, 434 - 1, 54 - 1) = "0", OFFSET($A$1, 434 - 1, 55 - 1) = "1" ), 3, 4 ) ) )</f>
        <v>4</v>
      </c>
      <c r="BF434" s="3">
        <v>0.44442201376805701</v>
      </c>
      <c r="BG434" s="3" t="str">
        <f>"1"</f>
        <v>1</v>
      </c>
      <c r="BH434" t="str">
        <f ca="1">IF((OFFSET($A$1, 434 - 1, 58 - 1)) &gt;= (OFFSET($A$1, 93 - 1, 7 - 1)), "1","0")</f>
        <v>0</v>
      </c>
      <c r="BI434">
        <f ca="1" xml:space="preserve"> IF( AND( OFFSET($A$1, 434 - 1, 59 - 1) = "1", OFFSET($A$1, 434 - 1, 60 - 1) = "1" ), 1, IF( AND( OFFSET($A$1, 434 - 1, 59 - 1) = "1", OFFSET($A$1, 434 - 1, 60 - 1) = "0" ), 2, IF( AND( OFFSET($A$1, 434 - 1, 59 - 1) = "0", OFFSET($A$1, 434 - 1, 60 - 1) = "1" ), 3, 4 ) ) )</f>
        <v>2</v>
      </c>
    </row>
    <row r="435" spans="53:61" x14ac:dyDescent="0.35">
      <c r="BA435" s="3">
        <v>0.20423920151241265</v>
      </c>
      <c r="BB435" s="3" t="str">
        <f>"0"</f>
        <v>0</v>
      </c>
      <c r="BC435" t="str">
        <f ca="1">IF((OFFSET($A$1, 435 - 1, 53 - 1)) &gt;= (OFFSET($A$1, 69 - 1, 7 - 1)), "1","0")</f>
        <v>0</v>
      </c>
      <c r="BD435">
        <f ca="1" xml:space="preserve"> IF( AND( OFFSET($A$1, 435 - 1, 54 - 1) = "1", OFFSET($A$1, 435 - 1, 55 - 1) = "1" ), 1, IF( AND( OFFSET($A$1, 435 - 1, 54 - 1) = "1", OFFSET($A$1, 435 - 1, 55 - 1) = "0" ), 2, IF( AND( OFFSET($A$1, 435 - 1, 54 - 1) = "0", OFFSET($A$1, 435 - 1, 55 - 1) = "1" ), 3, 4 ) ) )</f>
        <v>4</v>
      </c>
      <c r="BF435" s="3">
        <v>0.44520001578538354</v>
      </c>
      <c r="BG435" s="3" t="str">
        <f>"1"</f>
        <v>1</v>
      </c>
      <c r="BH435" t="str">
        <f ca="1">IF((OFFSET($A$1, 435 - 1, 58 - 1)) &gt;= (OFFSET($A$1, 93 - 1, 7 - 1)), "1","0")</f>
        <v>0</v>
      </c>
      <c r="BI435">
        <f ca="1" xml:space="preserve"> IF( AND( OFFSET($A$1, 435 - 1, 59 - 1) = "1", OFFSET($A$1, 435 - 1, 60 - 1) = "1" ), 1, IF( AND( OFFSET($A$1, 435 - 1, 59 - 1) = "1", OFFSET($A$1, 435 - 1, 60 - 1) = "0" ), 2, IF( AND( OFFSET($A$1, 435 - 1, 59 - 1) = "0", OFFSET($A$1, 435 - 1, 60 - 1) = "1" ), 3, 4 ) ) )</f>
        <v>2</v>
      </c>
    </row>
    <row r="436" spans="53:61" x14ac:dyDescent="0.35">
      <c r="BA436" s="3">
        <v>0.20475912890940967</v>
      </c>
      <c r="BB436" s="3" t="str">
        <f>"1"</f>
        <v>1</v>
      </c>
      <c r="BC436" t="str">
        <f ca="1">IF((OFFSET($A$1, 436 - 1, 53 - 1)) &gt;= (OFFSET($A$1, 69 - 1, 7 - 1)), "1","0")</f>
        <v>0</v>
      </c>
      <c r="BD436">
        <f ca="1" xml:space="preserve"> IF( AND( OFFSET($A$1, 436 - 1, 54 - 1) = "1", OFFSET($A$1, 436 - 1, 55 - 1) = "1" ), 1, IF( AND( OFFSET($A$1, 436 - 1, 54 - 1) = "1", OFFSET($A$1, 436 - 1, 55 - 1) = "0" ), 2, IF( AND( OFFSET($A$1, 436 - 1, 54 - 1) = "0", OFFSET($A$1, 436 - 1, 55 - 1) = "1" ), 3, 4 ) ) )</f>
        <v>2</v>
      </c>
      <c r="BF436" s="3">
        <v>0.44600078085772926</v>
      </c>
      <c r="BG436" s="3" t="str">
        <f>"0"</f>
        <v>0</v>
      </c>
      <c r="BH436" t="str">
        <f ca="1">IF((OFFSET($A$1, 436 - 1, 58 - 1)) &gt;= (OFFSET($A$1, 93 - 1, 7 - 1)), "1","0")</f>
        <v>0</v>
      </c>
      <c r="BI436">
        <f ca="1" xml:space="preserve"> IF( AND( OFFSET($A$1, 436 - 1, 59 - 1) = "1", OFFSET($A$1, 436 - 1, 60 - 1) = "1" ), 1, IF( AND( OFFSET($A$1, 436 - 1, 59 - 1) = "1", OFFSET($A$1, 436 - 1, 60 - 1) = "0" ), 2, IF( AND( OFFSET($A$1, 436 - 1, 59 - 1) = "0", OFFSET($A$1, 436 - 1, 60 - 1) = "1" ), 3, 4 ) ) )</f>
        <v>4</v>
      </c>
    </row>
    <row r="437" spans="53:61" x14ac:dyDescent="0.35">
      <c r="BA437" s="3">
        <v>0.44640963188935318</v>
      </c>
      <c r="BB437" s="3" t="str">
        <f>"0"</f>
        <v>0</v>
      </c>
      <c r="BC437" t="str">
        <f ca="1">IF((OFFSET($A$1, 437 - 1, 53 - 1)) &gt;= (OFFSET($A$1, 69 - 1, 7 - 1)), "1","0")</f>
        <v>0</v>
      </c>
      <c r="BD437">
        <f ca="1" xml:space="preserve"> IF( AND( OFFSET($A$1, 437 - 1, 54 - 1) = "1", OFFSET($A$1, 437 - 1, 55 - 1) = "1" ), 1, IF( AND( OFFSET($A$1, 437 - 1, 54 - 1) = "1", OFFSET($A$1, 437 - 1, 55 - 1) = "0" ), 2, IF( AND( OFFSET($A$1, 437 - 1, 54 - 1) = "0", OFFSET($A$1, 437 - 1, 55 - 1) = "1" ), 3, 4 ) ) )</f>
        <v>4</v>
      </c>
      <c r="BF437" s="3">
        <v>0.20556854184239912</v>
      </c>
      <c r="BG437" s="3" t="str">
        <f>"0"</f>
        <v>0</v>
      </c>
      <c r="BH437" t="str">
        <f ca="1">IF((OFFSET($A$1, 437 - 1, 58 - 1)) &gt;= (OFFSET($A$1, 93 - 1, 7 - 1)), "1","0")</f>
        <v>0</v>
      </c>
      <c r="BI437">
        <f ca="1" xml:space="preserve"> IF( AND( OFFSET($A$1, 437 - 1, 59 - 1) = "1", OFFSET($A$1, 437 - 1, 60 - 1) = "1" ), 1, IF( AND( OFFSET($A$1, 437 - 1, 59 - 1) = "1", OFFSET($A$1, 437 - 1, 60 - 1) = "0" ), 2, IF( AND( OFFSET($A$1, 437 - 1, 59 - 1) = "0", OFFSET($A$1, 437 - 1, 60 - 1) = "1" ), 3, 4 ) ) )</f>
        <v>4</v>
      </c>
    </row>
    <row r="438" spans="53:61" x14ac:dyDescent="0.35">
      <c r="BA438" s="3">
        <v>0.20584618194159404</v>
      </c>
      <c r="BB438" s="3" t="str">
        <f>"0"</f>
        <v>0</v>
      </c>
      <c r="BC438" t="str">
        <f ca="1">IF((OFFSET($A$1, 438 - 1, 53 - 1)) &gt;= (OFFSET($A$1, 69 - 1, 7 - 1)), "1","0")</f>
        <v>0</v>
      </c>
      <c r="BD438">
        <f ca="1" xml:space="preserve"> IF( AND( OFFSET($A$1, 438 - 1, 54 - 1) = "1", OFFSET($A$1, 438 - 1, 55 - 1) = "1" ), 1, IF( AND( OFFSET($A$1, 438 - 1, 54 - 1) = "1", OFFSET($A$1, 438 - 1, 55 - 1) = "0" ), 2, IF( AND( OFFSET($A$1, 438 - 1, 54 - 1) = "0", OFFSET($A$1, 438 - 1, 55 - 1) = "1" ), 3, 4 ) ) )</f>
        <v>4</v>
      </c>
      <c r="BF438" s="3">
        <v>0.20612772404743546</v>
      </c>
      <c r="BG438" s="3" t="str">
        <f>"1"</f>
        <v>1</v>
      </c>
      <c r="BH438" t="str">
        <f ca="1">IF((OFFSET($A$1, 438 - 1, 58 - 1)) &gt;= (OFFSET($A$1, 93 - 1, 7 - 1)), "1","0")</f>
        <v>0</v>
      </c>
      <c r="BI438">
        <f ca="1" xml:space="preserve"> IF( AND( OFFSET($A$1, 438 - 1, 59 - 1) = "1", OFFSET($A$1, 438 - 1, 60 - 1) = "1" ), 1, IF( AND( OFFSET($A$1, 438 - 1, 59 - 1) = "1", OFFSET($A$1, 438 - 1, 60 - 1) = "0" ), 2, IF( AND( OFFSET($A$1, 438 - 1, 59 - 1) = "0", OFFSET($A$1, 438 - 1, 60 - 1) = "1" ), 3, 4 ) ) )</f>
        <v>2</v>
      </c>
    </row>
    <row r="439" spans="53:61" x14ac:dyDescent="0.35">
      <c r="BA439" s="3">
        <v>0.20641315831526796</v>
      </c>
      <c r="BB439" s="3" t="str">
        <f>"0"</f>
        <v>0</v>
      </c>
      <c r="BC439" t="str">
        <f ca="1">IF((OFFSET($A$1, 439 - 1, 53 - 1)) &gt;= (OFFSET($A$1, 69 - 1, 7 - 1)), "1","0")</f>
        <v>0</v>
      </c>
      <c r="BD439">
        <f ca="1" xml:space="preserve"> IF( AND( OFFSET($A$1, 439 - 1, 54 - 1) = "1", OFFSET($A$1, 439 - 1, 55 - 1) = "1" ), 1, IF( AND( OFFSET($A$1, 439 - 1, 54 - 1) = "1", OFFSET($A$1, 439 - 1, 55 - 1) = "0" ), 2, IF( AND( OFFSET($A$1, 439 - 1, 54 - 1) = "0", OFFSET($A$1, 439 - 1, 55 - 1) = "1" ), 3, 4 ) ) )</f>
        <v>4</v>
      </c>
      <c r="BF439" s="3">
        <v>0.44853744597496131</v>
      </c>
      <c r="BG439" s="3" t="str">
        <f>"1"</f>
        <v>1</v>
      </c>
      <c r="BH439" t="str">
        <f ca="1">IF((OFFSET($A$1, 439 - 1, 58 - 1)) &gt;= (OFFSET($A$1, 93 - 1, 7 - 1)), "1","0")</f>
        <v>0</v>
      </c>
      <c r="BI439">
        <f ca="1" xml:space="preserve"> IF( AND( OFFSET($A$1, 439 - 1, 59 - 1) = "1", OFFSET($A$1, 439 - 1, 60 - 1) = "1" ), 1, IF( AND( OFFSET($A$1, 439 - 1, 59 - 1) = "1", OFFSET($A$1, 439 - 1, 60 - 1) = "0" ), 2, IF( AND( OFFSET($A$1, 439 - 1, 59 - 1) = "0", OFFSET($A$1, 439 - 1, 60 - 1) = "1" ), 3, 4 ) ) )</f>
        <v>2</v>
      </c>
    </row>
    <row r="440" spans="53:61" x14ac:dyDescent="0.35">
      <c r="BA440" s="3">
        <v>0.20699566289692686</v>
      </c>
      <c r="BB440" s="3" t="str">
        <f>"0"</f>
        <v>0</v>
      </c>
      <c r="BC440" t="str">
        <f ca="1">IF((OFFSET($A$1, 440 - 1, 53 - 1)) &gt;= (OFFSET($A$1, 69 - 1, 7 - 1)), "1","0")</f>
        <v>0</v>
      </c>
      <c r="BD440">
        <f ca="1" xml:space="preserve"> IF( AND( OFFSET($A$1, 440 - 1, 54 - 1) = "1", OFFSET($A$1, 440 - 1, 55 - 1) = "1" ), 1, IF( AND( OFFSET($A$1, 440 - 1, 54 - 1) = "1", OFFSET($A$1, 440 - 1, 55 - 1) = "0" ), 2, IF( AND( OFFSET($A$1, 440 - 1, 54 - 1) = "0", OFFSET($A$1, 440 - 1, 55 - 1) = "1" ), 3, 4 ) ) )</f>
        <v>4</v>
      </c>
      <c r="BF440" s="3">
        <v>0.44942701994268691</v>
      </c>
      <c r="BG440" s="3" t="str">
        <f>"0"</f>
        <v>0</v>
      </c>
      <c r="BH440" t="str">
        <f ca="1">IF((OFFSET($A$1, 440 - 1, 58 - 1)) &gt;= (OFFSET($A$1, 93 - 1, 7 - 1)), "1","0")</f>
        <v>0</v>
      </c>
      <c r="BI440">
        <f ca="1" xml:space="preserve"> IF( AND( OFFSET($A$1, 440 - 1, 59 - 1) = "1", OFFSET($A$1, 440 - 1, 60 - 1) = "1" ), 1, IF( AND( OFFSET($A$1, 440 - 1, 59 - 1) = "1", OFFSET($A$1, 440 - 1, 60 - 1) = "0" ), 2, IF( AND( OFFSET($A$1, 440 - 1, 59 - 1) = "0", OFFSET($A$1, 440 - 1, 60 - 1) = "1" ), 3, 4 ) ) )</f>
        <v>4</v>
      </c>
    </row>
    <row r="441" spans="53:61" x14ac:dyDescent="0.35">
      <c r="BA441" s="3">
        <v>0.20759361264730719</v>
      </c>
      <c r="BB441" s="3" t="str">
        <f>"0"</f>
        <v>0</v>
      </c>
      <c r="BC441" t="str">
        <f ca="1">IF((OFFSET($A$1, 441 - 1, 53 - 1)) &gt;= (OFFSET($A$1, 69 - 1, 7 - 1)), "1","0")</f>
        <v>0</v>
      </c>
      <c r="BD441">
        <f ca="1" xml:space="preserve"> IF( AND( OFFSET($A$1, 441 - 1, 54 - 1) = "1", OFFSET($A$1, 441 - 1, 55 - 1) = "1" ), 1, IF( AND( OFFSET($A$1, 441 - 1, 54 - 1) = "1", OFFSET($A$1, 441 - 1, 55 - 1) = "0" ), 2, IF( AND( OFFSET($A$1, 441 - 1, 54 - 1) = "0", OFFSET($A$1, 441 - 1, 55 - 1) = "1" ), 3, 4 ) ) )</f>
        <v>4</v>
      </c>
      <c r="BF441" s="3">
        <v>0.20789835255250713</v>
      </c>
      <c r="BG441" s="3" t="str">
        <f>"0"</f>
        <v>0</v>
      </c>
      <c r="BH441" t="str">
        <f ca="1">IF((OFFSET($A$1, 441 - 1, 58 - 1)) &gt;= (OFFSET($A$1, 93 - 1, 7 - 1)), "1","0")</f>
        <v>0</v>
      </c>
      <c r="BI441">
        <f ca="1" xml:space="preserve"> IF( AND( OFFSET($A$1, 441 - 1, 59 - 1) = "1", OFFSET($A$1, 441 - 1, 60 - 1) = "1" ), 1, IF( AND( OFFSET($A$1, 441 - 1, 59 - 1) = "1", OFFSET($A$1, 441 - 1, 60 - 1) = "0" ), 2, IF( AND( OFFSET($A$1, 441 - 1, 59 - 1) = "0", OFFSET($A$1, 441 - 1, 60 - 1) = "1" ), 3, 4 ) ) )</f>
        <v>4</v>
      </c>
    </row>
    <row r="442" spans="53:61" x14ac:dyDescent="0.35">
      <c r="BA442" s="3">
        <v>0.20820692101336516</v>
      </c>
      <c r="BB442" s="3" t="str">
        <f>"1"</f>
        <v>1</v>
      </c>
      <c r="BC442" t="str">
        <f ca="1">IF((OFFSET($A$1, 442 - 1, 53 - 1)) &gt;= (OFFSET($A$1, 69 - 1, 7 - 1)), "1","0")</f>
        <v>0</v>
      </c>
      <c r="BD442">
        <f ca="1" xml:space="preserve"> IF( AND( OFFSET($A$1, 442 - 1, 54 - 1) = "1", OFFSET($A$1, 442 - 1, 55 - 1) = "1" ), 1, IF( AND( OFFSET($A$1, 442 - 1, 54 - 1) = "1", OFFSET($A$1, 442 - 1, 55 - 1) = "0" ), 2, IF( AND( OFFSET($A$1, 442 - 1, 54 - 1) = "0", OFFSET($A$1, 442 - 1, 55 - 1) = "1" ), 3, 4 ) ) )</f>
        <v>2</v>
      </c>
      <c r="BF442" s="3">
        <v>0.20851930664784965</v>
      </c>
      <c r="BG442" s="3" t="str">
        <f>"0"</f>
        <v>0</v>
      </c>
      <c r="BH442" t="str">
        <f ca="1">IF((OFFSET($A$1, 442 - 1, 58 - 1)) &gt;= (OFFSET($A$1, 93 - 1, 7 - 1)), "1","0")</f>
        <v>0</v>
      </c>
      <c r="BI442">
        <f ca="1" xml:space="preserve"> IF( AND( OFFSET($A$1, 442 - 1, 59 - 1) = "1", OFFSET($A$1, 442 - 1, 60 - 1) = "1" ), 1, IF( AND( OFFSET($A$1, 442 - 1, 59 - 1) = "1", OFFSET($A$1, 442 - 1, 60 - 1) = "0" ), 2, IF( AND( OFFSET($A$1, 442 - 1, 59 - 1) = "0", OFFSET($A$1, 442 - 1, 60 - 1) = "1" ), 3, 4 ) ) )</f>
        <v>4</v>
      </c>
    </row>
    <row r="443" spans="53:61" x14ac:dyDescent="0.35">
      <c r="BA443" s="3">
        <v>0.45174492971319141</v>
      </c>
      <c r="BB443" s="3" t="str">
        <f>"1"</f>
        <v>1</v>
      </c>
      <c r="BC443" t="str">
        <f ca="1">IF((OFFSET($A$1, 443 - 1, 53 - 1)) &gt;= (OFFSET($A$1, 69 - 1, 7 - 1)), "1","0")</f>
        <v>0</v>
      </c>
      <c r="BD443">
        <f ca="1" xml:space="preserve"> IF( AND( OFFSET($A$1, 443 - 1, 54 - 1) = "1", OFFSET($A$1, 443 - 1, 55 - 1) = "1" ), 1, IF( AND( OFFSET($A$1, 443 - 1, 54 - 1) = "1", OFFSET($A$1, 443 - 1, 55 - 1) = "0" ), 2, IF( AND( OFFSET($A$1, 443 - 1, 54 - 1) = "0", OFFSET($A$1, 443 - 1, 55 - 1) = "1" ), 3, 4 ) ) )</f>
        <v>2</v>
      </c>
      <c r="BF443" s="3">
        <v>0.20915548275589022</v>
      </c>
      <c r="BG443" s="3" t="str">
        <f>"0"</f>
        <v>0</v>
      </c>
      <c r="BH443" t="str">
        <f ca="1">IF((OFFSET($A$1, 443 - 1, 58 - 1)) &gt;= (OFFSET($A$1, 93 - 1, 7 - 1)), "1","0")</f>
        <v>0</v>
      </c>
      <c r="BI443">
        <f ca="1" xml:space="preserve"> IF( AND( OFFSET($A$1, 443 - 1, 59 - 1) = "1", OFFSET($A$1, 443 - 1, 60 - 1) = "1" ), 1, IF( AND( OFFSET($A$1, 443 - 1, 59 - 1) = "1", OFFSET($A$1, 443 - 1, 60 - 1) = "0" ), 2, IF( AND( OFFSET($A$1, 443 - 1, 59 - 1) = "0", OFFSET($A$1, 443 - 1, 60 - 1) = "1" ), 3, 4 ) ) )</f>
        <v>4</v>
      </c>
    </row>
    <row r="444" spans="53:61" x14ac:dyDescent="0.35">
      <c r="BA444" s="3">
        <v>0.4527090078134961</v>
      </c>
      <c r="BB444" s="3" t="str">
        <f>"1"</f>
        <v>1</v>
      </c>
      <c r="BC444" t="str">
        <f ca="1">IF((OFFSET($A$1, 444 - 1, 53 - 1)) &gt;= (OFFSET($A$1, 69 - 1, 7 - 1)), "1","0")</f>
        <v>0</v>
      </c>
      <c r="BD444">
        <f ca="1" xml:space="preserve"> IF( AND( OFFSET($A$1, 444 - 1, 54 - 1) = "1", OFFSET($A$1, 444 - 1, 55 - 1) = "1" ), 1, IF( AND( OFFSET($A$1, 444 - 1, 54 - 1) = "1", OFFSET($A$1, 444 - 1, 55 - 1) = "0" ), 2, IF( AND( OFFSET($A$1, 444 - 1, 54 - 1) = "0", OFFSET($A$1, 444 - 1, 55 - 1) = "1" ), 3, 4 ) ) )</f>
        <v>2</v>
      </c>
      <c r="BF444" s="3">
        <v>0.2098067851683183</v>
      </c>
      <c r="BG444" s="3" t="str">
        <f>"1"</f>
        <v>1</v>
      </c>
      <c r="BH444" t="str">
        <f ca="1">IF((OFFSET($A$1, 444 - 1, 58 - 1)) &gt;= (OFFSET($A$1, 93 - 1, 7 - 1)), "1","0")</f>
        <v>0</v>
      </c>
      <c r="BI444">
        <f ca="1" xml:space="preserve"> IF( AND( OFFSET($A$1, 444 - 1, 59 - 1) = "1", OFFSET($A$1, 444 - 1, 60 - 1) = "1" ), 1, IF( AND( OFFSET($A$1, 444 - 1, 59 - 1) = "1", OFFSET($A$1, 444 - 1, 60 - 1) = "0" ), 2, IF( AND( OFFSET($A$1, 444 - 1, 59 - 1) = "0", OFFSET($A$1, 444 - 1, 60 - 1) = "1" ), 3, 4 ) ) )</f>
        <v>2</v>
      </c>
    </row>
    <row r="445" spans="53:61" x14ac:dyDescent="0.35">
      <c r="BA445" s="3">
        <v>0.45369377929683419</v>
      </c>
      <c r="BB445" s="3" t="str">
        <f>"0"</f>
        <v>0</v>
      </c>
      <c r="BC445" t="str">
        <f ca="1">IF((OFFSET($A$1, 445 - 1, 53 - 1)) &gt;= (OFFSET($A$1, 69 - 1, 7 - 1)), "1","0")</f>
        <v>0</v>
      </c>
      <c r="BD445">
        <f ca="1" xml:space="preserve"> IF( AND( OFFSET($A$1, 445 - 1, 54 - 1) = "1", OFFSET($A$1, 445 - 1, 55 - 1) = "1" ), 1, IF( AND( OFFSET($A$1, 445 - 1, 54 - 1) = "1", OFFSET($A$1, 445 - 1, 55 - 1) = "0" ), 2, IF( AND( OFFSET($A$1, 445 - 1, 54 - 1) = "0", OFFSET($A$1, 445 - 1, 55 - 1) = "1" ), 3, 4 ) ) )</f>
        <v>4</v>
      </c>
      <c r="BF445" s="3">
        <v>0.45419383893286763</v>
      </c>
      <c r="BG445" s="3" t="str">
        <f>"1"</f>
        <v>1</v>
      </c>
      <c r="BH445" t="str">
        <f ca="1">IF((OFFSET($A$1, 445 - 1, 58 - 1)) &gt;= (OFFSET($A$1, 93 - 1, 7 - 1)), "1","0")</f>
        <v>0</v>
      </c>
      <c r="BI445">
        <f ca="1" xml:space="preserve"> IF( AND( OFFSET($A$1, 445 - 1, 59 - 1) = "1", OFFSET($A$1, 445 - 1, 60 - 1) = "1" ), 1, IF( AND( OFFSET($A$1, 445 - 1, 59 - 1) = "1", OFFSET($A$1, 445 - 1, 60 - 1) = "0" ), 2, IF( AND( OFFSET($A$1, 445 - 1, 59 - 1) = "0", OFFSET($A$1, 445 - 1, 60 - 1) = "1" ), 3, 4 ) ) )</f>
        <v>2</v>
      </c>
    </row>
    <row r="446" spans="53:61" x14ac:dyDescent="0.35">
      <c r="BA446" s="3">
        <v>0.21081188184544</v>
      </c>
      <c r="BB446" s="3" t="str">
        <f>"1"</f>
        <v>1</v>
      </c>
      <c r="BC446" t="str">
        <f ca="1">IF((OFFSET($A$1, 446 - 1, 53 - 1)) &gt;= (OFFSET($A$1, 69 - 1, 7 - 1)), "1","0")</f>
        <v>0</v>
      </c>
      <c r="BD446">
        <f ca="1" xml:space="preserve"> IF( AND( OFFSET($A$1, 446 - 1, 54 - 1) = "1", OFFSET($A$1, 446 - 1, 55 - 1) = "1" ), 1, IF( AND( OFFSET($A$1, 446 - 1, 54 - 1) = "1", OFFSET($A$1, 446 - 1, 55 - 1) = "0" ), 2, IF( AND( OFFSET($A$1, 446 - 1, 54 - 1) = "0", OFFSET($A$1, 446 - 1, 55 - 1) = "1" ), 3, 4 ) ) )</f>
        <v>2</v>
      </c>
      <c r="BF446" s="3">
        <v>0.45520912998208846</v>
      </c>
      <c r="BG446" s="3" t="str">
        <f>"0"</f>
        <v>0</v>
      </c>
      <c r="BH446" t="str">
        <f ca="1">IF((OFFSET($A$1, 446 - 1, 58 - 1)) &gt;= (OFFSET($A$1, 93 - 1, 7 - 1)), "1","0")</f>
        <v>0</v>
      </c>
      <c r="BI446">
        <f ca="1" xml:space="preserve"> IF( AND( OFFSET($A$1, 446 - 1, 59 - 1) = "1", OFFSET($A$1, 446 - 1, 60 - 1) = "1" ), 1, IF( AND( OFFSET($A$1, 446 - 1, 59 - 1) = "1", OFFSET($A$1, 446 - 1, 60 - 1) = "0" ), 2, IF( AND( OFFSET($A$1, 446 - 1, 59 - 1) = "0", OFFSET($A$1, 446 - 1, 60 - 1) = "1" ), 3, 4 ) ) )</f>
        <v>4</v>
      </c>
    </row>
    <row r="447" spans="53:61" x14ac:dyDescent="0.35">
      <c r="BA447" s="3">
        <v>0.45572428970469164</v>
      </c>
      <c r="BB447" s="3" t="str">
        <f>"1"</f>
        <v>1</v>
      </c>
      <c r="BC447" t="str">
        <f ca="1">IF((OFFSET($A$1, 447 - 1, 53 - 1)) &gt;= (OFFSET($A$1, 69 - 1, 7 - 1)), "1","0")</f>
        <v>0</v>
      </c>
      <c r="BD447">
        <f ca="1" xml:space="preserve"> IF( AND( OFFSET($A$1, 447 - 1, 54 - 1) = "1", OFFSET($A$1, 447 - 1, 55 - 1) = "1" ), 1, IF( AND( OFFSET($A$1, 447 - 1, 54 - 1) = "1", OFFSET($A$1, 447 - 1, 55 - 1) = "0" ), 2, IF( AND( OFFSET($A$1, 447 - 1, 54 - 1) = "0", OFFSET($A$1, 447 - 1, 55 - 1) = "1" ), 3, 4 ) ) )</f>
        <v>2</v>
      </c>
      <c r="BF447" s="3">
        <v>0.21185043546750407</v>
      </c>
      <c r="BG447" s="3" t="str">
        <f>"0"</f>
        <v>0</v>
      </c>
      <c r="BH447" t="str">
        <f ca="1">IF((OFFSET($A$1, 447 - 1, 58 - 1)) &gt;= (OFFSET($A$1, 93 - 1, 7 - 1)), "1","0")</f>
        <v>0</v>
      </c>
      <c r="BI447">
        <f ca="1" xml:space="preserve"> IF( AND( OFFSET($A$1, 447 - 1, 59 - 1) = "1", OFFSET($A$1, 447 - 1, 60 - 1) = "1" ), 1, IF( AND( OFFSET($A$1, 447 - 1, 59 - 1) = "1", OFFSET($A$1, 447 - 1, 60 - 1) = "0" ), 2, IF( AND( OFFSET($A$1, 447 - 1, 59 - 1) = "0", OFFSET($A$1, 447 - 1, 60 - 1) = "1" ), 3, 4 ) ) )</f>
        <v>4</v>
      </c>
    </row>
    <row r="448" spans="53:61" x14ac:dyDescent="0.35">
      <c r="BA448" s="3">
        <v>0.4567694551163986</v>
      </c>
      <c r="BB448" s="3" t="str">
        <f>"1"</f>
        <v>1</v>
      </c>
      <c r="BC448" t="str">
        <f ca="1">IF((OFFSET($A$1, 448 - 1, 53 - 1)) &gt;= (OFFSET($A$1, 69 - 1, 7 - 1)), "1","0")</f>
        <v>0</v>
      </c>
      <c r="BD448">
        <f ca="1" xml:space="preserve"> IF( AND( OFFSET($A$1, 448 - 1, 54 - 1) = "1", OFFSET($A$1, 448 - 1, 55 - 1) = "1" ), 1, IF( AND( OFFSET($A$1, 448 - 1, 54 - 1) = "1", OFFSET($A$1, 448 - 1, 55 - 1) = "0" ), 2, IF( AND( OFFSET($A$1, 448 - 1, 54 - 1) = "0", OFFSET($A$1, 448 - 1, 55 - 1) = "1" ), 3, 4 ) ) )</f>
        <v>2</v>
      </c>
      <c r="BF448" s="3">
        <v>0.21256120850890939</v>
      </c>
      <c r="BG448" s="3" t="str">
        <f>"0"</f>
        <v>0</v>
      </c>
      <c r="BH448" t="str">
        <f ca="1">IF((OFFSET($A$1, 448 - 1, 58 - 1)) &gt;= (OFFSET($A$1, 93 - 1, 7 - 1)), "1","0")</f>
        <v>0</v>
      </c>
      <c r="BI448">
        <f ca="1" xml:space="preserve"> IF( AND( OFFSET($A$1, 448 - 1, 59 - 1) = "1", OFFSET($A$1, 448 - 1, 60 - 1) = "1" ), 1, IF( AND( OFFSET($A$1, 448 - 1, 59 - 1) = "1", OFFSET($A$1, 448 - 1, 60 - 1) = "0" ), 2, IF( AND( OFFSET($A$1, 448 - 1, 59 - 1) = "0", OFFSET($A$1, 448 - 1, 60 - 1) = "1" ), 3, 4 ) ) )</f>
        <v>4</v>
      </c>
    </row>
    <row r="449" spans="53:61" x14ac:dyDescent="0.35">
      <c r="BA449" s="3">
        <v>0.45783416694886703</v>
      </c>
      <c r="BB449" s="3" t="str">
        <f>"0"</f>
        <v>0</v>
      </c>
      <c r="BC449" t="str">
        <f ca="1">IF((OFFSET($A$1, 449 - 1, 53 - 1)) &gt;= (OFFSET($A$1, 69 - 1, 7 - 1)), "1","0")</f>
        <v>0</v>
      </c>
      <c r="BD449">
        <f ca="1" xml:space="preserve"> IF( AND( OFFSET($A$1, 449 - 1, 54 - 1) = "1", OFFSET($A$1, 449 - 1, 55 - 1) = "1" ), 1, IF( AND( OFFSET($A$1, 449 - 1, 54 - 1) = "1", OFFSET($A$1, 449 - 1, 55 - 1) = "0" ), 2, IF( AND( OFFSET($A$1, 449 - 1, 54 - 1) = "0", OFFSET($A$1, 449 - 1, 55 - 1) = "1" ), 3, 4 ) ) )</f>
        <v>4</v>
      </c>
      <c r="BF449" s="3">
        <v>0.21328657043895577</v>
      </c>
      <c r="BG449" s="3" t="str">
        <f>"1"</f>
        <v>1</v>
      </c>
      <c r="BH449" t="str">
        <f ca="1">IF((OFFSET($A$1, 449 - 1, 58 - 1)) &gt;= (OFFSET($A$1, 93 - 1, 7 - 1)), "1","0")</f>
        <v>0</v>
      </c>
      <c r="BI449">
        <f ca="1" xml:space="preserve"> IF( AND( OFFSET($A$1, 449 - 1, 59 - 1) = "1", OFFSET($A$1, 449 - 1, 60 - 1) = "1" ), 1, IF( AND( OFFSET($A$1, 449 - 1, 59 - 1) = "1", OFFSET($A$1, 449 - 1, 60 - 1) = "0" ), 2, IF( AND( OFFSET($A$1, 449 - 1, 59 - 1) = "0", OFFSET($A$1, 449 - 1, 60 - 1) = "1" ), 3, 4 ) ) )</f>
        <v>2</v>
      </c>
    </row>
    <row r="450" spans="53:61" x14ac:dyDescent="0.35">
      <c r="BA450" s="3">
        <v>0.21365468495119366</v>
      </c>
      <c r="BB450" s="3" t="str">
        <f>"1"</f>
        <v>1</v>
      </c>
      <c r="BC450" t="str">
        <f ca="1">IF((OFFSET($A$1, 450 - 1, 53 - 1)) &gt;= (OFFSET($A$1, 69 - 1, 7 - 1)), "1","0")</f>
        <v>0</v>
      </c>
      <c r="BD450">
        <f ca="1" xml:space="preserve"> IF( AND( OFFSET($A$1, 450 - 1, 54 - 1) = "1", OFFSET($A$1, 450 - 1, 55 - 1) = "1" ), 1, IF( AND( OFFSET($A$1, 450 - 1, 54 - 1) = "1", OFFSET($A$1, 450 - 1, 55 - 1) = "0" ), 2, IF( AND( OFFSET($A$1, 450 - 1, 54 - 1) = "0", OFFSET($A$1, 450 - 1, 55 - 1) = "1" ), 3, 4 ) ) )</f>
        <v>2</v>
      </c>
      <c r="BF450" s="3">
        <v>0.45946721790842215</v>
      </c>
      <c r="BG450" s="3" t="str">
        <f>"1"</f>
        <v>1</v>
      </c>
      <c r="BH450" t="str">
        <f ca="1">IF((OFFSET($A$1, 450 - 1, 58 - 1)) &gt;= (OFFSET($A$1, 93 - 1, 7 - 1)), "1","0")</f>
        <v>0</v>
      </c>
      <c r="BI450">
        <f ca="1" xml:space="preserve"> IF( AND( OFFSET($A$1, 450 - 1, 59 - 1) = "1", OFFSET($A$1, 450 - 1, 60 - 1) = "1" ), 1, IF( AND( OFFSET($A$1, 450 - 1, 59 - 1) = "1", OFFSET($A$1, 450 - 1, 60 - 1) = "0" ), 2, IF( AND( OFFSET($A$1, 450 - 1, 59 - 1) = "0", OFFSET($A$1, 450 - 1, 60 - 1) = "1" ), 3, 4 ) ) )</f>
        <v>2</v>
      </c>
    </row>
    <row r="451" spans="53:61" x14ac:dyDescent="0.35">
      <c r="BA451" s="3">
        <v>0.46002100808436092</v>
      </c>
      <c r="BB451" s="3" t="str">
        <f>"0"</f>
        <v>0</v>
      </c>
      <c r="BC451" t="str">
        <f ca="1">IF((OFFSET($A$1, 451 - 1, 53 - 1)) &gt;= (OFFSET($A$1, 69 - 1, 7 - 1)), "1","0")</f>
        <v>0</v>
      </c>
      <c r="BD451">
        <f ca="1" xml:space="preserve"> IF( AND( OFFSET($A$1, 451 - 1, 54 - 1) = "1", OFFSET($A$1, 451 - 1, 55 - 1) = "1" ), 1, IF( AND( OFFSET($A$1, 451 - 1, 54 - 1) = "1", OFFSET($A$1, 451 - 1, 55 - 1) = "0" ), 2, IF( AND( OFFSET($A$1, 451 - 1, 54 - 1) = "0", OFFSET($A$1, 451 - 1, 55 - 1) = "1" ), 3, 4 ) ) )</f>
        <v>4</v>
      </c>
      <c r="BF451" s="3">
        <v>0.46057945210876583</v>
      </c>
      <c r="BG451" s="3" t="str">
        <f>"0"</f>
        <v>0</v>
      </c>
      <c r="BH451" t="str">
        <f ca="1">IF((OFFSET($A$1, 451 - 1, 58 - 1)) &gt;= (OFFSET($A$1, 93 - 1, 7 - 1)), "1","0")</f>
        <v>0</v>
      </c>
      <c r="BI451">
        <f ca="1" xml:space="preserve"> IF( AND( OFFSET($A$1, 451 - 1, 59 - 1) = "1", OFFSET($A$1, 451 - 1, 60 - 1) = "1" ), 1, IF( AND( OFFSET($A$1, 451 - 1, 59 - 1) = "1", OFFSET($A$1, 451 - 1, 60 - 1) = "0" ), 2, IF( AND( OFFSET($A$1, 451 - 1, 59 - 1) = "0", OFFSET($A$1, 451 - 1, 60 - 1) = "1" ), 3, 4 ) ) )</f>
        <v>4</v>
      </c>
    </row>
    <row r="452" spans="53:61" x14ac:dyDescent="0.35">
      <c r="BA452" s="3">
        <v>0.21516300447529668</v>
      </c>
      <c r="BB452" s="3" t="str">
        <f>"1"</f>
        <v>1</v>
      </c>
      <c r="BC452" t="str">
        <f ca="1">IF((OFFSET($A$1, 452 - 1, 53 - 1)) &gt;= (OFFSET($A$1, 69 - 1, 7 - 1)), "1","0")</f>
        <v>0</v>
      </c>
      <c r="BD452">
        <f ca="1" xml:space="preserve"> IF( AND( OFFSET($A$1, 452 - 1, 54 - 1) = "1", OFFSET($A$1, 452 - 1, 55 - 1) = "1" ), 1, IF( AND( OFFSET($A$1, 452 - 1, 54 - 1) = "1", OFFSET($A$1, 452 - 1, 55 - 1) = "0" ), 2, IF( AND( OFFSET($A$1, 452 - 1, 54 - 1) = "0", OFFSET($A$1, 452 - 1, 55 - 1) = "1" ), 3, 4 ) ) )</f>
        <v>2</v>
      </c>
      <c r="BF452" s="3">
        <v>0.21554896936622545</v>
      </c>
      <c r="BG452" s="3" t="str">
        <f>"0"</f>
        <v>0</v>
      </c>
      <c r="BH452" t="str">
        <f ca="1">IF((OFFSET($A$1, 452 - 1, 58 - 1)) &gt;= (OFFSET($A$1, 93 - 1, 7 - 1)), "1","0")</f>
        <v>0</v>
      </c>
      <c r="BI452">
        <f ca="1" xml:space="preserve"> IF( AND( OFFSET($A$1, 452 - 1, 59 - 1) = "1", OFFSET($A$1, 452 - 1, 60 - 1) = "1" ), 1, IF( AND( OFFSET($A$1, 452 - 1, 59 - 1) = "1", OFFSET($A$1, 452 - 1, 60 - 1) = "0" ), 2, IF( AND( OFFSET($A$1, 452 - 1, 59 - 1) = "0", OFFSET($A$1, 452 - 1, 60 - 1) = "1" ), 3, 4 ) ) )</f>
        <v>4</v>
      </c>
    </row>
    <row r="453" spans="53:61" x14ac:dyDescent="0.35">
      <c r="BA453" s="3">
        <v>0.46228230250576946</v>
      </c>
      <c r="BB453" s="3" t="str">
        <f>"1"</f>
        <v>1</v>
      </c>
      <c r="BC453" t="str">
        <f ca="1">IF((OFFSET($A$1, 453 - 1, 53 - 1)) &gt;= (OFFSET($A$1, 69 - 1, 7 - 1)), "1","0")</f>
        <v>0</v>
      </c>
      <c r="BD453">
        <f ca="1" xml:space="preserve"> IF( AND( OFFSET($A$1, 453 - 1, 54 - 1) = "1", OFFSET($A$1, 453 - 1, 55 - 1) = "1" ), 1, IF( AND( OFFSET($A$1, 453 - 1, 54 - 1) = "1", OFFSET($A$1, 453 - 1, 55 - 1) = "0" ), 2, IF( AND( OFFSET($A$1, 453 - 1, 54 - 1) = "0", OFFSET($A$1, 453 - 1, 55 - 1) = "1" ), 3, 4 ) ) )</f>
        <v>2</v>
      </c>
      <c r="BF453" s="3">
        <v>0.2163314447361139</v>
      </c>
      <c r="BG453" s="3" t="str">
        <f>"0"</f>
        <v>0</v>
      </c>
      <c r="BH453" t="str">
        <f ca="1">IF((OFFSET($A$1, 453 - 1, 58 - 1)) &gt;= (OFFSET($A$1, 93 - 1, 7 - 1)), "1","0")</f>
        <v>0</v>
      </c>
      <c r="BI453">
        <f ca="1" xml:space="preserve"> IF( AND( OFFSET($A$1, 453 - 1, 59 - 1) = "1", OFFSET($A$1, 453 - 1, 60 - 1) = "1" ), 1, IF( AND( OFFSET($A$1, 453 - 1, 59 - 1) = "1", OFFSET($A$1, 453 - 1, 60 - 1) = "0" ), 2, IF( AND( OFFSET($A$1, 453 - 1, 59 - 1) = "0", OFFSET($A$1, 453 - 1, 60 - 1) = "1" ), 3, 4 ) ) )</f>
        <v>4</v>
      </c>
    </row>
    <row r="454" spans="53:61" x14ac:dyDescent="0.35">
      <c r="BA454" s="3">
        <v>0.46344005608242272</v>
      </c>
      <c r="BB454" s="3" t="str">
        <f>"0"</f>
        <v>0</v>
      </c>
      <c r="BC454" t="str">
        <f ca="1">IF((OFFSET($A$1, 454 - 1, 53 - 1)) &gt;= (OFFSET($A$1, 69 - 1, 7 - 1)), "1","0")</f>
        <v>0</v>
      </c>
      <c r="BD454">
        <f ca="1" xml:space="preserve"> IF( AND( OFFSET($A$1, 454 - 1, 54 - 1) = "1", OFFSET($A$1, 454 - 1, 55 - 1) = "1" ), 1, IF( AND( OFFSET($A$1, 454 - 1, 54 - 1) = "1", OFFSET($A$1, 454 - 1, 55 - 1) = "0" ), 2, IF( AND( OFFSET($A$1, 454 - 1, 54 - 1) = "0", OFFSET($A$1, 454 - 1, 55 - 1) = "1" ), 3, 4 ) ) )</f>
        <v>4</v>
      </c>
      <c r="BF454" s="3">
        <v>0.21712786573398912</v>
      </c>
      <c r="BG454" s="3" t="str">
        <f>"0"</f>
        <v>0</v>
      </c>
      <c r="BH454" t="str">
        <f ca="1">IF((OFFSET($A$1, 454 - 1, 58 - 1)) &gt;= (OFFSET($A$1, 93 - 1, 7 - 1)), "1","0")</f>
        <v>0</v>
      </c>
      <c r="BI454">
        <f ca="1" xml:space="preserve"> IF( AND( OFFSET($A$1, 454 - 1, 59 - 1) = "1", OFFSET($A$1, 454 - 1, 60 - 1) = "1" ), 1, IF( AND( OFFSET($A$1, 454 - 1, 59 - 1) = "1", OFFSET($A$1, 454 - 1, 60 - 1) = "0" ), 2, IF( AND( OFFSET($A$1, 454 - 1, 59 - 1) = "0", OFFSET($A$1, 454 - 1, 60 - 1) = "1" ), 3, 4 ) ) )</f>
        <v>4</v>
      </c>
    </row>
    <row r="455" spans="53:61" x14ac:dyDescent="0.35">
      <c r="BA455" s="3">
        <v>0.21753126157250946</v>
      </c>
      <c r="BB455" s="3" t="str">
        <f>"0"</f>
        <v>0</v>
      </c>
      <c r="BC455" t="str">
        <f ca="1">IF((OFFSET($A$1, 455 - 1, 53 - 1)) &gt;= (OFFSET($A$1, 69 - 1, 7 - 1)), "1","0")</f>
        <v>0</v>
      </c>
      <c r="BD455">
        <f ca="1" xml:space="preserve"> IF( AND( OFFSET($A$1, 455 - 1, 54 - 1) = "1", OFFSET($A$1, 455 - 1, 55 - 1) = "1" ), 1, IF( AND( OFFSET($A$1, 455 - 1, 54 - 1) = "1", OFFSET($A$1, 455 - 1, 55 - 1) = "0" ), 2, IF( AND( OFFSET($A$1, 455 - 1, 54 - 1) = "0", OFFSET($A$1, 455 - 1, 55 - 1) = "1" ), 3, 4 ) ) )</f>
        <v>4</v>
      </c>
      <c r="BF455" s="3">
        <v>0.2179380901062743</v>
      </c>
      <c r="BG455" s="3" t="str">
        <f>"0"</f>
        <v>0</v>
      </c>
      <c r="BH455" t="str">
        <f ca="1">IF((OFFSET($A$1, 455 - 1, 58 - 1)) &gt;= (OFFSET($A$1, 93 - 1, 7 - 1)), "1","0")</f>
        <v>0</v>
      </c>
      <c r="BI455">
        <f ca="1" xml:space="preserve"> IF( AND( OFFSET($A$1, 455 - 1, 59 - 1) = "1", OFFSET($A$1, 455 - 1, 60 - 1) = "1" ), 1, IF( AND( OFFSET($A$1, 455 - 1, 59 - 1) = "1", OFFSET($A$1, 455 - 1, 60 - 1) = "0" ), 2, IF( AND( OFFSET($A$1, 455 - 1, 59 - 1) = "0", OFFSET($A$1, 455 - 1, 60 - 1) = "1" ), 3, 4 ) ) )</f>
        <v>4</v>
      </c>
    </row>
    <row r="456" spans="53:61" x14ac:dyDescent="0.35">
      <c r="BA456" s="3">
        <v>0.21834833281613447</v>
      </c>
      <c r="BB456" s="3" t="str">
        <f>"0"</f>
        <v>0</v>
      </c>
      <c r="BC456" t="str">
        <f ca="1">IF((OFFSET($A$1, 456 - 1, 53 - 1)) &gt;= (OFFSET($A$1, 69 - 1, 7 - 1)), "1","0")</f>
        <v>0</v>
      </c>
      <c r="BD456">
        <f ca="1" xml:space="preserve"> IF( AND( OFFSET($A$1, 456 - 1, 54 - 1) = "1", OFFSET($A$1, 456 - 1, 55 - 1) = "1" ), 1, IF( AND( OFFSET($A$1, 456 - 1, 54 - 1) = "1", OFFSET($A$1, 456 - 1, 55 - 1) = "0" ), 2, IF( AND( OFFSET($A$1, 456 - 1, 54 - 1) = "0", OFFSET($A$1, 456 - 1, 55 - 1) = "1" ), 3, 4 ) ) )</f>
        <v>4</v>
      </c>
      <c r="BF456" s="3">
        <v>0.21876197088352339</v>
      </c>
      <c r="BG456" s="3" t="str">
        <f>"0"</f>
        <v>0</v>
      </c>
      <c r="BH456" t="str">
        <f ca="1">IF((OFFSET($A$1, 456 - 1, 58 - 1)) &gt;= (OFFSET($A$1, 93 - 1, 7 - 1)), "1","0")</f>
        <v>0</v>
      </c>
      <c r="BI456">
        <f ca="1" xml:space="preserve"> IF( AND( OFFSET($A$1, 456 - 1, 59 - 1) = "1", OFFSET($A$1, 456 - 1, 60 - 1) = "1" ), 1, IF( AND( OFFSET($A$1, 456 - 1, 59 - 1) = "1", OFFSET($A$1, 456 - 1, 60 - 1) = "0" ), 2, IF( AND( OFFSET($A$1, 456 - 1, 59 - 1) = "0", OFFSET($A$1, 456 - 1, 60 - 1) = "1" ), 3, 4 ) ) )</f>
        <v>4</v>
      </c>
    </row>
    <row r="457" spans="53:61" x14ac:dyDescent="0.35">
      <c r="BA457" s="3">
        <v>0.21917898518817483</v>
      </c>
      <c r="BB457" s="3" t="str">
        <f>"0"</f>
        <v>0</v>
      </c>
      <c r="BC457" t="str">
        <f ca="1">IF((OFFSET($A$1, 457 - 1, 53 - 1)) &gt;= (OFFSET($A$1, 69 - 1, 7 - 1)), "1","0")</f>
        <v>0</v>
      </c>
      <c r="BD457">
        <f ca="1" xml:space="preserve"> IF( AND( OFFSET($A$1, 457 - 1, 54 - 1) = "1", OFFSET($A$1, 457 - 1, 55 - 1) = "1" ), 1, IF( AND( OFFSET($A$1, 457 - 1, 54 - 1) = "1", OFFSET($A$1, 457 - 1, 55 - 1) = "0" ), 2, IF( AND( OFFSET($A$1, 457 - 1, 54 - 1) = "0", OFFSET($A$1, 457 - 1, 55 - 1) = "1" ), 3, 4 ) ) )</f>
        <v>4</v>
      </c>
      <c r="BF457" s="3">
        <v>0.21959935630587704</v>
      </c>
      <c r="BG457" s="3" t="str">
        <f>"0"</f>
        <v>0</v>
      </c>
      <c r="BH457" t="str">
        <f ca="1">IF((OFFSET($A$1, 457 - 1, 58 - 1)) &gt;= (OFFSET($A$1, 93 - 1, 7 - 1)), "1","0")</f>
        <v>0</v>
      </c>
      <c r="BI457">
        <f ca="1" xml:space="preserve"> IF( AND( OFFSET($A$1, 457 - 1, 59 - 1) = "1", OFFSET($A$1, 457 - 1, 60 - 1) = "1" ), 1, IF( AND( OFFSET($A$1, 457 - 1, 59 - 1) = "1", OFFSET($A$1, 457 - 1, 60 - 1) = "0" ), 2, IF( AND( OFFSET($A$1, 457 - 1, 59 - 1) = "0", OFFSET($A$1, 457 - 1, 60 - 1) = "1" ), 3, 4 ) ) )</f>
        <v>4</v>
      </c>
    </row>
    <row r="458" spans="53:61" x14ac:dyDescent="0.35">
      <c r="BA458" s="3">
        <v>0.22002306450625708</v>
      </c>
      <c r="BB458" s="3" t="str">
        <f>"1"</f>
        <v>1</v>
      </c>
      <c r="BC458" t="str">
        <f ca="1">IF((OFFSET($A$1, 458 - 1, 53 - 1)) &gt;= (OFFSET($A$1, 69 - 1, 7 - 1)), "1","0")</f>
        <v>0</v>
      </c>
      <c r="BD458">
        <f ca="1" xml:space="preserve"> IF( AND( OFFSET($A$1, 458 - 1, 54 - 1) = "1", OFFSET($A$1, 458 - 1, 55 - 1) = "1" ), 1, IF( AND( OFFSET($A$1, 458 - 1, 54 - 1) = "1", OFFSET($A$1, 458 - 1, 55 - 1) = "0" ), 2, IF( AND( OFFSET($A$1, 458 - 1, 54 - 1) = "0", OFFSET($A$1, 458 - 1, 55 - 1) = "1" ), 3, 4 ) ) )</f>
        <v>2</v>
      </c>
      <c r="BF458" s="3">
        <v>0.22045008975060626</v>
      </c>
      <c r="BG458" s="3" t="str">
        <f>"0"</f>
        <v>0</v>
      </c>
      <c r="BH458" t="str">
        <f ca="1">IF((OFFSET($A$1, 458 - 1, 58 - 1)) &gt;= (OFFSET($A$1, 93 - 1, 7 - 1)), "1","0")</f>
        <v>0</v>
      </c>
      <c r="BI458">
        <f ca="1" xml:space="preserve"> IF( AND( OFFSET($A$1, 458 - 1, 59 - 1) = "1", OFFSET($A$1, 458 - 1, 60 - 1) = "1" ), 1, IF( AND( OFFSET($A$1, 458 - 1, 59 - 1) = "1", OFFSET($A$1, 458 - 1, 60 - 1) = "0" ), 2, IF( AND( OFFSET($A$1, 458 - 1, 59 - 1) = "0", OFFSET($A$1, 458 - 1, 60 - 1) = "1" ), 3, 4 ) ) )</f>
        <v>4</v>
      </c>
    </row>
    <row r="459" spans="53:61" x14ac:dyDescent="0.35">
      <c r="BA459" s="3">
        <v>0.46948622026204084</v>
      </c>
      <c r="BB459" s="3" t="str">
        <f>"0"</f>
        <v>0</v>
      </c>
      <c r="BC459" t="str">
        <f ca="1">IF((OFFSET($A$1, 459 - 1, 53 - 1)) &gt;= (OFFSET($A$1, 69 - 1, 7 - 1)), "1","0")</f>
        <v>0</v>
      </c>
      <c r="BD459">
        <f ca="1" xml:space="preserve"> IF( AND( OFFSET($A$1, 459 - 1, 54 - 1) = "1", OFFSET($A$1, 459 - 1, 55 - 1) = "1" ), 1, IF( AND( OFFSET($A$1, 459 - 1, 54 - 1) = "1", OFFSET($A$1, 459 - 1, 55 - 1) = "0" ), 2, IF( AND( OFFSET($A$1, 459 - 1, 54 - 1) = "0", OFFSET($A$1, 459 - 1, 55 - 1) = "1" ), 3, 4 ) ) )</f>
        <v>4</v>
      </c>
      <c r="BF459" s="3">
        <v>0.22131400966191483</v>
      </c>
      <c r="BG459" s="3" t="str">
        <f>"1"</f>
        <v>1</v>
      </c>
      <c r="BH459" t="str">
        <f ca="1">IF((OFFSET($A$1, 459 - 1, 58 - 1)) &gt;= (OFFSET($A$1, 93 - 1, 7 - 1)), "1","0")</f>
        <v>0</v>
      </c>
      <c r="BI459">
        <f ca="1" xml:space="preserve"> IF( AND( OFFSET($A$1, 459 - 1, 59 - 1) = "1", OFFSET($A$1, 459 - 1, 60 - 1) = "1" ), 1, IF( AND( OFFSET($A$1, 459 - 1, 59 - 1) = "1", OFFSET($A$1, 459 - 1, 60 - 1) = "0" ), 2, IF( AND( OFFSET($A$1, 459 - 1, 59 - 1) = "0", OFFSET($A$1, 459 - 1, 60 - 1) = "1" ), 3, 4 ) ) )</f>
        <v>2</v>
      </c>
    </row>
    <row r="460" spans="53:61" x14ac:dyDescent="0.35">
      <c r="BA460" s="3">
        <v>0.22175086269073974</v>
      </c>
      <c r="BB460" s="3" t="str">
        <f>"0"</f>
        <v>0</v>
      </c>
      <c r="BC460" t="str">
        <f ca="1">IF((OFFSET($A$1, 460 - 1, 53 - 1)) &gt;= (OFFSET($A$1, 69 - 1, 7 - 1)), "1","0")</f>
        <v>0</v>
      </c>
      <c r="BD460">
        <f ca="1" xml:space="preserve"> IF( AND( OFFSET($A$1, 460 - 1, 54 - 1) = "1", OFFSET($A$1, 460 - 1, 55 - 1) = "1" ), 1, IF( AND( OFFSET($A$1, 460 - 1, 54 - 1) = "1", OFFSET($A$1, 460 - 1, 55 - 1) = "0" ), 2, IF( AND( OFFSET($A$1, 460 - 1, 54 - 1) = "0", OFFSET($A$1, 460 - 1, 55 - 1) = "1" ), 3, 4 ) ) )</f>
        <v>4</v>
      </c>
      <c r="BF460" s="3">
        <v>0.47137937584895578</v>
      </c>
      <c r="BG460" s="3" t="str">
        <f>"1"</f>
        <v>1</v>
      </c>
      <c r="BH460" t="str">
        <f ca="1">IF((OFFSET($A$1, 460 - 1, 58 - 1)) &gt;= (OFFSET($A$1, 93 - 1, 7 - 1)), "1","0")</f>
        <v>0</v>
      </c>
      <c r="BI460">
        <f ca="1" xml:space="preserve"> IF( AND( OFFSET($A$1, 460 - 1, 59 - 1) = "1", OFFSET($A$1, 460 - 1, 60 - 1) = "1" ), 1, IF( AND( OFFSET($A$1, 460 - 1, 59 - 1) = "1", OFFSET($A$1, 460 - 1, 60 - 1) = "0" ), 2, IF( AND( OFFSET($A$1, 460 - 1, 59 - 1) = "0", OFFSET($A$1, 460 - 1, 60 - 1) = "1" ), 3, 4 ) ) )</f>
        <v>2</v>
      </c>
    </row>
    <row r="461" spans="53:61" x14ac:dyDescent="0.35">
      <c r="BA461" s="3">
        <v>0.22263424842765181</v>
      </c>
      <c r="BB461" s="3" t="str">
        <f>"0"</f>
        <v>0</v>
      </c>
      <c r="BC461" t="str">
        <f ca="1">IF((OFFSET($A$1, 461 - 1, 53 - 1)) &gt;= (OFFSET($A$1, 69 - 1, 7 - 1)), "1","0")</f>
        <v>0</v>
      </c>
      <c r="BD461">
        <f ca="1" xml:space="preserve"> IF( AND( OFFSET($A$1, 461 - 1, 54 - 1) = "1", OFFSET($A$1, 461 - 1, 55 - 1) = "1" ), 1, IF( AND( OFFSET($A$1, 461 - 1, 54 - 1) = "1", OFFSET($A$1, 461 - 1, 55 - 1) = "0" ), 2, IF( AND( OFFSET($A$1, 461 - 1, 54 - 1) = "0", OFFSET($A$1, 461 - 1, 55 - 1) = "1" ), 3, 4 ) ) )</f>
        <v>4</v>
      </c>
      <c r="BF461" s="3">
        <v>0.47266065893359527</v>
      </c>
      <c r="BG461" s="3" t="str">
        <f>"0"</f>
        <v>0</v>
      </c>
      <c r="BH461" t="str">
        <f ca="1">IF((OFFSET($A$1, 461 - 1, 58 - 1)) &gt;= (OFFSET($A$1, 93 - 1, 7 - 1)), "1","0")</f>
        <v>0</v>
      </c>
      <c r="BI461">
        <f ca="1" xml:space="preserve"> IF( AND( OFFSET($A$1, 461 - 1, 59 - 1) = "1", OFFSET($A$1, 461 - 1, 60 - 1) = "1" ), 1, IF( AND( OFFSET($A$1, 461 - 1, 59 - 1) = "1", OFFSET($A$1, 461 - 1, 60 - 1) = "0" ), 2, IF( AND( OFFSET($A$1, 461 - 1, 59 - 1) = "0", OFFSET($A$1, 461 - 1, 60 - 1) = "1" ), 3, 4 ) ) )</f>
        <v>4</v>
      </c>
    </row>
    <row r="462" spans="53:61" x14ac:dyDescent="0.35">
      <c r="BA462" s="3">
        <v>0.22353039472147859</v>
      </c>
      <c r="BB462" s="3" t="str">
        <f>"0"</f>
        <v>0</v>
      </c>
      <c r="BC462" t="str">
        <f ca="1">IF((OFFSET($A$1, 462 - 1, 53 - 1)) &gt;= (OFFSET($A$1, 69 - 1, 7 - 1)), "1","0")</f>
        <v>0</v>
      </c>
      <c r="BD462">
        <f ca="1" xml:space="preserve"> IF( AND( OFFSET($A$1, 462 - 1, 54 - 1) = "1", OFFSET($A$1, 462 - 1, 55 - 1) = "1" ), 1, IF( AND( OFFSET($A$1, 462 - 1, 54 - 1) = "1", OFFSET($A$1, 462 - 1, 55 - 1) = "0" ), 2, IF( AND( OFFSET($A$1, 462 - 1, 54 - 1) = "0", OFFSET($A$1, 462 - 1, 55 - 1) = "1" ), 3, 4 ) ) )</f>
        <v>4</v>
      </c>
      <c r="BF462" s="3">
        <v>0.2239831972374533</v>
      </c>
      <c r="BG462" s="3" t="str">
        <f>"0"</f>
        <v>0</v>
      </c>
      <c r="BH462" t="str">
        <f ca="1">IF((OFFSET($A$1, 462 - 1, 58 - 1)) &gt;= (OFFSET($A$1, 93 - 1, 7 - 1)), "1","0")</f>
        <v>0</v>
      </c>
      <c r="BI462">
        <f ca="1" xml:space="preserve"> IF( AND( OFFSET($A$1, 462 - 1, 59 - 1) = "1", OFFSET($A$1, 462 - 1, 60 - 1) = "1" ), 1, IF( AND( OFFSET($A$1, 462 - 1, 59 - 1) = "1", OFFSET($A$1, 462 - 1, 60 - 1) = "0" ), 2, IF( AND( OFFSET($A$1, 462 - 1, 59 - 1) = "0", OFFSET($A$1, 462 - 1, 60 - 1) = "1" ), 3, 4 ) ) )</f>
        <v>4</v>
      </c>
    </row>
    <row r="463" spans="53:61" x14ac:dyDescent="0.35">
      <c r="BA463" s="3">
        <v>0.22443912223502799</v>
      </c>
      <c r="BB463" s="3" t="str">
        <f>"0"</f>
        <v>0</v>
      </c>
      <c r="BC463" t="str">
        <f ca="1">IF((OFFSET($A$1, 463 - 1, 53 - 1)) &gt;= (OFFSET($A$1, 69 - 1, 7 - 1)), "1","0")</f>
        <v>0</v>
      </c>
      <c r="BD463">
        <f ca="1" xml:space="preserve"> IF( AND( OFFSET($A$1, 463 - 1, 54 - 1) = "1", OFFSET($A$1, 463 - 1, 55 - 1) = "1" ), 1, IF( AND( OFFSET($A$1, 463 - 1, 54 - 1) = "1", OFFSET($A$1, 463 - 1, 55 - 1) = "0" ), 2, IF( AND( OFFSET($A$1, 463 - 1, 54 - 1) = "0", OFFSET($A$1, 463 - 1, 55 - 1) = "1" ), 3, 4 ) ) )</f>
        <v>4</v>
      </c>
      <c r="BF463" s="3">
        <v>0.22489814648162332</v>
      </c>
      <c r="BG463" s="3" t="str">
        <f>"0"</f>
        <v>0</v>
      </c>
      <c r="BH463" t="str">
        <f ca="1">IF((OFFSET($A$1, 463 - 1, 58 - 1)) &gt;= (OFFSET($A$1, 93 - 1, 7 - 1)), "1","0")</f>
        <v>0</v>
      </c>
      <c r="BI463">
        <f ca="1" xml:space="preserve"> IF( AND( OFFSET($A$1, 463 - 1, 59 - 1) = "1", OFFSET($A$1, 463 - 1, 60 - 1) = "1" ), 1, IF( AND( OFFSET($A$1, 463 - 1, 59 - 1) = "1", OFFSET($A$1, 463 - 1, 60 - 1) = "0" ), 2, IF( AND( OFFSET($A$1, 463 - 1, 59 - 1) = "0", OFFSET($A$1, 463 - 1, 60 - 1) = "1" ), 3, 4 ) ) )</f>
        <v>4</v>
      </c>
    </row>
    <row r="464" spans="53:61" x14ac:dyDescent="0.35">
      <c r="BA464" s="3">
        <v>0.22536024641524413</v>
      </c>
      <c r="BB464" s="3" t="str">
        <f>"0"</f>
        <v>0</v>
      </c>
      <c r="BC464" t="str">
        <f ca="1">IF((OFFSET($A$1, 464 - 1, 53 - 1)) &gt;= (OFFSET($A$1, 69 - 1, 7 - 1)), "1","0")</f>
        <v>0</v>
      </c>
      <c r="BD464">
        <f ca="1" xml:space="preserve"> IF( AND( OFFSET($A$1, 464 - 1, 54 - 1) = "1", OFFSET($A$1, 464 - 1, 55 - 1) = "1" ), 1, IF( AND( OFFSET($A$1, 464 - 1, 54 - 1) = "1", OFFSET($A$1, 464 - 1, 55 - 1) = "0" ), 2, IF( AND( OFFSET($A$1, 464 - 1, 54 - 1) = "0", OFFSET($A$1, 464 - 1, 55 - 1) = "1" ), 3, 4 ) ) )</f>
        <v>4</v>
      </c>
      <c r="BF464" s="3">
        <v>0.22582539814285676</v>
      </c>
      <c r="BG464" s="3" t="str">
        <f>"0"</f>
        <v>0</v>
      </c>
      <c r="BH464" t="str">
        <f ca="1">IF((OFFSET($A$1, 464 - 1, 58 - 1)) &gt;= (OFFSET($A$1, 93 - 1, 7 - 1)), "1","0")</f>
        <v>0</v>
      </c>
      <c r="BI464">
        <f ca="1" xml:space="preserve"> IF( AND( OFFSET($A$1, 464 - 1, 59 - 1) = "1", OFFSET($A$1, 464 - 1, 60 - 1) = "1" ), 1, IF( AND( OFFSET($A$1, 464 - 1, 59 - 1) = "1", OFFSET($A$1, 464 - 1, 60 - 1) = "0" ), 2, IF( AND( OFFSET($A$1, 464 - 1, 59 - 1) = "0", OFFSET($A$1, 464 - 1, 60 - 1) = "1" ), 3, 4 ) ) )</f>
        <v>4</v>
      </c>
    </row>
    <row r="465" spans="53:61" x14ac:dyDescent="0.35">
      <c r="BA465" s="3">
        <v>0.226293577438829</v>
      </c>
      <c r="BB465" s="3" t="str">
        <f>"1"</f>
        <v>1</v>
      </c>
      <c r="BC465" t="str">
        <f ca="1">IF((OFFSET($A$1, 465 - 1, 53 - 1)) &gt;= (OFFSET($A$1, 69 - 1, 7 - 1)), "1","0")</f>
        <v>0</v>
      </c>
      <c r="BD465">
        <f ca="1" xml:space="preserve"> IF( AND( OFFSET($A$1, 465 - 1, 54 - 1) = "1", OFFSET($A$1, 465 - 1, 55 - 1) = "1" ), 1, IF( AND( OFFSET($A$1, 465 - 1, 54 - 1) = "1", OFFSET($A$1, 465 - 1, 55 - 1) = "0" ), 2, IF( AND( OFFSET($A$1, 465 - 1, 54 - 1) = "0", OFFSET($A$1, 465 - 1, 55 - 1) = "1" ), 3, 4 ) ) )</f>
        <v>2</v>
      </c>
      <c r="BF465" s="3">
        <v>0.22676475974342195</v>
      </c>
      <c r="BG465" s="3" t="str">
        <f>"1"</f>
        <v>1</v>
      </c>
      <c r="BH465" t="str">
        <f ca="1">IF((OFFSET($A$1, 465 - 1, 58 - 1)) &gt;= (OFFSET($A$1, 93 - 1, 7 - 1)), "1","0")</f>
        <v>0</v>
      </c>
      <c r="BI465">
        <f ca="1" xml:space="preserve"> IF( AND( OFFSET($A$1, 465 - 1, 59 - 1) = "1", OFFSET($A$1, 465 - 1, 60 - 1) = "1" ), 1, IF( AND( OFFSET($A$1, 465 - 1, 59 - 1) = "1", OFFSET($A$1, 465 - 1, 60 - 1) = "0" ), 2, IF( AND( OFFSET($A$1, 465 - 1, 59 - 1) = "0", OFFSET($A$1, 465 - 1, 60 - 1) = "1" ), 3, 4 ) ) )</f>
        <v>2</v>
      </c>
    </row>
    <row r="466" spans="53:61" x14ac:dyDescent="0.35">
      <c r="BA466" s="3">
        <v>0.47860511962643815</v>
      </c>
      <c r="BB466" s="3" t="str">
        <f>"1"</f>
        <v>1</v>
      </c>
      <c r="BC466" t="str">
        <f ca="1">IF((OFFSET($A$1, 466 - 1, 53 - 1)) &gt;= (OFFSET($A$1, 69 - 1, 7 - 1)), "1","0")</f>
        <v>0</v>
      </c>
      <c r="BD466">
        <f ca="1" xml:space="preserve"> IF( AND( OFFSET($A$1, 466 - 1, 54 - 1) = "1", OFFSET($A$1, 466 - 1, 55 - 1) = "1" ), 1, IF( AND( OFFSET($A$1, 466 - 1, 54 - 1) = "1", OFFSET($A$1, 466 - 1, 55 - 1) = "0" ), 2, IF( AND( OFFSET($A$1, 466 - 1, 54 - 1) = "0", OFFSET($A$1, 466 - 1, 55 - 1) = "1" ), 3, 4 ) ) )</f>
        <v>2</v>
      </c>
      <c r="BF466" s="3">
        <v>0.47928266932912211</v>
      </c>
      <c r="BG466" s="3" t="str">
        <f>"1"</f>
        <v>1</v>
      </c>
      <c r="BH466" t="str">
        <f ca="1">IF((OFFSET($A$1, 466 - 1, 58 - 1)) &gt;= (OFFSET($A$1, 93 - 1, 7 - 1)), "1","0")</f>
        <v>0</v>
      </c>
      <c r="BI466">
        <f ca="1" xml:space="preserve"> IF( AND( OFFSET($A$1, 466 - 1, 59 - 1) = "1", OFFSET($A$1, 466 - 1, 60 - 1) = "1" ), 1, IF( AND( OFFSET($A$1, 466 - 1, 59 - 1) = "1", OFFSET($A$1, 466 - 1, 60 - 1) = "0" ), 2, IF( AND( OFFSET($A$1, 466 - 1, 59 - 1) = "0", OFFSET($A$1, 466 - 1, 60 - 1) = "1" ), 3, 4 ) ) )</f>
        <v>2</v>
      </c>
    </row>
    <row r="467" spans="53:61" x14ac:dyDescent="0.35">
      <c r="BA467" s="3">
        <v>0.4799634433657527</v>
      </c>
      <c r="BB467" s="3" t="str">
        <f>"1"</f>
        <v>1</v>
      </c>
      <c r="BC467" t="str">
        <f ca="1">IF((OFFSET($A$1, 467 - 1, 53 - 1)) &gt;= (OFFSET($A$1, 69 - 1, 7 - 1)), "1","0")</f>
        <v>0</v>
      </c>
      <c r="BD467">
        <f ca="1" xml:space="preserve"> IF( AND( OFFSET($A$1, 467 - 1, 54 - 1) = "1", OFFSET($A$1, 467 - 1, 55 - 1) = "1" ), 1, IF( AND( OFFSET($A$1, 467 - 1, 54 - 1) = "1", OFFSET($A$1, 467 - 1, 55 - 1) = "0" ), 2, IF( AND( OFFSET($A$1, 467 - 1, 54 - 1) = "0", OFFSET($A$1, 467 - 1, 55 - 1) = "1" ), 3, 4 ) ) )</f>
        <v>2</v>
      </c>
      <c r="BF467" s="3">
        <v>0.48064738989404293</v>
      </c>
      <c r="BG467" s="3" t="str">
        <f>"1"</f>
        <v>1</v>
      </c>
      <c r="BH467" t="str">
        <f ca="1">IF((OFFSET($A$1, 467 - 1, 58 - 1)) &gt;= (OFFSET($A$1, 93 - 1, 7 - 1)), "1","0")</f>
        <v>0</v>
      </c>
      <c r="BI467">
        <f ca="1" xml:space="preserve"> IF( AND( OFFSET($A$1, 467 - 1, 59 - 1) = "1", OFFSET($A$1, 467 - 1, 60 - 1) = "1" ), 1, IF( AND( OFFSET($A$1, 467 - 1, 59 - 1) = "1", OFFSET($A$1, 467 - 1, 60 - 1) = "0" ), 2, IF( AND( OFFSET($A$1, 467 - 1, 59 - 1) = "0", OFFSET($A$1, 467 - 1, 60 - 1) = "1" ), 3, 4 ) ) )</f>
        <v>2</v>
      </c>
    </row>
    <row r="468" spans="53:61" x14ac:dyDescent="0.35">
      <c r="BA468" s="3">
        <v>0.48133445675480602</v>
      </c>
      <c r="BB468" s="3" t="str">
        <f>"1"</f>
        <v>1</v>
      </c>
      <c r="BC468" t="str">
        <f ca="1">IF((OFFSET($A$1, 468 - 1, 53 - 1)) &gt;= (OFFSET($A$1, 69 - 1, 7 - 1)), "1","0")</f>
        <v>0</v>
      </c>
      <c r="BD468">
        <f ca="1" xml:space="preserve"> IF( AND( OFFSET($A$1, 468 - 1, 54 - 1) = "1", OFFSET($A$1, 468 - 1, 55 - 1) = "1" ), 1, IF( AND( OFFSET($A$1, 468 - 1, 54 - 1) = "1", OFFSET($A$1, 468 - 1, 55 - 1) = "0" ), 2, IF( AND( OFFSET($A$1, 468 - 1, 54 - 1) = "0", OFFSET($A$1, 468 - 1, 55 - 1) = "1" ), 3, 4 ) ) )</f>
        <v>2</v>
      </c>
      <c r="BF468" s="3">
        <v>0.48202459147643439</v>
      </c>
      <c r="BG468" s="3" t="str">
        <f>"1"</f>
        <v>1</v>
      </c>
      <c r="BH468" t="str">
        <f ca="1">IF((OFFSET($A$1, 468 - 1, 58 - 1)) &gt;= (OFFSET($A$1, 93 - 1, 7 - 1)), "1","0")</f>
        <v>0</v>
      </c>
      <c r="BI468">
        <f ca="1" xml:space="preserve"> IF( AND( OFFSET($A$1, 468 - 1, 59 - 1) = "1", OFFSET($A$1, 468 - 1, 60 - 1) = "1" ), 1, IF( AND( OFFSET($A$1, 468 - 1, 59 - 1) = "1", OFFSET($A$1, 468 - 1, 60 - 1) = "0" ), 2, IF( AND( OFFSET($A$1, 468 - 1, 59 - 1) = "0", OFFSET($A$1, 468 - 1, 60 - 1) = "1" ), 3, 4 ) ) )</f>
        <v>2</v>
      </c>
    </row>
    <row r="469" spans="53:61" x14ac:dyDescent="0.35">
      <c r="BA469" s="3">
        <v>0.48271774127947109</v>
      </c>
      <c r="BB469" s="3" t="str">
        <f>"0"</f>
        <v>0</v>
      </c>
      <c r="BC469" t="str">
        <f ca="1">IF((OFFSET($A$1, 469 - 1, 53 - 1)) &gt;= (OFFSET($A$1, 69 - 1, 7 - 1)), "1","0")</f>
        <v>0</v>
      </c>
      <c r="BD469">
        <f ca="1" xml:space="preserve"> IF( AND( OFFSET($A$1, 469 - 1, 54 - 1) = "1", OFFSET($A$1, 469 - 1, 55 - 1) = "1" ), 1, IF( AND( OFFSET($A$1, 469 - 1, 54 - 1) = "1", OFFSET($A$1, 469 - 1, 55 - 1) = "0" ), 2, IF( AND( OFFSET($A$1, 469 - 1, 54 - 1) = "0", OFFSET($A$1, 469 - 1, 55 - 1) = "1" ), 3, 4 ) ) )</f>
        <v>4</v>
      </c>
      <c r="BF469" s="3">
        <v>0.48341385308125062</v>
      </c>
      <c r="BG469" s="3" t="str">
        <f>"1"</f>
        <v>1</v>
      </c>
      <c r="BH469" t="str">
        <f ca="1">IF((OFFSET($A$1, 469 - 1, 58 - 1)) &gt;= (OFFSET($A$1, 93 - 1, 7 - 1)), "1","0")</f>
        <v>0</v>
      </c>
      <c r="BI469">
        <f ca="1" xml:space="preserve"> IF( AND( OFFSET($A$1, 469 - 1, 59 - 1) = "1", OFFSET($A$1, 469 - 1, 60 - 1) = "1" ), 1, IF( AND( OFFSET($A$1, 469 - 1, 59 - 1) = "1", OFFSET($A$1, 469 - 1, 60 - 1) = "0" ), 2, IF( AND( OFFSET($A$1, 469 - 1, 59 - 1) = "0", OFFSET($A$1, 469 - 1, 60 - 1) = "1" ), 3, 4 ) ) )</f>
        <v>2</v>
      </c>
    </row>
    <row r="470" spans="53:61" x14ac:dyDescent="0.35">
      <c r="BA470" s="3">
        <v>0.23113631637555068</v>
      </c>
      <c r="BB470" s="3" t="str">
        <f>"0"</f>
        <v>0</v>
      </c>
      <c r="BC470" t="str">
        <f ca="1">IF((OFFSET($A$1, 470 - 1, 53 - 1)) &gt;= (OFFSET($A$1, 69 - 1, 7 - 1)), "1","0")</f>
        <v>0</v>
      </c>
      <c r="BD470">
        <f ca="1" xml:space="preserve"> IF( AND( OFFSET($A$1, 470 - 1, 54 - 1) = "1", OFFSET($A$1, 470 - 1, 55 - 1) = "1" ), 1, IF( AND( OFFSET($A$1, 470 - 1, 54 - 1) = "1", OFFSET($A$1, 470 - 1, 55 - 1) = "0" ), 2, IF( AND( OFFSET($A$1, 470 - 1, 54 - 1) = "0", OFFSET($A$1, 470 - 1, 55 - 1) = "1" ), 3, 4 ) ) )</f>
        <v>4</v>
      </c>
      <c r="BF470" s="3">
        <v>0.48481474886284837</v>
      </c>
      <c r="BG470" s="3" t="str">
        <f>"1"</f>
        <v>1</v>
      </c>
      <c r="BH470" t="str">
        <f ca="1">IF((OFFSET($A$1, 470 - 1, 58 - 1)) &gt;= (OFFSET($A$1, 93 - 1, 7 - 1)), "1","0")</f>
        <v>0</v>
      </c>
      <c r="BI470">
        <f ca="1" xml:space="preserve"> IF( AND( OFFSET($A$1, 470 - 1, 59 - 1) = "1", OFFSET($A$1, 470 - 1, 60 - 1) = "1" ), 1, IF( AND( OFFSET($A$1, 470 - 1, 59 - 1) = "1", OFFSET($A$1, 470 - 1, 60 - 1) = "0" ), 2, IF( AND( OFFSET($A$1, 470 - 1, 59 - 1) = "0", OFFSET($A$1, 470 - 1, 60 - 1) = "1" ), 3, 4 ) ) )</f>
        <v>2</v>
      </c>
    </row>
    <row r="471" spans="53:61" x14ac:dyDescent="0.35">
      <c r="BA471" s="3">
        <v>0.23213860109940077</v>
      </c>
      <c r="BB471" s="3" t="str">
        <f>"0"</f>
        <v>0</v>
      </c>
      <c r="BC471" t="str">
        <f ca="1">IF((OFFSET($A$1, 471 - 1, 53 - 1)) &gt;= (OFFSET($A$1, 69 - 1, 7 - 1)), "1","0")</f>
        <v>0</v>
      </c>
      <c r="BD471">
        <f ca="1" xml:space="preserve"> IF( AND( OFFSET($A$1, 471 - 1, 54 - 1) = "1", OFFSET($A$1, 471 - 1, 55 - 1) = "1" ), 1, IF( AND( OFFSET($A$1, 471 - 1, 54 - 1) = "1", OFFSET($A$1, 471 - 1, 55 - 1) = "0" ), 2, IF( AND( OFFSET($A$1, 471 - 1, 54 - 1) = "0", OFFSET($A$1, 471 - 1, 55 - 1) = "1" ), 3, 4 ) ) )</f>
        <v>4</v>
      </c>
      <c r="BF471" s="3">
        <v>0.48622684827776241</v>
      </c>
      <c r="BG471" s="3" t="str">
        <f>"0"</f>
        <v>0</v>
      </c>
      <c r="BH471" t="str">
        <f ca="1">IF((OFFSET($A$1, 471 - 1, 58 - 1)) &gt;= (OFFSET($A$1, 93 - 1, 7 - 1)), "1","0")</f>
        <v>0</v>
      </c>
      <c r="BI471">
        <f ca="1" xml:space="preserve"> IF( AND( OFFSET($A$1, 471 - 1, 59 - 1) = "1", OFFSET($A$1, 471 - 1, 60 - 1) = "1" ), 1, IF( AND( OFFSET($A$1, 471 - 1, 59 - 1) = "1", OFFSET($A$1, 471 - 1, 60 - 1) = "0" ), 2, IF( AND( OFFSET($A$1, 471 - 1, 59 - 1) = "0", OFFSET($A$1, 471 - 1, 60 - 1) = "1" ), 3, 4 ) ) )</f>
        <v>4</v>
      </c>
    </row>
    <row r="472" spans="53:61" x14ac:dyDescent="0.35">
      <c r="BA472" s="3">
        <v>0.23315161254472039</v>
      </c>
      <c r="BB472" s="3" t="str">
        <f>"0"</f>
        <v>0</v>
      </c>
      <c r="BC472" t="str">
        <f ca="1">IF((OFFSET($A$1, 472 - 1, 53 - 1)) &gt;= (OFFSET($A$1, 69 - 1, 7 - 1)), "1","0")</f>
        <v>0</v>
      </c>
      <c r="BD472">
        <f ca="1" xml:space="preserve"> IF( AND( OFFSET($A$1, 472 - 1, 54 - 1) = "1", OFFSET($A$1, 472 - 1, 55 - 1) = "1" ), 1, IF( AND( OFFSET($A$1, 472 - 1, 54 - 1) = "1", OFFSET($A$1, 472 - 1, 55 - 1) = "0" ), 2, IF( AND( OFFSET($A$1, 472 - 1, 54 - 1) = "0", OFFSET($A$1, 472 - 1, 55 - 1) = "1" ), 3, 4 ) ) )</f>
        <v>4</v>
      </c>
      <c r="BF472" s="3">
        <v>0.23366206804081116</v>
      </c>
      <c r="BG472" s="3" t="str">
        <f>"0"</f>
        <v>0</v>
      </c>
      <c r="BH472" t="str">
        <f ca="1">IF((OFFSET($A$1, 472 - 1, 58 - 1)) &gt;= (OFFSET($A$1, 93 - 1, 7 - 1)), "1","0")</f>
        <v>0</v>
      </c>
      <c r="BI472">
        <f ca="1" xml:space="preserve"> IF( AND( OFFSET($A$1, 472 - 1, 59 - 1) = "1", OFFSET($A$1, 472 - 1, 60 - 1) = "1" ), 1, IF( AND( OFFSET($A$1, 472 - 1, 59 - 1) = "1", OFFSET($A$1, 472 - 1, 60 - 1) = "0" ), 2, IF( AND( OFFSET($A$1, 472 - 1, 59 - 1) = "0", OFFSET($A$1, 472 - 1, 60 - 1) = "1" ), 3, 4 ) ) )</f>
        <v>4</v>
      </c>
    </row>
    <row r="473" spans="53:61" x14ac:dyDescent="0.35">
      <c r="BA473" s="3">
        <v>0.23417511722350187</v>
      </c>
      <c r="BB473" s="3" t="str">
        <f>"0"</f>
        <v>0</v>
      </c>
      <c r="BC473" t="str">
        <f ca="1">IF((OFFSET($A$1, 473 - 1, 53 - 1)) &gt;= (OFFSET($A$1, 69 - 1, 7 - 1)), "1","0")</f>
        <v>0</v>
      </c>
      <c r="BD473">
        <f ca="1" xml:space="preserve"> IF( AND( OFFSET($A$1, 473 - 1, 54 - 1) = "1", OFFSET($A$1, 473 - 1, 55 - 1) = "1" ), 1, IF( AND( OFFSET($A$1, 473 - 1, 54 - 1) = "1", OFFSET($A$1, 473 - 1, 55 - 1) = "0" ), 2, IF( AND( OFFSET($A$1, 473 - 1, 54 - 1) = "0", OFFSET($A$1, 473 - 1, 55 - 1) = "1" ), 3, 4 ) ) )</f>
        <v>4</v>
      </c>
      <c r="BF473" s="3">
        <v>0.23469073003447638</v>
      </c>
      <c r="BG473" s="3" t="str">
        <f>"1"</f>
        <v>1</v>
      </c>
      <c r="BH473" t="str">
        <f ca="1">IF((OFFSET($A$1, 473 - 1, 58 - 1)) &gt;= (OFFSET($A$1, 93 - 1, 7 - 1)), "1","0")</f>
        <v>0</v>
      </c>
      <c r="BI473">
        <f ca="1" xml:space="preserve"> IF( AND( OFFSET($A$1, 473 - 1, 59 - 1) = "1", OFFSET($A$1, 473 - 1, 60 - 1) = "1" ), 1, IF( AND( OFFSET($A$1, 473 - 1, 59 - 1) = "1", OFFSET($A$1, 473 - 1, 60 - 1) = "0" ), 2, IF( AND( OFFSET($A$1, 473 - 1, 59 - 1) = "0", OFFSET($A$1, 473 - 1, 60 - 1) = "1" ), 3, 4 ) ) )</f>
        <v>2</v>
      </c>
    </row>
    <row r="474" spans="53:61" x14ac:dyDescent="0.35">
      <c r="BA474" s="3">
        <v>0.23520887606576646</v>
      </c>
      <c r="BB474" s="3" t="str">
        <f>"0"</f>
        <v>0</v>
      </c>
      <c r="BC474" t="str">
        <f ca="1">IF((OFFSET($A$1, 474 - 1, 53 - 1)) &gt;= (OFFSET($A$1, 69 - 1, 7 - 1)), "1","0")</f>
        <v>0</v>
      </c>
      <c r="BD474">
        <f ca="1" xml:space="preserve"> IF( AND( OFFSET($A$1, 474 - 1, 54 - 1) = "1", OFFSET($A$1, 474 - 1, 55 - 1) = "1" ), 1, IF( AND( OFFSET($A$1, 474 - 1, 54 - 1) = "1", OFFSET($A$1, 474 - 1, 55 - 1) = "0" ), 2, IF( AND( OFFSET($A$1, 474 - 1, 54 - 1) = "0", OFFSET($A$1, 474 - 1, 55 - 1) = "1" ), 3, 4 ) ) )</f>
        <v>4</v>
      </c>
      <c r="BF474" s="3">
        <v>0.49052599577440381</v>
      </c>
      <c r="BG474" s="3" t="str">
        <f>"0"</f>
        <v>0</v>
      </c>
      <c r="BH474" t="str">
        <f ca="1">IF((OFFSET($A$1, 474 - 1, 58 - 1)) &gt;= (OFFSET($A$1, 93 - 1, 7 - 1)), "1","0")</f>
        <v>0</v>
      </c>
      <c r="BI474">
        <f ca="1" xml:space="preserve"> IF( AND( OFFSET($A$1, 474 - 1, 59 - 1) = "1", OFFSET($A$1, 474 - 1, 60 - 1) = "1" ), 1, IF( AND( OFFSET($A$1, 474 - 1, 59 - 1) = "1", OFFSET($A$1, 474 - 1, 60 - 1) = "0" ), 2, IF( AND( OFFSET($A$1, 474 - 1, 59 - 1) = "0", OFFSET($A$1, 474 - 1, 60 - 1) = "1" ), 3, 4 ) ) )</f>
        <v>4</v>
      </c>
    </row>
    <row r="475" spans="53:61" x14ac:dyDescent="0.35">
      <c r="BA475" s="3">
        <v>0.23625264440774199</v>
      </c>
      <c r="BB475" s="3" t="str">
        <f>"1"</f>
        <v>1</v>
      </c>
      <c r="BC475" t="str">
        <f ca="1">IF((OFFSET($A$1, 475 - 1, 53 - 1)) &gt;= (OFFSET($A$1, 69 - 1, 7 - 1)), "1","0")</f>
        <v>0</v>
      </c>
      <c r="BD475">
        <f ca="1" xml:space="preserve"> IF( AND( OFFSET($A$1, 475 - 1, 54 - 1) = "1", OFFSET($A$1, 475 - 1, 55 - 1) = "1" ), 1, IF( AND( OFFSET($A$1, 475 - 1, 54 - 1) = "1", OFFSET($A$1, 475 - 1, 55 - 1) = "0" ), 2, IF( AND( OFFSET($A$1, 475 - 1, 54 - 1) = "0", OFFSET($A$1, 475 - 1, 55 - 1) = "1" ), 3, 4 ) ) )</f>
        <v>2</v>
      </c>
      <c r="BF475" s="3">
        <v>0.23677820415238382</v>
      </c>
      <c r="BG475" s="3" t="str">
        <f>"0"</f>
        <v>0</v>
      </c>
      <c r="BH475" t="str">
        <f ca="1">IF((OFFSET($A$1, 475 - 1, 58 - 1)) &gt;= (OFFSET($A$1, 93 - 1, 7 - 1)), "1","0")</f>
        <v>0</v>
      </c>
      <c r="BI475">
        <f ca="1" xml:space="preserve"> IF( AND( OFFSET($A$1, 475 - 1, 59 - 1) = "1", OFFSET($A$1, 475 - 1, 60 - 1) = "1" ), 1, IF( AND( OFFSET($A$1, 475 - 1, 59 - 1) = "1", OFFSET($A$1, 475 - 1, 60 - 1) = "0" ), 2, IF( AND( OFFSET($A$1, 475 - 1, 59 - 1) = "0", OFFSET($A$1, 475 - 1, 60 - 1) = "1" ), 3, 4 ) ) )</f>
        <v>4</v>
      </c>
    </row>
    <row r="476" spans="53:61" x14ac:dyDescent="0.35">
      <c r="BA476" s="3">
        <v>0.4927081742427627</v>
      </c>
      <c r="BB476" s="3" t="str">
        <f>"0"</f>
        <v>0</v>
      </c>
      <c r="BC476" t="str">
        <f ca="1">IF((OFFSET($A$1, 476 - 1, 53 - 1)) &gt;= (OFFSET($A$1, 69 - 1, 7 - 1)), "1","0")</f>
        <v>0</v>
      </c>
      <c r="BD476">
        <f ca="1" xml:space="preserve"> IF( AND( OFFSET($A$1, 476 - 1, 54 - 1) = "1", OFFSET($A$1, 476 - 1, 55 - 1) = "1" ), 1, IF( AND( OFFSET($A$1, 476 - 1, 54 - 1) = "1", OFFSET($A$1, 476 - 1, 55 - 1) = "0" ), 2, IF( AND( OFFSET($A$1, 476 - 1, 54 - 1) = "0", OFFSET($A$1, 476 - 1, 55 - 1) = "1" ), 3, 4 ) ) )</f>
        <v>4</v>
      </c>
      <c r="BF476" s="3">
        <v>0.23783651574774131</v>
      </c>
      <c r="BG476" s="3" t="str">
        <f>"1"</f>
        <v>1</v>
      </c>
      <c r="BH476" t="str">
        <f ca="1">IF((OFFSET($A$1, 476 - 1, 58 - 1)) &gt;= (OFFSET($A$1, 93 - 1, 7 - 1)), "1","0")</f>
        <v>0</v>
      </c>
      <c r="BI476">
        <f ca="1" xml:space="preserve"> IF( AND( OFFSET($A$1, 476 - 1, 59 - 1) = "1", OFFSET($A$1, 476 - 1, 60 - 1) = "1" ), 1, IF( AND( OFFSET($A$1, 476 - 1, 59 - 1) = "1", OFFSET($A$1, 476 - 1, 60 - 1) = "0" ), 2, IF( AND( OFFSET($A$1, 476 - 1, 59 - 1) = "0", OFFSET($A$1, 476 - 1, 60 - 1) = "1" ), 3, 4 ) ) )</f>
        <v>2</v>
      </c>
    </row>
    <row r="477" spans="53:61" x14ac:dyDescent="0.35">
      <c r="BA477" s="3">
        <v>0.23836920293184943</v>
      </c>
      <c r="BB477" s="3" t="str">
        <f>"0"</f>
        <v>0</v>
      </c>
      <c r="BC477" t="str">
        <f ca="1">IF((OFFSET($A$1, 477 - 1, 53 - 1)) &gt;= (OFFSET($A$1, 69 - 1, 7 - 1)), "1","0")</f>
        <v>0</v>
      </c>
      <c r="BD477">
        <f ca="1" xml:space="preserve"> IF( AND( OFFSET($A$1, 477 - 1, 54 - 1) = "1", OFFSET($A$1, 477 - 1, 55 - 1) = "1" ), 1, IF( AND( OFFSET($A$1, 477 - 1, 54 - 1) = "1", OFFSET($A$1, 477 - 1, 55 - 1) = "0" ), 2, IF( AND( OFFSET($A$1, 477 - 1, 54 - 1) = "0", OFFSET($A$1, 477 - 1, 55 - 1) = "1" ), 3, 4 ) ) )</f>
        <v>4</v>
      </c>
      <c r="BF477" s="3">
        <v>0.49491005958836404</v>
      </c>
      <c r="BG477" s="3" t="str">
        <f>"1"</f>
        <v>1</v>
      </c>
      <c r="BH477" t="str">
        <f ca="1">IF((OFFSET($A$1, 477 - 1, 58 - 1)) &gt;= (OFFSET($A$1, 93 - 1, 7 - 1)), "1","0")</f>
        <v>0</v>
      </c>
      <c r="BI477">
        <f ca="1" xml:space="preserve"> IF( AND( OFFSET($A$1, 477 - 1, 59 - 1) = "1", OFFSET($A$1, 477 - 1, 60 - 1) = "1" ), 1, IF( AND( OFFSET($A$1, 477 - 1, 59 - 1) = "1", OFFSET($A$1, 477 - 1, 60 - 1) = "0" ), 2, IF( AND( OFFSET($A$1, 477 - 1, 59 - 1) = "0", OFFSET($A$1, 477 - 1, 60 - 1) = "1" ), 3, 4 ) ) )</f>
        <v>2</v>
      </c>
    </row>
    <row r="478" spans="53:61" x14ac:dyDescent="0.35">
      <c r="BA478" s="3">
        <v>0.23944147578363745</v>
      </c>
      <c r="BB478" s="3" t="str">
        <f>"1"</f>
        <v>1</v>
      </c>
      <c r="BC478" t="str">
        <f ca="1">IF((OFFSET($A$1, 478 - 1, 53 - 1)) &gt;= (OFFSET($A$1, 69 - 1, 7 - 1)), "1","0")</f>
        <v>0</v>
      </c>
      <c r="BD478">
        <f ca="1" xml:space="preserve"> IF( AND( OFFSET($A$1, 478 - 1, 54 - 1) = "1", OFFSET($A$1, 478 - 1, 55 - 1) = "1" ), 1, IF( AND( OFFSET($A$1, 478 - 1, 54 - 1) = "1", OFFSET($A$1, 478 - 1, 55 - 1) = "0" ), 2, IF( AND( OFFSET($A$1, 478 - 1, 54 - 1) = "0", OFFSET($A$1, 478 - 1, 55 - 1) = "1" ), 3, 4 ) ) )</f>
        <v>2</v>
      </c>
      <c r="BF478" s="3">
        <v>0.49638816905074246</v>
      </c>
      <c r="BG478" s="3" t="str">
        <f>"1"</f>
        <v>1</v>
      </c>
      <c r="BH478" t="str">
        <f ca="1">IF((OFFSET($A$1, 478 - 1, 58 - 1)) &gt;= (OFFSET($A$1, 93 - 1, 7 - 1)), "1","0")</f>
        <v>0</v>
      </c>
      <c r="BI478">
        <f ca="1" xml:space="preserve"> IF( AND( OFFSET($A$1, 478 - 1, 59 - 1) = "1", OFFSET($A$1, 478 - 1, 60 - 1) = "1" ), 1, IF( AND( OFFSET($A$1, 478 - 1, 59 - 1) = "1", OFFSET($A$1, 478 - 1, 60 - 1) = "0" ), 2, IF( AND( OFFSET($A$1, 478 - 1, 59 - 1) = "0", OFFSET($A$1, 478 - 1, 60 - 1) = "1" ), 3, 4 ) ) )</f>
        <v>2</v>
      </c>
    </row>
    <row r="479" spans="53:61" x14ac:dyDescent="0.35">
      <c r="BA479" s="3">
        <v>0.49713010659548279</v>
      </c>
      <c r="BB479" s="3" t="str">
        <f>"1"</f>
        <v>1</v>
      </c>
      <c r="BC479" t="str">
        <f ca="1">IF((OFFSET($A$1, 479 - 1, 53 - 1)) &gt;= (OFFSET($A$1, 69 - 1, 7 - 1)), "1","0")</f>
        <v>0</v>
      </c>
      <c r="BD479">
        <f ca="1" xml:space="preserve"> IF( AND( OFFSET($A$1, 479 - 1, 54 - 1) = "1", OFFSET($A$1, 479 - 1, 55 - 1) = "1" ), 1, IF( AND( OFFSET($A$1, 479 - 1, 54 - 1) = "1", OFFSET($A$1, 479 - 1, 55 - 1) = "0" ), 2, IF( AND( OFFSET($A$1, 479 - 1, 54 - 1) = "0", OFFSET($A$1, 479 - 1, 55 - 1) = "1" ), 3, 4 ) ) )</f>
        <v>2</v>
      </c>
      <c r="BF479" s="3">
        <v>0.49787388868260568</v>
      </c>
      <c r="BG479" s="3" t="str">
        <f>"0"</f>
        <v>0</v>
      </c>
      <c r="BH479" t="str">
        <f ca="1">IF((OFFSET($A$1, 479 - 1, 58 - 1)) &gt;= (OFFSET($A$1, 93 - 1, 7 - 1)), "1","0")</f>
        <v>0</v>
      </c>
      <c r="BI479">
        <f ca="1" xml:space="preserve"> IF( AND( OFFSET($A$1, 479 - 1, 59 - 1) = "1", OFFSET($A$1, 479 - 1, 60 - 1) = "1" ), 1, IF( AND( OFFSET($A$1, 479 - 1, 59 - 1) = "1", OFFSET($A$1, 479 - 1, 60 - 1) = "0" ), 2, IF( AND( OFFSET($A$1, 479 - 1, 59 - 1) = "0", OFFSET($A$1, 479 - 1, 60 - 1) = "1" ), 3, 4 ) ) )</f>
        <v>4</v>
      </c>
    </row>
    <row r="480" spans="53:61" x14ac:dyDescent="0.35">
      <c r="BA480" s="3">
        <v>0.49861945707585165</v>
      </c>
      <c r="BB480" s="3" t="str">
        <f>"1"</f>
        <v>1</v>
      </c>
      <c r="BC480" t="str">
        <f ca="1">IF((OFFSET($A$1, 480 - 1, 53 - 1)) &gt;= (OFFSET($A$1, 69 - 1, 7 - 1)), "1","0")</f>
        <v>0</v>
      </c>
      <c r="BD480">
        <f ca="1" xml:space="preserve"> IF( AND( OFFSET($A$1, 480 - 1, 54 - 1) = "1", OFFSET($A$1, 480 - 1, 55 - 1) = "1" ), 1, IF( AND( OFFSET($A$1, 480 - 1, 54 - 1) = "1", OFFSET($A$1, 480 - 1, 55 - 1) = "0" ), 2, IF( AND( OFFSET($A$1, 480 - 1, 54 - 1) = "0", OFFSET($A$1, 480 - 1, 55 - 1) = "1" ), 3, 4 ) ) )</f>
        <v>2</v>
      </c>
      <c r="BF480" s="3">
        <v>0.24216082500415645</v>
      </c>
      <c r="BG480" s="3" t="str">
        <f>"0"</f>
        <v>0</v>
      </c>
      <c r="BH480" t="str">
        <f ca="1">IF((OFFSET($A$1, 480 - 1, 58 - 1)) &gt;= (OFFSET($A$1, 93 - 1, 7 - 1)), "1","0")</f>
        <v>0</v>
      </c>
      <c r="BI480">
        <f ca="1" xml:space="preserve"> IF( AND( OFFSET($A$1, 480 - 1, 59 - 1) = "1", OFFSET($A$1, 480 - 1, 60 - 1) = "1" ), 1, IF( AND( OFFSET($A$1, 480 - 1, 59 - 1) = "1", OFFSET($A$1, 480 - 1, 60 - 1) = "0" ), 2, IF( AND( OFFSET($A$1, 480 - 1, 59 - 1) = "0", OFFSET($A$1, 480 - 1, 60 - 1) = "1" ), 3, 4 ) ) )</f>
        <v>4</v>
      </c>
    </row>
    <row r="481" spans="53:61" x14ac:dyDescent="0.35">
      <c r="BA481" s="3">
        <v>0.50011571893425821</v>
      </c>
      <c r="BB481" s="3" t="str">
        <f>"1"</f>
        <v>1</v>
      </c>
      <c r="BC481" t="str">
        <f ca="1">IF((OFFSET($A$1, 481 - 1, 53 - 1)) &gt;= (OFFSET($A$1, 69 - 1, 7 - 1)), "1","0")</f>
        <v>1</v>
      </c>
      <c r="BD481">
        <f ca="1" xml:space="preserve"> IF( AND( OFFSET($A$1, 481 - 1, 54 - 1) = "1", OFFSET($A$1, 481 - 1, 55 - 1) = "1" ), 1, IF( AND( OFFSET($A$1, 481 - 1, 54 - 1) = "1", OFFSET($A$1, 481 - 1, 55 - 1) = "0" ), 2, IF( AND( OFFSET($A$1, 481 - 1, 54 - 1) = "0", OFFSET($A$1, 481 - 1, 55 - 1) = "1" ), 3, 4 ) ) )</f>
        <v>1</v>
      </c>
      <c r="BF481" s="3">
        <v>0.24326330496151002</v>
      </c>
      <c r="BG481" s="3" t="str">
        <f>"0"</f>
        <v>0</v>
      </c>
      <c r="BH481" t="str">
        <f ca="1">IF((OFFSET($A$1, 481 - 1, 58 - 1)) &gt;= (OFFSET($A$1, 93 - 1, 7 - 1)), "1","0")</f>
        <v>0</v>
      </c>
      <c r="BI481">
        <f ca="1" xml:space="preserve"> IF( AND( OFFSET($A$1, 481 - 1, 59 - 1) = "1", OFFSET($A$1, 481 - 1, 60 - 1) = "1" ), 1, IF( AND( OFFSET($A$1, 481 - 1, 59 - 1) = "1", OFFSET($A$1, 481 - 1, 60 - 1) = "0" ), 2, IF( AND( OFFSET($A$1, 481 - 1, 59 - 1) = "0", OFFSET($A$1, 481 - 1, 60 - 1) = "1" ), 3, 4 ) ) )</f>
        <v>4</v>
      </c>
    </row>
    <row r="482" spans="53:61" x14ac:dyDescent="0.35">
      <c r="BA482" s="3">
        <v>0.50161842276347368</v>
      </c>
      <c r="BB482" s="3" t="str">
        <f>"0"</f>
        <v>0</v>
      </c>
      <c r="BC482" t="str">
        <f ca="1">IF((OFFSET($A$1, 482 - 1, 53 - 1)) &gt;= (OFFSET($A$1, 69 - 1, 7 - 1)), "1","0")</f>
        <v>1</v>
      </c>
      <c r="BD482">
        <f ca="1" xml:space="preserve"> IF( AND( OFFSET($A$1, 482 - 1, 54 - 1) = "1", OFFSET($A$1, 482 - 1, 55 - 1) = "1" ), 1, IF( AND( OFFSET($A$1, 482 - 1, 54 - 1) = "1", OFFSET($A$1, 482 - 1, 55 - 1) = "0" ), 2, IF( AND( OFFSET($A$1, 482 - 1, 54 - 1) = "0", OFFSET($A$1, 482 - 1, 55 - 1) = "1" ), 3, 4 ) ) )</f>
        <v>3</v>
      </c>
      <c r="BF482" s="3">
        <v>0.2443737813476968</v>
      </c>
      <c r="BG482" s="3" t="str">
        <f>"0"</f>
        <v>0</v>
      </c>
      <c r="BH482" t="str">
        <f ca="1">IF((OFFSET($A$1, 482 - 1, 58 - 1)) &gt;= (OFFSET($A$1, 93 - 1, 7 - 1)), "1","0")</f>
        <v>0</v>
      </c>
      <c r="BI482">
        <f ca="1" xml:space="preserve"> IF( AND( OFFSET($A$1, 482 - 1, 59 - 1) = "1", OFFSET($A$1, 482 - 1, 60 - 1) = "1" ), 1, IF( AND( OFFSET($A$1, 482 - 1, 59 - 1) = "1", OFFSET($A$1, 482 - 1, 60 - 1) = "0" ), 2, IF( AND( OFFSET($A$1, 482 - 1, 59 - 1) = "0", OFFSET($A$1, 482 - 1, 60 - 1) = "1" ), 3, 4 ) ) )</f>
        <v>4</v>
      </c>
    </row>
    <row r="483" spans="53:61" x14ac:dyDescent="0.35">
      <c r="BA483" s="3">
        <v>0.24493192718613971</v>
      </c>
      <c r="BB483" s="3" t="str">
        <f>"0"</f>
        <v>0</v>
      </c>
      <c r="BC483" t="str">
        <f ca="1">IF((OFFSET($A$1, 483 - 1, 53 - 1)) &gt;= (OFFSET($A$1, 69 - 1, 7 - 1)), "1","0")</f>
        <v>0</v>
      </c>
      <c r="BD483">
        <f ca="1" xml:space="preserve"> IF( AND( OFFSET($A$1, 483 - 1, 54 - 1) = "1", OFFSET($A$1, 483 - 1, 55 - 1) = "1" ), 1, IF( AND( OFFSET($A$1, 483 - 1, 54 - 1) = "1", OFFSET($A$1, 483 - 1, 55 - 1) = "0" ), 2, IF( AND( OFFSET($A$1, 483 - 1, 54 - 1) = "0", OFFSET($A$1, 483 - 1, 55 - 1) = "1" ), 3, 4 ) ) )</f>
        <v>4</v>
      </c>
      <c r="BF483" s="3">
        <v>0.2454919622324005</v>
      </c>
      <c r="BG483" s="3" t="str">
        <f>"0"</f>
        <v>0</v>
      </c>
      <c r="BH483" t="str">
        <f ca="1">IF((OFFSET($A$1, 483 - 1, 58 - 1)) &gt;= (OFFSET($A$1, 93 - 1, 7 - 1)), "1","0")</f>
        <v>0</v>
      </c>
      <c r="BI483">
        <f ca="1" xml:space="preserve"> IF( AND( OFFSET($A$1, 483 - 1, 59 - 1) = "1", OFFSET($A$1, 483 - 1, 60 - 1) = "1" ), 1, IF( AND( OFFSET($A$1, 483 - 1, 59 - 1) = "1", OFFSET($A$1, 483 - 1, 60 - 1) = "0" ), 2, IF( AND( OFFSET($A$1, 483 - 1, 59 - 1) = "0", OFFSET($A$1, 483 - 1, 60 - 1) = "1" ), 3, 4 ) ) )</f>
        <v>4</v>
      </c>
    </row>
    <row r="484" spans="53:61" x14ac:dyDescent="0.35">
      <c r="BA484" s="3">
        <v>0.2460538491465902</v>
      </c>
      <c r="BB484" s="3" t="str">
        <f>"1"</f>
        <v>1</v>
      </c>
      <c r="BC484" t="str">
        <f ca="1">IF((OFFSET($A$1, 484 - 1, 53 - 1)) &gt;= (OFFSET($A$1, 69 - 1, 7 - 1)), "1","0")</f>
        <v>0</v>
      </c>
      <c r="BD484">
        <f ca="1" xml:space="preserve"> IF( AND( OFFSET($A$1, 484 - 1, 54 - 1) = "1", OFFSET($A$1, 484 - 1, 55 - 1) = "1" ), 1, IF( AND( OFFSET($A$1, 484 - 1, 54 - 1) = "1", OFFSET($A$1, 484 - 1, 55 - 1) = "0" ), 2, IF( AND( OFFSET($A$1, 484 - 1, 54 - 1) = "0", OFFSET($A$1, 484 - 1, 55 - 1) = "1" ), 3, 4 ) ) )</f>
        <v>2</v>
      </c>
      <c r="BF484" s="3">
        <v>0.24661755025218504</v>
      </c>
      <c r="BG484" s="3" t="str">
        <f>"0"</f>
        <v>0</v>
      </c>
      <c r="BH484" t="str">
        <f ca="1">IF((OFFSET($A$1, 484 - 1, 58 - 1)) &gt;= (OFFSET($A$1, 93 - 1, 7 - 1)), "1","0")</f>
        <v>0</v>
      </c>
      <c r="BI484">
        <f ca="1" xml:space="preserve"> IF( AND( OFFSET($A$1, 484 - 1, 59 - 1) = "1", OFFSET($A$1, 484 - 1, 60 - 1) = "1" ), 1, IF( AND( OFFSET($A$1, 484 - 1, 59 - 1) = "1", OFFSET($A$1, 484 - 1, 60 - 1) = "0" ), 2, IF( AND( OFFSET($A$1, 484 - 1, 59 - 1) = "0", OFFSET($A$1, 484 - 1, 60 - 1) = "1" ), 3, 4 ) ) )</f>
        <v>4</v>
      </c>
    </row>
    <row r="485" spans="53:61" x14ac:dyDescent="0.35">
      <c r="BA485" s="3">
        <v>0.50616045425661249</v>
      </c>
      <c r="BB485" s="3" t="str">
        <f>"1"</f>
        <v>1</v>
      </c>
      <c r="BC485" t="str">
        <f ca="1">IF((OFFSET($A$1, 485 - 1, 53 - 1)) &gt;= (OFFSET($A$1, 69 - 1, 7 - 1)), "1","0")</f>
        <v>1</v>
      </c>
      <c r="BD485">
        <f ca="1" xml:space="preserve"> IF( AND( OFFSET($A$1, 485 - 1, 54 - 1) = "1", OFFSET($A$1, 485 - 1, 55 - 1) = "1" ), 1, IF( AND( OFFSET($A$1, 485 - 1, 54 - 1) = "1", OFFSET($A$1, 485 - 1, 55 - 1) = "0" ), 2, IF( AND( OFFSET($A$1, 485 - 1, 54 - 1) = "0", OFFSET($A$1, 485 - 1, 55 - 1) = "1" ), 3, 4 ) ) )</f>
        <v>1</v>
      </c>
      <c r="BF485" s="3">
        <v>0.24775024265823517</v>
      </c>
      <c r="BG485" s="3" t="str">
        <f>"0"</f>
        <v>0</v>
      </c>
      <c r="BH485" t="str">
        <f ca="1">IF((OFFSET($A$1, 485 - 1, 58 - 1)) &gt;= (OFFSET($A$1, 93 - 1, 7 - 1)), "1","0")</f>
        <v>0</v>
      </c>
      <c r="BI485">
        <f ca="1" xml:space="preserve"> IF( AND( OFFSET($A$1, 485 - 1, 59 - 1) = "1", OFFSET($A$1, 485 - 1, 60 - 1) = "1" ), 1, IF( AND( OFFSET($A$1, 485 - 1, 59 - 1) = "1", OFFSET($A$1, 485 - 1, 60 - 1) = "0" ), 2, IF( AND( OFFSET($A$1, 485 - 1, 59 - 1) = "0", OFFSET($A$1, 485 - 1, 60 - 1) = "1" ), 3, 4 ) ) )</f>
        <v>4</v>
      </c>
    </row>
    <row r="486" spans="53:61" x14ac:dyDescent="0.35">
      <c r="BA486" s="3">
        <v>0.50768418303135598</v>
      </c>
      <c r="BB486" s="3" t="str">
        <f>"0"</f>
        <v>0</v>
      </c>
      <c r="BC486" t="str">
        <f ca="1">IF((OFFSET($A$1, 486 - 1, 53 - 1)) &gt;= (OFFSET($A$1, 69 - 1, 7 - 1)), "1","0")</f>
        <v>1</v>
      </c>
      <c r="BD486">
        <f ca="1" xml:space="preserve"> IF( AND( OFFSET($A$1, 486 - 1, 54 - 1) = "1", OFFSET($A$1, 486 - 1, 55 - 1) = "1" ), 1, IF( AND( OFFSET($A$1, 486 - 1, 54 - 1) = "1", OFFSET($A$1, 486 - 1, 55 - 1) = "0" ), 2, IF( AND( OFFSET($A$1, 486 - 1, 54 - 1) = "0", OFFSET($A$1, 486 - 1, 55 - 1) = "1" ), 3, 4 ) ) )</f>
        <v>3</v>
      </c>
      <c r="BF486" s="3">
        <v>0.24888973137024945</v>
      </c>
      <c r="BG486" s="3" t="str">
        <f>"0"</f>
        <v>0</v>
      </c>
      <c r="BH486" t="str">
        <f ca="1">IF((OFFSET($A$1, 486 - 1, 58 - 1)) &gt;= (OFFSET($A$1, 93 - 1, 7 - 1)), "1","0")</f>
        <v>0</v>
      </c>
      <c r="BI486">
        <f ca="1" xml:space="preserve"> IF( AND( OFFSET($A$1, 486 - 1, 59 - 1) = "1", OFFSET($A$1, 486 - 1, 60 - 1) = "1" ), 1, IF( AND( OFFSET($A$1, 486 - 1, 59 - 1) = "1", OFFSET($A$1, 486 - 1, 60 - 1) = "0" ), 2, IF( AND( OFFSET($A$1, 486 - 1, 59 - 1) = "0", OFFSET($A$1, 486 - 1, 60 - 1) = "1" ), 3, 4 ) ) )</f>
        <v>4</v>
      </c>
    </row>
    <row r="487" spans="53:61" x14ac:dyDescent="0.35">
      <c r="BA487" s="3">
        <v>0.24946192662273309</v>
      </c>
      <c r="BB487" s="3" t="str">
        <f>"0"</f>
        <v>0</v>
      </c>
      <c r="BC487" t="str">
        <f ca="1">IF((OFFSET($A$1, 487 - 1, 53 - 1)) &gt;= (OFFSET($A$1, 69 - 1, 7 - 1)), "1","0")</f>
        <v>0</v>
      </c>
      <c r="BD487">
        <f ca="1" xml:space="preserve"> IF( AND( OFFSET($A$1, 487 - 1, 54 - 1) = "1", OFFSET($A$1, 487 - 1, 55 - 1) = "1" ), 1, IF( AND( OFFSET($A$1, 487 - 1, 54 - 1) = "1", OFFSET($A$1, 487 - 1, 55 - 1) = "0" ), 2, IF( AND( OFFSET($A$1, 487 - 1, 54 - 1) = "0", OFFSET($A$1, 487 - 1, 55 - 1) = "1" ), 3, 4 ) ) )</f>
        <v>4</v>
      </c>
      <c r="BF487" s="3">
        <v>0.25003570303654116</v>
      </c>
      <c r="BG487" s="3" t="str">
        <f>"1"</f>
        <v>1</v>
      </c>
      <c r="BH487" t="str">
        <f ca="1">IF((OFFSET($A$1, 487 - 1, 58 - 1)) &gt;= (OFFSET($A$1, 93 - 1, 7 - 1)), "1","0")</f>
        <v>0</v>
      </c>
      <c r="BI487">
        <f ca="1" xml:space="preserve"> IF( AND( OFFSET($A$1, 487 - 1, 59 - 1) = "1", OFFSET($A$1, 487 - 1, 60 - 1) = "1" ), 1, IF( AND( OFFSET($A$1, 487 - 1, 59 - 1) = "1", OFFSET($A$1, 487 - 1, 60 - 1) = "0" ), 2, IF( AND( OFFSET($A$1, 487 - 1, 59 - 1) = "0", OFFSET($A$1, 487 - 1, 60 - 1) = "1" ), 3, 4 ) ) )</f>
        <v>2</v>
      </c>
    </row>
    <row r="488" spans="53:61" x14ac:dyDescent="0.35">
      <c r="BA488" s="3">
        <v>0.250611020629946</v>
      </c>
      <c r="BB488" s="3" t="str">
        <f>"0"</f>
        <v>0</v>
      </c>
      <c r="BC488" t="str">
        <f ca="1">IF((OFFSET($A$1, 488 - 1, 53 - 1)) &gt;= (OFFSET($A$1, 69 - 1, 7 - 1)), "1","0")</f>
        <v>0</v>
      </c>
      <c r="BD488">
        <f ca="1" xml:space="preserve"> IF( AND( OFFSET($A$1, 488 - 1, 54 - 1) = "1", OFFSET($A$1, 488 - 1, 55 - 1) = "1" ), 1, IF( AND( OFFSET($A$1, 488 - 1, 54 - 1) = "1", OFFSET($A$1, 488 - 1, 55 - 1) = "0" ), 2, IF( AND( OFFSET($A$1, 488 - 1, 54 - 1) = "0", OFFSET($A$1, 488 - 1, 55 - 1) = "1" ), 3, 4 ) ) )</f>
        <v>4</v>
      </c>
      <c r="BF488" s="3">
        <v>0.51151021363747917</v>
      </c>
      <c r="BG488" s="3" t="str">
        <f>"0"</f>
        <v>0</v>
      </c>
      <c r="BH488" t="str">
        <f ca="1">IF((OFFSET($A$1, 488 - 1, 58 - 1)) &gt;= (OFFSET($A$1, 93 - 1, 7 - 1)), "1","0")</f>
        <v>1</v>
      </c>
      <c r="BI488">
        <f ca="1" xml:space="preserve"> IF( AND( OFFSET($A$1, 488 - 1, 59 - 1) = "1", OFFSET($A$1, 488 - 1, 60 - 1) = "1" ), 1, IF( AND( OFFSET($A$1, 488 - 1, 59 - 1) = "1", OFFSET($A$1, 488 - 1, 60 - 1) = "0" ), 2, IF( AND( OFFSET($A$1, 488 - 1, 59 - 1) = "0", OFFSET($A$1, 488 - 1, 60 - 1) = "1" ), 3, 4 ) ) )</f>
        <v>3</v>
      </c>
    </row>
    <row r="489" spans="53:61" x14ac:dyDescent="0.35">
      <c r="BA489" s="3">
        <v>0.25176611782691433</v>
      </c>
      <c r="BB489" s="3" t="str">
        <f>"0"</f>
        <v>0</v>
      </c>
      <c r="BC489" t="str">
        <f ca="1">IF((OFFSET($A$1, 489 - 1, 53 - 1)) &gt;= (OFFSET($A$1, 69 - 1, 7 - 1)), "1","0")</f>
        <v>0</v>
      </c>
      <c r="BD489">
        <f ca="1" xml:space="preserve"> IF( AND( OFFSET($A$1, 489 - 1, 54 - 1) = "1", OFFSET($A$1, 489 - 1, 55 - 1) = "1" ), 1, IF( AND( OFFSET($A$1, 489 - 1, 54 - 1) = "1", OFFSET($A$1, 489 - 1, 55 - 1) = "0" ), 2, IF( AND( OFFSET($A$1, 489 - 1, 54 - 1) = "0", OFFSET($A$1, 489 - 1, 55 - 1) = "1" ), 3, 4 ) ) )</f>
        <v>4</v>
      </c>
      <c r="BF489" s="3">
        <v>0.25234581587265631</v>
      </c>
      <c r="BG489" s="3" t="str">
        <f>"0"</f>
        <v>0</v>
      </c>
      <c r="BH489" t="str">
        <f ca="1">IF((OFFSET($A$1, 489 - 1, 58 - 1)) &gt;= (OFFSET($A$1, 93 - 1, 7 - 1)), "1","0")</f>
        <v>0</v>
      </c>
      <c r="BI489">
        <f ca="1" xml:space="preserve"> IF( AND( OFFSET($A$1, 489 - 1, 59 - 1) = "1", OFFSET($A$1, 489 - 1, 60 - 1) = "1" ), 1, IF( AND( OFFSET($A$1, 489 - 1, 59 - 1) = "1", OFFSET($A$1, 489 - 1, 60 - 1) = "0" ), 2, IF( AND( OFFSET($A$1, 489 - 1, 59 - 1) = "0", OFFSET($A$1, 489 - 1, 60 - 1) = "1" ), 3, 4 ) ) )</f>
        <v>4</v>
      </c>
    </row>
    <row r="490" spans="53:61" x14ac:dyDescent="0.35">
      <c r="BA490" s="3">
        <v>0.25292689198747842</v>
      </c>
      <c r="BB490" s="3" t="str">
        <f>"0"</f>
        <v>0</v>
      </c>
      <c r="BC490" t="str">
        <f ca="1">IF((OFFSET($A$1, 490 - 1, 53 - 1)) &gt;= (OFFSET($A$1, 69 - 1, 7 - 1)), "1","0")</f>
        <v>0</v>
      </c>
      <c r="BD490">
        <f ca="1" xml:space="preserve"> IF( AND( OFFSET($A$1, 490 - 1, 54 - 1) = "1", OFFSET($A$1, 490 - 1, 55 - 1) = "1" ), 1, IF( AND( OFFSET($A$1, 490 - 1, 54 - 1) = "1", OFFSET($A$1, 490 - 1, 55 - 1) = "0" ), 2, IF( AND( OFFSET($A$1, 490 - 1, 54 - 1) = "0", OFFSET($A$1, 490 - 1, 55 - 1) = "1" ), 3, 4 ) ) )</f>
        <v>4</v>
      </c>
      <c r="BF490" s="3">
        <v>0.25350930461066851</v>
      </c>
      <c r="BG490" s="3" t="str">
        <f>"1"</f>
        <v>1</v>
      </c>
      <c r="BH490" t="str">
        <f ca="1">IF((OFFSET($A$1, 490 - 1, 58 - 1)) &gt;= (OFFSET($A$1, 93 - 1, 7 - 1)), "1","0")</f>
        <v>0</v>
      </c>
      <c r="BI490">
        <f ca="1" xml:space="preserve"> IF( AND( OFFSET($A$1, 490 - 1, 59 - 1) = "1", OFFSET($A$1, 490 - 1, 60 - 1) = "1" ), 1, IF( AND( OFFSET($A$1, 490 - 1, 59 - 1) = "1", OFFSET($A$1, 490 - 1, 60 - 1) = "0" ), 2, IF( AND( OFFSET($A$1, 490 - 1, 59 - 1) = "0", OFFSET($A$1, 490 - 1, 60 - 1) = "1" ), 3, 4 ) ) )</f>
        <v>2</v>
      </c>
    </row>
    <row r="491" spans="53:61" x14ac:dyDescent="0.35">
      <c r="BA491" s="3">
        <v>0.25409301187375699</v>
      </c>
      <c r="BB491" s="3" t="str">
        <f>"0"</f>
        <v>0</v>
      </c>
      <c r="BC491" t="str">
        <f ca="1">IF((OFFSET($A$1, 491 - 1, 53 - 1)) &gt;= (OFFSET($A$1, 69 - 1, 7 - 1)), "1","0")</f>
        <v>0</v>
      </c>
      <c r="BD491">
        <f ca="1" xml:space="preserve"> IF( AND( OFFSET($A$1, 491 - 1, 54 - 1) = "1", OFFSET($A$1, 491 - 1, 55 - 1) = "1" ), 1, IF( AND( OFFSET($A$1, 491 - 1, 54 - 1) = "1", OFFSET($A$1, 491 - 1, 55 - 1) = "0" ), 2, IF( AND( OFFSET($A$1, 491 - 1, 54 - 1) = "0", OFFSET($A$1, 491 - 1, 55 - 1) = "1" ), 3, 4 ) ) )</f>
        <v>4</v>
      </c>
      <c r="BF491" s="3">
        <v>0.51612431843559647</v>
      </c>
      <c r="BG491" s="3" t="str">
        <f>"0"</f>
        <v>0</v>
      </c>
      <c r="BH491" t="str">
        <f ca="1">IF((OFFSET($A$1, 491 - 1, 58 - 1)) &gt;= (OFFSET($A$1, 93 - 1, 7 - 1)), "1","0")</f>
        <v>1</v>
      </c>
      <c r="BI491">
        <f ca="1" xml:space="preserve"> IF( AND( OFFSET($A$1, 491 - 1, 59 - 1) = "1", OFFSET($A$1, 491 - 1, 60 - 1) = "1" ), 1, IF( AND( OFFSET($A$1, 491 - 1, 59 - 1) = "1", OFFSET($A$1, 491 - 1, 60 - 1) = "0" ), 2, IF( AND( OFFSET($A$1, 491 - 1, 59 - 1) = "0", OFFSET($A$1, 491 - 1, 60 - 1) = "1" ), 3, 4 ) ) )</f>
        <v>3</v>
      </c>
    </row>
    <row r="492" spans="53:61" x14ac:dyDescent="0.35">
      <c r="BA492" s="3">
        <v>0.25526414132446612</v>
      </c>
      <c r="BB492" s="3" t="str">
        <f>"0"</f>
        <v>0</v>
      </c>
      <c r="BC492" t="str">
        <f ca="1">IF((OFFSET($A$1, 492 - 1, 53 - 1)) &gt;= (OFFSET($A$1, 69 - 1, 7 - 1)), "1","0")</f>
        <v>0</v>
      </c>
      <c r="BD492">
        <f ca="1" xml:space="preserve"> IF( AND( OFFSET($A$1, 492 - 1, 54 - 1) = "1", OFFSET($A$1, 492 - 1, 55 - 1) = "1" ), 1, IF( AND( OFFSET($A$1, 492 - 1, 54 - 1) = "1", OFFSET($A$1, 492 - 1, 55 - 1) = "0" ), 2, IF( AND( OFFSET($A$1, 492 - 1, 54 - 1) = "0", OFFSET($A$1, 492 - 1, 55 - 1) = "1" ), 3, 4 ) ) )</f>
        <v>4</v>
      </c>
      <c r="BF492" s="3">
        <v>0.2558514782629866</v>
      </c>
      <c r="BG492" s="3" t="str">
        <f>"0"</f>
        <v>0</v>
      </c>
      <c r="BH492" t="str">
        <f ca="1">IF((OFFSET($A$1, 492 - 1, 58 - 1)) &gt;= (OFFSET($A$1, 93 - 1, 7 - 1)), "1","0")</f>
        <v>0</v>
      </c>
      <c r="BI492">
        <f ca="1" xml:space="preserve"> IF( AND( OFFSET($A$1, 492 - 1, 59 - 1) = "1", OFFSET($A$1, 492 - 1, 60 - 1) = "1" ), 1, IF( AND( OFFSET($A$1, 492 - 1, 59 - 1) = "1", OFFSET($A$1, 492 - 1, 60 - 1) = "0" ), 2, IF( AND( OFFSET($A$1, 492 - 1, 59 - 1) = "0", OFFSET($A$1, 492 - 1, 60 - 1) = "1" ), 3, 4 ) ) )</f>
        <v>4</v>
      </c>
    </row>
    <row r="493" spans="53:61" x14ac:dyDescent="0.35">
      <c r="BA493" s="3">
        <v>0.25643993934950632</v>
      </c>
      <c r="BB493" s="3" t="str">
        <f>"0"</f>
        <v>0</v>
      </c>
      <c r="BC493" t="str">
        <f ca="1">IF((OFFSET($A$1, 493 - 1, 53 - 1)) &gt;= (OFFSET($A$1, 69 - 1, 7 - 1)), "1","0")</f>
        <v>0</v>
      </c>
      <c r="BD493">
        <f ca="1" xml:space="preserve"> IF( AND( OFFSET($A$1, 493 - 1, 54 - 1) = "1", OFFSET($A$1, 493 - 1, 55 - 1) = "1" ), 1, IF( AND( OFFSET($A$1, 493 - 1, 54 - 1) = "1", OFFSET($A$1, 493 - 1, 55 - 1) = "0" ), 2, IF( AND( OFFSET($A$1, 493 - 1, 54 - 1) = "0", OFFSET($A$1, 493 - 1, 55 - 1) = "1" ), 3, 4 ) ) )</f>
        <v>4</v>
      </c>
      <c r="BF493" s="3">
        <v>0.25702948122230024</v>
      </c>
      <c r="BG493" s="3" t="str">
        <f>"0"</f>
        <v>0</v>
      </c>
      <c r="BH493" t="str">
        <f ca="1">IF((OFFSET($A$1, 493 - 1, 58 - 1)) &gt;= (OFFSET($A$1, 93 - 1, 7 - 1)), "1","0")</f>
        <v>0</v>
      </c>
      <c r="BI493">
        <f ca="1" xml:space="preserve"> IF( AND( OFFSET($A$1, 493 - 1, 59 - 1) = "1", OFFSET($A$1, 493 - 1, 60 - 1) = "1" ), 1, IF( AND( OFFSET($A$1, 493 - 1, 59 - 1) = "1", OFFSET($A$1, 493 - 1, 60 - 1) = "0" ), 2, IF( AND( OFFSET($A$1, 493 - 1, 59 - 1) = "0", OFFSET($A$1, 493 - 1, 60 - 1) = "1" ), 3, 4 ) ) )</f>
        <v>4</v>
      </c>
    </row>
    <row r="494" spans="53:61" x14ac:dyDescent="0.35">
      <c r="BA494" s="3">
        <v>0.25762006023078865</v>
      </c>
      <c r="BB494" s="3" t="str">
        <f>"0"</f>
        <v>0</v>
      </c>
      <c r="BC494" t="str">
        <f ca="1">IF((OFFSET($A$1, 494 - 1, 53 - 1)) &gt;= (OFFSET($A$1, 69 - 1, 7 - 1)), "1","0")</f>
        <v>0</v>
      </c>
      <c r="BD494">
        <f ca="1" xml:space="preserve"> IF( AND( OFFSET($A$1, 494 - 1, 54 - 1) = "1", OFFSET($A$1, 494 - 1, 55 - 1) = "1" ), 1, IF( AND( OFFSET($A$1, 494 - 1, 54 - 1) = "1", OFFSET($A$1, 494 - 1, 55 - 1) = "0" ), 2, IF( AND( OFFSET($A$1, 494 - 1, 54 - 1) = "0", OFFSET($A$1, 494 - 1, 55 - 1) = "1" ), 3, 4 ) ) )</f>
        <v>4</v>
      </c>
      <c r="BF494" s="3">
        <v>0.25821163243902162</v>
      </c>
      <c r="BG494" s="3" t="str">
        <f>"1"</f>
        <v>1</v>
      </c>
      <c r="BH494" t="str">
        <f ca="1">IF((OFFSET($A$1, 494 - 1, 58 - 1)) &gt;= (OFFSET($A$1, 93 - 1, 7 - 1)), "1","0")</f>
        <v>0</v>
      </c>
      <c r="BI494">
        <f ca="1" xml:space="preserve"> IF( AND( OFFSET($A$1, 494 - 1, 59 - 1) = "1", OFFSET($A$1, 494 - 1, 60 - 1) = "1" ), 1, IF( AND( OFFSET($A$1, 494 - 1, 59 - 1) = "1", OFFSET($A$1, 494 - 1, 60 - 1) = "0" ), 2, IF( AND( OFFSET($A$1, 494 - 1, 59 - 1) = "0", OFFSET($A$1, 494 - 1, 60 - 1) = "1" ), 3, 4 ) ) )</f>
        <v>2</v>
      </c>
    </row>
    <row r="495" spans="53:61" x14ac:dyDescent="0.35">
      <c r="BA495" s="3">
        <v>0.25880415362926845</v>
      </c>
      <c r="BB495" s="3" t="str">
        <f>"0"</f>
        <v>0</v>
      </c>
      <c r="BC495" t="str">
        <f ca="1">IF((OFFSET($A$1, 495 - 1, 53 - 1)) &gt;= (OFFSET($A$1, 69 - 1, 7 - 1)), "1","0")</f>
        <v>0</v>
      </c>
      <c r="BD495">
        <f ca="1" xml:space="preserve"> IF( AND( OFFSET($A$1, 495 - 1, 54 - 1) = "1", OFFSET($A$1, 495 - 1, 55 - 1) = "1" ), 1, IF( AND( OFFSET($A$1, 495 - 1, 54 - 1) = "1", OFFSET($A$1, 495 - 1, 55 - 1) = "0" ), 2, IF( AND( OFFSET($A$1, 495 - 1, 54 - 1) = "0", OFFSET($A$1, 495 - 1, 55 - 1) = "1" ), 3, 4 ) ) )</f>
        <v>4</v>
      </c>
      <c r="BF495" s="3">
        <v>0.52229374279665053</v>
      </c>
      <c r="BG495" s="3" t="str">
        <f>"0"</f>
        <v>0</v>
      </c>
      <c r="BH495" t="str">
        <f ca="1">IF((OFFSET($A$1, 495 - 1, 58 - 1)) &gt;= (OFFSET($A$1, 93 - 1, 7 - 1)), "1","0")</f>
        <v>1</v>
      </c>
      <c r="BI495">
        <f ca="1" xml:space="preserve"> IF( AND( OFFSET($A$1, 495 - 1, 59 - 1) = "1", OFFSET($A$1, 495 - 1, 60 - 1) = "1" ), 1, IF( AND( OFFSET($A$1, 495 - 1, 59 - 1) = "1", OFFSET($A$1, 495 - 1, 60 - 1) = "0" ), 2, IF( AND( OFFSET($A$1, 495 - 1, 59 - 1) = "0", OFFSET($A$1, 495 - 1, 60 - 1) = "1" ), 3, 4 ) ) )</f>
        <v>3</v>
      </c>
    </row>
    <row r="496" spans="53:61" x14ac:dyDescent="0.35">
      <c r="BA496" s="3">
        <v>0.25999186469813301</v>
      </c>
      <c r="BB496" s="3" t="str">
        <f>"1"</f>
        <v>1</v>
      </c>
      <c r="BC496" t="str">
        <f ca="1">IF((OFFSET($A$1, 496 - 1, 53 - 1)) &gt;= (OFFSET($A$1, 69 - 1, 7 - 1)), "1","0")</f>
        <v>0</v>
      </c>
      <c r="BD496">
        <f ca="1" xml:space="preserve"> IF( AND( OFFSET($A$1, 496 - 1, 54 - 1) = "1", OFFSET($A$1, 496 - 1, 55 - 1) = "1" ), 1, IF( AND( OFFSET($A$1, 496 - 1, 54 - 1) = "1", OFFSET($A$1, 496 - 1, 55 - 1) = "0" ), 2, IF( AND( OFFSET($A$1, 496 - 1, 54 - 1) = "0", OFFSET($A$1, 496 - 1, 55 - 1) = "1" ), 3, 4 ) ) )</f>
        <v>2</v>
      </c>
      <c r="BF496" s="3">
        <v>0.26058696476596915</v>
      </c>
      <c r="BG496" s="3" t="str">
        <f>"1"</f>
        <v>1</v>
      </c>
      <c r="BH496" t="str">
        <f ca="1">IF((OFFSET($A$1, 496 - 1, 58 - 1)) &gt;= (OFFSET($A$1, 93 - 1, 7 - 1)), "1","0")</f>
        <v>0</v>
      </c>
      <c r="BI496">
        <f ca="1" xml:space="preserve"> IF( AND( OFFSET($A$1, 496 - 1, 59 - 1) = "1", OFFSET($A$1, 496 - 1, 60 - 1) = "1" ), 1, IF( AND( OFFSET($A$1, 496 - 1, 59 - 1) = "1", OFFSET($A$1, 496 - 1, 60 - 1) = "0" ), 2, IF( AND( OFFSET($A$1, 496 - 1, 59 - 1) = "0", OFFSET($A$1, 496 - 1, 60 - 1) = "1" ), 3, 4 ) ) )</f>
        <v>2</v>
      </c>
    </row>
    <row r="497" spans="53:61" x14ac:dyDescent="0.35">
      <c r="BA497" s="3">
        <v>0.52460668738116878</v>
      </c>
      <c r="BB497" s="3" t="str">
        <f>"0"</f>
        <v>0</v>
      </c>
      <c r="BC497" t="str">
        <f ca="1">IF((OFFSET($A$1, 497 - 1, 53 - 1)) &gt;= (OFFSET($A$1, 69 - 1, 7 - 1)), "1","0")</f>
        <v>1</v>
      </c>
      <c r="BD497">
        <f ca="1" xml:space="preserve"> IF( AND( OFFSET($A$1, 497 - 1, 54 - 1) = "1", OFFSET($A$1, 497 - 1, 55 - 1) = "1" ), 1, IF( AND( OFFSET($A$1, 497 - 1, 54 - 1) = "1", OFFSET($A$1, 497 - 1, 55 - 1) = "0" ), 2, IF( AND( OFFSET($A$1, 497 - 1, 54 - 1) = "0", OFFSET($A$1, 497 - 1, 55 - 1) = "1" ), 3, 4 ) ) )</f>
        <v>3</v>
      </c>
      <c r="BF497" s="3">
        <v>0.52537711181943503</v>
      </c>
      <c r="BG497" s="3" t="str">
        <f>"1"</f>
        <v>1</v>
      </c>
      <c r="BH497" t="str">
        <f ca="1">IF((OFFSET($A$1, 497 - 1, 58 - 1)) &gt;= (OFFSET($A$1, 93 - 1, 7 - 1)), "1","0")</f>
        <v>1</v>
      </c>
      <c r="BI497">
        <f ca="1" xml:space="preserve"> IF( AND( OFFSET($A$1, 497 - 1, 59 - 1) = "1", OFFSET($A$1, 497 - 1, 60 - 1) = "1" ), 1, IF( AND( OFFSET($A$1, 497 - 1, 59 - 1) = "1", OFFSET($A$1, 497 - 1, 60 - 1) = "0" ), 2, IF( AND( OFFSET($A$1, 497 - 1, 59 - 1) = "0", OFFSET($A$1, 497 - 1, 60 - 1) = "1" ), 3, 4 ) ) )</f>
        <v>1</v>
      </c>
    </row>
    <row r="498" spans="53:61" x14ac:dyDescent="0.35">
      <c r="BA498" s="3">
        <v>0.26237669864266494</v>
      </c>
      <c r="BB498" s="3" t="str">
        <f>"0"</f>
        <v>0</v>
      </c>
      <c r="BC498" t="str">
        <f ca="1">IF((OFFSET($A$1, 498 - 1, 53 - 1)) &gt;= (OFFSET($A$1, 69 - 1, 7 - 1)), "1","0")</f>
        <v>0</v>
      </c>
      <c r="BD498">
        <f ca="1" xml:space="preserve"> IF( AND( OFFSET($A$1, 498 - 1, 54 - 1) = "1", OFFSET($A$1, 498 - 1, 55 - 1) = "1" ), 1, IF( AND( OFFSET($A$1, 498 - 1, 54 - 1) = "1", OFFSET($A$1, 498 - 1, 55 - 1) = "0" ), 2, IF( AND( OFFSET($A$1, 498 - 1, 54 - 1) = "0", OFFSET($A$1, 498 - 1, 55 - 1) = "1" ), 3, 4 ) ) )</f>
        <v>4</v>
      </c>
      <c r="BF498" s="3">
        <v>0.526916761754606</v>
      </c>
      <c r="BG498" s="3" t="str">
        <f>"1"</f>
        <v>1</v>
      </c>
      <c r="BH498" t="str">
        <f ca="1">IF((OFFSET($A$1, 498 - 1, 58 - 1)) &gt;= (OFFSET($A$1, 93 - 1, 7 - 1)), "1","0")</f>
        <v>1</v>
      </c>
      <c r="BI498">
        <f ca="1" xml:space="preserve"> IF( AND( OFFSET($A$1, 498 - 1, 59 - 1) = "1", OFFSET($A$1, 498 - 1, 60 - 1) = "1" ), 1, IF( AND( OFFSET($A$1, 498 - 1, 59 - 1) = "1", OFFSET($A$1, 498 - 1, 60 - 1) = "0" ), 2, IF( AND( OFFSET($A$1, 498 - 1, 59 - 1) = "0", OFFSET($A$1, 498 - 1, 60 - 1) = "1" ), 3, 4 ) ) )</f>
        <v>1</v>
      </c>
    </row>
    <row r="499" spans="53:61" x14ac:dyDescent="0.35">
      <c r="BA499" s="3">
        <v>0.26357309038948196</v>
      </c>
      <c r="BB499" s="3" t="str">
        <f>"0"</f>
        <v>0</v>
      </c>
      <c r="BC499" t="str">
        <f ca="1">IF((OFFSET($A$1, 499 - 1, 53 - 1)) &gt;= (OFFSET($A$1, 69 - 1, 7 - 1)), "1","0")</f>
        <v>0</v>
      </c>
      <c r="BD499">
        <f ca="1" xml:space="preserve"> IF( AND( OFFSET($A$1, 499 - 1, 54 - 1) = "1", OFFSET($A$1, 499 - 1, 55 - 1) = "1" ), 1, IF( AND( OFFSET($A$1, 499 - 1, 54 - 1) = "1", OFFSET($A$1, 499 - 1, 55 - 1) = "0" ), 2, IF( AND( OFFSET($A$1, 499 - 1, 54 - 1) = "0", OFFSET($A$1, 499 - 1, 55 - 1) = "1" ), 3, 4 ) ) )</f>
        <v>4</v>
      </c>
      <c r="BF499" s="3">
        <v>0.5284544103053963</v>
      </c>
      <c r="BG499" s="3" t="str">
        <f>"1"</f>
        <v>1</v>
      </c>
      <c r="BH499" t="str">
        <f ca="1">IF((OFFSET($A$1, 499 - 1, 58 - 1)) &gt;= (OFFSET($A$1, 93 - 1, 7 - 1)), "1","0")</f>
        <v>1</v>
      </c>
      <c r="BI499">
        <f ca="1" xml:space="preserve"> IF( AND( OFFSET($A$1, 499 - 1, 59 - 1) = "1", OFFSET($A$1, 499 - 1, 60 - 1) = "1" ), 1, IF( AND( OFFSET($A$1, 499 - 1, 59 - 1) = "1", OFFSET($A$1, 499 - 1, 60 - 1) = "0" ), 2, IF( AND( OFFSET($A$1, 499 - 1, 59 - 1) = "0", OFFSET($A$1, 499 - 1, 60 - 1) = "1" ), 3, 4 ) ) )</f>
        <v>1</v>
      </c>
    </row>
    <row r="500" spans="53:61" x14ac:dyDescent="0.35">
      <c r="BA500" s="3">
        <v>0.26477163781734125</v>
      </c>
      <c r="BB500" s="3" t="str">
        <f>"0"</f>
        <v>0</v>
      </c>
      <c r="BC500" t="str">
        <f ca="1">IF((OFFSET($A$1, 500 - 1, 53 - 1)) &gt;= (OFFSET($A$1, 69 - 1, 7 - 1)), "1","0")</f>
        <v>0</v>
      </c>
      <c r="BD500">
        <f ca="1" xml:space="preserve"> IF( AND( OFFSET($A$1, 500 - 1, 54 - 1) = "1", OFFSET($A$1, 500 - 1, 55 - 1) = "1" ), 1, IF( AND( OFFSET($A$1, 500 - 1, 54 - 1) = "1", OFFSET($A$1, 500 - 1, 55 - 1) = "0" ), 2, IF( AND( OFFSET($A$1, 500 - 1, 54 - 1) = "0", OFFSET($A$1, 500 - 1, 55 - 1) = "1" ), 3, 4 ) ) )</f>
        <v>4</v>
      </c>
      <c r="BF500" s="3">
        <v>0.52998957523164747</v>
      </c>
      <c r="BG500" s="3" t="str">
        <f>"1"</f>
        <v>1</v>
      </c>
      <c r="BH500" t="str">
        <f ca="1">IF((OFFSET($A$1, 500 - 1, 58 - 1)) &gt;= (OFFSET($A$1, 93 - 1, 7 - 1)), "1","0")</f>
        <v>1</v>
      </c>
      <c r="BI500">
        <f ca="1" xml:space="preserve"> IF( AND( OFFSET($A$1, 500 - 1, 59 - 1) = "1", OFFSET($A$1, 500 - 1, 60 - 1) = "1" ), 1, IF( AND( OFFSET($A$1, 500 - 1, 59 - 1) = "1", OFFSET($A$1, 500 - 1, 60 - 1) = "0" ), 2, IF( AND( OFFSET($A$1, 500 - 1, 59 - 1) = "0", OFFSET($A$1, 500 - 1, 60 - 1) = "1" ), 3, 4 ) ) )</f>
        <v>1</v>
      </c>
    </row>
    <row r="501" spans="53:61" x14ac:dyDescent="0.35">
      <c r="BA501" s="3">
        <v>0.26597196544908169</v>
      </c>
      <c r="BB501" s="3" t="str">
        <f>"0"</f>
        <v>0</v>
      </c>
      <c r="BC501" t="str">
        <f ca="1">IF((OFFSET($A$1, 501 - 1, 53 - 1)) &gt;= (OFFSET($A$1, 69 - 1, 7 - 1)), "1","0")</f>
        <v>0</v>
      </c>
      <c r="BD501">
        <f ca="1" xml:space="preserve"> IF( AND( OFFSET($A$1, 501 - 1, 54 - 1) = "1", OFFSET($A$1, 501 - 1, 55 - 1) = "1" ), 1, IF( AND( OFFSET($A$1, 501 - 1, 54 - 1) = "1", OFFSET($A$1, 501 - 1, 55 - 1) = "0" ), 2, IF( AND( OFFSET($A$1, 501 - 1, 54 - 1) = "0", OFFSET($A$1, 501 - 1, 55 - 1) = "1" ), 3, 4 ) ) )</f>
        <v>4</v>
      </c>
      <c r="BF501" s="3">
        <v>0.53152177576434601</v>
      </c>
      <c r="BG501" s="3" t="str">
        <f>"0"</f>
        <v>0</v>
      </c>
      <c r="BH501" t="str">
        <f ca="1">IF((OFFSET($A$1, 501 - 1, 58 - 1)) &gt;= (OFFSET($A$1, 93 - 1, 7 - 1)), "1","0")</f>
        <v>1</v>
      </c>
      <c r="BI501">
        <f ca="1" xml:space="preserve"> IF( AND( OFFSET($A$1, 501 - 1, 59 - 1) = "1", OFFSET($A$1, 501 - 1, 60 - 1) = "1" ), 1, IF( AND( OFFSET($A$1, 501 - 1, 59 - 1) = "1", OFFSET($A$1, 501 - 1, 60 - 1) = "0" ), 2, IF( AND( OFFSET($A$1, 501 - 1, 59 - 1) = "0", OFFSET($A$1, 501 - 1, 60 - 1) = "1" ), 3, 4 ) ) )</f>
        <v>3</v>
      </c>
    </row>
    <row r="502" spans="53:61" x14ac:dyDescent="0.35">
      <c r="BA502" s="3">
        <v>0.26717369410405684</v>
      </c>
      <c r="BB502" s="3" t="str">
        <f>"0"</f>
        <v>0</v>
      </c>
      <c r="BC502" t="str">
        <f ca="1">IF((OFFSET($A$1, 502 - 1, 53 - 1)) &gt;= (OFFSET($A$1, 69 - 1, 7 - 1)), "1","0")</f>
        <v>0</v>
      </c>
      <c r="BD502">
        <f ca="1" xml:space="preserve"> IF( AND( OFFSET($A$1, 502 - 1, 54 - 1) = "1", OFFSET($A$1, 502 - 1, 55 - 1) = "1" ), 1, IF( AND( OFFSET($A$1, 502 - 1, 54 - 1) = "1", OFFSET($A$1, 502 - 1, 55 - 1) = "0" ), 2, IF( AND( OFFSET($A$1, 502 - 1, 54 - 1) = "0", OFFSET($A$1, 502 - 1, 55 - 1) = "1" ), 3, 4 ) ) )</f>
        <v>4</v>
      </c>
      <c r="BF502" s="3">
        <v>0.26777496434641607</v>
      </c>
      <c r="BG502" s="3" t="str">
        <f>"0"</f>
        <v>0</v>
      </c>
      <c r="BH502" t="str">
        <f ca="1">IF((OFFSET($A$1, 502 - 1, 58 - 1)) &gt;= (OFFSET($A$1, 93 - 1, 7 - 1)), "1","0")</f>
        <v>0</v>
      </c>
      <c r="BI502">
        <f ca="1" xml:space="preserve"> IF( AND( OFFSET($A$1, 502 - 1, 59 - 1) = "1", OFFSET($A$1, 502 - 1, 60 - 1) = "1" ), 1, IF( AND( OFFSET($A$1, 502 - 1, 59 - 1) = "1", OFFSET($A$1, 502 - 1, 60 - 1) = "0" ), 2, IF( AND( OFFSET($A$1, 502 - 1, 59 - 1) = "0", OFFSET($A$1, 502 - 1, 60 - 1) = "1" ), 3, 4 ) ) )</f>
        <v>4</v>
      </c>
    </row>
    <row r="503" spans="53:61" x14ac:dyDescent="0.35">
      <c r="BA503" s="3">
        <v>0.26837644105211717</v>
      </c>
      <c r="BB503" s="3" t="str">
        <f>"1"</f>
        <v>1</v>
      </c>
      <c r="BC503" t="str">
        <f ca="1">IF((OFFSET($A$1, 503 - 1, 53 - 1)) &gt;= (OFFSET($A$1, 69 - 1, 7 - 1)), "1","0")</f>
        <v>0</v>
      </c>
      <c r="BD503">
        <f ca="1" xml:space="preserve"> IF( AND( OFFSET($A$1, 503 - 1, 54 - 1) = "1", OFFSET($A$1, 503 - 1, 55 - 1) = "1" ), 1, IF( AND( OFFSET($A$1, 503 - 1, 54 - 1) = "1", OFFSET($A$1, 503 - 1, 55 - 1) = "0" ), 2, IF( AND( OFFSET($A$1, 503 - 1, 54 - 1) = "0", OFFSET($A$1, 503 - 1, 55 - 1) = "1" ), 3, 4 ) ) )</f>
        <v>2</v>
      </c>
      <c r="BF503" s="3">
        <v>0.26897807585142247</v>
      </c>
      <c r="BG503" s="3" t="str">
        <f>"0"</f>
        <v>0</v>
      </c>
      <c r="BH503" t="str">
        <f ca="1">IF((OFFSET($A$1, 503 - 1, 58 - 1)) &gt;= (OFFSET($A$1, 93 - 1, 7 - 1)), "1","0")</f>
        <v>0</v>
      </c>
      <c r="BI503">
        <f ca="1" xml:space="preserve"> IF( AND( OFFSET($A$1, 503 - 1, 59 - 1) = "1", OFFSET($A$1, 503 - 1, 60 - 1) = "1" ), 1, IF( AND( OFFSET($A$1, 503 - 1, 59 - 1) = "1", OFFSET($A$1, 503 - 1, 60 - 1) = "0" ), 2, IF( AND( OFFSET($A$1, 503 - 1, 59 - 1) = "0", OFFSET($A$1, 503 - 1, 60 - 1) = "1" ), 3, 4 ) ) )</f>
        <v>4</v>
      </c>
    </row>
    <row r="504" spans="53:61" x14ac:dyDescent="0.35">
      <c r="BA504" s="3">
        <v>0.53533616864073696</v>
      </c>
      <c r="BB504" s="3" t="str">
        <f>"1"</f>
        <v>1</v>
      </c>
      <c r="BC504" t="str">
        <f ca="1">IF((OFFSET($A$1, 504 - 1, 53 - 1)) &gt;= (OFFSET($A$1, 69 - 1, 7 - 1)), "1","0")</f>
        <v>1</v>
      </c>
      <c r="BD504">
        <f ca="1" xml:space="preserve"> IF( AND( OFFSET($A$1, 504 - 1, 54 - 1) = "1", OFFSET($A$1, 504 - 1, 55 - 1) = "1" ), 1, IF( AND( OFFSET($A$1, 504 - 1, 54 - 1) = "1", OFFSET($A$1, 504 - 1, 55 - 1) = "0" ), 2, IF( AND( OFFSET($A$1, 504 - 1, 54 - 1) = "0", OFFSET($A$1, 504 - 1, 55 - 1) = "1" ), 3, 4 ) ) )</f>
        <v>1</v>
      </c>
      <c r="BF504" s="3">
        <v>0.27018162524898148</v>
      </c>
      <c r="BG504" s="3" t="str">
        <f>"0"</f>
        <v>0</v>
      </c>
      <c r="BH504" t="str">
        <f ca="1">IF((OFFSET($A$1, 504 - 1, 58 - 1)) &gt;= (OFFSET($A$1, 93 - 1, 7 - 1)), "1","0")</f>
        <v>0</v>
      </c>
      <c r="BI504">
        <f ca="1" xml:space="preserve"> IF( AND( OFFSET($A$1, 504 - 1, 59 - 1) = "1", OFFSET($A$1, 504 - 1, 60 - 1) = "1" ), 1, IF( AND( OFFSET($A$1, 504 - 1, 59 - 1) = "1", OFFSET($A$1, 504 - 1, 60 - 1) = "0" ), 2, IF( AND( OFFSET($A$1, 504 - 1, 59 - 1) = "0", OFFSET($A$1, 504 - 1, 60 - 1) = "1" ), 3, 4 ) ) )</f>
        <v>4</v>
      </c>
    </row>
    <row r="505" spans="53:61" x14ac:dyDescent="0.35">
      <c r="BA505" s="3">
        <v>0.53685423404213117</v>
      </c>
      <c r="BB505" s="3" t="str">
        <f>"0"</f>
        <v>0</v>
      </c>
      <c r="BC505" t="str">
        <f ca="1">IF((OFFSET($A$1, 505 - 1, 53 - 1)) &gt;= (OFFSET($A$1, 69 - 1, 7 - 1)), "1","0")</f>
        <v>1</v>
      </c>
      <c r="BD505">
        <f ca="1" xml:space="preserve"> IF( AND( OFFSET($A$1, 505 - 1, 54 - 1) = "1", OFFSET($A$1, 505 - 1, 55 - 1) = "1" ), 1, IF( AND( OFFSET($A$1, 505 - 1, 54 - 1) = "1", OFFSET($A$1, 505 - 1, 55 - 1) = "0" ), 2, IF( AND( OFFSET($A$1, 505 - 1, 54 - 1) = "0", OFFSET($A$1, 505 - 1, 55 - 1) = "1" ), 3, 4 ) ) )</f>
        <v>3</v>
      </c>
      <c r="BF505" s="3">
        <v>0.27138522164371814</v>
      </c>
      <c r="BG505" s="3" t="str">
        <f>"0"</f>
        <v>0</v>
      </c>
      <c r="BH505" t="str">
        <f ca="1">IF((OFFSET($A$1, 505 - 1, 58 - 1)) &gt;= (OFFSET($A$1, 93 - 1, 7 - 1)), "1","0")</f>
        <v>0</v>
      </c>
      <c r="BI505">
        <f ca="1" xml:space="preserve"> IF( AND( OFFSET($A$1, 505 - 1, 59 - 1) = "1", OFFSET($A$1, 505 - 1, 60 - 1) = "1" ), 1, IF( AND( OFFSET($A$1, 505 - 1, 59 - 1) = "1", OFFSET($A$1, 505 - 1, 60 - 1) = "0" ), 2, IF( AND( OFFSET($A$1, 505 - 1, 59 - 1) = "0", OFFSET($A$1, 505 - 1, 60 - 1) = "1" ), 3, 4 ) ) )</f>
        <v>4</v>
      </c>
    </row>
    <row r="506" spans="53:61" x14ac:dyDescent="0.35">
      <c r="BA506" s="3">
        <v>0.27198691449350543</v>
      </c>
      <c r="BB506" s="3" t="str">
        <f>"0"</f>
        <v>0</v>
      </c>
      <c r="BC506" t="str">
        <f ca="1">IF((OFFSET($A$1, 506 - 1, 53 - 1)) &gt;= (OFFSET($A$1, 69 - 1, 7 - 1)), "1","0")</f>
        <v>0</v>
      </c>
      <c r="BD506">
        <f ca="1" xml:space="preserve"> IF( AND( OFFSET($A$1, 506 - 1, 54 - 1) = "1", OFFSET($A$1, 506 - 1, 55 - 1) = "1" ), 1, IF( AND( OFFSET($A$1, 506 - 1, 54 - 1) = "1", OFFSET($A$1, 506 - 1, 55 - 1) = "0" ), 2, IF( AND( OFFSET($A$1, 506 - 1, 54 - 1) = "0", OFFSET($A$1, 506 - 1, 55 - 1) = "1" ), 3, 4 ) ) )</f>
        <v>4</v>
      </c>
      <c r="BF506" s="3">
        <v>0.27258847117097668</v>
      </c>
      <c r="BG506" s="3" t="str">
        <f>"0"</f>
        <v>0</v>
      </c>
      <c r="BH506" t="str">
        <f ca="1">IF((OFFSET($A$1, 506 - 1, 58 - 1)) &gt;= (OFFSET($A$1, 93 - 1, 7 - 1)), "1","0")</f>
        <v>0</v>
      </c>
      <c r="BI506">
        <f ca="1" xml:space="preserve"> IF( AND( OFFSET($A$1, 506 - 1, 59 - 1) = "1", OFFSET($A$1, 506 - 1, 60 - 1) = "1" ), 1, IF( AND( OFFSET($A$1, 506 - 1, 59 - 1) = "1", OFFSET($A$1, 506 - 1, 60 - 1) = "0" ), 2, IF( AND( OFFSET($A$1, 506 - 1, 59 - 1) = "0", OFFSET($A$1, 506 - 1, 60 - 1) = "1" ), 3, 4 ) ) )</f>
        <v>4</v>
      </c>
    </row>
    <row r="507" spans="53:61" x14ac:dyDescent="0.35">
      <c r="BA507" s="3">
        <v>0.27318984200812374</v>
      </c>
      <c r="BB507" s="3" t="str">
        <f>"1"</f>
        <v>1</v>
      </c>
      <c r="BC507" t="str">
        <f ca="1">IF((OFFSET($A$1, 507 - 1, 53 - 1)) &gt;= (OFFSET($A$1, 69 - 1, 7 - 1)), "1","0")</f>
        <v>0</v>
      </c>
      <c r="BD507">
        <f ca="1" xml:space="preserve"> IF( AND( OFFSET($A$1, 507 - 1, 54 - 1) = "1", OFFSET($A$1, 507 - 1, 55 - 1) = "1" ), 1, IF( AND( OFFSET($A$1, 507 - 1, 54 - 1) = "1", OFFSET($A$1, 507 - 1, 55 - 1) = "0" ), 2, IF( AND( OFFSET($A$1, 507 - 1, 54 - 1) = "0", OFFSET($A$1, 507 - 1, 55 - 1) = "1" ), 3, 4 ) ) )</f>
        <v>2</v>
      </c>
      <c r="BF507" s="3">
        <v>0.27379097717372958</v>
      </c>
      <c r="BG507" s="3" t="str">
        <f>"0"</f>
        <v>0</v>
      </c>
      <c r="BH507" t="str">
        <f ca="1">IF((OFFSET($A$1, 507 - 1, 58 - 1)) &gt;= (OFFSET($A$1, 93 - 1, 7 - 1)), "1","0")</f>
        <v>0</v>
      </c>
      <c r="BI507">
        <f ca="1" xml:space="preserve"> IF( AND( OFFSET($A$1, 507 - 1, 59 - 1) = "1", OFFSET($A$1, 507 - 1, 60 - 1) = "1" ), 1, IF( AND( OFFSET($A$1, 507 - 1, 59 - 1) = "1", OFFSET($A$1, 507 - 1, 60 - 1) = "0" ), 2, IF( AND( OFFSET($A$1, 507 - 1, 59 - 1) = "0", OFFSET($A$1, 507 - 1, 60 - 1) = "1" ), 3, 4 ) ) )</f>
        <v>4</v>
      </c>
    </row>
    <row r="508" spans="53:61" x14ac:dyDescent="0.35">
      <c r="BA508" s="3">
        <v>0.54137593427962583</v>
      </c>
      <c r="BB508" s="3" t="str">
        <f>"1"</f>
        <v>1</v>
      </c>
      <c r="BC508" t="str">
        <f ca="1">IF((OFFSET($A$1, 508 - 1, 53 - 1)) &gt;= (OFFSET($A$1, 69 - 1, 7 - 1)), "1","0")</f>
        <v>1</v>
      </c>
      <c r="BD508">
        <f ca="1" xml:space="preserve"> IF( AND( OFFSET($A$1, 508 - 1, 54 - 1) = "1", OFFSET($A$1, 508 - 1, 55 - 1) = "1" ), 1, IF( AND( OFFSET($A$1, 508 - 1, 54 - 1) = "1", OFFSET($A$1, 508 - 1, 55 - 1) = "0" ), 2, IF( AND( OFFSET($A$1, 508 - 1, 54 - 1) = "0", OFFSET($A$1, 508 - 1, 55 - 1) = "1" ), 3, 4 ) ) )</f>
        <v>1</v>
      </c>
      <c r="BF508" s="3">
        <v>0.27499234038413867</v>
      </c>
      <c r="BG508" s="3" t="str">
        <f>"1"</f>
        <v>1</v>
      </c>
      <c r="BH508" t="str">
        <f ca="1">IF((OFFSET($A$1, 508 - 1, 58 - 1)) &gt;= (OFFSET($A$1, 93 - 1, 7 - 1)), "1","0")</f>
        <v>0</v>
      </c>
      <c r="BI508">
        <f ca="1" xml:space="preserve"> IF( AND( OFFSET($A$1, 508 - 1, 59 - 1) = "1", OFFSET($A$1, 508 - 1, 60 - 1) = "1" ), 1, IF( AND( OFFSET($A$1, 508 - 1, 59 - 1) = "1", OFFSET($A$1, 508 - 1, 60 - 1) = "0" ), 2, IF( AND( OFFSET($A$1, 508 - 1, 59 - 1) = "0", OFFSET($A$1, 508 - 1, 60 - 1) = "1" ), 3, 4 ) ) )</f>
        <v>2</v>
      </c>
    </row>
    <row r="509" spans="53:61" x14ac:dyDescent="0.35">
      <c r="BA509" s="3">
        <v>0.54287078245327014</v>
      </c>
      <c r="BB509" s="3" t="str">
        <f>"0"</f>
        <v>0</v>
      </c>
      <c r="BC509" t="str">
        <f ca="1">IF((OFFSET($A$1, 509 - 1, 53 - 1)) &gt;= (OFFSET($A$1, 69 - 1, 7 - 1)), "1","0")</f>
        <v>1</v>
      </c>
      <c r="BD509">
        <f ca="1" xml:space="preserve"> IF( AND( OFFSET($A$1, 509 - 1, 54 - 1) = "1", OFFSET($A$1, 509 - 1, 55 - 1) = "1" ), 1, IF( AND( OFFSET($A$1, 509 - 1, 54 - 1) = "1", OFFSET($A$1, 509 - 1, 55 - 1) = "0" ), 2, IF( AND( OFFSET($A$1, 509 - 1, 54 - 1) = "0", OFFSET($A$1, 509 - 1, 55 - 1) = "1" ), 3, 4 ) ) )</f>
        <v>3</v>
      </c>
      <c r="BF509" s="3">
        <v>0.54361562455518497</v>
      </c>
      <c r="BG509" s="3" t="str">
        <f>"1"</f>
        <v>1</v>
      </c>
      <c r="BH509" t="str">
        <f ca="1">IF((OFFSET($A$1, 509 - 1, 58 - 1)) &gt;= (OFFSET($A$1, 93 - 1, 7 - 1)), "1","0")</f>
        <v>1</v>
      </c>
      <c r="BI509">
        <f ca="1" xml:space="preserve"> IF( AND( OFFSET($A$1, 509 - 1, 59 - 1) = "1", OFFSET($A$1, 509 - 1, 60 - 1) = "1" ), 1, IF( AND( OFFSET($A$1, 509 - 1, 59 - 1) = "1", OFFSET($A$1, 509 - 1, 60 - 1) = "0" ), 2, IF( AND( OFFSET($A$1, 509 - 1, 59 - 1) = "0", OFFSET($A$1, 509 - 1, 60 - 1) = "1" ), 3, 4 ) ) )</f>
        <v>1</v>
      </c>
    </row>
    <row r="510" spans="53:61" x14ac:dyDescent="0.35">
      <c r="BA510" s="3">
        <v>0.27679136314509445</v>
      </c>
      <c r="BB510" s="3" t="str">
        <f>"1"</f>
        <v>1</v>
      </c>
      <c r="BC510" t="str">
        <f ca="1">IF((OFFSET($A$1, 510 - 1, 53 - 1)) &gt;= (OFFSET($A$1, 69 - 1, 7 - 1)), "1","0")</f>
        <v>0</v>
      </c>
      <c r="BD510">
        <f ca="1" xml:space="preserve"> IF( AND( OFFSET($A$1, 510 - 1, 54 - 1) = "1", OFFSET($A$1, 510 - 1, 55 - 1) = "1" ), 1, IF( AND( OFFSET($A$1, 510 - 1, 54 - 1) = "1", OFFSET($A$1, 510 - 1, 55 - 1) = "0" ), 2, IF( AND( OFFSET($A$1, 510 - 1, 54 - 1) = "0", OFFSET($A$1, 510 - 1, 55 - 1) = "1" ), 3, 4 ) ) )</f>
        <v>2</v>
      </c>
      <c r="BF510" s="3">
        <v>0.54509985901077962</v>
      </c>
      <c r="BG510" s="3" t="str">
        <f>"1"</f>
        <v>1</v>
      </c>
      <c r="BH510" t="str">
        <f ca="1">IF((OFFSET($A$1, 510 - 1, 58 - 1)) &gt;= (OFFSET($A$1, 93 - 1, 7 - 1)), "1","0")</f>
        <v>1</v>
      </c>
      <c r="BI510">
        <f ca="1" xml:space="preserve"> IF( AND( OFFSET($A$1, 510 - 1, 59 - 1) = "1", OFFSET($A$1, 510 - 1, 60 - 1) = "1" ), 1, IF( AND( OFFSET($A$1, 510 - 1, 59 - 1) = "1", OFFSET($A$1, 510 - 1, 60 - 1) = "0" ), 2, IF( AND( OFFSET($A$1, 510 - 1, 59 - 1) = "0", OFFSET($A$1, 510 - 1, 60 - 1) = "1" ), 3, 4 ) ) )</f>
        <v>1</v>
      </c>
    </row>
    <row r="511" spans="53:61" x14ac:dyDescent="0.35">
      <c r="BA511" s="3">
        <v>0.54583913771402648</v>
      </c>
      <c r="BB511" s="3" t="str">
        <f>"0"</f>
        <v>0</v>
      </c>
      <c r="BC511" t="str">
        <f ca="1">IF((OFFSET($A$1, 511 - 1, 53 - 1)) &gt;= (OFFSET($A$1, 69 - 1, 7 - 1)), "1","0")</f>
        <v>1</v>
      </c>
      <c r="BD511">
        <f ca="1" xml:space="preserve"> IF( AND( OFFSET($A$1, 511 - 1, 54 - 1) = "1", OFFSET($A$1, 511 - 1, 55 - 1) = "1" ), 1, IF( AND( OFFSET($A$1, 511 - 1, 54 - 1) = "1", OFFSET($A$1, 511 - 1, 55 - 1) = "0" ), 2, IF( AND( OFFSET($A$1, 511 - 1, 54 - 1) = "0", OFFSET($A$1, 511 - 1, 55 - 1) = "1" ), 3, 4 ) ) )</f>
        <v>3</v>
      </c>
      <c r="BF511" s="3">
        <v>0.54657644868114896</v>
      </c>
      <c r="BG511" s="3" t="str">
        <f>"0"</f>
        <v>0</v>
      </c>
      <c r="BH511" t="str">
        <f ca="1">IF((OFFSET($A$1, 511 - 1, 58 - 1)) &gt;= (OFFSET($A$1, 93 - 1, 7 - 1)), "1","0")</f>
        <v>1</v>
      </c>
      <c r="BI511">
        <f ca="1" xml:space="preserve"> IF( AND( OFFSET($A$1, 511 - 1, 59 - 1) = "1", OFFSET($A$1, 511 - 1, 60 - 1) = "1" ), 1, IF( AND( OFFSET($A$1, 511 - 1, 59 - 1) = "1", OFFSET($A$1, 511 - 1, 60 - 1) = "0" ), 2, IF( AND( OFFSET($A$1, 511 - 1, 59 - 1) = "0", OFFSET($A$1, 511 - 1, 60 - 1) = "1" ), 3, 4 ) ) )</f>
        <v>3</v>
      </c>
    </row>
    <row r="512" spans="53:61" x14ac:dyDescent="0.35">
      <c r="BA512" s="3">
        <v>0.27918229305621362</v>
      </c>
      <c r="BB512" s="3" t="str">
        <f>"1"</f>
        <v>1</v>
      </c>
      <c r="BC512" t="str">
        <f ca="1">IF((OFFSET($A$1, 512 - 1, 53 - 1)) &gt;= (OFFSET($A$1, 69 - 1, 7 - 1)), "1","0")</f>
        <v>0</v>
      </c>
      <c r="BD512">
        <f ca="1" xml:space="preserve"> IF( AND( OFFSET($A$1, 512 - 1, 54 - 1) = "1", OFFSET($A$1, 512 - 1, 55 - 1) = "1" ), 1, IF( AND( OFFSET($A$1, 512 - 1, 54 - 1) = "1", OFFSET($A$1, 512 - 1, 55 - 1) = "0" ), 2, IF( AND( OFFSET($A$1, 512 - 1, 54 - 1) = "0", OFFSET($A$1, 512 - 1, 55 - 1) = "1" ), 3, 4 ) ) )</f>
        <v>2</v>
      </c>
      <c r="BF512" s="3">
        <v>0.27977829909987945</v>
      </c>
      <c r="BG512" s="3" t="str">
        <f>"1"</f>
        <v>1</v>
      </c>
      <c r="BH512" t="str">
        <f ca="1">IF((OFFSET($A$1, 512 - 1, 58 - 1)) &gt;= (OFFSET($A$1, 93 - 1, 7 - 1)), "1","0")</f>
        <v>0</v>
      </c>
      <c r="BI512">
        <f ca="1" xml:space="preserve"> IF( AND( OFFSET($A$1, 512 - 1, 59 - 1) = "1", OFFSET($A$1, 512 - 1, 60 - 1) = "1" ), 1, IF( AND( OFFSET($A$1, 512 - 1, 59 - 1) = "1", OFFSET($A$1, 512 - 1, 60 - 1) = "0" ), 2, IF( AND( OFFSET($A$1, 512 - 1, 59 - 1) = "0", OFFSET($A$1, 512 - 1, 60 - 1) = "1" ), 3, 4 ) ) )</f>
        <v>2</v>
      </c>
    </row>
    <row r="513" spans="53:61" x14ac:dyDescent="0.35">
      <c r="BA513" s="3">
        <v>0.5487760139199388</v>
      </c>
      <c r="BB513" s="3" t="str">
        <f>"0"</f>
        <v>0</v>
      </c>
      <c r="BC513" t="str">
        <f ca="1">IF((OFFSET($A$1, 513 - 1, 53 - 1)) &gt;= (OFFSET($A$1, 69 - 1, 7 - 1)), "1","0")</f>
        <v>1</v>
      </c>
      <c r="BD513">
        <f ca="1" xml:space="preserve"> IF( AND( OFFSET($A$1, 513 - 1, 54 - 1) = "1", OFFSET($A$1, 513 - 1, 55 - 1) = "1" ), 1, IF( AND( OFFSET($A$1, 513 - 1, 54 - 1) = "1", OFFSET($A$1, 513 - 1, 55 - 1) = "0" ), 2, IF( AND( OFFSET($A$1, 513 - 1, 54 - 1) = "0", OFFSET($A$1, 513 - 1, 55 - 1) = "1" ), 3, 4 ) ) )</f>
        <v>3</v>
      </c>
      <c r="BF513" s="3">
        <v>0.54950489392702262</v>
      </c>
      <c r="BG513" s="3" t="str">
        <f>"1"</f>
        <v>1</v>
      </c>
      <c r="BH513" t="str">
        <f ca="1">IF((OFFSET($A$1, 513 - 1, 58 - 1)) &gt;= (OFFSET($A$1, 93 - 1, 7 - 1)), "1","0")</f>
        <v>1</v>
      </c>
      <c r="BI513">
        <f ca="1" xml:space="preserve"> IF( AND( OFFSET($A$1, 513 - 1, 59 - 1) = "1", OFFSET($A$1, 513 - 1, 60 - 1) = "1" ), 1, IF( AND( OFFSET($A$1, 513 - 1, 59 - 1) = "1", OFFSET($A$1, 513 - 1, 60 - 1) = "0" ), 2, IF( AND( OFFSET($A$1, 513 - 1, 59 - 1) = "0", OFFSET($A$1, 513 - 1, 60 - 1) = "1" ), 3, 4 ) ) )</f>
        <v>1</v>
      </c>
    </row>
    <row r="514" spans="53:61" x14ac:dyDescent="0.35">
      <c r="BA514" s="3">
        <v>0.28156135454006026</v>
      </c>
      <c r="BB514" s="3" t="str">
        <f>"1"</f>
        <v>1</v>
      </c>
      <c r="BC514" t="str">
        <f ca="1">IF((OFFSET($A$1, 514 - 1, 53 - 1)) &gt;= (OFFSET($A$1, 69 - 1, 7 - 1)), "1","0")</f>
        <v>0</v>
      </c>
      <c r="BD514">
        <f ca="1" xml:space="preserve"> IF( AND( OFFSET($A$1, 514 - 1, 54 - 1) = "1", OFFSET($A$1, 514 - 1, 55 - 1) = "1" ), 1, IF( AND( OFFSET($A$1, 514 - 1, 54 - 1) = "1", OFFSET($A$1, 514 - 1, 55 - 1) = "0" ), 2, IF( AND( OFFSET($A$1, 514 - 1, 54 - 1) = "0", OFFSET($A$1, 514 - 1, 55 - 1) = "1" ), 3, 4 ) ) )</f>
        <v>2</v>
      </c>
      <c r="BF514" s="3">
        <v>0.55095585947309511</v>
      </c>
      <c r="BG514" s="3" t="str">
        <f>"0"</f>
        <v>0</v>
      </c>
      <c r="BH514" t="str">
        <f ca="1">IF((OFFSET($A$1, 514 - 1, 58 - 1)) &gt;= (OFFSET($A$1, 93 - 1, 7 - 1)), "1","0")</f>
        <v>1</v>
      </c>
      <c r="BI514">
        <f ca="1" xml:space="preserve"> IF( AND( OFFSET($A$1, 514 - 1, 59 - 1) = "1", OFFSET($A$1, 514 - 1, 60 - 1) = "1" ), 1, IF( AND( OFFSET($A$1, 514 - 1, 59 - 1) = "1", OFFSET($A$1, 514 - 1, 60 - 1) = "0" ), 2, IF( AND( OFFSET($A$1, 514 - 1, 59 - 1) = "0", OFFSET($A$1, 514 - 1, 60 - 1) = "1" ), 3, 4 ) ) )</f>
        <v>3</v>
      </c>
    </row>
    <row r="515" spans="53:61" x14ac:dyDescent="0.35">
      <c r="BA515" s="3">
        <v>0.55167783531287684</v>
      </c>
      <c r="BB515" s="3" t="str">
        <f>"1"</f>
        <v>1</v>
      </c>
      <c r="BC515" t="str">
        <f ca="1">IF((OFFSET($A$1, 515 - 1, 53 - 1)) &gt;= (OFFSET($A$1, 69 - 1, 7 - 1)), "1","0")</f>
        <v>1</v>
      </c>
      <c r="BD515">
        <f ca="1" xml:space="preserve"> IF( AND( OFFSET($A$1, 515 - 1, 54 - 1) = "1", OFFSET($A$1, 515 - 1, 55 - 1) = "1" ), 1, IF( AND( OFFSET($A$1, 515 - 1, 54 - 1) = "1", OFFSET($A$1, 515 - 1, 55 - 1) = "0" ), 2, IF( AND( OFFSET($A$1, 515 - 1, 54 - 1) = "0", OFFSET($A$1, 515 - 1, 55 - 1) = "1" ), 3, 4 ) ) )</f>
        <v>1</v>
      </c>
      <c r="BF515" s="3">
        <v>0.28333588572503887</v>
      </c>
      <c r="BG515" s="3" t="str">
        <f>"0"</f>
        <v>0</v>
      </c>
      <c r="BH515" t="str">
        <f ca="1">IF((OFFSET($A$1, 515 - 1, 58 - 1)) &gt;= (OFFSET($A$1, 93 - 1, 7 - 1)), "1","0")</f>
        <v>0</v>
      </c>
      <c r="BI515">
        <f ca="1" xml:space="preserve"> IF( AND( OFFSET($A$1, 515 - 1, 59 - 1) = "1", OFFSET($A$1, 515 - 1, 60 - 1) = "1" ), 1, IF( AND( OFFSET($A$1, 515 - 1, 59 - 1) = "1", OFFSET($A$1, 515 - 1, 60 - 1) = "0" ), 2, IF( AND( OFFSET($A$1, 515 - 1, 59 - 1) = "0", OFFSET($A$1, 515 - 1, 60 - 1) = "1" ), 3, 4 ) ) )</f>
        <v>4</v>
      </c>
    </row>
    <row r="516" spans="53:61" x14ac:dyDescent="0.35">
      <c r="BA516" s="3">
        <v>0.55311450091952352</v>
      </c>
      <c r="BB516" s="3" t="str">
        <f>"1"</f>
        <v>1</v>
      </c>
      <c r="BC516" t="str">
        <f ca="1">IF((OFFSET($A$1, 516 - 1, 53 - 1)) &gt;= (OFFSET($A$1, 69 - 1, 7 - 1)), "1","0")</f>
        <v>1</v>
      </c>
      <c r="BD516">
        <f ca="1" xml:space="preserve"> IF( AND( OFFSET($A$1, 516 - 1, 54 - 1) = "1", OFFSET($A$1, 516 - 1, 55 - 1) = "1" ), 1, IF( AND( OFFSET($A$1, 516 - 1, 54 - 1) = "1", OFFSET($A$1, 516 - 1, 55 - 1) = "0" ), 2, IF( AND( OFFSET($A$1, 516 - 1, 54 - 1) = "0", OFFSET($A$1, 516 - 1, 55 - 1) = "1" ), 3, 4 ) ) )</f>
        <v>1</v>
      </c>
      <c r="BF516" s="3">
        <v>0.28451348290119588</v>
      </c>
      <c r="BG516" s="3" t="str">
        <f>"0"</f>
        <v>0</v>
      </c>
      <c r="BH516" t="str">
        <f ca="1">IF((OFFSET($A$1, 516 - 1, 58 - 1)) &gt;= (OFFSET($A$1, 93 - 1, 7 - 1)), "1","0")</f>
        <v>0</v>
      </c>
      <c r="BI516">
        <f ca="1" xml:space="preserve"> IF( AND( OFFSET($A$1, 516 - 1, 59 - 1) = "1", OFFSET($A$1, 516 - 1, 60 - 1) = "1" ), 1, IF( AND( OFFSET($A$1, 516 - 1, 59 - 1) = "1", OFFSET($A$1, 516 - 1, 60 - 1) = "0" ), 2, IF( AND( OFFSET($A$1, 516 - 1, 59 - 1) = "0", OFFSET($A$1, 516 - 1, 60 - 1) = "1" ), 3, 4 ) ) )</f>
        <v>4</v>
      </c>
    </row>
    <row r="517" spans="53:61" x14ac:dyDescent="0.35">
      <c r="BA517" s="3">
        <v>0.55454109208875835</v>
      </c>
      <c r="BB517" s="3" t="str">
        <f>"1"</f>
        <v>1</v>
      </c>
      <c r="BC517" t="str">
        <f ca="1">IF((OFFSET($A$1, 517 - 1, 53 - 1)) &gt;= (OFFSET($A$1, 69 - 1, 7 - 1)), "1","0")</f>
        <v>1</v>
      </c>
      <c r="BD517">
        <f ca="1" xml:space="preserve"> IF( AND( OFFSET($A$1, 517 - 1, 54 - 1) = "1", OFFSET($A$1, 517 - 1, 55 - 1) = "1" ), 1, IF( AND( OFFSET($A$1, 517 - 1, 54 - 1) = "1", OFFSET($A$1, 517 - 1, 55 - 1) = "0" ), 2, IF( AND( OFFSET($A$1, 517 - 1, 54 - 1) = "0", OFFSET($A$1, 517 - 1, 55 - 1) = "1" ), 3, 4 ) ) )</f>
        <v>1</v>
      </c>
      <c r="BF517" s="3">
        <v>0.28568625838180267</v>
      </c>
      <c r="BG517" s="3" t="str">
        <f>"0"</f>
        <v>0</v>
      </c>
      <c r="BH517" t="str">
        <f ca="1">IF((OFFSET($A$1, 517 - 1, 58 - 1)) &gt;= (OFFSET($A$1, 93 - 1, 7 - 1)), "1","0")</f>
        <v>0</v>
      </c>
      <c r="BI517">
        <f ca="1" xml:space="preserve"> IF( AND( OFFSET($A$1, 517 - 1, 59 - 1) = "1", OFFSET($A$1, 517 - 1, 60 - 1) = "1" ), 1, IF( AND( OFFSET($A$1, 517 - 1, 59 - 1) = "1", OFFSET($A$1, 517 - 1, 60 - 1) = "0" ), 2, IF( AND( OFFSET($A$1, 517 - 1, 59 - 1) = "0", OFFSET($A$1, 517 - 1, 60 - 1) = "1" ), 3, 4 ) ) )</f>
        <v>4</v>
      </c>
    </row>
    <row r="518" spans="53:61" x14ac:dyDescent="0.35">
      <c r="BA518" s="3">
        <v>0.55595718125575067</v>
      </c>
      <c r="BB518" s="3" t="str">
        <f>"0"</f>
        <v>0</v>
      </c>
      <c r="BC518" t="str">
        <f ca="1">IF((OFFSET($A$1, 518 - 1, 53 - 1)) &gt;= (OFFSET($A$1, 69 - 1, 7 - 1)), "1","0")</f>
        <v>1</v>
      </c>
      <c r="BD518">
        <f ca="1" xml:space="preserve"> IF( AND( OFFSET($A$1, 518 - 1, 54 - 1) = "1", OFFSET($A$1, 518 - 1, 55 - 1) = "1" ), 1, IF( AND( OFFSET($A$1, 518 - 1, 54 - 1) = "1", OFFSET($A$1, 518 - 1, 55 - 1) = "0" ), 2, IF( AND( OFFSET($A$1, 518 - 1, 54 - 1) = "0", OFFSET($A$1, 518 - 1, 55 - 1) = "1" ), 3, 4 ) ) )</f>
        <v>3</v>
      </c>
      <c r="BF518" s="3">
        <v>0.28685379765147356</v>
      </c>
      <c r="BG518" s="3" t="str">
        <f>"0"</f>
        <v>0</v>
      </c>
      <c r="BH518" t="str">
        <f ca="1">IF((OFFSET($A$1, 518 - 1, 58 - 1)) &gt;= (OFFSET($A$1, 93 - 1, 7 - 1)), "1","0")</f>
        <v>0</v>
      </c>
      <c r="BI518">
        <f ca="1" xml:space="preserve"> IF( AND( OFFSET($A$1, 518 - 1, 59 - 1) = "1", OFFSET($A$1, 518 - 1, 60 - 1) = "1" ), 1, IF( AND( OFFSET($A$1, 518 - 1, 59 - 1) = "1", OFFSET($A$1, 518 - 1, 60 - 1) = "0" ), 2, IF( AND( OFFSET($A$1, 518 - 1, 59 - 1) = "0", OFFSET($A$1, 518 - 1, 60 - 1) = "1" ), 3, 4 ) ) )</f>
        <v>4</v>
      </c>
    </row>
    <row r="519" spans="53:61" x14ac:dyDescent="0.35">
      <c r="BA519" s="3">
        <v>0.287435474064827</v>
      </c>
      <c r="BB519" s="3" t="str">
        <f>"0"</f>
        <v>0</v>
      </c>
      <c r="BC519" t="str">
        <f ca="1">IF((OFFSET($A$1, 519 - 1, 53 - 1)) &gt;= (OFFSET($A$1, 69 - 1, 7 - 1)), "1","0")</f>
        <v>0</v>
      </c>
      <c r="BD519">
        <f ca="1" xml:space="preserve"> IF( AND( OFFSET($A$1, 519 - 1, 54 - 1) = "1", OFFSET($A$1, 519 - 1, 55 - 1) = "1" ), 1, IF( AND( OFFSET($A$1, 519 - 1, 54 - 1) = "1", OFFSET($A$1, 519 - 1, 55 - 1) = "0" ), 2, IF( AND( OFFSET($A$1, 519 - 1, 54 - 1) = "0", OFFSET($A$1, 519 - 1, 55 - 1) = "1" ), 3, 4 ) ) )</f>
        <v>4</v>
      </c>
      <c r="BF519" s="3">
        <v>0.28801568582799375</v>
      </c>
      <c r="BG519" s="3" t="str">
        <f>"0"</f>
        <v>0</v>
      </c>
      <c r="BH519" t="str">
        <f ca="1">IF((OFFSET($A$1, 519 - 1, 58 - 1)) &gt;= (OFFSET($A$1, 93 - 1, 7 - 1)), "1","0")</f>
        <v>0</v>
      </c>
      <c r="BI519">
        <f ca="1" xml:space="preserve"> IF( AND( OFFSET($A$1, 519 - 1, 59 - 1) = "1", OFFSET($A$1, 519 - 1, 60 - 1) = "1" ), 1, IF( AND( OFFSET($A$1, 519 - 1, 59 - 1) = "1", OFFSET($A$1, 519 - 1, 60 - 1) = "0" ), 2, IF( AND( OFFSET($A$1, 519 - 1, 59 - 1) = "0", OFFSET($A$1, 519 - 1, 60 - 1) = "1" ), 3, 4 ) ) )</f>
        <v>4</v>
      </c>
    </row>
    <row r="520" spans="53:61" x14ac:dyDescent="0.35">
      <c r="BA520" s="3">
        <v>0.28859438105956647</v>
      </c>
      <c r="BB520" s="3" t="str">
        <f>"0"</f>
        <v>0</v>
      </c>
      <c r="BC520" t="str">
        <f ca="1">IF((OFFSET($A$1, 520 - 1, 53 - 1)) &gt;= (OFFSET($A$1, 69 - 1, 7 - 1)), "1","0")</f>
        <v>0</v>
      </c>
      <c r="BD520">
        <f ca="1" xml:space="preserve"> IF( AND( OFFSET($A$1, 520 - 1, 54 - 1) = "1", OFFSET($A$1, 520 - 1, 55 - 1) = "1" ), 1, IF( AND( OFFSET($A$1, 520 - 1, 54 - 1) = "1", OFFSET($A$1, 520 - 1, 55 - 1) = "0" ), 2, IF( AND( OFFSET($A$1, 520 - 1, 54 - 1) = "0", OFFSET($A$1, 520 - 1, 55 - 1) = "1" ), 3, 4 ) ) )</f>
        <v>4</v>
      </c>
      <c r="BF520" s="3">
        <v>0.28917150788287649</v>
      </c>
      <c r="BG520" s="3" t="str">
        <f>"0"</f>
        <v>0</v>
      </c>
      <c r="BH520" t="str">
        <f ca="1">IF((OFFSET($A$1, 520 - 1, 58 - 1)) &gt;= (OFFSET($A$1, 93 - 1, 7 - 1)), "1","0")</f>
        <v>0</v>
      </c>
      <c r="BI520">
        <f ca="1" xml:space="preserve"> IF( AND( OFFSET($A$1, 520 - 1, 59 - 1) = "1", OFFSET($A$1, 520 - 1, 60 - 1) = "1" ), 1, IF( AND( OFFSET($A$1, 520 - 1, 59 - 1) = "1", OFFSET($A$1, 520 - 1, 60 - 1) = "0" ), 2, IF( AND( OFFSET($A$1, 520 - 1, 59 - 1) = "0", OFFSET($A$1, 520 - 1, 60 - 1) = "1" ), 3, 4 ) ) )</f>
        <v>4</v>
      </c>
    </row>
    <row r="521" spans="53:61" x14ac:dyDescent="0.35">
      <c r="BA521" s="3">
        <v>0.28974701443297679</v>
      </c>
      <c r="BB521" s="3" t="str">
        <f>"1"</f>
        <v>1</v>
      </c>
      <c r="BC521" t="str">
        <f ca="1">IF((OFFSET($A$1, 521 - 1, 53 - 1)) &gt;= (OFFSET($A$1, 69 - 1, 7 - 1)), "1","0")</f>
        <v>0</v>
      </c>
      <c r="BD521">
        <f ca="1" xml:space="preserve"> IF( AND( OFFSET($A$1, 521 - 1, 54 - 1) = "1", OFFSET($A$1, 521 - 1, 55 - 1) = "1" ), 1, IF( AND( OFFSET($A$1, 521 - 1, 54 - 1) = "1", OFFSET($A$1, 521 - 1, 55 - 1) = "0" ), 2, IF( AND( OFFSET($A$1, 521 - 1, 54 - 1) = "0", OFFSET($A$1, 521 - 1, 55 - 1) = "1" ), 3, 4 ) ) )</f>
        <v>2</v>
      </c>
      <c r="BF521" s="3">
        <v>0.29032084886364373</v>
      </c>
      <c r="BG521" s="3" t="str">
        <f>"1"</f>
        <v>1</v>
      </c>
      <c r="BH521" t="str">
        <f ca="1">IF((OFFSET($A$1, 521 - 1, 58 - 1)) &gt;= (OFFSET($A$1, 93 - 1, 7 - 1)), "1","0")</f>
        <v>0</v>
      </c>
      <c r="BI521">
        <f ca="1" xml:space="preserve"> IF( AND( OFFSET($A$1, 521 - 1, 59 - 1) = "1", OFFSET($A$1, 521 - 1, 60 - 1) = "1" ), 1, IF( AND( OFFSET($A$1, 521 - 1, 59 - 1) = "1", OFFSET($A$1, 521 - 1, 60 - 1) = "0" ), 2, IF( AND( OFFSET($A$1, 521 - 1, 59 - 1) = "0", OFFSET($A$1, 521 - 1, 60 - 1) = "1" ), 3, 4 ) ) )</f>
        <v>2</v>
      </c>
    </row>
    <row r="522" spans="53:61" x14ac:dyDescent="0.35">
      <c r="BA522" s="3">
        <v>0.56150813602014227</v>
      </c>
      <c r="BB522" s="3" t="str">
        <f>"0"</f>
        <v>0</v>
      </c>
      <c r="BC522" t="str">
        <f ca="1">IF((OFFSET($A$1, 522 - 1, 53 - 1)) &gt;= (OFFSET($A$1, 69 - 1, 7 - 1)), "1","0")</f>
        <v>1</v>
      </c>
      <c r="BD522">
        <f ca="1" xml:space="preserve"> IF( AND( OFFSET($A$1, 522 - 1, 54 - 1) = "1", OFFSET($A$1, 522 - 1, 55 - 1) = "1" ), 1, IF( AND( OFFSET($A$1, 522 - 1, 54 - 1) = "1", OFFSET($A$1, 522 - 1, 55 - 1) = "0" ), 2, IF( AND( OFFSET($A$1, 522 - 1, 54 - 1) = "0", OFFSET($A$1, 522 - 1, 55 - 1) = "1" ), 3, 4 ) ) )</f>
        <v>3</v>
      </c>
      <c r="BF522" s="3">
        <v>0.56218840019053695</v>
      </c>
      <c r="BG522" s="3" t="str">
        <f>"1"</f>
        <v>1</v>
      </c>
      <c r="BH522" t="str">
        <f ca="1">IF((OFFSET($A$1, 522 - 1, 58 - 1)) &gt;= (OFFSET($A$1, 93 - 1, 7 - 1)), "1","0")</f>
        <v>1</v>
      </c>
      <c r="BI522">
        <f ca="1" xml:space="preserve"> IF( AND( OFFSET($A$1, 522 - 1, 59 - 1) = "1", OFFSET($A$1, 522 - 1, 60 - 1) = "1" ), 1, IF( AND( OFFSET($A$1, 522 - 1, 59 - 1) = "1", OFFSET($A$1, 522 - 1, 60 - 1) = "0" ), 2, IF( AND( OFFSET($A$1, 522 - 1, 59 - 1) = "0", OFFSET($A$1, 522 - 1, 60 - 1) = "1" ), 3, 4 ) ) )</f>
        <v>1</v>
      </c>
    </row>
    <row r="523" spans="53:61" x14ac:dyDescent="0.35">
      <c r="BA523" s="3">
        <v>0.29203180140526153</v>
      </c>
      <c r="BB523" s="3" t="str">
        <f>"1"</f>
        <v>1</v>
      </c>
      <c r="BC523" t="str">
        <f ca="1">IF((OFFSET($A$1, 523 - 1, 53 - 1)) &gt;= (OFFSET($A$1, 69 - 1, 7 - 1)), "1","0")</f>
        <v>0</v>
      </c>
      <c r="BD523">
        <f ca="1" xml:space="preserve"> IF( AND( OFFSET($A$1, 523 - 1, 54 - 1) = "1", OFFSET($A$1, 523 - 1, 55 - 1) = "1" ), 1, IF( AND( OFFSET($A$1, 523 - 1, 54 - 1) = "1", OFFSET($A$1, 523 - 1, 55 - 1) = "0" ), 2, IF( AND( OFFSET($A$1, 523 - 1, 54 - 1) = "0", OFFSET($A$1, 523 - 1, 55 - 1) = "1" ), 3, 4 ) ) )</f>
        <v>2</v>
      </c>
      <c r="BF523" s="3">
        <v>0.56353930515849648</v>
      </c>
      <c r="BG523" s="3" t="str">
        <f>"0"</f>
        <v>0</v>
      </c>
      <c r="BH523" t="str">
        <f ca="1">IF((OFFSET($A$1, 523 - 1, 58 - 1)) &gt;= (OFFSET($A$1, 93 - 1, 7 - 1)), "1","0")</f>
        <v>1</v>
      </c>
      <c r="BI523">
        <f ca="1" xml:space="preserve"> IF( AND( OFFSET($A$1, 523 - 1, 59 - 1) = "1", OFFSET($A$1, 523 - 1, 60 - 1) = "1" ), 1, IF( AND( OFFSET($A$1, 523 - 1, 59 - 1) = "1", OFFSET($A$1, 523 - 1, 60 - 1) = "0" ), 2, IF( AND( OFFSET($A$1, 523 - 1, 59 - 1) = "0", OFFSET($A$1, 523 - 1, 60 - 1) = "1" ), 3, 4 ) ) )</f>
        <v>3</v>
      </c>
    </row>
    <row r="524" spans="53:61" x14ac:dyDescent="0.35">
      <c r="BA524" s="3">
        <v>0.56420984739515856</v>
      </c>
      <c r="BB524" s="3" t="str">
        <f>"1"</f>
        <v>1</v>
      </c>
      <c r="BC524" t="str">
        <f ca="1">IF((OFFSET($A$1, 524 - 1, 53 - 1)) &gt;= (OFFSET($A$1, 69 - 1, 7 - 1)), "1","0")</f>
        <v>1</v>
      </c>
      <c r="BD524">
        <f ca="1" xml:space="preserve"> IF( AND( OFFSET($A$1, 524 - 1, 54 - 1) = "1", OFFSET($A$1, 524 - 1, 55 - 1) = "1" ), 1, IF( AND( OFFSET($A$1, 524 - 1, 54 - 1) = "1", OFFSET($A$1, 524 - 1, 55 - 1) = "0" ), 2, IF( AND( OFFSET($A$1, 524 - 1, 54 - 1) = "0", OFFSET($A$1, 524 - 1, 55 - 1) = "1" ), 3, 4 ) ) )</f>
        <v>1</v>
      </c>
      <c r="BF524" s="3">
        <v>0.29372584168325128</v>
      </c>
      <c r="BG524" s="3" t="str">
        <f>"1"</f>
        <v>1</v>
      </c>
      <c r="BH524" t="str">
        <f ca="1">IF((OFFSET($A$1, 524 - 1, 58 - 1)) &gt;= (OFFSET($A$1, 93 - 1, 7 - 1)), "1","0")</f>
        <v>0</v>
      </c>
      <c r="BI524">
        <f ca="1" xml:space="preserve"> IF( AND( OFFSET($A$1, 524 - 1, 59 - 1) = "1", OFFSET($A$1, 524 - 1, 60 - 1) = "1" ), 1, IF( AND( OFFSET($A$1, 524 - 1, 59 - 1) = "1", OFFSET($A$1, 524 - 1, 60 - 1) = "0" ), 2, IF( AND( OFFSET($A$1, 524 - 1, 59 - 1) = "0", OFFSET($A$1, 524 - 1, 60 - 1) = "1" ), 3, 4 ) ) )</f>
        <v>2</v>
      </c>
    </row>
    <row r="525" spans="53:61" x14ac:dyDescent="0.35">
      <c r="BA525" s="3">
        <v>0.56554086758588229</v>
      </c>
      <c r="BB525" s="3" t="str">
        <f>"0"</f>
        <v>0</v>
      </c>
      <c r="BC525" t="str">
        <f ca="1">IF((OFFSET($A$1, 525 - 1, 53 - 1)) &gt;= (OFFSET($A$1, 69 - 1, 7 - 1)), "1","0")</f>
        <v>1</v>
      </c>
      <c r="BD525">
        <f ca="1" xml:space="preserve"> IF( AND( OFFSET($A$1, 525 - 1, 54 - 1) = "1", OFFSET($A$1, 525 - 1, 55 - 1) = "1" ), 1, IF( AND( OFFSET($A$1, 525 - 1, 54 - 1) = "1", OFFSET($A$1, 525 - 1, 55 - 1) = "0" ), 2, IF( AND( OFFSET($A$1, 525 - 1, 54 - 1) = "0", OFFSET($A$1, 525 - 1, 55 - 1) = "1" ), 3, 4 ) ) )</f>
        <v>3</v>
      </c>
      <c r="BF525" s="3">
        <v>0.56620124908458724</v>
      </c>
      <c r="BG525" s="3" t="str">
        <f>"1"</f>
        <v>1</v>
      </c>
      <c r="BH525" t="str">
        <f ca="1">IF((OFFSET($A$1, 525 - 1, 58 - 1)) &gt;= (OFFSET($A$1, 93 - 1, 7 - 1)), "1","0")</f>
        <v>1</v>
      </c>
      <c r="BI525">
        <f ca="1" xml:space="preserve"> IF( AND( OFFSET($A$1, 525 - 1, 59 - 1) = "1", OFFSET($A$1, 525 - 1, 60 - 1) = "1" ), 1, IF( AND( OFFSET($A$1, 525 - 1, 59 - 1) = "1", OFFSET($A$1, 525 - 1, 60 - 1) = "0" ), 2, IF( AND( OFFSET($A$1, 525 - 1, 59 - 1) = "0", OFFSET($A$1, 525 - 1, 60 - 1) = "1" ), 3, 4 ) ) )</f>
        <v>1</v>
      </c>
    </row>
    <row r="526" spans="53:61" x14ac:dyDescent="0.35">
      <c r="BA526" s="3">
        <v>0.29540157707027465</v>
      </c>
      <c r="BB526" s="3" t="str">
        <f>"1"</f>
        <v>1</v>
      </c>
      <c r="BC526" t="str">
        <f ca="1">IF((OFFSET($A$1, 526 - 1, 53 - 1)) &gt;= (OFFSET($A$1, 69 - 1, 7 - 1)), "1","0")</f>
        <v>0</v>
      </c>
      <c r="BD526">
        <f ca="1" xml:space="preserve"> IF( AND( OFFSET($A$1, 526 - 1, 54 - 1) = "1", OFFSET($A$1, 526 - 1, 55 - 1) = "1" ), 1, IF( AND( OFFSET($A$1, 526 - 1, 54 - 1) = "1", OFFSET($A$1, 526 - 1, 55 - 1) = "0" ), 2, IF( AND( OFFSET($A$1, 526 - 1, 54 - 1) = "0", OFFSET($A$1, 526 - 1, 55 - 1) = "1" ), 3, 4 ) ) )</f>
        <v>2</v>
      </c>
      <c r="BF526" s="3">
        <v>0.56751151643849895</v>
      </c>
      <c r="BG526" s="3" t="str">
        <f>"0"</f>
        <v>0</v>
      </c>
      <c r="BH526" t="str">
        <f ca="1">IF((OFFSET($A$1, 526 - 1, 58 - 1)) &gt;= (OFFSET($A$1, 93 - 1, 7 - 1)), "1","0")</f>
        <v>1</v>
      </c>
      <c r="BI526">
        <f ca="1" xml:space="preserve"> IF( AND( OFFSET($A$1, 526 - 1, 59 - 1) = "1", OFFSET($A$1, 526 - 1, 60 - 1) = "1" ), 1, IF( AND( OFFSET($A$1, 526 - 1, 59 - 1) = "1", OFFSET($A$1, 526 - 1, 60 - 1) = "0" ), 2, IF( AND( OFFSET($A$1, 526 - 1, 59 - 1) = "0", OFFSET($A$1, 526 - 1, 60 - 1) = "1" ), 3, 4 ) ) )</f>
        <v>3</v>
      </c>
    </row>
    <row r="527" spans="53:61" x14ac:dyDescent="0.35">
      <c r="BA527" s="3">
        <v>0.56816130800185072</v>
      </c>
      <c r="BB527" s="3" t="str">
        <f>"1"</f>
        <v>1</v>
      </c>
      <c r="BC527" t="str">
        <f ca="1">IF((OFFSET($A$1, 527 - 1, 53 - 1)) &gt;= (OFFSET($A$1, 69 - 1, 7 - 1)), "1","0")</f>
        <v>1</v>
      </c>
      <c r="BD527">
        <f ca="1" xml:space="preserve"> IF( AND( OFFSET($A$1, 527 - 1, 54 - 1) = "1", OFFSET($A$1, 527 - 1, 55 - 1) = "1" ), 1, IF( AND( OFFSET($A$1, 527 - 1, 54 - 1) = "1", OFFSET($A$1, 527 - 1, 55 - 1) = "0" ), 2, IF( AND( OFFSET($A$1, 527 - 1, 54 - 1) = "0", OFFSET($A$1, 527 - 1, 55 - 1) = "1" ), 3, 4 ) ) )</f>
        <v>1</v>
      </c>
      <c r="BF527" s="3">
        <v>0.29705762103606959</v>
      </c>
      <c r="BG527" s="3" t="str">
        <f>"0"</f>
        <v>0</v>
      </c>
      <c r="BH527" t="str">
        <f ca="1">IF((OFFSET($A$1, 527 - 1, 58 - 1)) &gt;= (OFFSET($A$1, 93 - 1, 7 - 1)), "1","0")</f>
        <v>0</v>
      </c>
      <c r="BI527">
        <f ca="1" xml:space="preserve"> IF( AND( OFFSET($A$1, 527 - 1, 59 - 1) = "1", OFFSET($A$1, 527 - 1, 60 - 1) = "1" ), 1, IF( AND( OFFSET($A$1, 527 - 1, 59 - 1) = "1", OFFSET($A$1, 527 - 1, 60 - 1) = "0" ), 2, IF( AND( OFFSET($A$1, 527 - 1, 59 - 1) = "0", OFFSET($A$1, 527 - 1, 60 - 1) = "1" ), 3, 4 ) ) )</f>
        <v>4</v>
      </c>
    </row>
    <row r="528" spans="53:61" x14ac:dyDescent="0.35">
      <c r="BA528" s="3">
        <v>0.56944997392755636</v>
      </c>
      <c r="BB528" s="3" t="str">
        <f>"0"</f>
        <v>0</v>
      </c>
      <c r="BC528" t="str">
        <f ca="1">IF((OFFSET($A$1, 528 - 1, 53 - 1)) &gt;= (OFFSET($A$1, 69 - 1, 7 - 1)), "1","0")</f>
        <v>1</v>
      </c>
      <c r="BD528">
        <f ca="1" xml:space="preserve"> IF( AND( OFFSET($A$1, 528 - 1, 54 - 1) = "1", OFFSET($A$1, 528 - 1, 55 - 1) = "1" ), 1, IF( AND( OFFSET($A$1, 528 - 1, 54 - 1) = "1", OFFSET($A$1, 528 - 1, 55 - 1) = "0" ), 2, IF( AND( OFFSET($A$1, 528 - 1, 54 - 1) = "0", OFFSET($A$1, 528 - 1, 55 - 1) = "1" ), 3, 4 ) ) )</f>
        <v>3</v>
      </c>
      <c r="BF528" s="3">
        <v>0.29815002945095481</v>
      </c>
      <c r="BG528" s="3" t="str">
        <f>"0"</f>
        <v>0</v>
      </c>
      <c r="BH528" t="str">
        <f ca="1">IF((OFFSET($A$1, 528 - 1, 58 - 1)) &gt;= (OFFSET($A$1, 93 - 1, 7 - 1)), "1","0")</f>
        <v>0</v>
      </c>
      <c r="BI528">
        <f ca="1" xml:space="preserve"> IF( AND( OFFSET($A$1, 528 - 1, 59 - 1) = "1", OFFSET($A$1, 528 - 1, 60 - 1) = "1" ), 1, IF( AND( OFFSET($A$1, 528 - 1, 59 - 1) = "1", OFFSET($A$1, 528 - 1, 60 - 1) = "0" ), 2, IF( AND( OFFSET($A$1, 528 - 1, 59 - 1) = "0", OFFSET($A$1, 528 - 1, 60 - 1) = "1" ), 3, 4 ) ) )</f>
        <v>4</v>
      </c>
    </row>
    <row r="529" spans="53:61" x14ac:dyDescent="0.35">
      <c r="BA529" s="3">
        <v>0.29869259487314892</v>
      </c>
      <c r="BB529" s="3" t="str">
        <f>"0"</f>
        <v>0</v>
      </c>
      <c r="BC529" t="str">
        <f ca="1">IF((OFFSET($A$1, 529 - 1, 53 - 1)) &gt;= (OFFSET($A$1, 69 - 1, 7 - 1)), "1","0")</f>
        <v>0</v>
      </c>
      <c r="BD529">
        <f ca="1" xml:space="preserve"> IF( AND( OFFSET($A$1, 529 - 1, 54 - 1) = "1", OFFSET($A$1, 529 - 1, 55 - 1) = "1" ), 1, IF( AND( OFFSET($A$1, 529 - 1, 54 - 1) = "1", OFFSET($A$1, 529 - 1, 55 - 1) = "0" ), 2, IF( AND( OFFSET($A$1, 529 - 1, 54 - 1) = "0", OFFSET($A$1, 529 - 1, 55 - 1) = "1" ), 3, 4 ) ) )</f>
        <v>4</v>
      </c>
      <c r="BF529" s="3">
        <v>0.29923266694823325</v>
      </c>
      <c r="BG529" s="3" t="str">
        <f>"0"</f>
        <v>0</v>
      </c>
      <c r="BH529" t="str">
        <f ca="1">IF((OFFSET($A$1, 529 - 1, 58 - 1)) &gt;= (OFFSET($A$1, 93 - 1, 7 - 1)), "1","0")</f>
        <v>0</v>
      </c>
      <c r="BI529">
        <f ca="1" xml:space="preserve"> IF( AND( OFFSET($A$1, 529 - 1, 59 - 1) = "1", OFFSET($A$1, 529 - 1, 60 - 1) = "1" ), 1, IF( AND( OFFSET($A$1, 529 - 1, 59 - 1) = "1", OFFSET($A$1, 529 - 1, 60 - 1) = "0" ), 2, IF( AND( OFFSET($A$1, 529 - 1, 59 - 1) = "0", OFFSET($A$1, 529 - 1, 60 - 1) = "1" ), 3, 4 ) ) )</f>
        <v>4</v>
      </c>
    </row>
    <row r="530" spans="53:61" x14ac:dyDescent="0.35">
      <c r="BA530" s="3">
        <v>0.29977019523059728</v>
      </c>
      <c r="BB530" s="3" t="str">
        <f>"1"</f>
        <v>1</v>
      </c>
      <c r="BC530" t="str">
        <f ca="1">IF((OFFSET($A$1, 530 - 1, 53 - 1)) &gt;= (OFFSET($A$1, 69 - 1, 7 - 1)), "1","0")</f>
        <v>0</v>
      </c>
      <c r="BD530">
        <f ca="1" xml:space="preserve"> IF( AND( OFFSET($A$1, 530 - 1, 54 - 1) = "1", OFFSET($A$1, 530 - 1, 55 - 1) = "1" ), 1, IF( AND( OFFSET($A$1, 530 - 1, 54 - 1) = "1", OFFSET($A$1, 530 - 1, 55 - 1) = "0" ), 2, IF( AND( OFFSET($A$1, 530 - 1, 54 - 1) = "0", OFFSET($A$1, 530 - 1, 55 - 1) = "1" ), 3, 4 ) ) )</f>
        <v>2</v>
      </c>
      <c r="BF530" s="3">
        <v>0.30030512942076898</v>
      </c>
      <c r="BG530" s="3" t="str">
        <f>"1"</f>
        <v>1</v>
      </c>
      <c r="BH530" t="str">
        <f ca="1">IF((OFFSET($A$1, 530 - 1, 58 - 1)) &gt;= (OFFSET($A$1, 93 - 1, 7 - 1)), "1","0")</f>
        <v>0</v>
      </c>
      <c r="BI530">
        <f ca="1" xml:space="preserve"> IF( AND( OFFSET($A$1, 530 - 1, 59 - 1) = "1", OFFSET($A$1, 530 - 1, 60 - 1) = "1" ), 1, IF( AND( OFFSET($A$1, 530 - 1, 59 - 1) = "1", OFFSET($A$1, 530 - 1, 60 - 1) = "0" ), 2, IF( AND( OFFSET($A$1, 530 - 1, 59 - 1) = "0", OFFSET($A$1, 530 - 1, 60 - 1) = "1" ), 3, 4 ) ) )</f>
        <v>2</v>
      </c>
    </row>
    <row r="531" spans="53:61" x14ac:dyDescent="0.35">
      <c r="BA531" s="3">
        <v>0.57322535332363422</v>
      </c>
      <c r="BB531" s="3" t="str">
        <f>"1"</f>
        <v>1</v>
      </c>
      <c r="BC531" t="str">
        <f ca="1">IF((OFFSET($A$1, 531 - 1, 53 - 1)) &gt;= (OFFSET($A$1, 69 - 1, 7 - 1)), "1","0")</f>
        <v>1</v>
      </c>
      <c r="BD531">
        <f ca="1" xml:space="preserve"> IF( AND( OFFSET($A$1, 531 - 1, 54 - 1) = "1", OFFSET($A$1, 531 - 1, 55 - 1) = "1" ), 1, IF( AND( OFFSET($A$1, 531 - 1, 54 - 1) = "1", OFFSET($A$1, 531 - 1, 55 - 1) = "0" ), 2, IF( AND( OFFSET($A$1, 531 - 1, 54 - 1) = "0", OFFSET($A$1, 531 - 1, 55 - 1) = "1" ), 3, 4 ) ) )</f>
        <v>1</v>
      </c>
      <c r="BF531" s="3">
        <v>0.57384089957271234</v>
      </c>
      <c r="BG531" s="3" t="str">
        <f>"0"</f>
        <v>0</v>
      </c>
      <c r="BH531" t="str">
        <f ca="1">IF((OFFSET($A$1, 531 - 1, 58 - 1)) &gt;= (OFFSET($A$1, 93 - 1, 7 - 1)), "1","0")</f>
        <v>1</v>
      </c>
      <c r="BI531">
        <f ca="1" xml:space="preserve"> IF( AND( OFFSET($A$1, 531 - 1, 59 - 1) = "1", OFFSET($A$1, 531 - 1, 60 - 1) = "1" ), 1, IF( AND( OFFSET($A$1, 531 - 1, 59 - 1) = "1", OFFSET($A$1, 531 - 1, 60 - 1) = "0" ), 2, IF( AND( OFFSET($A$1, 531 - 1, 59 - 1) = "0", OFFSET($A$1, 531 - 1, 60 - 1) = "1" ), 3, 4 ) ) )</f>
        <v>3</v>
      </c>
    </row>
    <row r="532" spans="53:61" x14ac:dyDescent="0.35">
      <c r="BA532" s="3">
        <v>0.57445241979885009</v>
      </c>
      <c r="BB532" s="3" t="str">
        <f>"1"</f>
        <v>1</v>
      </c>
      <c r="BC532" t="str">
        <f ca="1">IF((OFFSET($A$1, 532 - 1, 53 - 1)) &gt;= (OFFSET($A$1, 69 - 1, 7 - 1)), "1","0")</f>
        <v>1</v>
      </c>
      <c r="BD532">
        <f ca="1" xml:space="preserve"> IF( AND( OFFSET($A$1, 532 - 1, 54 - 1) = "1", OFFSET($A$1, 532 - 1, 55 - 1) = "1" ), 1, IF( AND( OFFSET($A$1, 532 - 1, 54 - 1) = "1", OFFSET($A$1, 532 - 1, 55 - 1) = "0" ), 2, IF( AND( OFFSET($A$1, 532 - 1, 54 - 1) = "0", OFFSET($A$1, 532 - 1, 55 - 1) = "1" ), 3, 4 ) ) )</f>
        <v>1</v>
      </c>
      <c r="BF532" s="3">
        <v>0.30241792477834367</v>
      </c>
      <c r="BG532" s="3" t="str">
        <f>"0"</f>
        <v>0</v>
      </c>
      <c r="BH532" t="str">
        <f ca="1">IF((OFFSET($A$1, 532 - 1, 58 - 1)) &gt;= (OFFSET($A$1, 93 - 1, 7 - 1)), "1","0")</f>
        <v>0</v>
      </c>
      <c r="BI532">
        <f ca="1" xml:space="preserve"> IF( AND( OFFSET($A$1, 532 - 1, 59 - 1) = "1", OFFSET($A$1, 532 - 1, 60 - 1) = "1" ), 1, IF( AND( OFFSET($A$1, 532 - 1, 59 - 1) = "1", OFFSET($A$1, 532 - 1, 60 - 1) = "0" ), 2, IF( AND( OFFSET($A$1, 532 - 1, 59 - 1) = "0", OFFSET($A$1, 532 - 1, 60 - 1) = "1" ), 3, 4 ) ) )</f>
        <v>4</v>
      </c>
    </row>
    <row r="533" spans="53:61" x14ac:dyDescent="0.35">
      <c r="BA533" s="3">
        <v>0.5756632114724658</v>
      </c>
      <c r="BB533" s="3" t="str">
        <f>"1"</f>
        <v>1</v>
      </c>
      <c r="BC533" t="str">
        <f ca="1">IF((OFFSET($A$1, 533 - 1, 53 - 1)) &gt;= (OFFSET($A$1, 69 - 1, 7 - 1)), "1","0")</f>
        <v>1</v>
      </c>
      <c r="BD533">
        <f ca="1" xml:space="preserve"> IF( AND( OFFSET($A$1, 533 - 1, 54 - 1) = "1", OFFSET($A$1, 533 - 1, 55 - 1) = "1" ), 1, IF( AND( OFFSET($A$1, 533 - 1, 54 - 1) = "1", OFFSET($A$1, 533 - 1, 55 - 1) = "0" ), 2, IF( AND( OFFSET($A$1, 533 - 1, 54 - 1) = "0", OFFSET($A$1, 533 - 1, 55 - 1) = "1" ), 3, 4 ) ) )</f>
        <v>1</v>
      </c>
      <c r="BF533" s="3">
        <v>0.30345746203745427</v>
      </c>
      <c r="BG533" s="3" t="str">
        <f>"1"</f>
        <v>1</v>
      </c>
      <c r="BH533" t="str">
        <f ca="1">IF((OFFSET($A$1, 533 - 1, 58 - 1)) &gt;= (OFFSET($A$1, 93 - 1, 7 - 1)), "1","0")</f>
        <v>0</v>
      </c>
      <c r="BI533">
        <f ca="1" xml:space="preserve"> IF( AND( OFFSET($A$1, 533 - 1, 59 - 1) = "1", OFFSET($A$1, 533 - 1, 60 - 1) = "1" ), 1, IF( AND( OFFSET($A$1, 533 - 1, 59 - 1) = "1", OFFSET($A$1, 533 - 1, 60 - 1) = "0" ), 2, IF( AND( OFFSET($A$1, 533 - 1, 59 - 1) = "0", OFFSET($A$1, 533 - 1, 60 - 1) = "1" ), 3, 4 ) ) )</f>
        <v>2</v>
      </c>
    </row>
    <row r="534" spans="53:61" x14ac:dyDescent="0.35">
      <c r="BA534" s="3">
        <v>0.57685739087411647</v>
      </c>
      <c r="BB534" s="3" t="str">
        <f>"1"</f>
        <v>1</v>
      </c>
      <c r="BC534" t="str">
        <f ca="1">IF((OFFSET($A$1, 534 - 1, 53 - 1)) &gt;= (OFFSET($A$1, 69 - 1, 7 - 1)), "1","0")</f>
        <v>1</v>
      </c>
      <c r="BD534">
        <f ca="1" xml:space="preserve"> IF( AND( OFFSET($A$1, 534 - 1, 54 - 1) = "1", OFFSET($A$1, 534 - 1, 55 - 1) = "1" ), 1, IF( AND( OFFSET($A$1, 534 - 1, 54 - 1) = "1", OFFSET($A$1, 534 - 1, 55 - 1) = "0" ), 2, IF( AND( OFFSET($A$1, 534 - 1, 54 - 1) = "0", OFFSET($A$1, 534 - 1, 55 - 1) = "1" ), 3, 4 ) ) )</f>
        <v>1</v>
      </c>
      <c r="BF534" s="3">
        <v>0.57744814725042382</v>
      </c>
      <c r="BG534" s="3" t="str">
        <f>"1"</f>
        <v>1</v>
      </c>
      <c r="BH534" t="str">
        <f ca="1">IF((OFFSET($A$1, 534 - 1, 58 - 1)) &gt;= (OFFSET($A$1, 93 - 1, 7 - 1)), "1","0")</f>
        <v>1</v>
      </c>
      <c r="BI534">
        <f ca="1" xml:space="preserve"> IF( AND( OFFSET($A$1, 534 - 1, 59 - 1) = "1", OFFSET($A$1, 534 - 1, 60 - 1) = "1" ), 1, IF( AND( OFFSET($A$1, 534 - 1, 59 - 1) = "1", OFFSET($A$1, 534 - 1, 60 - 1) = "0" ), 2, IF( AND( OFFSET($A$1, 534 - 1, 59 - 1) = "0", OFFSET($A$1, 534 - 1, 60 - 1) = "1" ), 3, 4 ) ) )</f>
        <v>1</v>
      </c>
    </row>
    <row r="535" spans="53:61" x14ac:dyDescent="0.35">
      <c r="BA535" s="3">
        <v>0.57803462689098928</v>
      </c>
      <c r="BB535" s="3" t="str">
        <f>"1"</f>
        <v>1</v>
      </c>
      <c r="BC535" t="str">
        <f ca="1">IF((OFFSET($A$1, 535 - 1, 53 - 1)) &gt;= (OFFSET($A$1, 69 - 1, 7 - 1)), "1","0")</f>
        <v>1</v>
      </c>
      <c r="BD535">
        <f ca="1" xml:space="preserve"> IF( AND( OFFSET($A$1, 535 - 1, 54 - 1) = "1", OFFSET($A$1, 535 - 1, 55 - 1) = "1" ), 1, IF( AND( OFFSET($A$1, 535 - 1, 54 - 1) = "1", OFFSET($A$1, 535 - 1, 55 - 1) = "0" ), 2, IF( AND( OFFSET($A$1, 535 - 1, 54 - 1) = "0", OFFSET($A$1, 535 - 1, 55 - 1) = "1" ), 3, 4 ) ) )</f>
        <v>1</v>
      </c>
      <c r="BF535" s="3">
        <v>0.57861678940846517</v>
      </c>
      <c r="BG535" s="3" t="str">
        <f>"0"</f>
        <v>0</v>
      </c>
      <c r="BH535" t="str">
        <f ca="1">IF((OFFSET($A$1, 535 - 1, 58 - 1)) &gt;= (OFFSET($A$1, 93 - 1, 7 - 1)), "1","0")</f>
        <v>1</v>
      </c>
      <c r="BI535">
        <f ca="1" xml:space="preserve"> IF( AND( OFFSET($A$1, 535 - 1, 59 - 1) = "1", OFFSET($A$1, 535 - 1, 60 - 1) = "1" ), 1, IF( AND( OFFSET($A$1, 535 - 1, 59 - 1) = "1", OFFSET($A$1, 535 - 1, 60 - 1) = "0" ), 2, IF( AND( OFFSET($A$1, 535 - 1, 59 - 1) = "0", OFFSET($A$1, 535 - 1, 60 - 1) = "1" ), 3, 4 ) ) )</f>
        <v>3</v>
      </c>
    </row>
    <row r="536" spans="53:61" x14ac:dyDescent="0.35">
      <c r="BA536" s="3">
        <v>0.57919459481895041</v>
      </c>
      <c r="BB536" s="3" t="str">
        <f>"0"</f>
        <v>0</v>
      </c>
      <c r="BC536" t="str">
        <f ca="1">IF((OFFSET($A$1, 536 - 1, 53 - 1)) &gt;= (OFFSET($A$1, 69 - 1, 7 - 1)), "1","0")</f>
        <v>1</v>
      </c>
      <c r="BD536">
        <f ca="1" xml:space="preserve"> IF( AND( OFFSET($A$1, 536 - 1, 54 - 1) = "1", OFFSET($A$1, 536 - 1, 55 - 1) = "1" ), 1, IF( AND( OFFSET($A$1, 536 - 1, 54 - 1) = "1", OFFSET($A$1, 536 - 1, 55 - 1) = "0" ), 2, IF( AND( OFFSET($A$1, 536 - 1, 54 - 1) = "0", OFFSET($A$1, 536 - 1, 55 - 1) = "1" ), 3, 4 ) ) )</f>
        <v>3</v>
      </c>
      <c r="BF536" s="3">
        <v>0.30650392154814277</v>
      </c>
      <c r="BG536" s="3" t="str">
        <f>"1"</f>
        <v>1</v>
      </c>
      <c r="BH536" t="str">
        <f ca="1">IF((OFFSET($A$1, 536 - 1, 58 - 1)) &gt;= (OFFSET($A$1, 93 - 1, 7 - 1)), "1","0")</f>
        <v>0</v>
      </c>
      <c r="BI536">
        <f ca="1" xml:space="preserve"> IF( AND( OFFSET($A$1, 536 - 1, 59 - 1) = "1", OFFSET($A$1, 536 - 1, 60 - 1) = "1" ), 1, IF( AND( OFFSET($A$1, 536 - 1, 59 - 1) = "1", OFFSET($A$1, 536 - 1, 60 - 1) = "0" ), 2, IF( AND( OFFSET($A$1, 536 - 1, 59 - 1) = "0", OFFSET($A$1, 536 - 1, 60 - 1) = "1" ), 3, 4 ) ) )</f>
        <v>2</v>
      </c>
    </row>
    <row r="537" spans="53:61" x14ac:dyDescent="0.35">
      <c r="BA537" s="3">
        <v>0.30700063449300874</v>
      </c>
      <c r="BB537" s="3" t="str">
        <f>"0"</f>
        <v>0</v>
      </c>
      <c r="BC537" t="str">
        <f ca="1">IF((OFFSET($A$1, 537 - 1, 53 - 1)) &gt;= (OFFSET($A$1, 69 - 1, 7 - 1)), "1","0")</f>
        <v>0</v>
      </c>
      <c r="BD537">
        <f ca="1" xml:space="preserve"> IF( AND( OFFSET($A$1, 537 - 1, 54 - 1) = "1", OFFSET($A$1, 537 - 1, 55 - 1) = "1" ), 1, IF( AND( OFFSET($A$1, 537 - 1, 54 - 1) = "1", OFFSET($A$1, 537 - 1, 55 - 1) = "0" ), 2, IF( AND( OFFSET($A$1, 537 - 1, 54 - 1) = "0", OFFSET($A$1, 537 - 1, 55 - 1) = "1" ), 3, 4 ) ) )</f>
        <v>4</v>
      </c>
      <c r="BF537" s="3">
        <v>0.58090147464792907</v>
      </c>
      <c r="BG537" s="3" t="str">
        <f>"1"</f>
        <v>1</v>
      </c>
      <c r="BH537" t="str">
        <f ca="1">IF((OFFSET($A$1, 537 - 1, 58 - 1)) &gt;= (OFFSET($A$1, 93 - 1, 7 - 1)), "1","0")</f>
        <v>1</v>
      </c>
      <c r="BI537">
        <f ca="1" xml:space="preserve"> IF( AND( OFFSET($A$1, 537 - 1, 59 - 1) = "1", OFFSET($A$1, 537 - 1, 60 - 1) = "1" ), 1, IF( AND( OFFSET($A$1, 537 - 1, 59 - 1) = "1", OFFSET($A$1, 537 - 1, 60 - 1) = "0" ), 2, IF( AND( OFFSET($A$1, 537 - 1, 59 - 1) = "0", OFFSET($A$1, 537 - 1, 60 - 1) = "1" ), 3, 4 ) ) )</f>
        <v>1</v>
      </c>
    </row>
    <row r="538" spans="53:61" x14ac:dyDescent="0.35">
      <c r="BA538" s="3">
        <v>0.30798417598590255</v>
      </c>
      <c r="BB538" s="3" t="str">
        <f>"1"</f>
        <v>1</v>
      </c>
      <c r="BC538" t="str">
        <f ca="1">IF((OFFSET($A$1, 538 - 1, 53 - 1)) &gt;= (OFFSET($A$1, 69 - 1, 7 - 1)), "1","0")</f>
        <v>0</v>
      </c>
      <c r="BD538">
        <f ca="1" xml:space="preserve"> IF( AND( OFFSET($A$1, 538 - 1, 54 - 1) = "1", OFFSET($A$1, 538 - 1, 55 - 1) = "1" ), 1, IF( AND( OFFSET($A$1, 538 - 1, 54 - 1) = "1", OFFSET($A$1, 538 - 1, 55 - 1) = "0" ), 2, IF( AND( OFFSET($A$1, 538 - 1, 54 - 1) = "0", OFFSET($A$1, 538 - 1, 55 - 1) = "1" ), 3, 4 ) ) )</f>
        <v>2</v>
      </c>
      <c r="BF538" s="3">
        <v>0.58201689422869873</v>
      </c>
      <c r="BG538" s="3" t="str">
        <f>"1"</f>
        <v>1</v>
      </c>
      <c r="BH538" t="str">
        <f ca="1">IF((OFFSET($A$1, 538 - 1, 58 - 1)) &gt;= (OFFSET($A$1, 93 - 1, 7 - 1)), "1","0")</f>
        <v>1</v>
      </c>
      <c r="BI538">
        <f ca="1" xml:space="preserve"> IF( AND( OFFSET($A$1, 538 - 1, 59 - 1) = "1", OFFSET($A$1, 538 - 1, 60 - 1) = "1" ), 1, IF( AND( OFFSET($A$1, 538 - 1, 59 - 1) = "1", OFFSET($A$1, 538 - 1, 60 - 1) = "0" ), 2, IF( AND( OFFSET($A$1, 538 - 1, 59 - 1) = "0", OFFSET($A$1, 538 - 1, 60 - 1) = "1" ), 3, 4 ) ) )</f>
        <v>1</v>
      </c>
    </row>
    <row r="539" spans="53:61" x14ac:dyDescent="0.35">
      <c r="BA539" s="3">
        <v>0.58256774008252166</v>
      </c>
      <c r="BB539" s="3" t="str">
        <f>"1"</f>
        <v>1</v>
      </c>
      <c r="BC539" t="str">
        <f ca="1">IF((OFFSET($A$1, 539 - 1, 53 - 1)) &gt;= (OFFSET($A$1, 69 - 1, 7 - 1)), "1","0")</f>
        <v>1</v>
      </c>
      <c r="BD539">
        <f ca="1" xml:space="preserve"> IF( AND( OFFSET($A$1, 539 - 1, 54 - 1) = "1", OFFSET($A$1, 539 - 1, 55 - 1) = "1" ), 1, IF( AND( OFFSET($A$1, 539 - 1, 54 - 1) = "1", OFFSET($A$1, 539 - 1, 55 - 1) = "0" ), 2, IF( AND( OFFSET($A$1, 539 - 1, 54 - 1) = "0", OFFSET($A$1, 539 - 1, 55 - 1) = "1" ), 3, 4 ) ) )</f>
        <v>1</v>
      </c>
      <c r="BF539" s="3">
        <v>0.58311396033806839</v>
      </c>
      <c r="BG539" s="3" t="str">
        <f>"1"</f>
        <v>1</v>
      </c>
      <c r="BH539" t="str">
        <f ca="1">IF((OFFSET($A$1, 539 - 1, 58 - 1)) &gt;= (OFFSET($A$1, 93 - 1, 7 - 1)), "1","0")</f>
        <v>1</v>
      </c>
      <c r="BI539">
        <f ca="1" xml:space="preserve"> IF( AND( OFFSET($A$1, 539 - 1, 59 - 1) = "1", OFFSET($A$1, 539 - 1, 60 - 1) = "1" ), 1, IF( AND( OFFSET($A$1, 539 - 1, 59 - 1) = "1", OFFSET($A$1, 539 - 1, 60 - 1) = "0" ), 2, IF( AND( OFFSET($A$1, 539 - 1, 59 - 1) = "0", OFFSET($A$1, 539 - 1, 60 - 1) = "1" ), 3, 4 ) ) )</f>
        <v>1</v>
      </c>
    </row>
    <row r="540" spans="53:61" x14ac:dyDescent="0.35">
      <c r="BA540" s="3">
        <v>0.5836555182793256</v>
      </c>
      <c r="BB540" s="3" t="str">
        <f>"0"</f>
        <v>0</v>
      </c>
      <c r="BC540" t="str">
        <f ca="1">IF((OFFSET($A$1, 540 - 1, 53 - 1)) &gt;= (OFFSET($A$1, 69 - 1, 7 - 1)), "1","0")</f>
        <v>1</v>
      </c>
      <c r="BD540">
        <f ca="1" xml:space="preserve"> IF( AND( OFFSET($A$1, 540 - 1, 54 - 1) = "1", OFFSET($A$1, 540 - 1, 55 - 1) = "1" ), 1, IF( AND( OFFSET($A$1, 540 - 1, 54 - 1) = "1", OFFSET($A$1, 540 - 1, 55 - 1) = "0" ), 2, IF( AND( OFFSET($A$1, 540 - 1, 54 - 1) = "0", OFFSET($A$1, 540 - 1, 55 - 1) = "1" ), 3, 4 ) ) )</f>
        <v>3</v>
      </c>
      <c r="BF540" s="3">
        <v>0.5841923776026493</v>
      </c>
      <c r="BG540" s="3" t="str">
        <f>"1"</f>
        <v>1</v>
      </c>
      <c r="BH540" t="str">
        <f ca="1">IF((OFFSET($A$1, 540 - 1, 58 - 1)) &gt;= (OFFSET($A$1, 93 - 1, 7 - 1)), "1","0")</f>
        <v>1</v>
      </c>
      <c r="BI540">
        <f ca="1" xml:space="preserve"> IF( AND( OFFSET($A$1, 540 - 1, 59 - 1) = "1", OFFSET($A$1, 540 - 1, 60 - 1) = "1" ), 1, IF( AND( OFFSET($A$1, 540 - 1, 59 - 1) = "1", OFFSET($A$1, 540 - 1, 60 - 1) = "0" ), 2, IF( AND( OFFSET($A$1, 540 - 1, 59 - 1) = "0", OFFSET($A$1, 540 - 1, 60 - 1) = "1" ), 3, 4 ) ) )</f>
        <v>1</v>
      </c>
    </row>
    <row r="541" spans="53:61" x14ac:dyDescent="0.35">
      <c r="BA541" s="3">
        <v>0.31085235444984272</v>
      </c>
      <c r="BB541" s="3" t="str">
        <f>"0"</f>
        <v>0</v>
      </c>
      <c r="BC541" t="str">
        <f ca="1">IF((OFFSET($A$1, 541 - 1, 53 - 1)) &gt;= (OFFSET($A$1, 69 - 1, 7 - 1)), "1","0")</f>
        <v>0</v>
      </c>
      <c r="BD541">
        <f ca="1" xml:space="preserve"> IF( AND( OFFSET($A$1, 541 - 1, 54 - 1) = "1", OFFSET($A$1, 541 - 1, 55 - 1) = "1" ), 1, IF( AND( OFFSET($A$1, 541 - 1, 54 - 1) = "1", OFFSET($A$1, 541 - 1, 55 - 1) = "0" ), 2, IF( AND( OFFSET($A$1, 541 - 1, 54 - 1) = "0", OFFSET($A$1, 541 - 1, 55 - 1) = "1" ), 3, 4 ) ) )</f>
        <v>4</v>
      </c>
      <c r="BF541" s="3">
        <v>0.58525185724641138</v>
      </c>
      <c r="BG541" s="3" t="str">
        <f>"0"</f>
        <v>0</v>
      </c>
      <c r="BH541" t="str">
        <f ca="1">IF((OFFSET($A$1, 541 - 1, 58 - 1)) &gt;= (OFFSET($A$1, 93 - 1, 7 - 1)), "1","0")</f>
        <v>1</v>
      </c>
      <c r="BI541">
        <f ca="1" xml:space="preserve"> IF( AND( OFFSET($A$1, 541 - 1, 59 - 1) = "1", OFFSET($A$1, 541 - 1, 60 - 1) = "1" ), 1, IF( AND( OFFSET($A$1, 541 - 1, 59 - 1) = "1", OFFSET($A$1, 541 - 1, 60 - 1) = "0" ), 2, IF( AND( OFFSET($A$1, 541 - 1, 59 - 1) = "0", OFFSET($A$1, 541 - 1, 60 - 1) = "1" ), 3, 4 ) ) )</f>
        <v>3</v>
      </c>
    </row>
    <row r="542" spans="53:61" x14ac:dyDescent="0.35">
      <c r="BA542" s="3">
        <v>0.31177970355773671</v>
      </c>
      <c r="BB542" s="3" t="str">
        <f>"0"</f>
        <v>0</v>
      </c>
      <c r="BC542" t="str">
        <f ca="1">IF((OFFSET($A$1, 542 - 1, 53 - 1)) &gt;= (OFFSET($A$1, 69 - 1, 7 - 1)), "1","0")</f>
        <v>0</v>
      </c>
      <c r="BD542">
        <f ca="1" xml:space="preserve"> IF( AND( OFFSET($A$1, 542 - 1, 54 - 1) = "1", OFFSET($A$1, 542 - 1, 55 - 1) = "1" ), 1, IF( AND( OFFSET($A$1, 542 - 1, 54 - 1) = "1", OFFSET($A$1, 542 - 1, 55 - 1) = "0" ), 2, IF( AND( OFFSET($A$1, 542 - 1, 54 - 1) = "0", OFFSET($A$1, 542 - 1, 55 - 1) = "1" ), 3, 4 ) ) )</f>
        <v>4</v>
      </c>
      <c r="BF542" s="3">
        <v>0.31223779120654782</v>
      </c>
      <c r="BG542" s="3" t="str">
        <f>"0"</f>
        <v>0</v>
      </c>
      <c r="BH542" t="str">
        <f ca="1">IF((OFFSET($A$1, 542 - 1, 58 - 1)) &gt;= (OFFSET($A$1, 93 - 1, 7 - 1)), "1","0")</f>
        <v>0</v>
      </c>
      <c r="BI542">
        <f ca="1" xml:space="preserve"> IF( AND( OFFSET($A$1, 542 - 1, 59 - 1) = "1", OFFSET($A$1, 542 - 1, 60 - 1) = "1" ), 1, IF( AND( OFFSET($A$1, 542 - 1, 59 - 1) = "1", OFFSET($A$1, 542 - 1, 60 - 1) = "0" ), 2, IF( AND( OFFSET($A$1, 542 - 1, 59 - 1) = "0", OFFSET($A$1, 542 - 1, 60 - 1) = "1" ), 3, 4 ) ) )</f>
        <v>4</v>
      </c>
    </row>
    <row r="543" spans="53:61" x14ac:dyDescent="0.35">
      <c r="BA543" s="3">
        <v>0.31269209490833366</v>
      </c>
      <c r="BB543" s="3" t="str">
        <f>"1"</f>
        <v>1</v>
      </c>
      <c r="BC543" t="str">
        <f ca="1">IF((OFFSET($A$1, 543 - 1, 53 - 1)) &gt;= (OFFSET($A$1, 69 - 1, 7 - 1)), "1","0")</f>
        <v>0</v>
      </c>
      <c r="BD543">
        <f ca="1" xml:space="preserve"> IF( AND( OFFSET($A$1, 543 - 1, 54 - 1) = "1", OFFSET($A$1, 543 - 1, 55 - 1) = "1" ), 1, IF( AND( OFFSET($A$1, 543 - 1, 54 - 1) = "1", OFFSET($A$1, 543 - 1, 55 - 1) = "0" ), 2, IF( AND( OFFSET($A$1, 543 - 1, 54 - 1) = "0", OFFSET($A$1, 543 - 1, 55 - 1) = "1" ), 3, 4 ) ) )</f>
        <v>2</v>
      </c>
      <c r="BF543" s="3">
        <v>0.31314257055289413</v>
      </c>
      <c r="BG543" s="3" t="str">
        <f>"0"</f>
        <v>0</v>
      </c>
      <c r="BH543" t="str">
        <f ca="1">IF((OFFSET($A$1, 543 - 1, 58 - 1)) &gt;= (OFFSET($A$1, 93 - 1, 7 - 1)), "1","0")</f>
        <v>0</v>
      </c>
      <c r="BI543">
        <f ca="1" xml:space="preserve"> IF( AND( OFFSET($A$1, 543 - 1, 59 - 1) = "1", OFFSET($A$1, 543 - 1, 60 - 1) = "1" ), 1, IF( AND( OFFSET($A$1, 543 - 1, 59 - 1) = "1", OFFSET($A$1, 543 - 1, 60 - 1) = "0" ), 2, IF( AND( OFFSET($A$1, 543 - 1, 59 - 1) = "0", OFFSET($A$1, 543 - 1, 60 - 1) = "1" ), 3, 4 ) ) )</f>
        <v>4</v>
      </c>
    </row>
    <row r="544" spans="53:61" x14ac:dyDescent="0.35">
      <c r="BA544" s="3">
        <v>0.58781586890834669</v>
      </c>
      <c r="BB544" s="3" t="str">
        <f>"0"</f>
        <v>0</v>
      </c>
      <c r="BC544" t="str">
        <f ca="1">IF((OFFSET($A$1, 544 - 1, 53 - 1)) &gt;= (OFFSET($A$1, 69 - 1, 7 - 1)), "1","0")</f>
        <v>1</v>
      </c>
      <c r="BD544">
        <f ca="1" xml:space="preserve"> IF( AND( OFFSET($A$1, 544 - 1, 54 - 1) = "1", OFFSET($A$1, 544 - 1, 55 - 1) = "1" ), 1, IF( AND( OFFSET($A$1, 544 - 1, 54 - 1) = "1", OFFSET($A$1, 544 - 1, 55 - 1) = "0" ), 2, IF( AND( OFFSET($A$1, 544 - 1, 54 - 1) = "0", OFFSET($A$1, 544 - 1, 55 - 1) = "1" ), 3, 4 ) ) )</f>
        <v>3</v>
      </c>
      <c r="BF544" s="3">
        <v>0.31403186286212337</v>
      </c>
      <c r="BG544" s="3" t="str">
        <f>"0"</f>
        <v>0</v>
      </c>
      <c r="BH544" t="str">
        <f ca="1">IF((OFFSET($A$1, 544 - 1, 58 - 1)) &gt;= (OFFSET($A$1, 93 - 1, 7 - 1)), "1","0")</f>
        <v>0</v>
      </c>
      <c r="BI544">
        <f ca="1" xml:space="preserve"> IF( AND( OFFSET($A$1, 544 - 1, 59 - 1) = "1", OFFSET($A$1, 544 - 1, 60 - 1) = "1" ), 1, IF( AND( OFFSET($A$1, 544 - 1, 59 - 1) = "1", OFFSET($A$1, 544 - 1, 60 - 1) = "0" ), 2, IF( AND( OFFSET($A$1, 544 - 1, 59 - 1) = "0", OFFSET($A$1, 544 - 1, 60 - 1) = "1" ), 3, 4 ) ) )</f>
        <v>4</v>
      </c>
    </row>
    <row r="545" spans="53:61" x14ac:dyDescent="0.35">
      <c r="BA545" s="3">
        <v>0.31447059295699858</v>
      </c>
      <c r="BB545" s="3" t="str">
        <f>"0"</f>
        <v>0</v>
      </c>
      <c r="BC545" t="str">
        <f ca="1">IF((OFFSET($A$1, 545 - 1, 53 - 1)) &gt;= (OFFSET($A$1, 69 - 1, 7 - 1)), "1","0")</f>
        <v>0</v>
      </c>
      <c r="BD545">
        <f ca="1" xml:space="preserve"> IF( AND( OFFSET($A$1, 545 - 1, 54 - 1) = "1", OFFSET($A$1, 545 - 1, 55 - 1) = "1" ), 1, IF( AND( OFFSET($A$1, 545 - 1, 54 - 1) = "1", OFFSET($A$1, 545 - 1, 55 - 1) = "0" ), 2, IF( AND( OFFSET($A$1, 545 - 1, 54 - 1) = "0", OFFSET($A$1, 545 - 1, 55 - 1) = "1" ), 3, 4 ) ) )</f>
        <v>4</v>
      </c>
      <c r="BF545" s="3">
        <v>0.3149053218669462</v>
      </c>
      <c r="BG545" s="3" t="str">
        <f>"0"</f>
        <v>0</v>
      </c>
      <c r="BH545" t="str">
        <f ca="1">IF((OFFSET($A$1, 545 - 1, 58 - 1)) &gt;= (OFFSET($A$1, 93 - 1, 7 - 1)), "1","0")</f>
        <v>0</v>
      </c>
      <c r="BI545">
        <f ca="1" xml:space="preserve"> IF( AND( OFFSET($A$1, 545 - 1, 59 - 1) = "1", OFFSET($A$1, 545 - 1, 60 - 1) = "1" ), 1, IF( AND( OFFSET($A$1, 545 - 1, 59 - 1) = "1", OFFSET($A$1, 545 - 1, 60 - 1) = "0" ), 2, IF( AND( OFFSET($A$1, 545 - 1, 59 - 1) = "0", OFFSET($A$1, 545 - 1, 60 - 1) = "1" ), 3, 4 ) ) )</f>
        <v>4</v>
      </c>
    </row>
    <row r="546" spans="53:61" x14ac:dyDescent="0.35">
      <c r="BA546" s="3">
        <v>0.31533600716802912</v>
      </c>
      <c r="BB546" s="3" t="str">
        <f>"0"</f>
        <v>0</v>
      </c>
      <c r="BC546" t="str">
        <f ca="1">IF((OFFSET($A$1, 546 - 1, 53 - 1)) &gt;= (OFFSET($A$1, 69 - 1, 7 - 1)), "1","0")</f>
        <v>0</v>
      </c>
      <c r="BD546">
        <f ca="1" xml:space="preserve"> IF( AND( OFFSET($A$1, 546 - 1, 54 - 1) = "1", OFFSET($A$1, 546 - 1, 55 - 1) = "1" ), 1, IF( AND( OFFSET($A$1, 546 - 1, 54 - 1) = "1", OFFSET($A$1, 546 - 1, 55 - 1) = "0" ), 2, IF( AND( OFFSET($A$1, 546 - 1, 54 - 1) = "0", OFFSET($A$1, 546 - 1, 55 - 1) = "1" ), 3, 4 ) ) )</f>
        <v>4</v>
      </c>
      <c r="BF546" s="3">
        <v>0.31576260679118606</v>
      </c>
      <c r="BG546" s="3" t="str">
        <f>"0"</f>
        <v>0</v>
      </c>
      <c r="BH546" t="str">
        <f ca="1">IF((OFFSET($A$1, 546 - 1, 58 - 1)) &gt;= (OFFSET($A$1, 93 - 1, 7 - 1)), "1","0")</f>
        <v>0</v>
      </c>
      <c r="BI546">
        <f ca="1" xml:space="preserve"> IF( AND( OFFSET($A$1, 546 - 1, 59 - 1) = "1", OFFSET($A$1, 546 - 1, 60 - 1) = "1" ), 1, IF( AND( OFFSET($A$1, 546 - 1, 59 - 1) = "1", OFFSET($A$1, 546 - 1, 60 - 1) = "0" ), 2, IF( AND( OFFSET($A$1, 546 - 1, 59 - 1) = "0", OFFSET($A$1, 546 - 1, 60 - 1) = "1" ), 3, 4 ) ) )</f>
        <v>4</v>
      </c>
    </row>
    <row r="547" spans="53:61" x14ac:dyDescent="0.35">
      <c r="BA547" s="3">
        <v>0.31618507902797854</v>
      </c>
      <c r="BB547" s="3" t="str">
        <f>"0"</f>
        <v>0</v>
      </c>
      <c r="BC547" t="str">
        <f ca="1">IF((OFFSET($A$1, 547 - 1, 53 - 1)) &gt;= (OFFSET($A$1, 69 - 1, 7 - 1)), "1","0")</f>
        <v>0</v>
      </c>
      <c r="BD547">
        <f ca="1" xml:space="preserve"> IF( AND( OFFSET($A$1, 547 - 1, 54 - 1) = "1", OFFSET($A$1, 547 - 1, 55 - 1) = "1" ), 1, IF( AND( OFFSET($A$1, 547 - 1, 54 - 1) = "1", OFFSET($A$1, 547 - 1, 55 - 1) = "0" ), 2, IF( AND( OFFSET($A$1, 547 - 1, 54 - 1) = "0", OFFSET($A$1, 547 - 1, 55 - 1) = "1" ), 3, 4 ) ) )</f>
        <v>4</v>
      </c>
      <c r="BF547" s="3">
        <v>0.31660338253626447</v>
      </c>
      <c r="BG547" s="3" t="str">
        <f>"0"</f>
        <v>0</v>
      </c>
      <c r="BH547" t="str">
        <f ca="1">IF((OFFSET($A$1, 547 - 1, 58 - 1)) &gt;= (OFFSET($A$1, 93 - 1, 7 - 1)), "1","0")</f>
        <v>0</v>
      </c>
      <c r="BI547">
        <f ca="1" xml:space="preserve"> IF( AND( OFFSET($A$1, 547 - 1, 59 - 1) = "1", OFFSET($A$1, 547 - 1, 60 - 1) = "1" ), 1, IF( AND( OFFSET($A$1, 547 - 1, 59 - 1) = "1", OFFSET($A$1, 547 - 1, 60 - 1) = "0" ), 2, IF( AND( OFFSET($A$1, 547 - 1, 59 - 1) = "0", OFFSET($A$1, 547 - 1, 60 - 1) = "1" ), 3, 4 ) ) )</f>
        <v>4</v>
      </c>
    </row>
    <row r="548" spans="53:61" x14ac:dyDescent="0.35">
      <c r="BA548" s="3">
        <v>0.31701747634582211</v>
      </c>
      <c r="BB548" s="3" t="str">
        <f>"0"</f>
        <v>0</v>
      </c>
      <c r="BC548" t="str">
        <f ca="1">IF((OFFSET($A$1, 548 - 1, 53 - 1)) &gt;= (OFFSET($A$1, 69 - 1, 7 - 1)), "1","0")</f>
        <v>0</v>
      </c>
      <c r="BD548">
        <f ca="1" xml:space="preserve"> IF( AND( OFFSET($A$1, 548 - 1, 54 - 1) = "1", OFFSET($A$1, 548 - 1, 55 - 1) = "1" ), 1, IF( AND( OFFSET($A$1, 548 - 1, 54 - 1) = "1", OFFSET($A$1, 548 - 1, 55 - 1) = "0" ), 2, IF( AND( OFFSET($A$1, 548 - 1, 54 - 1) = "0", OFFSET($A$1, 548 - 1, 55 - 1) = "1" ), 3, 4 ) ) )</f>
        <v>4</v>
      </c>
      <c r="BF548" s="3">
        <v>0.31742731986390055</v>
      </c>
      <c r="BG548" s="3" t="str">
        <f>"0"</f>
        <v>0</v>
      </c>
      <c r="BH548" t="str">
        <f ca="1">IF((OFFSET($A$1, 548 - 1, 58 - 1)) &gt;= (OFFSET($A$1, 93 - 1, 7 - 1)), "1","0")</f>
        <v>0</v>
      </c>
      <c r="BI548">
        <f ca="1" xml:space="preserve"> IF( AND( OFFSET($A$1, 548 - 1, 59 - 1) = "1", OFFSET($A$1, 548 - 1, 60 - 1) = "1" ), 1, IF( AND( OFFSET($A$1, 548 - 1, 59 - 1) = "1", OFFSET($A$1, 548 - 1, 60 - 1) = "0" ), 2, IF( AND( OFFSET($A$1, 548 - 1, 59 - 1) = "0", OFFSET($A$1, 548 - 1, 60 - 1) = "1" ), 3, 4 ) ) )</f>
        <v>4</v>
      </c>
    </row>
    <row r="549" spans="53:61" x14ac:dyDescent="0.35">
      <c r="BA549" s="3">
        <v>0.31783287288071993</v>
      </c>
      <c r="BB549" s="3" t="str">
        <f>"0"</f>
        <v>0</v>
      </c>
      <c r="BC549" t="str">
        <f ca="1">IF((OFFSET($A$1, 549 - 1, 53 - 1)) &gt;= (OFFSET($A$1, 69 - 1, 7 - 1)), "1","0")</f>
        <v>0</v>
      </c>
      <c r="BD549">
        <f ca="1" xml:space="preserve"> IF( AND( OFFSET($A$1, 549 - 1, 54 - 1) = "1", OFFSET($A$1, 549 - 1, 55 - 1) = "1" ), 1, IF( AND( OFFSET($A$1, 549 - 1, 54 - 1) = "1", OFFSET($A$1, 549 - 1, 55 - 1) = "0" ), 2, IF( AND( OFFSET($A$1, 549 - 1, 54 - 1) = "0", OFFSET($A$1, 549 - 1, 55 - 1) = "1" ), 3, 4 ) ) )</f>
        <v>4</v>
      </c>
      <c r="BF549" s="3">
        <v>0.31823409557489812</v>
      </c>
      <c r="BG549" s="3" t="str">
        <f>"0"</f>
        <v>0</v>
      </c>
      <c r="BH549" t="str">
        <f ca="1">IF((OFFSET($A$1, 549 - 1, 58 - 1)) &gt;= (OFFSET($A$1, 93 - 1, 7 - 1)), "1","0")</f>
        <v>0</v>
      </c>
      <c r="BI549">
        <f ca="1" xml:space="preserve"> IF( AND( OFFSET($A$1, 549 - 1, 59 - 1) = "1", OFFSET($A$1, 549 - 1, 60 - 1) = "1" ), 1, IF( AND( OFFSET($A$1, 549 - 1, 59 - 1) = "1", OFFSET($A$1, 549 - 1, 60 - 1) = "0" ), 2, IF( AND( OFFSET($A$1, 549 - 1, 59 - 1) = "0", OFFSET($A$1, 549 - 1, 60 - 1) = "1" ), 3, 4 ) ) )</f>
        <v>4</v>
      </c>
    </row>
    <row r="550" spans="53:61" x14ac:dyDescent="0.35">
      <c r="BA550" s="3">
        <v>0.31863094851882046</v>
      </c>
      <c r="BB550" s="3" t="str">
        <f>"0"</f>
        <v>0</v>
      </c>
      <c r="BC550" t="str">
        <f ca="1">IF((OFFSET($A$1, 550 - 1, 53 - 1)) &gt;= (OFFSET($A$1, 69 - 1, 7 - 1)), "1","0")</f>
        <v>0</v>
      </c>
      <c r="BD550">
        <f ca="1" xml:space="preserve"> IF( AND( OFFSET($A$1, 550 - 1, 54 - 1) = "1", OFFSET($A$1, 550 - 1, 55 - 1) = "1" ), 1, IF( AND( OFFSET($A$1, 550 - 1, 54 - 1) = "1", OFFSET($A$1, 550 - 1, 55 - 1) = "0" ), 2, IF( AND( OFFSET($A$1, 550 - 1, 54 - 1) = "0", OFFSET($A$1, 550 - 1, 55 - 1) = "1" ), 3, 4 ) ) )</f>
        <v>4</v>
      </c>
      <c r="BF550" s="3">
        <v>0.3190233926839387</v>
      </c>
      <c r="BG550" s="3" t="str">
        <f>"1"</f>
        <v>1</v>
      </c>
      <c r="BH550" t="str">
        <f ca="1">IF((OFFSET($A$1, 550 - 1, 58 - 1)) &gt;= (OFFSET($A$1, 93 - 1, 7 - 1)), "1","0")</f>
        <v>0</v>
      </c>
      <c r="BI550">
        <f ca="1" xml:space="preserve"> IF( AND( OFFSET($A$1, 550 - 1, 59 - 1) = "1", OFFSET($A$1, 550 - 1, 60 - 1) = "1" ), 1, IF( AND( OFFSET($A$1, 550 - 1, 59 - 1) = "1", OFFSET($A$1, 550 - 1, 60 - 1) = "0" ), 2, IF( AND( OFFSET($A$1, 550 - 1, 59 - 1) = "0", OFFSET($A$1, 550 - 1, 60 - 1) = "1" ), 3, 4 ) ) )</f>
        <v>2</v>
      </c>
    </row>
    <row r="551" spans="53:61" x14ac:dyDescent="0.35">
      <c r="BA551" s="3">
        <v>0.31941138944600989</v>
      </c>
      <c r="BB551" s="3" t="str">
        <f>"0"</f>
        <v>0</v>
      </c>
      <c r="BC551" t="str">
        <f ca="1">IF((OFFSET($A$1, 551 - 1, 53 - 1)) &gt;= (OFFSET($A$1, 69 - 1, 7 - 1)), "1","0")</f>
        <v>0</v>
      </c>
      <c r="BD551">
        <f ca="1" xml:space="preserve"> IF( AND( OFFSET($A$1, 551 - 1, 54 - 1) = "1", OFFSET($A$1, 551 - 1, 55 - 1) = "1" ), 1, IF( AND( OFFSET($A$1, 551 - 1, 54 - 1) = "1", OFFSET($A$1, 551 - 1, 55 - 1) = "0" ), 2, IF( AND( OFFSET($A$1, 551 - 1, 54 - 1) = "0", OFFSET($A$1, 551 - 1, 55 - 1) = "1" ), 3, 4 ) ) )</f>
        <v>4</v>
      </c>
      <c r="BF551" s="3">
        <v>0.59474629549541458</v>
      </c>
      <c r="BG551" s="3" t="str">
        <f>"0"</f>
        <v>0</v>
      </c>
      <c r="BH551" t="str">
        <f ca="1">IF((OFFSET($A$1, 551 - 1, 58 - 1)) &gt;= (OFFSET($A$1, 93 - 1, 7 - 1)), "1","0")</f>
        <v>1</v>
      </c>
      <c r="BI551">
        <f ca="1" xml:space="preserve"> IF( AND( OFFSET($A$1, 551 - 1, 59 - 1) = "1", OFFSET($A$1, 551 - 1, 60 - 1) = "1" ), 1, IF( AND( OFFSET($A$1, 551 - 1, 59 - 1) = "1", OFFSET($A$1, 551 - 1, 60 - 1) = "0" ), 2, IF( AND( OFFSET($A$1, 551 - 1, 59 - 1) = "0", OFFSET($A$1, 551 - 1, 60 - 1) = "1" ), 3, 4 ) ) )</f>
        <v>3</v>
      </c>
    </row>
    <row r="552" spans="53:61" x14ac:dyDescent="0.35">
      <c r="BA552" s="3">
        <v>0.32017388831652061</v>
      </c>
      <c r="BB552" s="3" t="str">
        <f>"0"</f>
        <v>0</v>
      </c>
      <c r="BC552" t="str">
        <f ca="1">IF((OFFSET($A$1, 552 - 1, 53 - 1)) &gt;= (OFFSET($A$1, 69 - 1, 7 - 1)), "1","0")</f>
        <v>0</v>
      </c>
      <c r="BD552">
        <f ca="1" xml:space="preserve"> IF( AND( OFFSET($A$1, 552 - 1, 54 - 1) = "1", OFFSET($A$1, 552 - 1, 55 - 1) = "1" ), 1, IF( AND( OFFSET($A$1, 552 - 1, 54 - 1) = "1", OFFSET($A$1, 552 - 1, 55 - 1) = "0" ), 2, IF( AND( OFFSET($A$1, 552 - 1, 54 - 1) = "0", OFFSET($A$1, 552 - 1, 55 - 1) = "1" ), 3, 4 ) ) )</f>
        <v>4</v>
      </c>
      <c r="BF552" s="3">
        <v>0.32054831524419836</v>
      </c>
      <c r="BG552" s="3" t="str">
        <f>"1"</f>
        <v>1</v>
      </c>
      <c r="BH552" t="str">
        <f ca="1">IF((OFFSET($A$1, 552 - 1, 58 - 1)) &gt;= (OFFSET($A$1, 93 - 1, 7 - 1)), "1","0")</f>
        <v>0</v>
      </c>
      <c r="BI552">
        <f ca="1" xml:space="preserve"> IF( AND( OFFSET($A$1, 552 - 1, 59 - 1) = "1", OFFSET($A$1, 552 - 1, 60 - 1) = "1" ), 1, IF( AND( OFFSET($A$1, 552 - 1, 59 - 1) = "1", OFFSET($A$1, 552 - 1, 60 - 1) = "0" ), 2, IF( AND( OFFSET($A$1, 552 - 1, 59 - 1) = "0", OFFSET($A$1, 552 - 1, 60 - 1) = "1" ), 3, 4 ) ) )</f>
        <v>2</v>
      </c>
    </row>
    <row r="553" spans="53:61" x14ac:dyDescent="0.35">
      <c r="BA553" s="3">
        <v>0.32091814441731387</v>
      </c>
      <c r="BB553" s="3" t="str">
        <f>"1"</f>
        <v>1</v>
      </c>
      <c r="BC553" t="str">
        <f ca="1">IF((OFFSET($A$1, 553 - 1, 53 - 1)) &gt;= (OFFSET($A$1, 69 - 1, 7 - 1)), "1","0")</f>
        <v>0</v>
      </c>
      <c r="BD553">
        <f ca="1" xml:space="preserve"> IF( AND( OFFSET($A$1, 553 - 1, 54 - 1) = "1", OFFSET($A$1, 553 - 1, 55 - 1) = "1" ), 1, IF( AND( OFFSET($A$1, 553 - 1, 54 - 1) = "1", OFFSET($A$1, 553 - 1, 55 - 1) = "0" ), 2, IF( AND( OFFSET($A$1, 553 - 1, 54 - 1) = "0", OFFSET($A$1, 553 - 1, 55 - 1) = "1" ), 3, 4 ) ) )</f>
        <v>2</v>
      </c>
      <c r="BF553" s="3">
        <v>0.59639241733546478</v>
      </c>
      <c r="BG553" s="3" t="str">
        <f>"1"</f>
        <v>1</v>
      </c>
      <c r="BH553" t="str">
        <f ca="1">IF((OFFSET($A$1, 553 - 1, 58 - 1)) &gt;= (OFFSET($A$1, 93 - 1, 7 - 1)), "1","0")</f>
        <v>1</v>
      </c>
      <c r="BI553">
        <f ca="1" xml:space="preserve"> IF( AND( OFFSET($A$1, 553 - 1, 59 - 1) = "1", OFFSET($A$1, 553 - 1, 60 - 1) = "1" ), 1, IF( AND( OFFSET($A$1, 553 - 1, 59 - 1) = "1", OFFSET($A$1, 553 - 1, 60 - 1) = "0" ), 2, IF( AND( OFFSET($A$1, 553 - 1, 59 - 1) = "0", OFFSET($A$1, 553 - 1, 60 - 1) = "1" ), 3, 4 ) ) )</f>
        <v>1</v>
      </c>
    </row>
    <row r="554" spans="53:61" x14ac:dyDescent="0.35">
      <c r="BA554" s="3">
        <v>0.5967902056572828</v>
      </c>
      <c r="BB554" s="3" t="str">
        <f>"1"</f>
        <v>1</v>
      </c>
      <c r="BC554" t="str">
        <f ca="1">IF((OFFSET($A$1, 554 - 1, 53 - 1)) &gt;= (OFFSET($A$1, 69 - 1, 7 - 1)), "1","0")</f>
        <v>1</v>
      </c>
      <c r="BD554">
        <f ca="1" xml:space="preserve"> IF( AND( OFFSET($A$1, 554 - 1, 54 - 1) = "1", OFFSET($A$1, 554 - 1, 55 - 1) = "1" ), 1, IF( AND( OFFSET($A$1, 554 - 1, 54 - 1) = "1", OFFSET($A$1, 554 - 1, 55 - 1) = "0" ), 2, IF( AND( OFFSET($A$1, 554 - 1, 54 - 1) = "0", OFFSET($A$1, 554 - 1, 55 - 1) = "1" ), 3, 4 ) ) )</f>
        <v>1</v>
      </c>
      <c r="BF554" s="3">
        <v>0.59718244704909951</v>
      </c>
      <c r="BG554" s="3" t="str">
        <f>"0"</f>
        <v>0</v>
      </c>
      <c r="BH554" t="str">
        <f ca="1">IF((OFFSET($A$1, 554 - 1, 58 - 1)) &gt;= (OFFSET($A$1, 93 - 1, 7 - 1)), "1","0")</f>
        <v>1</v>
      </c>
      <c r="BI554">
        <f ca="1" xml:space="preserve"> IF( AND( OFFSET($A$1, 554 - 1, 59 - 1) = "1", OFFSET($A$1, 554 - 1, 60 - 1) = "1" ), 1, IF( AND( OFFSET($A$1, 554 - 1, 59 - 1) = "1", OFFSET($A$1, 554 - 1, 60 - 1) = "0" ), 2, IF( AND( OFFSET($A$1, 554 - 1, 59 - 1) = "0", OFFSET($A$1, 554 - 1, 60 - 1) = "1" ), 3, 4 ) ) )</f>
        <v>3</v>
      </c>
    </row>
    <row r="555" spans="53:61" x14ac:dyDescent="0.35">
      <c r="BA555" s="3">
        <v>0.5975691171863422</v>
      </c>
      <c r="BB555" s="3" t="str">
        <f>"1"</f>
        <v>1</v>
      </c>
      <c r="BC555" t="str">
        <f ca="1">IF((OFFSET($A$1, 555 - 1, 53 - 1)) &gt;= (OFFSET($A$1, 69 - 1, 7 - 1)), "1","0")</f>
        <v>1</v>
      </c>
      <c r="BD555">
        <f ca="1" xml:space="preserve"> IF( AND( OFFSET($A$1, 555 - 1, 54 - 1) = "1", OFFSET($A$1, 555 - 1, 55 - 1) = "1" ), 1, IF( AND( OFFSET($A$1, 555 - 1, 54 - 1) = "1", OFFSET($A$1, 555 - 1, 55 - 1) = "0" ), 2, IF( AND( OFFSET($A$1, 555 - 1, 54 - 1) = "0", OFFSET($A$1, 555 - 1, 55 - 1) = "1" ), 3, 4 ) ) )</f>
        <v>1</v>
      </c>
      <c r="BF555" s="3">
        <v>0.32269706083753591</v>
      </c>
      <c r="BG555" s="3" t="str">
        <f>"0"</f>
        <v>0</v>
      </c>
      <c r="BH555" t="str">
        <f ca="1">IF((OFFSET($A$1, 555 - 1, 58 - 1)) &gt;= (OFFSET($A$1, 93 - 1, 7 - 1)), "1","0")</f>
        <v>0</v>
      </c>
      <c r="BI555">
        <f ca="1" xml:space="preserve"> IF( AND( OFFSET($A$1, 555 - 1, 59 - 1) = "1", OFFSET($A$1, 555 - 1, 60 - 1) = "1" ), 1, IF( AND( OFFSET($A$1, 555 - 1, 59 - 1) = "1", OFFSET($A$1, 555 - 1, 60 - 1) = "0" ), 2, IF( AND( OFFSET($A$1, 555 - 1, 59 - 1) = "0", OFFSET($A$1, 555 - 1, 60 - 1) = "1" ), 3, 4 ) ) )</f>
        <v>4</v>
      </c>
    </row>
    <row r="556" spans="53:61" x14ac:dyDescent="0.35">
      <c r="BA556" s="3">
        <v>0.59832564842794123</v>
      </c>
      <c r="BB556" s="3" t="str">
        <f>"1"</f>
        <v>1</v>
      </c>
      <c r="BC556" t="str">
        <f ca="1">IF((OFFSET($A$1, 556 - 1, 53 - 1)) &gt;= (OFFSET($A$1, 69 - 1, 7 - 1)), "1","0")</f>
        <v>1</v>
      </c>
      <c r="BD556">
        <f ca="1" xml:space="preserve"> IF( AND( OFFSET($A$1, 556 - 1, 54 - 1) = "1", OFFSET($A$1, 556 - 1, 55 - 1) = "1" ), 1, IF( AND( OFFSET($A$1, 556 - 1, 54 - 1) = "1", OFFSET($A$1, 556 - 1, 55 - 1) = "0" ), 2, IF( AND( OFFSET($A$1, 556 - 1, 54 - 1) = "0", OFFSET($A$1, 556 - 1, 55 - 1) = "1" ), 3, 4 ) ) )</f>
        <v>1</v>
      </c>
      <c r="BF556" s="3">
        <v>0.32337519859350922</v>
      </c>
      <c r="BG556" s="3" t="str">
        <f>"0"</f>
        <v>0</v>
      </c>
      <c r="BH556" t="str">
        <f ca="1">IF((OFFSET($A$1, 556 - 1, 58 - 1)) &gt;= (OFFSET($A$1, 93 - 1, 7 - 1)), "1","0")</f>
        <v>0</v>
      </c>
      <c r="BI556">
        <f ca="1" xml:space="preserve"> IF( AND( OFFSET($A$1, 556 - 1, 59 - 1) = "1", OFFSET($A$1, 556 - 1, 60 - 1) = "1" ), 1, IF( AND( OFFSET($A$1, 556 - 1, 59 - 1) = "1", OFFSET($A$1, 556 - 1, 60 - 1) = "0" ), 2, IF( AND( OFFSET($A$1, 556 - 1, 59 - 1) = "0", OFFSET($A$1, 556 - 1, 60 - 1) = "1" ), 3, 4 ) ) )</f>
        <v>4</v>
      </c>
    </row>
    <row r="557" spans="53:61" x14ac:dyDescent="0.35">
      <c r="BA557" s="3">
        <v>0.59905961288977005</v>
      </c>
      <c r="BB557" s="3" t="str">
        <f>"0"</f>
        <v>0</v>
      </c>
      <c r="BC557" t="str">
        <f ca="1">IF((OFFSET($A$1, 557 - 1, 53 - 1)) &gt;= (OFFSET($A$1, 69 - 1, 7 - 1)), "1","0")</f>
        <v>1</v>
      </c>
      <c r="BD557">
        <f ca="1" xml:space="preserve"> IF( AND( OFFSET($A$1, 557 - 1, 54 - 1) = "1", OFFSET($A$1, 557 - 1, 55 - 1) = "1" ), 1, IF( AND( OFFSET($A$1, 557 - 1, 54 - 1) = "1", OFFSET($A$1, 557 - 1, 55 - 1) = "0" ), 2, IF( AND( OFFSET($A$1, 557 - 1, 54 - 1) = "0", OFFSET($A$1, 557 - 1, 55 - 1) = "1" ), 3, 4 ) ) )</f>
        <v>3</v>
      </c>
      <c r="BF557" s="3">
        <v>0.32403382664026381</v>
      </c>
      <c r="BG557" s="3" t="str">
        <f>"1"</f>
        <v>1</v>
      </c>
      <c r="BH557" t="str">
        <f ca="1">IF((OFFSET($A$1, 557 - 1, 58 - 1)) &gt;= (OFFSET($A$1, 93 - 1, 7 - 1)), "1","0")</f>
        <v>0</v>
      </c>
      <c r="BI557">
        <f ca="1" xml:space="preserve"> IF( AND( OFFSET($A$1, 557 - 1, 59 - 1) = "1", OFFSET($A$1, 557 - 1, 60 - 1) = "1" ), 1, IF( AND( OFFSET($A$1, 557 - 1, 59 - 1) = "1", OFFSET($A$1, 557 - 1, 60 - 1) = "0" ), 2, IF( AND( OFFSET($A$1, 557 - 1, 59 - 1) = "0", OFFSET($A$1, 557 - 1, 60 - 1) = "1" ), 3, 4 ) ) )</f>
        <v>2</v>
      </c>
    </row>
    <row r="558" spans="53:61" x14ac:dyDescent="0.35">
      <c r="BA558" s="3">
        <v>0.32435574251201049</v>
      </c>
      <c r="BB558" s="3" t="str">
        <f>"0"</f>
        <v>0</v>
      </c>
      <c r="BC558" t="str">
        <f ca="1">IF((OFFSET($A$1, 558 - 1, 53 - 1)) &gt;= (OFFSET($A$1, 69 - 1, 7 - 1)), "1","0")</f>
        <v>0</v>
      </c>
      <c r="BD558">
        <f ca="1" xml:space="preserve"> IF( AND( OFFSET($A$1, 558 - 1, 54 - 1) = "1", OFFSET($A$1, 558 - 1, 55 - 1) = "1" ), 1, IF( AND( OFFSET($A$1, 558 - 1, 54 - 1) = "1", OFFSET($A$1, 558 - 1, 55 - 1) = "0" ), 2, IF( AND( OFFSET($A$1, 558 - 1, 54 - 1) = "0", OFFSET($A$1, 558 - 1, 55 - 1) = "1" ), 3, 4 ) ) )</f>
        <v>4</v>
      </c>
      <c r="BF558" s="3">
        <v>0.60011785479229618</v>
      </c>
      <c r="BG558" s="3" t="str">
        <f>"0"</f>
        <v>0</v>
      </c>
      <c r="BH558" t="str">
        <f ca="1">IF((OFFSET($A$1, 558 - 1, 58 - 1)) &gt;= (OFFSET($A$1, 93 - 1, 7 - 1)), "1","0")</f>
        <v>1</v>
      </c>
      <c r="BI558">
        <f ca="1" xml:space="preserve"> IF( AND( OFFSET($A$1, 558 - 1, 59 - 1) = "1", OFFSET($A$1, 558 - 1, 60 - 1) = "1" ), 1, IF( AND( OFFSET($A$1, 558 - 1, 59 - 1) = "1", OFFSET($A$1, 558 - 1, 60 - 1) = "0" ), 2, IF( AND( OFFSET($A$1, 558 - 1, 59 - 1) = "0", OFFSET($A$1, 558 - 1, 60 - 1) = "1" ), 3, 4 ) ) )</f>
        <v>3</v>
      </c>
    </row>
    <row r="559" spans="53:61" x14ac:dyDescent="0.35">
      <c r="BA559" s="3">
        <v>0.3249846180692465</v>
      </c>
      <c r="BB559" s="3" t="str">
        <f>"1"</f>
        <v>1</v>
      </c>
      <c r="BC559" t="str">
        <f ca="1">IF((OFFSET($A$1, 559 - 1, 53 - 1)) &gt;= (OFFSET($A$1, 69 - 1, 7 - 1)), "1","0")</f>
        <v>0</v>
      </c>
      <c r="BD559">
        <f ca="1" xml:space="preserve"> IF( AND( OFFSET($A$1, 559 - 1, 54 - 1) = "1", OFFSET($A$1, 559 - 1, 55 - 1) = "1" ), 1, IF( AND( OFFSET($A$1, 559 - 1, 54 - 1) = "1", OFFSET($A$1, 559 - 1, 55 - 1) = "0" ), 2, IF( AND( OFFSET($A$1, 559 - 1, 54 - 1) = "0", OFFSET($A$1, 559 - 1, 55 - 1) = "1" ), 3, 4 ) ) )</f>
        <v>2</v>
      </c>
      <c r="BF559" s="3">
        <v>0.32529151524025618</v>
      </c>
      <c r="BG559" s="3" t="str">
        <f>"1"</f>
        <v>1</v>
      </c>
      <c r="BH559" t="str">
        <f ca="1">IF((OFFSET($A$1, 559 - 1, 58 - 1)) &gt;= (OFFSET($A$1, 93 - 1, 7 - 1)), "1","0")</f>
        <v>0</v>
      </c>
      <c r="BI559">
        <f ca="1" xml:space="preserve"> IF( AND( OFFSET($A$1, 559 - 1, 59 - 1) = "1", OFFSET($A$1, 559 - 1, 60 - 1) = "1" ), 1, IF( AND( OFFSET($A$1, 559 - 1, 59 - 1) = "1", OFFSET($A$1, 559 - 1, 60 - 1) = "0" ), 2, IF( AND( OFFSET($A$1, 559 - 1, 59 - 1) = "0", OFFSET($A$1, 559 - 1, 60 - 1) = "1" ), 3, 4 ) ) )</f>
        <v>2</v>
      </c>
    </row>
    <row r="560" spans="53:61" x14ac:dyDescent="0.35">
      <c r="BA560" s="3">
        <v>0.60112433729135639</v>
      </c>
      <c r="BB560" s="3" t="str">
        <f>"1"</f>
        <v>1</v>
      </c>
      <c r="BC560" t="str">
        <f ca="1">IF((OFFSET($A$1, 560 - 1, 53 - 1)) &gt;= (OFFSET($A$1, 69 - 1, 7 - 1)), "1","0")</f>
        <v>1</v>
      </c>
      <c r="BD560">
        <f ca="1" xml:space="preserve"> IF( AND( OFFSET($A$1, 560 - 1, 54 - 1) = "1", OFFSET($A$1, 560 - 1, 55 - 1) = "1" ), 1, IF( AND( OFFSET($A$1, 560 - 1, 54 - 1) = "1", OFFSET($A$1, 560 - 1, 55 - 1) = "0" ), 2, IF( AND( OFFSET($A$1, 560 - 1, 54 - 1) = "0", OFFSET($A$1, 560 - 1, 55 - 1) = "1" ), 3, 4 ) ) )</f>
        <v>1</v>
      </c>
      <c r="BF560" s="3">
        <v>0.60144823367693989</v>
      </c>
      <c r="BG560" s="3" t="str">
        <f>"1"</f>
        <v>1</v>
      </c>
      <c r="BH560" t="str">
        <f ca="1">IF((OFFSET($A$1, 560 - 1, 58 - 1)) &gt;= (OFFSET($A$1, 93 - 1, 7 - 1)), "1","0")</f>
        <v>1</v>
      </c>
      <c r="BI560">
        <f ca="1" xml:space="preserve"> IF( AND( OFFSET($A$1, 560 - 1, 59 - 1) = "1", OFFSET($A$1, 560 - 1, 60 - 1) = "1" ), 1, IF( AND( OFFSET($A$1, 560 - 1, 59 - 1) = "1", OFFSET($A$1, 560 - 1, 60 - 1) = "0" ), 2, IF( AND( OFFSET($A$1, 560 - 1, 59 - 1) = "0", OFFSET($A$1, 560 - 1, 60 - 1) = "1" ), 3, 4 ) ) )</f>
        <v>1</v>
      </c>
    </row>
    <row r="561" spans="53:61" x14ac:dyDescent="0.35">
      <c r="BA561" s="3">
        <v>0.60176629831894779</v>
      </c>
      <c r="BB561" s="3" t="str">
        <f>"1"</f>
        <v>1</v>
      </c>
      <c r="BC561" t="str">
        <f ca="1">IF((OFFSET($A$1, 561 - 1, 53 - 1)) &gt;= (OFFSET($A$1, 69 - 1, 7 - 1)), "1","0")</f>
        <v>1</v>
      </c>
      <c r="BD561">
        <f ca="1" xml:space="preserve"> IF( AND( OFFSET($A$1, 561 - 1, 54 - 1) = "1", OFFSET($A$1, 561 - 1, 55 - 1) = "1" ), 1, IF( AND( OFFSET($A$1, 561 - 1, 54 - 1) = "1", OFFSET($A$1, 561 - 1, 55 - 1) = "0" ), 2, IF( AND( OFFSET($A$1, 561 - 1, 54 - 1) = "0", OFFSET($A$1, 561 - 1, 55 - 1) = "1" ), 3, 4 ) ) )</f>
        <v>1</v>
      </c>
      <c r="BF561" s="3">
        <v>0.60207851209765673</v>
      </c>
      <c r="BG561" s="3" t="str">
        <f>"1"</f>
        <v>1</v>
      </c>
      <c r="BH561" t="str">
        <f ca="1">IF((OFFSET($A$1, 561 - 1, 58 - 1)) &gt;= (OFFSET($A$1, 93 - 1, 7 - 1)), "1","0")</f>
        <v>1</v>
      </c>
      <c r="BI561">
        <f ca="1" xml:space="preserve"> IF( AND( OFFSET($A$1, 561 - 1, 59 - 1) = "1", OFFSET($A$1, 561 - 1, 60 - 1) = "1" ), 1, IF( AND( OFFSET($A$1, 561 - 1, 59 - 1) = "1", OFFSET($A$1, 561 - 1, 60 - 1) = "0" ), 2, IF( AND( OFFSET($A$1, 561 - 1, 59 - 1) = "0", OFFSET($A$1, 561 - 1, 60 - 1) = "1" ), 3, 4 ) ) )</f>
        <v>1</v>
      </c>
    </row>
    <row r="562" spans="53:61" x14ac:dyDescent="0.35">
      <c r="BA562" s="3">
        <v>0.60238485628666183</v>
      </c>
      <c r="BB562" s="3" t="str">
        <f>"1"</f>
        <v>1</v>
      </c>
      <c r="BC562" t="str">
        <f ca="1">IF((OFFSET($A$1, 562 - 1, 53 - 1)) &gt;= (OFFSET($A$1, 69 - 1, 7 - 1)), "1","0")</f>
        <v>1</v>
      </c>
      <c r="BD562">
        <f ca="1" xml:space="preserve"> IF( AND( OFFSET($A$1, 562 - 1, 54 - 1) = "1", OFFSET($A$1, 562 - 1, 55 - 1) = "1" ), 1, IF( AND( OFFSET($A$1, 562 - 1, 54 - 1) = "1", OFFSET($A$1, 562 - 1, 55 - 1) = "0" ), 2, IF( AND( OFFSET($A$1, 562 - 1, 54 - 1) = "0", OFFSET($A$1, 562 - 1, 55 - 1) = "1" ), 3, 4 ) ) )</f>
        <v>1</v>
      </c>
      <c r="BF562" s="3">
        <v>0.60268531255181734</v>
      </c>
      <c r="BG562" s="3" t="str">
        <f>"0"</f>
        <v>0</v>
      </c>
      <c r="BH562" t="str">
        <f ca="1">IF((OFFSET($A$1, 562 - 1, 58 - 1)) &gt;= (OFFSET($A$1, 93 - 1, 7 - 1)), "1","0")</f>
        <v>1</v>
      </c>
      <c r="BI562">
        <f ca="1" xml:space="preserve"> IF( AND( OFFSET($A$1, 562 - 1, 59 - 1) = "1", OFFSET($A$1, 562 - 1, 60 - 1) = "1" ), 1, IF( AND( OFFSET($A$1, 562 - 1, 59 - 1) = "1", OFFSET($A$1, 562 - 1, 60 - 1) = "0" ), 2, IF( AND( OFFSET($A$1, 562 - 1, 59 - 1) = "0", OFFSET($A$1, 562 - 1, 60 - 1) = "1" ), 3, 4 ) ) )</f>
        <v>3</v>
      </c>
    </row>
    <row r="563" spans="53:61" x14ac:dyDescent="0.35">
      <c r="BA563" s="3">
        <v>0.60297986295016914</v>
      </c>
      <c r="BB563" s="3" t="str">
        <f>"1"</f>
        <v>1</v>
      </c>
      <c r="BC563" t="str">
        <f ca="1">IF((OFFSET($A$1, 563 - 1, 53 - 1)) &gt;= (OFFSET($A$1, 69 - 1, 7 - 1)), "1","0")</f>
        <v>1</v>
      </c>
      <c r="BD563">
        <f ca="1" xml:space="preserve"> IF( AND( OFFSET($A$1, 563 - 1, 54 - 1) = "1", OFFSET($A$1, 563 - 1, 55 - 1) = "1" ), 1, IF( AND( OFFSET($A$1, 563 - 1, 54 - 1) = "1", OFFSET($A$1, 563 - 1, 55 - 1) = "0" ), 2, IF( AND( OFFSET($A$1, 563 - 1, 54 - 1) = "0", OFFSET($A$1, 563 - 1, 55 - 1) = "1" ), 3, 4 ) ) )</f>
        <v>1</v>
      </c>
      <c r="BF563" s="3">
        <v>0.32756178635258865</v>
      </c>
      <c r="BG563" s="3" t="str">
        <f>"0"</f>
        <v>0</v>
      </c>
      <c r="BH563" t="str">
        <f ca="1">IF((OFFSET($A$1, 563 - 1, 58 - 1)) &gt;= (OFFSET($A$1, 93 - 1, 7 - 1)), "1","0")</f>
        <v>0</v>
      </c>
      <c r="BI563">
        <f ca="1" xml:space="preserve"> IF( AND( OFFSET($A$1, 563 - 1, 59 - 1) = "1", OFFSET($A$1, 563 - 1, 60 - 1) = "1" ), 1, IF( AND( OFFSET($A$1, 563 - 1, 59 - 1) = "1", OFFSET($A$1, 563 - 1, 60 - 1) = "0" ), 2, IF( AND( OFFSET($A$1, 563 - 1, 59 - 1) = "0", OFFSET($A$1, 563 - 1, 60 - 1) = "1" ), 3, 4 ) ) )</f>
        <v>4</v>
      </c>
    </row>
    <row r="564" spans="53:61" x14ac:dyDescent="0.35">
      <c r="BA564" s="3">
        <v>0.60355117632416511</v>
      </c>
      <c r="BB564" s="3" t="str">
        <f>"1"</f>
        <v>1</v>
      </c>
      <c r="BC564" t="str">
        <f ca="1">IF((OFFSET($A$1, 564 - 1, 53 - 1)) &gt;= (OFFSET($A$1, 69 - 1, 7 - 1)), "1","0")</f>
        <v>1</v>
      </c>
      <c r="BD564">
        <f ca="1" xml:space="preserve"> IF( AND( OFFSET($A$1, 564 - 1, 54 - 1) = "1", OFFSET($A$1, 564 - 1, 55 - 1) = "1" ), 1, IF( AND( OFFSET($A$1, 564 - 1, 54 - 1) = "1", OFFSET($A$1, 564 - 1, 55 - 1) = "0" ), 2, IF( AND( OFFSET($A$1, 564 - 1, 54 - 1) = "0", OFFSET($A$1, 564 - 1, 55 - 1) = "1" ), 3, 4 ) ) )</f>
        <v>1</v>
      </c>
      <c r="BF564" s="3">
        <v>0.32807695886586086</v>
      </c>
      <c r="BG564" s="3" t="str">
        <f>"1"</f>
        <v>1</v>
      </c>
      <c r="BH564" t="str">
        <f ca="1">IF((OFFSET($A$1, 564 - 1, 58 - 1)) &gt;= (OFFSET($A$1, 93 - 1, 7 - 1)), "1","0")</f>
        <v>0</v>
      </c>
      <c r="BI564">
        <f ca="1" xml:space="preserve"> IF( AND( OFFSET($A$1, 564 - 1, 59 - 1) = "1", OFFSET($A$1, 564 - 1, 60 - 1) = "1" ), 1, IF( AND( OFFSET($A$1, 564 - 1, 59 - 1) = "1", OFFSET($A$1, 564 - 1, 60 - 1) = "0" ), 2, IF( AND( OFFSET($A$1, 564 - 1, 59 - 1) = "0", OFFSET($A$1, 564 - 1, 60 - 1) = "1" ), 3, 4 ) ) )</f>
        <v>2</v>
      </c>
    </row>
    <row r="565" spans="53:61" x14ac:dyDescent="0.35">
      <c r="BA565" s="3">
        <v>0.60409866064810747</v>
      </c>
      <c r="BB565" s="3" t="str">
        <f>"1"</f>
        <v>1</v>
      </c>
      <c r="BC565" t="str">
        <f ca="1">IF((OFFSET($A$1, 565 - 1, 53 - 1)) &gt;= (OFFSET($A$1, 69 - 1, 7 - 1)), "1","0")</f>
        <v>1</v>
      </c>
      <c r="BD565">
        <f ca="1" xml:space="preserve"> IF( AND( OFFSET($A$1, 565 - 1, 54 - 1) = "1", OFFSET($A$1, 565 - 1, 55 - 1) = "1" ), 1, IF( AND( OFFSET($A$1, 565 - 1, 54 - 1) = "1", OFFSET($A$1, 565 - 1, 55 - 1) = "0" ), 2, IF( AND( OFFSET($A$1, 565 - 1, 54 - 1) = "0", OFFSET($A$1, 565 - 1, 55 - 1) = "1" ), 3, 4 ) ) )</f>
        <v>1</v>
      </c>
      <c r="BF565" s="3">
        <v>0.60436342618477756</v>
      </c>
      <c r="BG565" s="3" t="str">
        <f>"1"</f>
        <v>1</v>
      </c>
      <c r="BH565" t="str">
        <f ca="1">IF((OFFSET($A$1, 565 - 1, 58 - 1)) &gt;= (OFFSET($A$1, 93 - 1, 7 - 1)), "1","0")</f>
        <v>1</v>
      </c>
      <c r="BI565">
        <f ca="1" xml:space="preserve"> IF( AND( OFFSET($A$1, 565 - 1, 59 - 1) = "1", OFFSET($A$1, 565 - 1, 60 - 1) = "1" ), 1, IF( AND( OFFSET($A$1, 565 - 1, 59 - 1) = "1", OFFSET($A$1, 565 - 1, 60 - 1) = "0" ), 2, IF( AND( OFFSET($A$1, 565 - 1, 59 - 1) = "0", OFFSET($A$1, 565 - 1, 60 - 1) = "1" ), 3, 4 ) ) )</f>
        <v>1</v>
      </c>
    </row>
    <row r="566" spans="53:61" x14ac:dyDescent="0.35">
      <c r="BA566" s="3">
        <v>0.6046221863519089</v>
      </c>
      <c r="BB566" s="3" t="str">
        <f>"1"</f>
        <v>1</v>
      </c>
      <c r="BC566" t="str">
        <f ca="1">IF((OFFSET($A$1, 566 - 1, 53 - 1)) &gt;= (OFFSET($A$1, 69 - 1, 7 - 1)), "1","0")</f>
        <v>1</v>
      </c>
      <c r="BD566">
        <f ca="1" xml:space="preserve"> IF( AND( OFFSET($A$1, 566 - 1, 54 - 1) = "1", OFFSET($A$1, 566 - 1, 55 - 1) = "1" ), 1, IF( AND( OFFSET($A$1, 566 - 1, 54 - 1) = "1", OFFSET($A$1, 566 - 1, 55 - 1) = "0" ), 2, IF( AND( OFFSET($A$1, 566 - 1, 54 - 1) = "0", OFFSET($A$1, 566 - 1, 55 - 1) = "1" ), 3, 4 ) ) )</f>
        <v>1</v>
      </c>
      <c r="BF566" s="3">
        <v>0.60487492591489223</v>
      </c>
      <c r="BG566" s="3" t="str">
        <f>"1"</f>
        <v>1</v>
      </c>
      <c r="BH566" t="str">
        <f ca="1">IF((OFFSET($A$1, 566 - 1, 58 - 1)) &gt;= (OFFSET($A$1, 93 - 1, 7 - 1)), "1","0")</f>
        <v>1</v>
      </c>
      <c r="BI566">
        <f ca="1" xml:space="preserve"> IF( AND( OFFSET($A$1, 566 - 1, 59 - 1) = "1", OFFSET($A$1, 566 - 1, 60 - 1) = "1" ), 1, IF( AND( OFFSET($A$1, 566 - 1, 59 - 1) = "1", OFFSET($A$1, 566 - 1, 60 - 1) = "0" ), 2, IF( AND( OFFSET($A$1, 566 - 1, 59 - 1) = "0", OFFSET($A$1, 566 - 1, 60 - 1) = "1" ), 3, 4 ) ) )</f>
        <v>1</v>
      </c>
    </row>
    <row r="567" spans="53:61" x14ac:dyDescent="0.35">
      <c r="BA567" s="3">
        <v>0.60512163002176522</v>
      </c>
      <c r="BB567" s="3" t="str">
        <f>"1"</f>
        <v>1</v>
      </c>
      <c r="BC567" t="str">
        <f ca="1">IF((OFFSET($A$1, 567 - 1, 53 - 1)) &gt;= (OFFSET($A$1, 69 - 1, 7 - 1)), "1","0")</f>
        <v>1</v>
      </c>
      <c r="BD567">
        <f ca="1" xml:space="preserve"> IF( AND( OFFSET($A$1, 567 - 1, 54 - 1) = "1", OFFSET($A$1, 567 - 1, 55 - 1) = "1" ), 1, IF( AND( OFFSET($A$1, 567 - 1, 54 - 1) = "1", OFFSET($A$1, 567 - 1, 55 - 1) = "0" ), 2, IF( AND( OFFSET($A$1, 567 - 1, 54 - 1) = "0", OFFSET($A$1, 567 - 1, 55 - 1) = "1" ), 3, 4 ) ) )</f>
        <v>1</v>
      </c>
      <c r="BF567" s="3">
        <v>0.60536228420216442</v>
      </c>
      <c r="BG567" s="3" t="str">
        <f>"0"</f>
        <v>0</v>
      </c>
      <c r="BH567" t="str">
        <f ca="1">IF((OFFSET($A$1, 567 - 1, 58 - 1)) &gt;= (OFFSET($A$1, 93 - 1, 7 - 1)), "1","0")</f>
        <v>1</v>
      </c>
      <c r="BI567">
        <f ca="1" xml:space="preserve"> IF( AND( OFFSET($A$1, 567 - 1, 59 - 1) = "1", OFFSET($A$1, 567 - 1, 60 - 1) = "1" ), 1, IF( AND( OFFSET($A$1, 567 - 1, 59 - 1) = "1", OFFSET($A$1, 567 - 1, 60 - 1) = "0" ), 2, IF( AND( OFFSET($A$1, 567 - 1, 59 - 1) = "0", OFFSET($A$1, 567 - 1, 60 - 1) = "1" ), 3, 4 ) ) )</f>
        <v>3</v>
      </c>
    </row>
    <row r="568" spans="53:61" x14ac:dyDescent="0.35">
      <c r="BA568" s="3">
        <v>0.60559687436628573</v>
      </c>
      <c r="BB568" s="3" t="str">
        <f>"0"</f>
        <v>0</v>
      </c>
      <c r="BC568" t="str">
        <f ca="1">IF((OFFSET($A$1, 568 - 1, 53 - 1)) &gt;= (OFFSET($A$1, 69 - 1, 7 - 1)), "1","0")</f>
        <v>1</v>
      </c>
      <c r="BD568">
        <f ca="1" xml:space="preserve"> IF( AND( OFFSET($A$1, 568 - 1, 54 - 1) = "1", OFFSET($A$1, 568 - 1, 55 - 1) = "1" ), 1, IF( AND( OFFSET($A$1, 568 - 1, 54 - 1) = "1", OFFSET($A$1, 568 - 1, 55 - 1) = "0" ), 2, IF( AND( OFFSET($A$1, 568 - 1, 54 - 1) = "0", OFFSET($A$1, 568 - 1, 55 - 1) = "1" ), 3, 4 ) ) )</f>
        <v>3</v>
      </c>
      <c r="BF568" s="3">
        <v>0.32992189815553163</v>
      </c>
      <c r="BG568" s="3" t="str">
        <f>"1"</f>
        <v>1</v>
      </c>
      <c r="BH568" t="str">
        <f ca="1">IF((OFFSET($A$1, 568 - 1, 58 - 1)) &gt;= (OFFSET($A$1, 93 - 1, 7 - 1)), "1","0")</f>
        <v>0</v>
      </c>
      <c r="BI568">
        <f ca="1" xml:space="preserve"> IF( AND( OFFSET($A$1, 568 - 1, 59 - 1) = "1", OFFSET($A$1, 568 - 1, 60 - 1) = "1" ), 1, IF( AND( OFFSET($A$1, 568 - 1, 59 - 1) = "1", OFFSET($A$1, 568 - 1, 60 - 1) = "0" ), 2, IF( AND( OFFSET($A$1, 568 - 1, 59 - 1) = "0", OFFSET($A$1, 568 - 1, 60 - 1) = "1" ), 3, 4 ) ) )</f>
        <v>2</v>
      </c>
    </row>
    <row r="569" spans="53:61" x14ac:dyDescent="0.35">
      <c r="BA569" s="3">
        <v>0.3301278608656098</v>
      </c>
      <c r="BB569" s="3" t="str">
        <f>"0"</f>
        <v>0</v>
      </c>
      <c r="BC569" t="str">
        <f ca="1">IF((OFFSET($A$1, 569 - 1, 53 - 1)) &gt;= (OFFSET($A$1, 69 - 1, 7 - 1)), "1","0")</f>
        <v>0</v>
      </c>
      <c r="BD569">
        <f ca="1" xml:space="preserve"> IF( AND( OFFSET($A$1, 569 - 1, 54 - 1) = "1", OFFSET($A$1, 569 - 1, 55 - 1) = "1" ), 1, IF( AND( OFFSET($A$1, 569 - 1, 54 - 1) = "1", OFFSET($A$1, 569 - 1, 55 - 1) = "0" ), 2, IF( AND( OFFSET($A$1, 569 - 1, 54 - 1) = "0", OFFSET($A$1, 569 - 1, 55 - 1) = "1" ), 3, 4 ) ) )</f>
        <v>4</v>
      </c>
      <c r="BF569" s="3">
        <v>0.60626412554974585</v>
      </c>
      <c r="BG569" s="3" t="str">
        <f>"0"</f>
        <v>0</v>
      </c>
      <c r="BH569" t="str">
        <f ca="1">IF((OFFSET($A$1, 569 - 1, 58 - 1)) &gt;= (OFFSET($A$1, 93 - 1, 7 - 1)), "1","0")</f>
        <v>1</v>
      </c>
      <c r="BI569">
        <f ca="1" xml:space="preserve"> IF( AND( OFFSET($A$1, 569 - 1, 59 - 1) = "1", OFFSET($A$1, 569 - 1, 60 - 1) = "1" ), 1, IF( AND( OFFSET($A$1, 569 - 1, 59 - 1) = "1", OFFSET($A$1, 569 - 1, 60 - 1) = "0" ), 2, IF( AND( OFFSET($A$1, 569 - 1, 59 - 1) = "0", OFFSET($A$1, 569 - 1, 60 - 1) = "1" ), 3, 4 ) ) )</f>
        <v>3</v>
      </c>
    </row>
    <row r="570" spans="53:61" x14ac:dyDescent="0.35">
      <c r="BA570" s="3">
        <v>0.33052311399658929</v>
      </c>
      <c r="BB570" s="3" t="str">
        <f>"0"</f>
        <v>0</v>
      </c>
      <c r="BC570" t="str">
        <f ca="1">IF((OFFSET($A$1, 570 - 1, 53 - 1)) &gt;= (OFFSET($A$1, 69 - 1, 7 - 1)), "1","0")</f>
        <v>0</v>
      </c>
      <c r="BD570">
        <f ca="1" xml:space="preserve"> IF( AND( OFFSET($A$1, 570 - 1, 54 - 1) = "1", OFFSET($A$1, 570 - 1, 55 - 1) = "1" ), 1, IF( AND( OFFSET($A$1, 570 - 1, 54 - 1) = "1", OFFSET($A$1, 570 - 1, 55 - 1) = "0" ), 2, IF( AND( OFFSET($A$1, 570 - 1, 54 - 1) = "0", OFFSET($A$1, 570 - 1, 55 - 1) = "1" ), 3, 4 ) ) )</f>
        <v>4</v>
      </c>
      <c r="BF570" s="3">
        <v>0.33071236483135813</v>
      </c>
      <c r="BG570" s="3" t="str">
        <f>"1"</f>
        <v>1</v>
      </c>
      <c r="BH570" t="str">
        <f ca="1">IF((OFFSET($A$1, 570 - 1, 58 - 1)) &gt;= (OFFSET($A$1, 93 - 1, 7 - 1)), "1","0")</f>
        <v>0</v>
      </c>
      <c r="BI570">
        <f ca="1" xml:space="preserve"> IF( AND( OFFSET($A$1, 570 - 1, 59 - 1) = "1", OFFSET($A$1, 570 - 1, 60 - 1) = "1" ), 1, IF( AND( OFFSET($A$1, 570 - 1, 59 - 1) = "1", OFFSET($A$1, 570 - 1, 60 - 1) = "0" ), 2, IF( AND( OFFSET($A$1, 570 - 1, 59 - 1) = "0", OFFSET($A$1, 570 - 1, 60 - 1) = "1" ), 3, 4 ) ) )</f>
        <v>2</v>
      </c>
    </row>
    <row r="571" spans="53:61" x14ac:dyDescent="0.35">
      <c r="BA571" s="3">
        <v>0.33089600637973665</v>
      </c>
      <c r="BB571" s="3" t="str">
        <f>"0"</f>
        <v>0</v>
      </c>
      <c r="BC571" t="str">
        <f ca="1">IF((OFFSET($A$1, 571 - 1, 53 - 1)) &gt;= (OFFSET($A$1, 69 - 1, 7 - 1)), "1","0")</f>
        <v>0</v>
      </c>
      <c r="BD571">
        <f ca="1" xml:space="preserve"> IF( AND( OFFSET($A$1, 571 - 1, 54 - 1) = "1", OFFSET($A$1, 571 - 1, 55 - 1) = "1" ), 1, IF( AND( OFFSET($A$1, 571 - 1, 54 - 1) = "1", OFFSET($A$1, 571 - 1, 55 - 1) = "0" ), 2, IF( AND( OFFSET($A$1, 571 - 1, 54 - 1) = "0", OFFSET($A$1, 571 - 1, 55 - 1) = "1" ), 3, 4 ) ) )</f>
        <v>4</v>
      </c>
      <c r="BF571" s="3">
        <v>0.60706810896249586</v>
      </c>
      <c r="BG571" s="3" t="str">
        <f>"1"</f>
        <v>1</v>
      </c>
      <c r="BH571" t="str">
        <f ca="1">IF((OFFSET($A$1, 571 - 1, 58 - 1)) &gt;= (OFFSET($A$1, 93 - 1, 7 - 1)), "1","0")</f>
        <v>1</v>
      </c>
      <c r="BI571">
        <f ca="1" xml:space="preserve"> IF( AND( OFFSET($A$1, 571 - 1, 59 - 1) = "1", OFFSET($A$1, 571 - 1, 60 - 1) = "1" ), 1, IF( AND( OFFSET($A$1, 571 - 1, 59 - 1) = "1", OFFSET($A$1, 571 - 1, 60 - 1) = "0" ), 2, IF( AND( OFFSET($A$1, 571 - 1, 59 - 1) = "0", OFFSET($A$1, 571 - 1, 60 - 1) = "1" ), 3, 4 ) ) )</f>
        <v>1</v>
      </c>
    </row>
    <row r="572" spans="53:61" x14ac:dyDescent="0.35">
      <c r="BA572" s="3">
        <v>0.3312463885684514</v>
      </c>
      <c r="BB572" s="3" t="str">
        <f>"0"</f>
        <v>0</v>
      </c>
      <c r="BC572" t="str">
        <f ca="1">IF((OFFSET($A$1, 572 - 1, 53 - 1)) &gt;= (OFFSET($A$1, 69 - 1, 7 - 1)), "1","0")</f>
        <v>0</v>
      </c>
      <c r="BD572">
        <f ca="1" xml:space="preserve"> IF( AND( OFFSET($A$1, 572 - 1, 54 - 1) = "1", OFFSET($A$1, 572 - 1, 55 - 1) = "1" ), 1, IF( AND( OFFSET($A$1, 572 - 1, 54 - 1) = "1", OFFSET($A$1, 572 - 1, 55 - 1) = "0" ), 2, IF( AND( OFFSET($A$1, 572 - 1, 54 - 1) = "0", OFFSET($A$1, 572 - 1, 55 - 1) = "1" ), 3, 4 ) ) )</f>
        <v>4</v>
      </c>
      <c r="BF572" s="3">
        <v>0.60743316736446396</v>
      </c>
      <c r="BG572" s="3" t="str">
        <f>"1"</f>
        <v>1</v>
      </c>
      <c r="BH572" t="str">
        <f ca="1">IF((OFFSET($A$1, 572 - 1, 58 - 1)) &gt;= (OFFSET($A$1, 93 - 1, 7 - 1)), "1","0")</f>
        <v>1</v>
      </c>
      <c r="BI572">
        <f ca="1" xml:space="preserve"> IF( AND( OFFSET($A$1, 572 - 1, 59 - 1) = "1", OFFSET($A$1, 572 - 1, 60 - 1) = "1" ), 1, IF( AND( OFFSET($A$1, 572 - 1, 59 - 1) = "1", OFFSET($A$1, 572 - 1, 60 - 1) = "0" ), 2, IF( AND( OFFSET($A$1, 572 - 1, 59 - 1) = "0", OFFSET($A$1, 572 - 1, 60 - 1) = "1" ), 3, 4 ) ) )</f>
        <v>1</v>
      </c>
    </row>
    <row r="573" spans="53:61" x14ac:dyDescent="0.35">
      <c r="BA573" s="3">
        <v>0.3315741200816742</v>
      </c>
      <c r="BB573" s="3" t="str">
        <f>"1"</f>
        <v>1</v>
      </c>
      <c r="BC573" t="str">
        <f ca="1">IF((OFFSET($A$1, 573 - 1, 53 - 1)) &gt;= (OFFSET($A$1, 69 - 1, 7 - 1)), "1","0")</f>
        <v>0</v>
      </c>
      <c r="BD573">
        <f ca="1" xml:space="preserve"> IF( AND( OFFSET($A$1, 573 - 1, 54 - 1) = "1", OFFSET($A$1, 573 - 1, 55 - 1) = "1" ), 1, IF( AND( OFFSET($A$1, 573 - 1, 54 - 1) = "1", OFFSET($A$1, 573 - 1, 55 - 1) = "0" ), 2, IF( AND( OFFSET($A$1, 573 - 1, 54 - 1) = "0", OFFSET($A$1, 573 - 1, 55 - 1) = "1" ), 3, 4 ) ) )</f>
        <v>2</v>
      </c>
      <c r="BF573" s="3">
        <v>0.60777348932091435</v>
      </c>
      <c r="BG573" s="3" t="str">
        <f>"1"</f>
        <v>1</v>
      </c>
      <c r="BH573" t="str">
        <f ca="1">IF((OFFSET($A$1, 573 - 1, 58 - 1)) &gt;= (OFFSET($A$1, 93 - 1, 7 - 1)), "1","0")</f>
        <v>1</v>
      </c>
      <c r="BI573">
        <f ca="1" xml:space="preserve"> IF( AND( OFFSET($A$1, 573 - 1, 59 - 1) = "1", OFFSET($A$1, 573 - 1, 60 - 1) = "1" ), 1, IF( AND( OFFSET($A$1, 573 - 1, 59 - 1) = "1", OFFSET($A$1, 573 - 1, 60 - 1) = "0" ), 2, IF( AND( OFFSET($A$1, 573 - 1, 59 - 1) = "0", OFFSET($A$1, 573 - 1, 60 - 1) = "1" ), 3, 4 ) ) )</f>
        <v>1</v>
      </c>
    </row>
    <row r="574" spans="53:61" x14ac:dyDescent="0.35">
      <c r="BA574" s="3">
        <v>0.60793434944083213</v>
      </c>
      <c r="BB574" s="3" t="str">
        <f>"0"</f>
        <v>0</v>
      </c>
      <c r="BC574" t="str">
        <f ca="1">IF((OFFSET($A$1, 574 - 1, 53 - 1)) &gt;= (OFFSET($A$1, 69 - 1, 7 - 1)), "1","0")</f>
        <v>1</v>
      </c>
      <c r="BD574">
        <f ca="1" xml:space="preserve"> IF( AND( OFFSET($A$1, 574 - 1, 54 - 1) = "1", OFFSET($A$1, 574 - 1, 55 - 1) = "1" ), 1, IF( AND( OFFSET($A$1, 574 - 1, 54 - 1) = "1", OFFSET($A$1, 574 - 1, 55 - 1) = "0" ), 2, IF( AND( OFFSET($A$1, 574 - 1, 54 - 1) = "0", OFFSET($A$1, 574 - 1, 55 - 1) = "1" ), 3, 4 ) ) )</f>
        <v>3</v>
      </c>
      <c r="BF574" s="3">
        <v>0.60808899655757365</v>
      </c>
      <c r="BG574" s="3" t="str">
        <f>"1"</f>
        <v>1</v>
      </c>
      <c r="BH574" t="str">
        <f ca="1">IF((OFFSET($A$1, 574 - 1, 58 - 1)) &gt;= (OFFSET($A$1, 93 - 1, 7 - 1)), "1","0")</f>
        <v>1</v>
      </c>
      <c r="BI574">
        <f ca="1" xml:space="preserve"> IF( AND( OFFSET($A$1, 574 - 1, 59 - 1) = "1", OFFSET($A$1, 574 - 1, 60 - 1) = "1" ), 1, IF( AND( OFFSET($A$1, 574 - 1, 59 - 1) = "1", OFFSET($A$1, 574 - 1, 60 - 1) = "0" ), 2, IF( AND( OFFSET($A$1, 574 - 1, 59 - 1) = "0", OFFSET($A$1, 574 - 1, 60 - 1) = "1" ), 3, 4 ) ) )</f>
        <v>1</v>
      </c>
    </row>
    <row r="575" spans="53:61" x14ac:dyDescent="0.35">
      <c r="BA575" s="3">
        <v>0.33216111438733403</v>
      </c>
      <c r="BB575" s="3" t="str">
        <f>"1"</f>
        <v>1</v>
      </c>
      <c r="BC575" t="str">
        <f ca="1">IF((OFFSET($A$1, 575 - 1, 53 - 1)) &gt;= (OFFSET($A$1, 69 - 1, 7 - 1)), "1","0")</f>
        <v>0</v>
      </c>
      <c r="BD575">
        <f ca="1" xml:space="preserve"> IF( AND( OFFSET($A$1, 575 - 1, 54 - 1) = "1", OFFSET($A$1, 575 - 1, 55 - 1) = "1" ), 1, IF( AND( OFFSET($A$1, 575 - 1, 54 - 1) = "1", OFFSET($A$1, 575 - 1, 55 - 1) = "0" ), 2, IF( AND( OFFSET($A$1, 575 - 1, 54 - 1) = "0", OFFSET($A$1, 575 - 1, 55 - 1) = "1" ), 3, 4 ) ) )</f>
        <v>2</v>
      </c>
      <c r="BF575" s="3">
        <v>0.60837961669391361</v>
      </c>
      <c r="BG575" s="3" t="str">
        <f>"0"</f>
        <v>0</v>
      </c>
      <c r="BH575" t="str">
        <f ca="1">IF((OFFSET($A$1, 575 - 1, 58 - 1)) &gt;= (OFFSET($A$1, 93 - 1, 7 - 1)), "1","0")</f>
        <v>1</v>
      </c>
      <c r="BI575">
        <f ca="1" xml:space="preserve"> IF( AND( OFFSET($A$1, 575 - 1, 59 - 1) = "1", OFFSET($A$1, 575 - 1, 60 - 1) = "1" ), 1, IF( AND( OFFSET($A$1, 575 - 1, 59 - 1) = "1", OFFSET($A$1, 575 - 1, 60 - 1) = "0" ), 2, IF( AND( OFFSET($A$1, 575 - 1, 59 - 1) = "0", OFFSET($A$1, 575 - 1, 60 - 1) = "1" ), 3, 4 ) ) )</f>
        <v>3</v>
      </c>
    </row>
    <row r="576" spans="53:61" x14ac:dyDescent="0.35">
      <c r="BA576" s="3">
        <v>0.60851557308587334</v>
      </c>
      <c r="BB576" s="3" t="str">
        <f>"1"</f>
        <v>1</v>
      </c>
      <c r="BC576" t="str">
        <f ca="1">IF((OFFSET($A$1, 576 - 1, 53 - 1)) &gt;= (OFFSET($A$1, 69 - 1, 7 - 1)), "1","0")</f>
        <v>1</v>
      </c>
      <c r="BD576">
        <f ca="1" xml:space="preserve"> IF( AND( OFFSET($A$1, 576 - 1, 54 - 1) = "1", OFFSET($A$1, 576 - 1, 55 - 1) = "1" ), 1, IF( AND( OFFSET($A$1, 576 - 1, 54 - 1) = "1", OFFSET($A$1, 576 - 1, 55 - 1) = "0" ), 2, IF( AND( OFFSET($A$1, 576 - 1, 54 - 1) = "0", OFFSET($A$1, 576 - 1, 55 - 1) = "1" ), 3, 4 ) ) )</f>
        <v>1</v>
      </c>
      <c r="BF576" s="3">
        <v>0.33254099077181215</v>
      </c>
      <c r="BG576" s="3" t="str">
        <f>"0"</f>
        <v>0</v>
      </c>
      <c r="BH576" t="str">
        <f ca="1">IF((OFFSET($A$1, 576 - 1, 58 - 1)) &gt;= (OFFSET($A$1, 93 - 1, 7 - 1)), "1","0")</f>
        <v>0</v>
      </c>
      <c r="BI576">
        <f ca="1" xml:space="preserve"> IF( AND( OFFSET($A$1, 576 - 1, 59 - 1) = "1", OFFSET($A$1, 576 - 1, 60 - 1) = "1" ), 1, IF( AND( OFFSET($A$1, 576 - 1, 59 - 1) = "1", OFFSET($A$1, 576 - 1, 60 - 1) = "0" ), 2, IF( AND( OFFSET($A$1, 576 - 1, 59 - 1) = "0", OFFSET($A$1, 576 - 1, 60 - 1) = "1" ), 3, 4 ) ) )</f>
        <v>4</v>
      </c>
    </row>
    <row r="577" spans="53:61" x14ac:dyDescent="0.35">
      <c r="BA577" s="3">
        <v>0.60876873968906475</v>
      </c>
      <c r="BB577" s="3" t="str">
        <f>"0"</f>
        <v>0</v>
      </c>
      <c r="BC577" t="str">
        <f ca="1">IF((OFFSET($A$1, 577 - 1, 53 - 1)) &gt;= (OFFSET($A$1, 69 - 1, 7 - 1)), "1","0")</f>
        <v>1</v>
      </c>
      <c r="BD577">
        <f ca="1" xml:space="preserve"> IF( AND( OFFSET($A$1, 577 - 1, 54 - 1) = "1", OFFSET($A$1, 577 - 1, 55 - 1) = "1" ), 1, IF( AND( OFFSET($A$1, 577 - 1, 54 - 1) = "1", OFFSET($A$1, 577 - 1, 55 - 1) = "0" ), 2, IF( AND( OFFSET($A$1, 577 - 1, 54 - 1) = "0", OFFSET($A$1, 577 - 1, 55 - 1) = "1" ), 3, 4 ) ) )</f>
        <v>3</v>
      </c>
      <c r="BF577" s="3">
        <v>0.33276529942769634</v>
      </c>
      <c r="BG577" s="3" t="str">
        <f>"1"</f>
        <v>1</v>
      </c>
      <c r="BH577" t="str">
        <f ca="1">IF((OFFSET($A$1, 577 - 1, 58 - 1)) &gt;= (OFFSET($A$1, 93 - 1, 7 - 1)), "1","0")</f>
        <v>0</v>
      </c>
      <c r="BI577">
        <f ca="1" xml:space="preserve"> IF( AND( OFFSET($A$1, 577 - 1, 59 - 1) = "1", OFFSET($A$1, 577 - 1, 60 - 1) = "1" ), 1, IF( AND( OFFSET($A$1, 577 - 1, 59 - 1) = "1", OFFSET($A$1, 577 - 1, 60 - 1) = "0" ), 2, IF( AND( OFFSET($A$1, 577 - 1, 59 - 1) = "0", OFFSET($A$1, 577 - 1, 60 - 1) = "1" ), 3, 4 ) ) )</f>
        <v>2</v>
      </c>
    </row>
    <row r="578" spans="53:61" x14ac:dyDescent="0.35">
      <c r="BA578" s="3">
        <v>0.33286873642326337</v>
      </c>
      <c r="BB578" s="3" t="str">
        <f>"0"</f>
        <v>0</v>
      </c>
      <c r="BC578" t="str">
        <f ca="1">IF((OFFSET($A$1, 578 - 1, 53 - 1)) &gt;= (OFFSET($A$1, 69 - 1, 7 - 1)), "1","0")</f>
        <v>0</v>
      </c>
      <c r="BD578">
        <f ca="1" xml:space="preserve"> IF( AND( OFFSET($A$1, 578 - 1, 54 - 1) = "1", OFFSET($A$1, 578 - 1, 55 - 1) = "1" ), 1, IF( AND( OFFSET($A$1, 578 - 1, 54 - 1) = "1", OFFSET($A$1, 578 - 1, 55 - 1) = "0" ), 2, IF( AND( OFFSET($A$1, 578 - 1, 54 - 1) = "0", OFFSET($A$1, 578 - 1, 55 - 1) = "1" ), 3, 4 ) ) )</f>
        <v>4</v>
      </c>
      <c r="BF578" s="3">
        <v>0.60910151858300476</v>
      </c>
      <c r="BG578" s="3" t="str">
        <f>"0"</f>
        <v>0</v>
      </c>
      <c r="BH578" t="str">
        <f ca="1">IF((OFFSET($A$1, 578 - 1, 58 - 1)) &gt;= (OFFSET($A$1, 93 - 1, 7 - 1)), "1","0")</f>
        <v>1</v>
      </c>
      <c r="BI578">
        <f ca="1" xml:space="preserve"> IF( AND( OFFSET($A$1, 578 - 1, 59 - 1) = "1", OFFSET($A$1, 578 - 1, 60 - 1) = "1" ), 1, IF( AND( OFFSET($A$1, 578 - 1, 59 - 1) = "1", OFFSET($A$1, 578 - 1, 60 - 1) = "0" ), 2, IF( AND( OFFSET($A$1, 578 - 1, 59 - 1) = "0", OFFSET($A$1, 578 - 1, 60 - 1) = "1" ), 3, 4 ) ) )</f>
        <v>3</v>
      </c>
    </row>
    <row r="579" spans="53:61" x14ac:dyDescent="0.35">
      <c r="BA579" s="3">
        <v>0.33305812381596861</v>
      </c>
      <c r="BB579" s="3" t="str">
        <f>"1"</f>
        <v>1</v>
      </c>
      <c r="BC579" t="str">
        <f ca="1">IF((OFFSET($A$1, 579 - 1, 53 - 1)) &gt;= (OFFSET($A$1, 69 - 1, 7 - 1)), "1","0")</f>
        <v>0</v>
      </c>
      <c r="BD579">
        <f ca="1" xml:space="preserve"> IF( AND( OFFSET($A$1, 579 - 1, 54 - 1) = "1", OFFSET($A$1, 579 - 1, 55 - 1) = "1" ), 1, IF( AND( OFFSET($A$1, 579 - 1, 54 - 1) = "1", OFFSET($A$1, 579 - 1, 55 - 1) = "0" ), 2, IF( AND( OFFSET($A$1, 579 - 1, 54 - 1) = "0", OFFSET($A$1, 579 - 1, 55 - 1) = "1" ), 3, 4 ) ) )</f>
        <v>2</v>
      </c>
      <c r="BF579" s="3">
        <v>0.33314405519241058</v>
      </c>
      <c r="BG579" s="3" t="str">
        <f>"1"</f>
        <v>1</v>
      </c>
      <c r="BH579" t="str">
        <f ca="1">IF((OFFSET($A$1, 579 - 1, 58 - 1)) &gt;= (OFFSET($A$1, 93 - 1, 7 - 1)), "1","0")</f>
        <v>0</v>
      </c>
      <c r="BI579">
        <f ca="1" xml:space="preserve"> IF( AND( OFFSET($A$1, 579 - 1, 59 - 1) = "1", OFFSET($A$1, 579 - 1, 60 - 1) = "1" ), 1, IF( AND( OFFSET($A$1, 579 - 1, 59 - 1) = "1", OFFSET($A$1, 579 - 1, 60 - 1) = "0" ), 2, IF( AND( OFFSET($A$1, 579 - 1, 59 - 1) = "0", OFFSET($A$1, 579 - 1, 60 - 1) = "1" ), 3, 4 ) ) )</f>
        <v>2</v>
      </c>
    </row>
    <row r="580" spans="53:61" x14ac:dyDescent="0.35">
      <c r="BA580" s="3">
        <v>0.60937778296079403</v>
      </c>
      <c r="BB580" s="3" t="str">
        <f>"1"</f>
        <v>1</v>
      </c>
      <c r="BC580" t="str">
        <f ca="1">IF((OFFSET($A$1, 580 - 1, 53 - 1)) &gt;= (OFFSET($A$1, 69 - 1, 7 - 1)), "1","0")</f>
        <v>1</v>
      </c>
      <c r="BD580">
        <f ca="1" xml:space="preserve"> IF( AND( OFFSET($A$1, 580 - 1, 54 - 1) = "1", OFFSET($A$1, 580 - 1, 55 - 1) = "1" ), 1, IF( AND( OFFSET($A$1, 580 - 1, 54 - 1) = "1", OFFSET($A$1, 580 - 1, 55 - 1) = "0" ), 2, IF( AND( OFFSET($A$1, 580 - 1, 54 - 1) = "0", OFFSET($A$1, 580 - 1, 55 - 1) = "1" ), 3, 4 ) ) )</f>
        <v>1</v>
      </c>
      <c r="BF580" s="3">
        <v>0.60945728707153379</v>
      </c>
      <c r="BG580" s="3" t="str">
        <f>"0"</f>
        <v>0</v>
      </c>
      <c r="BH580" t="str">
        <f ca="1">IF((OFFSET($A$1, 580 - 1, 58 - 1)) &gt;= (OFFSET($A$1, 93 - 1, 7 - 1)), "1","0")</f>
        <v>1</v>
      </c>
      <c r="BI580">
        <f ca="1" xml:space="preserve"> IF( AND( OFFSET($A$1, 580 - 1, 59 - 1) = "1", OFFSET($A$1, 580 - 1, 60 - 1) = "1" ), 1, IF( AND( OFFSET($A$1, 580 - 1, 59 - 1) = "1", OFFSET($A$1, 580 - 1, 60 - 1) = "0" ), 2, IF( AND( OFFSET($A$1, 580 - 1, 59 - 1) = "0", OFFSET($A$1, 580 - 1, 60 - 1) = "1" ), 3, 4 ) ) )</f>
        <v>3</v>
      </c>
    </row>
    <row r="581" spans="53:61" x14ac:dyDescent="0.35">
      <c r="BA581" s="3">
        <v>0.6095304913646421</v>
      </c>
      <c r="BB581" s="3" t="str">
        <f>"0"</f>
        <v>0</v>
      </c>
      <c r="BC581" t="str">
        <f ca="1">IF((OFFSET($A$1, 581 - 1, 53 - 1)) &gt;= (OFFSET($A$1, 69 - 1, 7 - 1)), "1","0")</f>
        <v>1</v>
      </c>
      <c r="BD581">
        <f ca="1" xml:space="preserve"> IF( AND( OFFSET($A$1, 581 - 1, 54 - 1) = "1", OFFSET($A$1, 581 - 1, 55 - 1) = "1" ), 1, IF( AND( OFFSET($A$1, 581 - 1, 54 - 1) = "1", OFFSET($A$1, 581 - 1, 55 - 1) = "0" ), 2, IF( AND( OFFSET($A$1, 581 - 1, 54 - 1) = "0", OFFSET($A$1, 581 - 1, 55 - 1) = "1" ), 3, 4 ) ) )</f>
        <v>3</v>
      </c>
      <c r="BF581" s="3">
        <v>0.33342917069190126</v>
      </c>
      <c r="BG581" s="3" t="str">
        <f>"0"</f>
        <v>0</v>
      </c>
      <c r="BH581" t="str">
        <f ca="1">IF((OFFSET($A$1, 581 - 1, 58 - 1)) &gt;= (OFFSET($A$1, 93 - 1, 7 - 1)), "1","0")</f>
        <v>0</v>
      </c>
      <c r="BI581">
        <f ca="1" xml:space="preserve"> IF( AND( OFFSET($A$1, 581 - 1, 59 - 1) = "1", OFFSET($A$1, 581 - 1, 60 - 1) = "1" ), 1, IF( AND( OFFSET($A$1, 581 - 1, 59 - 1) = "1", OFFSET($A$1, 581 - 1, 60 - 1) = "0" ), 2, IF( AND( OFFSET($A$1, 581 - 1, 59 - 1) = "0", OFFSET($A$1, 581 - 1, 60 - 1) = "1" ), 3, 4 ) ) )</f>
        <v>4</v>
      </c>
    </row>
    <row r="582" spans="53:61" x14ac:dyDescent="0.35">
      <c r="BA582" s="3">
        <v>0.33348576126002755</v>
      </c>
      <c r="BB582" s="3" t="str">
        <f>"0"</f>
        <v>0</v>
      </c>
      <c r="BC582" t="str">
        <f ca="1">IF((OFFSET($A$1, 582 - 1, 53 - 1)) &gt;= (OFFSET($A$1, 69 - 1, 7 - 1)), "1","0")</f>
        <v>0</v>
      </c>
      <c r="BD582">
        <f ca="1" xml:space="preserve"> IF( AND( OFFSET($A$1, 582 - 1, 54 - 1) = "1", OFFSET($A$1, 582 - 1, 55 - 1) = "1" ), 1, IF( AND( OFFSET($A$1, 582 - 1, 54 - 1) = "1", OFFSET($A$1, 582 - 1, 55 - 1) = "0" ), 2, IF( AND( OFFSET($A$1, 582 - 1, 54 - 1) = "0", OFFSET($A$1, 582 - 1, 55 - 1) = "1" ), 3, 4 ) ) )</f>
        <v>4</v>
      </c>
      <c r="BF582" s="3">
        <v>0.33353646424746197</v>
      </c>
      <c r="BG582" s="3" t="str">
        <f>"0"</f>
        <v>0</v>
      </c>
      <c r="BH582" t="str">
        <f ca="1">IF((OFFSET($A$1, 582 - 1, 58 - 1)) &gt;= (OFFSET($A$1, 93 - 1, 7 - 1)), "1","0")</f>
        <v>0</v>
      </c>
      <c r="BI582">
        <f ca="1" xml:space="preserve"> IF( AND( OFFSET($A$1, 582 - 1, 59 - 1) = "1", OFFSET($A$1, 582 - 1, 60 - 1) = "1" ), 1, IF( AND( OFFSET($A$1, 582 - 1, 59 - 1) = "1", OFFSET($A$1, 582 - 1, 60 - 1) = "0" ), 2, IF( AND( OFFSET($A$1, 582 - 1, 59 - 1) = "0", OFFSET($A$1, 582 - 1, 60 - 1) = "1" ), 3, 4 ) ) )</f>
        <v>4</v>
      </c>
    </row>
    <row r="583" spans="53:61" x14ac:dyDescent="0.35">
      <c r="BA583" s="3">
        <v>0.33358127455930869</v>
      </c>
      <c r="BB583" s="3" t="str">
        <f>"1"</f>
        <v>1</v>
      </c>
      <c r="BC583" t="str">
        <f ca="1">IF((OFFSET($A$1, 583 - 1, 53 - 1)) &gt;= (OFFSET($A$1, 69 - 1, 7 - 1)), "1","0")</f>
        <v>0</v>
      </c>
      <c r="BD583">
        <f ca="1" xml:space="preserve"> IF( AND( OFFSET($A$1, 583 - 1, 54 - 1) = "1", OFFSET($A$1, 583 - 1, 55 - 1) = "1" ), 1, IF( AND( OFFSET($A$1, 583 - 1, 54 - 1) = "1", OFFSET($A$1, 583 - 1, 55 - 1) = "0" ), 2, IF( AND( OFFSET($A$1, 583 - 1, 54 - 1) = "0", OFFSET($A$1, 583 - 1, 55 - 1) = "1" ), 3, 4 ) ) )</f>
        <v>2</v>
      </c>
      <c r="BF583" s="3">
        <v>0.33362018769259749</v>
      </c>
      <c r="BG583" s="3" t="str">
        <f>"0"</f>
        <v>0</v>
      </c>
      <c r="BH583" t="str">
        <f ca="1">IF((OFFSET($A$1, 583 - 1, 58 - 1)) &gt;= (OFFSET($A$1, 93 - 1, 7 - 1)), "1","0")</f>
        <v>0</v>
      </c>
      <c r="BI583">
        <f ca="1" xml:space="preserve"> IF( AND( OFFSET($A$1, 583 - 1, 59 - 1) = "1", OFFSET($A$1, 583 - 1, 60 - 1) = "1" ), 1, IF( AND( OFFSET($A$1, 583 - 1, 59 - 1) = "1", OFFSET($A$1, 583 - 1, 60 - 1) = "0" ), 2, IF( AND( OFFSET($A$1, 583 - 1, 59 - 1) = "0", OFFSET($A$1, 583 - 1, 60 - 1) = "1" ), 3, 4 ) ) )</f>
        <v>4</v>
      </c>
    </row>
    <row r="584" spans="53:61" x14ac:dyDescent="0.35">
      <c r="BA584" s="3">
        <v>0.60983721388263101</v>
      </c>
      <c r="BB584" s="3" t="str">
        <f>"1"</f>
        <v>1</v>
      </c>
      <c r="BC584" t="str">
        <f ca="1">IF((OFFSET($A$1, 584 - 1, 53 - 1)) &gt;= (OFFSET($A$1, 69 - 1, 7 - 1)), "1","0")</f>
        <v>1</v>
      </c>
      <c r="BD584">
        <f ca="1" xml:space="preserve"> IF( AND( OFFSET($A$1, 584 - 1, 54 - 1) = "1", OFFSET($A$1, 584 - 1, 55 - 1) = "1" ), 1, IF( AND( OFFSET($A$1, 584 - 1, 54 - 1) = "1", OFFSET($A$1, 584 - 1, 55 - 1) = "0" ), 2, IF( AND( OFFSET($A$1, 584 - 1, 54 - 1) = "0", OFFSET($A$1, 584 - 1, 55 - 1) = "1" ), 3, 4 ) ) )</f>
        <v>1</v>
      </c>
      <c r="BF584" s="3">
        <v>0.33368030737434257</v>
      </c>
      <c r="BG584" s="3" t="str">
        <f>"1"</f>
        <v>1</v>
      </c>
      <c r="BH584" t="str">
        <f ca="1">IF((OFFSET($A$1, 584 - 1, 58 - 1)) &gt;= (OFFSET($A$1, 93 - 1, 7 - 1)), "1","0")</f>
        <v>0</v>
      </c>
      <c r="BI584">
        <f ca="1" xml:space="preserve"> IF( AND( OFFSET($A$1, 584 - 1, 59 - 1) = "1", OFFSET($A$1, 584 - 1, 60 - 1) = "1" ), 1, IF( AND( OFFSET($A$1, 584 - 1, 59 - 1) = "1", OFFSET($A$1, 584 - 1, 60 - 1) = "0" ), 2, IF( AND( OFFSET($A$1, 584 - 1, 59 - 1) = "0", OFFSET($A$1, 584 - 1, 60 - 1) = "1" ), 3, 4 ) ) )</f>
        <v>2</v>
      </c>
    </row>
    <row r="585" spans="53:61" x14ac:dyDescent="0.35">
      <c r="BA585" s="3">
        <v>0.60988891006198676</v>
      </c>
      <c r="BB585" s="3" t="str">
        <f>"1"</f>
        <v>1</v>
      </c>
      <c r="BC585" t="str">
        <f ca="1">IF((OFFSET($A$1, 585 - 1, 53 - 1)) &gt;= (OFFSET($A$1, 69 - 1, 7 - 1)), "1","0")</f>
        <v>1</v>
      </c>
      <c r="BD585">
        <f ca="1" xml:space="preserve"> IF( AND( OFFSET($A$1, 585 - 1, 54 - 1) = "1", OFFSET($A$1, 585 - 1, 55 - 1) = "1" ), 1, IF( AND( OFFSET($A$1, 585 - 1, 54 - 1) = "1", OFFSET($A$1, 585 - 1, 55 - 1) = "0" ), 2, IF( AND( OFFSET($A$1, 585 - 1, 54 - 1) = "0", OFFSET($A$1, 585 - 1, 55 - 1) = "1" ), 3, 4 ) ) )</f>
        <v>1</v>
      </c>
      <c r="BF585" s="3">
        <v>0.60990527244773762</v>
      </c>
      <c r="BG585" s="3" t="str">
        <f>"1"</f>
        <v>1</v>
      </c>
      <c r="BH585" t="str">
        <f ca="1">IF((OFFSET($A$1, 585 - 1, 58 - 1)) &gt;= (OFFSET($A$1, 93 - 1, 7 - 1)), "1","0")</f>
        <v>1</v>
      </c>
      <c r="BI585">
        <f ca="1" xml:space="preserve"> IF( AND( OFFSET($A$1, 585 - 1, 59 - 1) = "1", OFFSET($A$1, 585 - 1, 60 - 1) = "1" ), 1, IF( AND( OFFSET($A$1, 585 - 1, 59 - 1) = "1", OFFSET($A$1, 585 - 1, 60 - 1) = "0" ), 2, IF( AND( OFFSET($A$1, 585 - 1, 59 - 1) = "0", OFFSET($A$1, 585 - 1, 60 - 1) = "1" ), 3, 4 ) ) )</f>
        <v>1</v>
      </c>
    </row>
    <row r="586" spans="53:61" x14ac:dyDescent="0.35">
      <c r="BA586" s="3">
        <v>0.60991530968012342</v>
      </c>
      <c r="BB586" s="3" t="str">
        <f>"1"</f>
        <v>1</v>
      </c>
      <c r="BC586" t="str">
        <f ca="1">IF((OFFSET($A$1, 586 - 1, 53 - 1)) &gt;= (OFFSET($A$1, 69 - 1, 7 - 1)), "1","0")</f>
        <v>1</v>
      </c>
      <c r="BD586">
        <f ca="1" xml:space="preserve"> IF( AND( OFFSET($A$1, 586 - 1, 54 - 1) = "1", OFFSET($A$1, 586 - 1, 55 - 1) = "1" ), 1, IF( AND( OFFSET($A$1, 586 - 1, 54 - 1) = "1", OFFSET($A$1, 586 - 1, 55 - 1) = "0" ), 2, IF( AND( OFFSET($A$1, 586 - 1, 54 - 1) = "0", OFFSET($A$1, 586 - 1, 55 - 1) = "1" ), 3, 4 ) ) )</f>
        <v>1</v>
      </c>
      <c r="BF586" s="3">
        <v>0.60991902119254626</v>
      </c>
      <c r="BG586" s="3" t="str">
        <f>"1"</f>
        <v>1</v>
      </c>
      <c r="BH586" t="str">
        <f ca="1">IF((OFFSET($A$1, 586 - 1, 58 - 1)) &gt;= (OFFSET($A$1, 93 - 1, 7 - 1)), "1","0")</f>
        <v>1</v>
      </c>
      <c r="BI586">
        <f ca="1" xml:space="preserve"> IF( AND( OFFSET($A$1, 586 - 1, 59 - 1) = "1", OFFSET($A$1, 586 - 1, 60 - 1) = "1" ), 1, IF( AND( OFFSET($A$1, 586 - 1, 59 - 1) = "1", OFFSET($A$1, 586 - 1, 60 - 1) = "0" ), 2, IF( AND( OFFSET($A$1, 586 - 1, 59 - 1) = "0", OFFSET($A$1, 586 - 1, 60 - 1) = "1" ), 3, 4 ) ) )</f>
        <v>1</v>
      </c>
    </row>
    <row r="587" spans="53:61" x14ac:dyDescent="0.35">
      <c r="BA587" s="3">
        <v>0.6099164067755044</v>
      </c>
      <c r="BB587" s="3" t="str">
        <f>"1"</f>
        <v>1</v>
      </c>
      <c r="BC587" t="str">
        <f ca="1">IF((OFFSET($A$1, 587 - 1, 53 - 1)) &gt;= (OFFSET($A$1, 69 - 1, 7 - 1)), "1","0")</f>
        <v>1</v>
      </c>
      <c r="BD587">
        <f ca="1" xml:space="preserve"> IF( AND( OFFSET($A$1, 587 - 1, 54 - 1) = "1", OFFSET($A$1, 587 - 1, 55 - 1) = "1" ), 1, IF( AND( OFFSET($A$1, 587 - 1, 54 - 1) = "1", OFFSET($A$1, 587 - 1, 55 - 1) = "0" ), 2, IF( AND( OFFSET($A$1, 587 - 1, 54 - 1) = "0", OFFSET($A$1, 587 - 1, 55 - 1) = "1" ), 3, 4 ) ) )</f>
        <v>1</v>
      </c>
      <c r="BF587" s="3">
        <v>0.6099074665765718</v>
      </c>
      <c r="BG587" s="3" t="str">
        <f>"1"</f>
        <v>1</v>
      </c>
      <c r="BH587" t="str">
        <f ca="1">IF((OFFSET($A$1, 587 - 1, 58 - 1)) &gt;= (OFFSET($A$1, 93 - 1, 7 - 1)), "1","0")</f>
        <v>1</v>
      </c>
      <c r="BI587">
        <f ca="1" xml:space="preserve"> IF( AND( OFFSET($A$1, 587 - 1, 59 - 1) = "1", OFFSET($A$1, 587 - 1, 60 - 1) = "1" ), 1, IF( AND( OFFSET($A$1, 587 - 1, 59 - 1) = "1", OFFSET($A$1, 587 - 1, 60 - 1) = "0" ), 2, IF( AND( OFFSET($A$1, 587 - 1, 59 - 1) = "0", OFFSET($A$1, 587 - 1, 60 - 1) = "1" ), 3, 4 ) ) )</f>
        <v>1</v>
      </c>
    </row>
    <row r="588" spans="53:61" x14ac:dyDescent="0.35">
      <c r="BA588" s="3">
        <v>0.60989220110041253</v>
      </c>
      <c r="BB588" s="3" t="str">
        <f>"0"</f>
        <v>0</v>
      </c>
      <c r="BC588" t="str">
        <f ca="1">IF((OFFSET($A$1, 588 - 1, 53 - 1)) &gt;= (OFFSET($A$1, 69 - 1, 7 - 1)), "1","0")</f>
        <v>1</v>
      </c>
      <c r="BD588">
        <f ca="1" xml:space="preserve"> IF( AND( OFFSET($A$1, 588 - 1, 54 - 1) = "1", OFFSET($A$1, 588 - 1, 55 - 1) = "1" ), 1, IF( AND( OFFSET($A$1, 588 - 1, 54 - 1) = "1", OFFSET($A$1, 588 - 1, 55 - 1) = "0" ), 2, IF( AND( OFFSET($A$1, 588 - 1, 54 - 1) = "0", OFFSET($A$1, 588 - 1, 55 - 1) = "1" ), 3, 4 ) ) )</f>
        <v>3</v>
      </c>
      <c r="BF588" s="3">
        <v>0.60987061120883002</v>
      </c>
      <c r="BG588" s="3" t="str">
        <f>"1"</f>
        <v>1</v>
      </c>
      <c r="BH588" t="str">
        <f ca="1">IF((OFFSET($A$1, 588 - 1, 58 - 1)) &gt;= (OFFSET($A$1, 93 - 1, 7 - 1)), "1","0")</f>
        <v>1</v>
      </c>
      <c r="BI588">
        <f ca="1" xml:space="preserve"> IF( AND( OFFSET($A$1, 588 - 1, 59 - 1) = "1", OFFSET($A$1, 588 - 1, 60 - 1) = "1" ), 1, IF( AND( OFFSET($A$1, 588 - 1, 59 - 1) = "1", OFFSET($A$1, 588 - 1, 60 - 1) = "0" ), 2, IF( AND( OFFSET($A$1, 588 - 1, 59 - 1) = "0", OFFSET($A$1, 588 - 1, 60 - 1) = "1" ), 3, 4 ) ) )</f>
        <v>1</v>
      </c>
    </row>
    <row r="589" spans="53:61" x14ac:dyDescent="0.35">
      <c r="BA589" s="3">
        <v>0.33365832427719627</v>
      </c>
      <c r="BB589" s="3" t="str">
        <f>"0"</f>
        <v>0</v>
      </c>
      <c r="BC589" t="str">
        <f ca="1">IF((OFFSET($A$1, 589 - 1, 53 - 1)) &gt;= (OFFSET($A$1, 69 - 1, 7 - 1)), "1","0")</f>
        <v>0</v>
      </c>
      <c r="BD589">
        <f ca="1" xml:space="preserve"> IF( AND( OFFSET($A$1, 589 - 1, 54 - 1) = "1", OFFSET($A$1, 589 - 1, 55 - 1) = "1" ), 1, IF( AND( OFFSET($A$1, 589 - 1, 54 - 1) = "1", OFFSET($A$1, 589 - 1, 55 - 1) = "0" ), 2, IF( AND( OFFSET($A$1, 589 - 1, 54 - 1) = "0", OFFSET($A$1, 589 - 1, 55 - 1) = "1" ), 3, 4 ) ) )</f>
        <v>4</v>
      </c>
      <c r="BF589" s="3">
        <v>0.609808463412851</v>
      </c>
      <c r="BG589" s="3" t="str">
        <f>"0"</f>
        <v>0</v>
      </c>
      <c r="BH589" t="str">
        <f ca="1">IF((OFFSET($A$1, 589 - 1, 58 - 1)) &gt;= (OFFSET($A$1, 93 - 1, 7 - 1)), "1","0")</f>
        <v>1</v>
      </c>
      <c r="BI589">
        <f ca="1" xml:space="preserve"> IF( AND( OFFSET($A$1, 589 - 1, 59 - 1) = "1", OFFSET($A$1, 589 - 1, 60 - 1) = "1" ), 1, IF( AND( OFFSET($A$1, 589 - 1, 59 - 1) = "1", OFFSET($A$1, 589 - 1, 60 - 1) = "0" ), 2, IF( AND( OFFSET($A$1, 589 - 1, 59 - 1) = "0", OFFSET($A$1, 589 - 1, 60 - 1) = "1" ), 3, 4 ) ) )</f>
        <v>3</v>
      </c>
    </row>
    <row r="590" spans="53:61" x14ac:dyDescent="0.35">
      <c r="BA590" s="3">
        <v>0.33358844603161047</v>
      </c>
      <c r="BB590" s="3" t="str">
        <f>"0"</f>
        <v>0</v>
      </c>
      <c r="BC590" t="str">
        <f ca="1">IF((OFFSET($A$1, 590 - 1, 53 - 1)) &gt;= (OFFSET($A$1, 69 - 1, 7 - 1)), "1","0")</f>
        <v>0</v>
      </c>
      <c r="BD590">
        <f ca="1" xml:space="preserve"> IF( AND( OFFSET($A$1, 590 - 1, 54 - 1) = "1", OFFSET($A$1, 590 - 1, 55 - 1) = "1" ), 1, IF( AND( OFFSET($A$1, 590 - 1, 54 - 1) = "1", OFFSET($A$1, 590 - 1, 55 - 1) = "0" ), 2, IF( AND( OFFSET($A$1, 590 - 1, 54 - 1) = "0", OFFSET($A$1, 590 - 1, 55 - 1) = "1" ), 3, 4 ) ) )</f>
        <v>4</v>
      </c>
      <c r="BF590" s="3">
        <v>0.3335446581561069</v>
      </c>
      <c r="BG590" s="3" t="str">
        <f>"0"</f>
        <v>0</v>
      </c>
      <c r="BH590" t="str">
        <f ca="1">IF((OFFSET($A$1, 590 - 1, 58 - 1)) &gt;= (OFFSET($A$1, 93 - 1, 7 - 1)), "1","0")</f>
        <v>0</v>
      </c>
      <c r="BI590">
        <f ca="1" xml:space="preserve"> IF( AND( OFFSET($A$1, 590 - 1, 59 - 1) = "1", OFFSET($A$1, 590 - 1, 60 - 1) = "1" ), 1, IF( AND( OFFSET($A$1, 590 - 1, 59 - 1) = "1", OFFSET($A$1, 590 - 1, 60 - 1) = "0" ), 2, IF( AND( OFFSET($A$1, 590 - 1, 59 - 1) = "0", OFFSET($A$1, 590 - 1, 60 - 1) = "1" ), 3, 4 ) ) )</f>
        <v>4</v>
      </c>
    </row>
    <row r="591" spans="53:61" x14ac:dyDescent="0.35">
      <c r="BA591" s="3">
        <v>0.33349497678162698</v>
      </c>
      <c r="BB591" s="3" t="str">
        <f>"0"</f>
        <v>0</v>
      </c>
      <c r="BC591" t="str">
        <f ca="1">IF((OFFSET($A$1, 591 - 1, 53 - 1)) &gt;= (OFFSET($A$1, 69 - 1, 7 - 1)), "1","0")</f>
        <v>0</v>
      </c>
      <c r="BD591">
        <f ca="1" xml:space="preserve"> IF( AND( OFFSET($A$1, 591 - 1, 54 - 1) = "1", OFFSET($A$1, 591 - 1, 55 - 1) = "1" ), 1, IF( AND( OFFSET($A$1, 591 - 1, 54 - 1) = "1", OFFSET($A$1, 591 - 1, 55 - 1) = "0" ), 2, IF( AND( OFFSET($A$1, 591 - 1, 54 - 1) = "0", OFFSET($A$1, 591 - 1, 55 - 1) = "1" ), 3, 4 ) ) )</f>
        <v>4</v>
      </c>
      <c r="BF591" s="3">
        <v>0.33343940690045037</v>
      </c>
      <c r="BG591" s="3" t="str">
        <f>"0"</f>
        <v>0</v>
      </c>
      <c r="BH591" t="str">
        <f ca="1">IF((OFFSET($A$1, 591 - 1, 58 - 1)) &gt;= (OFFSET($A$1, 93 - 1, 7 - 1)), "1","0")</f>
        <v>0</v>
      </c>
      <c r="BI591">
        <f ca="1" xml:space="preserve"> IF( AND( OFFSET($A$1, 591 - 1, 59 - 1) = "1", OFFSET($A$1, 591 - 1, 60 - 1) = "1" ), 1, IF( AND( OFFSET($A$1, 591 - 1, 59 - 1) = "1", OFFSET($A$1, 591 - 1, 60 - 1) = "0" ), 2, IF( AND( OFFSET($A$1, 591 - 1, 59 - 1) = "0", OFFSET($A$1, 591 - 1, 60 - 1) = "1" ), 3, 4 ) ) )</f>
        <v>4</v>
      </c>
    </row>
    <row r="592" spans="53:61" x14ac:dyDescent="0.35">
      <c r="BA592" s="3">
        <v>0.33337795409629373</v>
      </c>
      <c r="BB592" s="3" t="str">
        <f>"0"</f>
        <v>0</v>
      </c>
      <c r="BC592" t="str">
        <f ca="1">IF((OFFSET($A$1, 592 - 1, 53 - 1)) &gt;= (OFFSET($A$1, 69 - 1, 7 - 1)), "1","0")</f>
        <v>0</v>
      </c>
      <c r="BD592">
        <f ca="1" xml:space="preserve"> IF( AND( OFFSET($A$1, 592 - 1, 54 - 1) = "1", OFFSET($A$1, 592 - 1, 55 - 1) = "1" ), 1, IF( AND( OFFSET($A$1, 592 - 1, 54 - 1) = "1", OFFSET($A$1, 592 - 1, 55 - 1) = "0" ), 2, IF( AND( OFFSET($A$1, 592 - 1, 54 - 1) = "0", OFFSET($A$1, 592 - 1, 55 - 1) = "1" ), 3, 4 ) ) )</f>
        <v>4</v>
      </c>
      <c r="BF592" s="3">
        <v>0.33331062454365668</v>
      </c>
      <c r="BG592" s="3" t="str">
        <f>"1"</f>
        <v>1</v>
      </c>
      <c r="BH592" t="str">
        <f ca="1">IF((OFFSET($A$1, 592 - 1, 58 - 1)) &gt;= (OFFSET($A$1, 93 - 1, 7 - 1)), "1","0")</f>
        <v>0</v>
      </c>
      <c r="BI592">
        <f ca="1" xml:space="preserve"> IF( AND( OFFSET($A$1, 592 - 1, 59 - 1) = "1", OFFSET($A$1, 592 - 1, 60 - 1) = "1" ), 1, IF( AND( OFFSET($A$1, 592 - 1, 59 - 1) = "1", OFFSET($A$1, 592 - 1, 60 - 1) = "0" ), 2, IF( AND( OFFSET($A$1, 592 - 1, 59 - 1) = "0", OFFSET($A$1, 592 - 1, 60 - 1) = "1" ), 3, 4 ) ) )</f>
        <v>2</v>
      </c>
    </row>
    <row r="593" spans="53:61" x14ac:dyDescent="0.35">
      <c r="BA593" s="3">
        <v>0.33323742500709669</v>
      </c>
      <c r="BB593" s="3" t="str">
        <f>"0"</f>
        <v>0</v>
      </c>
      <c r="BC593" t="str">
        <f ca="1">IF((OFFSET($A$1, 593 - 1, 53 - 1)) &gt;= (OFFSET($A$1, 69 - 1, 7 - 1)), "1","0")</f>
        <v>0</v>
      </c>
      <c r="BD593">
        <f ca="1" xml:space="preserve"> IF( AND( OFFSET($A$1, 593 - 1, 54 - 1) = "1", OFFSET($A$1, 593 - 1, 55 - 1) = "1" ), 1, IF( AND( OFFSET($A$1, 593 - 1, 54 - 1) = "1", OFFSET($A$1, 593 - 1, 55 - 1) = "0" ), 2, IF( AND( OFFSET($A$1, 593 - 1, 54 - 1) = "0", OFFSET($A$1, 593 - 1, 55 - 1) = "1" ), 3, 4 ) ) )</f>
        <v>4</v>
      </c>
      <c r="BF593" s="3">
        <v>0.60930731467011023</v>
      </c>
      <c r="BG593" s="3" t="str">
        <f>"1"</f>
        <v>1</v>
      </c>
      <c r="BH593" t="str">
        <f ca="1">IF((OFFSET($A$1, 593 - 1, 58 - 1)) &gt;= (OFFSET($A$1, 93 - 1, 7 - 1)), "1","0")</f>
        <v>1</v>
      </c>
      <c r="BI593">
        <f ca="1" xml:space="preserve"> IF( AND( OFFSET($A$1, 593 - 1, 59 - 1) = "1", OFFSET($A$1, 593 - 1, 60 - 1) = "1" ), 1, IF( AND( OFFSET($A$1, 593 - 1, 59 - 1) = "1", OFFSET($A$1, 593 - 1, 60 - 1) = "0" ), 2, IF( AND( OFFSET($A$1, 593 - 1, 59 - 1) = "0", OFFSET($A$1, 593 - 1, 60 - 1) = "1" ), 3, 4 ) ) )</f>
        <v>1</v>
      </c>
    </row>
    <row r="594" spans="53:61" x14ac:dyDescent="0.35">
      <c r="BA594" s="3">
        <v>0.33307344598589683</v>
      </c>
      <c r="BB594" s="3" t="str">
        <f>"0"</f>
        <v>0</v>
      </c>
      <c r="BC594" t="str">
        <f ca="1">IF((OFFSET($A$1, 594 - 1, 53 - 1)) &gt;= (OFFSET($A$1, 69 - 1, 7 - 1)), "1","0")</f>
        <v>0</v>
      </c>
      <c r="BD594">
        <f ca="1" xml:space="preserve"> IF( AND( OFFSET($A$1, 594 - 1, 54 - 1) = "1", OFFSET($A$1, 594 - 1, 55 - 1) = "1" ), 1, IF( AND( OFFSET($A$1, 594 - 1, 54 - 1) = "1", OFFSET($A$1, 594 - 1, 55 - 1) = "0" ), 2, IF( AND( OFFSET($A$1, 594 - 1, 54 - 1) = "0", OFFSET($A$1, 594 - 1, 55 - 1) = "1" ), 3, 4 ) ) )</f>
        <v>4</v>
      </c>
      <c r="BF594" s="3">
        <v>0.6091190299463789</v>
      </c>
      <c r="BG594" s="3" t="str">
        <f>"0"</f>
        <v>0</v>
      </c>
      <c r="BH594" t="str">
        <f ca="1">IF((OFFSET($A$1, 594 - 1, 58 - 1)) &gt;= (OFFSET($A$1, 93 - 1, 7 - 1)), "1","0")</f>
        <v>1</v>
      </c>
      <c r="BI594">
        <f ca="1" xml:space="preserve"> IF( AND( OFFSET($A$1, 594 - 1, 59 - 1) = "1", OFFSET($A$1, 594 - 1, 60 - 1) = "1" ), 1, IF( AND( OFFSET($A$1, 594 - 1, 59 - 1) = "1", OFFSET($A$1, 594 - 1, 60 - 1) = "0" ), 2, IF( AND( OFFSET($A$1, 594 - 1, 59 - 1) = "0", OFFSET($A$1, 594 - 1, 60 - 1) = "1" ), 3, 4 ) ) )</f>
        <v>3</v>
      </c>
    </row>
    <row r="595" spans="53:61" x14ac:dyDescent="0.35">
      <c r="BA595" s="3">
        <v>0.33288608291839489</v>
      </c>
      <c r="BB595" s="3" t="str">
        <f>"1"</f>
        <v>1</v>
      </c>
      <c r="BC595" t="str">
        <f ca="1">IF((OFFSET($A$1, 595 - 1, 53 - 1)) &gt;= (OFFSET($A$1, 69 - 1, 7 - 1)), "1","0")</f>
        <v>0</v>
      </c>
      <c r="BD595">
        <f ca="1" xml:space="preserve"> IF( AND( OFFSET($A$1, 595 - 1, 54 - 1) = "1", OFFSET($A$1, 595 - 1, 55 - 1) = "1" ), 1, IF( AND( OFFSET($A$1, 595 - 1, 54 - 1) = "1", OFFSET($A$1, 595 - 1, 55 - 1) = "0" ), 2, IF( AND( OFFSET($A$1, 595 - 1, 54 - 1) = "0", OFFSET($A$1, 595 - 1, 55 - 1) = "1" ), 3, 4 ) ) )</f>
        <v>2</v>
      </c>
      <c r="BF595" s="3">
        <v>0.332783655523118</v>
      </c>
      <c r="BG595" s="3" t="str">
        <f>"1"</f>
        <v>1</v>
      </c>
      <c r="BH595" t="str">
        <f ca="1">IF((OFFSET($A$1, 595 - 1, 58 - 1)) &gt;= (OFFSET($A$1, 93 - 1, 7 - 1)), "1","0")</f>
        <v>0</v>
      </c>
      <c r="BI595">
        <f ca="1" xml:space="preserve"> IF( AND( OFFSET($A$1, 595 - 1, 59 - 1) = "1", OFFSET($A$1, 595 - 1, 60 - 1) = "1" ), 1, IF( AND( OFFSET($A$1, 595 - 1, 59 - 1) = "1", OFFSET($A$1, 595 - 1, 60 - 1) = "0" ), 2, IF( AND( OFFSET($A$1, 595 - 1, 59 - 1) = "0", OFFSET($A$1, 595 - 1, 60 - 1) = "1" ), 3, 4 ) ) )</f>
        <v>2</v>
      </c>
    </row>
    <row r="596" spans="53:61" x14ac:dyDescent="0.35">
      <c r="BA596" s="3">
        <v>0.60878951378084878</v>
      </c>
      <c r="BB596" s="3" t="str">
        <f>"1"</f>
        <v>1</v>
      </c>
      <c r="BC596" t="str">
        <f ca="1">IF((OFFSET($A$1, 596 - 1, 53 - 1)) &gt;= (OFFSET($A$1, 69 - 1, 7 - 1)), "1","0")</f>
        <v>1</v>
      </c>
      <c r="BD596">
        <f ca="1" xml:space="preserve"> IF( AND( OFFSET($A$1, 596 - 1, 54 - 1) = "1", OFFSET($A$1, 596 - 1, 55 - 1) = "1" ), 1, IF( AND( OFFSET($A$1, 596 - 1, 54 - 1) = "1", OFFSET($A$1, 596 - 1, 55 - 1) = "0" ), 2, IF( AND( OFFSET($A$1, 596 - 1, 54 - 1) = "0", OFFSET($A$1, 596 - 1, 55 - 1) = "1" ), 3, 4 ) ) )</f>
        <v>1</v>
      </c>
      <c r="BF596" s="3">
        <v>0.60866714260282373</v>
      </c>
      <c r="BG596" s="3" t="str">
        <f>"1"</f>
        <v>1</v>
      </c>
      <c r="BH596" t="str">
        <f ca="1">IF((OFFSET($A$1, 596 - 1, 58 - 1)) &gt;= (OFFSET($A$1, 93 - 1, 7 - 1)), "1","0")</f>
        <v>1</v>
      </c>
      <c r="BI596">
        <f ca="1" xml:space="preserve"> IF( AND( OFFSET($A$1, 596 - 1, 59 - 1) = "1", OFFSET($A$1, 596 - 1, 60 - 1) = "1" ), 1, IF( AND( OFFSET($A$1, 596 - 1, 59 - 1) = "1", OFFSET($A$1, 596 - 1, 60 - 1) = "0" ), 2, IF( AND( OFFSET($A$1, 596 - 1, 59 - 1) = "0", OFFSET($A$1, 596 - 1, 60 - 1) = "1" ), 3, 4 ) ) )</f>
        <v>1</v>
      </c>
    </row>
    <row r="597" spans="53:61" x14ac:dyDescent="0.35">
      <c r="BA597" s="3">
        <v>0.60853851651744661</v>
      </c>
      <c r="BB597" s="3" t="str">
        <f>"0"</f>
        <v>0</v>
      </c>
      <c r="BC597" t="str">
        <f ca="1">IF((OFFSET($A$1, 597 - 1, 53 - 1)) &gt;= (OFFSET($A$1, 69 - 1, 7 - 1)), "1","0")</f>
        <v>1</v>
      </c>
      <c r="BD597">
        <f ca="1" xml:space="preserve"> IF( AND( OFFSET($A$1, 597 - 1, 54 - 1) = "1", OFFSET($A$1, 597 - 1, 55 - 1) = "1" ), 1, IF( AND( OFFSET($A$1, 597 - 1, 54 - 1) = "1", OFFSET($A$1, 597 - 1, 55 - 1) = "0" ), 2, IF( AND( OFFSET($A$1, 597 - 1, 54 - 1) = "0", OFFSET($A$1, 597 - 1, 55 - 1) = "1" ), 3, 4 ) ) )</f>
        <v>3</v>
      </c>
      <c r="BF597" s="3">
        <v>0.60840364286248727</v>
      </c>
      <c r="BG597" s="3" t="str">
        <f>"0"</f>
        <v>0</v>
      </c>
      <c r="BH597" t="str">
        <f ca="1">IF((OFFSET($A$1, 597 - 1, 58 - 1)) &gt;= (OFFSET($A$1, 93 - 1, 7 - 1)), "1","0")</f>
        <v>1</v>
      </c>
      <c r="BI597">
        <f ca="1" xml:space="preserve"> IF( AND( OFFSET($A$1, 597 - 1, 59 - 1) = "1", OFFSET($A$1, 597 - 1, 60 - 1) = "1" ), 1, IF( AND( OFFSET($A$1, 597 - 1, 59 - 1) = "1", OFFSET($A$1, 597 - 1, 60 - 1) = "0" ), 2, IF( AND( OFFSET($A$1, 597 - 1, 59 - 1) = "0", OFFSET($A$1, 597 - 1, 60 - 1) = "1" ), 3, 4 ) ) )</f>
        <v>3</v>
      </c>
    </row>
    <row r="598" spans="53:61" x14ac:dyDescent="0.35">
      <c r="BA598" s="3">
        <v>0.33218448881982937</v>
      </c>
      <c r="BB598" s="3" t="str">
        <f>"1"</f>
        <v>1</v>
      </c>
      <c r="BC598" t="str">
        <f ca="1">IF((OFFSET($A$1, 598 - 1, 53 - 1)) &gt;= (OFFSET($A$1, 69 - 1, 7 - 1)), "1","0")</f>
        <v>0</v>
      </c>
      <c r="BD598">
        <f ca="1" xml:space="preserve"> IF( AND( OFFSET($A$1, 598 - 1, 54 - 1) = "1", OFFSET($A$1, 598 - 1, 55 - 1) = "1" ), 1, IF( AND( OFFSET($A$1, 598 - 1, 54 - 1) = "1", OFFSET($A$1, 598 - 1, 55 - 1) = "0" ), 2, IF( AND( OFFSET($A$1, 598 - 1, 54 - 1) = "0", OFFSET($A$1, 598 - 1, 55 - 1) = "1" ), 3, 4 ) ) )</f>
        <v>2</v>
      </c>
      <c r="BF598" s="3">
        <v>0.33204733374230788</v>
      </c>
      <c r="BG598" s="3" t="str">
        <f>"0"</f>
        <v>0</v>
      </c>
      <c r="BH598" t="str">
        <f ca="1">IF((OFFSET($A$1, 598 - 1, 58 - 1)) &gt;= (OFFSET($A$1, 93 - 1, 7 - 1)), "1","0")</f>
        <v>0</v>
      </c>
      <c r="BI598">
        <f ca="1" xml:space="preserve"> IF( AND( OFFSET($A$1, 598 - 1, 59 - 1) = "1", OFFSET($A$1, 598 - 1, 60 - 1) = "1" ), 1, IF( AND( OFFSET($A$1, 598 - 1, 59 - 1) = "1", OFFSET($A$1, 598 - 1, 60 - 1) = "0" ), 2, IF( AND( OFFSET($A$1, 598 - 1, 59 - 1) = "0", OFFSET($A$1, 598 - 1, 60 - 1) = "1" ), 3, 4 ) ) )</f>
        <v>4</v>
      </c>
    </row>
    <row r="599" spans="53:61" x14ac:dyDescent="0.35">
      <c r="BA599" s="3">
        <v>0.60796161532908521</v>
      </c>
      <c r="BB599" s="3" t="str">
        <f>"1"</f>
        <v>1</v>
      </c>
      <c r="BC599" t="str">
        <f ca="1">IF((OFFSET($A$1, 599 - 1, 53 - 1)) &gt;= (OFFSET($A$1, 69 - 1, 7 - 1)), "1","0")</f>
        <v>1</v>
      </c>
      <c r="BD599">
        <f ca="1" xml:space="preserve"> IF( AND( OFFSET($A$1, 599 - 1, 54 - 1) = "1", OFFSET($A$1, 599 - 1, 55 - 1) = "1" ), 1, IF( AND( OFFSET($A$1, 599 - 1, 54 - 1) = "1", OFFSET($A$1, 599 - 1, 55 - 1) = "0" ), 2, IF( AND( OFFSET($A$1, 599 - 1, 54 - 1) = "0", OFFSET($A$1, 599 - 1, 55 - 1) = "1" ), 3, 4 ) ) )</f>
        <v>1</v>
      </c>
      <c r="BF599" s="3">
        <v>0.33175580849281111</v>
      </c>
      <c r="BG599" s="3" t="str">
        <f>"0"</f>
        <v>0</v>
      </c>
      <c r="BH599" t="str">
        <f ca="1">IF((OFFSET($A$1, 599 - 1, 58 - 1)) &gt;= (OFFSET($A$1, 93 - 1, 7 - 1)), "1","0")</f>
        <v>0</v>
      </c>
      <c r="BI599">
        <f ca="1" xml:space="preserve"> IF( AND( OFFSET($A$1, 599 - 1, 59 - 1) = "1", OFFSET($A$1, 599 - 1, 60 - 1) = "1" ), 1, IF( AND( OFFSET($A$1, 599 - 1, 59 - 1) = "1", OFFSET($A$1, 599 - 1, 60 - 1) = "0" ), 2, IF( AND( OFFSET($A$1, 599 - 1, 59 - 1) = "0", OFFSET($A$1, 599 - 1, 60 - 1) = "1" ), 3, 4 ) ) )</f>
        <v>4</v>
      </c>
    </row>
    <row r="600" spans="53:61" x14ac:dyDescent="0.35">
      <c r="BA600" s="3">
        <v>0.60763584341857779</v>
      </c>
      <c r="BB600" s="3" t="str">
        <f>"1"</f>
        <v>1</v>
      </c>
      <c r="BC600" t="str">
        <f ca="1">IF((OFFSET($A$1, 600 - 1, 53 - 1)) &gt;= (OFFSET($A$1, 69 - 1, 7 - 1)), "1","0")</f>
        <v>1</v>
      </c>
      <c r="BD600">
        <f ca="1" xml:space="preserve"> IF( AND( OFFSET($A$1, 600 - 1, 54 - 1) = "1", OFFSET($A$1, 600 - 1, 55 - 1) = "1" ), 1, IF( AND( OFFSET($A$1, 600 - 1, 54 - 1) = "1", OFFSET($A$1, 600 - 1, 55 - 1) = "0" ), 2, IF( AND( OFFSET($A$1, 600 - 1, 54 - 1) = "0", OFFSET($A$1, 600 - 1, 55 - 1) = "1" ), 3, 4 ) ) )</f>
        <v>1</v>
      </c>
      <c r="BF600" s="3">
        <v>0.33144142822816658</v>
      </c>
      <c r="BG600" s="3" t="str">
        <f>"0"</f>
        <v>0</v>
      </c>
      <c r="BH600" t="str">
        <f ca="1">IF((OFFSET($A$1, 600 - 1, 58 - 1)) &gt;= (OFFSET($A$1, 93 - 1, 7 - 1)), "1","0")</f>
        <v>0</v>
      </c>
      <c r="BI600">
        <f ca="1" xml:space="preserve"> IF( AND( OFFSET($A$1, 600 - 1, 59 - 1) = "1", OFFSET($A$1, 600 - 1, 60 - 1) = "1" ), 1, IF( AND( OFFSET($A$1, 600 - 1, 59 - 1) = "1", OFFSET($A$1, 600 - 1, 60 - 1) = "0" ), 2, IF( AND( OFFSET($A$1, 600 - 1, 59 - 1) = "0", OFFSET($A$1, 600 - 1, 60 - 1) = "1" ), 3, 4 ) ) )</f>
        <v>4</v>
      </c>
    </row>
    <row r="601" spans="53:61" x14ac:dyDescent="0.35">
      <c r="BA601" s="3">
        <v>0.60728528842184182</v>
      </c>
      <c r="BB601" s="3" t="str">
        <f>"1"</f>
        <v>1</v>
      </c>
      <c r="BC601" t="str">
        <f ca="1">IF((OFFSET($A$1, 601 - 1, 53 - 1)) &gt;= (OFFSET($A$1, 69 - 1, 7 - 1)), "1","0")</f>
        <v>1</v>
      </c>
      <c r="BD601">
        <f ca="1" xml:space="preserve"> IF( AND( OFFSET($A$1, 601 - 1, 54 - 1) = "1", OFFSET($A$1, 601 - 1, 55 - 1) = "1" ), 1, IF( AND( OFFSET($A$1, 601 - 1, 54 - 1) = "1", OFFSET($A$1, 601 - 1, 55 - 1) = "0" ), 2, IF( AND( OFFSET($A$1, 601 - 1, 54 - 1) = "0", OFFSET($A$1, 601 - 1, 55 - 1) = "1" ), 3, 4 ) ) )</f>
        <v>1</v>
      </c>
      <c r="BF601" s="3">
        <v>0.33110431906638021</v>
      </c>
      <c r="BG601" s="3" t="str">
        <f>"0"</f>
        <v>0</v>
      </c>
      <c r="BH601" t="str">
        <f ca="1">IF((OFFSET($A$1, 601 - 1, 58 - 1)) &gt;= (OFFSET($A$1, 93 - 1, 7 - 1)), "1","0")</f>
        <v>0</v>
      </c>
      <c r="BI601">
        <f ca="1" xml:space="preserve"> IF( AND( OFFSET($A$1, 601 - 1, 59 - 1) = "1", OFFSET($A$1, 601 - 1, 60 - 1) = "1" ), 1, IF( AND( OFFSET($A$1, 601 - 1, 59 - 1) = "1", OFFSET($A$1, 601 - 1, 60 - 1) = "0" ), 2, IF( AND( OFFSET($A$1, 601 - 1, 59 - 1) = "0", OFFSET($A$1, 601 - 1, 60 - 1) = "1" ), 3, 4 ) ) )</f>
        <v>4</v>
      </c>
    </row>
    <row r="602" spans="53:61" x14ac:dyDescent="0.35">
      <c r="BA602" s="3">
        <v>0.60691003105668195</v>
      </c>
      <c r="BB602" s="3" t="str">
        <f>"1"</f>
        <v>1</v>
      </c>
      <c r="BC602" t="str">
        <f ca="1">IF((OFFSET($A$1, 602 - 1, 53 - 1)) &gt;= (OFFSET($A$1, 69 - 1, 7 - 1)), "1","0")</f>
        <v>1</v>
      </c>
      <c r="BD602">
        <f ca="1" xml:space="preserve"> IF( AND( OFFSET($A$1, 602 - 1, 54 - 1) = "1", OFFSET($A$1, 602 - 1, 55 - 1) = "1" ), 1, IF( AND( OFFSET($A$1, 602 - 1, 54 - 1) = "1", OFFSET($A$1, 602 - 1, 55 - 1) = "0" ), 2, IF( AND( OFFSET($A$1, 602 - 1, 54 - 1) = "0", OFFSET($A$1, 602 - 1, 55 - 1) = "1" ), 3, 4 ) ) )</f>
        <v>1</v>
      </c>
      <c r="BF602" s="3">
        <v>0.33074461619644119</v>
      </c>
      <c r="BG602" s="3" t="str">
        <f>"0"</f>
        <v>0</v>
      </c>
      <c r="BH602" t="str">
        <f ca="1">IF((OFFSET($A$1, 602 - 1, 58 - 1)) &gt;= (OFFSET($A$1, 93 - 1, 7 - 1)), "1","0")</f>
        <v>0</v>
      </c>
      <c r="BI602">
        <f ca="1" xml:space="preserve"> IF( AND( OFFSET($A$1, 602 - 1, 59 - 1) = "1", OFFSET($A$1, 602 - 1, 60 - 1) = "1" ), 1, IF( AND( OFFSET($A$1, 602 - 1, 59 - 1) = "1", OFFSET($A$1, 602 - 1, 60 - 1) = "0" ), 2, IF( AND( OFFSET($A$1, 602 - 1, 59 - 1) = "0", OFFSET($A$1, 602 - 1, 60 - 1) = "1" ), 3, 4 ) ) )</f>
        <v>4</v>
      </c>
    </row>
    <row r="603" spans="53:61" x14ac:dyDescent="0.35">
      <c r="BA603" s="3">
        <v>0.60651015797287255</v>
      </c>
      <c r="BB603" s="3" t="str">
        <f>"0"</f>
        <v>0</v>
      </c>
      <c r="BC603" t="str">
        <f ca="1">IF((OFFSET($A$1, 603 - 1, 53 - 1)) &gt;= (OFFSET($A$1, 69 - 1, 7 - 1)), "1","0")</f>
        <v>1</v>
      </c>
      <c r="BD603">
        <f ca="1" xml:space="preserve"> IF( AND( OFFSET($A$1, 603 - 1, 54 - 1) = "1", OFFSET($A$1, 603 - 1, 55 - 1) = "1" ), 1, IF( AND( OFFSET($A$1, 603 - 1, 54 - 1) = "1", OFFSET($A$1, 603 - 1, 55 - 1) = "0" ), 2, IF( AND( OFFSET($A$1, 603 - 1, 54 - 1) = "0", OFFSET($A$1, 603 - 1, 55 - 1) = "1" ), 3, 4 ) ) )</f>
        <v>3</v>
      </c>
      <c r="BF603" s="3">
        <v>0.33036246381322021</v>
      </c>
      <c r="BG603" s="3" t="str">
        <f>"0"</f>
        <v>0</v>
      </c>
      <c r="BH603" t="str">
        <f ca="1">IF((OFFSET($A$1, 603 - 1, 58 - 1)) &gt;= (OFFSET($A$1, 93 - 1, 7 - 1)), "1","0")</f>
        <v>0</v>
      </c>
      <c r="BI603">
        <f ca="1" xml:space="preserve"> IF( AND( OFFSET($A$1, 603 - 1, 59 - 1) = "1", OFFSET($A$1, 603 - 1, 60 - 1) = "1" ), 1, IF( AND( OFFSET($A$1, 603 - 1, 59 - 1) = "1", OFFSET($A$1, 603 - 1, 60 - 1) = "0" ), 2, IF( AND( OFFSET($A$1, 603 - 1, 59 - 1) = "0", OFFSET($A$1, 603 - 1, 60 - 1) = "1" ), 3, 4 ) ) )</f>
        <v>4</v>
      </c>
    </row>
    <row r="604" spans="53:61" x14ac:dyDescent="0.35">
      <c r="BA604" s="3">
        <v>0.33016301656051128</v>
      </c>
      <c r="BB604" s="3" t="str">
        <f>"1"</f>
        <v>1</v>
      </c>
      <c r="BC604" t="str">
        <f ca="1">IF((OFFSET($A$1, 604 - 1, 53 - 1)) &gt;= (OFFSET($A$1, 69 - 1, 7 - 1)), "1","0")</f>
        <v>0</v>
      </c>
      <c r="BD604">
        <f ca="1" xml:space="preserve"> IF( AND( OFFSET($A$1, 604 - 1, 54 - 1) = "1", OFFSET($A$1, 604 - 1, 55 - 1) = "1" ), 1, IF( AND( OFFSET($A$1, 604 - 1, 54 - 1) = "1", OFFSET($A$1, 604 - 1, 55 - 1) = "0" ), 2, IF( AND( OFFSET($A$1, 604 - 1, 54 - 1) = "0", OFFSET($A$1, 604 - 1, 55 - 1) = "1" ), 3, 4 ) ) )</f>
        <v>2</v>
      </c>
      <c r="BF604" s="3">
        <v>0.32995801504775835</v>
      </c>
      <c r="BG604" s="3" t="str">
        <f>"0"</f>
        <v>0</v>
      </c>
      <c r="BH604" t="str">
        <f ca="1">IF((OFFSET($A$1, 604 - 1, 58 - 1)) &gt;= (OFFSET($A$1, 93 - 1, 7 - 1)), "1","0")</f>
        <v>0</v>
      </c>
      <c r="BI604">
        <f ca="1" xml:space="preserve"> IF( AND( OFFSET($A$1, 604 - 1, 59 - 1) = "1", OFFSET($A$1, 604 - 1, 60 - 1) = "1" ), 1, IF( AND( OFFSET($A$1, 604 - 1, 59 - 1) = "1", OFFSET($A$1, 604 - 1, 60 - 1) = "0" ), 2, IF( AND( OFFSET($A$1, 604 - 1, 59 - 1) = "0", OFFSET($A$1, 604 - 1, 60 - 1) = "1" ), 3, 4 ) ) )</f>
        <v>4</v>
      </c>
    </row>
    <row r="605" spans="53:61" x14ac:dyDescent="0.35">
      <c r="BA605" s="3">
        <v>0.60563694108155475</v>
      </c>
      <c r="BB605" s="3" t="str">
        <f>"1"</f>
        <v>1</v>
      </c>
      <c r="BC605" t="str">
        <f ca="1">IF((OFFSET($A$1, 605 - 1, 53 - 1)) &gt;= (OFFSET($A$1, 69 - 1, 7 - 1)), "1","0")</f>
        <v>1</v>
      </c>
      <c r="BD605">
        <f ca="1" xml:space="preserve"> IF( AND( OFFSET($A$1, 605 - 1, 54 - 1) = "1", OFFSET($A$1, 605 - 1, 55 - 1) = "1" ), 1, IF( AND( OFFSET($A$1, 605 - 1, 54 - 1) = "1", OFFSET($A$1, 605 - 1, 55 - 1) = "0" ), 2, IF( AND( OFFSET($A$1, 605 - 1, 54 - 1) = "0", OFFSET($A$1, 605 - 1, 55 - 1) = "1" ), 3, 4 ) ) )</f>
        <v>1</v>
      </c>
      <c r="BF605" s="3">
        <v>0.32953143189292206</v>
      </c>
      <c r="BG605" s="3" t="str">
        <f>"0"</f>
        <v>0</v>
      </c>
      <c r="BH605" t="str">
        <f ca="1">IF((OFFSET($A$1, 605 - 1, 58 - 1)) &gt;= (OFFSET($A$1, 93 - 1, 7 - 1)), "1","0")</f>
        <v>0</v>
      </c>
      <c r="BI605">
        <f ca="1" xml:space="preserve"> IF( AND( OFFSET($A$1, 605 - 1, 59 - 1) = "1", OFFSET($A$1, 605 - 1, 60 - 1) = "1" ), 1, IF( AND( OFFSET($A$1, 605 - 1, 59 - 1) = "1", OFFSET($A$1, 605 - 1, 60 - 1) = "0" ), 2, IF( AND( OFFSET($A$1, 605 - 1, 59 - 1) = "0", OFFSET($A$1, 605 - 1, 60 - 1) = "1" ), 3, 4 ) ) )</f>
        <v>4</v>
      </c>
    </row>
    <row r="606" spans="53:61" x14ac:dyDescent="0.35">
      <c r="BA606" s="3">
        <v>0.60516380049750784</v>
      </c>
      <c r="BB606" s="3" t="str">
        <f>"1"</f>
        <v>1</v>
      </c>
      <c r="BC606" t="str">
        <f ca="1">IF((OFFSET($A$1, 606 - 1, 53 - 1)) &gt;= (OFFSET($A$1, 69 - 1, 7 - 1)), "1","0")</f>
        <v>1</v>
      </c>
      <c r="BD606">
        <f ca="1" xml:space="preserve"> IF( AND( OFFSET($A$1, 606 - 1, 54 - 1) = "1", OFFSET($A$1, 606 - 1, 55 - 1) = "1" ), 1, IF( AND( OFFSET($A$1, 606 - 1, 54 - 1) = "1", OFFSET($A$1, 606 - 1, 55 - 1) = "0" ), 2, IF( AND( OFFSET($A$1, 606 - 1, 54 - 1) = "0", OFFSET($A$1, 606 - 1, 55 - 1) = "1" ), 3, 4 ) ) )</f>
        <v>1</v>
      </c>
      <c r="BF606" s="3">
        <v>0.32908288512442002</v>
      </c>
      <c r="BG606" s="3" t="str">
        <f>"1"</f>
        <v>1</v>
      </c>
      <c r="BH606" t="str">
        <f ca="1">IF((OFFSET($A$1, 606 - 1, 58 - 1)) &gt;= (OFFSET($A$1, 93 - 1, 7 - 1)), "1","0")</f>
        <v>0</v>
      </c>
      <c r="BI606">
        <f ca="1" xml:space="preserve"> IF( AND( OFFSET($A$1, 606 - 1, 59 - 1) = "1", OFFSET($A$1, 606 - 1, 60 - 1) = "1" ), 1, IF( AND( OFFSET($A$1, 606 - 1, 59 - 1) = "1", OFFSET($A$1, 606 - 1, 60 - 1) = "0" ), 2, IF( AND( OFFSET($A$1, 606 - 1, 59 - 1) = "0", OFFSET($A$1, 606 - 1, 60 - 1) = "1" ), 3, 4 ) ) )</f>
        <v>2</v>
      </c>
    </row>
    <row r="607" spans="53:61" x14ac:dyDescent="0.35">
      <c r="BA607" s="3">
        <v>0.60466645070462455</v>
      </c>
      <c r="BB607" s="3" t="str">
        <f>"0"</f>
        <v>0</v>
      </c>
      <c r="BC607" t="str">
        <f ca="1">IF((OFFSET($A$1, 607 - 1, 53 - 1)) &gt;= (OFFSET($A$1, 69 - 1, 7 - 1)), "1","0")</f>
        <v>1</v>
      </c>
      <c r="BD607">
        <f ca="1" xml:space="preserve"> IF( AND( OFFSET($A$1, 607 - 1, 54 - 1) = "1", OFFSET($A$1, 607 - 1, 55 - 1) = "1" ), 1, IF( AND( OFFSET($A$1, 607 - 1, 54 - 1) = "1", OFFSET($A$1, 607 - 1, 55 - 1) = "0" ), 2, IF( AND( OFFSET($A$1, 607 - 1, 54 - 1) = "0", OFFSET($A$1, 607 - 1, 55 - 1) = "1" ), 3, 4 ) ) )</f>
        <v>3</v>
      </c>
      <c r="BF607" s="3">
        <v>0.60440873360436798</v>
      </c>
      <c r="BG607" s="3" t="str">
        <f>"0"</f>
        <v>0</v>
      </c>
      <c r="BH607" t="str">
        <f ca="1">IF((OFFSET($A$1, 607 - 1, 58 - 1)) &gt;= (OFFSET($A$1, 93 - 1, 7 - 1)), "1","0")</f>
        <v>1</v>
      </c>
      <c r="BI607">
        <f ca="1" xml:space="preserve"> IF( AND( OFFSET($A$1, 607 - 1, 59 - 1) = "1", OFFSET($A$1, 607 - 1, 60 - 1) = "1" ), 1, IF( AND( OFFSET($A$1, 607 - 1, 59 - 1) = "1", OFFSET($A$1, 607 - 1, 60 - 1) = "0" ), 2, IF( AND( OFFSET($A$1, 607 - 1, 59 - 1) = "0", OFFSET($A$1, 607 - 1, 60 - 1) = "1" ), 3, 4 ) ) )</f>
        <v>3</v>
      </c>
    </row>
    <row r="608" spans="53:61" x14ac:dyDescent="0.35">
      <c r="BA608" s="3">
        <v>0.32836927815444789</v>
      </c>
      <c r="BB608" s="3" t="str">
        <f>"0"</f>
        <v>0</v>
      </c>
      <c r="BC608" t="str">
        <f ca="1">IF((OFFSET($A$1, 608 - 1, 53 - 1)) &gt;= (OFFSET($A$1, 69 - 1, 7 - 1)), "1","0")</f>
        <v>0</v>
      </c>
      <c r="BD608">
        <f ca="1" xml:space="preserve"> IF( AND( OFFSET($A$1, 608 - 1, 54 - 1) = "1", OFFSET($A$1, 608 - 1, 55 - 1) = "1" ), 1, IF( AND( OFFSET($A$1, 608 - 1, 54 - 1) = "1", OFFSET($A$1, 608 - 1, 55 - 1) = "0" ), 2, IF( AND( OFFSET($A$1, 608 - 1, 54 - 1) = "0", OFFSET($A$1, 608 - 1, 55 - 1) = "1" ), 3, 4 ) ) )</f>
        <v>4</v>
      </c>
      <c r="BF608" s="3">
        <v>0.32812062725692437</v>
      </c>
      <c r="BG608" s="3" t="str">
        <f>"0"</f>
        <v>0</v>
      </c>
      <c r="BH608" t="str">
        <f ca="1">IF((OFFSET($A$1, 608 - 1, 58 - 1)) &gt;= (OFFSET($A$1, 93 - 1, 7 - 1)), "1","0")</f>
        <v>0</v>
      </c>
      <c r="BI608">
        <f ca="1" xml:space="preserve"> IF( AND( OFFSET($A$1, 608 - 1, 59 - 1) = "1", OFFSET($A$1, 608 - 1, 60 - 1) = "1" ), 1, IF( AND( OFFSET($A$1, 608 - 1, 59 - 1) = "1", OFFSET($A$1, 608 - 1, 60 - 1) = "0" ), 2, IF( AND( OFFSET($A$1, 608 - 1, 59 - 1) = "0", OFFSET($A$1, 608 - 1, 60 - 1) = "1" ), 3, 4 ) ) )</f>
        <v>4</v>
      </c>
    </row>
    <row r="609" spans="53:61" x14ac:dyDescent="0.35">
      <c r="BA609" s="3">
        <v>0.32786662636550473</v>
      </c>
      <c r="BB609" s="3" t="str">
        <f>"0"</f>
        <v>0</v>
      </c>
      <c r="BC609" t="str">
        <f ca="1">IF((OFFSET($A$1, 609 - 1, 53 - 1)) &gt;= (OFFSET($A$1, 69 - 1, 7 - 1)), "1","0")</f>
        <v>0</v>
      </c>
      <c r="BD609">
        <f ca="1" xml:space="preserve"> IF( AND( OFFSET($A$1, 609 - 1, 54 - 1) = "1", OFFSET($A$1, 609 - 1, 55 - 1) = "1" ), 1, IF( AND( OFFSET($A$1, 609 - 1, 54 - 1) = "1", OFFSET($A$1, 609 - 1, 55 - 1) = "0" ), 2, IF( AND( OFFSET($A$1, 609 - 1, 54 - 1) = "0", OFFSET($A$1, 609 - 1, 55 - 1) = "1" ), 3, 4 ) ) )</f>
        <v>4</v>
      </c>
      <c r="BF609" s="3">
        <v>0.32760730084740763</v>
      </c>
      <c r="BG609" s="3" t="str">
        <f>"0"</f>
        <v>0</v>
      </c>
      <c r="BH609" t="str">
        <f ca="1">IF((OFFSET($A$1, 609 - 1, 58 - 1)) &gt;= (OFFSET($A$1, 93 - 1, 7 - 1)), "1","0")</f>
        <v>0</v>
      </c>
      <c r="BI609">
        <f ca="1" xml:space="preserve"> IF( AND( OFFSET($A$1, 609 - 1, 59 - 1) = "1", OFFSET($A$1, 609 - 1, 60 - 1) = "1" ), 1, IF( AND( OFFSET($A$1, 609 - 1, 59 - 1) = "1", OFFSET($A$1, 609 - 1, 60 - 1) = "0" ), 2, IF( AND( OFFSET($A$1, 609 - 1, 59 - 1) = "0", OFFSET($A$1, 609 - 1, 60 - 1) = "1" ), 3, 4 ) ) )</f>
        <v>4</v>
      </c>
    </row>
    <row r="610" spans="53:61" x14ac:dyDescent="0.35">
      <c r="BA610" s="3">
        <v>0.32734267659299021</v>
      </c>
      <c r="BB610" s="3" t="str">
        <f>"1"</f>
        <v>1</v>
      </c>
      <c r="BC610" t="str">
        <f ca="1">IF((OFFSET($A$1, 610 - 1, 53 - 1)) &gt;= (OFFSET($A$1, 69 - 1, 7 - 1)), "1","0")</f>
        <v>0</v>
      </c>
      <c r="BD610">
        <f ca="1" xml:space="preserve"> IF( AND( OFFSET($A$1, 610 - 1, 54 - 1) = "1", OFFSET($A$1, 610 - 1, 55 - 1) = "1" ), 1, IF( AND( OFFSET($A$1, 610 - 1, 54 - 1) = "1", OFFSET($A$1, 610 - 1, 55 - 1) = "0" ), 2, IF( AND( OFFSET($A$1, 610 - 1, 54 - 1) = "0", OFFSET($A$1, 610 - 1, 55 - 1) = "1" ), 3, 4 ) ) )</f>
        <v>2</v>
      </c>
      <c r="BF610" s="3">
        <v>0.327072780012511</v>
      </c>
      <c r="BG610" s="3" t="str">
        <f>"0"</f>
        <v>0</v>
      </c>
      <c r="BH610" t="str">
        <f ca="1">IF((OFFSET($A$1, 610 - 1, 58 - 1)) &gt;= (OFFSET($A$1, 93 - 1, 7 - 1)), "1","0")</f>
        <v>0</v>
      </c>
      <c r="BI610">
        <f ca="1" xml:space="preserve"> IF( AND( OFFSET($A$1, 610 - 1, 59 - 1) = "1", OFFSET($A$1, 610 - 1, 60 - 1) = "1" ), 1, IF( AND( OFFSET($A$1, 610 - 1, 59 - 1) = "1", OFFSET($A$1, 610 - 1, 60 - 1) = "0" ), 2, IF( AND( OFFSET($A$1, 610 - 1, 59 - 1) = "0", OFFSET($A$1, 610 - 1, 60 - 1) = "1" ), 3, 4 ) ) )</f>
        <v>4</v>
      </c>
    </row>
    <row r="611" spans="53:61" x14ac:dyDescent="0.35">
      <c r="BA611" s="3">
        <v>0.60243738668189994</v>
      </c>
      <c r="BB611" s="3" t="str">
        <f>"1"</f>
        <v>1</v>
      </c>
      <c r="BC611" t="str">
        <f ca="1">IF((OFFSET($A$1, 611 - 1, 53 - 1)) &gt;= (OFFSET($A$1, 69 - 1, 7 - 1)), "1","0")</f>
        <v>1</v>
      </c>
      <c r="BD611">
        <f ca="1" xml:space="preserve"> IF( AND( OFFSET($A$1, 611 - 1, 54 - 1) = "1", OFFSET($A$1, 611 - 1, 55 - 1) = "1" ), 1, IF( AND( OFFSET($A$1, 611 - 1, 54 - 1) = "1", OFFSET($A$1, 611 - 1, 55 - 1) = "0" ), 2, IF( AND( OFFSET($A$1, 611 - 1, 54 - 1) = "0", OFFSET($A$1, 611 - 1, 55 - 1) = "1" ), 3, 4 ) ) )</f>
        <v>1</v>
      </c>
      <c r="BF611" s="3">
        <v>0.32651727809398806</v>
      </c>
      <c r="BG611" s="3" t="str">
        <f>"0"</f>
        <v>0</v>
      </c>
      <c r="BH611" t="str">
        <f ca="1">IF((OFFSET($A$1, 611 - 1, 58 - 1)) &gt;= (OFFSET($A$1, 93 - 1, 7 - 1)), "1","0")</f>
        <v>0</v>
      </c>
      <c r="BI611">
        <f ca="1" xml:space="preserve"> IF( AND( OFFSET($A$1, 611 - 1, 59 - 1) = "1", OFFSET($A$1, 611 - 1, 60 - 1) = "1" ), 1, IF( AND( OFFSET($A$1, 611 - 1, 59 - 1) = "1", OFFSET($A$1, 611 - 1, 60 - 1) = "0" ), 2, IF( AND( OFFSET($A$1, 611 - 1, 59 - 1) = "0", OFFSET($A$1, 611 - 1, 60 - 1) = "1" ), 3, 4 ) ) )</f>
        <v>4</v>
      </c>
    </row>
    <row r="612" spans="53:61" x14ac:dyDescent="0.35">
      <c r="BA612" s="3">
        <v>0.60182086517507571</v>
      </c>
      <c r="BB612" s="3" t="str">
        <f>"0"</f>
        <v>0</v>
      </c>
      <c r="BC612" t="str">
        <f ca="1">IF((OFFSET($A$1, 612 - 1, 53 - 1)) &gt;= (OFFSET($A$1, 69 - 1, 7 - 1)), "1","0")</f>
        <v>1</v>
      </c>
      <c r="BD612">
        <f ca="1" xml:space="preserve"> IF( AND( OFFSET($A$1, 612 - 1, 54 - 1) = "1", OFFSET($A$1, 612 - 1, 55 - 1) = "1" ), 1, IF( AND( OFFSET($A$1, 612 - 1, 54 - 1) = "1", OFFSET($A$1, 612 - 1, 55 - 1) = "0" ), 2, IF( AND( OFFSET($A$1, 612 - 1, 54 - 1) = "0", OFFSET($A$1, 612 - 1, 55 - 1) = "1" ), 3, 4 ) ) )</f>
        <v>3</v>
      </c>
      <c r="BF612" s="3">
        <v>0.3259410166443828</v>
      </c>
      <c r="BG612" s="3" t="str">
        <f>"0"</f>
        <v>0</v>
      </c>
      <c r="BH612" t="str">
        <f ca="1">IF((OFFSET($A$1, 612 - 1, 58 - 1)) &gt;= (OFFSET($A$1, 93 - 1, 7 - 1)), "1","0")</f>
        <v>0</v>
      </c>
      <c r="BI612">
        <f ca="1" xml:space="preserve"> IF( AND( OFFSET($A$1, 612 - 1, 59 - 1) = "1", OFFSET($A$1, 612 - 1, 60 - 1) = "1" ), 1, IF( AND( OFFSET($A$1, 612 - 1, 59 - 1) = "1", OFFSET($A$1, 612 - 1, 60 - 1) = "0" ), 2, IF( AND( OFFSET($A$1, 612 - 1, 59 - 1) = "0", OFFSET($A$1, 612 - 1, 60 - 1) = "1" ), 3, 4 ) ) )</f>
        <v>4</v>
      </c>
    </row>
    <row r="613" spans="53:61" x14ac:dyDescent="0.35">
      <c r="BA613" s="3">
        <v>0.32564517254832676</v>
      </c>
      <c r="BB613" s="3" t="str">
        <f>"1"</f>
        <v>1</v>
      </c>
      <c r="BC613" t="str">
        <f ca="1">IF((OFFSET($A$1, 613 - 1, 53 - 1)) &gt;= (OFFSET($A$1, 69 - 1, 7 - 1)), "1","0")</f>
        <v>0</v>
      </c>
      <c r="BD613">
        <f ca="1" xml:space="preserve"> IF( AND( OFFSET($A$1, 613 - 1, 54 - 1) = "1", OFFSET($A$1, 613 - 1, 55 - 1) = "1" ), 1, IF( AND( OFFSET($A$1, 613 - 1, 54 - 1) = "1", OFFSET($A$1, 613 - 1, 55 - 1) = "0" ), 2, IF( AND( OFFSET($A$1, 613 - 1, 54 - 1) = "0", OFFSET($A$1, 613 - 1, 55 - 1) = "1" ), 3, 4 ) ) )</f>
        <v>2</v>
      </c>
      <c r="BF613" s="3">
        <v>0.32534422531527823</v>
      </c>
      <c r="BG613" s="3" t="str">
        <f>"0"</f>
        <v>0</v>
      </c>
      <c r="BH613" t="str">
        <f ca="1">IF((OFFSET($A$1, 613 - 1, 58 - 1)) &gt;= (OFFSET($A$1, 93 - 1, 7 - 1)), "1","0")</f>
        <v>0</v>
      </c>
      <c r="BI613">
        <f ca="1" xml:space="preserve"> IF( AND( OFFSET($A$1, 613 - 1, 59 - 1) = "1", OFFSET($A$1, 613 - 1, 60 - 1) = "1" ), 1, IF( AND( OFFSET($A$1, 613 - 1, 59 - 1) = "1", OFFSET($A$1, 613 - 1, 60 - 1) = "0" ), 2, IF( AND( OFFSET($A$1, 613 - 1, 59 - 1) = "0", OFFSET($A$1, 613 - 1, 60 - 1) = "1" ), 3, 4 ) ) )</f>
        <v>4</v>
      </c>
    </row>
    <row r="614" spans="53:61" x14ac:dyDescent="0.35">
      <c r="BA614" s="3">
        <v>0.60051772766121203</v>
      </c>
      <c r="BB614" s="3" t="str">
        <f>"1"</f>
        <v>1</v>
      </c>
      <c r="BC614" t="str">
        <f ca="1">IF((OFFSET($A$1, 614 - 1, 53 - 1)) &gt;= (OFFSET($A$1, 69 - 1, 7 - 1)), "1","0")</f>
        <v>1</v>
      </c>
      <c r="BD614">
        <f ca="1" xml:space="preserve"> IF( AND( OFFSET($A$1, 614 - 1, 54 - 1) = "1", OFFSET($A$1, 614 - 1, 55 - 1) = "1" ), 1, IF( AND( OFFSET($A$1, 614 - 1, 54 - 1) = "1", OFFSET($A$1, 614 - 1, 55 - 1) = "0" ), 2, IF( AND( OFFSET($A$1, 614 - 1, 54 - 1) = "0", OFFSET($A$1, 614 - 1, 55 - 1) = "1" ), 3, 4 ) ) )</f>
        <v>1</v>
      </c>
      <c r="BF614" s="3">
        <v>0.32472714174086237</v>
      </c>
      <c r="BG614" s="3" t="str">
        <f>"0"</f>
        <v>0</v>
      </c>
      <c r="BH614" t="str">
        <f ca="1">IF((OFFSET($A$1, 614 - 1, 58 - 1)) &gt;= (OFFSET($A$1, 93 - 1, 7 - 1)), "1","0")</f>
        <v>0</v>
      </c>
      <c r="BI614">
        <f ca="1" xml:space="preserve"> IF( AND( OFFSET($A$1, 614 - 1, 59 - 1) = "1", OFFSET($A$1, 614 - 1, 60 - 1) = "1" ), 1, IF( AND( OFFSET($A$1, 614 - 1, 59 - 1) = "1", OFFSET($A$1, 614 - 1, 60 - 1) = "0" ), 2, IF( AND( OFFSET($A$1, 614 - 1, 59 - 1) = "0", OFFSET($A$1, 614 - 1, 60 - 1) = "1" ), 3, 4 ) ) )</f>
        <v>4</v>
      </c>
    </row>
    <row r="615" spans="53:61" x14ac:dyDescent="0.35">
      <c r="BA615" s="3">
        <v>0.59983142595868266</v>
      </c>
      <c r="BB615" s="3" t="str">
        <f>"0"</f>
        <v>0</v>
      </c>
      <c r="BC615" t="str">
        <f ca="1">IF((OFFSET($A$1, 615 - 1, 53 - 1)) &gt;= (OFFSET($A$1, 69 - 1, 7 - 1)), "1","0")</f>
        <v>1</v>
      </c>
      <c r="BD615">
        <f ca="1" xml:space="preserve"> IF( AND( OFFSET($A$1, 615 - 1, 54 - 1) = "1", OFFSET($A$1, 615 - 1, 55 - 1) = "1" ), 1, IF( AND( OFFSET($A$1, 615 - 1, 54 - 1) = "1", OFFSET($A$1, 615 - 1, 55 - 1) = "0" ), 2, IF( AND( OFFSET($A$1, 615 - 1, 54 - 1) = "0", OFFSET($A$1, 615 - 1, 55 - 1) = "1" ), 3, 4 ) ) )</f>
        <v>3</v>
      </c>
      <c r="BF615" s="3">
        <v>0.3240900114168172</v>
      </c>
      <c r="BG615" s="3" t="str">
        <f>"0"</f>
        <v>0</v>
      </c>
      <c r="BH615" t="str">
        <f ca="1">IF((OFFSET($A$1, 615 - 1, 58 - 1)) &gt;= (OFFSET($A$1, 93 - 1, 7 - 1)), "1","0")</f>
        <v>0</v>
      </c>
      <c r="BI615">
        <f ca="1" xml:space="preserve"> IF( AND( OFFSET($A$1, 615 - 1, 59 - 1) = "1", OFFSET($A$1, 615 - 1, 60 - 1) = "1" ), 1, IF( AND( OFFSET($A$1, 615 - 1, 59 - 1) = "1", OFFSET($A$1, 615 - 1, 60 - 1) = "0" ), 2, IF( AND( OFFSET($A$1, 615 - 1, 59 - 1) = "0", OFFSET($A$1, 615 - 1, 60 - 1) = "1" ), 3, 4 ) ) )</f>
        <v>4</v>
      </c>
    </row>
    <row r="616" spans="53:61" x14ac:dyDescent="0.35">
      <c r="BA616" s="3">
        <v>0.3237640075598549</v>
      </c>
      <c r="BB616" s="3" t="str">
        <f>"0"</f>
        <v>0</v>
      </c>
      <c r="BC616" t="str">
        <f ca="1">IF((OFFSET($A$1, 616 - 1, 53 - 1)) &gt;= (OFFSET($A$1, 69 - 1, 7 - 1)), "1","0")</f>
        <v>0</v>
      </c>
      <c r="BD616">
        <f ca="1" xml:space="preserve"> IF( AND( OFFSET($A$1, 616 - 1, 54 - 1) = "1", OFFSET($A$1, 616 - 1, 55 - 1) = "1" ), 1, IF( AND( OFFSET($A$1, 616 - 1, 54 - 1) = "1", OFFSET($A$1, 616 - 1, 55 - 1) = "0" ), 2, IF( AND( OFFSET($A$1, 616 - 1, 54 - 1) = "0", OFFSET($A$1, 616 - 1, 55 - 1) = "1" ), 3, 4 ) ) )</f>
        <v>4</v>
      </c>
      <c r="BF616" s="3">
        <v>0.32343308757454647</v>
      </c>
      <c r="BG616" s="3" t="str">
        <f>"0"</f>
        <v>0</v>
      </c>
      <c r="BH616" t="str">
        <f ca="1">IF((OFFSET($A$1, 616 - 1, 58 - 1)) &gt;= (OFFSET($A$1, 93 - 1, 7 - 1)), "1","0")</f>
        <v>0</v>
      </c>
      <c r="BI616">
        <f ca="1" xml:space="preserve"> IF( AND( OFFSET($A$1, 616 - 1, 59 - 1) = "1", OFFSET($A$1, 616 - 1, 60 - 1) = "1" ), 1, IF( AND( OFFSET($A$1, 616 - 1, 59 - 1) = "1", OFFSET($A$1, 616 - 1, 60 - 1) = "0" ), 2, IF( AND( OFFSET($A$1, 616 - 1, 59 - 1) = "0", OFFSET($A$1, 616 - 1, 60 - 1) = "1" ), 3, 4 ) ) )</f>
        <v>4</v>
      </c>
    </row>
    <row r="617" spans="53:61" x14ac:dyDescent="0.35">
      <c r="BA617" s="3">
        <v>0.32309728430212931</v>
      </c>
      <c r="BB617" s="3" t="str">
        <f>"1"</f>
        <v>1</v>
      </c>
      <c r="BC617" t="str">
        <f ca="1">IF((OFFSET($A$1, 617 - 1, 53 - 1)) &gt;= (OFFSET($A$1, 69 - 1, 7 - 1)), "1","0")</f>
        <v>0</v>
      </c>
      <c r="BD617">
        <f ca="1" xml:space="preserve"> IF( AND( OFFSET($A$1, 617 - 1, 54 - 1) = "1", OFFSET($A$1, 617 - 1, 55 - 1) = "1" ), 1, IF( AND( OFFSET($A$1, 617 - 1, 54 - 1) = "1", OFFSET($A$1, 617 - 1, 55 - 1) = "0" ), 2, IF( AND( OFFSET($A$1, 617 - 1, 54 - 1) = "0", OFFSET($A$1, 617 - 1, 55 - 1) = "1" ), 3, 4 ) ) )</f>
        <v>2</v>
      </c>
      <c r="BF617" s="3">
        <v>0.32275663105076835</v>
      </c>
      <c r="BG617" s="3" t="str">
        <f>"1"</f>
        <v>1</v>
      </c>
      <c r="BH617" t="str">
        <f ca="1">IF((OFFSET($A$1, 617 - 1, 58 - 1)) &gt;= (OFFSET($A$1, 93 - 1, 7 - 1)), "1","0")</f>
        <v>0</v>
      </c>
      <c r="BI617">
        <f ca="1" xml:space="preserve"> IF( AND( OFFSET($A$1, 617 - 1, 59 - 1) = "1", OFFSET($A$1, 617 - 1, 60 - 1) = "1" ), 1, IF( AND( OFFSET($A$1, 617 - 1, 59 - 1) = "1", OFFSET($A$1, 617 - 1, 60 - 1) = "0" ), 2, IF( AND( OFFSET($A$1, 617 - 1, 59 - 1) = "0", OFFSET($A$1, 617 - 1, 60 - 1) = "1" ), 3, 4 ) ) )</f>
        <v>2</v>
      </c>
    </row>
    <row r="618" spans="53:61" x14ac:dyDescent="0.35">
      <c r="BA618" s="3">
        <v>0.59763560838490071</v>
      </c>
      <c r="BB618" s="3" t="str">
        <f>"1"</f>
        <v>1</v>
      </c>
      <c r="BC618" t="str">
        <f ca="1">IF((OFFSET($A$1, 618 - 1, 53 - 1)) &gt;= (OFFSET($A$1, 69 - 1, 7 - 1)), "1","0")</f>
        <v>1</v>
      </c>
      <c r="BD618">
        <f ca="1" xml:space="preserve"> IF( AND( OFFSET($A$1, 618 - 1, 54 - 1) = "1", OFFSET($A$1, 618 - 1, 55 - 1) = "1" ), 1, IF( AND( OFFSET($A$1, 618 - 1, 54 - 1) = "1", OFFSET($A$1, 618 - 1, 55 - 1) = "0" ), 2, IF( AND( OFFSET($A$1, 618 - 1, 54 - 1) = "0", OFFSET($A$1, 618 - 1, 55 - 1) = "1" ), 3, 4 ) ) )</f>
        <v>1</v>
      </c>
      <c r="BF618" s="3">
        <v>0.59724990691060675</v>
      </c>
      <c r="BG618" s="3" t="str">
        <f>"1"</f>
        <v>1</v>
      </c>
      <c r="BH618" t="str">
        <f ca="1">IF((OFFSET($A$1, 618 - 1, 58 - 1)) &gt;= (OFFSET($A$1, 93 - 1, 7 - 1)), "1","0")</f>
        <v>1</v>
      </c>
      <c r="BI618">
        <f ca="1" xml:space="preserve"> IF( AND( OFFSET($A$1, 618 - 1, 59 - 1) = "1", OFFSET($A$1, 618 - 1, 60 - 1) = "1" ), 1, IF( AND( OFFSET($A$1, 618 - 1, 59 - 1) = "1", OFFSET($A$1, 618 - 1, 60 - 1) = "0" ), 2, IF( AND( OFFSET($A$1, 618 - 1, 59 - 1) = "0", OFFSET($A$1, 618 - 1, 60 - 1) = "1" ), 3, 4 ) ) )</f>
        <v>1</v>
      </c>
    </row>
    <row r="619" spans="53:61" x14ac:dyDescent="0.35">
      <c r="BA619" s="3">
        <v>0.59685863000448514</v>
      </c>
      <c r="BB619" s="3" t="str">
        <f>"0"</f>
        <v>0</v>
      </c>
      <c r="BC619" t="str">
        <f ca="1">IF((OFFSET($A$1, 619 - 1, 53 - 1)) &gt;= (OFFSET($A$1, 69 - 1, 7 - 1)), "1","0")</f>
        <v>1</v>
      </c>
      <c r="BD619">
        <f ca="1" xml:space="preserve"> IF( AND( OFFSET($A$1, 619 - 1, 54 - 1) = "1", OFFSET($A$1, 619 - 1, 55 - 1) = "1" ), 1, IF( AND( OFFSET($A$1, 619 - 1, 54 - 1) = "1", OFFSET($A$1, 619 - 1, 55 - 1) = "0" ), 2, IF( AND( OFFSET($A$1, 619 - 1, 54 - 1) = "0", OFFSET($A$1, 619 - 1, 55 - 1) = "1" ), 3, 4 ) ) )</f>
        <v>3</v>
      </c>
      <c r="BF619" s="3">
        <v>0.59646180192063614</v>
      </c>
      <c r="BG619" s="3" t="str">
        <f>"1"</f>
        <v>1</v>
      </c>
      <c r="BH619" t="str">
        <f ca="1">IF((OFFSET($A$1, 619 - 1, 58 - 1)) &gt;= (OFFSET($A$1, 93 - 1, 7 - 1)), "1","0")</f>
        <v>1</v>
      </c>
      <c r="BI619">
        <f ca="1" xml:space="preserve"> IF( AND( OFFSET($A$1, 619 - 1, 59 - 1) = "1", OFFSET($A$1, 619 - 1, 60 - 1) = "1" ), 1, IF( AND( OFFSET($A$1, 619 - 1, 59 - 1) = "1", OFFSET($A$1, 619 - 1, 60 - 1) = "0" ), 2, IF( AND( OFFSET($A$1, 619 - 1, 59 - 1) = "0", OFFSET($A$1, 619 - 1, 60 - 1) = "1" ), 3, 4 ) ) )</f>
        <v>1</v>
      </c>
    </row>
    <row r="620" spans="53:61" x14ac:dyDescent="0.35">
      <c r="BA620" s="3">
        <v>0.32098181302935108</v>
      </c>
      <c r="BB620" s="3" t="str">
        <f>"0"</f>
        <v>0</v>
      </c>
      <c r="BC620" t="str">
        <f ca="1">IF((OFFSET($A$1, 620 - 1, 53 - 1)) &gt;= (OFFSET($A$1, 69 - 1, 7 - 1)), "1","0")</f>
        <v>0</v>
      </c>
      <c r="BD620">
        <f ca="1" xml:space="preserve"> IF( AND( OFFSET($A$1, 620 - 1, 54 - 1) = "1", OFFSET($A$1, 620 - 1, 55 - 1) = "1" ), 1, IF( AND( OFFSET($A$1, 620 - 1, 54 - 1) = "1", OFFSET($A$1, 620 - 1, 55 - 1) = "0" ), 2, IF( AND( OFFSET($A$1, 620 - 1, 54 - 1) = "0", OFFSET($A$1, 620 - 1, 55 - 1) = "1" ), 3, 4 ) ) )</f>
        <v>4</v>
      </c>
      <c r="BF620" s="3">
        <v>0.59565159127040734</v>
      </c>
      <c r="BG620" s="3" t="str">
        <f>"1"</f>
        <v>1</v>
      </c>
      <c r="BH620" t="str">
        <f ca="1">IF((OFFSET($A$1, 620 - 1, 58 - 1)) &gt;= (OFFSET($A$1, 93 - 1, 7 - 1)), "1","0")</f>
        <v>1</v>
      </c>
      <c r="BI620">
        <f ca="1" xml:space="preserve"> IF( AND( OFFSET($A$1, 620 - 1, 59 - 1) = "1", OFFSET($A$1, 620 - 1, 60 - 1) = "1" ), 1, IF( AND( OFFSET($A$1, 620 - 1, 59 - 1) = "1", OFFSET($A$1, 620 - 1, 60 - 1) = "0" ), 2, IF( AND( OFFSET($A$1, 620 - 1, 59 - 1) = "0", OFFSET($A$1, 620 - 1, 60 - 1) = "1" ), 3, 4 ) ) )</f>
        <v>1</v>
      </c>
    </row>
    <row r="621" spans="53:61" x14ac:dyDescent="0.35">
      <c r="BA621" s="3">
        <v>0.32023915278956366</v>
      </c>
      <c r="BB621" s="3" t="str">
        <f>"0"</f>
        <v>0</v>
      </c>
      <c r="BC621" t="str">
        <f ca="1">IF((OFFSET($A$1, 621 - 1, 53 - 1)) &gt;= (OFFSET($A$1, 69 - 1, 7 - 1)), "1","0")</f>
        <v>0</v>
      </c>
      <c r="BD621">
        <f ca="1" xml:space="preserve"> IF( AND( OFFSET($A$1, 621 - 1, 54 - 1) = "1", OFFSET($A$1, 621 - 1, 55 - 1) = "1" ), 1, IF( AND( OFFSET($A$1, 621 - 1, 54 - 1) = "1", OFFSET($A$1, 621 - 1, 55 - 1) = "0" ), 2, IF( AND( OFFSET($A$1, 621 - 1, 54 - 1) = "0", OFFSET($A$1, 621 - 1, 55 - 1) = "1" ), 3, 4 ) ) )</f>
        <v>4</v>
      </c>
      <c r="BF621" s="3">
        <v>0.59481947714087036</v>
      </c>
      <c r="BG621" s="3" t="str">
        <f>"0"</f>
        <v>0</v>
      </c>
      <c r="BH621" t="str">
        <f ca="1">IF((OFFSET($A$1, 621 - 1, 58 - 1)) &gt;= (OFFSET($A$1, 93 - 1, 7 - 1)), "1","0")</f>
        <v>1</v>
      </c>
      <c r="BI621">
        <f ca="1" xml:space="preserve"> IF( AND( OFFSET($A$1, 621 - 1, 59 - 1) = "1", OFFSET($A$1, 621 - 1, 60 - 1) = "1" ), 1, IF( AND( OFFSET($A$1, 621 - 1, 59 - 1) = "1", OFFSET($A$1, 621 - 1, 60 - 1) = "0" ), 2, IF( AND( OFFSET($A$1, 621 - 1, 59 - 1) = "0", OFFSET($A$1, 621 - 1, 60 - 1) = "1" ), 3, 4 ) ) )</f>
        <v>3</v>
      </c>
    </row>
    <row r="622" spans="53:61" x14ac:dyDescent="0.35">
      <c r="BA622" s="3">
        <v>0.31947822402165316</v>
      </c>
      <c r="BB622" s="3" t="str">
        <f>"0"</f>
        <v>0</v>
      </c>
      <c r="BC622" t="str">
        <f ca="1">IF((OFFSET($A$1, 622 - 1, 53 - 1)) &gt;= (OFFSET($A$1, 69 - 1, 7 - 1)), "1","0")</f>
        <v>0</v>
      </c>
      <c r="BD622">
        <f ca="1" xml:space="preserve"> IF( AND( OFFSET($A$1, 622 - 1, 54 - 1) = "1", OFFSET($A$1, 622 - 1, 55 - 1) = "1" ), 1, IF( AND( OFFSET($A$1, 622 - 1, 54 - 1) = "1", OFFSET($A$1, 622 - 1, 55 - 1) = "0" ), 2, IF( AND( OFFSET($A$1, 622 - 1, 54 - 1) = "0", OFFSET($A$1, 622 - 1, 55 - 1) = "1" ), 3, 4 ) ) )</f>
        <v>4</v>
      </c>
      <c r="BF622" s="3">
        <v>0.31909100246882355</v>
      </c>
      <c r="BG622" s="3" t="str">
        <f>"1"</f>
        <v>1</v>
      </c>
      <c r="BH622" t="str">
        <f ca="1">IF((OFFSET($A$1, 622 - 1, 58 - 1)) &gt;= (OFFSET($A$1, 93 - 1, 7 - 1)), "1","0")</f>
        <v>0</v>
      </c>
      <c r="BI622">
        <f ca="1" xml:space="preserve"> IF( AND( OFFSET($A$1, 622 - 1, 59 - 1) = "1", OFFSET($A$1, 622 - 1, 60 - 1) = "1" ), 1, IF( AND( OFFSET($A$1, 622 - 1, 59 - 1) = "1", OFFSET($A$1, 622 - 1, 60 - 1) = "0" ), 2, IF( AND( OFFSET($A$1, 622 - 1, 59 - 1) = "0", OFFSET($A$1, 622 - 1, 60 - 1) = "1" ), 3, 4 ) ) )</f>
        <v>2</v>
      </c>
    </row>
    <row r="623" spans="53:61" x14ac:dyDescent="0.35">
      <c r="BA623" s="3">
        <v>0.31869932685589886</v>
      </c>
      <c r="BB623" s="3" t="str">
        <f>"0"</f>
        <v>0</v>
      </c>
      <c r="BC623" t="str">
        <f ca="1">IF((OFFSET($A$1, 623 - 1, 53 - 1)) &gt;= (OFFSET($A$1, 69 - 1, 7 - 1)), "1","0")</f>
        <v>0</v>
      </c>
      <c r="BD623">
        <f ca="1" xml:space="preserve"> IF( AND( OFFSET($A$1, 623 - 1, 54 - 1) = "1", OFFSET($A$1, 623 - 1, 55 - 1) = "1" ), 1, IF( AND( OFFSET($A$1, 623 - 1, 54 - 1) = "1", OFFSET($A$1, 623 - 1, 55 - 1) = "0" ), 2, IF( AND( OFFSET($A$1, 623 - 1, 54 - 1) = "0", OFFSET($A$1, 623 - 1, 55 - 1) = "1" ), 3, 4 ) ) )</f>
        <v>4</v>
      </c>
      <c r="BF623" s="3">
        <v>0.59309037991129843</v>
      </c>
      <c r="BG623" s="3" t="str">
        <f>"1"</f>
        <v>1</v>
      </c>
      <c r="BH623" t="str">
        <f ca="1">IF((OFFSET($A$1, 623 - 1, 58 - 1)) &gt;= (OFFSET($A$1, 93 - 1, 7 - 1)), "1","0")</f>
        <v>1</v>
      </c>
      <c r="BI623">
        <f ca="1" xml:space="preserve"> IF( AND( OFFSET($A$1, 623 - 1, 59 - 1) = "1", OFFSET($A$1, 623 - 1, 60 - 1) = "1" ), 1, IF( AND( OFFSET($A$1, 623 - 1, 59 - 1) = "1", OFFSET($A$1, 623 - 1, 60 - 1) = "0" ), 2, IF( AND( OFFSET($A$1, 623 - 1, 59 - 1) = "0", OFFSET($A$1, 623 - 1, 60 - 1) = "1" ), 3, 4 ) ) )</f>
        <v>1</v>
      </c>
    </row>
    <row r="624" spans="53:61" x14ac:dyDescent="0.35">
      <c r="BA624" s="3">
        <v>0.31790276806936257</v>
      </c>
      <c r="BB624" s="3" t="str">
        <f>"0"</f>
        <v>0</v>
      </c>
      <c r="BC624" t="str">
        <f ca="1">IF((OFFSET($A$1, 624 - 1, 53 - 1)) &gt;= (OFFSET($A$1, 69 - 1, 7 - 1)), "1","0")</f>
        <v>0</v>
      </c>
      <c r="BD624">
        <f ca="1" xml:space="preserve"> IF( AND( OFFSET($A$1, 624 - 1, 54 - 1) = "1", OFFSET($A$1, 624 - 1, 55 - 1) = "1" ), 1, IF( AND( OFFSET($A$1, 624 - 1, 54 - 1) = "1", OFFSET($A$1, 624 - 1, 55 - 1) = "0" ), 2, IF( AND( OFFSET($A$1, 624 - 1, 54 - 1) = "0", OFFSET($A$1, 624 - 1, 55 - 1) = "1" ), 3, 4 ) ) )</f>
        <v>4</v>
      </c>
      <c r="BF624" s="3">
        <v>0.59219383398170944</v>
      </c>
      <c r="BG624" s="3" t="str">
        <f>"0"</f>
        <v>0</v>
      </c>
      <c r="BH624" t="str">
        <f ca="1">IF((OFFSET($A$1, 624 - 1, 58 - 1)) &gt;= (OFFSET($A$1, 93 - 1, 7 - 1)), "1","0")</f>
        <v>1</v>
      </c>
      <c r="BI624">
        <f ca="1" xml:space="preserve"> IF( AND( OFFSET($A$1, 624 - 1, 59 - 1) = "1", OFFSET($A$1, 624 - 1, 60 - 1) = "1" ), 1, IF( AND( OFFSET($A$1, 624 - 1, 59 - 1) = "1", OFFSET($A$1, 624 - 1, 60 - 1) = "0" ), 2, IF( AND( OFFSET($A$1, 624 - 1, 59 - 1) = "0", OFFSET($A$1, 624 - 1, 60 - 1) = "1" ), 3, 4 ) ) )</f>
        <v>3</v>
      </c>
    </row>
    <row r="625" spans="53:61" x14ac:dyDescent="0.35">
      <c r="BA625" s="3">
        <v>0.31708886092187455</v>
      </c>
      <c r="BB625" s="3" t="str">
        <f>"0"</f>
        <v>0</v>
      </c>
      <c r="BC625" t="str">
        <f ca="1">IF((OFFSET($A$1, 625 - 1, 53 - 1)) &gt;= (OFFSET($A$1, 69 - 1, 7 - 1)), "1","0")</f>
        <v>0</v>
      </c>
      <c r="BD625">
        <f ca="1" xml:space="preserve"> IF( AND( OFFSET($A$1, 625 - 1, 54 - 1) = "1", OFFSET($A$1, 625 - 1, 55 - 1) = "1" ), 1, IF( AND( OFFSET($A$1, 625 - 1, 54 - 1) = "1", OFFSET($A$1, 625 - 1, 55 - 1) = "0" ), 2, IF( AND( OFFSET($A$1, 625 - 1, 54 - 1) = "0", OFFSET($A$1, 625 - 1, 55 - 1) = "1" ), 3, 4 ) ) )</f>
        <v>4</v>
      </c>
      <c r="BF625" s="3">
        <v>0.31667550133778433</v>
      </c>
      <c r="BG625" s="3" t="str">
        <f>"0"</f>
        <v>0</v>
      </c>
      <c r="BH625" t="str">
        <f ca="1">IF((OFFSET($A$1, 625 - 1, 58 - 1)) &gt;= (OFFSET($A$1, 93 - 1, 7 - 1)), "1","0")</f>
        <v>0</v>
      </c>
      <c r="BI625">
        <f ca="1" xml:space="preserve"> IF( AND( OFFSET($A$1, 625 - 1, 59 - 1) = "1", OFFSET($A$1, 625 - 1, 60 - 1) = "1" ), 1, IF( AND( OFFSET($A$1, 625 - 1, 59 - 1) = "1", OFFSET($A$1, 625 - 1, 60 - 1) = "0" ), 2, IF( AND( OFFSET($A$1, 625 - 1, 59 - 1) = "0", OFFSET($A$1, 625 - 1, 60 - 1) = "1" ), 3, 4 ) ) )</f>
        <v>4</v>
      </c>
    </row>
    <row r="626" spans="53:61" x14ac:dyDescent="0.35">
      <c r="BA626" s="3">
        <v>0.3162579249877891</v>
      </c>
      <c r="BB626" s="3" t="str">
        <f>"0"</f>
        <v>0</v>
      </c>
      <c r="BC626" t="str">
        <f ca="1">IF((OFFSET($A$1, 626 - 1, 53 - 1)) &gt;= (OFFSET($A$1, 69 - 1, 7 - 1)), "1","0")</f>
        <v>0</v>
      </c>
      <c r="BD626">
        <f ca="1" xml:space="preserve"> IF( AND( OFFSET($A$1, 626 - 1, 54 - 1) = "1", OFFSET($A$1, 626 - 1, 55 - 1) = "1" ), 1, IF( AND( OFFSET($A$1, 626 - 1, 54 - 1) = "1", OFFSET($A$1, 626 - 1, 55 - 1) = "0" ), 2, IF( AND( OFFSET($A$1, 626 - 1, 54 - 1) = "0", OFFSET($A$1, 626 - 1, 55 - 1) = "1" ), 3, 4 ) ) )</f>
        <v>4</v>
      </c>
      <c r="BF626" s="3">
        <v>0.31583617277704401</v>
      </c>
      <c r="BG626" s="3" t="str">
        <f>"0"</f>
        <v>0</v>
      </c>
      <c r="BH626" t="str">
        <f ca="1">IF((OFFSET($A$1, 626 - 1, 58 - 1)) &gt;= (OFFSET($A$1, 93 - 1, 7 - 1)), "1","0")</f>
        <v>0</v>
      </c>
      <c r="BI626">
        <f ca="1" xml:space="preserve"> IF( AND( OFFSET($A$1, 626 - 1, 59 - 1) = "1", OFFSET($A$1, 626 - 1, 60 - 1) = "1" ), 1, IF( AND( OFFSET($A$1, 626 - 1, 59 - 1) = "1", OFFSET($A$1, 626 - 1, 60 - 1) = "0" ), 2, IF( AND( OFFSET($A$1, 626 - 1, 59 - 1) = "0", OFFSET($A$1, 626 - 1, 60 - 1) = "1" ), 3, 4 ) ) )</f>
        <v>4</v>
      </c>
    </row>
    <row r="627" spans="53:61" x14ac:dyDescent="0.35">
      <c r="BA627" s="3">
        <v>0.31541028598359022</v>
      </c>
      <c r="BB627" s="3" t="str">
        <f>"0"</f>
        <v>0</v>
      </c>
      <c r="BC627" t="str">
        <f ca="1">IF((OFFSET($A$1, 627 - 1, 53 - 1)) &gt;= (OFFSET($A$1, 69 - 1, 7 - 1)), "1","0")</f>
        <v>0</v>
      </c>
      <c r="BD627">
        <f ca="1" xml:space="preserve"> IF( AND( OFFSET($A$1, 627 - 1, 54 - 1) = "1", OFFSET($A$1, 627 - 1, 55 - 1) = "1" ), 1, IF( AND( OFFSET($A$1, 627 - 1, 54 - 1) = "1", OFFSET($A$1, 627 - 1, 55 - 1) = "0" ), 2, IF( AND( OFFSET($A$1, 627 - 1, 54 - 1) = "0", OFFSET($A$1, 627 - 1, 55 - 1) = "1" ), 3, 4 ) ) )</f>
        <v>4</v>
      </c>
      <c r="BF627" s="3">
        <v>0.31498030625274553</v>
      </c>
      <c r="BG627" s="3" t="str">
        <f>"1"</f>
        <v>1</v>
      </c>
      <c r="BH627" t="str">
        <f ca="1">IF((OFFSET($A$1, 627 - 1, 58 - 1)) &gt;= (OFFSET($A$1, 93 - 1, 7 - 1)), "1","0")</f>
        <v>0</v>
      </c>
      <c r="BI627">
        <f ca="1" xml:space="preserve"> IF( AND( OFFSET($A$1, 627 - 1, 59 - 1) = "1", OFFSET($A$1, 627 - 1, 60 - 1) = "1" ), 1, IF( AND( OFFSET($A$1, 627 - 1, 59 - 1) = "1", OFFSET($A$1, 627 - 1, 60 - 1) = "0" ), 2, IF( AND( OFFSET($A$1, 627 - 1, 59 - 1) = "0", OFFSET($A$1, 627 - 1, 60 - 1) = "1" ), 3, 4 ) ) )</f>
        <v>2</v>
      </c>
    </row>
    <row r="628" spans="53:61" x14ac:dyDescent="0.35">
      <c r="BA628" s="3">
        <v>0.314546275591437</v>
      </c>
      <c r="BB628" s="3" t="str">
        <f>"0"</f>
        <v>0</v>
      </c>
      <c r="BC628" t="str">
        <f ca="1">IF((OFFSET($A$1, 628 - 1, 53 - 1)) &gt;= (OFFSET($A$1, 69 - 1, 7 - 1)), "1","0")</f>
        <v>0</v>
      </c>
      <c r="BD628">
        <f ca="1" xml:space="preserve"> IF( AND( OFFSET($A$1, 628 - 1, 54 - 1) = "1", OFFSET($A$1, 628 - 1, 55 - 1) = "1" ), 1, IF( AND( OFFSET($A$1, 628 - 1, 54 - 1) = "1", OFFSET($A$1, 628 - 1, 55 - 1) = "0" ), 2, IF( AND( OFFSET($A$1, 628 - 1, 54 - 1) = "0", OFFSET($A$1, 628 - 1, 55 - 1) = "1" ), 3, 4 ) ) )</f>
        <v>4</v>
      </c>
      <c r="BF628" s="3">
        <v>0.58839974344463797</v>
      </c>
      <c r="BG628" s="3" t="str">
        <f>"1"</f>
        <v>1</v>
      </c>
      <c r="BH628" t="str">
        <f ca="1">IF((OFFSET($A$1, 628 - 1, 58 - 1)) &gt;= (OFFSET($A$1, 93 - 1, 7 - 1)), "1","0")</f>
        <v>1</v>
      </c>
      <c r="BI628">
        <f ca="1" xml:space="preserve"> IF( AND( OFFSET($A$1, 628 - 1, 59 - 1) = "1", OFFSET($A$1, 628 - 1, 60 - 1) = "1" ), 1, IF( AND( OFFSET($A$1, 628 - 1, 59 - 1) = "1", OFFSET($A$1, 628 - 1, 60 - 1) = "0" ), 2, IF( AND( OFFSET($A$1, 628 - 1, 59 - 1) = "0", OFFSET($A$1, 628 - 1, 60 - 1) = "1" ), 3, 4 ) ) )</f>
        <v>1</v>
      </c>
    </row>
    <row r="629" spans="53:61" x14ac:dyDescent="0.35">
      <c r="BA629" s="3">
        <v>0.3136662312787451</v>
      </c>
      <c r="BB629" s="3" t="str">
        <f>"0"</f>
        <v>0</v>
      </c>
      <c r="BC629" t="str">
        <f ca="1">IF((OFFSET($A$1, 629 - 1, 53 - 1)) &gt;= (OFFSET($A$1, 69 - 1, 7 - 1)), "1","0")</f>
        <v>0</v>
      </c>
      <c r="BD629">
        <f ca="1" xml:space="preserve"> IF( AND( OFFSET($A$1, 629 - 1, 54 - 1) = "1", OFFSET($A$1, 629 - 1, 55 - 1) = "1" ), 1, IF( AND( OFFSET($A$1, 629 - 1, 54 - 1) = "1", OFFSET($A$1, 629 - 1, 55 - 1) = "0" ), 2, IF( AND( OFFSET($A$1, 629 - 1, 54 - 1) = "0", OFFSET($A$1, 629 - 1, 55 - 1) = "1" ), 3, 4 ) ) )</f>
        <v>4</v>
      </c>
      <c r="BF629" s="3">
        <v>0.58740046938850532</v>
      </c>
      <c r="BG629" s="3" t="str">
        <f>"0"</f>
        <v>0</v>
      </c>
      <c r="BH629" t="str">
        <f ca="1">IF((OFFSET($A$1, 629 - 1, 58 - 1)) &gt;= (OFFSET($A$1, 93 - 1, 7 - 1)), "1","0")</f>
        <v>1</v>
      </c>
      <c r="BI629">
        <f ca="1" xml:space="preserve"> IF( AND( OFFSET($A$1, 629 - 1, 59 - 1) = "1", OFFSET($A$1, 629 - 1, 60 - 1) = "1" ), 1, IF( AND( OFFSET($A$1, 629 - 1, 59 - 1) = "1", OFFSET($A$1, 629 - 1, 60 - 1) = "0" ), 2, IF( AND( OFFSET($A$1, 629 - 1, 59 - 1) = "0", OFFSET($A$1, 629 - 1, 60 - 1) = "1" ), 3, 4 ) ) )</f>
        <v>3</v>
      </c>
    </row>
    <row r="630" spans="53:61" x14ac:dyDescent="0.35">
      <c r="BA630" s="3">
        <v>0.31277049611391106</v>
      </c>
      <c r="BB630" s="3" t="str">
        <f>"0"</f>
        <v>0</v>
      </c>
      <c r="BC630" t="str">
        <f ca="1">IF((OFFSET($A$1, 630 - 1, 53 - 1)) &gt;= (OFFSET($A$1, 69 - 1, 7 - 1)), "1","0")</f>
        <v>0</v>
      </c>
      <c r="BD630">
        <f ca="1" xml:space="preserve"> IF( AND( OFFSET($A$1, 630 - 1, 54 - 1) = "1", OFFSET($A$1, 630 - 1, 55 - 1) = "1" ), 1, IF( AND( OFFSET($A$1, 630 - 1, 54 - 1) = "1", OFFSET($A$1, 630 - 1, 55 - 1) = "0" ), 2, IF( AND( OFFSET($A$1, 630 - 1, 54 - 1) = "0", OFFSET($A$1, 630 - 1, 55 - 1) = "1" ), 3, 4 ) ) )</f>
        <v>4</v>
      </c>
      <c r="BF630" s="3">
        <v>0.31231685315613744</v>
      </c>
      <c r="BG630" s="3" t="str">
        <f>"0"</f>
        <v>0</v>
      </c>
      <c r="BH630" t="str">
        <f ca="1">IF((OFFSET($A$1, 630 - 1, 58 - 1)) &gt;= (OFFSET($A$1, 93 - 1, 7 - 1)), "1","0")</f>
        <v>0</v>
      </c>
      <c r="BI630">
        <f ca="1" xml:space="preserve"> IF( AND( OFFSET($A$1, 630 - 1, 59 - 1) = "1", OFFSET($A$1, 630 - 1, 60 - 1) = "1" ), 1, IF( AND( OFFSET($A$1, 630 - 1, 59 - 1) = "1", OFFSET($A$1, 630 - 1, 60 - 1) = "0" ), 2, IF( AND( OFFSET($A$1, 630 - 1, 59 - 1) = "0", OFFSET($A$1, 630 - 1, 60 - 1) = "1" ), 3, 4 ) ) )</f>
        <v>4</v>
      </c>
    </row>
    <row r="631" spans="53:61" x14ac:dyDescent="0.35">
      <c r="BA631" s="3">
        <v>0.31185941857829202</v>
      </c>
      <c r="BB631" s="3" t="str">
        <f>"0"</f>
        <v>0</v>
      </c>
      <c r="BC631" t="str">
        <f ca="1">IF((OFFSET($A$1, 631 - 1, 53 - 1)) &gt;= (OFFSET($A$1, 69 - 1, 7 - 1)), "1","0")</f>
        <v>0</v>
      </c>
      <c r="BD631">
        <f ca="1" xml:space="preserve"> IF( AND( OFFSET($A$1, 631 - 1, 54 - 1) = "1", OFFSET($A$1, 631 - 1, 55 - 1) = "1" ), 1, IF( AND( OFFSET($A$1, 631 - 1, 54 - 1) = "1", OFFSET($A$1, 631 - 1, 55 - 1) = "0" ), 2, IF( AND( OFFSET($A$1, 631 - 1, 54 - 1) = "0", OFFSET($A$1, 631 - 1, 55 - 1) = "1" ), 3, 4 ) ) )</f>
        <v>4</v>
      </c>
      <c r="BF631" s="3">
        <v>0.31139823675487804</v>
      </c>
      <c r="BG631" s="3" t="str">
        <f>"0"</f>
        <v>0</v>
      </c>
      <c r="BH631" t="str">
        <f ca="1">IF((OFFSET($A$1, 631 - 1, 58 - 1)) &gt;= (OFFSET($A$1, 93 - 1, 7 - 1)), "1","0")</f>
        <v>0</v>
      </c>
      <c r="BI631">
        <f ca="1" xml:space="preserve"> IF( AND( OFFSET($A$1, 631 - 1, 59 - 1) = "1", OFFSET($A$1, 631 - 1, 60 - 1) = "1" ), 1, IF( AND( OFFSET($A$1, 631 - 1, 59 - 1) = "1", OFFSET($A$1, 631 - 1, 60 - 1) = "0" ), 2, IF( AND( OFFSET($A$1, 631 - 1, 59 - 1) = "0", OFFSET($A$1, 631 - 1, 60 - 1) = "1" ), 3, 4 ) ) )</f>
        <v>4</v>
      </c>
    </row>
    <row r="632" spans="53:61" x14ac:dyDescent="0.35">
      <c r="BA632" s="3">
        <v>0.31093335237456088</v>
      </c>
      <c r="BB632" s="3" t="str">
        <f>"1"</f>
        <v>1</v>
      </c>
      <c r="BC632" t="str">
        <f ca="1">IF((OFFSET($A$1, 632 - 1, 53 - 1)) &gt;= (OFFSET($A$1, 69 - 1, 7 - 1)), "1","0")</f>
        <v>0</v>
      </c>
      <c r="BD632">
        <f ca="1" xml:space="preserve"> IF( AND( OFFSET($A$1, 632 - 1, 54 - 1) = "1", OFFSET($A$1, 632 - 1, 55 - 1) = "1" ), 1, IF( AND( OFFSET($A$1, 632 - 1, 54 - 1) = "1", OFFSET($A$1, 632 - 1, 55 - 1) = "0" ), 2, IF( AND( OFFSET($A$1, 632 - 1, 54 - 1) = "0", OFFSET($A$1, 632 - 1, 55 - 1) = "1" ), 3, 4 ) ) )</f>
        <v>2</v>
      </c>
      <c r="BF632" s="3">
        <v>0.31046481043399005</v>
      </c>
      <c r="BG632" s="3" t="str">
        <f>"0"</f>
        <v>0</v>
      </c>
      <c r="BH632" t="str">
        <f ca="1">IF((OFFSET($A$1, 632 - 1, 58 - 1)) &gt;= (OFFSET($A$1, 93 - 1, 7 - 1)), "1","0")</f>
        <v>0</v>
      </c>
      <c r="BI632">
        <f ca="1" xml:space="preserve"> IF( AND( OFFSET($A$1, 632 - 1, 59 - 1) = "1", OFFSET($A$1, 632 - 1, 60 - 1) = "1" ), 1, IF( AND( OFFSET($A$1, 632 - 1, 59 - 1) = "1", OFFSET($A$1, 632 - 1, 60 - 1) = "0" ), 2, IF( AND( OFFSET($A$1, 632 - 1, 59 - 1) = "0", OFFSET($A$1, 632 - 1, 60 - 1) = "1" ), 3, 4 ) ) )</f>
        <v>4</v>
      </c>
    </row>
    <row r="633" spans="53:61" x14ac:dyDescent="0.35">
      <c r="BA633" s="3">
        <v>0.58374896310822488</v>
      </c>
      <c r="BB633" s="3" t="str">
        <f>"0"</f>
        <v>0</v>
      </c>
      <c r="BC633" t="str">
        <f ca="1">IF((OFFSET($A$1, 633 - 1, 53 - 1)) &gt;= (OFFSET($A$1, 69 - 1, 7 - 1)), "1","0")</f>
        <v>1</v>
      </c>
      <c r="BD633">
        <f ca="1" xml:space="preserve"> IF( AND( OFFSET($A$1, 633 - 1, 54 - 1) = "1", OFFSET($A$1, 633 - 1, 55 - 1) = "1" ), 1, IF( AND( OFFSET($A$1, 633 - 1, 54 - 1) = "1", OFFSET($A$1, 633 - 1, 55 - 1) = "0" ), 2, IF( AND( OFFSET($A$1, 633 - 1, 54 - 1) = "0", OFFSET($A$1, 633 - 1, 55 - 1) = "1" ), 3, 4 ) ) )</f>
        <v>3</v>
      </c>
      <c r="BF633" s="3">
        <v>0.30951693536118347</v>
      </c>
      <c r="BG633" s="3" t="str">
        <f>"0"</f>
        <v>0</v>
      </c>
      <c r="BH633" t="str">
        <f ca="1">IF((OFFSET($A$1, 633 - 1, 58 - 1)) &gt;= (OFFSET($A$1, 93 - 1, 7 - 1)), "1","0")</f>
        <v>0</v>
      </c>
      <c r="BI633">
        <f ca="1" xml:space="preserve"> IF( AND( OFFSET($A$1, 633 - 1, 59 - 1) = "1", OFFSET($A$1, 633 - 1, 60 - 1) = "1" ), 1, IF( AND( OFFSET($A$1, 633 - 1, 59 - 1) = "1", OFFSET($A$1, 633 - 1, 60 - 1) = "0" ), 2, IF( AND( OFFSET($A$1, 633 - 1, 59 - 1) = "0", OFFSET($A$1, 633 - 1, 60 - 1) = "1" ), 3, 4 ) ) )</f>
        <v>4</v>
      </c>
    </row>
    <row r="634" spans="53:61" x14ac:dyDescent="0.35">
      <c r="BA634" s="3">
        <v>0.3090376937058576</v>
      </c>
      <c r="BB634" s="3" t="str">
        <f>"1"</f>
        <v>1</v>
      </c>
      <c r="BC634" t="str">
        <f ca="1">IF((OFFSET($A$1, 634 - 1, 53 - 1)) &gt;= (OFFSET($A$1, 69 - 1, 7 - 1)), "1","0")</f>
        <v>0</v>
      </c>
      <c r="BD634">
        <f ca="1" xml:space="preserve"> IF( AND( OFFSET($A$1, 634 - 1, 54 - 1) = "1", OFFSET($A$1, 634 - 1, 55 - 1) = "1" ), 1, IF( AND( OFFSET($A$1, 634 - 1, 54 - 1) = "1", OFFSET($A$1, 634 - 1, 55 - 1) = "0" ), 2, IF( AND( OFFSET($A$1, 634 - 1, 54 - 1) = "0", OFFSET($A$1, 634 - 1, 55 - 1) = "1" ), 3, 4 ) ) )</f>
        <v>2</v>
      </c>
      <c r="BF634" s="3">
        <v>0.30855497743139482</v>
      </c>
      <c r="BG634" s="3" t="str">
        <f>"0"</f>
        <v>0</v>
      </c>
      <c r="BH634" t="str">
        <f ca="1">IF((OFFSET($A$1, 634 - 1, 58 - 1)) &gt;= (OFFSET($A$1, 93 - 1, 7 - 1)), "1","0")</f>
        <v>0</v>
      </c>
      <c r="BI634">
        <f ca="1" xml:space="preserve"> IF( AND( OFFSET($A$1, 634 - 1, 59 - 1) = "1", OFFSET($A$1, 634 - 1, 60 - 1) = "1" ), 1, IF( AND( OFFSET($A$1, 634 - 1, 59 - 1) = "1", OFFSET($A$1, 634 - 1, 60 - 1) = "0" ), 2, IF( AND( OFFSET($A$1, 634 - 1, 59 - 1) = "0", OFFSET($A$1, 634 - 1, 60 - 1) = "1" ), 3, 4 ) ) )</f>
        <v>4</v>
      </c>
    </row>
    <row r="635" spans="53:61" x14ac:dyDescent="0.35">
      <c r="BA635" s="3">
        <v>0.58155811563996995</v>
      </c>
      <c r="BB635" s="3" t="str">
        <f>"1"</f>
        <v>1</v>
      </c>
      <c r="BC635" t="str">
        <f ca="1">IF((OFFSET($A$1, 635 - 1, 53 - 1)) &gt;= (OFFSET($A$1, 69 - 1, 7 - 1)), "1","0")</f>
        <v>1</v>
      </c>
      <c r="BD635">
        <f ca="1" xml:space="preserve"> IF( AND( OFFSET($A$1, 635 - 1, 54 - 1) = "1", OFFSET($A$1, 635 - 1, 55 - 1) = "1" ), 1, IF( AND( OFFSET($A$1, 635 - 1, 54 - 1) = "1", OFFSET($A$1, 635 - 1, 55 - 1) = "0" ), 2, IF( AND( OFFSET($A$1, 635 - 1, 54 - 1) = "0", OFFSET($A$1, 635 - 1, 55 - 1) = "1" ), 3, 4 ) ) )</f>
        <v>1</v>
      </c>
      <c r="BF635" s="3">
        <v>0.30757930706353886</v>
      </c>
      <c r="BG635" s="3" t="str">
        <f>"0"</f>
        <v>0</v>
      </c>
      <c r="BH635" t="str">
        <f ca="1">IF((OFFSET($A$1, 635 - 1, 58 - 1)) &gt;= (OFFSET($A$1, 93 - 1, 7 - 1)), "1","0")</f>
        <v>0</v>
      </c>
      <c r="BI635">
        <f ca="1" xml:space="preserve"> IF( AND( OFFSET($A$1, 635 - 1, 59 - 1) = "1", OFFSET($A$1, 635 - 1, 60 - 1) = "1" ), 1, IF( AND( OFFSET($A$1, 635 - 1, 59 - 1) = "1", OFFSET($A$1, 635 - 1, 60 - 1) = "0" ), 2, IF( AND( OFFSET($A$1, 635 - 1, 59 - 1) = "0", OFFSET($A$1, 635 - 1, 60 - 1) = "1" ), 3, 4 ) ) )</f>
        <v>4</v>
      </c>
    </row>
    <row r="636" spans="53:61" x14ac:dyDescent="0.35">
      <c r="BA636" s="3">
        <v>0.5804351986444416</v>
      </c>
      <c r="BB636" s="3" t="str">
        <f>"0"</f>
        <v>0</v>
      </c>
      <c r="BC636" t="str">
        <f ca="1">IF((OFFSET($A$1, 636 - 1, 53 - 1)) &gt;= (OFFSET($A$1, 69 - 1, 7 - 1)), "1","0")</f>
        <v>1</v>
      </c>
      <c r="BD636">
        <f ca="1" xml:space="preserve"> IF( AND( OFFSET($A$1, 636 - 1, 54 - 1) = "1", OFFSET($A$1, 636 - 1, 55 - 1) = "1" ), 1, IF( AND( OFFSET($A$1, 636 - 1, 54 - 1) = "1", OFFSET($A$1, 636 - 1, 55 - 1) = "0" ), 2, IF( AND( OFFSET($A$1, 636 - 1, 54 - 1) = "0", OFFSET($A$1, 636 - 1, 55 - 1) = "1" ), 3, 4 ) ) )</f>
        <v>3</v>
      </c>
      <c r="BF636" s="3">
        <v>0.30659029899427731</v>
      </c>
      <c r="BG636" s="3" t="str">
        <f>"0"</f>
        <v>0</v>
      </c>
      <c r="BH636" t="str">
        <f ca="1">IF((OFFSET($A$1, 636 - 1, 58 - 1)) &gt;= (OFFSET($A$1, 93 - 1, 7 - 1)), "1","0")</f>
        <v>0</v>
      </c>
      <c r="BI636">
        <f ca="1" xml:space="preserve"> IF( AND( OFFSET($A$1, 636 - 1, 59 - 1) = "1", OFFSET($A$1, 636 - 1, 60 - 1) = "1" ), 1, IF( AND( OFFSET($A$1, 636 - 1, 59 - 1) = "1", OFFSET($A$1, 636 - 1, 60 - 1) = "0" ), 2, IF( AND( OFFSET($A$1, 636 - 1, 59 - 1) = "0", OFFSET($A$1, 636 - 1, 60 - 1) = "1" ), 3, 4 ) ) )</f>
        <v>4</v>
      </c>
    </row>
    <row r="637" spans="53:61" x14ac:dyDescent="0.35">
      <c r="BA637" s="3">
        <v>0.30609091155607465</v>
      </c>
      <c r="BB637" s="3" t="str">
        <f>"0"</f>
        <v>0</v>
      </c>
      <c r="BC637" t="str">
        <f ca="1">IF((OFFSET($A$1, 637 - 1, 53 - 1)) &gt;= (OFFSET($A$1, 69 - 1, 7 - 1)), "1","0")</f>
        <v>0</v>
      </c>
      <c r="BD637">
        <f ca="1" xml:space="preserve"> IF( AND( OFFSET($A$1, 637 - 1, 54 - 1) = "1", OFFSET($A$1, 637 - 1, 55 - 1) = "1" ), 1, IF( AND( OFFSET($A$1, 637 - 1, 54 - 1) = "1", OFFSET($A$1, 637 - 1, 55 - 1) = "0" ), 2, IF( AND( OFFSET($A$1, 637 - 1, 54 - 1) = "0", OFFSET($A$1, 637 - 1, 55 - 1) = "1" ), 3, 4 ) ) )</f>
        <v>4</v>
      </c>
      <c r="BF637" s="3">
        <v>0.30558833206898961</v>
      </c>
      <c r="BG637" s="3" t="str">
        <f>"1"</f>
        <v>1</v>
      </c>
      <c r="BH637" t="str">
        <f ca="1">IF((OFFSET($A$1, 637 - 1, 58 - 1)) &gt;= (OFFSET($A$1, 93 - 1, 7 - 1)), "1","0")</f>
        <v>0</v>
      </c>
      <c r="BI637">
        <f ca="1" xml:space="preserve"> IF( AND( OFFSET($A$1, 637 - 1, 59 - 1) = "1", OFFSET($A$1, 637 - 1, 60 - 1) = "1" ), 1, IF( AND( OFFSET($A$1, 637 - 1, 59 - 1) = "1", OFFSET($A$1, 637 - 1, 60 - 1) = "0" ), 2, IF( AND( OFFSET($A$1, 637 - 1, 59 - 1) = "0", OFFSET($A$1, 637 - 1, 60 - 1) = "1" ), 3, 4 ) ) )</f>
        <v>2</v>
      </c>
    </row>
    <row r="638" spans="53:61" x14ac:dyDescent="0.35">
      <c r="BA638" s="3">
        <v>0.30508260849595242</v>
      </c>
      <c r="BB638" s="3" t="str">
        <f>"0"</f>
        <v>0</v>
      </c>
      <c r="BC638" t="str">
        <f ca="1">IF((OFFSET($A$1, 638 - 1, 53 - 1)) &gt;= (OFFSET($A$1, 69 - 1, 7 - 1)), "1","0")</f>
        <v>0</v>
      </c>
      <c r="BD638">
        <f ca="1" xml:space="preserve"> IF( AND( OFFSET($A$1, 638 - 1, 54 - 1) = "1", OFFSET($A$1, 638 - 1, 55 - 1) = "1" ), 1, IF( AND( OFFSET($A$1, 638 - 1, 54 - 1) = "1", OFFSET($A$1, 638 - 1, 55 - 1) = "0" ), 2, IF( AND( OFFSET($A$1, 638 - 1, 54 - 1) = "0", OFFSET($A$1, 638 - 1, 55 - 1) = "1" ), 3, 4 ) ) )</f>
        <v>4</v>
      </c>
      <c r="BF638" s="3">
        <v>0.57755016757454136</v>
      </c>
      <c r="BG638" s="3" t="str">
        <f>"1"</f>
        <v>1</v>
      </c>
      <c r="BH638" t="str">
        <f ca="1">IF((OFFSET($A$1, 638 - 1, 58 - 1)) &gt;= (OFFSET($A$1, 93 - 1, 7 - 1)), "1","0")</f>
        <v>1</v>
      </c>
      <c r="BI638">
        <f ca="1" xml:space="preserve"> IF( AND( OFFSET($A$1, 638 - 1, 59 - 1) = "1", OFFSET($A$1, 638 - 1, 60 - 1) = "1" ), 1, IF( AND( OFFSET($A$1, 638 - 1, 59 - 1) = "1", OFFSET($A$1, 638 - 1, 60 - 1) = "0" ), 2, IF( AND( OFFSET($A$1, 638 - 1, 59 - 1) = "0", OFFSET($A$1, 638 - 1, 60 - 1) = "1" ), 3, 4 ) ) )</f>
        <v>1</v>
      </c>
    </row>
    <row r="639" spans="53:61" x14ac:dyDescent="0.35">
      <c r="BA639" s="3">
        <v>0.30406192208800142</v>
      </c>
      <c r="BB639" s="3" t="str">
        <f>"0"</f>
        <v>0</v>
      </c>
      <c r="BC639" t="str">
        <f ca="1">IF((OFFSET($A$1, 639 - 1, 53 - 1)) &gt;= (OFFSET($A$1, 69 - 1, 7 - 1)), "1","0")</f>
        <v>0</v>
      </c>
      <c r="BD639">
        <f ca="1" xml:space="preserve"> IF( AND( OFFSET($A$1, 639 - 1, 54 - 1) = "1", OFFSET($A$1, 639 - 1, 55 - 1) = "1" ), 1, IF( AND( OFFSET($A$1, 639 - 1, 54 - 1) = "1", OFFSET($A$1, 639 - 1, 55 - 1) = "0" ), 2, IF( AND( OFFSET($A$1, 639 - 1, 54 - 1) = "0", OFFSET($A$1, 639 - 1, 55 - 1) = "1" ), 3, 4 ) ) )</f>
        <v>4</v>
      </c>
      <c r="BF639" s="3">
        <v>0.57636588936908884</v>
      </c>
      <c r="BG639" s="3" t="str">
        <f>"1"</f>
        <v>1</v>
      </c>
      <c r="BH639" t="str">
        <f ca="1">IF((OFFSET($A$1, 639 - 1, 58 - 1)) &gt;= (OFFSET($A$1, 93 - 1, 7 - 1)), "1","0")</f>
        <v>1</v>
      </c>
      <c r="BI639">
        <f ca="1" xml:space="preserve"> IF( AND( OFFSET($A$1, 639 - 1, 59 - 1) = "1", OFFSET($A$1, 639 - 1, 60 - 1) = "1" ), 1, IF( AND( OFFSET($A$1, 639 - 1, 59 - 1) = "1", OFFSET($A$1, 639 - 1, 60 - 1) = "0" ), 2, IF( AND( OFFSET($A$1, 639 - 1, 59 - 1) = "0", OFFSET($A$1, 639 - 1, 60 - 1) = "1" ), 3, 4 ) ) )</f>
        <v>1</v>
      </c>
    </row>
    <row r="640" spans="53:61" x14ac:dyDescent="0.35">
      <c r="BA640" s="3">
        <v>0.30302924051800312</v>
      </c>
      <c r="BB640" s="3" t="str">
        <f>"1"</f>
        <v>1</v>
      </c>
      <c r="BC640" t="str">
        <f ca="1">IF((OFFSET($A$1, 640 - 1, 53 - 1)) &gt;= (OFFSET($A$1, 69 - 1, 7 - 1)), "1","0")</f>
        <v>0</v>
      </c>
      <c r="BD640">
        <f ca="1" xml:space="preserve"> IF( AND( OFFSET($A$1, 640 - 1, 54 - 1) = "1", OFFSET($A$1, 640 - 1, 55 - 1) = "1" ), 1, IF( AND( OFFSET($A$1, 640 - 1, 54 - 1) = "1", OFFSET($A$1, 640 - 1, 55 - 1) = "0" ), 2, IF( AND( OFFSET($A$1, 640 - 1, 54 - 1) = "0", OFFSET($A$1, 640 - 1, 55 - 1) = "1" ), 3, 4 ) ) )</f>
        <v>2</v>
      </c>
      <c r="BF640" s="3">
        <v>0.57516480384876989</v>
      </c>
      <c r="BG640" s="3" t="str">
        <f>"1"</f>
        <v>1</v>
      </c>
      <c r="BH640" t="str">
        <f ca="1">IF((OFFSET($A$1, 640 - 1, 58 - 1)) &gt;= (OFFSET($A$1, 93 - 1, 7 - 1)), "1","0")</f>
        <v>1</v>
      </c>
      <c r="BI640">
        <f ca="1" xml:space="preserve"> IF( AND( OFFSET($A$1, 640 - 1, 59 - 1) = "1", OFFSET($A$1, 640 - 1, 60 - 1) = "1" ), 1, IF( AND( OFFSET($A$1, 640 - 1, 59 - 1) = "1", OFFSET($A$1, 640 - 1, 60 - 1) = "0" ), 2, IF( AND( OFFSET($A$1, 640 - 1, 59 - 1) = "0", OFFSET($A$1, 640 - 1, 60 - 1) = "1" ), 3, 4 ) ) )</f>
        <v>1</v>
      </c>
    </row>
    <row r="641" spans="53:61" x14ac:dyDescent="0.35">
      <c r="BA641" s="3">
        <v>0.57455806239329432</v>
      </c>
      <c r="BB641" s="3" t="str">
        <f>"0"</f>
        <v>0</v>
      </c>
      <c r="BC641" t="str">
        <f ca="1">IF((OFFSET($A$1, 641 - 1, 53 - 1)) &gt;= (OFFSET($A$1, 69 - 1, 7 - 1)), "1","0")</f>
        <v>1</v>
      </c>
      <c r="BD641">
        <f ca="1" xml:space="preserve"> IF( AND( OFFSET($A$1, 641 - 1, 54 - 1) = "1", OFFSET($A$1, 641 - 1, 55 - 1) = "1" ), 1, IF( AND( OFFSET($A$1, 641 - 1, 54 - 1) = "1", OFFSET($A$1, 641 - 1, 55 - 1) = "0" ), 2, IF( AND( OFFSET($A$1, 641 - 1, 54 - 1) = "0", OFFSET($A$1, 641 - 1, 55 - 1) = "1" ), 3, 4 ) ) )</f>
        <v>3</v>
      </c>
      <c r="BF641" s="3">
        <v>0.57394724476038927</v>
      </c>
      <c r="BG641" s="3" t="str">
        <f>"1"</f>
        <v>1</v>
      </c>
      <c r="BH641" t="str">
        <f ca="1">IF((OFFSET($A$1, 641 - 1, 58 - 1)) &gt;= (OFFSET($A$1, 93 - 1, 7 - 1)), "1","0")</f>
        <v>1</v>
      </c>
      <c r="BI641">
        <f ca="1" xml:space="preserve"> IF( AND( OFFSET($A$1, 641 - 1, 59 - 1) = "1", OFFSET($A$1, 641 - 1, 60 - 1) = "1" ), 1, IF( AND( OFFSET($A$1, 641 - 1, 59 - 1) = "1", OFFSET($A$1, 641 - 1, 60 - 1) = "0" ), 2, IF( AND( OFFSET($A$1, 641 - 1, 59 - 1) = "0", OFFSET($A$1, 641 - 1, 60 - 1) = "1" ), 3, 4 ) ) )</f>
        <v>1</v>
      </c>
    </row>
    <row r="642" spans="53:61" x14ac:dyDescent="0.35">
      <c r="BA642" s="3">
        <v>0.30092946120325625</v>
      </c>
      <c r="BB642" s="3" t="str">
        <f>"1"</f>
        <v>1</v>
      </c>
      <c r="BC642" t="str">
        <f ca="1">IF((OFFSET($A$1, 642 - 1, 53 - 1)) &gt;= (OFFSET($A$1, 69 - 1, 7 - 1)), "1","0")</f>
        <v>0</v>
      </c>
      <c r="BD642">
        <f ca="1" xml:space="preserve"> IF( AND( OFFSET($A$1, 642 - 1, 54 - 1) = "1", OFFSET($A$1, 642 - 1, 55 - 1) = "1" ), 1, IF( AND( OFFSET($A$1, 642 - 1, 54 - 1) = "1", OFFSET($A$1, 642 - 1, 55 - 1) = "0" ), 2, IF( AND( OFFSET($A$1, 642 - 1, 54 - 1) = "0", OFFSET($A$1, 642 - 1, 55 - 1) = "1" ), 3, 4 ) ) )</f>
        <v>2</v>
      </c>
      <c r="BF642" s="3">
        <v>0.57271355218558384</v>
      </c>
      <c r="BG642" s="3" t="str">
        <f>"0"</f>
        <v>0</v>
      </c>
      <c r="BH642" t="str">
        <f ca="1">IF((OFFSET($A$1, 642 - 1, 58 - 1)) &gt;= (OFFSET($A$1, 93 - 1, 7 - 1)), "1","0")</f>
        <v>1</v>
      </c>
      <c r="BI642">
        <f ca="1" xml:space="preserve"> IF( AND( OFFSET($A$1, 642 - 1, 59 - 1) = "1", OFFSET($A$1, 642 - 1, 60 - 1) = "1" ), 1, IF( AND( OFFSET($A$1, 642 - 1, 59 - 1) = "1", OFFSET($A$1, 642 - 1, 60 - 1) = "0" ), 2, IF( AND( OFFSET($A$1, 642 - 1, 59 - 1) = "0", OFFSET($A$1, 642 - 1, 60 - 1) = "1" ), 3, 4 ) ) )</f>
        <v>3</v>
      </c>
    </row>
    <row r="643" spans="53:61" x14ac:dyDescent="0.35">
      <c r="BA643" s="3">
        <v>0.57209076383408264</v>
      </c>
      <c r="BB643" s="3" t="str">
        <f>"1"</f>
        <v>1</v>
      </c>
      <c r="BC643" t="str">
        <f ca="1">IF((OFFSET($A$1, 643 - 1, 53 - 1)) &gt;= (OFFSET($A$1, 69 - 1, 7 - 1)), "1","0")</f>
        <v>1</v>
      </c>
      <c r="BD643">
        <f ca="1" xml:space="preserve"> IF( AND( OFFSET($A$1, 643 - 1, 54 - 1) = "1", OFFSET($A$1, 643 - 1, 55 - 1) = "1" ), 1, IF( AND( OFFSET($A$1, 643 - 1, 54 - 1) = "1", OFFSET($A$1, 643 - 1, 55 - 1) = "0" ), 2, IF( AND( OFFSET($A$1, 643 - 1, 54 - 1) = "0", OFFSET($A$1, 643 - 1, 55 - 1) = "1" ), 3, 4 ) ) )</f>
        <v>1</v>
      </c>
      <c r="BF643" s="3">
        <v>0.299326073746017</v>
      </c>
      <c r="BG643" s="3" t="str">
        <f>"0"</f>
        <v>0</v>
      </c>
      <c r="BH643" t="str">
        <f ca="1">IF((OFFSET($A$1, 643 - 1, 58 - 1)) &gt;= (OFFSET($A$1, 93 - 1, 7 - 1)), "1","0")</f>
        <v>0</v>
      </c>
      <c r="BI643">
        <f ca="1" xml:space="preserve"> IF( AND( OFFSET($A$1, 643 - 1, 59 - 1) = "1", OFFSET($A$1, 643 - 1, 60 - 1) = "1" ), 1, IF( AND( OFFSET($A$1, 643 - 1, 59 - 1) = "1", OFFSET($A$1, 643 - 1, 60 - 1) = "0" ), 2, IF( AND( OFFSET($A$1, 643 - 1, 59 - 1) = "0", OFFSET($A$1, 643 - 1, 60 - 1) = "1" ), 3, 4 ) ) )</f>
        <v>4</v>
      </c>
    </row>
    <row r="644" spans="53:61" x14ac:dyDescent="0.35">
      <c r="BA644" s="3">
        <v>0.57083352239382579</v>
      </c>
      <c r="BB644" s="3" t="str">
        <f>"1"</f>
        <v>1</v>
      </c>
      <c r="BC644" t="str">
        <f ca="1">IF((OFFSET($A$1, 644 - 1, 53 - 1)) &gt;= (OFFSET($A$1, 69 - 1, 7 - 1)), "1","0")</f>
        <v>1</v>
      </c>
      <c r="BD644">
        <f ca="1" xml:space="preserve"> IF( AND( OFFSET($A$1, 644 - 1, 54 - 1) = "1", OFFSET($A$1, 644 - 1, 55 - 1) = "1" ), 1, IF( AND( OFFSET($A$1, 644 - 1, 54 - 1) = "1", OFFSET($A$1, 644 - 1, 55 - 1) = "0" ), 2, IF( AND( OFFSET($A$1, 644 - 1, 54 - 1) = "0", OFFSET($A$1, 644 - 1, 55 - 1) = "1" ), 3, 4 ) ) )</f>
        <v>1</v>
      </c>
      <c r="BF644" s="3">
        <v>0.29824430260186618</v>
      </c>
      <c r="BG644" s="3" t="str">
        <f>"0"</f>
        <v>0</v>
      </c>
      <c r="BH644" t="str">
        <f ca="1">IF((OFFSET($A$1, 644 - 1, 58 - 1)) &gt;= (OFFSET($A$1, 93 - 1, 7 - 1)), "1","0")</f>
        <v>0</v>
      </c>
      <c r="BI644">
        <f ca="1" xml:space="preserve"> IF( AND( OFFSET($A$1, 644 - 1, 59 - 1) = "1", OFFSET($A$1, 644 - 1, 60 - 1) = "1" ), 1, IF( AND( OFFSET($A$1, 644 - 1, 59 - 1) = "1", OFFSET($A$1, 644 - 1, 60 - 1) = "0" ), 2, IF( AND( OFFSET($A$1, 644 - 1, 59 - 1) = "0", OFFSET($A$1, 644 - 1, 60 - 1) = "1" ), 3, 4 ) ) )</f>
        <v>4</v>
      </c>
    </row>
    <row r="645" spans="53:61" x14ac:dyDescent="0.35">
      <c r="BA645" s="3">
        <v>0.56956102498577077</v>
      </c>
      <c r="BB645" s="3" t="str">
        <f>"1"</f>
        <v>1</v>
      </c>
      <c r="BC645" t="str">
        <f ca="1">IF((OFFSET($A$1, 645 - 1, 53 - 1)) &gt;= (OFFSET($A$1, 69 - 1, 7 - 1)), "1","0")</f>
        <v>1</v>
      </c>
      <c r="BD645">
        <f ca="1" xml:space="preserve"> IF( AND( OFFSET($A$1, 645 - 1, 54 - 1) = "1", OFFSET($A$1, 645 - 1, 55 - 1) = "1" ), 1, IF( AND( OFFSET($A$1, 645 - 1, 54 - 1) = "1", OFFSET($A$1, 645 - 1, 55 - 1) = "0" ), 2, IF( AND( OFFSET($A$1, 645 - 1, 54 - 1) = "0", OFFSET($A$1, 645 - 1, 55 - 1) = "1" ), 3, 4 ) ) )</f>
        <v>1</v>
      </c>
      <c r="BF645" s="3">
        <v>0.29715272541124843</v>
      </c>
      <c r="BG645" s="3" t="str">
        <f>"0"</f>
        <v>0</v>
      </c>
      <c r="BH645" t="str">
        <f ca="1">IF((OFFSET($A$1, 645 - 1, 58 - 1)) &gt;= (OFFSET($A$1, 93 - 1, 7 - 1)), "1","0")</f>
        <v>0</v>
      </c>
      <c r="BI645">
        <f ca="1" xml:space="preserve"> IF( AND( OFFSET($A$1, 645 - 1, 59 - 1) = "1", OFFSET($A$1, 645 - 1, 60 - 1) = "1" ), 1, IF( AND( OFFSET($A$1, 645 - 1, 59 - 1) = "1", OFFSET($A$1, 645 - 1, 60 - 1) = "0" ), 2, IF( AND( OFFSET($A$1, 645 - 1, 59 - 1) = "0", OFFSET($A$1, 645 - 1, 60 - 1) = "1" ), 3, 4 ) ) )</f>
        <v>4</v>
      </c>
    </row>
    <row r="646" spans="53:61" x14ac:dyDescent="0.35">
      <c r="BA646" s="3">
        <v>0.56827363336260706</v>
      </c>
      <c r="BB646" s="3" t="str">
        <f>"1"</f>
        <v>1</v>
      </c>
      <c r="BC646" t="str">
        <f ca="1">IF((OFFSET($A$1, 646 - 1, 53 - 1)) &gt;= (OFFSET($A$1, 69 - 1, 7 - 1)), "1","0")</f>
        <v>1</v>
      </c>
      <c r="BD646">
        <f ca="1" xml:space="preserve"> IF( AND( OFFSET($A$1, 646 - 1, 54 - 1) = "1", OFFSET($A$1, 646 - 1, 55 - 1) = "1" ), 1, IF( AND( OFFSET($A$1, 646 - 1, 54 - 1) = "1", OFFSET($A$1, 646 - 1, 55 - 1) = "0" ), 2, IF( AND( OFFSET($A$1, 646 - 1, 54 - 1) = "0", OFFSET($A$1, 646 - 1, 55 - 1) = "1" ), 3, 4 ) ) )</f>
        <v>1</v>
      </c>
      <c r="BF646" s="3">
        <v>0.29605174821945374</v>
      </c>
      <c r="BG646" s="3" t="str">
        <f>"1"</f>
        <v>1</v>
      </c>
      <c r="BH646" t="str">
        <f ca="1">IF((OFFSET($A$1, 646 - 1, 58 - 1)) &gt;= (OFFSET($A$1, 93 - 1, 7 - 1)), "1","0")</f>
        <v>0</v>
      </c>
      <c r="BI646">
        <f ca="1" xml:space="preserve"> IF( AND( OFFSET($A$1, 646 - 1, 59 - 1) = "1", OFFSET($A$1, 646 - 1, 60 - 1) = "1" ), 1, IF( AND( OFFSET($A$1, 646 - 1, 59 - 1) = "1", OFFSET($A$1, 646 - 1, 60 - 1) = "0" ), 2, IF( AND( OFFSET($A$1, 646 - 1, 59 - 1) = "0", OFFSET($A$1, 646 - 1, 60 - 1) = "1" ), 3, 4 ) ) )</f>
        <v>2</v>
      </c>
    </row>
    <row r="647" spans="53:61" x14ac:dyDescent="0.35">
      <c r="BA647" s="3">
        <v>0.5669717153020879</v>
      </c>
      <c r="BB647" s="3" t="str">
        <f>"1"</f>
        <v>1</v>
      </c>
      <c r="BC647" t="str">
        <f ca="1">IF((OFFSET($A$1, 647 - 1, 53 - 1)) &gt;= (OFFSET($A$1, 69 - 1, 7 - 1)), "1","0")</f>
        <v>1</v>
      </c>
      <c r="BD647">
        <f ca="1" xml:space="preserve"> IF( AND( OFFSET($A$1, 647 - 1, 54 - 1) = "1", OFFSET($A$1, 647 - 1, 55 - 1) = "1" ), 1, IF( AND( OFFSET($A$1, 647 - 1, 54 - 1) = "1", OFFSET($A$1, 647 - 1, 55 - 1) = "0" ), 2, IF( AND( OFFSET($A$1, 647 - 1, 54 - 1) = "0", OFFSET($A$1, 647 - 1, 55 - 1) = "1" ), 3, 4 ) ) )</f>
        <v>1</v>
      </c>
      <c r="BF647" s="3">
        <v>0.56631542541511326</v>
      </c>
      <c r="BG647" s="3" t="str">
        <f>"1"</f>
        <v>1</v>
      </c>
      <c r="BH647" t="str">
        <f ca="1">IF((OFFSET($A$1, 647 - 1, 58 - 1)) &gt;= (OFFSET($A$1, 93 - 1, 7 - 1)), "1","0")</f>
        <v>1</v>
      </c>
      <c r="BI647">
        <f ca="1" xml:space="preserve"> IF( AND( OFFSET($A$1, 647 - 1, 59 - 1) = "1", OFFSET($A$1, 647 - 1, 60 - 1) = "1" ), 1, IF( AND( OFFSET($A$1, 647 - 1, 59 - 1) = "1", OFFSET($A$1, 647 - 1, 60 - 1) = "0" ), 2, IF( AND( OFFSET($A$1, 647 - 1, 59 - 1) = "0", OFFSET($A$1, 647 - 1, 60 - 1) = "1" ), 3, 4 ) ) )</f>
        <v>1</v>
      </c>
    </row>
    <row r="648" spans="53:61" x14ac:dyDescent="0.35">
      <c r="BA648" s="3">
        <v>0.56565564452228811</v>
      </c>
      <c r="BB648" s="3" t="str">
        <f>"0"</f>
        <v>0</v>
      </c>
      <c r="BC648" t="str">
        <f ca="1">IF((OFFSET($A$1, 648 - 1, 53 - 1)) &gt;= (OFFSET($A$1, 69 - 1, 7 - 1)), "1","0")</f>
        <v>1</v>
      </c>
      <c r="BD648">
        <f ca="1" xml:space="preserve"> IF( AND( OFFSET($A$1, 648 - 1, 54 - 1) = "1", OFFSET($A$1, 648 - 1, 55 - 1) = "1" ), 1, IF( AND( OFFSET($A$1, 648 - 1, 54 - 1) = "1", OFFSET($A$1, 648 - 1, 55 - 1) = "0" ), 2, IF( AND( OFFSET($A$1, 648 - 1, 54 - 1) = "0", OFFSET($A$1, 648 - 1, 55 - 1) = "1" ), 3, 4 ) ) )</f>
        <v>3</v>
      </c>
      <c r="BF648" s="3">
        <v>0.56499242025167706</v>
      </c>
      <c r="BG648" s="3" t="str">
        <f>"1"</f>
        <v>1</v>
      </c>
      <c r="BH648" t="str">
        <f ca="1">IF((OFFSET($A$1, 648 - 1, 58 - 1)) &gt;= (OFFSET($A$1, 93 - 1, 7 - 1)), "1","0")</f>
        <v>1</v>
      </c>
      <c r="BI648">
        <f ca="1" xml:space="preserve"> IF( AND( OFFSET($A$1, 648 - 1, 59 - 1) = "1", OFFSET($A$1, 648 - 1, 60 - 1) = "1" ), 1, IF( AND( OFFSET($A$1, 648 - 1, 59 - 1) = "1", OFFSET($A$1, 648 - 1, 60 - 1) = "0" ), 2, IF( AND( OFFSET($A$1, 648 - 1, 59 - 1) = "0", OFFSET($A$1, 648 - 1, 60 - 1) = "1" ), 3, 4 ) ) )</f>
        <v>1</v>
      </c>
    </row>
    <row r="649" spans="53:61" x14ac:dyDescent="0.35">
      <c r="BA649" s="3">
        <v>0.29326086148716507</v>
      </c>
      <c r="BB649" s="3" t="str">
        <f>"0"</f>
        <v>0</v>
      </c>
      <c r="BC649" t="str">
        <f ca="1">IF((OFFSET($A$1, 649 - 1, 53 - 1)) &gt;= (OFFSET($A$1, 69 - 1, 7 - 1)), "1","0")</f>
        <v>0</v>
      </c>
      <c r="BD649">
        <f ca="1" xml:space="preserve"> IF( AND( OFFSET($A$1, 649 - 1, 54 - 1) = "1", OFFSET($A$1, 649 - 1, 55 - 1) = "1" ), 1, IF( AND( OFFSET($A$1, 649 - 1, 54 - 1) = "1", OFFSET($A$1, 649 - 1, 55 - 1) = "0" ), 2, IF( AND( OFFSET($A$1, 649 - 1, 54 - 1) = "0", OFFSET($A$1, 649 - 1, 55 - 1) = "1" ), 3, 4 ) ) )</f>
        <v>4</v>
      </c>
      <c r="BF649" s="3">
        <v>0.56365583388426999</v>
      </c>
      <c r="BG649" s="3" t="str">
        <f>"1"</f>
        <v>1</v>
      </c>
      <c r="BH649" t="str">
        <f ca="1">IF((OFFSET($A$1, 649 - 1, 58 - 1)) &gt;= (OFFSET($A$1, 93 - 1, 7 - 1)), "1","0")</f>
        <v>1</v>
      </c>
      <c r="BI649">
        <f ca="1" xml:space="preserve"> IF( AND( OFFSET($A$1, 649 - 1, 59 - 1) = "1", OFFSET($A$1, 649 - 1, 60 - 1) = "1" ), 1, IF( AND( OFFSET($A$1, 649 - 1, 59 - 1) = "1", OFFSET($A$1, 649 - 1, 60 - 1) = "0" ), 2, IF( AND( OFFSET($A$1, 649 - 1, 59 - 1) = "0", OFFSET($A$1, 649 - 1, 60 - 1) = "1" ), 3, 4 ) ) )</f>
        <v>1</v>
      </c>
    </row>
    <row r="650" spans="53:61" x14ac:dyDescent="0.35">
      <c r="BA650" s="3">
        <v>0.29213020736053702</v>
      </c>
      <c r="BB650" s="3" t="str">
        <f>"0"</f>
        <v>0</v>
      </c>
      <c r="BC650" t="str">
        <f ca="1">IF((OFFSET($A$1, 650 - 1, 53 - 1)) &gt;= (OFFSET($A$1, 69 - 1, 7 - 1)), "1","0")</f>
        <v>0</v>
      </c>
      <c r="BD650">
        <f ca="1" xml:space="preserve"> IF( AND( OFFSET($A$1, 650 - 1, 54 - 1) = "1", OFFSET($A$1, 650 - 1, 55 - 1) = "1" ), 1, IF( AND( OFFSET($A$1, 650 - 1, 54 - 1) = "1", OFFSET($A$1, 650 - 1, 55 - 1) = "0" ), 2, IF( AND( OFFSET($A$1, 650 - 1, 54 - 1) = "0", OFFSET($A$1, 650 - 1, 55 - 1) = "1" ), 3, 4 ) ) )</f>
        <v>4</v>
      </c>
      <c r="BF650" s="3">
        <v>0.56230605447222703</v>
      </c>
      <c r="BG650" s="3" t="str">
        <f>"0"</f>
        <v>0</v>
      </c>
      <c r="BH650" t="str">
        <f ca="1">IF((OFFSET($A$1, 650 - 1, 58 - 1)) &gt;= (OFFSET($A$1, 93 - 1, 7 - 1)), "1","0")</f>
        <v>1</v>
      </c>
      <c r="BI650">
        <f ca="1" xml:space="preserve"> IF( AND( OFFSET($A$1, 650 - 1, 59 - 1) = "1", OFFSET($A$1, 650 - 1, 60 - 1) = "1" ), 1, IF( AND( OFFSET($A$1, 650 - 1, 59 - 1) = "1", OFFSET($A$1, 650 - 1, 60 - 1) = "0" ), 2, IF( AND( OFFSET($A$1, 650 - 1, 59 - 1) = "0", OFFSET($A$1, 650 - 1, 60 - 1) = "1" ), 3, 4 ) ) )</f>
        <v>3</v>
      </c>
    </row>
    <row r="651" spans="53:61" x14ac:dyDescent="0.35">
      <c r="BA651" s="3">
        <v>0.29099200073892656</v>
      </c>
      <c r="BB651" s="3" t="str">
        <f>"1"</f>
        <v>1</v>
      </c>
      <c r="BC651" t="str">
        <f ca="1">IF((OFFSET($A$1, 651 - 1, 53 - 1)) &gt;= (OFFSET($A$1, 69 - 1, 7 - 1)), "1","0")</f>
        <v>0</v>
      </c>
      <c r="BD651">
        <f ca="1" xml:space="preserve"> IF( AND( OFFSET($A$1, 651 - 1, 54 - 1) = "1", OFFSET($A$1, 651 - 1, 55 - 1) = "1" ), 1, IF( AND( OFFSET($A$1, 651 - 1, 54 - 1) = "1", OFFSET($A$1, 651 - 1, 55 - 1) = "0" ), 2, IF( AND( OFFSET($A$1, 651 - 1, 54 - 1) = "0", OFFSET($A$1, 651 - 1, 55 - 1) = "1" ), 3, 4 ) ) )</f>
        <v>2</v>
      </c>
      <c r="BF651" s="3">
        <v>0.29042019450015272</v>
      </c>
      <c r="BG651" s="3" t="str">
        <f>"1"</f>
        <v>1</v>
      </c>
      <c r="BH651" t="str">
        <f ca="1">IF((OFFSET($A$1, 651 - 1, 58 - 1)) &gt;= (OFFSET($A$1, 93 - 1, 7 - 1)), "1","0")</f>
        <v>0</v>
      </c>
      <c r="BI651">
        <f ca="1" xml:space="preserve"> IF( AND( OFFSET($A$1, 651 - 1, 59 - 1) = "1", OFFSET($A$1, 651 - 1, 60 - 1) = "1" ), 1, IF( AND( OFFSET($A$1, 651 - 1, 59 - 1) = "1", OFFSET($A$1, 651 - 1, 60 - 1) = "0" ), 2, IF( AND( OFFSET($A$1, 651 - 1, 59 - 1) = "0", OFFSET($A$1, 651 - 1, 60 - 1) = "1" ), 3, 4 ) ) )</f>
        <v>2</v>
      </c>
    </row>
    <row r="652" spans="53:61" x14ac:dyDescent="0.35">
      <c r="BA652" s="3">
        <v>0.56025751124081946</v>
      </c>
      <c r="BB652" s="3" t="str">
        <f>"1"</f>
        <v>1</v>
      </c>
      <c r="BC652" t="str">
        <f ca="1">IF((OFFSET($A$1, 652 - 1, 53 - 1)) &gt;= (OFFSET($A$1, 69 - 1, 7 - 1)), "1","0")</f>
        <v>1</v>
      </c>
      <c r="BD652">
        <f ca="1" xml:space="preserve"> IF( AND( OFFSET($A$1, 652 - 1, 54 - 1) = "1", OFFSET($A$1, 652 - 1, 55 - 1) = "1" ), 1, IF( AND( OFFSET($A$1, 652 - 1, 54 - 1) = "1", OFFSET($A$1, 652 - 1, 55 - 1) = "0" ), 2, IF( AND( OFFSET($A$1, 652 - 1, 54 - 1) = "0", OFFSET($A$1, 652 - 1, 55 - 1) = "1" ), 3, 4 ) ) )</f>
        <v>1</v>
      </c>
      <c r="BF652" s="3">
        <v>0.55956849702562272</v>
      </c>
      <c r="BG652" s="3" t="str">
        <f>"0"</f>
        <v>0</v>
      </c>
      <c r="BH652" t="str">
        <f ca="1">IF((OFFSET($A$1, 652 - 1, 58 - 1)) &gt;= (OFFSET($A$1, 93 - 1, 7 - 1)), "1","0")</f>
        <v>1</v>
      </c>
      <c r="BI652">
        <f ca="1" xml:space="preserve"> IF( AND( OFFSET($A$1, 652 - 1, 59 - 1) = "1", OFFSET($A$1, 652 - 1, 60 - 1) = "1" ), 1, IF( AND( OFFSET($A$1, 652 - 1, 59 - 1) = "1", OFFSET($A$1, 652 - 1, 60 - 1) = "0" ), 2, IF( AND( OFFSET($A$1, 652 - 1, 59 - 1) = "0", OFFSET($A$1, 652 - 1, 60 - 1) = "1" ), 3, 4 ) ) )</f>
        <v>3</v>
      </c>
    </row>
    <row r="653" spans="53:61" x14ac:dyDescent="0.35">
      <c r="BA653" s="3">
        <v>0.55887648386952793</v>
      </c>
      <c r="BB653" s="3" t="str">
        <f>"1"</f>
        <v>1</v>
      </c>
      <c r="BC653" t="str">
        <f ca="1">IF((OFFSET($A$1, 653 - 1, 53 - 1)) &gt;= (OFFSET($A$1, 69 - 1, 7 - 1)), "1","0")</f>
        <v>1</v>
      </c>
      <c r="BD653">
        <f ca="1" xml:space="preserve"> IF( AND( OFFSET($A$1, 653 - 1, 54 - 1) = "1", OFFSET($A$1, 653 - 1, 55 - 1) = "1" ), 1, IF( AND( OFFSET($A$1, 653 - 1, 54 - 1) = "1", OFFSET($A$1, 653 - 1, 55 - 1) = "0" ), 2, IF( AND( OFFSET($A$1, 653 - 1, 54 - 1) = "0", OFFSET($A$1, 653 - 1, 55 - 1) = "1" ), 3, 4 ) ) )</f>
        <v>1</v>
      </c>
      <c r="BF653" s="3">
        <v>0.28811615858630674</v>
      </c>
      <c r="BG653" s="3" t="str">
        <f>"0"</f>
        <v>0</v>
      </c>
      <c r="BH653" t="str">
        <f ca="1">IF((OFFSET($A$1, 653 - 1, 58 - 1)) &gt;= (OFFSET($A$1, 93 - 1, 7 - 1)), "1","0")</f>
        <v>0</v>
      </c>
      <c r="BI653">
        <f ca="1" xml:space="preserve"> IF( AND( OFFSET($A$1, 653 - 1, 59 - 1) = "1", OFFSET($A$1, 653 - 1, 60 - 1) = "1" ), 1, IF( AND( OFFSET($A$1, 653 - 1, 59 - 1) = "1", OFFSET($A$1, 653 - 1, 60 - 1) = "0" ), 2, IF( AND( OFFSET($A$1, 653 - 1, 59 - 1) = "0", OFFSET($A$1, 653 - 1, 60 - 1) = "1" ), 3, 4 ) ) )</f>
        <v>4</v>
      </c>
    </row>
    <row r="654" spans="53:61" x14ac:dyDescent="0.35">
      <c r="BA654" s="3">
        <v>0.55748366534251992</v>
      </c>
      <c r="BB654" s="3" t="str">
        <f>"0"</f>
        <v>0</v>
      </c>
      <c r="BC654" t="str">
        <f ca="1">IF((OFFSET($A$1, 654 - 1, 53 - 1)) &gt;= (OFFSET($A$1, 69 - 1, 7 - 1)), "1","0")</f>
        <v>1</v>
      </c>
      <c r="BD654">
        <f ca="1" xml:space="preserve"> IF( AND( OFFSET($A$1, 654 - 1, 54 - 1) = "1", OFFSET($A$1, 654 - 1, 55 - 1) = "1" ), 1, IF( AND( OFFSET($A$1, 654 - 1, 54 - 1) = "1", OFFSET($A$1, 654 - 1, 55 - 1) = "0" ), 2, IF( AND( OFFSET($A$1, 654 - 1, 54 - 1) = "0", OFFSET($A$1, 654 - 1, 55 - 1) = "1" ), 3, 4 ) ) )</f>
        <v>3</v>
      </c>
      <c r="BF654" s="3">
        <v>0.28695477999629909</v>
      </c>
      <c r="BG654" s="3" t="str">
        <f>"1"</f>
        <v>1</v>
      </c>
      <c r="BH654" t="str">
        <f ca="1">IF((OFFSET($A$1, 654 - 1, 58 - 1)) &gt;= (OFFSET($A$1, 93 - 1, 7 - 1)), "1","0")</f>
        <v>0</v>
      </c>
      <c r="BI654">
        <f ca="1" xml:space="preserve"> IF( AND( OFFSET($A$1, 654 - 1, 59 - 1) = "1", OFFSET($A$1, 654 - 1, 60 - 1) = "1" ), 1, IF( AND( OFFSET($A$1, 654 - 1, 59 - 1) = "1", OFFSET($A$1, 654 - 1, 60 - 1) = "0" ), 2, IF( AND( OFFSET($A$1, 654 - 1, 59 - 1) = "0", OFFSET($A$1, 654 - 1, 60 - 1) = "1" ), 3, 4 ) ) )</f>
        <v>2</v>
      </c>
    </row>
    <row r="655" spans="53:61" x14ac:dyDescent="0.35">
      <c r="BA655" s="3">
        <v>0.28637193210941159</v>
      </c>
      <c r="BB655" s="3" t="str">
        <f>"1"</f>
        <v>1</v>
      </c>
      <c r="BC655" t="str">
        <f ca="1">IF((OFFSET($A$1, 655 - 1, 53 - 1)) &gt;= (OFFSET($A$1, 69 - 1, 7 - 1)), "1","0")</f>
        <v>0</v>
      </c>
      <c r="BD655">
        <f ca="1" xml:space="preserve"> IF( AND( OFFSET($A$1, 655 - 1, 54 - 1) = "1", OFFSET($A$1, 655 - 1, 55 - 1) = "1" ), 1, IF( AND( OFFSET($A$1, 655 - 1, 54 - 1) = "1", OFFSET($A$1, 655 - 1, 55 - 1) = "0" ), 2, IF( AND( OFFSET($A$1, 655 - 1, 54 - 1) = "0", OFFSET($A$1, 655 - 1, 55 - 1) = "1" ), 3, 4 ) ) )</f>
        <v>2</v>
      </c>
      <c r="BF655" s="3">
        <v>0.55537323270973793</v>
      </c>
      <c r="BG655" s="3" t="str">
        <f>"1"</f>
        <v>1</v>
      </c>
      <c r="BH655" t="str">
        <f ca="1">IF((OFFSET($A$1, 655 - 1, 58 - 1)) &gt;= (OFFSET($A$1, 93 - 1, 7 - 1)), "1","0")</f>
        <v>1</v>
      </c>
      <c r="BI655">
        <f ca="1" xml:space="preserve"> IF( AND( OFFSET($A$1, 655 - 1, 59 - 1) = "1", OFFSET($A$1, 655 - 1, 60 - 1) = "1" ), 1, IF( AND( OFFSET($A$1, 655 - 1, 59 - 1) = "1", OFFSET($A$1, 655 - 1, 60 - 1) = "0" ), 2, IF( AND( OFFSET($A$1, 655 - 1, 59 - 1) = "0", OFFSET($A$1, 655 - 1, 60 - 1) = "1" ), 3, 4 ) ) )</f>
        <v>1</v>
      </c>
    </row>
    <row r="656" spans="53:61" x14ac:dyDescent="0.35">
      <c r="BA656" s="3">
        <v>0.55466430958999691</v>
      </c>
      <c r="BB656" s="3" t="str">
        <f>"0"</f>
        <v>0</v>
      </c>
      <c r="BC656" t="str">
        <f ca="1">IF((OFFSET($A$1, 656 - 1, 53 - 1)) &gt;= (OFFSET($A$1, 69 - 1, 7 - 1)), "1","0")</f>
        <v>1</v>
      </c>
      <c r="BD656">
        <f ca="1" xml:space="preserve"> IF( AND( OFFSET($A$1, 656 - 1, 54 - 1) = "1", OFFSET($A$1, 656 - 1, 55 - 1) = "1" ), 1, IF( AND( OFFSET($A$1, 656 - 1, 54 - 1) = "1", OFFSET($A$1, 656 - 1, 55 - 1) = "0" ), 2, IF( AND( OFFSET($A$1, 656 - 1, 54 - 1) = "0", OFFSET($A$1, 656 - 1, 55 - 1) = "1" ), 3, 4 ) ) )</f>
        <v>3</v>
      </c>
      <c r="BF656" s="3">
        <v>0.55395275168164937</v>
      </c>
      <c r="BG656" s="3" t="str">
        <f>"0"</f>
        <v>0</v>
      </c>
      <c r="BH656" t="str">
        <f ca="1">IF((OFFSET($A$1, 656 - 1, 58 - 1)) &gt;= (OFFSET($A$1, 93 - 1, 7 - 1)), "1","0")</f>
        <v>1</v>
      </c>
      <c r="BI656">
        <f ca="1" xml:space="preserve"> IF( AND( OFFSET($A$1, 656 - 1, 59 - 1) = "1", OFFSET($A$1, 656 - 1, 60 - 1) = "1" ), 1, IF( AND( OFFSET($A$1, 656 - 1, 59 - 1) = "1", OFFSET($A$1, 656 - 1, 60 - 1) = "0" ), 2, IF( AND( OFFSET($A$1, 656 - 1, 59 - 1) = "0", OFFSET($A$1, 656 - 1, 60 - 1) = "1" ), 3, 4 ) ) )</f>
        <v>3</v>
      </c>
    </row>
    <row r="657" spans="53:61" x14ac:dyDescent="0.35">
      <c r="BA657" s="3">
        <v>0.2840273600609049</v>
      </c>
      <c r="BB657" s="3" t="str">
        <f>"1"</f>
        <v>1</v>
      </c>
      <c r="BC657" t="str">
        <f ca="1">IF((OFFSET($A$1, 657 - 1, 53 - 1)) &gt;= (OFFSET($A$1, 69 - 1, 7 - 1)), "1","0")</f>
        <v>0</v>
      </c>
      <c r="BD657">
        <f ca="1" xml:space="preserve"> IF( AND( OFFSET($A$1, 657 - 1, 54 - 1) = "1", OFFSET($A$1, 657 - 1, 55 - 1) = "1" ), 1, IF( AND( OFFSET($A$1, 657 - 1, 54 - 1) = "1", OFFSET($A$1, 657 - 1, 55 - 1) = "0" ), 2, IF( AND( OFFSET($A$1, 657 - 1, 54 - 1) = "0", OFFSET($A$1, 657 - 1, 55 - 1) = "1" ), 3, 4 ) ) )</f>
        <v>2</v>
      </c>
      <c r="BF657" s="3">
        <v>0.28343818101583745</v>
      </c>
      <c r="BG657" s="3" t="str">
        <f>"0"</f>
        <v>0</v>
      </c>
      <c r="BH657" t="str">
        <f ca="1">IF((OFFSET($A$1, 657 - 1, 58 - 1)) &gt;= (OFFSET($A$1, 93 - 1, 7 - 1)), "1","0")</f>
        <v>0</v>
      </c>
      <c r="BI657">
        <f ca="1" xml:space="preserve"> IF( AND( OFFSET($A$1, 657 - 1, 59 - 1) = "1", OFFSET($A$1, 657 - 1, 60 - 1) = "1" ), 1, IF( AND( OFFSET($A$1, 657 - 1, 59 - 1) = "1", OFFSET($A$1, 657 - 1, 60 - 1) = "0" ), 2, IF( AND( OFFSET($A$1, 657 - 1, 59 - 1) = "0", OFFSET($A$1, 657 - 1, 60 - 1) = "1" ), 3, 4 ) ) )</f>
        <v>4</v>
      </c>
    </row>
    <row r="658" spans="53:61" x14ac:dyDescent="0.35">
      <c r="BA658" s="3">
        <v>0.55180280317981578</v>
      </c>
      <c r="BB658" s="3" t="str">
        <f>"1"</f>
        <v>1</v>
      </c>
      <c r="BC658" t="str">
        <f ca="1">IF((OFFSET($A$1, 658 - 1, 53 - 1)) &gt;= (OFFSET($A$1, 69 - 1, 7 - 1)), "1","0")</f>
        <v>1</v>
      </c>
      <c r="BD658">
        <f ca="1" xml:space="preserve"> IF( AND( OFFSET($A$1, 658 - 1, 54 - 1) = "1", OFFSET($A$1, 658 - 1, 55 - 1) = "1" ), 1, IF( AND( OFFSET($A$1, 658 - 1, 54 - 1) = "1", OFFSET($A$1, 658 - 1, 55 - 1) = "0" ), 2, IF( AND( OFFSET($A$1, 658 - 1, 54 - 1) = "0", OFFSET($A$1, 658 - 1, 55 - 1) = "1" ), 3, 4 ) ) )</f>
        <v>1</v>
      </c>
      <c r="BF658" s="3">
        <v>0.28225654191969962</v>
      </c>
      <c r="BG658" s="3" t="str">
        <f>"0"</f>
        <v>0</v>
      </c>
      <c r="BH658" t="str">
        <f ca="1">IF((OFFSET($A$1, 658 - 1, 58 - 1)) &gt;= (OFFSET($A$1, 93 - 1, 7 - 1)), "1","0")</f>
        <v>0</v>
      </c>
      <c r="BI658">
        <f ca="1" xml:space="preserve"> IF( AND( OFFSET($A$1, 658 - 1, 59 - 1) = "1", OFFSET($A$1, 658 - 1, 60 - 1) = "1" ), 1, IF( AND( OFFSET($A$1, 658 - 1, 59 - 1) = "1", OFFSET($A$1, 658 - 1, 60 - 1) = "0" ), 2, IF( AND( OFFSET($A$1, 658 - 1, 59 - 1) = "0", OFFSET($A$1, 658 - 1, 60 - 1) = "1" ), 3, 4 ) ) )</f>
        <v>4</v>
      </c>
    </row>
    <row r="659" spans="53:61" x14ac:dyDescent="0.35">
      <c r="BA659" s="3">
        <v>0.55035731420480072</v>
      </c>
      <c r="BB659" s="3" t="str">
        <f>"1"</f>
        <v>1</v>
      </c>
      <c r="BC659" t="str">
        <f ca="1">IF((OFFSET($A$1, 659 - 1, 53 - 1)) &gt;= (OFFSET($A$1, 69 - 1, 7 - 1)), "1","0")</f>
        <v>1</v>
      </c>
      <c r="BD659">
        <f ca="1" xml:space="preserve"> IF( AND( OFFSET($A$1, 659 - 1, 54 - 1) = "1", OFFSET($A$1, 659 - 1, 55 - 1) = "1" ), 1, IF( AND( OFFSET($A$1, 659 - 1, 54 - 1) = "1", OFFSET($A$1, 659 - 1, 55 - 1) = "0" ), 2, IF( AND( OFFSET($A$1, 659 - 1, 54 - 1) = "0", OFFSET($A$1, 659 - 1, 55 - 1) = "1" ), 3, 4 ) ) )</f>
        <v>1</v>
      </c>
      <c r="BF659" s="3">
        <v>0.28107087239906564</v>
      </c>
      <c r="BG659" s="3" t="str">
        <f>"1"</f>
        <v>1</v>
      </c>
      <c r="BH659" t="str">
        <f ca="1">IF((OFFSET($A$1, 659 - 1, 58 - 1)) &gt;= (OFFSET($A$1, 93 - 1, 7 - 1)), "1","0")</f>
        <v>0</v>
      </c>
      <c r="BI659">
        <f ca="1" xml:space="preserve"> IF( AND( OFFSET($A$1, 659 - 1, 59 - 1) = "1", OFFSET($A$1, 659 - 1, 60 - 1) = "1" ), 1, IF( AND( OFFSET($A$1, 659 - 1, 59 - 1) = "1", OFFSET($A$1, 659 - 1, 60 - 1) = "0" ), 2, IF( AND( OFFSET($A$1, 659 - 1, 59 - 1) = "0", OFFSET($A$1, 659 - 1, 60 - 1) = "1" ), 3, 4 ) ) )</f>
        <v>2</v>
      </c>
    </row>
    <row r="660" spans="53:61" x14ac:dyDescent="0.35">
      <c r="BA660" s="3">
        <v>0.54890258155035865</v>
      </c>
      <c r="BB660" s="3" t="str">
        <f>"0"</f>
        <v>0</v>
      </c>
      <c r="BC660" t="str">
        <f ca="1">IF((OFFSET($A$1, 660 - 1, 53 - 1)) &gt;= (OFFSET($A$1, 69 - 1, 7 - 1)), "1","0")</f>
        <v>1</v>
      </c>
      <c r="BD660">
        <f ca="1" xml:space="preserve"> IF( AND( OFFSET($A$1, 660 - 1, 54 - 1) = "1", OFFSET($A$1, 660 - 1, 55 - 1) = "1" ), 1, IF( AND( OFFSET($A$1, 660 - 1, 54 - 1) = "1", OFFSET($A$1, 660 - 1, 55 - 1) = "0" ), 2, IF( AND( OFFSET($A$1, 660 - 1, 54 - 1) = "0", OFFSET($A$1, 660 - 1, 55 - 1) = "1" ), 3, 4 ) ) )</f>
        <v>3</v>
      </c>
      <c r="BF660" s="3">
        <v>0.54817188635026903</v>
      </c>
      <c r="BG660" s="3" t="str">
        <f>"1"</f>
        <v>1</v>
      </c>
      <c r="BH660" t="str">
        <f ca="1">IF((OFFSET($A$1, 660 - 1, 58 - 1)) &gt;= (OFFSET($A$1, 93 - 1, 7 - 1)), "1","0")</f>
        <v>1</v>
      </c>
      <c r="BI660">
        <f ca="1" xml:space="preserve"> IF( AND( OFFSET($A$1, 660 - 1, 59 - 1) = "1", OFFSET($A$1, 660 - 1, 60 - 1) = "1" ), 1, IF( AND( OFFSET($A$1, 660 - 1, 59 - 1) = "1", OFFSET($A$1, 660 - 1, 60 - 1) = "0" ), 2, IF( AND( OFFSET($A$1, 660 - 1, 59 - 1) = "0", OFFSET($A$1, 660 - 1, 60 - 1) = "1" ), 3, 4 ) ) )</f>
        <v>1</v>
      </c>
    </row>
    <row r="661" spans="53:61" x14ac:dyDescent="0.35">
      <c r="BA661" s="3">
        <v>0.27928571245431633</v>
      </c>
      <c r="BB661" s="3" t="str">
        <f>"0"</f>
        <v>0</v>
      </c>
      <c r="BC661" t="str">
        <f ca="1">IF((OFFSET($A$1, 661 - 1, 53 - 1)) &gt;= (OFFSET($A$1, 69 - 1, 7 - 1)), "1","0")</f>
        <v>0</v>
      </c>
      <c r="BD661">
        <f ca="1" xml:space="preserve"> IF( AND( OFFSET($A$1, 661 - 1, 54 - 1) = "1", OFFSET($A$1, 661 - 1, 55 - 1) = "1" ), 1, IF( AND( OFFSET($A$1, 661 - 1, 54 - 1) = "1", OFFSET($A$1, 661 - 1, 55 - 1) = "0" ), 2, IF( AND( OFFSET($A$1, 661 - 1, 54 - 1) = "0", OFFSET($A$1, 661 - 1, 55 - 1) = "1" ), 3, 4 ) ) )</f>
        <v>4</v>
      </c>
      <c r="BF661" s="3">
        <v>0.54670411550024223</v>
      </c>
      <c r="BG661" s="3" t="str">
        <f>"1"</f>
        <v>1</v>
      </c>
      <c r="BH661" t="str">
        <f ca="1">IF((OFFSET($A$1, 661 - 1, 58 - 1)) &gt;= (OFFSET($A$1, 93 - 1, 7 - 1)), "1","0")</f>
        <v>1</v>
      </c>
      <c r="BI661">
        <f ca="1" xml:space="preserve"> IF( AND( OFFSET($A$1, 661 - 1, 59 - 1) = "1", OFFSET($A$1, 661 - 1, 60 - 1) = "1" ), 1, IF( AND( OFFSET($A$1, 661 - 1, 59 - 1) = "1", OFFSET($A$1, 661 - 1, 60 - 1) = "0" ), 2, IF( AND( OFFSET($A$1, 661 - 1, 59 - 1) = "0", OFFSET($A$1, 661 - 1, 60 - 1) = "1" ), 3, 4 ) ) )</f>
        <v>1</v>
      </c>
    </row>
    <row r="662" spans="53:61" x14ac:dyDescent="0.35">
      <c r="BA662" s="3">
        <v>0.27809176758499271</v>
      </c>
      <c r="BB662" s="3" t="str">
        <f>"0"</f>
        <v>0</v>
      </c>
      <c r="BC662" t="str">
        <f ca="1">IF((OFFSET($A$1, 662 - 1, 53 - 1)) &gt;= (OFFSET($A$1, 69 - 1, 7 - 1)), "1","0")</f>
        <v>0</v>
      </c>
      <c r="BD662">
        <f ca="1" xml:space="preserve"> IF( AND( OFFSET($A$1, 662 - 1, 54 - 1) = "1", OFFSET($A$1, 662 - 1, 55 - 1) = "1" ), 1, IF( AND( OFFSET($A$1, 662 - 1, 54 - 1) = "1", OFFSET($A$1, 662 - 1, 55 - 1) = "0" ), 2, IF( AND( OFFSET($A$1, 662 - 1, 54 - 1) = "0", OFFSET($A$1, 662 - 1, 55 - 1) = "1" ), 3, 4 ) ) )</f>
        <v>4</v>
      </c>
      <c r="BF662" s="3">
        <v>0.54522821004344224</v>
      </c>
      <c r="BG662" s="3" t="str">
        <f>"1"</f>
        <v>1</v>
      </c>
      <c r="BH662" t="str">
        <f ca="1">IF((OFFSET($A$1, 662 - 1, 58 - 1)) &gt;= (OFFSET($A$1, 93 - 1, 7 - 1)), "1","0")</f>
        <v>1</v>
      </c>
      <c r="BI662">
        <f ca="1" xml:space="preserve"> IF( AND( OFFSET($A$1, 662 - 1, 59 - 1) = "1", OFFSET($A$1, 662 - 1, 60 - 1) = "1" ), 1, IF( AND( OFFSET($A$1, 662 - 1, 59 - 1) = "1", OFFSET($A$1, 662 - 1, 60 - 1) = "0" ), 2, IF( AND( OFFSET($A$1, 662 - 1, 59 - 1) = "0", OFFSET($A$1, 662 - 1, 60 - 1) = "1" ), 3, 4 ) ) )</f>
        <v>1</v>
      </c>
    </row>
    <row r="663" spans="53:61" x14ac:dyDescent="0.35">
      <c r="BA663" s="3">
        <v>0.27689522927847326</v>
      </c>
      <c r="BB663" s="3" t="str">
        <f>"1"</f>
        <v>1</v>
      </c>
      <c r="BC663" t="str">
        <f ca="1">IF((OFFSET($A$1, 663 - 1, 53 - 1)) &gt;= (OFFSET($A$1, 69 - 1, 7 - 1)), "1","0")</f>
        <v>0</v>
      </c>
      <c r="BD663">
        <f ca="1" xml:space="preserve"> IF( AND( OFFSET($A$1, 663 - 1, 54 - 1) = "1", OFFSET($A$1, 663 - 1, 55 - 1) = "1" ), 1, IF( AND( OFFSET($A$1, 663 - 1, 54 - 1) = "1", OFFSET($A$1, 663 - 1, 55 - 1) = "0" ), 2, IF( AND( OFFSET($A$1, 663 - 1, 54 - 1) = "0", OFFSET($A$1, 663 - 1, 55 - 1) = "1" ), 3, 4 ) ) )</f>
        <v>2</v>
      </c>
      <c r="BF663" s="3">
        <v>0.54374462055303563</v>
      </c>
      <c r="BG663" s="3" t="str">
        <f>"1"</f>
        <v>1</v>
      </c>
      <c r="BH663" t="str">
        <f ca="1">IF((OFFSET($A$1, 663 - 1, 58 - 1)) &gt;= (OFFSET($A$1, 93 - 1, 7 - 1)), "1","0")</f>
        <v>1</v>
      </c>
      <c r="BI663">
        <f ca="1" xml:space="preserve"> IF( AND( OFFSET($A$1, 663 - 1, 59 - 1) = "1", OFFSET($A$1, 663 - 1, 60 - 1) = "1" ), 1, IF( AND( OFFSET($A$1, 663 - 1, 59 - 1) = "1", OFFSET($A$1, 663 - 1, 60 - 1) = "0" ), 2, IF( AND( OFFSET($A$1, 663 - 1, 59 - 1) = "0", OFFSET($A$1, 663 - 1, 60 - 1) = "1" ), 3, 4 ) ) )</f>
        <v>1</v>
      </c>
    </row>
    <row r="664" spans="53:61" x14ac:dyDescent="0.35">
      <c r="BA664" s="3">
        <v>0.54300008611723094</v>
      </c>
      <c r="BB664" s="3" t="str">
        <f>"0"</f>
        <v>0</v>
      </c>
      <c r="BC664" t="str">
        <f ca="1">IF((OFFSET($A$1, 664 - 1, 53 - 1)) &gt;= (OFFSET($A$1, 69 - 1, 7 - 1)), "1","0")</f>
        <v>1</v>
      </c>
      <c r="BD664">
        <f ca="1" xml:space="preserve"> IF( AND( OFFSET($A$1, 664 - 1, 54 - 1) = "1", OFFSET($A$1, 664 - 1, 55 - 1) = "1" ), 1, IF( AND( OFFSET($A$1, 664 - 1, 54 - 1) = "1", OFFSET($A$1, 664 - 1, 55 - 1) = "0" ), 2, IF( AND( OFFSET($A$1, 664 - 1, 54 - 1) = "0", OFFSET($A$1, 664 - 1, 55 - 1) = "1" ), 3, 4 ) ) )</f>
        <v>3</v>
      </c>
      <c r="BF664" s="3">
        <v>0.54225380130663581</v>
      </c>
      <c r="BG664" s="3" t="str">
        <f>"0"</f>
        <v>0</v>
      </c>
      <c r="BH664" t="str">
        <f ca="1">IF((OFFSET($A$1, 664 - 1, 58 - 1)) &gt;= (OFFSET($A$1, 93 - 1, 7 - 1)), "1","0")</f>
        <v>1</v>
      </c>
      <c r="BI664">
        <f ca="1" xml:space="preserve"> IF( AND( OFFSET($A$1, 664 - 1, 59 - 1) = "1", OFFSET($A$1, 664 - 1, 60 - 1) = "1" ), 1, IF( AND( OFFSET($A$1, 664 - 1, 59 - 1) = "1", OFFSET($A$1, 664 - 1, 60 - 1) = "0" ), 2, IF( AND( OFFSET($A$1, 664 - 1, 59 - 1) = "0", OFFSET($A$1, 664 - 1, 60 - 1) = "1" ), 3, 4 ) ) )</f>
        <v>3</v>
      </c>
    </row>
    <row r="665" spans="53:61" x14ac:dyDescent="0.35">
      <c r="BA665" s="3">
        <v>0.27449599871982761</v>
      </c>
      <c r="BB665" s="3" t="str">
        <f>"1"</f>
        <v>1</v>
      </c>
      <c r="BC665" t="str">
        <f ca="1">IF((OFFSET($A$1, 665 - 1, 53 - 1)) &gt;= (OFFSET($A$1, 69 - 1, 7 - 1)), "1","0")</f>
        <v>0</v>
      </c>
      <c r="BD665">
        <f ca="1" xml:space="preserve"> IF( AND( OFFSET($A$1, 665 - 1, 54 - 1) = "1", OFFSET($A$1, 665 - 1, 55 - 1) = "1" ), 1, IF( AND( OFFSET($A$1, 665 - 1, 54 - 1) = "1", OFFSET($A$1, 665 - 1, 55 - 1) = "0" ), 2, IF( AND( OFFSET($A$1, 665 - 1, 54 - 1) = "0", OFFSET($A$1, 665 - 1, 55 - 1) = "1" ), 3, 4 ) ) )</f>
        <v>2</v>
      </c>
      <c r="BF665" s="3">
        <v>0.27389520385398569</v>
      </c>
      <c r="BG665" s="3" t="str">
        <f>"0"</f>
        <v>0</v>
      </c>
      <c r="BH665" t="str">
        <f ca="1">IF((OFFSET($A$1, 665 - 1, 58 - 1)) &gt;= (OFFSET($A$1, 93 - 1, 7 - 1)), "1","0")</f>
        <v>0</v>
      </c>
      <c r="BI665">
        <f ca="1" xml:space="preserve"> IF( AND( OFFSET($A$1, 665 - 1, 59 - 1) = "1", OFFSET($A$1, 665 - 1, 60 - 1) = "1" ), 1, IF( AND( OFFSET($A$1, 665 - 1, 59 - 1) = "1", OFFSET($A$1, 665 - 1, 60 - 1) = "0" ), 2, IF( AND( OFFSET($A$1, 665 - 1, 59 - 1) = "0", OFFSET($A$1, 665 - 1, 60 - 1) = "1" ), 3, 4 ) ) )</f>
        <v>4</v>
      </c>
    </row>
    <row r="666" spans="53:61" x14ac:dyDescent="0.35">
      <c r="BA666" s="3">
        <v>0.54000501899888909</v>
      </c>
      <c r="BB666" s="3" t="str">
        <f>"1"</f>
        <v>1</v>
      </c>
      <c r="BC666" t="str">
        <f ca="1">IF((OFFSET($A$1, 666 - 1, 53 - 1)) &gt;= (OFFSET($A$1, 69 - 1, 7 - 1)), "1","0")</f>
        <v>1</v>
      </c>
      <c r="BD666">
        <f ca="1" xml:space="preserve"> IF( AND( OFFSET($A$1, 666 - 1, 54 - 1) = "1", OFFSET($A$1, 666 - 1, 55 - 1) = "1" ), 1, IF( AND( OFFSET($A$1, 666 - 1, 54 - 1) = "1", OFFSET($A$1, 666 - 1, 55 - 1) = "0" ), 2, IF( AND( OFFSET($A$1, 666 - 1, 54 - 1) = "0", OFFSET($A$1, 666 - 1, 55 - 1) = "1" ), 3, 4 ) ) )</f>
        <v>1</v>
      </c>
      <c r="BF666" s="3">
        <v>0.27269278110186085</v>
      </c>
      <c r="BG666" s="3" t="str">
        <f>"0"</f>
        <v>0</v>
      </c>
      <c r="BH666" t="str">
        <f ca="1">IF((OFFSET($A$1, 666 - 1, 58 - 1)) &gt;= (OFFSET($A$1, 93 - 1, 7 - 1)), "1","0")</f>
        <v>0</v>
      </c>
      <c r="BI666">
        <f ca="1" xml:space="preserve"> IF( AND( OFFSET($A$1, 666 - 1, 59 - 1) = "1", OFFSET($A$1, 666 - 1, 60 - 1) = "1" ), 1, IF( AND( OFFSET($A$1, 666 - 1, 59 - 1) = "1", OFFSET($A$1, 666 - 1, 60 - 1) = "0" ), 2, IF( AND( OFFSET($A$1, 666 - 1, 59 - 1) = "0", OFFSET($A$1, 666 - 1, 60 - 1) = "1" ), 3, 4 ) ) )</f>
        <v>4</v>
      </c>
    </row>
    <row r="667" spans="53:61" x14ac:dyDescent="0.35">
      <c r="BA667" s="3">
        <v>0.53849813548098224</v>
      </c>
      <c r="BB667" s="3" t="str">
        <f>"1"</f>
        <v>1</v>
      </c>
      <c r="BC667" t="str">
        <f ca="1">IF((OFFSET($A$1, 667 - 1, 53 - 1)) &gt;= (OFFSET($A$1, 69 - 1, 7 - 1)), "1","0")</f>
        <v>1</v>
      </c>
      <c r="BD667">
        <f ca="1" xml:space="preserve"> IF( AND( OFFSET($A$1, 667 - 1, 54 - 1) = "1", OFFSET($A$1, 667 - 1, 55 - 1) = "1" ), 1, IF( AND( OFFSET($A$1, 667 - 1, 54 - 1) = "1", OFFSET($A$1, 667 - 1, 55 - 1) = "0" ), 2, IF( AND( OFFSET($A$1, 667 - 1, 54 - 1) = "0", OFFSET($A$1, 667 - 1, 55 - 1) = "1" ), 3, 4 ) ) )</f>
        <v>1</v>
      </c>
      <c r="BF667" s="3">
        <v>0.27148958030364095</v>
      </c>
      <c r="BG667" s="3" t="str">
        <f>"1"</f>
        <v>1</v>
      </c>
      <c r="BH667" t="str">
        <f ca="1">IF((OFFSET($A$1, 667 - 1, 58 - 1)) &gt;= (OFFSET($A$1, 93 - 1, 7 - 1)), "1","0")</f>
        <v>0</v>
      </c>
      <c r="BI667">
        <f ca="1" xml:space="preserve"> IF( AND( OFFSET($A$1, 667 - 1, 59 - 1) = "1", OFFSET($A$1, 667 - 1, 60 - 1) = "1" ), 1, IF( AND( OFFSET($A$1, 667 - 1, 59 - 1) = "1", OFFSET($A$1, 667 - 1, 60 - 1) = "0" ), 2, IF( AND( OFFSET($A$1, 667 - 1, 59 - 1) = "0", OFFSET($A$1, 667 - 1, 60 - 1) = "1" ), 3, 4 ) ) )</f>
        <v>2</v>
      </c>
    </row>
    <row r="668" spans="53:61" x14ac:dyDescent="0.35">
      <c r="BA668" s="3">
        <v>0.53698563868030635</v>
      </c>
      <c r="BB668" s="3" t="str">
        <f>"0"</f>
        <v>0</v>
      </c>
      <c r="BC668" t="str">
        <f ca="1">IF((OFFSET($A$1, 668 - 1, 53 - 1)) &gt;= (OFFSET($A$1, 69 - 1, 7 - 1)), "1","0")</f>
        <v>1</v>
      </c>
      <c r="BD668">
        <f ca="1" xml:space="preserve"> IF( AND( OFFSET($A$1, 668 - 1, 54 - 1) = "1", OFFSET($A$1, 668 - 1, 55 - 1) = "1" ), 1, IF( AND( OFFSET($A$1, 668 - 1, 54 - 1) = "1", OFFSET($A$1, 668 - 1, 55 - 1) = "0" ), 2, IF( AND( OFFSET($A$1, 668 - 1, 54 - 1) = "0", OFFSET($A$1, 668 - 1, 55 - 1) = "1" ), 3, 4 ) ) )</f>
        <v>3</v>
      </c>
      <c r="BF668" s="3">
        <v>0.53622743163980324</v>
      </c>
      <c r="BG668" s="3" t="str">
        <f>"1"</f>
        <v>1</v>
      </c>
      <c r="BH668" t="str">
        <f ca="1">IF((OFFSET($A$1, 668 - 1, 58 - 1)) &gt;= (OFFSET($A$1, 93 - 1, 7 - 1)), "1","0")</f>
        <v>1</v>
      </c>
      <c r="BI668">
        <f ca="1" xml:space="preserve"> IF( AND( OFFSET($A$1, 668 - 1, 59 - 1) = "1", OFFSET($A$1, 668 - 1, 60 - 1) = "1" ), 1, IF( AND( OFFSET($A$1, 668 - 1, 59 - 1) = "1", OFFSET($A$1, 668 - 1, 60 - 1) = "0" ), 2, IF( AND( OFFSET($A$1, 668 - 1, 59 - 1) = "0", OFFSET($A$1, 668 - 1, 60 - 1) = "1" ), 3, 4 ) ) )</f>
        <v>1</v>
      </c>
    </row>
    <row r="669" spans="53:61" x14ac:dyDescent="0.35">
      <c r="BA669" s="3">
        <v>0.26968418771383051</v>
      </c>
      <c r="BB669" s="3" t="str">
        <f>"1"</f>
        <v>1</v>
      </c>
      <c r="BC669" t="str">
        <f ca="1">IF((OFFSET($A$1, 669 - 1, 53 - 1)) &gt;= (OFFSET($A$1, 69 - 1, 7 - 1)), "1","0")</f>
        <v>0</v>
      </c>
      <c r="BD669">
        <f ca="1" xml:space="preserve"> IF( AND( OFFSET($A$1, 669 - 1, 54 - 1) = "1", OFFSET($A$1, 669 - 1, 55 - 1) = "1" ), 1, IF( AND( OFFSET($A$1, 669 - 1, 54 - 1) = "1", OFFSET($A$1, 669 - 1, 55 - 1) = "0" ), 2, IF( AND( OFFSET($A$1, 669 - 1, 54 - 1) = "0", OFFSET($A$1, 669 - 1, 55 - 1) = "1" ), 3, 4 ) ) )</f>
        <v>2</v>
      </c>
      <c r="BF669" s="3">
        <v>0.53470739443147386</v>
      </c>
      <c r="BG669" s="3" t="str">
        <f>"1"</f>
        <v>1</v>
      </c>
      <c r="BH669" t="str">
        <f ca="1">IF((OFFSET($A$1, 669 - 1, 58 - 1)) &gt;= (OFFSET($A$1, 93 - 1, 7 - 1)), "1","0")</f>
        <v>1</v>
      </c>
      <c r="BI669">
        <f ca="1" xml:space="preserve"> IF( AND( OFFSET($A$1, 669 - 1, 59 - 1) = "1", OFFSET($A$1, 669 - 1, 60 - 1) = "1" ), 1, IF( AND( OFFSET($A$1, 669 - 1, 59 - 1) = "1", OFFSET($A$1, 669 - 1, 60 - 1) = "0" ), 2, IF( AND( OFFSET($A$1, 669 - 1, 59 - 1) = "0", OFFSET($A$1, 669 - 1, 60 - 1) = "1" ), 3, 4 ) ) )</f>
        <v>1</v>
      </c>
    </row>
    <row r="670" spans="53:61" x14ac:dyDescent="0.35">
      <c r="BA670" s="3">
        <v>0.53394568239882023</v>
      </c>
      <c r="BB670" s="3" t="str">
        <f>"1"</f>
        <v>1</v>
      </c>
      <c r="BC670" t="str">
        <f ca="1">IF((OFFSET($A$1, 670 - 1, 53 - 1)) &gt;= (OFFSET($A$1, 69 - 1, 7 - 1)), "1","0")</f>
        <v>1</v>
      </c>
      <c r="BD670">
        <f ca="1" xml:space="preserve"> IF( AND( OFFSET($A$1, 670 - 1, 54 - 1) = "1", OFFSET($A$1, 670 - 1, 55 - 1) = "1" ), 1, IF( AND( OFFSET($A$1, 670 - 1, 54 - 1) = "1", OFFSET($A$1, 670 - 1, 55 - 1) = "0" ), 2, IF( AND( OFFSET($A$1, 670 - 1, 54 - 1) = "0", OFFSET($A$1, 670 - 1, 55 - 1) = "1" ), 3, 4 ) ) )</f>
        <v>1</v>
      </c>
    </row>
    <row r="671" spans="53:61" x14ac:dyDescent="0.35">
      <c r="BA671" s="3">
        <v>0.53241916792216248</v>
      </c>
      <c r="BB671" s="3" t="str">
        <f>"1"</f>
        <v>1</v>
      </c>
      <c r="BC671" t="str">
        <f ca="1">IF((OFFSET($A$1, 671 - 1, 53 - 1)) &gt;= (OFFSET($A$1, 69 - 1, 7 - 1)), "1","0")</f>
        <v>1</v>
      </c>
      <c r="BD671">
        <f ca="1" xml:space="preserve"> IF( AND( OFFSET($A$1, 671 - 1, 54 - 1) = "1", OFFSET($A$1, 671 - 1, 55 - 1) = "1" ), 1, IF( AND( OFFSET($A$1, 671 - 1, 54 - 1) = "1", OFFSET($A$1, 671 - 1, 55 - 1) = "0" ), 2, IF( AND( OFFSET($A$1, 671 - 1, 54 - 1) = "0", OFFSET($A$1, 671 - 1, 55 - 1) = "1" ), 3, 4 ) ) )</f>
        <v>1</v>
      </c>
    </row>
    <row r="672" spans="53:61" x14ac:dyDescent="0.35">
      <c r="BA672" s="3">
        <v>0.53088892975933699</v>
      </c>
      <c r="BB672" s="3" t="str">
        <f>"0"</f>
        <v>0</v>
      </c>
      <c r="BC672" t="str">
        <f ca="1">IF((OFFSET($A$1, 672 - 1, 53 - 1)) &gt;= (OFFSET($A$1, 69 - 1, 7 - 1)), "1","0")</f>
        <v>1</v>
      </c>
      <c r="BD672">
        <f ca="1" xml:space="preserve"> IF( AND( OFFSET($A$1, 672 - 1, 54 - 1) = "1", OFFSET($A$1, 672 - 1, 55 - 1) = "1" ), 1, IF( AND( OFFSET($A$1, 672 - 1, 54 - 1) = "1", OFFSET($A$1, 672 - 1, 55 - 1) = "0" ), 2, IF( AND( OFFSET($A$1, 672 - 1, 54 - 1) = "0", OFFSET($A$1, 672 - 1, 55 - 1) = "1" ), 3, 4 ) ) )</f>
        <v>3</v>
      </c>
    </row>
    <row r="673" spans="53:56" x14ac:dyDescent="0.35">
      <c r="BA673" s="3">
        <v>0.2648756586225065</v>
      </c>
      <c r="BB673" s="3" t="str">
        <f>"0"</f>
        <v>0</v>
      </c>
      <c r="BC673" t="str">
        <f ca="1">IF((OFFSET($A$1, 673 - 1, 53 - 1)) &gt;= (OFFSET($A$1, 69 - 1, 7 - 1)), "1","0")</f>
        <v>0</v>
      </c>
      <c r="BD673">
        <f ca="1" xml:space="preserve"> IF( AND( OFFSET($A$1, 673 - 1, 54 - 1) = "1", OFFSET($A$1, 673 - 1, 55 - 1) = "1" ), 1, IF( AND( OFFSET($A$1, 673 - 1, 54 - 1) = "1", OFFSET($A$1, 673 - 1, 55 - 1) = "0" ), 2, IF( AND( OFFSET($A$1, 673 - 1, 54 - 1) = "0", OFFSET($A$1, 673 - 1, 55 - 1) = "1" ), 3, 4 ) ) )</f>
        <v>4</v>
      </c>
    </row>
    <row r="674" spans="53:56" x14ac:dyDescent="0.35">
      <c r="BA674" s="3">
        <v>0.26367694190290936</v>
      </c>
      <c r="BB674" s="3" t="str">
        <f>"0"</f>
        <v>0</v>
      </c>
      <c r="BC674" t="str">
        <f ca="1">IF((OFFSET($A$1, 674 - 1, 53 - 1)) &gt;= (OFFSET($A$1, 69 - 1, 7 - 1)), "1","0")</f>
        <v>0</v>
      </c>
      <c r="BD674">
        <f ca="1" xml:space="preserve"> IF( AND( OFFSET($A$1, 674 - 1, 54 - 1) = "1", OFFSET($A$1, 674 - 1, 55 - 1) = "1" ), 1, IF( AND( OFFSET($A$1, 674 - 1, 54 - 1) = "1", OFFSET($A$1, 674 - 1, 55 - 1) = "0" ), 2, IF( AND( OFFSET($A$1, 674 - 1, 54 - 1) = "0", OFFSET($A$1, 674 - 1, 55 - 1) = "1" ), 3, 4 ) ) )</f>
        <v>4</v>
      </c>
    </row>
    <row r="675" spans="53:56" x14ac:dyDescent="0.35">
      <c r="BA675" s="3">
        <v>0.26248034845545443</v>
      </c>
      <c r="BB675" s="3" t="str">
        <f>"0"</f>
        <v>0</v>
      </c>
      <c r="BC675" t="str">
        <f ca="1">IF((OFFSET($A$1, 675 - 1, 53 - 1)) &gt;= (OFFSET($A$1, 69 - 1, 7 - 1)), "1","0")</f>
        <v>0</v>
      </c>
      <c r="BD675">
        <f ca="1" xml:space="preserve"> IF( AND( OFFSET($A$1, 675 - 1, 54 - 1) = "1", OFFSET($A$1, 675 - 1, 55 - 1) = "1" ), 1, IF( AND( OFFSET($A$1, 675 - 1, 54 - 1) = "1", OFFSET($A$1, 675 - 1, 55 - 1) = "0" ), 2, IF( AND( OFFSET($A$1, 675 - 1, 54 - 1) = "0", OFFSET($A$1, 675 - 1, 55 - 1) = "1" ), 3, 4 ) ) )</f>
        <v>4</v>
      </c>
    </row>
    <row r="676" spans="53:56" x14ac:dyDescent="0.35">
      <c r="BA676" s="3">
        <v>0.26128625024509844</v>
      </c>
      <c r="BB676" s="3" t="str">
        <f>"1"</f>
        <v>1</v>
      </c>
      <c r="BC676" t="str">
        <f ca="1">IF((OFFSET($A$1, 676 - 1, 53 - 1)) &gt;= (OFFSET($A$1, 69 - 1, 7 - 1)), "1","0")</f>
        <v>0</v>
      </c>
      <c r="BD676">
        <f ca="1" xml:space="preserve"> IF( AND( OFFSET($A$1, 676 - 1, 54 - 1) = "1", OFFSET($A$1, 676 - 1, 55 - 1) = "1" ), 1, IF( AND( OFFSET($A$1, 676 - 1, 54 - 1) = "1", OFFSET($A$1, 676 - 1, 55 - 1) = "0" ), 2, IF( AND( OFFSET($A$1, 676 - 1, 54 - 1) = "0", OFFSET($A$1, 676 - 1, 55 - 1) = "1" ), 3, 4 ) ) )</f>
        <v>2</v>
      </c>
    </row>
    <row r="677" spans="53:56" x14ac:dyDescent="0.35">
      <c r="BA677" s="3">
        <v>0.52319867227490413</v>
      </c>
      <c r="BB677" s="3" t="str">
        <f>"1"</f>
        <v>1</v>
      </c>
      <c r="BC677" t="str">
        <f ca="1">IF((OFFSET($A$1, 677 - 1, 53 - 1)) &gt;= (OFFSET($A$1, 69 - 1, 7 - 1)), "1","0")</f>
        <v>1</v>
      </c>
      <c r="BD677">
        <f ca="1" xml:space="preserve"> IF( AND( OFFSET($A$1, 677 - 1, 54 - 1) = "1", OFFSET($A$1, 677 - 1, 55 - 1) = "1" ), 1, IF( AND( OFFSET($A$1, 677 - 1, 54 - 1) = "1", OFFSET($A$1, 677 - 1, 55 - 1) = "0" ), 2, IF( AND( OFFSET($A$1, 677 - 1, 54 - 1) = "0", OFFSET($A$1, 677 - 1, 55 - 1) = "1" ), 3, 4 ) ) )</f>
        <v>1</v>
      </c>
    </row>
    <row r="678" spans="53:56" x14ac:dyDescent="0.35">
      <c r="BA678" s="3">
        <v>0.52165618570389471</v>
      </c>
      <c r="BB678" s="3" t="str">
        <f>"1"</f>
        <v>1</v>
      </c>
      <c r="BC678" t="str">
        <f ca="1">IF((OFFSET($A$1, 678 - 1, 53 - 1)) &gt;= (OFFSET($A$1, 69 - 1, 7 - 1)), "1","0")</f>
        <v>1</v>
      </c>
      <c r="BD678">
        <f ca="1" xml:space="preserve"> IF( AND( OFFSET($A$1, 678 - 1, 54 - 1) = "1", OFFSET($A$1, 678 - 1, 55 - 1) = "1" ), 1, IF( AND( OFFSET($A$1, 678 - 1, 54 - 1) = "1", OFFSET($A$1, 678 - 1, 55 - 1) = "0" ), 2, IF( AND( OFFSET($A$1, 678 - 1, 54 - 1) = "0", OFFSET($A$1, 678 - 1, 55 - 1) = "1" ), 3, 4 ) ) )</f>
        <v>1</v>
      </c>
    </row>
    <row r="679" spans="53:56" x14ac:dyDescent="0.35">
      <c r="BA679" s="3">
        <v>0.52011335186258523</v>
      </c>
      <c r="BB679" s="3" t="str">
        <f>"1"</f>
        <v>1</v>
      </c>
      <c r="BC679" t="str">
        <f ca="1">IF((OFFSET($A$1, 679 - 1, 53 - 1)) &gt;= (OFFSET($A$1, 69 - 1, 7 - 1)), "1","0")</f>
        <v>1</v>
      </c>
      <c r="BD679">
        <f ca="1" xml:space="preserve"> IF( AND( OFFSET($A$1, 679 - 1, 54 - 1) = "1", OFFSET($A$1, 679 - 1, 55 - 1) = "1" ), 1, IF( AND( OFFSET($A$1, 679 - 1, 54 - 1) = "1", OFFSET($A$1, 679 - 1, 55 - 1) = "0" ), 2, IF( AND( OFFSET($A$1, 679 - 1, 54 - 1) = "0", OFFSET($A$1, 679 - 1, 55 - 1) = "1" ), 3, 4 ) ) )</f>
        <v>1</v>
      </c>
    </row>
    <row r="680" spans="53:56" x14ac:dyDescent="0.35">
      <c r="BA680" s="3">
        <v>0.51857065684669668</v>
      </c>
      <c r="BB680" s="3" t="str">
        <f>"0"</f>
        <v>0</v>
      </c>
      <c r="BC680" t="str">
        <f ca="1">IF((OFFSET($A$1, 680 - 1, 53 - 1)) &gt;= (OFFSET($A$1, 69 - 1, 7 - 1)), "1","0")</f>
        <v>1</v>
      </c>
      <c r="BD680">
        <f ca="1" xml:space="preserve"> IF( AND( OFFSET($A$1, 680 - 1, 54 - 1) = "1", OFFSET($A$1, 680 - 1, 55 - 1) = "1" ), 1, IF( AND( OFFSET($A$1, 680 - 1, 54 - 1) = "1", OFFSET($A$1, 680 - 1, 55 - 1) = "0" ), 2, IF( AND( OFFSET($A$1, 680 - 1, 54 - 1) = "0", OFFSET($A$1, 680 - 1, 55 - 1) = "1" ), 3, 4 ) ) )</f>
        <v>3</v>
      </c>
    </row>
    <row r="681" spans="53:56" x14ac:dyDescent="0.35">
      <c r="BA681" s="3">
        <v>0.25536592019596549</v>
      </c>
      <c r="BB681" s="3" t="str">
        <f>"1"</f>
        <v>1</v>
      </c>
      <c r="BC681" t="str">
        <f ca="1">IF((OFFSET($A$1, 681 - 1, 53 - 1)) &gt;= (OFFSET($A$1, 69 - 1, 7 - 1)), "1","0")</f>
        <v>0</v>
      </c>
      <c r="BD681">
        <f ca="1" xml:space="preserve"> IF( AND( OFFSET($A$1, 681 - 1, 54 - 1) = "1", OFFSET($A$1, 681 - 1, 55 - 1) = "1" ), 1, IF( AND( OFFSET($A$1, 681 - 1, 54 - 1) = "1", OFFSET($A$1, 681 - 1, 55 - 1) = "0" ), 2, IF( AND( OFFSET($A$1, 681 - 1, 54 - 1) = "0", OFFSET($A$1, 681 - 1, 55 - 1) = "1" ), 3, 4 ) ) )</f>
        <v>2</v>
      </c>
    </row>
    <row r="682" spans="53:56" x14ac:dyDescent="0.35">
      <c r="BA682" s="3">
        <v>0.51548762879395016</v>
      </c>
      <c r="BB682" s="3" t="str">
        <f>"1"</f>
        <v>1</v>
      </c>
      <c r="BC682" t="str">
        <f ca="1">IF((OFFSET($A$1, 682 - 1, 53 - 1)) &gt;= (OFFSET($A$1, 69 - 1, 7 - 1)), "1","0")</f>
        <v>1</v>
      </c>
      <c r="BD682">
        <f ca="1" xml:space="preserve"> IF( AND( OFFSET($A$1, 682 - 1, 54 - 1) = "1", OFFSET($A$1, 682 - 1, 55 - 1) = "1" ), 1, IF( AND( OFFSET($A$1, 682 - 1, 54 - 1) = "1", OFFSET($A$1, 682 - 1, 55 - 1) = "0" ), 2, IF( AND( OFFSET($A$1, 682 - 1, 54 - 1) = "0", OFFSET($A$1, 682 - 1, 55 - 1) = "1" ), 3, 4 ) ) )</f>
        <v>1</v>
      </c>
    </row>
    <row r="683" spans="53:56" x14ac:dyDescent="0.35">
      <c r="BA683" s="3">
        <v>0.51394826839364216</v>
      </c>
      <c r="BB683" s="3" t="str">
        <f>"1"</f>
        <v>1</v>
      </c>
      <c r="BC683" t="str">
        <f ca="1">IF((OFFSET($A$1, 683 - 1, 53 - 1)) &gt;= (OFFSET($A$1, 69 - 1, 7 - 1)), "1","0")</f>
        <v>1</v>
      </c>
      <c r="BD683">
        <f ca="1" xml:space="preserve"> IF( AND( OFFSET($A$1, 683 - 1, 54 - 1) = "1", OFFSET($A$1, 683 - 1, 55 - 1) = "1" ), 1, IF( AND( OFFSET($A$1, 683 - 1, 54 - 1) = "1", OFFSET($A$1, 683 - 1, 55 - 1) = "0" ), 2, IF( AND( OFFSET($A$1, 683 - 1, 54 - 1) = "0", OFFSET($A$1, 683 - 1, 55 - 1) = "1" ), 3, 4 ) ) )</f>
        <v>1</v>
      </c>
    </row>
    <row r="684" spans="53:56" x14ac:dyDescent="0.35">
      <c r="BA684" s="3">
        <v>0.51241099164197701</v>
      </c>
      <c r="BB684" s="3" t="str">
        <f>"0"</f>
        <v>0</v>
      </c>
      <c r="BC684" t="str">
        <f ca="1">IF((OFFSET($A$1, 684 - 1, 53 - 1)) &gt;= (OFFSET($A$1, 69 - 1, 7 - 1)), "1","0")</f>
        <v>1</v>
      </c>
      <c r="BD684">
        <f ca="1" xml:space="preserve"> IF( AND( OFFSET($A$1, 684 - 1, 54 - 1) = "1", OFFSET($A$1, 684 - 1, 55 - 1) = "1" ), 1, IF( AND( OFFSET($A$1, 684 - 1, 54 - 1) = "1", OFFSET($A$1, 684 - 1, 55 - 1) = "0" ), 2, IF( AND( OFFSET($A$1, 684 - 1, 54 - 1) = "0", OFFSET($A$1, 684 - 1, 55 - 1) = "1" ), 3, 4 ) ) )</f>
        <v>3</v>
      </c>
    </row>
    <row r="685" spans="53:56" x14ac:dyDescent="0.35">
      <c r="BA685" s="3">
        <v>0.25071095130853754</v>
      </c>
      <c r="BB685" s="3" t="str">
        <f>"0"</f>
        <v>0</v>
      </c>
      <c r="BC685" t="str">
        <f ca="1">IF((OFFSET($A$1, 685 - 1, 53 - 1)) &gt;= (OFFSET($A$1, 69 - 1, 7 - 1)), "1","0")</f>
        <v>0</v>
      </c>
      <c r="BD685">
        <f ca="1" xml:space="preserve"> IF( AND( OFFSET($A$1, 685 - 1, 54 - 1) = "1", OFFSET($A$1, 685 - 1, 55 - 1) = "1" ), 1, IF( AND( OFFSET($A$1, 685 - 1, 54 - 1) = "1", OFFSET($A$1, 685 - 1, 55 - 1) = "0" ), 2, IF( AND( OFFSET($A$1, 685 - 1, 54 - 1) = "0", OFFSET($A$1, 685 - 1, 55 - 1) = "1" ), 3, 4 ) ) )</f>
        <v>4</v>
      </c>
    </row>
    <row r="686" spans="53:56" x14ac:dyDescent="0.35">
      <c r="BA686" s="3">
        <v>0.24956132394769845</v>
      </c>
      <c r="BB686" s="3" t="str">
        <f>"0"</f>
        <v>0</v>
      </c>
      <c r="BC686" t="str">
        <f ca="1">IF((OFFSET($A$1, 686 - 1, 53 - 1)) &gt;= (OFFSET($A$1, 69 - 1, 7 - 1)), "1","0")</f>
        <v>0</v>
      </c>
      <c r="BD686">
        <f ca="1" xml:space="preserve"> IF( AND( OFFSET($A$1, 686 - 1, 54 - 1) = "1", OFFSET($A$1, 686 - 1, 55 - 1) = "1" ), 1, IF( AND( OFFSET($A$1, 686 - 1, 54 - 1) = "1", OFFSET($A$1, 686 - 1, 55 - 1) = "0" ), 2, IF( AND( OFFSET($A$1, 686 - 1, 54 - 1) = "0", OFFSET($A$1, 686 - 1, 55 - 1) = "1" ), 3, 4 ) ) )</f>
        <v>4</v>
      </c>
    </row>
    <row r="687" spans="53:56" x14ac:dyDescent="0.35">
      <c r="BA687" s="3">
        <v>0.24841799326581743</v>
      </c>
      <c r="BB687" s="3" t="str">
        <f>"0"</f>
        <v>0</v>
      </c>
      <c r="BC687" t="str">
        <f ca="1">IF((OFFSET($A$1, 687 - 1, 53 - 1)) &gt;= (OFFSET($A$1, 69 - 1, 7 - 1)), "1","0")</f>
        <v>0</v>
      </c>
      <c r="BD687">
        <f ca="1" xml:space="preserve"> IF( AND( OFFSET($A$1, 687 - 1, 54 - 1) = "1", OFFSET($A$1, 687 - 1, 55 - 1) = "1" ), 1, IF( AND( OFFSET($A$1, 687 - 1, 54 - 1) = "1", OFFSET($A$1, 687 - 1, 55 - 1) = "0" ), 2, IF( AND( OFFSET($A$1, 687 - 1, 54 - 1) = "0", OFFSET($A$1, 687 - 1, 55 - 1) = "1" ), 3, 4 ) ) )</f>
        <v>4</v>
      </c>
    </row>
    <row r="688" spans="53:56" x14ac:dyDescent="0.35">
      <c r="BA688" s="3">
        <v>0.2472812756768949</v>
      </c>
      <c r="BB688" s="3" t="str">
        <f>"1"</f>
        <v>1</v>
      </c>
      <c r="BC688" t="str">
        <f ca="1">IF((OFFSET($A$1, 688 - 1, 53 - 1)) &gt;= (OFFSET($A$1, 69 - 1, 7 - 1)), "1","0")</f>
        <v>0</v>
      </c>
      <c r="BD688">
        <f ca="1" xml:space="preserve"> IF( AND( OFFSET($A$1, 688 - 1, 54 - 1) = "1", OFFSET($A$1, 688 - 1, 55 - 1) = "1" ), 1, IF( AND( OFFSET($A$1, 688 - 1, 54 - 1) = "1", OFFSET($A$1, 688 - 1, 55 - 1) = "0" ), 2, IF( AND( OFFSET($A$1, 688 - 1, 54 - 1) = "0", OFFSET($A$1, 688 - 1, 55 - 1) = "1" ), 3, 4 ) ) )</f>
        <v>2</v>
      </c>
    </row>
    <row r="689" spans="53:56" x14ac:dyDescent="0.35">
      <c r="BA689" s="3">
        <v>0.5047728097759604</v>
      </c>
      <c r="BB689" s="3" t="str">
        <f>"1"</f>
        <v>1</v>
      </c>
      <c r="BC689" t="str">
        <f ca="1">IF((OFFSET($A$1, 689 - 1, 53 - 1)) &gt;= (OFFSET($A$1, 69 - 1, 7 - 1)), "1","0")</f>
        <v>1</v>
      </c>
      <c r="BD689">
        <f ca="1" xml:space="preserve"> IF( AND( OFFSET($A$1, 689 - 1, 54 - 1) = "1", OFFSET($A$1, 689 - 1, 55 - 1) = "1" ), 1, IF( AND( OFFSET($A$1, 689 - 1, 54 - 1) = "1", OFFSET($A$1, 689 - 1, 55 - 1) = "0" ), 2, IF( AND( OFFSET($A$1, 689 - 1, 54 - 1) = "0", OFFSET($A$1, 689 - 1, 55 - 1) = "1" ), 3, 4 ) ) )</f>
        <v>1</v>
      </c>
    </row>
    <row r="690" spans="53:56" x14ac:dyDescent="0.35">
      <c r="BA690" s="3">
        <v>0.50325818629767616</v>
      </c>
      <c r="BB690" s="3" t="str">
        <f>"0"</f>
        <v>0</v>
      </c>
      <c r="BC690" t="str">
        <f ca="1">IF((OFFSET($A$1, 690 - 1, 53 - 1)) &gt;= (OFFSET($A$1, 69 - 1, 7 - 1)), "1","0")</f>
        <v>1</v>
      </c>
      <c r="BD690">
        <f ca="1" xml:space="preserve"> IF( AND( OFFSET($A$1, 690 - 1, 54 - 1) = "1", OFFSET($A$1, 690 - 1, 55 - 1) = "1" ), 1, IF( AND( OFFSET($A$1, 690 - 1, 54 - 1) = "1", OFFSET($A$1, 690 - 1, 55 - 1) = "0" ), 2, IF( AND( OFFSET($A$1, 690 - 1, 54 - 1) = "0", OFFSET($A$1, 690 - 1, 55 - 1) = "1" ), 3, 4 ) ) )</f>
        <v>3</v>
      </c>
    </row>
    <row r="691" spans="53:56" x14ac:dyDescent="0.35">
      <c r="BA691" s="3">
        <v>0.24391388673331546</v>
      </c>
      <c r="BB691" s="3" t="str">
        <f>"0"</f>
        <v>0</v>
      </c>
      <c r="BC691" t="str">
        <f ca="1">IF((OFFSET($A$1, 691 - 1, 53 - 1)) &gt;= (OFFSET($A$1, 69 - 1, 7 - 1)), "1","0")</f>
        <v>0</v>
      </c>
      <c r="BD691">
        <f ca="1" xml:space="preserve"> IF( AND( OFFSET($A$1, 691 - 1, 54 - 1) = "1", OFFSET($A$1, 691 - 1, 55 - 1) = "1" ), 1, IF( AND( OFFSET($A$1, 691 - 1, 54 - 1) = "1", OFFSET($A$1, 691 - 1, 55 - 1) = "0" ), 2, IF( AND( OFFSET($A$1, 691 - 1, 54 - 1) = "0", OFFSET($A$1, 691 - 1, 55 - 1) = "1" ), 3, 4 ) ) )</f>
        <v>4</v>
      </c>
    </row>
    <row r="692" spans="53:56" x14ac:dyDescent="0.35">
      <c r="BA692" s="3">
        <v>0.24280668007283357</v>
      </c>
      <c r="BB692" s="3" t="str">
        <f>"0"</f>
        <v>0</v>
      </c>
      <c r="BC692" t="str">
        <f ca="1">IF((OFFSET($A$1, 692 - 1, 53 - 1)) &gt;= (OFFSET($A$1, 69 - 1, 7 - 1)), "1","0")</f>
        <v>0</v>
      </c>
      <c r="BD692">
        <f ca="1" xml:space="preserve"> IF( AND( OFFSET($A$1, 692 - 1, 54 - 1) = "1", OFFSET($A$1, 692 - 1, 55 - 1) = "1" ), 1, IF( AND( OFFSET($A$1, 692 - 1, 54 - 1) = "1", OFFSET($A$1, 692 - 1, 55 - 1) = "0" ), 2, IF( AND( OFFSET($A$1, 692 - 1, 54 - 1) = "0", OFFSET($A$1, 692 - 1, 55 - 1) = "1" ), 3, 4 ) ) )</f>
        <v>4</v>
      </c>
    </row>
    <row r="693" spans="53:56" x14ac:dyDescent="0.35">
      <c r="BA693" s="3">
        <v>0.24170758889503194</v>
      </c>
      <c r="BB693" s="3" t="str">
        <f>"0"</f>
        <v>0</v>
      </c>
      <c r="BC693" t="str">
        <f ca="1">IF((OFFSET($A$1, 693 - 1, 53 - 1)) &gt;= (OFFSET($A$1, 69 - 1, 7 - 1)), "1","0")</f>
        <v>0</v>
      </c>
      <c r="BD693">
        <f ca="1" xml:space="preserve"> IF( AND( OFFSET($A$1, 693 - 1, 54 - 1) = "1", OFFSET($A$1, 693 - 1, 55 - 1) = "1" ), 1, IF( AND( OFFSET($A$1, 693 - 1, 54 - 1) = "1", OFFSET($A$1, 693 - 1, 55 - 1) = "0" ), 2, IF( AND( OFFSET($A$1, 693 - 1, 54 - 1) = "0", OFFSET($A$1, 693 - 1, 55 - 1) = "1" ), 3, 4 ) ) )</f>
        <v>4</v>
      </c>
    </row>
    <row r="694" spans="53:56" x14ac:dyDescent="0.35">
      <c r="BA694" s="3">
        <v>0.2406168973821172</v>
      </c>
      <c r="BB694" s="3" t="str">
        <f>"1"</f>
        <v>1</v>
      </c>
      <c r="BC694" t="str">
        <f ca="1">IF((OFFSET($A$1, 694 - 1, 53 - 1)) &gt;= (OFFSET($A$1, 69 - 1, 7 - 1)), "1","0")</f>
        <v>0</v>
      </c>
      <c r="BD694">
        <f ca="1" xml:space="preserve"> IF( AND( OFFSET($A$1, 694 - 1, 54 - 1) = "1", OFFSET($A$1, 694 - 1, 55 - 1) = "1" ), 1, IF( AND( OFFSET($A$1, 694 - 1, 54 - 1) = "1", OFFSET($A$1, 694 - 1, 55 - 1) = "0" ), 2, IF( AND( OFFSET($A$1, 694 - 1, 54 - 1) = "0", OFFSET($A$1, 694 - 1, 55 - 1) = "1" ), 3, 4 ) ) )</f>
        <v>2</v>
      </c>
    </row>
    <row r="695" spans="53:56" x14ac:dyDescent="0.35">
      <c r="BA695" s="3">
        <v>0.49577633881149286</v>
      </c>
      <c r="BB695" s="3" t="str">
        <f>"1"</f>
        <v>1</v>
      </c>
      <c r="BC695" t="str">
        <f ca="1">IF((OFFSET($A$1, 695 - 1, 53 - 1)) &gt;= (OFFSET($A$1, 69 - 1, 7 - 1)), "1","0")</f>
        <v>0</v>
      </c>
      <c r="BD695">
        <f ca="1" xml:space="preserve"> IF( AND( OFFSET($A$1, 695 - 1, 54 - 1) = "1", OFFSET($A$1, 695 - 1, 55 - 1) = "1" ), 1, IF( AND( OFFSET($A$1, 695 - 1, 54 - 1) = "1", OFFSET($A$1, 695 - 1, 55 - 1) = "0" ), 2, IF( AND( OFFSET($A$1, 695 - 1, 54 - 1) = "0", OFFSET($A$1, 695 - 1, 55 - 1) = "1" ), 3, 4 ) ) )</f>
        <v>2</v>
      </c>
    </row>
    <row r="696" spans="53:56" x14ac:dyDescent="0.35">
      <c r="BA696" s="3">
        <v>0.49430150963709735</v>
      </c>
      <c r="BB696" s="3" t="str">
        <f>"1"</f>
        <v>1</v>
      </c>
      <c r="BC696" t="str">
        <f ca="1">IF((OFFSET($A$1, 696 - 1, 53 - 1)) &gt;= (OFFSET($A$1, 69 - 1, 7 - 1)), "1","0")</f>
        <v>0</v>
      </c>
      <c r="BD696">
        <f ca="1" xml:space="preserve"> IF( AND( OFFSET($A$1, 696 - 1, 54 - 1) = "1", OFFSET($A$1, 696 - 1, 55 - 1) = "1" ), 1, IF( AND( OFFSET($A$1, 696 - 1, 54 - 1) = "1", OFFSET($A$1, 696 - 1, 55 - 1) = "0" ), 2, IF( AND( OFFSET($A$1, 696 - 1, 54 - 1) = "0", OFFSET($A$1, 696 - 1, 55 - 1) = "1" ), 3, 4 ) ) )</f>
        <v>2</v>
      </c>
    </row>
    <row r="697" spans="53:56" x14ac:dyDescent="0.35">
      <c r="BA697" s="3">
        <v>0.49283494265133282</v>
      </c>
      <c r="BB697" s="3" t="str">
        <f>"1"</f>
        <v>1</v>
      </c>
      <c r="BC697" t="str">
        <f ca="1">IF((OFFSET($A$1, 697 - 1, 53 - 1)) &gt;= (OFFSET($A$1, 69 - 1, 7 - 1)), "1","0")</f>
        <v>0</v>
      </c>
      <c r="BD697">
        <f ca="1" xml:space="preserve"> IF( AND( OFFSET($A$1, 697 - 1, 54 - 1) = "1", OFFSET($A$1, 697 - 1, 55 - 1) = "1" ), 1, IF( AND( OFFSET($A$1, 697 - 1, 54 - 1) = "1", OFFSET($A$1, 697 - 1, 55 - 1) = "0" ), 2, IF( AND( OFFSET($A$1, 697 - 1, 54 - 1) = "0", OFFSET($A$1, 697 - 1, 55 - 1) = "1" ), 3, 4 ) ) )</f>
        <v>2</v>
      </c>
    </row>
    <row r="698" spans="53:56" x14ac:dyDescent="0.35">
      <c r="BA698" s="3">
        <v>0.49137709516108097</v>
      </c>
      <c r="BB698" s="3" t="str">
        <f>"0"</f>
        <v>0</v>
      </c>
      <c r="BC698" t="str">
        <f ca="1">IF((OFFSET($A$1, 698 - 1, 53 - 1)) &gt;= (OFFSET($A$1, 69 - 1, 7 - 1)), "1","0")</f>
        <v>0</v>
      </c>
      <c r="BD698">
        <f ca="1" xml:space="preserve"> IF( AND( OFFSET($A$1, 698 - 1, 54 - 1) = "1", OFFSET($A$1, 698 - 1, 55 - 1) = "1" ), 1, IF( AND( OFFSET($A$1, 698 - 1, 54 - 1) = "1", OFFSET($A$1, 698 - 1, 55 - 1) = "0" ), 2, IF( AND( OFFSET($A$1, 698 - 1, 54 - 1) = "0", OFFSET($A$1, 698 - 1, 55 - 1) = "1" ), 3, 4 ) ) )</f>
        <v>4</v>
      </c>
    </row>
    <row r="699" spans="53:56" x14ac:dyDescent="0.35">
      <c r="BA699" s="3">
        <v>0.23529899317818545</v>
      </c>
      <c r="BB699" s="3" t="str">
        <f>"0"</f>
        <v>0</v>
      </c>
      <c r="BC699" t="str">
        <f ca="1">IF((OFFSET($A$1, 699 - 1, 53 - 1)) &gt;= (OFFSET($A$1, 69 - 1, 7 - 1)), "1","0")</f>
        <v>0</v>
      </c>
      <c r="BD699">
        <f ca="1" xml:space="preserve"> IF( AND( OFFSET($A$1, 699 - 1, 54 - 1) = "1", OFFSET($A$1, 699 - 1, 55 - 1) = "1" ), 1, IF( AND( OFFSET($A$1, 699 - 1, 54 - 1) = "1", OFFSET($A$1, 699 - 1, 55 - 1) = "0" ), 2, IF( AND( OFFSET($A$1, 699 - 1, 54 - 1) = "0", OFFSET($A$1, 699 - 1, 55 - 1) = "1" ), 3, 4 ) ) )</f>
        <v>4</v>
      </c>
    </row>
    <row r="700" spans="53:56" x14ac:dyDescent="0.35">
      <c r="BA700" s="3">
        <v>0.23426435659816031</v>
      </c>
      <c r="BB700" s="3" t="str">
        <f>"1"</f>
        <v>1</v>
      </c>
      <c r="BC700" t="str">
        <f ca="1">IF((OFFSET($A$1, 700 - 1, 53 - 1)) &gt;= (OFFSET($A$1, 69 - 1, 7 - 1)), "1","0")</f>
        <v>0</v>
      </c>
      <c r="BD700">
        <f ca="1" xml:space="preserve"> IF( AND( OFFSET($A$1, 700 - 1, 54 - 1) = "1", OFFSET($A$1, 700 - 1, 55 - 1) = "1" ), 1, IF( AND( OFFSET($A$1, 700 - 1, 54 - 1) = "1", OFFSET($A$1, 700 - 1, 55 - 1) = "0" ), 2, IF( AND( OFFSET($A$1, 700 - 1, 54 - 1) = "0", OFFSET($A$1, 700 - 1, 55 - 1) = "1" ), 3, 4 ) ) )</f>
        <v>2</v>
      </c>
    </row>
    <row r="701" spans="53:56" x14ac:dyDescent="0.35">
      <c r="BA701" s="3">
        <v>0.48706038813125563</v>
      </c>
      <c r="BB701" s="3" t="str">
        <f>"1"</f>
        <v>1</v>
      </c>
      <c r="BC701" t="str">
        <f ca="1">IF((OFFSET($A$1, 701 - 1, 53 - 1)) &gt;= (OFFSET($A$1, 69 - 1, 7 - 1)), "1","0")</f>
        <v>0</v>
      </c>
      <c r="BD701">
        <f ca="1" xml:space="preserve"> IF( AND( OFFSET($A$1, 701 - 1, 54 - 1) = "1", OFFSET($A$1, 701 - 1, 55 - 1) = "1" ), 1, IF( AND( OFFSET($A$1, 701 - 1, 54 - 1) = "1", OFFSET($A$1, 701 - 1, 55 - 1) = "0" ), 2, IF( AND( OFFSET($A$1, 701 - 1, 54 - 1) = "0", OFFSET($A$1, 701 - 1, 55 - 1) = "1" ), 3, 4 ) ) )</f>
        <v>2</v>
      </c>
    </row>
    <row r="702" spans="53:56" x14ac:dyDescent="0.35">
      <c r="BA702" s="3">
        <v>0.48564191761720998</v>
      </c>
      <c r="BB702" s="3" t="str">
        <f>"0"</f>
        <v>0</v>
      </c>
      <c r="BC702" t="str">
        <f ca="1">IF((OFFSET($A$1, 702 - 1, 53 - 1)) &gt;= (OFFSET($A$1, 69 - 1, 7 - 1)), "1","0")</f>
        <v>0</v>
      </c>
      <c r="BD702">
        <f ca="1" xml:space="preserve"> IF( AND( OFFSET($A$1, 702 - 1, 54 - 1) = "1", OFFSET($A$1, 702 - 1, 55 - 1) = "1" ), 1, IF( AND( OFFSET($A$1, 702 - 1, 54 - 1) = "1", OFFSET($A$1, 702 - 1, 55 - 1) = "0" ), 2, IF( AND( OFFSET($A$1, 702 - 1, 54 - 1) = "0", OFFSET($A$1, 702 - 1, 55 - 1) = "1" ), 3, 4 ) ) )</f>
        <v>4</v>
      </c>
    </row>
    <row r="703" spans="53:56" x14ac:dyDescent="0.35">
      <c r="BA703" s="3">
        <v>0.23122279850869851</v>
      </c>
      <c r="BB703" s="3" t="str">
        <f>"1"</f>
        <v>1</v>
      </c>
      <c r="BC703" t="str">
        <f ca="1">IF((OFFSET($A$1, 703 - 1, 53 - 1)) &gt;= (OFFSET($A$1, 69 - 1, 7 - 1)), "1","0")</f>
        <v>0</v>
      </c>
      <c r="BD703">
        <f ca="1" xml:space="preserve"> IF( AND( OFFSET($A$1, 703 - 1, 54 - 1) = "1", OFFSET($A$1, 703 - 1, 55 - 1) = "1" ), 1, IF( AND( OFFSET($A$1, 703 - 1, 54 - 1) = "1", OFFSET($A$1, 703 - 1, 55 - 1) = "0" ), 2, IF( AND( OFFSET($A$1, 703 - 1, 54 - 1) = "0", OFFSET($A$1, 703 - 1, 55 - 1) = "1" ), 3, 4 ) ) )</f>
        <v>2</v>
      </c>
    </row>
    <row r="704" spans="53:56" x14ac:dyDescent="0.35">
      <c r="BA704" s="3">
        <v>0.48283825652669277</v>
      </c>
      <c r="BB704" s="3" t="str">
        <f>"1"</f>
        <v>1</v>
      </c>
      <c r="BC704" t="str">
        <f ca="1">IF((OFFSET($A$1, 704 - 1, 53 - 1)) &gt;= (OFFSET($A$1, 69 - 1, 7 - 1)), "1","0")</f>
        <v>0</v>
      </c>
      <c r="BD704">
        <f ca="1" xml:space="preserve"> IF( AND( OFFSET($A$1, 704 - 1, 54 - 1) = "1", OFFSET($A$1, 704 - 1, 55 - 1) = "1" ), 1, IF( AND( OFFSET($A$1, 704 - 1, 54 - 1) = "1", OFFSET($A$1, 704 - 1, 55 - 1) = "0" ), 2, IF( AND( OFFSET($A$1, 704 - 1, 54 - 1) = "0", OFFSET($A$1, 704 - 1, 55 - 1) = "1" ), 3, 4 ) ) )</f>
        <v>2</v>
      </c>
    </row>
    <row r="705" spans="53:56" x14ac:dyDescent="0.35">
      <c r="BA705" s="3">
        <v>0.48145392779753682</v>
      </c>
      <c r="BB705" s="3" t="str">
        <f>"0"</f>
        <v>0</v>
      </c>
      <c r="BC705" t="str">
        <f ca="1">IF((OFFSET($A$1, 705 - 1, 53 - 1)) &gt;= (OFFSET($A$1, 69 - 1, 7 - 1)), "1","0")</f>
        <v>0</v>
      </c>
      <c r="BD705">
        <f ca="1" xml:space="preserve"> IF( AND( OFFSET($A$1, 705 - 1, 54 - 1) = "1", OFFSET($A$1, 705 - 1, 55 - 1) = "1" ), 1, IF( AND( OFFSET($A$1, 705 - 1, 54 - 1) = "1", OFFSET($A$1, 705 - 1, 55 - 1) = "0" ), 2, IF( AND( OFFSET($A$1, 705 - 1, 54 - 1) = "0", OFFSET($A$1, 705 - 1, 55 - 1) = "1" ), 3, 4 ) ) )</f>
        <v>4</v>
      </c>
    </row>
    <row r="706" spans="53:56" x14ac:dyDescent="0.35">
      <c r="BA706" s="3">
        <v>0.22827962304985128</v>
      </c>
      <c r="BB706" s="3" t="str">
        <f>"0"</f>
        <v>0</v>
      </c>
      <c r="BC706" t="str">
        <f ca="1">IF((OFFSET($A$1, 706 - 1, 53 - 1)) &gt;= (OFFSET($A$1, 69 - 1, 7 - 1)), "1","0")</f>
        <v>0</v>
      </c>
      <c r="BD706">
        <f ca="1" xml:space="preserve"> IF( AND( OFFSET($A$1, 706 - 1, 54 - 1) = "1", OFFSET($A$1, 706 - 1, 55 - 1) = "1" ), 1, IF( AND( OFFSET($A$1, 706 - 1, 54 - 1) = "1", OFFSET($A$1, 706 - 1, 55 - 1) = "0" ), 2, IF( AND( OFFSET($A$1, 706 - 1, 54 - 1) = "0", OFFSET($A$1, 706 - 1, 55 - 1) = "1" ), 3, 4 ) ) )</f>
        <v>4</v>
      </c>
    </row>
    <row r="707" spans="53:56" x14ac:dyDescent="0.35">
      <c r="BA707" s="3">
        <v>0.22732145456402619</v>
      </c>
      <c r="BB707" s="3" t="str">
        <f>"1"</f>
        <v>1</v>
      </c>
      <c r="BC707" t="str">
        <f ca="1">IF((OFFSET($A$1, 707 - 1, 53 - 1)) &gt;= (OFFSET($A$1, 69 - 1, 7 - 1)), "1","0")</f>
        <v>0</v>
      </c>
      <c r="BD707">
        <f ca="1" xml:space="preserve"> IF( AND( OFFSET($A$1, 707 - 1, 54 - 1) = "1", OFFSET($A$1, 707 - 1, 55 - 1) = "1" ), 1, IF( AND( OFFSET($A$1, 707 - 1, 54 - 1) = "1", OFFSET($A$1, 707 - 1, 55 - 1) = "0" ), 2, IF( AND( OFFSET($A$1, 707 - 1, 54 - 1) = "0", OFFSET($A$1, 707 - 1, 55 - 1) = "1" ), 3, 4 ) ) )</f>
        <v>2</v>
      </c>
    </row>
    <row r="708" spans="53:56" x14ac:dyDescent="0.35">
      <c r="BA708" s="3">
        <v>0.47737602000176749</v>
      </c>
      <c r="BB708" s="3" t="str">
        <f>"1"</f>
        <v>1</v>
      </c>
      <c r="BC708" t="str">
        <f ca="1">IF((OFFSET($A$1, 708 - 1, 53 - 1)) &gt;= (OFFSET($A$1, 69 - 1, 7 - 1)), "1","0")</f>
        <v>0</v>
      </c>
      <c r="BD708">
        <f ca="1" xml:space="preserve"> IF( AND( OFFSET($A$1, 708 - 1, 54 - 1) = "1", OFFSET($A$1, 708 - 1, 55 - 1) = "1" ), 1, IF( AND( OFFSET($A$1, 708 - 1, 54 - 1) = "1", OFFSET($A$1, 708 - 1, 55 - 1) = "0" ), 2, IF( AND( OFFSET($A$1, 708 - 1, 54 - 1) = "0", OFFSET($A$1, 708 - 1, 55 - 1) = "1" ), 3, 4 ) ) )</f>
        <v>2</v>
      </c>
    </row>
    <row r="709" spans="53:56" x14ac:dyDescent="0.35">
      <c r="BA709" s="3">
        <v>0.47604312302610097</v>
      </c>
      <c r="BB709" s="3" t="str">
        <f>"0"</f>
        <v>0</v>
      </c>
      <c r="BC709" t="str">
        <f ca="1">IF((OFFSET($A$1, 709 - 1, 53 - 1)) &gt;= (OFFSET($A$1, 69 - 1, 7 - 1)), "1","0")</f>
        <v>0</v>
      </c>
      <c r="BD709">
        <f ca="1" xml:space="preserve"> IF( AND( OFFSET($A$1, 709 - 1, 54 - 1) = "1", OFFSET($A$1, 709 - 1, 55 - 1) = "1" ), 1, IF( AND( OFFSET($A$1, 709 - 1, 54 - 1) = "1", OFFSET($A$1, 709 - 1, 55 - 1) = "0" ), 2, IF( AND( OFFSET($A$1, 709 - 1, 54 - 1) = "0", OFFSET($A$1, 709 - 1, 55 - 1) = "1" ), 3, 4 ) ) )</f>
        <v>4</v>
      </c>
    </row>
    <row r="710" spans="53:56" x14ac:dyDescent="0.35">
      <c r="BA710" s="3">
        <v>0.22451850892202357</v>
      </c>
      <c r="BB710" s="3" t="str">
        <f>"0"</f>
        <v>0</v>
      </c>
      <c r="BC710" t="str">
        <f ca="1">IF((OFFSET($A$1, 710 - 1, 53 - 1)) &gt;= (OFFSET($A$1, 69 - 1, 7 - 1)), "1","0")</f>
        <v>0</v>
      </c>
      <c r="BD710">
        <f ca="1" xml:space="preserve"> IF( AND( OFFSET($A$1, 710 - 1, 54 - 1) = "1", OFFSET($A$1, 710 - 1, 55 - 1) = "1" ), 1, IF( AND( OFFSET($A$1, 710 - 1, 54 - 1) = "1", OFFSET($A$1, 710 - 1, 55 - 1) = "0" ), 2, IF( AND( OFFSET($A$1, 710 - 1, 54 - 1) = "0", OFFSET($A$1, 710 - 1, 55 - 1) = "1" ), 3, 4 ) ) )</f>
        <v>4</v>
      </c>
    </row>
    <row r="711" spans="53:56" x14ac:dyDescent="0.35">
      <c r="BA711" s="3">
        <v>0.22360869905388794</v>
      </c>
      <c r="BB711" s="3" t="str">
        <f>"1"</f>
        <v>1</v>
      </c>
      <c r="BC711" t="str">
        <f ca="1">IF((OFFSET($A$1, 711 - 1, 53 - 1)) &gt;= (OFFSET($A$1, 69 - 1, 7 - 1)), "1","0")</f>
        <v>0</v>
      </c>
      <c r="BD711">
        <f ca="1" xml:space="preserve"> IF( AND( OFFSET($A$1, 711 - 1, 54 - 1) = "1", OFFSET($A$1, 711 - 1, 55 - 1) = "1" ), 1, IF( AND( OFFSET($A$1, 711 - 1, 54 - 1) = "1", OFFSET($A$1, 711 - 1, 55 - 1) = "0" ), 2, IF( AND( OFFSET($A$1, 711 - 1, 54 - 1) = "0", OFFSET($A$1, 711 - 1, 55 - 1) = "1" ), 3, 4 ) ) )</f>
        <v>2</v>
      </c>
    </row>
    <row r="712" spans="53:56" x14ac:dyDescent="0.35">
      <c r="BA712" s="3">
        <v>0.47212929512377494</v>
      </c>
      <c r="BB712" s="3" t="str">
        <f>"1"</f>
        <v>1</v>
      </c>
      <c r="BC712" t="str">
        <f ca="1">IF((OFFSET($A$1, 712 - 1, 53 - 1)) &gt;= (OFFSET($A$1, 69 - 1, 7 - 1)), "1","0")</f>
        <v>0</v>
      </c>
      <c r="BD712">
        <f ca="1" xml:space="preserve"> IF( AND( OFFSET($A$1, 712 - 1, 54 - 1) = "1", OFFSET($A$1, 712 - 1, 55 - 1) = "1" ), 1, IF( AND( OFFSET($A$1, 712 - 1, 54 - 1) = "1", OFFSET($A$1, 712 - 1, 55 - 1) = "0" ), 2, IF( AND( OFFSET($A$1, 712 - 1, 54 - 1) = "0", OFFSET($A$1, 712 - 1, 55 - 1) = "1" ), 3, 4 ) ) )</f>
        <v>2</v>
      </c>
    </row>
    <row r="713" spans="53:56" x14ac:dyDescent="0.35">
      <c r="BA713" s="3">
        <v>0.47085428110758898</v>
      </c>
      <c r="BB713" s="3" t="str">
        <f>"1"</f>
        <v>1</v>
      </c>
      <c r="BC713" t="str">
        <f ca="1">IF((OFFSET($A$1, 713 - 1, 53 - 1)) &gt;= (OFFSET($A$1, 69 - 1, 7 - 1)), "1","0")</f>
        <v>0</v>
      </c>
      <c r="BD713">
        <f ca="1" xml:space="preserve"> IF( AND( OFFSET($A$1, 713 - 1, 54 - 1) = "1", OFFSET($A$1, 713 - 1, 55 - 1) = "1" ), 1, IF( AND( OFFSET($A$1, 713 - 1, 54 - 1) = "1", OFFSET($A$1, 713 - 1, 55 - 1) = "0" ), 2, IF( AND( OFFSET($A$1, 713 - 1, 54 - 1) = "0", OFFSET($A$1, 713 - 1, 55 - 1) = "1" ), 3, 4 ) ) )</f>
        <v>2</v>
      </c>
    </row>
    <row r="714" spans="53:56" x14ac:dyDescent="0.35">
      <c r="BA714" s="3">
        <v>0.46959470423430799</v>
      </c>
      <c r="BB714" s="3" t="str">
        <f>"0"</f>
        <v>0</v>
      </c>
      <c r="BC714" t="str">
        <f ca="1">IF((OFFSET($A$1, 714 - 1, 53 - 1)) &gt;= (OFFSET($A$1, 69 - 1, 7 - 1)), "1","0")</f>
        <v>0</v>
      </c>
      <c r="BD714">
        <f ca="1" xml:space="preserve"> IF( AND( OFFSET($A$1, 714 - 1, 54 - 1) = "1", OFFSET($A$1, 714 - 1, 55 - 1) = "1" ), 1, IF( AND( OFFSET($A$1, 714 - 1, 54 - 1) = "1", OFFSET($A$1, 714 - 1, 55 - 1) = "0" ), 2, IF( AND( OFFSET($A$1, 714 - 1, 54 - 1) = "0", OFFSET($A$1, 714 - 1, 55 - 1) = "1" ), 3, 4 ) ) )</f>
        <v>4</v>
      </c>
    </row>
    <row r="715" spans="53:56" x14ac:dyDescent="0.35">
      <c r="BA715" s="3">
        <v>0.22009688593397642</v>
      </c>
      <c r="BB715" s="3" t="str">
        <f>"0"</f>
        <v>0</v>
      </c>
      <c r="BC715" t="str">
        <f ca="1">IF((OFFSET($A$1, 715 - 1, 53 - 1)) &gt;= (OFFSET($A$1, 69 - 1, 7 - 1)), "1","0")</f>
        <v>0</v>
      </c>
      <c r="BD715">
        <f ca="1" xml:space="preserve"> IF( AND( OFFSET($A$1, 715 - 1, 54 - 1) = "1", OFFSET($A$1, 715 - 1, 55 - 1) = "1" ), 1, IF( AND( OFFSET($A$1, 715 - 1, 54 - 1) = "1", OFFSET($A$1, 715 - 1, 55 - 1) = "0" ), 2, IF( AND( OFFSET($A$1, 715 - 1, 54 - 1) = "0", OFFSET($A$1, 715 - 1, 55 - 1) = "1" ), 3, 4 ) ) )</f>
        <v>4</v>
      </c>
    </row>
    <row r="716" spans="53:56" x14ac:dyDescent="0.35">
      <c r="BA716" s="3">
        <v>0.21925164972878719</v>
      </c>
      <c r="BB716" s="3" t="str">
        <f>"0"</f>
        <v>0</v>
      </c>
      <c r="BC716" t="str">
        <f ca="1">IF((OFFSET($A$1, 716 - 1, 53 - 1)) &gt;= (OFFSET($A$1, 69 - 1, 7 - 1)), "1","0")</f>
        <v>0</v>
      </c>
      <c r="BD716">
        <f ca="1" xml:space="preserve"> IF( AND( OFFSET($A$1, 716 - 1, 54 - 1) = "1", OFFSET($A$1, 716 - 1, 55 - 1) = "1" ), 1, IF( AND( OFFSET($A$1, 716 - 1, 54 - 1) = "1", OFFSET($A$1, 716 - 1, 55 - 1) = "0" ), 2, IF( AND( OFFSET($A$1, 716 - 1, 54 - 1) = "0", OFFSET($A$1, 716 - 1, 55 - 1) = "1" ), 3, 4 ) ) )</f>
        <v>4</v>
      </c>
    </row>
    <row r="717" spans="53:56" x14ac:dyDescent="0.35">
      <c r="BA717" s="3">
        <v>0.21841982686999806</v>
      </c>
      <c r="BB717" s="3" t="str">
        <f>"0"</f>
        <v>0</v>
      </c>
      <c r="BC717" t="str">
        <f ca="1">IF((OFFSET($A$1, 717 - 1, 53 - 1)) &gt;= (OFFSET($A$1, 69 - 1, 7 - 1)), "1","0")</f>
        <v>0</v>
      </c>
      <c r="BD717">
        <f ca="1" xml:space="preserve"> IF( AND( OFFSET($A$1, 717 - 1, 54 - 1) = "1", OFFSET($A$1, 717 - 1, 55 - 1) = "1" ), 1, IF( AND( OFFSET($A$1, 717 - 1, 54 - 1) = "1", OFFSET($A$1, 717 - 1, 55 - 1) = "0" ), 2, IF( AND( OFFSET($A$1, 717 - 1, 54 - 1) = "0", OFFSET($A$1, 717 - 1, 55 - 1) = "1" ), 3, 4 ) ) )</f>
        <v>4</v>
      </c>
    </row>
    <row r="718" spans="53:56" x14ac:dyDescent="0.35">
      <c r="BA718" s="3">
        <v>0.21760157196194035</v>
      </c>
      <c r="BB718" s="3" t="str">
        <f>"0"</f>
        <v>0</v>
      </c>
      <c r="BC718" t="str">
        <f ca="1">IF((OFFSET($A$1, 718 - 1, 53 - 1)) &gt;= (OFFSET($A$1, 69 - 1, 7 - 1)), "1","0")</f>
        <v>0</v>
      </c>
      <c r="BD718">
        <f ca="1" xml:space="preserve"> IF( AND( OFFSET($A$1, 718 - 1, 54 - 1) = "1", OFFSET($A$1, 718 - 1, 55 - 1) = "1" ), 1, IF( AND( OFFSET($A$1, 718 - 1, 54 - 1) = "1", OFFSET($A$1, 718 - 1, 55 - 1) = "0" ), 2, IF( AND( OFFSET($A$1, 718 - 1, 54 - 1) = "0", OFFSET($A$1, 718 - 1, 55 - 1) = "1" ), 3, 4 ) ) )</f>
        <v>4</v>
      </c>
    </row>
    <row r="719" spans="53:56" x14ac:dyDescent="0.35">
      <c r="BA719" s="3">
        <v>0.21679703477575687</v>
      </c>
      <c r="BB719" s="3" t="str">
        <f>"0"</f>
        <v>0</v>
      </c>
      <c r="BC719" t="str">
        <f ca="1">IF((OFFSET($A$1, 719 - 1, 53 - 1)) &gt;= (OFFSET($A$1, 69 - 1, 7 - 1)), "1","0")</f>
        <v>0</v>
      </c>
      <c r="BD719">
        <f ca="1" xml:space="preserve"> IF( AND( OFFSET($A$1, 719 - 1, 54 - 1) = "1", OFFSET($A$1, 719 - 1, 55 - 1) = "1" ), 1, IF( AND( OFFSET($A$1, 719 - 1, 54 - 1) = "1", OFFSET($A$1, 719 - 1, 55 - 1) = "0" ), 2, IF( AND( OFFSET($A$1, 719 - 1, 54 - 1) = "0", OFFSET($A$1, 719 - 1, 55 - 1) = "1" ), 3, 4 ) ) )</f>
        <v>4</v>
      </c>
    </row>
    <row r="720" spans="53:56" x14ac:dyDescent="0.35">
      <c r="BA720" s="3">
        <v>0.21600636032274489</v>
      </c>
      <c r="BB720" s="3" t="str">
        <f>"0"</f>
        <v>0</v>
      </c>
      <c r="BC720" t="str">
        <f ca="1">IF((OFFSET($A$1, 720 - 1, 53 - 1)) &gt;= (OFFSET($A$1, 69 - 1, 7 - 1)), "1","0")</f>
        <v>0</v>
      </c>
      <c r="BD720">
        <f ca="1" xml:space="preserve"> IF( AND( OFFSET($A$1, 720 - 1, 54 - 1) = "1", OFFSET($A$1, 720 - 1, 55 - 1) = "1" ), 1, IF( AND( OFFSET($A$1, 720 - 1, 54 - 1) = "1", OFFSET($A$1, 720 - 1, 55 - 1) = "0" ), 2, IF( AND( OFFSET($A$1, 720 - 1, 54 - 1) = "0", OFFSET($A$1, 720 - 1, 55 - 1) = "1" ), 3, 4 ) ) )</f>
        <v>4</v>
      </c>
    </row>
    <row r="721" spans="53:56" x14ac:dyDescent="0.35">
      <c r="BA721" s="3">
        <v>0.21522968892969901</v>
      </c>
      <c r="BB721" s="3" t="str">
        <f>"0"</f>
        <v>0</v>
      </c>
      <c r="BC721" t="str">
        <f ca="1">IF((OFFSET($A$1, 721 - 1, 53 - 1)) &gt;= (OFFSET($A$1, 69 - 1, 7 - 1)), "1","0")</f>
        <v>0</v>
      </c>
      <c r="BD721">
        <f ca="1" xml:space="preserve"> IF( AND( OFFSET($A$1, 721 - 1, 54 - 1) = "1", OFFSET($A$1, 721 - 1, 55 - 1) = "1" ), 1, IF( AND( OFFSET($A$1, 721 - 1, 54 - 1) = "1", OFFSET($A$1, 721 - 1, 55 - 1) = "0" ), 2, IF( AND( OFFSET($A$1, 721 - 1, 54 - 1) = "0", OFFSET($A$1, 721 - 1, 55 - 1) = "1" ), 3, 4 ) ) )</f>
        <v>4</v>
      </c>
    </row>
    <row r="722" spans="53:56" x14ac:dyDescent="0.35">
      <c r="BA722" s="3">
        <v>0.21446715631606883</v>
      </c>
      <c r="BB722" s="3" t="str">
        <f>"0"</f>
        <v>0</v>
      </c>
      <c r="BC722" t="str">
        <f ca="1">IF((OFFSET($A$1, 722 - 1, 53 - 1)) &gt;= (OFFSET($A$1, 69 - 1, 7 - 1)), "1","0")</f>
        <v>0</v>
      </c>
      <c r="BD722">
        <f ca="1" xml:space="preserve"> IF( AND( OFFSET($A$1, 722 - 1, 54 - 1) = "1", OFFSET($A$1, 722 - 1, 55 - 1) = "1" ), 1, IF( AND( OFFSET($A$1, 722 - 1, 54 - 1) = "1", OFFSET($A$1, 722 - 1, 55 - 1) = "0" ), 2, IF( AND( OFFSET($A$1, 722 - 1, 54 - 1) = "0", OFFSET($A$1, 722 - 1, 55 - 1) = "1" ), 3, 4 ) ) )</f>
        <v>4</v>
      </c>
    </row>
    <row r="723" spans="53:56" x14ac:dyDescent="0.35">
      <c r="BA723" s="3">
        <v>0.21371889367274355</v>
      </c>
      <c r="BB723" s="3" t="str">
        <f>"0"</f>
        <v>0</v>
      </c>
      <c r="BC723" t="str">
        <f ca="1">IF((OFFSET($A$1, 723 - 1, 53 - 1)) &gt;= (OFFSET($A$1, 69 - 1, 7 - 1)), "1","0")</f>
        <v>0</v>
      </c>
      <c r="BD723">
        <f ca="1" xml:space="preserve"> IF( AND( OFFSET($A$1, 723 - 1, 54 - 1) = "1", OFFSET($A$1, 723 - 1, 55 - 1) = "1" ), 1, IF( AND( OFFSET($A$1, 723 - 1, 54 - 1) = "1", OFFSET($A$1, 723 - 1, 55 - 1) = "0" ), 2, IF( AND( OFFSET($A$1, 723 - 1, 54 - 1) = "0", OFFSET($A$1, 723 - 1, 55 - 1) = "1" ), 3, 4 ) ) )</f>
        <v>4</v>
      </c>
    </row>
    <row r="724" spans="53:56" x14ac:dyDescent="0.35">
      <c r="BA724" s="3">
        <v>0.21298502774228148</v>
      </c>
      <c r="BB724" s="3" t="str">
        <f>"1"</f>
        <v>1</v>
      </c>
      <c r="BC724" t="str">
        <f ca="1">IF((OFFSET($A$1, 724 - 1, 53 - 1)) &gt;= (OFFSET($A$1, 69 - 1, 7 - 1)), "1","0")</f>
        <v>0</v>
      </c>
      <c r="BD724">
        <f ca="1" xml:space="preserve"> IF( AND( OFFSET($A$1, 724 - 1, 54 - 1) = "1", OFFSET($A$1, 724 - 1, 55 - 1) = "1" ), 1, IF( AND( OFFSET($A$1, 724 - 1, 54 - 1) = "1", OFFSET($A$1, 724 - 1, 55 - 1) = "0" ), 2, IF( AND( OFFSET($A$1, 724 - 1, 54 - 1) = "0", OFFSET($A$1, 724 - 1, 55 - 1) = "1" ), 3, 4 ) ) )</f>
        <v>2</v>
      </c>
    </row>
    <row r="725" spans="53:56" x14ac:dyDescent="0.35">
      <c r="BA725" s="3">
        <v>0.45686101145494634</v>
      </c>
      <c r="BB725" s="3" t="str">
        <f>"0"</f>
        <v>0</v>
      </c>
      <c r="BC725" t="str">
        <f ca="1">IF((OFFSET($A$1, 725 - 1, 53 - 1)) &gt;= (OFFSET($A$1, 69 - 1, 7 - 1)), "1","0")</f>
        <v>0</v>
      </c>
      <c r="BD725">
        <f ca="1" xml:space="preserve"> IF( AND( OFFSET($A$1, 725 - 1, 54 - 1) = "1", OFFSET($A$1, 725 - 1, 55 - 1) = "1" ), 1, IF( AND( OFFSET($A$1, 725 - 1, 54 - 1) = "1", OFFSET($A$1, 725 - 1, 55 - 1) = "0" ), 2, IF( AND( OFFSET($A$1, 725 - 1, 54 - 1) = "0", OFFSET($A$1, 725 - 1, 55 - 1) = "1" ), 3, 4 ) ) )</f>
        <v>4</v>
      </c>
    </row>
    <row r="726" spans="53:56" x14ac:dyDescent="0.35">
      <c r="BA726" s="3">
        <v>0.21156097123853898</v>
      </c>
      <c r="BB726" s="3" t="str">
        <f>"1"</f>
        <v>1</v>
      </c>
      <c r="BC726" t="str">
        <f ca="1">IF((OFFSET($A$1, 726 - 1, 53 - 1)) &gt;= (OFFSET($A$1, 69 - 1, 7 - 1)), "1","0")</f>
        <v>0</v>
      </c>
      <c r="BD726">
        <f ca="1" xml:space="preserve"> IF( AND( OFFSET($A$1, 726 - 1, 54 - 1) = "1", OFFSET($A$1, 726 - 1, 55 - 1) = "1" ), 1, IF( AND( OFFSET($A$1, 726 - 1, 54 - 1) = "1", OFFSET($A$1, 726 - 1, 55 - 1) = "0" ), 2, IF( AND( OFFSET($A$1, 726 - 1, 54 - 1) = "0", OFFSET($A$1, 726 - 1, 55 - 1) = "1" ), 3, 4 ) ) )</f>
        <v>2</v>
      </c>
    </row>
    <row r="727" spans="53:56" x14ac:dyDescent="0.35">
      <c r="BA727" s="3">
        <v>0.4547870849256499</v>
      </c>
      <c r="BB727" s="3" t="str">
        <f>"1"</f>
        <v>1</v>
      </c>
      <c r="BC727" t="str">
        <f ca="1">IF((OFFSET($A$1, 727 - 1, 53 - 1)) &gt;= (OFFSET($A$1, 69 - 1, 7 - 1)), "1","0")</f>
        <v>0</v>
      </c>
      <c r="BD727">
        <f ca="1" xml:space="preserve"> IF( AND( OFFSET($A$1, 727 - 1, 54 - 1) = "1", OFFSET($A$1, 727 - 1, 55 - 1) = "1" ), 1, IF( AND( OFFSET($A$1, 727 - 1, 54 - 1) = "1", OFFSET($A$1, 727 - 1, 55 - 1) = "0" ), 2, IF( AND( OFFSET($A$1, 727 - 1, 54 - 1) = "0", OFFSET($A$1, 727 - 1, 55 - 1) = "1" ), 3, 4 ) ) )</f>
        <v>2</v>
      </c>
    </row>
    <row r="728" spans="53:56" x14ac:dyDescent="0.35">
      <c r="BA728" s="3">
        <v>0.45378013932416006</v>
      </c>
      <c r="BB728" s="3" t="str">
        <f>"1"</f>
        <v>1</v>
      </c>
      <c r="BC728" t="str">
        <f ca="1">IF((OFFSET($A$1, 728 - 1, 53 - 1)) &gt;= (OFFSET($A$1, 69 - 1, 7 - 1)), "1","0")</f>
        <v>0</v>
      </c>
      <c r="BD728">
        <f ca="1" xml:space="preserve"> IF( AND( OFFSET($A$1, 728 - 1, 54 - 1) = "1", OFFSET($A$1, 728 - 1, 55 - 1) = "1" ), 1, IF( AND( OFFSET($A$1, 728 - 1, 54 - 1) = "1", OFFSET($A$1, 728 - 1, 55 - 1) = "0" ), 2, IF( AND( OFFSET($A$1, 728 - 1, 54 - 1) = "0", OFFSET($A$1, 728 - 1, 55 - 1) = "1" ), 3, 4 ) ) )</f>
        <v>2</v>
      </c>
    </row>
    <row r="729" spans="53:56" x14ac:dyDescent="0.35">
      <c r="BA729" s="3">
        <v>0.45279358635027711</v>
      </c>
      <c r="BB729" s="3" t="str">
        <f>"0"</f>
        <v>0</v>
      </c>
      <c r="BC729" t="str">
        <f ca="1">IF((OFFSET($A$1, 729 - 1, 53 - 1)) &gt;= (OFFSET($A$1, 69 - 1, 7 - 1)), "1","0")</f>
        <v>0</v>
      </c>
      <c r="BD729">
        <f ca="1" xml:space="preserve"> IF( AND( OFFSET($A$1, 729 - 1, 54 - 1) = "1", OFFSET($A$1, 729 - 1, 55 - 1) = "1" ), 1, IF( AND( OFFSET($A$1, 729 - 1, 54 - 1) = "1", OFFSET($A$1, 729 - 1, 55 - 1) = "0" ), 2, IF( AND( OFFSET($A$1, 729 - 1, 54 - 1) = "0", OFFSET($A$1, 729 - 1, 55 - 1) = "1" ), 3, 4 ) ) )</f>
        <v>4</v>
      </c>
    </row>
    <row r="730" spans="53:56" x14ac:dyDescent="0.35">
      <c r="BA730" s="3">
        <v>0.20889072096403452</v>
      </c>
      <c r="BB730" s="3" t="str">
        <f>"0"</f>
        <v>0</v>
      </c>
      <c r="BC730" t="str">
        <f ca="1">IF((OFFSET($A$1, 730 - 1, 53 - 1)) &gt;= (OFFSET($A$1, 69 - 1, 7 - 1)), "1","0")</f>
        <v>0</v>
      </c>
      <c r="BD730">
        <f ca="1" xml:space="preserve"> IF( AND( OFFSET($A$1, 730 - 1, 54 - 1) = "1", OFFSET($A$1, 730 - 1, 55 - 1) = "1" ), 1, IF( AND( OFFSET($A$1, 730 - 1, 54 - 1) = "1", OFFSET($A$1, 730 - 1, 55 - 1) = "0" ), 2, IF( AND( OFFSET($A$1, 730 - 1, 54 - 1) = "0", OFFSET($A$1, 730 - 1, 55 - 1) = "1" ), 3, 4 ) ) )</f>
        <v>4</v>
      </c>
    </row>
    <row r="731" spans="53:56" x14ac:dyDescent="0.35">
      <c r="BA731" s="3">
        <v>0.20826082450323982</v>
      </c>
      <c r="BB731" s="3" t="str">
        <f>"0"</f>
        <v>0</v>
      </c>
      <c r="BC731" t="str">
        <f ca="1">IF((OFFSET($A$1, 731 - 1, 53 - 1)) &gt;= (OFFSET($A$1, 69 - 1, 7 - 1)), "1","0")</f>
        <v>0</v>
      </c>
      <c r="BD731">
        <f ca="1" xml:space="preserve"> IF( AND( OFFSET($A$1, 731 - 1, 54 - 1) = "1", OFFSET($A$1, 731 - 1, 55 - 1) = "1" ), 1, IF( AND( OFFSET($A$1, 731 - 1, 54 - 1) = "1", OFFSET($A$1, 731 - 1, 55 - 1) = "0" ), 2, IF( AND( OFFSET($A$1, 731 - 1, 54 - 1) = "0", OFFSET($A$1, 731 - 1, 55 - 1) = "1" ), 3, 4 ) ) )</f>
        <v>4</v>
      </c>
    </row>
    <row r="732" spans="53:56" x14ac:dyDescent="0.35">
      <c r="BA732" s="3">
        <v>0.20764618851698644</v>
      </c>
      <c r="BB732" s="3" t="str">
        <f>"1"</f>
        <v>1</v>
      </c>
      <c r="BC732" t="str">
        <f ca="1">IF((OFFSET($A$1, 732 - 1, 53 - 1)) &gt;= (OFFSET($A$1, 69 - 1, 7 - 1)), "1","0")</f>
        <v>0</v>
      </c>
      <c r="BD732">
        <f ca="1" xml:space="preserve"> IF( AND( OFFSET($A$1, 732 - 1, 54 - 1) = "1", OFFSET($A$1, 732 - 1, 55 - 1) = "1" ), 1, IF( AND( OFFSET($A$1, 732 - 1, 54 - 1) = "1", OFFSET($A$1, 732 - 1, 55 - 1) = "0" ), 2, IF( AND( OFFSET($A$1, 732 - 1, 54 - 1) = "0", OFFSET($A$1, 732 - 1, 55 - 1) = "1" ), 3, 4 ) ) )</f>
        <v>2</v>
      </c>
    </row>
    <row r="733" spans="53:56" x14ac:dyDescent="0.35">
      <c r="BA733" s="3">
        <v>0.44905673822897246</v>
      </c>
      <c r="BB733" s="3" t="str">
        <f>"1"</f>
        <v>1</v>
      </c>
      <c r="BC733" t="str">
        <f ca="1">IF((OFFSET($A$1, 733 - 1, 53 - 1)) &gt;= (OFFSET($A$1, 69 - 1, 7 - 1)), "1","0")</f>
        <v>0</v>
      </c>
      <c r="BD733">
        <f ca="1" xml:space="preserve"> IF( AND( OFFSET($A$1, 733 - 1, 54 - 1) = "1", OFFSET($A$1, 733 - 1, 55 - 1) = "1" ), 1, IF( AND( OFFSET($A$1, 733 - 1, 54 - 1) = "1", OFFSET($A$1, 733 - 1, 55 - 1) = "0" ), 2, IF( AND( OFFSET($A$1, 733 - 1, 54 - 1) = "0", OFFSET($A$1, 733 - 1, 55 - 1) = "1" ), 3, 4 ) ) )</f>
        <v>2</v>
      </c>
    </row>
    <row r="734" spans="53:56" x14ac:dyDescent="0.35">
      <c r="BA734" s="3">
        <v>0.44817616594151838</v>
      </c>
      <c r="BB734" s="3" t="str">
        <f>"1"</f>
        <v>1</v>
      </c>
      <c r="BC734" t="str">
        <f ca="1">IF((OFFSET($A$1, 734 - 1, 53 - 1)) &gt;= (OFFSET($A$1, 69 - 1, 7 - 1)), "1","0")</f>
        <v>0</v>
      </c>
      <c r="BD734">
        <f ca="1" xml:space="preserve"> IF( AND( OFFSET($A$1, 734 - 1, 54 - 1) = "1", OFFSET($A$1, 734 - 1, 55 - 1) = "1" ), 1, IF( AND( OFFSET($A$1, 734 - 1, 54 - 1) = "1", OFFSET($A$1, 734 - 1, 55 - 1) = "0" ), 2, IF( AND( OFFSET($A$1, 734 - 1, 54 - 1) = "0", OFFSET($A$1, 734 - 1, 55 - 1) = "1" ), 3, 4 ) ) )</f>
        <v>2</v>
      </c>
    </row>
    <row r="735" spans="53:56" x14ac:dyDescent="0.35">
      <c r="BA735" s="3">
        <v>0.4473175447486844</v>
      </c>
      <c r="BB735" s="3" t="str">
        <f>"0"</f>
        <v>0</v>
      </c>
      <c r="BC735" t="str">
        <f ca="1">IF((OFFSET($A$1, 735 - 1, 53 - 1)) &gt;= (OFFSET($A$1, 69 - 1, 7 - 1)), "1","0")</f>
        <v>0</v>
      </c>
      <c r="BD735">
        <f ca="1" xml:space="preserve"> IF( AND( OFFSET($A$1, 735 - 1, 54 - 1) = "1", OFFSET($A$1, 735 - 1, 55 - 1) = "1" ), 1, IF( AND( OFFSET($A$1, 735 - 1, 54 - 1) = "1", OFFSET($A$1, 735 - 1, 55 - 1) = "0" ), 2, IF( AND( OFFSET($A$1, 735 - 1, 54 - 1) = "0", OFFSET($A$1, 735 - 1, 55 - 1) = "1" ), 3, 4 ) ) )</f>
        <v>4</v>
      </c>
    </row>
    <row r="736" spans="53:56" x14ac:dyDescent="0.35">
      <c r="BA736" s="3">
        <v>0.20534200508712563</v>
      </c>
      <c r="BB736" s="3" t="str">
        <f>"0"</f>
        <v>0</v>
      </c>
      <c r="BC736" t="str">
        <f ca="1">IF((OFFSET($A$1, 736 - 1, 53 - 1)) &gt;= (OFFSET($A$1, 69 - 1, 7 - 1)), "1","0")</f>
        <v>0</v>
      </c>
      <c r="BD736">
        <f ca="1" xml:space="preserve"> IF( AND( OFFSET($A$1, 736 - 1, 54 - 1) = "1", OFFSET($A$1, 736 - 1, 55 - 1) = "1" ), 1, IF( AND( OFFSET($A$1, 736 - 1, 54 - 1) = "1", OFFSET($A$1, 736 - 1, 55 - 1) = "0" ), 2, IF( AND( OFFSET($A$1, 736 - 1, 54 - 1) = "0", OFFSET($A$1, 736 - 1, 55 - 1) = "1" ), 3, 4 ) ) )</f>
        <v>4</v>
      </c>
    </row>
    <row r="737" spans="53:56" x14ac:dyDescent="0.35">
      <c r="BA737" s="3">
        <v>0.20480495763622386</v>
      </c>
      <c r="BB737" s="3" t="str">
        <f>"0"</f>
        <v>0</v>
      </c>
      <c r="BC737" t="str">
        <f ca="1">IF((OFFSET($A$1, 737 - 1, 53 - 1)) &gt;= (OFFSET($A$1, 69 - 1, 7 - 1)), "1","0")</f>
        <v>0</v>
      </c>
      <c r="BD737">
        <f ca="1" xml:space="preserve"> IF( AND( OFFSET($A$1, 737 - 1, 54 - 1) = "1", OFFSET($A$1, 737 - 1, 55 - 1) = "1" ), 1, IF( AND( OFFSET($A$1, 737 - 1, 54 - 1) = "1", OFFSET($A$1, 737 - 1, 55 - 1) = "0" ), 2, IF( AND( OFFSET($A$1, 737 - 1, 54 - 1) = "0", OFFSET($A$1, 737 - 1, 55 - 1) = "1" ), 3, 4 ) ) )</f>
        <v>4</v>
      </c>
    </row>
    <row r="738" spans="53:56" x14ac:dyDescent="0.35">
      <c r="BA738" s="3">
        <v>0.20428366106141568</v>
      </c>
      <c r="BB738" s="3" t="str">
        <f>"1"</f>
        <v>1</v>
      </c>
      <c r="BC738" t="str">
        <f ca="1">IF((OFFSET($A$1, 738 - 1, 53 - 1)) &gt;= (OFFSET($A$1, 69 - 1, 7 - 1)), "1","0")</f>
        <v>0</v>
      </c>
      <c r="BD738">
        <f ca="1" xml:space="preserve"> IF( AND( OFFSET($A$1, 738 - 1, 54 - 1) = "1", OFFSET($A$1, 738 - 1, 55 - 1) = "1" ), 1, IF( AND( OFFSET($A$1, 738 - 1, 54 - 1) = "1", OFFSET($A$1, 738 - 1, 55 - 1) = "0" ), 2, IF( AND( OFFSET($A$1, 738 - 1, 54 - 1) = "0", OFFSET($A$1, 738 - 1, 55 - 1) = "1" ), 3, 4 ) ) )</f>
        <v>2</v>
      </c>
    </row>
    <row r="739" spans="53:56" x14ac:dyDescent="0.35">
      <c r="BA739" s="3">
        <v>0.44410717436577818</v>
      </c>
      <c r="BB739" s="3" t="str">
        <f>"0"</f>
        <v>0</v>
      </c>
      <c r="BC739" t="str">
        <f ca="1">IF((OFFSET($A$1, 739 - 1, 53 - 1)) &gt;= (OFFSET($A$1, 69 - 1, 7 - 1)), "1","0")</f>
        <v>0</v>
      </c>
      <c r="BD739">
        <f ca="1" xml:space="preserve"> IF( AND( OFFSET($A$1, 739 - 1, 54 - 1) = "1", OFFSET($A$1, 739 - 1, 55 - 1) = "1" ), 1, IF( AND( OFFSET($A$1, 739 - 1, 54 - 1) = "1", OFFSET($A$1, 739 - 1, 55 - 1) = "0" ), 2, IF( AND( OFFSET($A$1, 739 - 1, 54 - 1) = "0", OFFSET($A$1, 739 - 1, 55 - 1) = "1" ), 3, 4 ) ) )</f>
        <v>4</v>
      </c>
    </row>
    <row r="740" spans="53:56" x14ac:dyDescent="0.35">
      <c r="BA740" s="3">
        <v>0.20328859778487218</v>
      </c>
      <c r="BB740" s="3" t="str">
        <f>"0"</f>
        <v>0</v>
      </c>
      <c r="BC740" t="str">
        <f ca="1">IF((OFFSET($A$1, 740 - 1, 53 - 1)) &gt;= (OFFSET($A$1, 69 - 1, 7 - 1)), "1","0")</f>
        <v>0</v>
      </c>
      <c r="BD740">
        <f ca="1" xml:space="preserve"> IF( AND( OFFSET($A$1, 740 - 1, 54 - 1) = "1", OFFSET($A$1, 740 - 1, 55 - 1) = "1" ), 1, IF( AND( OFFSET($A$1, 740 - 1, 54 - 1) = "1", OFFSET($A$1, 740 - 1, 55 - 1) = "0" ), 2, IF( AND( OFFSET($A$1, 740 - 1, 54 - 1) = "0", OFFSET($A$1, 740 - 1, 55 - 1) = "1" ), 3, 4 ) ) )</f>
        <v>4</v>
      </c>
    </row>
    <row r="741" spans="53:56" x14ac:dyDescent="0.35">
      <c r="BA741" s="3">
        <v>0.20281496201067944</v>
      </c>
      <c r="BB741" s="3" t="str">
        <f>"0"</f>
        <v>0</v>
      </c>
      <c r="BC741" t="str">
        <f ca="1">IF((OFFSET($A$1, 741 - 1, 53 - 1)) &gt;= (OFFSET($A$1, 69 - 1, 7 - 1)), "1","0")</f>
        <v>0</v>
      </c>
      <c r="BD741">
        <f ca="1" xml:space="preserve"> IF( AND( OFFSET($A$1, 741 - 1, 54 - 1) = "1", OFFSET($A$1, 741 - 1, 55 - 1) = "1" ), 1, IF( AND( OFFSET($A$1, 741 - 1, 54 - 1) = "1", OFFSET($A$1, 741 - 1, 55 - 1) = "0" ), 2, IF( AND( OFFSET($A$1, 741 - 1, 54 - 1) = "0", OFFSET($A$1, 741 - 1, 55 - 1) = "1" ), 3, 4 ) ) )</f>
        <v>4</v>
      </c>
    </row>
    <row r="742" spans="53:56" x14ac:dyDescent="0.35">
      <c r="BA742" s="3">
        <v>0.20235733912438578</v>
      </c>
      <c r="BB742" s="3" t="str">
        <f>"0"</f>
        <v>0</v>
      </c>
      <c r="BC742" t="str">
        <f ca="1">IF((OFFSET($A$1, 742 - 1, 53 - 1)) &gt;= (OFFSET($A$1, 69 - 1, 7 - 1)), "1","0")</f>
        <v>0</v>
      </c>
      <c r="BD742">
        <f ca="1" xml:space="preserve"> IF( AND( OFFSET($A$1, 742 - 1, 54 - 1) = "1", OFFSET($A$1, 742 - 1, 55 - 1) = "1" ), 1, IF( AND( OFFSET($A$1, 742 - 1, 54 - 1) = "1", OFFSET($A$1, 742 - 1, 55 - 1) = "0" ), 2, IF( AND( OFFSET($A$1, 742 - 1, 54 - 1) = "0", OFFSET($A$1, 742 - 1, 55 - 1) = "1" ), 3, 4 ) ) )</f>
        <v>4</v>
      </c>
    </row>
    <row r="743" spans="53:56" x14ac:dyDescent="0.35">
      <c r="BA743" s="3">
        <v>0.20191578724498183</v>
      </c>
      <c r="BB743" s="3" t="str">
        <f>"0"</f>
        <v>0</v>
      </c>
      <c r="BC743" t="str">
        <f ca="1">IF((OFFSET($A$1, 743 - 1, 53 - 1)) &gt;= (OFFSET($A$1, 69 - 1, 7 - 1)), "1","0")</f>
        <v>0</v>
      </c>
      <c r="BD743">
        <f ca="1" xml:space="preserve"> IF( AND( OFFSET($A$1, 743 - 1, 54 - 1) = "1", OFFSET($A$1, 743 - 1, 55 - 1) = "1" ), 1, IF( AND( OFFSET($A$1, 743 - 1, 54 - 1) = "1", OFFSET($A$1, 743 - 1, 55 - 1) = "0" ), 2, IF( AND( OFFSET($A$1, 743 - 1, 54 - 1) = "0", OFFSET($A$1, 743 - 1, 55 - 1) = "1" ), 3, 4 ) ) )</f>
        <v>4</v>
      </c>
    </row>
    <row r="744" spans="53:56" x14ac:dyDescent="0.35">
      <c r="BA744" s="3">
        <v>0.20149036168931045</v>
      </c>
      <c r="BB744" s="3" t="str">
        <f>"1"</f>
        <v>1</v>
      </c>
      <c r="BC744" t="str">
        <f ca="1">IF((OFFSET($A$1, 744 - 1, 53 - 1)) &gt;= (OFFSET($A$1, 69 - 1, 7 - 1)), "1","0")</f>
        <v>0</v>
      </c>
      <c r="BD744">
        <f ca="1" xml:space="preserve"> IF( AND( OFFSET($A$1, 744 - 1, 54 - 1) = "1", OFFSET($A$1, 744 - 1, 55 - 1) = "1" ), 1, IF( AND( OFFSET($A$1, 744 - 1, 54 - 1) = "1", OFFSET($A$1, 744 - 1, 55 - 1) = "0" ), 2, IF( AND( OFFSET($A$1, 744 - 1, 54 - 1) = "0", OFFSET($A$1, 744 - 1, 55 - 1) = "1" ), 3, 4 ) ) )</f>
        <v>2</v>
      </c>
    </row>
    <row r="745" spans="53:56" x14ac:dyDescent="0.35">
      <c r="BA745" s="3">
        <v>0.43998697889850069</v>
      </c>
      <c r="BB745" s="3" t="str">
        <f>"1"</f>
        <v>1</v>
      </c>
      <c r="BC745" t="str">
        <f ca="1">IF((OFFSET($A$1, 745 - 1, 53 - 1)) &gt;= (OFFSET($A$1, 69 - 1, 7 - 1)), "1","0")</f>
        <v>0</v>
      </c>
      <c r="BD745">
        <f ca="1" xml:space="preserve"> IF( AND( OFFSET($A$1, 745 - 1, 54 - 1) = "1", OFFSET($A$1, 745 - 1, 55 - 1) = "1" ), 1, IF( AND( OFFSET($A$1, 745 - 1, 54 - 1) = "1", OFFSET($A$1, 745 - 1, 55 - 1) = "0" ), 2, IF( AND( OFFSET($A$1, 745 - 1, 54 - 1) = "0", OFFSET($A$1, 745 - 1, 55 - 1) = "1" ), 3, 4 ) ) )</f>
        <v>2</v>
      </c>
    </row>
    <row r="746" spans="53:56" x14ac:dyDescent="0.35">
      <c r="BA746" s="3">
        <v>0.43938382226314027</v>
      </c>
      <c r="BB746" s="3" t="str">
        <f>"0"</f>
        <v>0</v>
      </c>
      <c r="BC746" t="str">
        <f ca="1">IF((OFFSET($A$1, 746 - 1, 53 - 1)) &gt;= (OFFSET($A$1, 69 - 1, 7 - 1)), "1","0")</f>
        <v>0</v>
      </c>
      <c r="BD746">
        <f ca="1" xml:space="preserve"> IF( AND( OFFSET($A$1, 746 - 1, 54 - 1) = "1", OFFSET($A$1, 746 - 1, 55 - 1) = "1" ), 1, IF( AND( OFFSET($A$1, 746 - 1, 54 - 1) = "1", OFFSET($A$1, 746 - 1, 55 - 1) = "0" ), 2, IF( AND( OFFSET($A$1, 746 - 1, 54 - 1) = "0", OFFSET($A$1, 746 - 1, 55 - 1) = "1" ), 3, 4 ) ) )</f>
        <v>4</v>
      </c>
    </row>
    <row r="747" spans="53:56" x14ac:dyDescent="0.35">
      <c r="BA747" s="3">
        <v>0.20031135561666449</v>
      </c>
      <c r="BB747" s="3" t="str">
        <f>"0"</f>
        <v>0</v>
      </c>
      <c r="BC747" t="str">
        <f ca="1">IF((OFFSET($A$1, 747 - 1, 53 - 1)) &gt;= (OFFSET($A$1, 69 - 1, 7 - 1)), "1","0")</f>
        <v>0</v>
      </c>
      <c r="BD747">
        <f ca="1" xml:space="preserve"> IF( AND( OFFSET($A$1, 747 - 1, 54 - 1) = "1", OFFSET($A$1, 747 - 1, 55 - 1) = "1" ), 1, IF( AND( OFFSET($A$1, 747 - 1, 54 - 1) = "1", OFFSET($A$1, 747 - 1, 55 - 1) = "0" ), 2, IF( AND( OFFSET($A$1, 747 - 1, 54 - 1) = "0", OFFSET($A$1, 747 - 1, 55 - 1) = "1" ), 3, 4 ) ) )</f>
        <v>4</v>
      </c>
    </row>
    <row r="748" spans="53:56" x14ac:dyDescent="0.35">
      <c r="BA748" s="3">
        <v>0.19995093498990077</v>
      </c>
      <c r="BB748" s="3" t="str">
        <f>"0"</f>
        <v>0</v>
      </c>
      <c r="BC748" t="str">
        <f ca="1">IF((OFFSET($A$1, 748 - 1, 53 - 1)) &gt;= (OFFSET($A$1, 69 - 1, 7 - 1)), "1","0")</f>
        <v>0</v>
      </c>
      <c r="BD748">
        <f ca="1" xml:space="preserve"> IF( AND( OFFSET($A$1, 748 - 1, 54 - 1) = "1", OFFSET($A$1, 748 - 1, 55 - 1) = "1" ), 1, IF( AND( OFFSET($A$1, 748 - 1, 54 - 1) = "1", OFFSET($A$1, 748 - 1, 55 - 1) = "0" ), 2, IF( AND( OFFSET($A$1, 748 - 1, 54 - 1) = "0", OFFSET($A$1, 748 - 1, 55 - 1) = "1" ), 3, 4 ) ) )</f>
        <v>4</v>
      </c>
    </row>
    <row r="749" spans="53:56" x14ac:dyDescent="0.35">
      <c r="BA749" s="3">
        <v>0.19960687772012398</v>
      </c>
      <c r="BB749" s="3" t="str">
        <f>"0"</f>
        <v>0</v>
      </c>
      <c r="BC749" t="str">
        <f ca="1">IF((OFFSET($A$1, 749 - 1, 53 - 1)) &gt;= (OFFSET($A$1, 69 - 1, 7 - 1)), "1","0")</f>
        <v>0</v>
      </c>
      <c r="BD749">
        <f ca="1" xml:space="preserve"> IF( AND( OFFSET($A$1, 749 - 1, 54 - 1) = "1", OFFSET($A$1, 749 - 1, 55 - 1) = "1" ), 1, IF( AND( OFFSET($A$1, 749 - 1, 54 - 1) = "1", OFFSET($A$1, 749 - 1, 55 - 1) = "0" ), 2, IF( AND( OFFSET($A$1, 749 - 1, 54 - 1) = "0", OFFSET($A$1, 749 - 1, 55 - 1) = "1" ), 3, 4 ) ) )</f>
        <v>4</v>
      </c>
    </row>
    <row r="750" spans="53:56" x14ac:dyDescent="0.35">
      <c r="BA750" s="3">
        <v>0.19927922377197271</v>
      </c>
      <c r="BB750" s="3" t="str">
        <f>"0"</f>
        <v>0</v>
      </c>
      <c r="BC750" t="str">
        <f ca="1">IF((OFFSET($A$1, 750 - 1, 53 - 1)) &gt;= (OFFSET($A$1, 69 - 1, 7 - 1)), "1","0")</f>
        <v>0</v>
      </c>
      <c r="BD750">
        <f ca="1" xml:space="preserve"> IF( AND( OFFSET($A$1, 750 - 1, 54 - 1) = "1", OFFSET($A$1, 750 - 1, 55 - 1) = "1" ), 1, IF( AND( OFFSET($A$1, 750 - 1, 54 - 1) = "1", OFFSET($A$1, 750 - 1, 55 - 1) = "0" ), 2, IF( AND( OFFSET($A$1, 750 - 1, 54 - 1) = "0", OFFSET($A$1, 750 - 1, 55 - 1) = "1" ), 3, 4 ) ) )</f>
        <v>4</v>
      </c>
    </row>
    <row r="751" spans="53:56" x14ac:dyDescent="0.35">
      <c r="BA751" s="3">
        <v>0.19896801077531975</v>
      </c>
      <c r="BB751" s="3" t="str">
        <f>"0"</f>
        <v>0</v>
      </c>
      <c r="BC751" t="str">
        <f ca="1">IF((OFFSET($A$1, 751 - 1, 53 - 1)) &gt;= (OFFSET($A$1, 69 - 1, 7 - 1)), "1","0")</f>
        <v>0</v>
      </c>
      <c r="BD751">
        <f ca="1" xml:space="preserve"> IF( AND( OFFSET($A$1, 751 - 1, 54 - 1) = "1", OFFSET($A$1, 751 - 1, 55 - 1) = "1" ), 1, IF( AND( OFFSET($A$1, 751 - 1, 54 - 1) = "1", OFFSET($A$1, 751 - 1, 55 - 1) = "0" ), 2, IF( AND( OFFSET($A$1, 751 - 1, 54 - 1) = "0", OFFSET($A$1, 751 - 1, 55 - 1) = "1" ), 3, 4 ) ) )</f>
        <v>4</v>
      </c>
    </row>
    <row r="752" spans="53:56" x14ac:dyDescent="0.35">
      <c r="BA752" s="3">
        <v>0.19867327408313482</v>
      </c>
      <c r="BB752" s="3" t="str">
        <f>"1"</f>
        <v>1</v>
      </c>
      <c r="BC752" t="str">
        <f ca="1">IF((OFFSET($A$1, 752 - 1, 53 - 1)) &gt;= (OFFSET($A$1, 69 - 1, 7 - 1)), "1","0")</f>
        <v>0</v>
      </c>
      <c r="BD752">
        <f ca="1" xml:space="preserve"> IF( AND( OFFSET($A$1, 752 - 1, 54 - 1) = "1", OFFSET($A$1, 752 - 1, 55 - 1) = "1" ), 1, IF( AND( OFFSET($A$1, 752 - 1, 54 - 1) = "1", OFFSET($A$1, 752 - 1, 55 - 1) = "0" ), 2, IF( AND( OFFSET($A$1, 752 - 1, 54 - 1) = "0", OFFSET($A$1, 752 - 1, 55 - 1) = "1" ), 3, 4 ) ) )</f>
        <v>2</v>
      </c>
    </row>
    <row r="753" spans="53:56" x14ac:dyDescent="0.35">
      <c r="BA753" s="3">
        <v>0.43585060957523769</v>
      </c>
      <c r="BB753" s="3" t="str">
        <f>"1"</f>
        <v>1</v>
      </c>
      <c r="BC753" t="str">
        <f ca="1">IF((OFFSET($A$1, 753 - 1, 53 - 1)) &gt;= (OFFSET($A$1, 69 - 1, 7 - 1)), "1","0")</f>
        <v>0</v>
      </c>
      <c r="BD753">
        <f ca="1" xml:space="preserve"> IF( AND( OFFSET($A$1, 753 - 1, 54 - 1) = "1", OFFSET($A$1, 753 - 1, 55 - 1) = "1" ), 1, IF( AND( OFFSET($A$1, 753 - 1, 54 - 1) = "1", OFFSET($A$1, 753 - 1, 55 - 1) = "0" ), 2, IF( AND( OFFSET($A$1, 753 - 1, 54 - 1) = "0", OFFSET($A$1, 753 - 1, 55 - 1) = "1" ), 3, 4 ) ) )</f>
        <v>2</v>
      </c>
    </row>
    <row r="754" spans="53:56" x14ac:dyDescent="0.35">
      <c r="BA754" s="3">
        <v>0.43544585459674584</v>
      </c>
      <c r="BB754" s="3" t="str">
        <f>"1"</f>
        <v>1</v>
      </c>
      <c r="BC754" t="str">
        <f ca="1">IF((OFFSET($A$1, 754 - 1, 53 - 1)) &gt;= (OFFSET($A$1, 69 - 1, 7 - 1)), "1","0")</f>
        <v>0</v>
      </c>
      <c r="BD754">
        <f ca="1" xml:space="preserve"> IF( AND( OFFSET($A$1, 754 - 1, 54 - 1) = "1", OFFSET($A$1, 754 - 1, 55 - 1) = "1" ), 1, IF( AND( OFFSET($A$1, 754 - 1, 54 - 1) = "1", OFFSET($A$1, 754 - 1, 55 - 1) = "0" ), 2, IF( AND( OFFSET($A$1, 754 - 1, 54 - 1) = "0", OFFSET($A$1, 754 - 1, 55 - 1) = "1" ), 3, 4 ) ) )</f>
        <v>2</v>
      </c>
    </row>
    <row r="755" spans="53:56" x14ac:dyDescent="0.35">
      <c r="BA755" s="3">
        <v>0.43506644040638293</v>
      </c>
      <c r="BB755" s="3" t="str">
        <f>"0"</f>
        <v>0</v>
      </c>
      <c r="BC755" t="str">
        <f ca="1">IF((OFFSET($A$1, 755 - 1, 53 - 1)) &gt;= (OFFSET($A$1, 69 - 1, 7 - 1)), "1","0")</f>
        <v>0</v>
      </c>
      <c r="BD755">
        <f ca="1" xml:space="preserve"> IF( AND( OFFSET($A$1, 755 - 1, 54 - 1) = "1", OFFSET($A$1, 755 - 1, 55 - 1) = "1" ), 1, IF( AND( OFFSET($A$1, 755 - 1, 54 - 1) = "1", OFFSET($A$1, 755 - 1, 55 - 1) = "0" ), 2, IF( AND( OFFSET($A$1, 755 - 1, 54 - 1) = "0", OFFSET($A$1, 755 - 1, 55 - 1) = "1" ), 3, 4 ) ) )</f>
        <v>4</v>
      </c>
    </row>
    <row r="756" spans="53:56" x14ac:dyDescent="0.35">
      <c r="BA756" s="3">
        <v>0.19765972075630506</v>
      </c>
      <c r="BB756" s="3" t="str">
        <f>"0"</f>
        <v>0</v>
      </c>
      <c r="BC756" t="str">
        <f ca="1">IF((OFFSET($A$1, 756 - 1, 53 - 1)) &gt;= (OFFSET($A$1, 69 - 1, 7 - 1)), "1","0")</f>
        <v>0</v>
      </c>
      <c r="BD756">
        <f ca="1" xml:space="preserve"> IF( AND( OFFSET($A$1, 756 - 1, 54 - 1) = "1", OFFSET($A$1, 756 - 1, 55 - 1) = "1" ), 1, IF( AND( OFFSET($A$1, 756 - 1, 54 - 1) = "1", OFFSET($A$1, 756 - 1, 55 - 1) = "0" ), 2, IF( AND( OFFSET($A$1, 756 - 1, 54 - 1) = "0", OFFSET($A$1, 756 - 1, 55 - 1) = "1" ), 3, 4 ) ) )</f>
        <v>4</v>
      </c>
    </row>
    <row r="757" spans="53:56" x14ac:dyDescent="0.35">
      <c r="BA757" s="3">
        <v>0.19744781992137689</v>
      </c>
      <c r="BB757" s="3" t="str">
        <f>"1"</f>
        <v>1</v>
      </c>
      <c r="BC757" t="str">
        <f ca="1">IF((OFFSET($A$1, 757 - 1, 53 - 1)) &gt;= (OFFSET($A$1, 69 - 1, 7 - 1)), "1","0")</f>
        <v>0</v>
      </c>
      <c r="BD757">
        <f ca="1" xml:space="preserve"> IF( AND( OFFSET($A$1, 757 - 1, 54 - 1) = "1", OFFSET($A$1, 757 - 1, 55 - 1) = "1" ), 1, IF( AND( OFFSET($A$1, 757 - 1, 54 - 1) = "1", OFFSET($A$1, 757 - 1, 55 - 1) = "0" ), 2, IF( AND( OFFSET($A$1, 757 - 1, 54 - 1) = "0", OFFSET($A$1, 757 - 1, 55 - 1) = "1" ), 3, 4 ) ) )</f>
        <v>2</v>
      </c>
    </row>
    <row r="758" spans="53:56" x14ac:dyDescent="0.35">
      <c r="BA758" s="3">
        <v>0.43408118421964192</v>
      </c>
      <c r="BB758" s="3" t="str">
        <f>"1"</f>
        <v>1</v>
      </c>
      <c r="BC758" t="str">
        <f ca="1">IF((OFFSET($A$1, 758 - 1, 53 - 1)) &gt;= (OFFSET($A$1, 69 - 1, 7 - 1)), "1","0")</f>
        <v>0</v>
      </c>
      <c r="BD758">
        <f ca="1" xml:space="preserve"> IF( AND( OFFSET($A$1, 758 - 1, 54 - 1) = "1", OFFSET($A$1, 758 - 1, 55 - 1) = "1" ), 1, IF( AND( OFFSET($A$1, 758 - 1, 54 - 1) = "1", OFFSET($A$1, 758 - 1, 55 - 1) = "0" ), 2, IF( AND( OFFSET($A$1, 758 - 1, 54 - 1) = "0", OFFSET($A$1, 758 - 1, 55 - 1) = "1" ), 3, 4 ) ) )</f>
        <v>2</v>
      </c>
    </row>
    <row r="759" spans="53:56" x14ac:dyDescent="0.35">
      <c r="BA759" s="3">
        <v>0.43380404124066835</v>
      </c>
      <c r="BB759" s="3" t="str">
        <f>"1"</f>
        <v>1</v>
      </c>
      <c r="BC759" t="str">
        <f ca="1">IF((OFFSET($A$1, 759 - 1, 53 - 1)) &gt;= (OFFSET($A$1, 69 - 1, 7 - 1)), "1","0")</f>
        <v>0</v>
      </c>
      <c r="BD759">
        <f ca="1" xml:space="preserve"> IF( AND( OFFSET($A$1, 759 - 1, 54 - 1) = "1", OFFSET($A$1, 759 - 1, 55 - 1) = "1" ), 1, IF( AND( OFFSET($A$1, 759 - 1, 54 - 1) = "1", OFFSET($A$1, 759 - 1, 55 - 1) = "0" ), 2, IF( AND( OFFSET($A$1, 759 - 1, 54 - 1) = "0", OFFSET($A$1, 759 - 1, 55 - 1) = "1" ), 3, 4 ) ) )</f>
        <v>2</v>
      </c>
    </row>
    <row r="760" spans="53:56" x14ac:dyDescent="0.35">
      <c r="BA760" s="3">
        <v>0.43355265953691108</v>
      </c>
      <c r="BB760" s="3" t="str">
        <f>"1"</f>
        <v>1</v>
      </c>
      <c r="BC760" t="str">
        <f ca="1">IF((OFFSET($A$1, 760 - 1, 53 - 1)) &gt;= (OFFSET($A$1, 69 - 1, 7 - 1)), "1","0")</f>
        <v>0</v>
      </c>
      <c r="BD760">
        <f ca="1" xml:space="preserve"> IF( AND( OFFSET($A$1, 760 - 1, 54 - 1) = "1", OFFSET($A$1, 760 - 1, 55 - 1) = "1" ), 1, IF( AND( OFFSET($A$1, 760 - 1, 54 - 1) = "1", OFFSET($A$1, 760 - 1, 55 - 1) = "0" ), 2, IF( AND( OFFSET($A$1, 760 - 1, 54 - 1) = "0", OFFSET($A$1, 760 - 1, 55 - 1) = "1" ), 3, 4 ) ) )</f>
        <v>2</v>
      </c>
    </row>
    <row r="761" spans="53:56" x14ac:dyDescent="0.35">
      <c r="BA761" s="3">
        <v>0.43332710313243494</v>
      </c>
      <c r="BB761" s="3" t="str">
        <f>"1"</f>
        <v>1</v>
      </c>
      <c r="BC761" t="str">
        <f ca="1">IF((OFFSET($A$1, 761 - 1, 53 - 1)) &gt;= (OFFSET($A$1, 69 - 1, 7 - 1)), "1","0")</f>
        <v>0</v>
      </c>
      <c r="BD761">
        <f ca="1" xml:space="preserve"> IF( AND( OFFSET($A$1, 761 - 1, 54 - 1) = "1", OFFSET($A$1, 761 - 1, 55 - 1) = "1" ), 1, IF( AND( OFFSET($A$1, 761 - 1, 54 - 1) = "1", OFFSET($A$1, 761 - 1, 55 - 1) = "0" ), 2, IF( AND( OFFSET($A$1, 761 - 1, 54 - 1) = "0", OFFSET($A$1, 761 - 1, 55 - 1) = "1" ), 3, 4 ) ) )</f>
        <v>2</v>
      </c>
    </row>
    <row r="762" spans="53:56" x14ac:dyDescent="0.35">
      <c r="BA762" s="3">
        <v>0.43312742939235721</v>
      </c>
      <c r="BB762" s="3" t="str">
        <f>"0"</f>
        <v>0</v>
      </c>
      <c r="BC762" t="str">
        <f ca="1">IF((OFFSET($A$1, 762 - 1, 53 - 1)) &gt;= (OFFSET($A$1, 69 - 1, 7 - 1)), "1","0")</f>
        <v>0</v>
      </c>
      <c r="BD762">
        <f ca="1" xml:space="preserve"> IF( AND( OFFSET($A$1, 762 - 1, 54 - 1) = "1", OFFSET($A$1, 762 - 1, 55 - 1) = "1" ), 1, IF( AND( OFFSET($A$1, 762 - 1, 54 - 1) = "1", OFFSET($A$1, 762 - 1, 55 - 1) = "0" ), 2, IF( AND( OFFSET($A$1, 762 - 1, 54 - 1) = "0", OFFSET($A$1, 762 - 1, 55 - 1) = "1" ), 3, 4 ) ) )</f>
        <v>4</v>
      </c>
    </row>
    <row r="763" spans="53:56" x14ac:dyDescent="0.35">
      <c r="BA763" s="3">
        <v>0.1965265914540813</v>
      </c>
      <c r="BB763" s="3" t="str">
        <f>"0"</f>
        <v>0</v>
      </c>
      <c r="BC763" t="str">
        <f ca="1">IF((OFFSET($A$1, 763 - 1, 53 - 1)) &gt;= (OFFSET($A$1, 69 - 1, 7 - 1)), "1","0")</f>
        <v>0</v>
      </c>
      <c r="BD763">
        <f ca="1" xml:space="preserve"> IF( AND( OFFSET($A$1, 763 - 1, 54 - 1) = "1", OFFSET($A$1, 763 - 1, 55 - 1) = "1" ), 1, IF( AND( OFFSET($A$1, 763 - 1, 54 - 1) = "1", OFFSET($A$1, 763 - 1, 55 - 1) = "0" ), 2, IF( AND( OFFSET($A$1, 763 - 1, 54 - 1) = "0", OFFSET($A$1, 763 - 1, 55 - 1) = "1" ), 3, 4 ) ) )</f>
        <v>4</v>
      </c>
    </row>
    <row r="764" spans="53:56" x14ac:dyDescent="0.35">
      <c r="BA764" s="3">
        <v>0.19643156676672538</v>
      </c>
      <c r="BB764" s="3" t="str">
        <f>"1"</f>
        <v>1</v>
      </c>
      <c r="BC764" t="str">
        <f ca="1">IF((OFFSET($A$1, 764 - 1, 53 - 1)) &gt;= (OFFSET($A$1, 69 - 1, 7 - 1)), "1","0")</f>
        <v>0</v>
      </c>
      <c r="BD764">
        <f ca="1" xml:space="preserve"> IF( AND( OFFSET($A$1, 764 - 1, 54 - 1) = "1", OFFSET($A$1, 764 - 1, 55 - 1) = "1" ), 1, IF( AND( OFFSET($A$1, 764 - 1, 54 - 1) = "1", OFFSET($A$1, 764 - 1, 55 - 1) = "0" ), 2, IF( AND( OFFSET($A$1, 764 - 1, 54 - 1) = "0", OFFSET($A$1, 764 - 1, 55 - 1) = "1" ), 3, 4 ) ) )</f>
        <v>2</v>
      </c>
    </row>
    <row r="765" spans="53:56" x14ac:dyDescent="0.35">
      <c r="BA765" s="3">
        <v>0.43268417816406973</v>
      </c>
      <c r="BB765" s="3" t="str">
        <f>"1"</f>
        <v>1</v>
      </c>
      <c r="BC765" t="str">
        <f ca="1">IF((OFFSET($A$1, 765 - 1, 53 - 1)) &gt;= (OFFSET($A$1, 69 - 1, 7 - 1)), "1","0")</f>
        <v>0</v>
      </c>
      <c r="BD765">
        <f ca="1" xml:space="preserve"> IF( AND( OFFSET($A$1, 765 - 1, 54 - 1) = "1", OFFSET($A$1, 765 - 1, 55 - 1) = "1" ), 1, IF( AND( OFFSET($A$1, 765 - 1, 54 - 1) = "1", OFFSET($A$1, 765 - 1, 55 - 1) = "0" ), 2, IF( AND( OFFSET($A$1, 765 - 1, 54 - 1) = "0", OFFSET($A$1, 765 - 1, 55 - 1) = "1" ), 3, 4 ) ) )</f>
        <v>2</v>
      </c>
    </row>
    <row r="766" spans="53:56" x14ac:dyDescent="0.35">
      <c r="BA766" s="3">
        <v>0.43258847594021627</v>
      </c>
      <c r="BB766" s="3" t="str">
        <f>"0"</f>
        <v>0</v>
      </c>
      <c r="BC766" t="str">
        <f ca="1">IF((OFFSET($A$1, 766 - 1, 53 - 1)) &gt;= (OFFSET($A$1, 69 - 1, 7 - 1)), "1","0")</f>
        <v>0</v>
      </c>
      <c r="BD766">
        <f ca="1" xml:space="preserve"> IF( AND( OFFSET($A$1, 766 - 1, 54 - 1) = "1", OFFSET($A$1, 766 - 1, 55 - 1) = "1" ), 1, IF( AND( OFFSET($A$1, 766 - 1, 54 - 1) = "1", OFFSET($A$1, 766 - 1, 55 - 1) = "0" ), 2, IF( AND( OFFSET($A$1, 766 - 1, 54 - 1) = "0", OFFSET($A$1, 766 - 1, 55 - 1) = "1" ), 3, 4 ) ) )</f>
        <v>4</v>
      </c>
    </row>
    <row r="767" spans="53:56" x14ac:dyDescent="0.35">
      <c r="BA767" s="3">
        <v>0.19624702449037232</v>
      </c>
      <c r="BB767" s="3" t="str">
        <f>"0"</f>
        <v>0</v>
      </c>
      <c r="BC767" t="str">
        <f ca="1">IF((OFFSET($A$1, 767 - 1, 53 - 1)) &gt;= (OFFSET($A$1, 69 - 1, 7 - 1)), "1","0")</f>
        <v>0</v>
      </c>
      <c r="BD767">
        <f ca="1" xml:space="preserve"> IF( AND( OFFSET($A$1, 767 - 1, 54 - 1) = "1", OFFSET($A$1, 767 - 1, 55 - 1) = "1" ), 1, IF( AND( OFFSET($A$1, 767 - 1, 54 - 1) = "1", OFFSET($A$1, 767 - 1, 55 - 1) = "0" ), 2, IF( AND( OFFSET($A$1, 767 - 1, 54 - 1) = "0", OFFSET($A$1, 767 - 1, 55 - 1) = "1" ), 3, 4 ) ) )</f>
        <v>4</v>
      </c>
    </row>
    <row r="768" spans="53:56" x14ac:dyDescent="0.35">
      <c r="BA768" s="3">
        <v>0.19621904203085902</v>
      </c>
      <c r="BB768" s="3" t="str">
        <f>"0"</f>
        <v>0</v>
      </c>
      <c r="BC768" t="str">
        <f ca="1">IF((OFFSET($A$1, 768 - 1, 53 - 1)) &gt;= (OFFSET($A$1, 69 - 1, 7 - 1)), "1","0")</f>
        <v>0</v>
      </c>
      <c r="BD768">
        <f ca="1" xml:space="preserve"> IF( AND( OFFSET($A$1, 768 - 1, 54 - 1) = "1", OFFSET($A$1, 768 - 1, 55 - 1) = "1" ), 1, IF( AND( OFFSET($A$1, 768 - 1, 54 - 1) = "1", OFFSET($A$1, 768 - 1, 55 - 1) = "0" ), 2, IF( AND( OFFSET($A$1, 768 - 1, 54 - 1) = "0", OFFSET($A$1, 768 - 1, 55 - 1) = "1" ), 3, 4 ) ) )</f>
        <v>4</v>
      </c>
    </row>
    <row r="769" spans="53:56" x14ac:dyDescent="0.35">
      <c r="BA769" s="3">
        <v>0.19620783158782532</v>
      </c>
      <c r="BB769" s="3" t="str">
        <f>"0"</f>
        <v>0</v>
      </c>
      <c r="BC769" t="str">
        <f ca="1">IF((OFFSET($A$1, 769 - 1, 53 - 1)) &gt;= (OFFSET($A$1, 69 - 1, 7 - 1)), "1","0")</f>
        <v>0</v>
      </c>
      <c r="BD769">
        <f ca="1" xml:space="preserve"> IF( AND( OFFSET($A$1, 769 - 1, 54 - 1) = "1", OFFSET($A$1, 769 - 1, 55 - 1) = "1" ), 1, IF( AND( OFFSET($A$1, 769 - 1, 54 - 1) = "1", OFFSET($A$1, 769 - 1, 55 - 1) = "0" ), 2, IF( AND( OFFSET($A$1, 769 - 1, 54 - 1) = "0", OFFSET($A$1, 769 - 1, 55 - 1) = "1" ), 3, 4 ) ) )</f>
        <v>4</v>
      </c>
    </row>
    <row r="770" spans="53:56" x14ac:dyDescent="0.35">
      <c r="BA770" s="3">
        <v>0.19621339430588819</v>
      </c>
      <c r="BB770" s="3" t="str">
        <f>"1"</f>
        <v>1</v>
      </c>
      <c r="BC770" t="str">
        <f ca="1">IF((OFFSET($A$1, 770 - 1, 53 - 1)) &gt;= (OFFSET($A$1, 69 - 1, 7 - 1)), "1","0")</f>
        <v>0</v>
      </c>
      <c r="BD770">
        <f ca="1" xml:space="preserve"> IF( AND( OFFSET($A$1, 770 - 1, 54 - 1) = "1", OFFSET($A$1, 770 - 1, 55 - 1) = "1" ), 1, IF( AND( OFFSET($A$1, 770 - 1, 54 - 1) = "1", OFFSET($A$1, 770 - 1, 55 - 1) = "0" ), 2, IF( AND( OFFSET($A$1, 770 - 1, 54 - 1) = "0", OFFSET($A$1, 770 - 1, 55 - 1) = "1" ), 3, 4 ) ) )</f>
        <v>2</v>
      </c>
    </row>
    <row r="771" spans="53:56" x14ac:dyDescent="0.35">
      <c r="BA771" s="3">
        <v>0.43250126771279651</v>
      </c>
      <c r="BB771" s="3" t="str">
        <f>"1"</f>
        <v>1</v>
      </c>
      <c r="BC771" t="str">
        <f ca="1">IF((OFFSET($A$1, 771 - 1, 53 - 1)) &gt;= (OFFSET($A$1, 69 - 1, 7 - 1)), "1","0")</f>
        <v>0</v>
      </c>
      <c r="BD771">
        <f ca="1" xml:space="preserve"> IF( AND( OFFSET($A$1, 771 - 1, 54 - 1) = "1", OFFSET($A$1, 771 - 1, 55 - 1) = "1" ), 1, IF( AND( OFFSET($A$1, 771 - 1, 54 - 1) = "1", OFFSET($A$1, 771 - 1, 55 - 1) = "0" ), 2, IF( AND( OFFSET($A$1, 771 - 1, 54 - 1) = "0", OFFSET($A$1, 771 - 1, 55 - 1) = "1" ), 3, 4 ) ) )</f>
        <v>2</v>
      </c>
    </row>
    <row r="772" spans="53:56" x14ac:dyDescent="0.35">
      <c r="BA772" s="3">
        <v>0.43256211752872314</v>
      </c>
      <c r="BB772" s="3" t="str">
        <f>"1"</f>
        <v>1</v>
      </c>
      <c r="BC772" t="str">
        <f ca="1">IF((OFFSET($A$1, 772 - 1, 53 - 1)) &gt;= (OFFSET($A$1, 69 - 1, 7 - 1)), "1","0")</f>
        <v>0</v>
      </c>
      <c r="BD772">
        <f ca="1" xml:space="preserve"> IF( AND( OFFSET($A$1, 772 - 1, 54 - 1) = "1", OFFSET($A$1, 772 - 1, 55 - 1) = "1" ), 1, IF( AND( OFFSET($A$1, 772 - 1, 54 - 1) = "1", OFFSET($A$1, 772 - 1, 55 - 1) = "0" ), 2, IF( AND( OFFSET($A$1, 772 - 1, 54 - 1) = "0", OFFSET($A$1, 772 - 1, 55 - 1) = "1" ), 3, 4 ) ) )</f>
        <v>2</v>
      </c>
    </row>
    <row r="773" spans="53:56" x14ac:dyDescent="0.35">
      <c r="BA773" s="3">
        <v>0.43264904398846593</v>
      </c>
      <c r="BB773" s="3" t="str">
        <f>"1"</f>
        <v>1</v>
      </c>
      <c r="BC773" t="str">
        <f ca="1">IF((OFFSET($A$1, 773 - 1, 53 - 1)) &gt;= (OFFSET($A$1, 69 - 1, 7 - 1)), "1","0")</f>
        <v>0</v>
      </c>
      <c r="BD773">
        <f ca="1" xml:space="preserve"> IF( AND( OFFSET($A$1, 773 - 1, 54 - 1) = "1", OFFSET($A$1, 773 - 1, 55 - 1) = "1" ), 1, IF( AND( OFFSET($A$1, 773 - 1, 54 - 1) = "1", OFFSET($A$1, 773 - 1, 55 - 1) = "0" ), 2, IF( AND( OFFSET($A$1, 773 - 1, 54 - 1) = "0", OFFSET($A$1, 773 - 1, 55 - 1) = "1" ), 3, 4 ) ) )</f>
        <v>2</v>
      </c>
    </row>
    <row r="774" spans="53:56" x14ac:dyDescent="0.35">
      <c r="BA774" s="3">
        <v>0.4327620250949113</v>
      </c>
      <c r="BB774" s="3" t="str">
        <f>"0"</f>
        <v>0</v>
      </c>
      <c r="BC774" t="str">
        <f ca="1">IF((OFFSET($A$1, 774 - 1, 53 - 1)) &gt;= (OFFSET($A$1, 69 - 1, 7 - 1)), "1","0")</f>
        <v>0</v>
      </c>
      <c r="BD774">
        <f ca="1" xml:space="preserve"> IF( AND( OFFSET($A$1, 774 - 1, 54 - 1) = "1", OFFSET($A$1, 774 - 1, 55 - 1) = "1" ), 1, IF( AND( OFFSET($A$1, 774 - 1, 54 - 1) = "1", OFFSET($A$1, 774 - 1, 55 - 1) = "0" ), 2, IF( AND( OFFSET($A$1, 774 - 1, 54 - 1) = "0", OFFSET($A$1, 774 - 1, 55 - 1) = "1" ), 3, 4 ) ) )</f>
        <v>4</v>
      </c>
    </row>
    <row r="775" spans="53:56" x14ac:dyDescent="0.35">
      <c r="BA775" s="3">
        <v>0.19649272534920637</v>
      </c>
      <c r="BB775" s="3" t="str">
        <f>"0"</f>
        <v>0</v>
      </c>
      <c r="BC775" t="str">
        <f ca="1">IF((OFFSET($A$1, 775 - 1, 53 - 1)) &gt;= (OFFSET($A$1, 69 - 1, 7 - 1)), "1","0")</f>
        <v>0</v>
      </c>
      <c r="BD775">
        <f ca="1" xml:space="preserve"> IF( AND( OFFSET($A$1, 775 - 1, 54 - 1) = "1", OFFSET($A$1, 775 - 1, 55 - 1) = "1" ), 1, IF( AND( OFFSET($A$1, 775 - 1, 54 - 1) = "1", OFFSET($A$1, 775 - 1, 55 - 1) = "0" ), 2, IF( AND( OFFSET($A$1, 775 - 1, 54 - 1) = "0", OFFSET($A$1, 775 - 1, 55 - 1) = "1" ), 3, 4 ) ) )</f>
        <v>4</v>
      </c>
    </row>
    <row r="776" spans="53:56" x14ac:dyDescent="0.35">
      <c r="BA776" s="3">
        <v>0.1965988549171705</v>
      </c>
      <c r="BB776" s="3" t="str">
        <f>"0"</f>
        <v>0</v>
      </c>
      <c r="BC776" t="str">
        <f ca="1">IF((OFFSET($A$1, 776 - 1, 53 - 1)) &gt;= (OFFSET($A$1, 69 - 1, 7 - 1)), "1","0")</f>
        <v>0</v>
      </c>
      <c r="BD776">
        <f ca="1" xml:space="preserve"> IF( AND( OFFSET($A$1, 776 - 1, 54 - 1) = "1", OFFSET($A$1, 776 - 1, 55 - 1) = "1" ), 1, IF( AND( OFFSET($A$1, 776 - 1, 54 - 1) = "1", OFFSET($A$1, 776 - 1, 55 - 1) = "0" ), 2, IF( AND( OFFSET($A$1, 776 - 1, 54 - 1) = "0", OFFSET($A$1, 776 - 1, 55 - 1) = "1" ), 3, 4 ) ) )</f>
        <v>4</v>
      </c>
    </row>
    <row r="777" spans="53:56" x14ac:dyDescent="0.35">
      <c r="BA777" s="3">
        <v>0.19672171742596423</v>
      </c>
      <c r="BB777" s="3" t="str">
        <f>"0"</f>
        <v>0</v>
      </c>
      <c r="BC777" t="str">
        <f ca="1">IF((OFFSET($A$1, 777 - 1, 53 - 1)) &gt;= (OFFSET($A$1, 69 - 1, 7 - 1)), "1","0")</f>
        <v>0</v>
      </c>
      <c r="BD777">
        <f ca="1" xml:space="preserve"> IF( AND( OFFSET($A$1, 777 - 1, 54 - 1) = "1", OFFSET($A$1, 777 - 1, 55 - 1) = "1" ), 1, IF( AND( OFFSET($A$1, 777 - 1, 54 - 1) = "1", OFFSET($A$1, 777 - 1, 55 - 1) = "0" ), 2, IF( AND( OFFSET($A$1, 777 - 1, 54 - 1) = "0", OFFSET($A$1, 777 - 1, 55 - 1) = "1" ), 3, 4 ) ) )</f>
        <v>4</v>
      </c>
    </row>
    <row r="778" spans="53:56" x14ac:dyDescent="0.35">
      <c r="BA778" s="3">
        <v>0.19686130011248867</v>
      </c>
      <c r="BB778" s="3" t="str">
        <f>"1"</f>
        <v>1</v>
      </c>
      <c r="BC778" t="str">
        <f ca="1">IF((OFFSET($A$1, 778 - 1, 53 - 1)) &gt;= (OFFSET($A$1, 69 - 1, 7 - 1)), "1","0")</f>
        <v>0</v>
      </c>
      <c r="BD778">
        <f ca="1" xml:space="preserve"> IF( AND( OFFSET($A$1, 778 - 1, 54 - 1) = "1", OFFSET($A$1, 778 - 1, 55 - 1) = "1" ), 1, IF( AND( OFFSET($A$1, 778 - 1, 54 - 1) = "1", OFFSET($A$1, 778 - 1, 55 - 1) = "0" ), 2, IF( AND( OFFSET($A$1, 778 - 1, 54 - 1) = "0", OFFSET($A$1, 778 - 1, 55 - 1) = "1" ), 3, 4 ) ) )</f>
        <v>2</v>
      </c>
    </row>
    <row r="779" spans="53:56" x14ac:dyDescent="0.35">
      <c r="BA779" s="3">
        <v>0.43371651730314575</v>
      </c>
      <c r="BB779" s="3" t="str">
        <f>"0"</f>
        <v>0</v>
      </c>
      <c r="BC779" t="str">
        <f ca="1">IF((OFFSET($A$1, 779 - 1, 53 - 1)) &gt;= (OFFSET($A$1, 69 - 1, 7 - 1)), "1","0")</f>
        <v>0</v>
      </c>
      <c r="BD779">
        <f ca="1" xml:space="preserve"> IF( AND( OFFSET($A$1, 779 - 1, 54 - 1) = "1", OFFSET($A$1, 779 - 1, 55 - 1) = "1" ), 1, IF( AND( OFFSET($A$1, 779 - 1, 54 - 1) = "1", OFFSET($A$1, 779 - 1, 55 - 1) = "0" ), 2, IF( AND( OFFSET($A$1, 779 - 1, 54 - 1) = "0", OFFSET($A$1, 779 - 1, 55 - 1) = "1" ), 3, 4 ) ) )</f>
        <v>4</v>
      </c>
    </row>
    <row r="780" spans="53:56" x14ac:dyDescent="0.35">
      <c r="BA780" s="3">
        <v>0.197190565891735</v>
      </c>
      <c r="BB780" s="3" t="str">
        <f>"0"</f>
        <v>0</v>
      </c>
      <c r="BC780" t="str">
        <f ca="1">IF((OFFSET($A$1, 780 - 1, 53 - 1)) &gt;= (OFFSET($A$1, 69 - 1, 7 - 1)), "1","0")</f>
        <v>0</v>
      </c>
      <c r="BD780">
        <f ca="1" xml:space="preserve"> IF( AND( OFFSET($A$1, 780 - 1, 54 - 1) = "1", OFFSET($A$1, 780 - 1, 55 - 1) = "1" ), 1, IF( AND( OFFSET($A$1, 780 - 1, 54 - 1) = "1", OFFSET($A$1, 780 - 1, 55 - 1) = "0" ), 2, IF( AND( OFFSET($A$1, 780 - 1, 54 - 1) = "0", OFFSET($A$1, 780 - 1, 55 - 1) = "1" ), 3, 4 ) ) )</f>
        <v>4</v>
      </c>
    </row>
    <row r="781" spans="53:56" x14ac:dyDescent="0.35">
      <c r="BA781" s="3">
        <v>0.19738021430201028</v>
      </c>
      <c r="BB781" s="3" t="str">
        <f>"0"</f>
        <v>0</v>
      </c>
      <c r="BC781" t="str">
        <f ca="1">IF((OFFSET($A$1, 781 - 1, 53 - 1)) &gt;= (OFFSET($A$1, 69 - 1, 7 - 1)), "1","0")</f>
        <v>0</v>
      </c>
      <c r="BD781">
        <f ca="1" xml:space="preserve"> IF( AND( OFFSET($A$1, 781 - 1, 54 - 1) = "1", OFFSET($A$1, 781 - 1, 55 - 1) = "1" ), 1, IF( AND( OFFSET($A$1, 781 - 1, 54 - 1) = "1", OFFSET($A$1, 781 - 1, 55 - 1) = "0" ), 2, IF( AND( OFFSET($A$1, 781 - 1, 54 - 1) = "0", OFFSET($A$1, 781 - 1, 55 - 1) = "1" ), 3, 4 ) ) )</f>
        <v>4</v>
      </c>
    </row>
    <row r="782" spans="53:56" x14ac:dyDescent="0.35">
      <c r="BA782" s="3">
        <v>0.19758651346363063</v>
      </c>
      <c r="BB782" s="3" t="str">
        <f>"0"</f>
        <v>0</v>
      </c>
      <c r="BC782" t="str">
        <f ca="1">IF((OFFSET($A$1, 782 - 1, 53 - 1)) &gt;= (OFFSET($A$1, 69 - 1, 7 - 1)), "1","0")</f>
        <v>0</v>
      </c>
      <c r="BD782">
        <f ca="1" xml:space="preserve"> IF( AND( OFFSET($A$1, 782 - 1, 54 - 1) = "1", OFFSET($A$1, 782 - 1, 55 - 1) = "1" ), 1, IF( AND( OFFSET($A$1, 782 - 1, 54 - 1) = "1", OFFSET($A$1, 782 - 1, 55 - 1) = "0" ), 2, IF( AND( OFFSET($A$1, 782 - 1, 54 - 1) = "0", OFFSET($A$1, 782 - 1, 55 - 1) = "1" ), 3, 4 ) ) )</f>
        <v>4</v>
      </c>
    </row>
    <row r="783" spans="53:56" x14ac:dyDescent="0.35">
      <c r="BA783" s="3">
        <v>0.19780944127284564</v>
      </c>
      <c r="BB783" s="3" t="str">
        <f>"1"</f>
        <v>1</v>
      </c>
      <c r="BC783" t="str">
        <f ca="1">IF((OFFSET($A$1, 783 - 1, 53 - 1)) &gt;= (OFFSET($A$1, 69 - 1, 7 - 1)), "1","0")</f>
        <v>0</v>
      </c>
      <c r="BD783">
        <f ca="1" xml:space="preserve"> IF( AND( OFFSET($A$1, 783 - 1, 54 - 1) = "1", OFFSET($A$1, 783 - 1, 55 - 1) = "1" ), 1, IF( AND( OFFSET($A$1, 783 - 1, 54 - 1) = "1", OFFSET($A$1, 783 - 1, 55 - 1) = "0" ), 2, IF( AND( OFFSET($A$1, 783 - 1, 54 - 1) = "0", OFFSET($A$1, 783 - 1, 55 - 1) = "1" ), 3, 4 ) ) )</f>
        <v>2</v>
      </c>
    </row>
    <row r="784" spans="53:56" x14ac:dyDescent="0.35">
      <c r="BA784" s="3">
        <v>0.43531526554341088</v>
      </c>
      <c r="BB784" s="3" t="str">
        <f>"0"</f>
        <v>0</v>
      </c>
      <c r="BC784" t="str">
        <f ca="1">IF((OFFSET($A$1, 784 - 1, 53 - 1)) &gt;= (OFFSET($A$1, 69 - 1, 7 - 1)), "1","0")</f>
        <v>0</v>
      </c>
      <c r="BD784">
        <f ca="1" xml:space="preserve"> IF( AND( OFFSET($A$1, 784 - 1, 54 - 1) = "1", OFFSET($A$1, 784 - 1, 55 - 1) = "1" ), 1, IF( AND( OFFSET($A$1, 784 - 1, 54 - 1) = "1", OFFSET($A$1, 784 - 1, 55 - 1) = "0" ), 2, IF( AND( OFFSET($A$1, 784 - 1, 54 - 1) = "0", OFFSET($A$1, 784 - 1, 55 - 1) = "1" ), 3, 4 ) ) )</f>
        <v>4</v>
      </c>
    </row>
    <row r="785" spans="53:56" x14ac:dyDescent="0.35">
      <c r="BA785" s="3">
        <v>0.19830508452441567</v>
      </c>
      <c r="BB785" s="3" t="str">
        <f>"0"</f>
        <v>0</v>
      </c>
      <c r="BC785" t="str">
        <f ca="1">IF((OFFSET($A$1, 785 - 1, 53 - 1)) &gt;= (OFFSET($A$1, 69 - 1, 7 - 1)), "1","0")</f>
        <v>0</v>
      </c>
      <c r="BD785">
        <f ca="1" xml:space="preserve"> IF( AND( OFFSET($A$1, 785 - 1, 54 - 1) = "1", OFFSET($A$1, 785 - 1, 55 - 1) = "1" ), 1, IF( AND( OFFSET($A$1, 785 - 1, 54 - 1) = "1", OFFSET($A$1, 785 - 1, 55 - 1) = "0" ), 2, IF( AND( OFFSET($A$1, 785 - 1, 54 - 1) = "0", OFFSET($A$1, 785 - 1, 55 - 1) = "1" ), 3, 4 ) ) )</f>
        <v>4</v>
      </c>
    </row>
    <row r="786" spans="53:56" x14ac:dyDescent="0.35">
      <c r="BA786" s="3">
        <v>0.19857774573876835</v>
      </c>
      <c r="BB786" s="3" t="str">
        <f>"0"</f>
        <v>0</v>
      </c>
      <c r="BC786" t="str">
        <f ca="1">IF((OFFSET($A$1, 786 - 1, 53 - 1)) &gt;= (OFFSET($A$1, 69 - 1, 7 - 1)), "1","0")</f>
        <v>0</v>
      </c>
      <c r="BD786">
        <f ca="1" xml:space="preserve"> IF( AND( OFFSET($A$1, 786 - 1, 54 - 1) = "1", OFFSET($A$1, 786 - 1, 55 - 1) = "1" ), 1, IF( AND( OFFSET($A$1, 786 - 1, 54 - 1) = "1", OFFSET($A$1, 786 - 1, 55 - 1) = "0" ), 2, IF( AND( OFFSET($A$1, 786 - 1, 54 - 1) = "0", OFFSET($A$1, 786 - 1, 55 - 1) = "1" ), 3, 4 ) ) )</f>
        <v>4</v>
      </c>
    </row>
    <row r="787" spans="53:56" x14ac:dyDescent="0.35">
      <c r="BA787" s="3">
        <v>0.19886692705427361</v>
      </c>
      <c r="BB787" s="3" t="str">
        <f>"0"</f>
        <v>0</v>
      </c>
      <c r="BC787" t="str">
        <f ca="1">IF((OFFSET($A$1, 787 - 1, 53 - 1)) &gt;= (OFFSET($A$1, 69 - 1, 7 - 1)), "1","0")</f>
        <v>0</v>
      </c>
      <c r="BD787">
        <f ca="1" xml:space="preserve"> IF( AND( OFFSET($A$1, 787 - 1, 54 - 1) = "1", OFFSET($A$1, 787 - 1, 55 - 1) = "1" ), 1, IF( AND( OFFSET($A$1, 787 - 1, 54 - 1) = "1", OFFSET($A$1, 787 - 1, 55 - 1) = "0" ), 2, IF( AND( OFFSET($A$1, 787 - 1, 54 - 1) = "0", OFFSET($A$1, 787 - 1, 55 - 1) = "1" ), 3, 4 ) ) )</f>
        <v>4</v>
      </c>
    </row>
    <row r="788" spans="53:56" x14ac:dyDescent="0.35">
      <c r="BA788" s="3">
        <v>0.19917259607548107</v>
      </c>
      <c r="BB788" s="3" t="str">
        <f>"1"</f>
        <v>1</v>
      </c>
      <c r="BC788" t="str">
        <f ca="1">IF((OFFSET($A$1, 788 - 1, 53 - 1)) &gt;= (OFFSET($A$1, 69 - 1, 7 - 1)), "1","0")</f>
        <v>0</v>
      </c>
      <c r="BD788">
        <f ca="1" xml:space="preserve"> IF( AND( OFFSET($A$1, 788 - 1, 54 - 1) = "1", OFFSET($A$1, 788 - 1, 55 - 1) = "1" ), 1, IF( AND( OFFSET($A$1, 788 - 1, 54 - 1) = "1", OFFSET($A$1, 788 - 1, 55 - 1) = "0" ), 2, IF( AND( OFFSET($A$1, 788 - 1, 54 - 1) = "0", OFFSET($A$1, 788 - 1, 55 - 1) = "1" ), 3, 4 ) ) )</f>
        <v>2</v>
      </c>
    </row>
    <row r="789" spans="53:56" x14ac:dyDescent="0.35">
      <c r="BA789" s="3">
        <v>0.43754803611861776</v>
      </c>
      <c r="BB789" s="3" t="str">
        <f>"0"</f>
        <v>0</v>
      </c>
      <c r="BC789" t="str">
        <f ca="1">IF((OFFSET($A$1, 789 - 1, 53 - 1)) &gt;= (OFFSET($A$1, 69 - 1, 7 - 1)), "1","0")</f>
        <v>0</v>
      </c>
      <c r="BD789">
        <f ca="1" xml:space="preserve"> IF( AND( OFFSET($A$1, 789 - 1, 54 - 1) = "1", OFFSET($A$1, 789 - 1, 55 - 1) = "1" ), 1, IF( AND( OFFSET($A$1, 789 - 1, 54 - 1) = "1", OFFSET($A$1, 789 - 1, 55 - 1) = "0" ), 2, IF( AND( OFFSET($A$1, 789 - 1, 54 - 1) = "0", OFFSET($A$1, 789 - 1, 55 - 1) = "1" ), 3, 4 ) ) )</f>
        <v>4</v>
      </c>
    </row>
    <row r="790" spans="53:56" x14ac:dyDescent="0.35">
      <c r="BA790" s="3">
        <v>0.19983325658145829</v>
      </c>
      <c r="BB790" s="3" t="str">
        <f>"0"</f>
        <v>0</v>
      </c>
      <c r="BC790" t="str">
        <f ca="1">IF((OFFSET($A$1, 790 - 1, 53 - 1)) &gt;= (OFFSET($A$1, 69 - 1, 7 - 1)), "1","0")</f>
        <v>0</v>
      </c>
      <c r="BD790">
        <f ca="1" xml:space="preserve"> IF( AND( OFFSET($A$1, 790 - 1, 54 - 1) = "1", OFFSET($A$1, 790 - 1, 55 - 1) = "1" ), 1, IF( AND( OFFSET($A$1, 790 - 1, 54 - 1) = "1", OFFSET($A$1, 790 - 1, 55 - 1) = "0" ), 2, IF( AND( OFFSET($A$1, 790 - 1, 54 - 1) = "0", OFFSET($A$1, 790 - 1, 55 - 1) = "1" ), 3, 4 ) ) )</f>
        <v>4</v>
      </c>
    </row>
    <row r="791" spans="53:56" x14ac:dyDescent="0.35">
      <c r="BA791" s="3">
        <v>0.20018817203748396</v>
      </c>
      <c r="BB791" s="3" t="str">
        <f>"0"</f>
        <v>0</v>
      </c>
      <c r="BC791" t="str">
        <f ca="1">IF((OFFSET($A$1, 791 - 1, 53 - 1)) &gt;= (OFFSET($A$1, 69 - 1, 7 - 1)), "1","0")</f>
        <v>0</v>
      </c>
      <c r="BD791">
        <f ca="1" xml:space="preserve"> IF( AND( OFFSET($A$1, 791 - 1, 54 - 1) = "1", OFFSET($A$1, 791 - 1, 55 - 1) = "1" ), 1, IF( AND( OFFSET($A$1, 791 - 1, 54 - 1) = "1", OFFSET($A$1, 791 - 1, 55 - 1) = "0" ), 2, IF( AND( OFFSET($A$1, 791 - 1, 54 - 1) = "0", OFFSET($A$1, 791 - 1, 55 - 1) = "1" ), 3, 4 ) ) )</f>
        <v>4</v>
      </c>
    </row>
    <row r="792" spans="53:56" x14ac:dyDescent="0.35">
      <c r="BA792" s="3">
        <v>0.20055942302522334</v>
      </c>
      <c r="BB792" s="3" t="str">
        <f>"0"</f>
        <v>0</v>
      </c>
      <c r="BC792" t="str">
        <f ca="1">IF((OFFSET($A$1, 792 - 1, 53 - 1)) &gt;= (OFFSET($A$1, 69 - 1, 7 - 1)), "1","0")</f>
        <v>0</v>
      </c>
      <c r="BD792">
        <f ca="1" xml:space="preserve"> IF( AND( OFFSET($A$1, 792 - 1, 54 - 1) = "1", OFFSET($A$1, 792 - 1, 55 - 1) = "1" ), 1, IF( AND( OFFSET($A$1, 792 - 1, 54 - 1) = "1", OFFSET($A$1, 792 - 1, 55 - 1) = "0" ), 2, IF( AND( OFFSET($A$1, 792 - 1, 54 - 1) = "0", OFFSET($A$1, 792 - 1, 55 - 1) = "1" ), 3, 4 ) ) )</f>
        <v>4</v>
      </c>
    </row>
    <row r="793" spans="53:56" x14ac:dyDescent="0.35">
      <c r="BA793" s="3">
        <v>0.20094696556203756</v>
      </c>
      <c r="BB793" s="3" t="str">
        <f>"1"</f>
        <v>1</v>
      </c>
      <c r="BC793" t="str">
        <f ca="1">IF((OFFSET($A$1, 793 - 1, 53 - 1)) &gt;= (OFFSET($A$1, 69 - 1, 7 - 1)), "1","0")</f>
        <v>0</v>
      </c>
      <c r="BD793">
        <f ca="1" xml:space="preserve"> IF( AND( OFFSET($A$1, 793 - 1, 54 - 1) = "1", OFFSET($A$1, 793 - 1, 55 - 1) = "1" ), 1, IF( AND( OFFSET($A$1, 793 - 1, 54 - 1) = "1", OFFSET($A$1, 793 - 1, 55 - 1) = "0" ), 2, IF( AND( OFFSET($A$1, 793 - 1, 54 - 1) = "0", OFFSET($A$1, 793 - 1, 55 - 1) = "1" ), 3, 4 ) ) )</f>
        <v>2</v>
      </c>
    </row>
    <row r="794" spans="53:56" x14ac:dyDescent="0.35">
      <c r="BA794" s="3">
        <v>0.44040037954795652</v>
      </c>
      <c r="BB794" s="3" t="str">
        <f>"1"</f>
        <v>1</v>
      </c>
      <c r="BC794" t="str">
        <f ca="1">IF((OFFSET($A$1, 794 - 1, 53 - 1)) &gt;= (OFFSET($A$1, 69 - 1, 7 - 1)), "1","0")</f>
        <v>0</v>
      </c>
      <c r="BD794">
        <f ca="1" xml:space="preserve"> IF( AND( OFFSET($A$1, 794 - 1, 54 - 1) = "1", OFFSET($A$1, 794 - 1, 55 - 1) = "1" ), 1, IF( AND( OFFSET($A$1, 794 - 1, 54 - 1) = "1", OFFSET($A$1, 794 - 1, 55 - 1) = "0" ), 2, IF( AND( OFFSET($A$1, 794 - 1, 54 - 1) = "0", OFFSET($A$1, 794 - 1, 55 - 1) = "1" ), 3, 4 ) ) )</f>
        <v>2</v>
      </c>
    </row>
    <row r="795" spans="53:56" x14ac:dyDescent="0.35">
      <c r="BA795" s="3">
        <v>0.44104362547702652</v>
      </c>
      <c r="BB795" s="3" t="str">
        <f>"0"</f>
        <v>0</v>
      </c>
      <c r="BC795" t="str">
        <f ca="1">IF((OFFSET($A$1, 795 - 1, 53 - 1)) &gt;= (OFFSET($A$1, 69 - 1, 7 - 1)), "1","0")</f>
        <v>0</v>
      </c>
      <c r="BD795">
        <f ca="1" xml:space="preserve"> IF( AND( OFFSET($A$1, 795 - 1, 54 - 1) = "1", OFFSET($A$1, 795 - 1, 55 - 1) = "1" ), 1, IF( AND( OFFSET($A$1, 795 - 1, 54 - 1) = "1", OFFSET($A$1, 795 - 1, 55 - 1) = "0" ), 2, IF( AND( OFFSET($A$1, 795 - 1, 54 - 1) = "0", OFFSET($A$1, 795 - 1, 55 - 1) = "1" ), 3, 4 ) ) )</f>
        <v>4</v>
      </c>
    </row>
    <row r="796" spans="53:56" x14ac:dyDescent="0.35">
      <c r="BA796" s="3">
        <v>0.20220686473556035</v>
      </c>
      <c r="BB796" s="3" t="str">
        <f>"0"</f>
        <v>0</v>
      </c>
      <c r="BC796" t="str">
        <f ca="1">IF((OFFSET($A$1, 796 - 1, 53 - 1)) &gt;= (OFFSET($A$1, 69 - 1, 7 - 1)), "1","0")</f>
        <v>0</v>
      </c>
      <c r="BD796">
        <f ca="1" xml:space="preserve"> IF( AND( OFFSET($A$1, 796 - 1, 54 - 1) = "1", OFFSET($A$1, 796 - 1, 55 - 1) = "1" ), 1, IF( AND( OFFSET($A$1, 796 - 1, 54 - 1) = "1", OFFSET($A$1, 796 - 1, 55 - 1) = "0" ), 2, IF( AND( OFFSET($A$1, 796 - 1, 54 - 1) = "0", OFFSET($A$1, 796 - 1, 55 - 1) = "1" ), 3, 4 ) ) )</f>
        <v>4</v>
      </c>
    </row>
    <row r="797" spans="53:56" x14ac:dyDescent="0.35">
      <c r="BA797" s="3">
        <v>0.20265908262896751</v>
      </c>
      <c r="BB797" s="3" t="str">
        <f>"1"</f>
        <v>1</v>
      </c>
      <c r="BC797" t="str">
        <f ca="1">IF((OFFSET($A$1, 797 - 1, 53 - 1)) &gt;= (OFFSET($A$1, 69 - 1, 7 - 1)), "1","0")</f>
        <v>0</v>
      </c>
      <c r="BD797">
        <f ca="1" xml:space="preserve"> IF( AND( OFFSET($A$1, 797 - 1, 54 - 1) = "1", OFFSET($A$1, 797 - 1, 55 - 1) = "1" ), 1, IF( AND( OFFSET($A$1, 797 - 1, 54 - 1) = "1", OFFSET($A$1, 797 - 1, 55 - 1) = "0" ), 2, IF( AND( OFFSET($A$1, 797 - 1, 54 - 1) = "0", OFFSET($A$1, 797 - 1, 55 - 1) = "1" ), 3, 4 ) ) )</f>
        <v>2</v>
      </c>
    </row>
    <row r="798" spans="53:56" x14ac:dyDescent="0.35">
      <c r="BA798" s="3">
        <v>0.44311591267422418</v>
      </c>
      <c r="BB798" s="3" t="str">
        <f>"0"</f>
        <v>0</v>
      </c>
      <c r="BC798" t="str">
        <f ca="1">IF((OFFSET($A$1, 798 - 1, 53 - 1)) &gt;= (OFFSET($A$1, 69 - 1, 7 - 1)), "1","0")</f>
        <v>0</v>
      </c>
      <c r="BD798">
        <f ca="1" xml:space="preserve"> IF( AND( OFFSET($A$1, 798 - 1, 54 - 1) = "1", OFFSET($A$1, 798 - 1, 55 - 1) = "1" ), 1, IF( AND( OFFSET($A$1, 798 - 1, 54 - 1) = "1", OFFSET($A$1, 798 - 1, 55 - 1) = "0" ), 2, IF( AND( OFFSET($A$1, 798 - 1, 54 - 1) = "0", OFFSET($A$1, 798 - 1, 55 - 1) = "1" ), 3, 4 ) ) )</f>
        <v>4</v>
      </c>
    </row>
    <row r="799" spans="53:56" x14ac:dyDescent="0.35">
      <c r="BA799" s="3">
        <v>0.20361155672186157</v>
      </c>
      <c r="BB799" s="3" t="str">
        <f>"0"</f>
        <v>0</v>
      </c>
      <c r="BC799" t="str">
        <f ca="1">IF((OFFSET($A$1, 799 - 1, 53 - 1)) &gt;= (OFFSET($A$1, 69 - 1, 7 - 1)), "1","0")</f>
        <v>0</v>
      </c>
      <c r="BD799">
        <f ca="1" xml:space="preserve"> IF( AND( OFFSET($A$1, 799 - 1, 54 - 1) = "1", OFFSET($A$1, 799 - 1, 55 - 1) = "1" ), 1, IF( AND( OFFSET($A$1, 799 - 1, 54 - 1) = "1", OFFSET($A$1, 799 - 1, 55 - 1) = "0" ), 2, IF( AND( OFFSET($A$1, 799 - 1, 54 - 1) = "0", OFFSET($A$1, 799 - 1, 55 - 1) = "1" ), 3, 4 ) ) )</f>
        <v>4</v>
      </c>
    </row>
    <row r="800" spans="53:56" x14ac:dyDescent="0.35">
      <c r="BA800" s="3">
        <v>0.20411168995707094</v>
      </c>
      <c r="BB800" s="3" t="str">
        <f>"0"</f>
        <v>0</v>
      </c>
      <c r="BC800" t="str">
        <f ca="1">IF((OFFSET($A$1, 800 - 1, 53 - 1)) &gt;= (OFFSET($A$1, 69 - 1, 7 - 1)), "1","0")</f>
        <v>0</v>
      </c>
      <c r="BD800">
        <f ca="1" xml:space="preserve"> IF( AND( OFFSET($A$1, 800 - 1, 54 - 1) = "1", OFFSET($A$1, 800 - 1, 55 - 1) = "1" ), 1, IF( AND( OFFSET($A$1, 800 - 1, 54 - 1) = "1", OFFSET($A$1, 800 - 1, 55 - 1) = "0" ), 2, IF( AND( OFFSET($A$1, 800 - 1, 54 - 1) = "0", OFFSET($A$1, 800 - 1, 55 - 1) = "1" ), 3, 4 ) ) )</f>
        <v>4</v>
      </c>
    </row>
    <row r="801" spans="53:56" x14ac:dyDescent="0.35">
      <c r="BA801" s="3">
        <v>0.20462766705305668</v>
      </c>
      <c r="BB801" s="3" t="str">
        <f>"0"</f>
        <v>0</v>
      </c>
      <c r="BC801" t="str">
        <f ca="1">IF((OFFSET($A$1, 801 - 1, 53 - 1)) &gt;= (OFFSET($A$1, 69 - 1, 7 - 1)), "1","0")</f>
        <v>0</v>
      </c>
      <c r="BD801">
        <f ca="1" xml:space="preserve"> IF( AND( OFFSET($A$1, 801 - 1, 54 - 1) = "1", OFFSET($A$1, 801 - 1, 55 - 1) = "1" ), 1, IF( AND( OFFSET($A$1, 801 - 1, 54 - 1) = "1", OFFSET($A$1, 801 - 1, 55 - 1) = "0" ), 2, IF( AND( OFFSET($A$1, 801 - 1, 54 - 1) = "0", OFFSET($A$1, 801 - 1, 55 - 1) = "1" ), 3, 4 ) ) )</f>
        <v>4</v>
      </c>
    </row>
    <row r="802" spans="53:56" x14ac:dyDescent="0.35">
      <c r="BA802" s="3">
        <v>0.20515941897717357</v>
      </c>
      <c r="BB802" s="3" t="str">
        <f>"1"</f>
        <v>1</v>
      </c>
      <c r="BC802" t="str">
        <f ca="1">IF((OFFSET($A$1, 802 - 1, 53 - 1)) &gt;= (OFFSET($A$1, 69 - 1, 7 - 1)), "1","0")</f>
        <v>0</v>
      </c>
      <c r="BD802">
        <f ca="1" xml:space="preserve"> IF( AND( OFFSET($A$1, 802 - 1, 54 - 1) = "1", OFFSET($A$1, 802 - 1, 55 - 1) = "1" ), 1, IF( AND( OFFSET($A$1, 802 - 1, 54 - 1) = "1", OFFSET($A$1, 802 - 1, 55 - 1) = "0" ), 2, IF( AND( OFFSET($A$1, 802 - 1, 54 - 1) = "0", OFFSET($A$1, 802 - 1, 55 - 1) = "1" ), 3, 4 ) ) )</f>
        <v>2</v>
      </c>
    </row>
    <row r="803" spans="53:56" x14ac:dyDescent="0.35">
      <c r="BA803" s="3">
        <v>0.44703341595588397</v>
      </c>
      <c r="BB803" s="3" t="str">
        <f>"0"</f>
        <v>0</v>
      </c>
      <c r="BC803" t="str">
        <f ca="1">IF((OFFSET($A$1, 803 - 1, 53 - 1)) &gt;= (OFFSET($A$1, 69 - 1, 7 - 1)), "1","0")</f>
        <v>0</v>
      </c>
      <c r="BD803">
        <f ca="1" xml:space="preserve"> IF( AND( OFFSET($A$1, 803 - 1, 54 - 1) = "1", OFFSET($A$1, 803 - 1, 55 - 1) = "1" ), 1, IF( AND( OFFSET($A$1, 803 - 1, 54 - 1) = "1", OFFSET($A$1, 803 - 1, 55 - 1) = "0" ), 2, IF( AND( OFFSET($A$1, 803 - 1, 54 - 1) = "0", OFFSET($A$1, 803 - 1, 55 - 1) = "1" ), 3, 4 ) ) )</f>
        <v>4</v>
      </c>
    </row>
    <row r="804" spans="53:56" x14ac:dyDescent="0.35">
      <c r="BA804" s="3">
        <v>0.20626995528463479</v>
      </c>
      <c r="BB804" s="3" t="str">
        <f>"0"</f>
        <v>0</v>
      </c>
      <c r="BC804" t="str">
        <f ca="1">IF((OFFSET($A$1, 804 - 1, 53 - 1)) &gt;= (OFFSET($A$1, 69 - 1, 7 - 1)), "1","0")</f>
        <v>0</v>
      </c>
      <c r="BD804">
        <f ca="1" xml:space="preserve"> IF( AND( OFFSET($A$1, 804 - 1, 54 - 1) = "1", OFFSET($A$1, 804 - 1, 55 - 1) = "1" ), 1, IF( AND( OFFSET($A$1, 804 - 1, 54 - 1) = "1", OFFSET($A$1, 804 - 1, 55 - 1) = "0" ), 2, IF( AND( OFFSET($A$1, 804 - 1, 54 - 1) = "0", OFFSET($A$1, 804 - 1, 55 - 1) = "1" ), 3, 4 ) ) )</f>
        <v>4</v>
      </c>
    </row>
    <row r="805" spans="53:56" x14ac:dyDescent="0.35">
      <c r="BA805" s="3">
        <v>0.20684858546382126</v>
      </c>
      <c r="BB805" s="3" t="str">
        <f>"0"</f>
        <v>0</v>
      </c>
      <c r="BC805" t="str">
        <f ca="1">IF((OFFSET($A$1, 805 - 1, 53 - 1)) &gt;= (OFFSET($A$1, 69 - 1, 7 - 1)), "1","0")</f>
        <v>0</v>
      </c>
      <c r="BD805">
        <f ca="1" xml:space="preserve"> IF( AND( OFFSET($A$1, 805 - 1, 54 - 1) = "1", OFFSET($A$1, 805 - 1, 55 - 1) = "1" ), 1, IF( AND( OFFSET($A$1, 805 - 1, 54 - 1) = "1", OFFSET($A$1, 805 - 1, 55 - 1) = "0" ), 2, IF( AND( OFFSET($A$1, 805 - 1, 54 - 1) = "0", OFFSET($A$1, 805 - 1, 55 - 1) = "1" ), 3, 4 ) ) )</f>
        <v>4</v>
      </c>
    </row>
    <row r="806" spans="53:56" x14ac:dyDescent="0.35">
      <c r="BA806" s="3">
        <v>0.20744268189767112</v>
      </c>
      <c r="BB806" s="3" t="str">
        <f>"0"</f>
        <v>0</v>
      </c>
      <c r="BC806" t="str">
        <f ca="1">IF((OFFSET($A$1, 806 - 1, 53 - 1)) &gt;= (OFFSET($A$1, 69 - 1, 7 - 1)), "1","0")</f>
        <v>0</v>
      </c>
      <c r="BD806">
        <f ca="1" xml:space="preserve"> IF( AND( OFFSET($A$1, 806 - 1, 54 - 1) = "1", OFFSET($A$1, 806 - 1, 55 - 1) = "1" ), 1, IF( AND( OFFSET($A$1, 806 - 1, 54 - 1) = "1", OFFSET($A$1, 806 - 1, 55 - 1) = "0" ), 2, IF( AND( OFFSET($A$1, 806 - 1, 54 - 1) = "0", OFFSET($A$1, 806 - 1, 55 - 1) = "1" ), 3, 4 ) ) )</f>
        <v>4</v>
      </c>
    </row>
    <row r="807" spans="53:56" x14ac:dyDescent="0.35">
      <c r="BA807" s="3">
        <v>0.20805215891949169</v>
      </c>
      <c r="BB807" s="3" t="str">
        <f>"0"</f>
        <v>0</v>
      </c>
      <c r="BC807" t="str">
        <f ca="1">IF((OFFSET($A$1, 807 - 1, 53 - 1)) &gt;= (OFFSET($A$1, 69 - 1, 7 - 1)), "1","0")</f>
        <v>0</v>
      </c>
      <c r="BD807">
        <f ca="1" xml:space="preserve"> IF( AND( OFFSET($A$1, 807 - 1, 54 - 1) = "1", OFFSET($A$1, 807 - 1, 55 - 1) = "1" ), 1, IF( AND( OFFSET($A$1, 807 - 1, 54 - 1) = "1", OFFSET($A$1, 807 - 1, 55 - 1) = "0" ), 2, IF( AND( OFFSET($A$1, 807 - 1, 54 - 1) = "0", OFFSET($A$1, 807 - 1, 55 - 1) = "1" ), 3, 4 ) ) )</f>
        <v>4</v>
      </c>
    </row>
    <row r="808" spans="53:56" x14ac:dyDescent="0.35">
      <c r="BA808" s="3">
        <v>0.20867692728544418</v>
      </c>
      <c r="BB808" s="3" t="str">
        <f>"0"</f>
        <v>0</v>
      </c>
      <c r="BC808" t="str">
        <f ca="1">IF((OFFSET($A$1, 808 - 1, 53 - 1)) &gt;= (OFFSET($A$1, 69 - 1, 7 - 1)), "1","0")</f>
        <v>0</v>
      </c>
      <c r="BD808">
        <f ca="1" xml:space="preserve"> IF( AND( OFFSET($A$1, 808 - 1, 54 - 1) = "1", OFFSET($A$1, 808 - 1, 55 - 1) = "1" ), 1, IF( AND( OFFSET($A$1, 808 - 1, 54 - 1) = "1", OFFSET($A$1, 808 - 1, 55 - 1) = "0" ), 2, IF( AND( OFFSET($A$1, 808 - 1, 54 - 1) = "0", OFFSET($A$1, 808 - 1, 55 - 1) = "1" ), 3, 4 ) ) )</f>
        <v>4</v>
      </c>
    </row>
    <row r="809" spans="53:56" x14ac:dyDescent="0.35">
      <c r="BA809" s="3">
        <v>0.20931689408965368</v>
      </c>
      <c r="BB809" s="3" t="str">
        <f>"0"</f>
        <v>0</v>
      </c>
      <c r="BC809" t="str">
        <f ca="1">IF((OFFSET($A$1, 809 - 1, 53 - 1)) &gt;= (OFFSET($A$1, 69 - 1, 7 - 1)), "1","0")</f>
        <v>0</v>
      </c>
      <c r="BD809">
        <f ca="1" xml:space="preserve"> IF( AND( OFFSET($A$1, 809 - 1, 54 - 1) = "1", OFFSET($A$1, 809 - 1, 55 - 1) = "1" ), 1, IF( AND( OFFSET($A$1, 809 - 1, 54 - 1) = "1", OFFSET($A$1, 809 - 1, 55 - 1) = "0" ), 2, IF( AND( OFFSET($A$1, 809 - 1, 54 - 1) = "0", OFFSET($A$1, 809 - 1, 55 - 1) = "1" ), 3, 4 ) ) )</f>
        <v>4</v>
      </c>
    </row>
    <row r="810" spans="53:56" x14ac:dyDescent="0.35">
      <c r="BA810" s="3">
        <v>0.20997196267899809</v>
      </c>
      <c r="BB810" s="3" t="str">
        <f>"0"</f>
        <v>0</v>
      </c>
      <c r="BC810" t="str">
        <f ca="1">IF((OFFSET($A$1, 810 - 1, 53 - 1)) &gt;= (OFFSET($A$1, 69 - 1, 7 - 1)), "1","0")</f>
        <v>0</v>
      </c>
      <c r="BD810">
        <f ca="1" xml:space="preserve"> IF( AND( OFFSET($A$1, 810 - 1, 54 - 1) = "1", OFFSET($A$1, 810 - 1, 55 - 1) = "1" ), 1, IF( AND( OFFSET($A$1, 810 - 1, 54 - 1) = "1", OFFSET($A$1, 810 - 1, 55 - 1) = "0" ), 2, IF( AND( OFFSET($A$1, 810 - 1, 54 - 1) = "0", OFFSET($A$1, 810 - 1, 55 - 1) = "1" ), 3, 4 ) ) )</f>
        <v>4</v>
      </c>
    </row>
    <row r="811" spans="53:56" x14ac:dyDescent="0.35">
      <c r="BA811" s="3">
        <v>0.21064203256773331</v>
      </c>
      <c r="BB811" s="3" t="str">
        <f>"1"</f>
        <v>1</v>
      </c>
      <c r="BC811" t="str">
        <f ca="1">IF((OFFSET($A$1, 811 - 1, 53 - 1)) &gt;= (OFFSET($A$1, 69 - 1, 7 - 1)), "1","0")</f>
        <v>0</v>
      </c>
      <c r="BD811">
        <f ca="1" xml:space="preserve"> IF( AND( OFFSET($A$1, 811 - 1, 54 - 1) = "1", OFFSET($A$1, 811 - 1, 55 - 1) = "1" ), 1, IF( AND( OFFSET($A$1, 811 - 1, 54 - 1) = "1", OFFSET($A$1, 811 - 1, 55 - 1) = "0" ), 2, IF( AND( OFFSET($A$1, 811 - 1, 54 - 1) = "0", OFFSET($A$1, 811 - 1, 55 - 1) = "1" ), 3, 4 ) ) )</f>
        <v>2</v>
      </c>
    </row>
    <row r="812" spans="53:56" x14ac:dyDescent="0.35">
      <c r="BA812" s="3">
        <v>0.45546608743308237</v>
      </c>
      <c r="BB812" s="3" t="str">
        <f>"1"</f>
        <v>1</v>
      </c>
      <c r="BC812" t="str">
        <f ca="1">IF((OFFSET($A$1, 812 - 1, 53 - 1)) &gt;= (OFFSET($A$1, 69 - 1, 7 - 1)), "1","0")</f>
        <v>0</v>
      </c>
      <c r="BD812">
        <f ca="1" xml:space="preserve"> IF( AND( OFFSET($A$1, 812 - 1, 54 - 1) = "1", OFFSET($A$1, 812 - 1, 55 - 1) = "1" ), 1, IF( AND( OFFSET($A$1, 812 - 1, 54 - 1) = "1", OFFSET($A$1, 812 - 1, 55 - 1) = "0" ), 2, IF( AND( OFFSET($A$1, 812 - 1, 54 - 1) = "0", OFFSET($A$1, 812 - 1, 55 - 1) = "1" ), 3, 4 ) ) )</f>
        <v>2</v>
      </c>
    </row>
    <row r="813" spans="53:56" x14ac:dyDescent="0.35">
      <c r="BA813" s="3">
        <v>0.45650631956922882</v>
      </c>
      <c r="BB813" s="3" t="str">
        <f>"0"</f>
        <v>0</v>
      </c>
      <c r="BC813" t="str">
        <f ca="1">IF((OFFSET($A$1, 813 - 1, 53 - 1)) &gt;= (OFFSET($A$1, 69 - 1, 7 - 1)), "1","0")</f>
        <v>0</v>
      </c>
      <c r="BD813">
        <f ca="1" xml:space="preserve"> IF( AND( OFFSET($A$1, 813 - 1, 54 - 1) = "1", OFFSET($A$1, 813 - 1, 55 - 1) = "1" ), 1, IF( AND( OFFSET($A$1, 813 - 1, 54 - 1) = "1", OFFSET($A$1, 813 - 1, 55 - 1) = "0" ), 2, IF( AND( OFFSET($A$1, 813 - 1, 54 - 1) = "0", OFFSET($A$1, 813 - 1, 55 - 1) = "1" ), 3, 4 ) ) )</f>
        <v>4</v>
      </c>
    </row>
    <row r="814" spans="53:56" x14ac:dyDescent="0.35">
      <c r="BA814" s="3">
        <v>0.21274118589180502</v>
      </c>
      <c r="BB814" s="3" t="str">
        <f>"0"</f>
        <v>0</v>
      </c>
      <c r="BC814" t="str">
        <f ca="1">IF((OFFSET($A$1, 814 - 1, 53 - 1)) &gt;= (OFFSET($A$1, 69 - 1, 7 - 1)), "1","0")</f>
        <v>0</v>
      </c>
      <c r="BD814">
        <f ca="1" xml:space="preserve"> IF( AND( OFFSET($A$1, 814 - 1, 54 - 1) = "1", OFFSET($A$1, 814 - 1, 55 - 1) = "1" ), 1, IF( AND( OFFSET($A$1, 814 - 1, 54 - 1) = "1", OFFSET($A$1, 814 - 1, 55 - 1) = "0" ), 2, IF( AND( OFFSET($A$1, 814 - 1, 54 - 1) = "0", OFFSET($A$1, 814 - 1, 55 - 1) = "1" ), 3, 4 ) ) )</f>
        <v>4</v>
      </c>
    </row>
    <row r="815" spans="53:56" x14ac:dyDescent="0.35">
      <c r="BA815" s="3">
        <v>0.21347017648441496</v>
      </c>
      <c r="BB815" s="3" t="str">
        <f>"1"</f>
        <v>1</v>
      </c>
      <c r="BC815" t="str">
        <f ca="1">IF((OFFSET($A$1, 815 - 1, 53 - 1)) &gt;= (OFFSET($A$1, 69 - 1, 7 - 1)), "1","0")</f>
        <v>0</v>
      </c>
      <c r="BD815">
        <f ca="1" xml:space="preserve"> IF( AND( OFFSET($A$1, 815 - 1, 54 - 1) = "1", OFFSET($A$1, 815 - 1, 55 - 1) = "1" ), 1, IF( AND( OFFSET($A$1, 815 - 1, 54 - 1) = "1", OFFSET($A$1, 815 - 1, 55 - 1) = "0" ), 2, IF( AND( OFFSET($A$1, 815 - 1, 54 - 1) = "0", OFFSET($A$1, 815 - 1, 55 - 1) = "1" ), 3, 4 ) ) )</f>
        <v>2</v>
      </c>
    </row>
    <row r="816" spans="53:56" x14ac:dyDescent="0.35">
      <c r="BA816" s="3">
        <v>0.45974352876459867</v>
      </c>
      <c r="BB816" s="3" t="str">
        <f>"1"</f>
        <v>1</v>
      </c>
      <c r="BC816" t="str">
        <f ca="1">IF((OFFSET($A$1, 816 - 1, 53 - 1)) &gt;= (OFFSET($A$1, 69 - 1, 7 - 1)), "1","0")</f>
        <v>0</v>
      </c>
      <c r="BD816">
        <f ca="1" xml:space="preserve"> IF( AND( OFFSET($A$1, 816 - 1, 54 - 1) = "1", OFFSET($A$1, 816 - 1, 55 - 1) = "1" ), 1, IF( AND( OFFSET($A$1, 816 - 1, 54 - 1) = "1", OFFSET($A$1, 816 - 1, 55 - 1) = "0" ), 2, IF( AND( OFFSET($A$1, 816 - 1, 54 - 1) = "0", OFFSET($A$1, 816 - 1, 55 - 1) = "1" ), 3, 4 ) ) )</f>
        <v>2</v>
      </c>
    </row>
    <row r="817" spans="53:56" x14ac:dyDescent="0.35">
      <c r="BA817" s="3">
        <v>0.46086040674575468</v>
      </c>
      <c r="BB817" s="3" t="str">
        <f>"1"</f>
        <v>1</v>
      </c>
      <c r="BC817" t="str">
        <f ca="1">IF((OFFSET($A$1, 817 - 1, 53 - 1)) &gt;= (OFFSET($A$1, 69 - 1, 7 - 1)), "1","0")</f>
        <v>0</v>
      </c>
      <c r="BD817">
        <f ca="1" xml:space="preserve"> IF( AND( OFFSET($A$1, 817 - 1, 54 - 1) = "1", OFFSET($A$1, 817 - 1, 55 - 1) = "1" ), 1, IF( AND( OFFSET($A$1, 817 - 1, 54 - 1) = "1", OFFSET($A$1, 817 - 1, 55 - 1) = "0" ), 2, IF( AND( OFFSET($A$1, 817 - 1, 54 - 1) = "0", OFFSET($A$1, 817 - 1, 55 - 1) = "1" ), 3, 4 ) ) )</f>
        <v>2</v>
      </c>
    </row>
    <row r="818" spans="53:56" x14ac:dyDescent="0.35">
      <c r="BA818" s="3">
        <v>0.4619956574663111</v>
      </c>
      <c r="BB818" s="3" t="str">
        <f>"1"</f>
        <v>1</v>
      </c>
      <c r="BC818" t="str">
        <f ca="1">IF((OFFSET($A$1, 818 - 1, 53 - 1)) &gt;= (OFFSET($A$1, 69 - 1, 7 - 1)), "1","0")</f>
        <v>0</v>
      </c>
      <c r="BD818">
        <f ca="1" xml:space="preserve"> IF( AND( OFFSET($A$1, 818 - 1, 54 - 1) = "1", OFFSET($A$1, 818 - 1, 55 - 1) = "1" ), 1, IF( AND( OFFSET($A$1, 818 - 1, 54 - 1) = "1", OFFSET($A$1, 818 - 1, 55 - 1) = "0" ), 2, IF( AND( OFFSET($A$1, 818 - 1, 54 - 1) = "0", OFFSET($A$1, 818 - 1, 55 - 1) = "1" ), 3, 4 ) ) )</f>
        <v>2</v>
      </c>
    </row>
    <row r="819" spans="53:56" x14ac:dyDescent="0.35">
      <c r="BA819" s="3">
        <v>0.46314895217837765</v>
      </c>
      <c r="BB819" s="3" t="str">
        <f>"1"</f>
        <v>1</v>
      </c>
      <c r="BC819" t="str">
        <f ca="1">IF((OFFSET($A$1, 819 - 1, 53 - 1)) &gt;= (OFFSET($A$1, 69 - 1, 7 - 1)), "1","0")</f>
        <v>0</v>
      </c>
      <c r="BD819">
        <f ca="1" xml:space="preserve"> IF( AND( OFFSET($A$1, 819 - 1, 54 - 1) = "1", OFFSET($A$1, 819 - 1, 55 - 1) = "1" ), 1, IF( AND( OFFSET($A$1, 819 - 1, 54 - 1) = "1", OFFSET($A$1, 819 - 1, 55 - 1) = "0" ), 2, IF( AND( OFFSET($A$1, 819 - 1, 54 - 1) = "0", OFFSET($A$1, 819 - 1, 55 - 1) = "1" ), 3, 4 ) ) )</f>
        <v>2</v>
      </c>
    </row>
    <row r="820" spans="53:56" x14ac:dyDescent="0.35">
      <c r="BA820" s="3">
        <v>0.46431995560588513</v>
      </c>
      <c r="BB820" s="3" t="str">
        <f>"1"</f>
        <v>1</v>
      </c>
      <c r="BC820" t="str">
        <f ca="1">IF((OFFSET($A$1, 820 - 1, 53 - 1)) &gt;= (OFFSET($A$1, 69 - 1, 7 - 1)), "1","0")</f>
        <v>0</v>
      </c>
      <c r="BD820">
        <f ca="1" xml:space="preserve"> IF( AND( OFFSET($A$1, 820 - 1, 54 - 1) = "1", OFFSET($A$1, 820 - 1, 55 - 1) = "1" ), 1, IF( AND( OFFSET($A$1, 820 - 1, 54 - 1) = "1", OFFSET($A$1, 820 - 1, 55 - 1) = "0" ), 2, IF( AND( OFFSET($A$1, 820 - 1, 54 - 1) = "0", OFFSET($A$1, 820 - 1, 55 - 1) = "1" ), 3, 4 ) ) )</f>
        <v>2</v>
      </c>
    </row>
    <row r="821" spans="53:56" x14ac:dyDescent="0.35">
      <c r="BA821" s="3">
        <v>0.46550832601065889</v>
      </c>
      <c r="BB821" s="3" t="str">
        <f>"0"</f>
        <v>0</v>
      </c>
      <c r="BC821" t="str">
        <f ca="1">IF((OFFSET($A$1, 821 - 1, 53 - 1)) &gt;= (OFFSET($A$1, 69 - 1, 7 - 1)), "1","0")</f>
        <v>0</v>
      </c>
      <c r="BD821">
        <f ca="1" xml:space="preserve"> IF( AND( OFFSET($A$1, 821 - 1, 54 - 1) = "1", OFFSET($A$1, 821 - 1, 55 - 1) = "1" ), 1, IF( AND( OFFSET($A$1, 821 - 1, 54 - 1) = "1", OFFSET($A$1, 821 - 1, 55 - 1) = "0" ), 2, IF( AND( OFFSET($A$1, 821 - 1, 54 - 1) = "0", OFFSET($A$1, 821 - 1, 55 - 1) = "1" ), 3, 4 ) ) )</f>
        <v>4</v>
      </c>
    </row>
    <row r="822" spans="53:56" x14ac:dyDescent="0.35">
      <c r="BA822" s="3">
        <v>0.21897005721305446</v>
      </c>
      <c r="BB822" s="3" t="str">
        <f>"0"</f>
        <v>0</v>
      </c>
      <c r="BC822" t="str">
        <f ca="1">IF((OFFSET($A$1, 822 - 1, 53 - 1)) &gt;= (OFFSET($A$1, 69 - 1, 7 - 1)), "1","0")</f>
        <v>0</v>
      </c>
      <c r="BD822">
        <f ca="1" xml:space="preserve"> IF( AND( OFFSET($A$1, 822 - 1, 54 - 1) = "1", OFFSET($A$1, 822 - 1, 55 - 1) = "1" ), 1, IF( AND( OFFSET($A$1, 822 - 1, 54 - 1) = "1", OFFSET($A$1, 822 - 1, 55 - 1) = "0" ), 2, IF( AND( OFFSET($A$1, 822 - 1, 54 - 1) = "0", OFFSET($A$1, 822 - 1, 55 - 1) = "1" ), 3, 4 ) ) )</f>
        <v>4</v>
      </c>
    </row>
    <row r="823" spans="53:56" x14ac:dyDescent="0.35">
      <c r="BA823" s="3">
        <v>0.21981079451589972</v>
      </c>
      <c r="BB823" s="3" t="str">
        <f>"0"</f>
        <v>0</v>
      </c>
      <c r="BC823" t="str">
        <f ca="1">IF((OFFSET($A$1, 823 - 1, 53 - 1)) &gt;= (OFFSET($A$1, 69 - 1, 7 - 1)), "1","0")</f>
        <v>0</v>
      </c>
      <c r="BD823">
        <f ca="1" xml:space="preserve"> IF( AND( OFFSET($A$1, 823 - 1, 54 - 1) = "1", OFFSET($A$1, 823 - 1, 55 - 1) = "1" ), 1, IF( AND( OFFSET($A$1, 823 - 1, 54 - 1) = "1", OFFSET($A$1, 823 - 1, 55 - 1) = "0" ), 2, IF( AND( OFFSET($A$1, 823 - 1, 54 - 1) = "0", OFFSET($A$1, 823 - 1, 55 - 1) = "1" ), 3, 4 ) ) )</f>
        <v>4</v>
      </c>
    </row>
    <row r="824" spans="53:56" x14ac:dyDescent="0.35">
      <c r="BA824" s="3">
        <v>0.22066483991733585</v>
      </c>
      <c r="BB824" s="3" t="str">
        <f>"0"</f>
        <v>0</v>
      </c>
      <c r="BC824" t="str">
        <f ca="1">IF((OFFSET($A$1, 824 - 1, 53 - 1)) &gt;= (OFFSET($A$1, 69 - 1, 7 - 1)), "1","0")</f>
        <v>0</v>
      </c>
      <c r="BD824">
        <f ca="1" xml:space="preserve"> IF( AND( OFFSET($A$1, 824 - 1, 54 - 1) = "1", OFFSET($A$1, 824 - 1, 55 - 1) = "1" ), 1, IF( AND( OFFSET($A$1, 824 - 1, 54 - 1) = "1", OFFSET($A$1, 824 - 1, 55 - 1) = "0" ), 2, IF( AND( OFFSET($A$1, 824 - 1, 54 - 1) = "0", OFFSET($A$1, 824 - 1, 55 - 1) = "1" ), 3, 4 ) ) )</f>
        <v>4</v>
      </c>
    </row>
    <row r="825" spans="53:56" x14ac:dyDescent="0.35">
      <c r="BA825" s="3">
        <v>0.22153203061761484</v>
      </c>
      <c r="BB825" s="3" t="str">
        <f>"1"</f>
        <v>1</v>
      </c>
      <c r="BC825" t="str">
        <f ca="1">IF((OFFSET($A$1, 825 - 1, 53 - 1)) &gt;= (OFFSET($A$1, 69 - 1, 7 - 1)), "1","0")</f>
        <v>0</v>
      </c>
      <c r="BD825">
        <f ca="1" xml:space="preserve"> IF( AND( OFFSET($A$1, 825 - 1, 54 - 1) = "1", OFFSET($A$1, 825 - 1, 55 - 1) = "1" ), 1, IF( AND( OFFSET($A$1, 825 - 1, 54 - 1) = "1", OFFSET($A$1, 825 - 1, 55 - 1) = "0" ), 2, IF( AND( OFFSET($A$1, 825 - 1, 54 - 1) = "0", OFFSET($A$1, 825 - 1, 55 - 1) = "1" ), 3, 4 ) ) )</f>
        <v>2</v>
      </c>
    </row>
    <row r="826" spans="53:56" x14ac:dyDescent="0.35">
      <c r="BA826" s="3">
        <v>0.47169827894572264</v>
      </c>
      <c r="BB826" s="3" t="str">
        <f>"0"</f>
        <v>0</v>
      </c>
      <c r="BC826" t="str">
        <f ca="1">IF((OFFSET($A$1, 826 - 1, 53 - 1)) &gt;= (OFFSET($A$1, 69 - 1, 7 - 1)), "1","0")</f>
        <v>0</v>
      </c>
      <c r="BD826">
        <f ca="1" xml:space="preserve"> IF( AND( OFFSET($A$1, 826 - 1, 54 - 1) = "1", OFFSET($A$1, 826 - 1, 55 - 1) = "1" ), 1, IF( AND( OFFSET($A$1, 826 - 1, 54 - 1) = "1", OFFSET($A$1, 826 - 1, 55 - 1) = "0" ), 2, IF( AND( OFFSET($A$1, 826 - 1, 54 - 1) = "0", OFFSET($A$1, 826 - 1, 55 - 1) = "1" ), 3, 4 ) ) )</f>
        <v>4</v>
      </c>
    </row>
    <row r="827" spans="53:56" x14ac:dyDescent="0.35">
      <c r="BA827" s="3">
        <v>0.2233051715646078</v>
      </c>
      <c r="BB827" s="3" t="str">
        <f>"0"</f>
        <v>0</v>
      </c>
      <c r="BC827" t="str">
        <f ca="1">IF((OFFSET($A$1, 827 - 1, 53 - 1)) &gt;= (OFFSET($A$1, 69 - 1, 7 - 1)), "1","0")</f>
        <v>0</v>
      </c>
      <c r="BD827">
        <f ca="1" xml:space="preserve"> IF( AND( OFFSET($A$1, 827 - 1, 54 - 1) = "1", OFFSET($A$1, 827 - 1, 55 - 1) = "1" ), 1, IF( AND( OFFSET($A$1, 827 - 1, 54 - 1) = "1", OFFSET($A$1, 827 - 1, 55 - 1) = "0" ), 2, IF( AND( OFFSET($A$1, 827 - 1, 54 - 1) = "0", OFFSET($A$1, 827 - 1, 55 - 1) = "1" ), 3, 4 ) ) )</f>
        <v>4</v>
      </c>
    </row>
    <row r="828" spans="53:56" x14ac:dyDescent="0.35">
      <c r="BA828" s="3">
        <v>0.2242107708703755</v>
      </c>
      <c r="BB828" s="3" t="str">
        <f>"0"</f>
        <v>0</v>
      </c>
      <c r="BC828" t="str">
        <f ca="1">IF((OFFSET($A$1, 828 - 1, 53 - 1)) &gt;= (OFFSET($A$1, 69 - 1, 7 - 1)), "1","0")</f>
        <v>0</v>
      </c>
      <c r="BD828">
        <f ca="1" xml:space="preserve"> IF( AND( OFFSET($A$1, 828 - 1, 54 - 1) = "1", OFFSET($A$1, 828 - 1, 55 - 1) = "1" ), 1, IF( AND( OFFSET($A$1, 828 - 1, 54 - 1) = "1", OFFSET($A$1, 828 - 1, 55 - 1) = "0" ), 2, IF( AND( OFFSET($A$1, 828 - 1, 54 - 1) = "0", OFFSET($A$1, 828 - 1, 55 - 1) = "1" ), 3, 4 ) ) )</f>
        <v>4</v>
      </c>
    </row>
    <row r="829" spans="53:56" x14ac:dyDescent="0.35">
      <c r="BA829" s="3">
        <v>0.22512881347309305</v>
      </c>
      <c r="BB829" s="3" t="str">
        <f>"0"</f>
        <v>0</v>
      </c>
      <c r="BC829" t="str">
        <f ca="1">IF((OFFSET($A$1, 829 - 1, 53 - 1)) &gt;= (OFFSET($A$1, 69 - 1, 7 - 1)), "1","0")</f>
        <v>0</v>
      </c>
      <c r="BD829">
        <f ca="1" xml:space="preserve"> IF( AND( OFFSET($A$1, 829 - 1, 54 - 1) = "1", OFFSET($A$1, 829 - 1, 55 - 1) = "1" ), 1, IF( AND( OFFSET($A$1, 829 - 1, 54 - 1) = "1", OFFSET($A$1, 829 - 1, 55 - 1) = "0" ), 2, IF( AND( OFFSET($A$1, 829 - 1, 54 - 1) = "0", OFFSET($A$1, 829 - 1, 55 - 1) = "1" ), 3, 4 ) ) )</f>
        <v>4</v>
      </c>
    </row>
    <row r="830" spans="53:56" x14ac:dyDescent="0.35">
      <c r="BA830" s="3">
        <v>0.2260591108719337</v>
      </c>
      <c r="BB830" s="3" t="str">
        <f>"0"</f>
        <v>0</v>
      </c>
      <c r="BC830" t="str">
        <f ca="1">IF((OFFSET($A$1, 830 - 1, 53 - 1)) &gt;= (OFFSET($A$1, 69 - 1, 7 - 1)), "1","0")</f>
        <v>0</v>
      </c>
      <c r="BD830">
        <f ca="1" xml:space="preserve"> IF( AND( OFFSET($A$1, 830 - 1, 54 - 1) = "1", OFFSET($A$1, 830 - 1, 55 - 1) = "1" ), 1, IF( AND( OFFSET($A$1, 830 - 1, 54 - 1) = "1", OFFSET($A$1, 830 - 1, 55 - 1) = "0" ), 2, IF( AND( OFFSET($A$1, 830 - 1, 54 - 1) = "0", OFFSET($A$1, 830 - 1, 55 - 1) = "1" ), 3, 4 ) ) )</f>
        <v>4</v>
      </c>
    </row>
    <row r="831" spans="53:56" x14ac:dyDescent="0.35">
      <c r="BA831" s="3">
        <v>0.22700146925731873</v>
      </c>
      <c r="BB831" s="3" t="str">
        <f>"1"</f>
        <v>1</v>
      </c>
      <c r="BC831" t="str">
        <f ca="1">IF((OFFSET($A$1, 831 - 1, 53 - 1)) &gt;= (OFFSET($A$1, 69 - 1, 7 - 1)), "1","0")</f>
        <v>0</v>
      </c>
      <c r="BD831">
        <f ca="1" xml:space="preserve"> IF( AND( OFFSET($A$1, 831 - 1, 54 - 1) = "1", OFFSET($A$1, 831 - 1, 55 - 1) = "1" ), 1, IF( AND( OFFSET($A$1, 831 - 1, 54 - 1) = "1", OFFSET($A$1, 831 - 1, 55 - 1) = "0" ), 2, IF( AND( OFFSET($A$1, 831 - 1, 54 - 1) = "0", OFFSET($A$1, 831 - 1, 55 - 1) = "1" ), 3, 4 ) ) )</f>
        <v>2</v>
      </c>
    </row>
    <row r="832" spans="53:56" x14ac:dyDescent="0.35">
      <c r="BA832" s="3">
        <v>0.47962265653835762</v>
      </c>
      <c r="BB832" s="3" t="str">
        <f>"0"</f>
        <v>0</v>
      </c>
      <c r="BC832" t="str">
        <f ca="1">IF((OFFSET($A$1, 832 - 1, 53 - 1)) &gt;= (OFFSET($A$1, 69 - 1, 7 - 1)), "1","0")</f>
        <v>0</v>
      </c>
      <c r="BD832">
        <f ca="1" xml:space="preserve"> IF( AND( OFFSET($A$1, 832 - 1, 54 - 1) = "1", OFFSET($A$1, 832 - 1, 55 - 1) = "1" ), 1, IF( AND( OFFSET($A$1, 832 - 1, 54 - 1) = "1", OFFSET($A$1, 832 - 1, 55 - 1) = "0" ), 2, IF( AND( OFFSET($A$1, 832 - 1, 54 - 1) = "0", OFFSET($A$1, 832 - 1, 55 - 1) = "1" ), 3, 4 ) ) )</f>
        <v>4</v>
      </c>
    </row>
    <row r="833" spans="53:56" x14ac:dyDescent="0.35">
      <c r="BA833" s="3">
        <v>0.22892156692041868</v>
      </c>
      <c r="BB833" s="3" t="str">
        <f>"0"</f>
        <v>0</v>
      </c>
      <c r="BC833" t="str">
        <f ca="1">IF((OFFSET($A$1, 833 - 1, 53 - 1)) &gt;= (OFFSET($A$1, 69 - 1, 7 - 1)), "1","0")</f>
        <v>0</v>
      </c>
      <c r="BD833">
        <f ca="1" xml:space="preserve"> IF( AND( OFFSET($A$1, 833 - 1, 54 - 1) = "1", OFFSET($A$1, 833 - 1, 55 - 1) = "1" ), 1, IF( AND( OFFSET($A$1, 833 - 1, 54 - 1) = "1", OFFSET($A$1, 833 - 1, 55 - 1) = "0" ), 2, IF( AND( OFFSET($A$1, 833 - 1, 54 - 1) = "0", OFFSET($A$1, 833 - 1, 55 - 1) = "1" ), 3, 4 ) ) )</f>
        <v>4</v>
      </c>
    </row>
    <row r="834" spans="53:56" x14ac:dyDescent="0.35">
      <c r="BA834" s="3">
        <v>0.22989889162083094</v>
      </c>
      <c r="BB834" s="3" t="str">
        <f>"1"</f>
        <v>1</v>
      </c>
      <c r="BC834" t="str">
        <f ca="1">IF((OFFSET($A$1, 834 - 1, 53 - 1)) &gt;= (OFFSET($A$1, 69 - 1, 7 - 1)), "1","0")</f>
        <v>0</v>
      </c>
      <c r="BD834">
        <f ca="1" xml:space="preserve"> IF( AND( OFFSET($A$1, 834 - 1, 54 - 1) = "1", OFFSET($A$1, 834 - 1, 55 - 1) = "1" ), 1, IF( AND( OFFSET($A$1, 834 - 1, 54 - 1) = "1", OFFSET($A$1, 834 - 1, 55 - 1) = "0" ), 2, IF( AND( OFFSET($A$1, 834 - 1, 54 - 1) = "0", OFFSET($A$1, 834 - 1, 55 - 1) = "1" ), 3, 4 ) ) )</f>
        <v>2</v>
      </c>
    </row>
    <row r="835" spans="53:56" x14ac:dyDescent="0.35">
      <c r="BA835" s="3">
        <v>0.4837630030615927</v>
      </c>
      <c r="BB835" s="3" t="str">
        <f>"1"</f>
        <v>1</v>
      </c>
      <c r="BC835" t="str">
        <f ca="1">IF((OFFSET($A$1, 835 - 1, 53 - 1)) &gt;= (OFFSET($A$1, 69 - 1, 7 - 1)), "1","0")</f>
        <v>0</v>
      </c>
      <c r="BD835">
        <f ca="1" xml:space="preserve"> IF( AND( OFFSET($A$1, 835 - 1, 54 - 1) = "1", OFFSET($A$1, 835 - 1, 55 - 1) = "1" ), 1, IF( AND( OFFSET($A$1, 835 - 1, 54 - 1) = "1", OFFSET($A$1, 835 - 1, 55 - 1) = "0" ), 2, IF( AND( OFFSET($A$1, 835 - 1, 54 - 1) = "0", OFFSET($A$1, 835 - 1, 55 - 1) = "1" ), 3, 4 ) ) )</f>
        <v>2</v>
      </c>
    </row>
    <row r="836" spans="53:56" x14ac:dyDescent="0.35">
      <c r="BA836" s="3">
        <v>0.48516674029504675</v>
      </c>
      <c r="BB836" s="3" t="str">
        <f>"0"</f>
        <v>0</v>
      </c>
      <c r="BC836" t="str">
        <f ca="1">IF((OFFSET($A$1, 836 - 1, 53 - 1)) &gt;= (OFFSET($A$1, 69 - 1, 7 - 1)), "1","0")</f>
        <v>0</v>
      </c>
      <c r="BD836">
        <f ca="1" xml:space="preserve"> IF( AND( OFFSET($A$1, 836 - 1, 54 - 1) = "1", OFFSET($A$1, 836 - 1, 55 - 1) = "1" ), 1, IF( AND( OFFSET($A$1, 836 - 1, 54 - 1) = "1", OFFSET($A$1, 836 - 1, 55 - 1) = "0" ), 2, IF( AND( OFFSET($A$1, 836 - 1, 54 - 1) = "0", OFFSET($A$1, 836 - 1, 55 - 1) = "1" ), 3, 4 ) ) )</f>
        <v>4</v>
      </c>
    </row>
    <row r="837" spans="53:56" x14ac:dyDescent="0.35">
      <c r="BA837" s="3">
        <v>0.232897366726845</v>
      </c>
      <c r="BB837" s="3" t="str">
        <f>"1"</f>
        <v>1</v>
      </c>
      <c r="BC837" t="str">
        <f ca="1">IF((OFFSET($A$1, 837 - 1, 53 - 1)) &gt;= (OFFSET($A$1, 69 - 1, 7 - 1)), "1","0")</f>
        <v>0</v>
      </c>
      <c r="BD837">
        <f ca="1" xml:space="preserve"> IF( AND( OFFSET($A$1, 837 - 1, 54 - 1) = "1", OFFSET($A$1, 837 - 1, 55 - 1) = "1" ), 1, IF( AND( OFFSET($A$1, 837 - 1, 54 - 1) = "1", OFFSET($A$1, 837 - 1, 55 - 1) = "0" ), 2, IF( AND( OFFSET($A$1, 837 - 1, 54 - 1) = "0", OFFSET($A$1, 837 - 1, 55 - 1) = "1" ), 3, 4 ) ) )</f>
        <v>2</v>
      </c>
    </row>
    <row r="838" spans="53:56" x14ac:dyDescent="0.35">
      <c r="BA838" s="3">
        <v>0.48800706441446301</v>
      </c>
      <c r="BB838" s="3" t="str">
        <f>"0"</f>
        <v>0</v>
      </c>
      <c r="BC838" t="str">
        <f ca="1">IF((OFFSET($A$1, 838 - 1, 53 - 1)) &gt;= (OFFSET($A$1, 69 - 1, 7 - 1)), "1","0")</f>
        <v>0</v>
      </c>
      <c r="BD838">
        <f ca="1" xml:space="preserve"> IF( AND( OFFSET($A$1, 838 - 1, 54 - 1) = "1", OFFSET($A$1, 838 - 1, 55 - 1) = "1" ), 1, IF( AND( OFFSET($A$1, 838 - 1, 54 - 1) = "1", OFFSET($A$1, 838 - 1, 55 - 1) = "0" ), 2, IF( AND( OFFSET($A$1, 838 - 1, 54 - 1) = "0", OFFSET($A$1, 838 - 1, 55 - 1) = "1" ), 3, 4 ) ) )</f>
        <v>4</v>
      </c>
    </row>
    <row r="839" spans="53:56" x14ac:dyDescent="0.35">
      <c r="BA839" s="3">
        <v>0.23494948831174534</v>
      </c>
      <c r="BB839" s="3" t="str">
        <f>"0"</f>
        <v>0</v>
      </c>
      <c r="BC839" t="str">
        <f ca="1">IF((OFFSET($A$1, 839 - 1, 53 - 1)) &gt;= (OFFSET($A$1, 69 - 1, 7 - 1)), "1","0")</f>
        <v>0</v>
      </c>
      <c r="BD839">
        <f ca="1" xml:space="preserve"> IF( AND( OFFSET($A$1, 839 - 1, 54 - 1) = "1", OFFSET($A$1, 839 - 1, 55 - 1) = "1" ), 1, IF( AND( OFFSET($A$1, 839 - 1, 54 - 1) = "1", OFFSET($A$1, 839 - 1, 55 - 1) = "0" ), 2, IF( AND( OFFSET($A$1, 839 - 1, 54 - 1) = "0", OFFSET($A$1, 839 - 1, 55 - 1) = "1" ), 3, 4 ) ) )</f>
        <v>4</v>
      </c>
    </row>
    <row r="840" spans="53:56" x14ac:dyDescent="0.35">
      <c r="BA840" s="3">
        <v>0.23599077752223332</v>
      </c>
      <c r="BB840" s="3" t="str">
        <f>"0"</f>
        <v>0</v>
      </c>
      <c r="BC840" t="str">
        <f ca="1">IF((OFFSET($A$1, 840 - 1, 53 - 1)) &gt;= (OFFSET($A$1, 69 - 1, 7 - 1)), "1","0")</f>
        <v>0</v>
      </c>
      <c r="BD840">
        <f ca="1" xml:space="preserve"> IF( AND( OFFSET($A$1, 840 - 1, 54 - 1) = "1", OFFSET($A$1, 840 - 1, 55 - 1) = "1" ), 1, IF( AND( OFFSET($A$1, 840 - 1, 54 - 1) = "1", OFFSET($A$1, 840 - 1, 55 - 1) = "0" ), 2, IF( AND( OFFSET($A$1, 840 - 1, 54 - 1) = "0", OFFSET($A$1, 840 - 1, 55 - 1) = "1" ), 3, 4 ) ) )</f>
        <v>4</v>
      </c>
    </row>
    <row r="841" spans="53:56" x14ac:dyDescent="0.35">
      <c r="BA841" s="3">
        <v>0.23704188905945067</v>
      </c>
      <c r="BB841" s="3" t="str">
        <f>"1"</f>
        <v>1</v>
      </c>
      <c r="BC841" t="str">
        <f ca="1">IF((OFFSET($A$1, 841 - 1, 53 - 1)) &gt;= (OFFSET($A$1, 69 - 1, 7 - 1)), "1","0")</f>
        <v>0</v>
      </c>
      <c r="BD841">
        <f ca="1" xml:space="preserve"> IF( AND( OFFSET($A$1, 841 - 1, 54 - 1) = "1", OFFSET($A$1, 841 - 1, 55 - 1) = "1" ), 1, IF( AND( OFFSET($A$1, 841 - 1, 54 - 1) = "1", OFFSET($A$1, 841 - 1, 55 - 1) = "0" ), 2, IF( AND( OFFSET($A$1, 841 - 1, 54 - 1) = "0", OFFSET($A$1, 841 - 1, 55 - 1) = "1" ), 3, 4 ) ) )</f>
        <v>2</v>
      </c>
    </row>
    <row r="842" spans="53:56" x14ac:dyDescent="0.35">
      <c r="BA842" s="3">
        <v>0.49380674972357391</v>
      </c>
      <c r="BB842" s="3" t="str">
        <f>"1"</f>
        <v>1</v>
      </c>
      <c r="BC842" t="str">
        <f ca="1">IF((OFFSET($A$1, 842 - 1, 53 - 1)) &gt;= (OFFSET($A$1, 69 - 1, 7 - 1)), "1","0")</f>
        <v>0</v>
      </c>
      <c r="BD842">
        <f ca="1" xml:space="preserve"> IF( AND( OFFSET($A$1, 842 - 1, 54 - 1) = "1", OFFSET($A$1, 842 - 1, 55 - 1) = "1" ), 1, IF( AND( OFFSET($A$1, 842 - 1, 54 - 1) = "1", OFFSET($A$1, 842 - 1, 55 - 1) = "0" ), 2, IF( AND( OFFSET($A$1, 842 - 1, 54 - 1) = "0", OFFSET($A$1, 842 - 1, 55 - 1) = "1" ), 3, 4 ) ) )</f>
        <v>2</v>
      </c>
    </row>
    <row r="843" spans="53:56" x14ac:dyDescent="0.35">
      <c r="BA843" s="3">
        <v>0.49527884817877876</v>
      </c>
      <c r="BB843" s="3" t="str">
        <f>"0"</f>
        <v>0</v>
      </c>
      <c r="BC843" t="str">
        <f ca="1">IF((OFFSET($A$1, 843 - 1, 53 - 1)) &gt;= (OFFSET($A$1, 69 - 1, 7 - 1)), "1","0")</f>
        <v>0</v>
      </c>
      <c r="BD843">
        <f ca="1" xml:space="preserve"> IF( AND( OFFSET($A$1, 843 - 1, 54 - 1) = "1", OFFSET($A$1, 843 - 1, 55 - 1) = "1" ), 1, IF( AND( OFFSET($A$1, 843 - 1, 54 - 1) = "1", OFFSET($A$1, 843 - 1, 55 - 1) = "0" ), 2, IF( AND( OFFSET($A$1, 843 - 1, 54 - 1) = "0", OFFSET($A$1, 843 - 1, 55 - 1) = "1" ), 3, 4 ) ) )</f>
        <v>4</v>
      </c>
    </row>
    <row r="844" spans="53:56" x14ac:dyDescent="0.35">
      <c r="BA844" s="3">
        <v>0.24025158498356508</v>
      </c>
      <c r="BB844" s="3" t="str">
        <f>"0"</f>
        <v>0</v>
      </c>
      <c r="BC844" t="str">
        <f ca="1">IF((OFFSET($A$1, 844 - 1, 53 - 1)) &gt;= (OFFSET($A$1, 69 - 1, 7 - 1)), "1","0")</f>
        <v>0</v>
      </c>
      <c r="BD844">
        <f ca="1" xml:space="preserve"> IF( AND( OFFSET($A$1, 844 - 1, 54 - 1) = "1", OFFSET($A$1, 844 - 1, 55 - 1) = "1" ), 1, IF( AND( OFFSET($A$1, 844 - 1, 54 - 1) = "1", OFFSET($A$1, 844 - 1, 55 - 1) = "0" ), 2, IF( AND( OFFSET($A$1, 844 - 1, 54 - 1) = "0", OFFSET($A$1, 844 - 1, 55 - 1) = "1" ), 3, 4 ) ) )</f>
        <v>4</v>
      </c>
    </row>
    <row r="845" spans="53:56" x14ac:dyDescent="0.35">
      <c r="BA845" s="3">
        <v>0.24133938522037221</v>
      </c>
      <c r="BB845" s="3" t="str">
        <f>"1"</f>
        <v>1</v>
      </c>
      <c r="BC845" t="str">
        <f ca="1">IF((OFFSET($A$1, 845 - 1, 53 - 1)) &gt;= (OFFSET($A$1, 69 - 1, 7 - 1)), "1","0")</f>
        <v>0</v>
      </c>
      <c r="BD845">
        <f ca="1" xml:space="preserve"> IF( AND( OFFSET($A$1, 845 - 1, 54 - 1) = "1", OFFSET($A$1, 845 - 1, 55 - 1) = "1" ), 1, IF( AND( OFFSET($A$1, 845 - 1, 54 - 1) = "1", OFFSET($A$1, 845 - 1, 55 - 1) = "0" ), 2, IF( AND( OFFSET($A$1, 845 - 1, 54 - 1) = "0", OFFSET($A$1, 845 - 1, 55 - 1) = "1" ), 3, 4 ) ) )</f>
        <v>2</v>
      </c>
    </row>
    <row r="846" spans="53:56" x14ac:dyDescent="0.35">
      <c r="BA846" s="3">
        <v>0.4997410311526671</v>
      </c>
      <c r="BB846" s="3" t="str">
        <f>"1"</f>
        <v>1</v>
      </c>
      <c r="BC846" t="str">
        <f ca="1">IF((OFFSET($A$1, 846 - 1, 53 - 1)) &gt;= (OFFSET($A$1, 69 - 1, 7 - 1)), "1","0")</f>
        <v>0</v>
      </c>
      <c r="BD846">
        <f ca="1" xml:space="preserve"> IF( AND( OFFSET($A$1, 846 - 1, 54 - 1) = "1", OFFSET($A$1, 846 - 1, 55 - 1) = "1" ), 1, IF( AND( OFFSET($A$1, 846 - 1, 54 - 1) = "1", OFFSET($A$1, 846 - 1, 55 - 1) = "0" ), 2, IF( AND( OFFSET($A$1, 846 - 1, 54 - 1) = "0", OFFSET($A$1, 846 - 1, 55 - 1) = "1" ), 3, 4 ) ) )</f>
        <v>2</v>
      </c>
    </row>
    <row r="847" spans="53:56" x14ac:dyDescent="0.35">
      <c r="BA847" s="3">
        <v>0.50124216864178783</v>
      </c>
      <c r="BB847" s="3" t="str">
        <f>"1"</f>
        <v>1</v>
      </c>
      <c r="BC847" t="str">
        <f ca="1">IF((OFFSET($A$1, 847 - 1, 53 - 1)) &gt;= (OFFSET($A$1, 69 - 1, 7 - 1)), "1","0")</f>
        <v>1</v>
      </c>
      <c r="BD847">
        <f ca="1" xml:space="preserve"> IF( AND( OFFSET($A$1, 847 - 1, 54 - 1) = "1", OFFSET($A$1, 847 - 1, 55 - 1) = "1" ), 1, IF( AND( OFFSET($A$1, 847 - 1, 54 - 1) = "1", OFFSET($A$1, 847 - 1, 55 - 1) = "0" ), 2, IF( AND( OFFSET($A$1, 847 - 1, 54 - 1) = "0", OFFSET($A$1, 847 - 1, 55 - 1) = "1" ), 3, 4 ) ) )</f>
        <v>1</v>
      </c>
    </row>
    <row r="848" spans="53:56" x14ac:dyDescent="0.35">
      <c r="BA848" s="3">
        <v>0.50274939432906451</v>
      </c>
      <c r="BB848" s="3" t="str">
        <f>"1"</f>
        <v>1</v>
      </c>
      <c r="BC848" t="str">
        <f ca="1">IF((OFFSET($A$1, 848 - 1, 53 - 1)) &gt;= (OFFSET($A$1, 69 - 1, 7 - 1)), "1","0")</f>
        <v>1</v>
      </c>
      <c r="BD848">
        <f ca="1" xml:space="preserve"> IF( AND( OFFSET($A$1, 848 - 1, 54 - 1) = "1", OFFSET($A$1, 848 - 1, 55 - 1) = "1" ), 1, IF( AND( OFFSET($A$1, 848 - 1, 54 - 1) = "1", OFFSET($A$1, 848 - 1, 55 - 1) = "0" ), 2, IF( AND( OFFSET($A$1, 848 - 1, 54 - 1) = "0", OFFSET($A$1, 848 - 1, 55 - 1) = "1" ), 3, 4 ) ) )</f>
        <v>1</v>
      </c>
    </row>
    <row r="849" spans="53:56" x14ac:dyDescent="0.35">
      <c r="BA849" s="3">
        <v>0.50426223439386364</v>
      </c>
      <c r="BB849" s="3" t="str">
        <f>"0"</f>
        <v>0</v>
      </c>
      <c r="BC849" t="str">
        <f ca="1">IF((OFFSET($A$1, 849 - 1, 53 - 1)) &gt;= (OFFSET($A$1, 69 - 1, 7 - 1)), "1","0")</f>
        <v>1</v>
      </c>
      <c r="BD849">
        <f ca="1" xml:space="preserve"> IF( AND( OFFSET($A$1, 849 - 1, 54 - 1) = "1", OFFSET($A$1, 849 - 1, 55 - 1) = "1" ), 1, IF( AND( OFFSET($A$1, 849 - 1, 54 - 1) = "1", OFFSET($A$1, 849 - 1, 55 - 1) = "0" ), 2, IF( AND( OFFSET($A$1, 849 - 1, 54 - 1) = "0", OFFSET($A$1, 849 - 1, 55 - 1) = "1" ), 3, 4 ) ) )</f>
        <v>3</v>
      </c>
    </row>
    <row r="850" spans="53:56" x14ac:dyDescent="0.35">
      <c r="BA850" s="3">
        <v>0.24690006926119826</v>
      </c>
      <c r="BB850" s="3" t="str">
        <f>"0"</f>
        <v>0</v>
      </c>
      <c r="BC850" t="str">
        <f ca="1">IF((OFFSET($A$1, 850 - 1, 53 - 1)) &gt;= (OFFSET($A$1, 69 - 1, 7 - 1)), "1","0")</f>
        <v>0</v>
      </c>
      <c r="BD850">
        <f ca="1" xml:space="preserve"> IF( AND( OFFSET($A$1, 850 - 1, 54 - 1) = "1", OFFSET($A$1, 850 - 1, 55 - 1) = "1" ), 1, IF( AND( OFFSET($A$1, 850 - 1, 54 - 1) = "1", OFFSET($A$1, 850 - 1, 55 - 1) = "0" ), 2, IF( AND( OFFSET($A$1, 850 - 1, 54 - 1) = "0", OFFSET($A$1, 850 - 1, 55 - 1) = "1" ), 3, 4 ) ) )</f>
        <v>4</v>
      </c>
    </row>
    <row r="851" spans="53:56" x14ac:dyDescent="0.35">
      <c r="BA851" s="3">
        <v>0.24803448983325663</v>
      </c>
      <c r="BB851" s="3" t="str">
        <f>"0"</f>
        <v>0</v>
      </c>
      <c r="BC851" t="str">
        <f ca="1">IF((OFFSET($A$1, 851 - 1, 53 - 1)) &gt;= (OFFSET($A$1, 69 - 1, 7 - 1)), "1","0")</f>
        <v>0</v>
      </c>
      <c r="BD851">
        <f ca="1" xml:space="preserve"> IF( AND( OFFSET($A$1, 851 - 1, 54 - 1) = "1", OFFSET($A$1, 851 - 1, 55 - 1) = "1" ), 1, IF( AND( OFFSET($A$1, 851 - 1, 54 - 1) = "1", OFFSET($A$1, 851 - 1, 55 - 1) = "0" ), 2, IF( AND( OFFSET($A$1, 851 - 1, 54 - 1) = "0", OFFSET($A$1, 851 - 1, 55 - 1) = "1" ), 3, 4 ) ) )</f>
        <v>4</v>
      </c>
    </row>
    <row r="852" spans="53:56" x14ac:dyDescent="0.35">
      <c r="BA852" s="3">
        <v>0.24917562886506406</v>
      </c>
      <c r="BB852" s="3" t="str">
        <f>"0"</f>
        <v>0</v>
      </c>
      <c r="BC852" t="str">
        <f ca="1">IF((OFFSET($A$1, 852 - 1, 53 - 1)) &gt;= (OFFSET($A$1, 69 - 1, 7 - 1)), "1","0")</f>
        <v>0</v>
      </c>
      <c r="BD852">
        <f ca="1" xml:space="preserve"> IF( AND( OFFSET($A$1, 852 - 1, 54 - 1) = "1", OFFSET($A$1, 852 - 1, 55 - 1) = "1" ), 1, IF( AND( OFFSET($A$1, 852 - 1, 54 - 1) = "1", OFFSET($A$1, 852 - 1, 55 - 1) = "0" ), 2, IF( AND( OFFSET($A$1, 852 - 1, 54 - 1) = "0", OFFSET($A$1, 852 - 1, 55 - 1) = "1" ), 3, 4 ) ) )</f>
        <v>4</v>
      </c>
    </row>
    <row r="853" spans="53:56" x14ac:dyDescent="0.35">
      <c r="BA853" s="3">
        <v>0.25032317169721247</v>
      </c>
      <c r="BB853" s="3" t="str">
        <f>"0"</f>
        <v>0</v>
      </c>
      <c r="BC853" t="str">
        <f ca="1">IF((OFFSET($A$1, 853 - 1, 53 - 1)) &gt;= (OFFSET($A$1, 69 - 1, 7 - 1)), "1","0")</f>
        <v>0</v>
      </c>
      <c r="BD853">
        <f ca="1" xml:space="preserve"> IF( AND( OFFSET($A$1, 853 - 1, 54 - 1) = "1", OFFSET($A$1, 853 - 1, 55 - 1) = "1" ), 1, IF( AND( OFFSET($A$1, 853 - 1, 54 - 1) = "1", OFFSET($A$1, 853 - 1, 55 - 1) = "0" ), 2, IF( AND( OFFSET($A$1, 853 - 1, 54 - 1) = "0", OFFSET($A$1, 853 - 1, 55 - 1) = "1" ), 3, 4 ) ) )</f>
        <v>4</v>
      </c>
    </row>
    <row r="854" spans="53:56" x14ac:dyDescent="0.35">
      <c r="BA854" s="3">
        <v>0.25147679848282334</v>
      </c>
      <c r="BB854" s="3" t="str">
        <f>"0"</f>
        <v>0</v>
      </c>
      <c r="BC854" t="str">
        <f ca="1">IF((OFFSET($A$1, 854 - 1, 53 - 1)) &gt;= (OFFSET($A$1, 69 - 1, 7 - 1)), "1","0")</f>
        <v>0</v>
      </c>
      <c r="BD854">
        <f ca="1" xml:space="preserve"> IF( AND( OFFSET($A$1, 854 - 1, 54 - 1) = "1", OFFSET($A$1, 854 - 1, 55 - 1) = "1" ), 1, IF( AND( OFFSET($A$1, 854 - 1, 54 - 1) = "1", OFFSET($A$1, 854 - 1, 55 - 1) = "0" ), 2, IF( AND( OFFSET($A$1, 854 - 1, 54 - 1) = "0", OFFSET($A$1, 854 - 1, 55 - 1) = "1" ), 3, 4 ) ) )</f>
        <v>4</v>
      </c>
    </row>
    <row r="855" spans="53:56" x14ac:dyDescent="0.35">
      <c r="BA855" s="3">
        <v>0.25263618426173051</v>
      </c>
      <c r="BB855" s="3" t="str">
        <f>"0"</f>
        <v>0</v>
      </c>
      <c r="BC855" t="str">
        <f ca="1">IF((OFFSET($A$1, 855 - 1, 53 - 1)) &gt;= (OFFSET($A$1, 69 - 1, 7 - 1)), "1","0")</f>
        <v>0</v>
      </c>
      <c r="BD855">
        <f ca="1" xml:space="preserve"> IF( AND( OFFSET($A$1, 855 - 1, 54 - 1) = "1", OFFSET($A$1, 855 - 1, 55 - 1) = "1" ), 1, IF( AND( OFFSET($A$1, 855 - 1, 54 - 1) = "1", OFFSET($A$1, 855 - 1, 55 - 1) = "0" ), 2, IF( AND( OFFSET($A$1, 855 - 1, 54 - 1) = "0", OFFSET($A$1, 855 - 1, 55 - 1) = "1" ), 3, 4 ) ) )</f>
        <v>4</v>
      </c>
    </row>
    <row r="856" spans="53:56" x14ac:dyDescent="0.35">
      <c r="BA856" s="3">
        <v>0.25380099904094866</v>
      </c>
      <c r="BB856" s="3" t="str">
        <f>"0"</f>
        <v>0</v>
      </c>
      <c r="BC856" t="str">
        <f ca="1">IF((OFFSET($A$1, 856 - 1, 53 - 1)) &gt;= (OFFSET($A$1, 69 - 1, 7 - 1)), "1","0")</f>
        <v>0</v>
      </c>
      <c r="BD856">
        <f ca="1" xml:space="preserve"> IF( AND( OFFSET($A$1, 856 - 1, 54 - 1) = "1", OFFSET($A$1, 856 - 1, 55 - 1) = "1" ), 1, IF( AND( OFFSET($A$1, 856 - 1, 54 - 1) = "1", OFFSET($A$1, 856 - 1, 55 - 1) = "0" ), 2, IF( AND( OFFSET($A$1, 856 - 1, 54 - 1) = "0", OFFSET($A$1, 856 - 1, 55 - 1) = "1" ), 3, 4 ) ) )</f>
        <v>4</v>
      </c>
    </row>
    <row r="857" spans="53:56" x14ac:dyDescent="0.35">
      <c r="BA857" s="3">
        <v>0.25497090788142157</v>
      </c>
      <c r="BB857" s="3" t="str">
        <f>"1"</f>
        <v>1</v>
      </c>
      <c r="BC857" t="str">
        <f ca="1">IF((OFFSET($A$1, 857 - 1, 53 - 1)) &gt;= (OFFSET($A$1, 69 - 1, 7 - 1)), "1","0")</f>
        <v>0</v>
      </c>
      <c r="BD857">
        <f ca="1" xml:space="preserve"> IF( AND( OFFSET($A$1, 857 - 1, 54 - 1) = "1", OFFSET($A$1, 857 - 1, 55 - 1) = "1" ), 1, IF( AND( OFFSET($A$1, 857 - 1, 54 - 1) = "1", OFFSET($A$1, 857 - 1, 55 - 1) = "0" ), 2, IF( AND( OFFSET($A$1, 857 - 1, 54 - 1) = "0", OFFSET($A$1, 857 - 1, 55 - 1) = "1" ), 3, 4 ) ) )</f>
        <v>2</v>
      </c>
    </row>
    <row r="858" spans="53:56" x14ac:dyDescent="0.35">
      <c r="BA858" s="3">
        <v>0.51805132546550292</v>
      </c>
      <c r="BB858" s="3" t="str">
        <f>"0"</f>
        <v>0</v>
      </c>
      <c r="BC858" t="str">
        <f ca="1">IF((OFFSET($A$1, 858 - 1, 53 - 1)) &gt;= (OFFSET($A$1, 69 - 1, 7 - 1)), "1","0")</f>
        <v>1</v>
      </c>
      <c r="BD858">
        <f ca="1" xml:space="preserve"> IF( AND( OFFSET($A$1, 858 - 1, 54 - 1) = "1", OFFSET($A$1, 858 - 1, 55 - 1) = "1" ), 1, IF( AND( OFFSET($A$1, 858 - 1, 54 - 1) = "1", OFFSET($A$1, 858 - 1, 55 - 1) = "0" ), 2, IF( AND( OFFSET($A$1, 858 - 1, 54 - 1) = "0", OFFSET($A$1, 858 - 1, 55 - 1) = "1" ), 3, 4 ) ) )</f>
        <v>3</v>
      </c>
    </row>
    <row r="859" spans="53:56" x14ac:dyDescent="0.35">
      <c r="BA859" s="3">
        <v>0.25732464382393266</v>
      </c>
      <c r="BB859" s="3" t="str">
        <f>"0"</f>
        <v>0</v>
      </c>
      <c r="BC859" t="str">
        <f ca="1">IF((OFFSET($A$1, 859 - 1, 53 - 1)) &gt;= (OFFSET($A$1, 69 - 1, 7 - 1)), "1","0")</f>
        <v>0</v>
      </c>
      <c r="BD859">
        <f ca="1" xml:space="preserve"> IF( AND( OFFSET($A$1, 859 - 1, 54 - 1) = "1", OFFSET($A$1, 859 - 1, 55 - 1) = "1" ), 1, IF( AND( OFFSET($A$1, 859 - 1, 54 - 1) = "1", OFFSET($A$1, 859 - 1, 55 - 1) = "0" ), 2, IF( AND( OFFSET($A$1, 859 - 1, 54 - 1) = "0", OFFSET($A$1, 859 - 1, 55 - 1) = "1" ), 3, 4 ) ) )</f>
        <v>4</v>
      </c>
    </row>
    <row r="860" spans="53:56" x14ac:dyDescent="0.35">
      <c r="BA860" s="3">
        <v>0.25850777718590906</v>
      </c>
      <c r="BB860" s="3" t="str">
        <f>"0"</f>
        <v>0</v>
      </c>
      <c r="BC860" t="str">
        <f ca="1">IF((OFFSET($A$1, 860 - 1, 53 - 1)) &gt;= (OFFSET($A$1, 69 - 1, 7 - 1)), "1","0")</f>
        <v>0</v>
      </c>
      <c r="BD860">
        <f ca="1" xml:space="preserve"> IF( AND( OFFSET($A$1, 860 - 1, 54 - 1) = "1", OFFSET($A$1, 860 - 1, 55 - 1) = "1" ), 1, IF( AND( OFFSET($A$1, 860 - 1, 54 - 1) = "1", OFFSET($A$1, 860 - 1, 55 - 1) = "0" ), 2, IF( AND( OFFSET($A$1, 860 - 1, 54 - 1) = "0", OFFSET($A$1, 860 - 1, 55 - 1) = "1" ), 3, 4 ) ) )</f>
        <v>4</v>
      </c>
    </row>
    <row r="861" spans="53:56" x14ac:dyDescent="0.35">
      <c r="BA861" s="3">
        <v>0.25969461734615673</v>
      </c>
      <c r="BB861" s="3" t="str">
        <f>"1"</f>
        <v>1</v>
      </c>
      <c r="BC861" t="str">
        <f ca="1">IF((OFFSET($A$1, 861 - 1, 53 - 1)) &gt;= (OFFSET($A$1, 69 - 1, 7 - 1)), "1","0")</f>
        <v>0</v>
      </c>
      <c r="BD861">
        <f ca="1" xml:space="preserve"> IF( AND( OFFSET($A$1, 861 - 1, 54 - 1) = "1", OFFSET($A$1, 861 - 1, 55 - 1) = "1" ), 1, IF( AND( OFFSET($A$1, 861 - 1, 54 - 1) = "1", OFFSET($A$1, 861 - 1, 55 - 1) = "0" ), 2, IF( AND( OFFSET($A$1, 861 - 1, 54 - 1) = "0", OFFSET($A$1, 861 - 1, 55 - 1) = "1" ), 3, 4 ) ) )</f>
        <v>2</v>
      </c>
    </row>
    <row r="862" spans="53:56" x14ac:dyDescent="0.35">
      <c r="BA862" s="3">
        <v>0.52422135176954066</v>
      </c>
      <c r="BB862" s="3" t="str">
        <f>"0"</f>
        <v>0</v>
      </c>
      <c r="BC862" t="str">
        <f ca="1">IF((OFFSET($A$1, 862 - 1, 53 - 1)) &gt;= (OFFSET($A$1, 69 - 1, 7 - 1)), "1","0")</f>
        <v>1</v>
      </c>
      <c r="BD862">
        <f ca="1" xml:space="preserve"> IF( AND( OFFSET($A$1, 862 - 1, 54 - 1) = "1", OFFSET($A$1, 862 - 1, 55 - 1) = "1" ), 1, IF( AND( OFFSET($A$1, 862 - 1, 54 - 1) = "1", OFFSET($A$1, 862 - 1, 55 - 1) = "0" ), 2, IF( AND( OFFSET($A$1, 862 - 1, 54 - 1) = "0", OFFSET($A$1, 862 - 1, 55 - 1) = "1" ), 3, 4 ) ) )</f>
        <v>3</v>
      </c>
    </row>
    <row r="863" spans="53:56" x14ac:dyDescent="0.35">
      <c r="BA863" s="3">
        <v>0.26207798116765318</v>
      </c>
      <c r="BB863" s="3" t="str">
        <f>"0"</f>
        <v>0</v>
      </c>
      <c r="BC863" t="str">
        <f ca="1">IF((OFFSET($A$1, 863 - 1, 53 - 1)) &gt;= (OFFSET($A$1, 69 - 1, 7 - 1)), "1","0")</f>
        <v>0</v>
      </c>
      <c r="BD863">
        <f ca="1" xml:space="preserve"> IF( AND( OFFSET($A$1, 863 - 1, 54 - 1) = "1", OFFSET($A$1, 863 - 1, 55 - 1) = "1" ), 1, IF( AND( OFFSET($A$1, 863 - 1, 54 - 1) = "1", OFFSET($A$1, 863 - 1, 55 - 1) = "0" ), 2, IF( AND( OFFSET($A$1, 863 - 1, 54 - 1) = "0", OFFSET($A$1, 863 - 1, 55 - 1) = "1" ), 3, 4 ) ) )</f>
        <v>4</v>
      </c>
    </row>
    <row r="864" spans="53:56" x14ac:dyDescent="0.35">
      <c r="BA864" s="3">
        <v>0.26327377577412253</v>
      </c>
      <c r="BB864" s="3" t="str">
        <f>"1"</f>
        <v>1</v>
      </c>
      <c r="BC864" t="str">
        <f ca="1">IF((OFFSET($A$1, 864 - 1, 53 - 1)) &gt;= (OFFSET($A$1, 69 - 1, 7 - 1)), "1","0")</f>
        <v>0</v>
      </c>
      <c r="BD864">
        <f ca="1" xml:space="preserve"> IF( AND( OFFSET($A$1, 864 - 1, 54 - 1) = "1", OFFSET($A$1, 864 - 1, 55 - 1) = "1" ), 1, IF( AND( OFFSET($A$1, 864 - 1, 54 - 1) = "1", OFFSET($A$1, 864 - 1, 55 - 1) = "0" ), 2, IF( AND( OFFSET($A$1, 864 - 1, 54 - 1) = "0", OFFSET($A$1, 864 - 1, 55 - 1) = "1" ), 3, 4 ) ) )</f>
        <v>2</v>
      </c>
    </row>
    <row r="865" spans="53:56" x14ac:dyDescent="0.35">
      <c r="BA865" s="3">
        <v>0.52883845318361666</v>
      </c>
      <c r="BB865" s="3" t="str">
        <f>"0"</f>
        <v>0</v>
      </c>
      <c r="BC865" t="str">
        <f ca="1">IF((OFFSET($A$1, 865 - 1, 53 - 1)) &gt;= (OFFSET($A$1, 69 - 1, 7 - 1)), "1","0")</f>
        <v>1</v>
      </c>
      <c r="BD865">
        <f ca="1" xml:space="preserve"> IF( AND( OFFSET($A$1, 865 - 1, 54 - 1) = "1", OFFSET($A$1, 865 - 1, 55 - 1) = "1" ), 1, IF( AND( OFFSET($A$1, 865 - 1, 54 - 1) = "1", OFFSET($A$1, 865 - 1, 55 - 1) = "0" ), 2, IF( AND( OFFSET($A$1, 865 - 1, 54 - 1) = "0", OFFSET($A$1, 865 - 1, 55 - 1) = "1" ), 3, 4 ) ) )</f>
        <v>3</v>
      </c>
    </row>
    <row r="866" spans="53:56" x14ac:dyDescent="0.35">
      <c r="BA866" s="3">
        <v>0.26567173732161059</v>
      </c>
      <c r="BB866" s="3" t="str">
        <f>"0"</f>
        <v>0</v>
      </c>
      <c r="BC866" t="str">
        <f ca="1">IF((OFFSET($A$1, 866 - 1, 53 - 1)) &gt;= (OFFSET($A$1, 69 - 1, 7 - 1)), "1","0")</f>
        <v>0</v>
      </c>
      <c r="BD866">
        <f ca="1" xml:space="preserve"> IF( AND( OFFSET($A$1, 866 - 1, 54 - 1) = "1", OFFSET($A$1, 866 - 1, 55 - 1) = "1" ), 1, IF( AND( OFFSET($A$1, 866 - 1, 54 - 1) = "1", OFFSET($A$1, 866 - 1, 55 - 1) = "0" ), 2, IF( AND( OFFSET($A$1, 866 - 1, 54 - 1) = "0", OFFSET($A$1, 866 - 1, 55 - 1) = "1" ), 3, 4 ) ) )</f>
        <v>4</v>
      </c>
    </row>
    <row r="867" spans="53:56" x14ac:dyDescent="0.35">
      <c r="BA867" s="3">
        <v>0.26687315146575852</v>
      </c>
      <c r="BB867" s="3" t="str">
        <f>"1"</f>
        <v>1</v>
      </c>
      <c r="BC867" t="str">
        <f ca="1">IF((OFFSET($A$1, 867 - 1, 53 - 1)) &gt;= (OFFSET($A$1, 69 - 1, 7 - 1)), "1","0")</f>
        <v>0</v>
      </c>
      <c r="BD867">
        <f ca="1" xml:space="preserve"> IF( AND( OFFSET($A$1, 867 - 1, 54 - 1) = "1", OFFSET($A$1, 867 - 1, 55 - 1) = "1" ), 1, IF( AND( OFFSET($A$1, 867 - 1, 54 - 1) = "1", OFFSET($A$1, 867 - 1, 55 - 1) = "0" ), 2, IF( AND( OFFSET($A$1, 867 - 1, 54 - 1) = "0", OFFSET($A$1, 867 - 1, 55 - 1) = "1" ), 3, 4 ) ) )</f>
        <v>2</v>
      </c>
    </row>
    <row r="868" spans="53:56" x14ac:dyDescent="0.35">
      <c r="BA868" s="3">
        <v>0.53343212808010332</v>
      </c>
      <c r="BB868" s="3" t="str">
        <f>"1"</f>
        <v>1</v>
      </c>
      <c r="BC868" t="str">
        <f ca="1">IF((OFFSET($A$1, 868 - 1, 53 - 1)) &gt;= (OFFSET($A$1, 69 - 1, 7 - 1)), "1","0")</f>
        <v>1</v>
      </c>
      <c r="BD868">
        <f ca="1" xml:space="preserve"> IF( AND( OFFSET($A$1, 868 - 1, 54 - 1) = "1", OFFSET($A$1, 868 - 1, 55 - 1) = "1" ), 1, IF( AND( OFFSET($A$1, 868 - 1, 54 - 1) = "1", OFFSET($A$1, 868 - 1, 55 - 1) = "0" ), 2, IF( AND( OFFSET($A$1, 868 - 1, 54 - 1) = "0", OFFSET($A$1, 868 - 1, 55 - 1) = "1" ), 3, 4 ) ) )</f>
        <v>1</v>
      </c>
    </row>
    <row r="869" spans="53:56" x14ac:dyDescent="0.35">
      <c r="BA869" s="3">
        <v>0.53495591000675002</v>
      </c>
      <c r="BB869" s="3" t="str">
        <f>"0"</f>
        <v>0</v>
      </c>
      <c r="BC869" t="str">
        <f ca="1">IF((OFFSET($A$1, 869 - 1, 53 - 1)) &gt;= (OFFSET($A$1, 69 - 1, 7 - 1)), "1","0")</f>
        <v>1</v>
      </c>
      <c r="BD869">
        <f ca="1" xml:space="preserve"> IF( AND( OFFSET($A$1, 869 - 1, 54 - 1) = "1", OFFSET($A$1, 869 - 1, 55 - 1) = "1" ), 1, IF( AND( OFFSET($A$1, 869 - 1, 54 - 1) = "1", OFFSET($A$1, 869 - 1, 55 - 1) = "0" ), 2, IF( AND( OFFSET($A$1, 869 - 1, 54 - 1) = "0", OFFSET($A$1, 869 - 1, 55 - 1) = "1" ), 3, 4 ) ) )</f>
        <v>3</v>
      </c>
    </row>
    <row r="870" spans="53:56" x14ac:dyDescent="0.35">
      <c r="BA870" s="3">
        <v>0.27048253527761745</v>
      </c>
      <c r="BB870" s="3" t="str">
        <f>"1"</f>
        <v>1</v>
      </c>
      <c r="BC870" t="str">
        <f ca="1">IF((OFFSET($A$1, 870 - 1, 53 - 1)) &gt;= (OFFSET($A$1, 69 - 1, 7 - 1)), "1","0")</f>
        <v>0</v>
      </c>
      <c r="BD870">
        <f ca="1" xml:space="preserve"> IF( AND( OFFSET($A$1, 870 - 1, 54 - 1) = "1", OFFSET($A$1, 870 - 1, 55 - 1) = "1" ), 1, IF( AND( OFFSET($A$1, 870 - 1, 54 - 1) = "1", OFFSET($A$1, 870 - 1, 55 - 1) = "0" ), 2, IF( AND( OFFSET($A$1, 870 - 1, 54 - 1) = "0", OFFSET($A$1, 870 - 1, 55 - 1) = "1" ), 3, 4 ) ) )</f>
        <v>2</v>
      </c>
    </row>
    <row r="871" spans="53:56" x14ac:dyDescent="0.35">
      <c r="BA871" s="3">
        <v>0.53798945935449027</v>
      </c>
      <c r="BB871" s="3" t="str">
        <f>"1"</f>
        <v>1</v>
      </c>
      <c r="BC871" t="str">
        <f ca="1">IF((OFFSET($A$1, 871 - 1, 53 - 1)) &gt;= (OFFSET($A$1, 69 - 1, 7 - 1)), "1","0")</f>
        <v>1</v>
      </c>
      <c r="BD871">
        <f ca="1" xml:space="preserve"> IF( AND( OFFSET($A$1, 871 - 1, 54 - 1) = "1", OFFSET($A$1, 871 - 1, 55 - 1) = "1" ), 1, IF( AND( OFFSET($A$1, 871 - 1, 54 - 1) = "1", OFFSET($A$1, 871 - 1, 55 - 1) = "0" ), 2, IF( AND( OFFSET($A$1, 871 - 1, 54 - 1) = "0", OFFSET($A$1, 871 - 1, 55 - 1) = "1" ), 3, 4 ) ) )</f>
        <v>1</v>
      </c>
    </row>
    <row r="872" spans="53:56" x14ac:dyDescent="0.35">
      <c r="BA872" s="3">
        <v>0.53949828510544073</v>
      </c>
      <c r="BB872" s="3" t="str">
        <f>"1"</f>
        <v>1</v>
      </c>
      <c r="BC872" t="str">
        <f ca="1">IF((OFFSET($A$1, 872 - 1, 53 - 1)) &gt;= (OFFSET($A$1, 69 - 1, 7 - 1)), "1","0")</f>
        <v>1</v>
      </c>
      <c r="BD872">
        <f ca="1" xml:space="preserve"> IF( AND( OFFSET($A$1, 872 - 1, 54 - 1) = "1", OFFSET($A$1, 872 - 1, 55 - 1) = "1" ), 1, IF( AND( OFFSET($A$1, 872 - 1, 54 - 1) = "1", OFFSET($A$1, 872 - 1, 55 - 1) = "0" ), 2, IF( AND( OFFSET($A$1, 872 - 1, 54 - 1) = "0", OFFSET($A$1, 872 - 1, 55 - 1) = "1" ), 3, 4 ) ) )</f>
        <v>1</v>
      </c>
    </row>
    <row r="873" spans="53:56" x14ac:dyDescent="0.35">
      <c r="BA873" s="3">
        <v>0.54100118829850496</v>
      </c>
      <c r="BB873" s="3" t="str">
        <f>"1"</f>
        <v>1</v>
      </c>
      <c r="BC873" t="str">
        <f ca="1">IF((OFFSET($A$1, 873 - 1, 53 - 1)) &gt;= (OFFSET($A$1, 69 - 1, 7 - 1)), "1","0")</f>
        <v>1</v>
      </c>
      <c r="BD873">
        <f ca="1" xml:space="preserve"> IF( AND( OFFSET($A$1, 873 - 1, 54 - 1) = "1", OFFSET($A$1, 873 - 1, 55 - 1) = "1" ), 1, IF( AND( OFFSET($A$1, 873 - 1, 54 - 1) = "1", OFFSET($A$1, 873 - 1, 55 - 1) = "0" ), 2, IF( AND( OFFSET($A$1, 873 - 1, 54 - 1) = "0", OFFSET($A$1, 873 - 1, 55 - 1) = "1" ), 3, 4 ) ) )</f>
        <v>1</v>
      </c>
    </row>
    <row r="874" spans="53:56" x14ac:dyDescent="0.35">
      <c r="BA874" s="3">
        <v>0.54249770515410456</v>
      </c>
      <c r="BB874" s="3" t="str">
        <f>"1"</f>
        <v>1</v>
      </c>
      <c r="BC874" t="str">
        <f ca="1">IF((OFFSET($A$1, 874 - 1, 53 - 1)) &gt;= (OFFSET($A$1, 69 - 1, 7 - 1)), "1","0")</f>
        <v>1</v>
      </c>
      <c r="BD874">
        <f ca="1" xml:space="preserve"> IF( AND( OFFSET($A$1, 874 - 1, 54 - 1) = "1", OFFSET($A$1, 874 - 1, 55 - 1) = "1" ), 1, IF( AND( OFFSET($A$1, 874 - 1, 54 - 1) = "1", OFFSET($A$1, 874 - 1, 55 - 1) = "0" ), 2, IF( AND( OFFSET($A$1, 874 - 1, 54 - 1) = "0", OFFSET($A$1, 874 - 1, 55 - 1) = "1" ), 3, 4 ) ) )</f>
        <v>1</v>
      </c>
    </row>
    <row r="875" spans="53:56" x14ac:dyDescent="0.35">
      <c r="BA875" s="3">
        <v>0.54398737506863104</v>
      </c>
      <c r="BB875" s="3" t="str">
        <f>"0"</f>
        <v>0</v>
      </c>
      <c r="BC875" t="str">
        <f ca="1">IF((OFFSET($A$1, 875 - 1, 53 - 1)) &gt;= (OFFSET($A$1, 69 - 1, 7 - 1)), "1","0")</f>
        <v>1</v>
      </c>
      <c r="BD875">
        <f ca="1" xml:space="preserve"> IF( AND( OFFSET($A$1, 875 - 1, 54 - 1) = "1", OFFSET($A$1, 875 - 1, 55 - 1) = "1" ), 1, IF( AND( OFFSET($A$1, 875 - 1, 54 - 1) = "1", OFFSET($A$1, 875 - 1, 55 - 1) = "0" ), 2, IF( AND( OFFSET($A$1, 875 - 1, 54 - 1) = "0", OFFSET($A$1, 875 - 1, 55 - 1) = "1" ), 3, 4 ) ) )</f>
        <v>3</v>
      </c>
    </row>
    <row r="876" spans="53:56" x14ac:dyDescent="0.35">
      <c r="BA876" s="3">
        <v>0.27768914502924391</v>
      </c>
      <c r="BB876" s="3" t="str">
        <f>"0"</f>
        <v>0</v>
      </c>
      <c r="BC876" t="str">
        <f ca="1">IF((OFFSET($A$1, 876 - 1, 53 - 1)) &gt;= (OFFSET($A$1, 69 - 1, 7 - 1)), "1","0")</f>
        <v>0</v>
      </c>
      <c r="BD876">
        <f ca="1" xml:space="preserve"> IF( AND( OFFSET($A$1, 876 - 1, 54 - 1) = "1", OFFSET($A$1, 876 - 1, 55 - 1) = "1" ), 1, IF( AND( OFFSET($A$1, 876 - 1, 54 - 1) = "1", OFFSET($A$1, 876 - 1, 55 - 1) = "0" ), 2, IF( AND( OFFSET($A$1, 876 - 1, 54 - 1) = "0", OFFSET($A$1, 876 - 1, 55 - 1) = "1" ), 3, 4 ) ) )</f>
        <v>4</v>
      </c>
    </row>
    <row r="877" spans="53:56" x14ac:dyDescent="0.35">
      <c r="BA877" s="3">
        <v>0.27888400871493219</v>
      </c>
      <c r="BB877" s="3" t="str">
        <f>"0"</f>
        <v>0</v>
      </c>
      <c r="BC877" t="str">
        <f ca="1">IF((OFFSET($A$1, 877 - 1, 53 - 1)) &gt;= (OFFSET($A$1, 69 - 1, 7 - 1)), "1","0")</f>
        <v>0</v>
      </c>
      <c r="BD877">
        <f ca="1" xml:space="preserve"> IF( AND( OFFSET($A$1, 877 - 1, 54 - 1) = "1", OFFSET($A$1, 877 - 1, 55 - 1) = "1" ), 1, IF( AND( OFFSET($A$1, 877 - 1, 54 - 1) = "1", OFFSET($A$1, 877 - 1, 55 - 1) = "0" ), 2, IF( AND( OFFSET($A$1, 877 - 1, 54 - 1) = "0", OFFSET($A$1, 877 - 1, 55 - 1) = "1" ), 3, 4 ) ) )</f>
        <v>4</v>
      </c>
    </row>
    <row r="878" spans="53:56" x14ac:dyDescent="0.35">
      <c r="BA878" s="3">
        <v>0.28007600799442511</v>
      </c>
      <c r="BB878" s="3" t="str">
        <f>"0"</f>
        <v>0</v>
      </c>
      <c r="BC878" t="str">
        <f ca="1">IF((OFFSET($A$1, 878 - 1, 53 - 1)) &gt;= (OFFSET($A$1, 69 - 1, 7 - 1)), "1","0")</f>
        <v>0</v>
      </c>
      <c r="BD878">
        <f ca="1" xml:space="preserve"> IF( AND( OFFSET($A$1, 878 - 1, 54 - 1) = "1", OFFSET($A$1, 878 - 1, 55 - 1) = "1" ), 1, IF( AND( OFFSET($A$1, 878 - 1, 54 - 1) = "1", OFFSET($A$1, 878 - 1, 55 - 1) = "0" ), 2, IF( AND( OFFSET($A$1, 878 - 1, 54 - 1) = "0", OFFSET($A$1, 878 - 1, 55 - 1) = "1" ), 3, 4 ) ) )</f>
        <v>4</v>
      </c>
    </row>
    <row r="879" spans="53:56" x14ac:dyDescent="0.35">
      <c r="BA879" s="3">
        <v>0.28126473303941285</v>
      </c>
      <c r="BB879" s="3" t="str">
        <f>"0"</f>
        <v>0</v>
      </c>
      <c r="BC879" t="str">
        <f ca="1">IF((OFFSET($A$1, 879 - 1, 53 - 1)) &gt;= (OFFSET($A$1, 69 - 1, 7 - 1)), "1","0")</f>
        <v>0</v>
      </c>
      <c r="BD879">
        <f ca="1" xml:space="preserve"> IF( AND( OFFSET($A$1, 879 - 1, 54 - 1) = "1", OFFSET($A$1, 879 - 1, 55 - 1) = "1" ), 1, IF( AND( OFFSET($A$1, 879 - 1, 54 - 1) = "1", OFFSET($A$1, 879 - 1, 55 - 1) = "0" ), 2, IF( AND( OFFSET($A$1, 879 - 1, 54 - 1) = "0", OFFSET($A$1, 879 - 1, 55 - 1) = "1" ), 3, 4 ) ) )</f>
        <v>4</v>
      </c>
    </row>
    <row r="880" spans="53:56" x14ac:dyDescent="0.35">
      <c r="BA880" s="3">
        <v>0.28244977263808607</v>
      </c>
      <c r="BB880" s="3" t="str">
        <f>"0"</f>
        <v>0</v>
      </c>
      <c r="BC880" t="str">
        <f ca="1">IF((OFFSET($A$1, 880 - 1, 53 - 1)) &gt;= (OFFSET($A$1, 69 - 1, 7 - 1)), "1","0")</f>
        <v>0</v>
      </c>
      <c r="BD880">
        <f ca="1" xml:space="preserve"> IF( AND( OFFSET($A$1, 880 - 1, 54 - 1) = "1", OFFSET($A$1, 880 - 1, 55 - 1) = "1" ), 1, IF( AND( OFFSET($A$1, 880 - 1, 54 - 1) = "1", OFFSET($A$1, 880 - 1, 55 - 1) = "0" ), 2, IF( AND( OFFSET($A$1, 880 - 1, 54 - 1) = "0", OFFSET($A$1, 880 - 1, 55 - 1) = "1" ), 3, 4 ) ) )</f>
        <v>4</v>
      </c>
    </row>
    <row r="881" spans="53:56" x14ac:dyDescent="0.35">
      <c r="BA881" s="3">
        <v>0.28363071440419435</v>
      </c>
      <c r="BB881" s="3" t="str">
        <f>"0"</f>
        <v>0</v>
      </c>
      <c r="BC881" t="str">
        <f ca="1">IF((OFFSET($A$1, 881 - 1, 53 - 1)) &gt;= (OFFSET($A$1, 69 - 1, 7 - 1)), "1","0")</f>
        <v>0</v>
      </c>
      <c r="BD881">
        <f ca="1" xml:space="preserve"> IF( AND( OFFSET($A$1, 881 - 1, 54 - 1) = "1", OFFSET($A$1, 881 - 1, 55 - 1) = "1" ), 1, IF( AND( OFFSET($A$1, 881 - 1, 54 - 1) = "1", OFFSET($A$1, 881 - 1, 55 - 1) = "0" ), 2, IF( AND( OFFSET($A$1, 881 - 1, 54 - 1) = "0", OFFSET($A$1, 881 - 1, 55 - 1) = "1" ), 3, 4 ) ) )</f>
        <v>4</v>
      </c>
    </row>
    <row r="882" spans="53:56" x14ac:dyDescent="0.35">
      <c r="BA882" s="3">
        <v>0.28480714498898124</v>
      </c>
      <c r="BB882" s="3" t="str">
        <f>"0"</f>
        <v>0</v>
      </c>
      <c r="BC882" t="str">
        <f ca="1">IF((OFFSET($A$1, 882 - 1, 53 - 1)) &gt;= (OFFSET($A$1, 69 - 1, 7 - 1)), "1","0")</f>
        <v>0</v>
      </c>
      <c r="BD882">
        <f ca="1" xml:space="preserve"> IF( AND( OFFSET($A$1, 882 - 1, 54 - 1) = "1", OFFSET($A$1, 882 - 1, 55 - 1) = "1" ), 1, IF( AND( OFFSET($A$1, 882 - 1, 54 - 1) = "1", OFFSET($A$1, 882 - 1, 55 - 1) = "0" ), 2, IF( AND( OFFSET($A$1, 882 - 1, 54 - 1) = "0", OFFSET($A$1, 882 - 1, 55 - 1) = "1" ), 3, 4 ) ) )</f>
        <v>4</v>
      </c>
    </row>
    <row r="883" spans="53:56" x14ac:dyDescent="0.35">
      <c r="BA883" s="3">
        <v>0.28597865029575298</v>
      </c>
      <c r="BB883" s="3" t="str">
        <f>"1"</f>
        <v>1</v>
      </c>
      <c r="BC883" t="str">
        <f ca="1">IF((OFFSET($A$1, 883 - 1, 53 - 1)) &gt;= (OFFSET($A$1, 69 - 1, 7 - 1)), "1","0")</f>
        <v>0</v>
      </c>
      <c r="BD883">
        <f ca="1" xml:space="preserve"> IF( AND( OFFSET($A$1, 883 - 1, 54 - 1) = "1", OFFSET($A$1, 883 - 1, 55 - 1) = "1" ), 1, IF( AND( OFFSET($A$1, 883 - 1, 54 - 1) = "1", OFFSET($A$1, 883 - 1, 55 - 1) = "0" ), 2, IF( AND( OFFSET($A$1, 883 - 1, 54 - 1) = "0", OFFSET($A$1, 883 - 1, 55 - 1) = "1" ), 3, 4 ) ) )</f>
        <v>2</v>
      </c>
    </row>
    <row r="884" spans="53:56" x14ac:dyDescent="0.35">
      <c r="BA884" s="3">
        <v>0.55701210166272941</v>
      </c>
      <c r="BB884" s="3" t="str">
        <f>"0"</f>
        <v>0</v>
      </c>
      <c r="BC884" t="str">
        <f ca="1">IF((OFFSET($A$1, 884 - 1, 53 - 1)) &gt;= (OFFSET($A$1, 69 - 1, 7 - 1)), "1","0")</f>
        <v>1</v>
      </c>
      <c r="BD884">
        <f ca="1" xml:space="preserve"> IF( AND( OFFSET($A$1, 884 - 1, 54 - 1) = "1", OFFSET($A$1, 884 - 1, 55 - 1) = "1" ), 1, IF( AND( OFFSET($A$1, 884 - 1, 54 - 1) = "1", OFFSET($A$1, 884 - 1, 55 - 1) = "0" ), 2, IF( AND( OFFSET($A$1, 884 - 1, 54 - 1) = "0", OFFSET($A$1, 884 - 1, 55 - 1) = "1" ), 3, 4 ) ) )</f>
        <v>3</v>
      </c>
    </row>
    <row r="885" spans="53:56" x14ac:dyDescent="0.35">
      <c r="BA885" s="3">
        <v>0.28830522625271388</v>
      </c>
      <c r="BB885" s="3" t="str">
        <f>"0"</f>
        <v>0</v>
      </c>
      <c r="BC885" t="str">
        <f ca="1">IF((OFFSET($A$1, 885 - 1, 53 - 1)) &gt;= (OFFSET($A$1, 69 - 1, 7 - 1)), "1","0")</f>
        <v>0</v>
      </c>
      <c r="BD885">
        <f ca="1" xml:space="preserve"> IF( AND( OFFSET($A$1, 885 - 1, 54 - 1) = "1", OFFSET($A$1, 885 - 1, 55 - 1) = "1" ), 1, IF( AND( OFFSET($A$1, 885 - 1, 54 - 1) = "1", OFFSET($A$1, 885 - 1, 55 - 1) = "0" ), 2, IF( AND( OFFSET($A$1, 885 - 1, 54 - 1) = "0", OFFSET($A$1, 885 - 1, 55 - 1) = "1" ), 3, 4 ) ) )</f>
        <v>4</v>
      </c>
    </row>
    <row r="886" spans="53:56" x14ac:dyDescent="0.35">
      <c r="BA886" s="3">
        <v>0.28945946693298802</v>
      </c>
      <c r="BB886" s="3" t="str">
        <f>"0"</f>
        <v>0</v>
      </c>
      <c r="BC886" t="str">
        <f ca="1">IF((OFFSET($A$1, 886 - 1, 53 - 1)) &gt;= (OFFSET($A$1, 69 - 1, 7 - 1)), "1","0")</f>
        <v>0</v>
      </c>
      <c r="BD886">
        <f ca="1" xml:space="preserve"> IF( AND( OFFSET($A$1, 886 - 1, 54 - 1) = "1", OFFSET($A$1, 886 - 1, 55 - 1) = "1" ), 1, IF( AND( OFFSET($A$1, 886 - 1, 54 - 1) = "1", OFFSET($A$1, 886 - 1, 55 - 1) = "0" ), 2, IF( AND( OFFSET($A$1, 886 - 1, 54 - 1) = "0", OFFSET($A$1, 886 - 1, 55 - 1) = "1" ), 3, 4 ) ) )</f>
        <v>4</v>
      </c>
    </row>
    <row r="887" spans="53:56" x14ac:dyDescent="0.35">
      <c r="BA887" s="3">
        <v>0.29060712283909235</v>
      </c>
      <c r="BB887" s="3" t="str">
        <f>"0"</f>
        <v>0</v>
      </c>
      <c r="BC887" t="str">
        <f ca="1">IF((OFFSET($A$1, 887 - 1, 53 - 1)) &gt;= (OFFSET($A$1, 69 - 1, 7 - 1)), "1","0")</f>
        <v>0</v>
      </c>
      <c r="BD887">
        <f ca="1" xml:space="preserve"> IF( AND( OFFSET($A$1, 887 - 1, 54 - 1) = "1", OFFSET($A$1, 887 - 1, 55 - 1) = "1" ), 1, IF( AND( OFFSET($A$1, 887 - 1, 54 - 1) = "1", OFFSET($A$1, 887 - 1, 55 - 1) = "0" ), 2, IF( AND( OFFSET($A$1, 887 - 1, 54 - 1) = "0", OFFSET($A$1, 887 - 1, 55 - 1) = "1" ), 3, 4 ) ) )</f>
        <v>4</v>
      </c>
    </row>
    <row r="888" spans="53:56" x14ac:dyDescent="0.35">
      <c r="BA888" s="3">
        <v>0.29174777942833169</v>
      </c>
      <c r="BB888" s="3" t="str">
        <f>"0"</f>
        <v>0</v>
      </c>
      <c r="BC888" t="str">
        <f ca="1">IF((OFFSET($A$1, 888 - 1, 53 - 1)) &gt;= (OFFSET($A$1, 69 - 1, 7 - 1)), "1","0")</f>
        <v>0</v>
      </c>
      <c r="BD888">
        <f ca="1" xml:space="preserve"> IF( AND( OFFSET($A$1, 888 - 1, 54 - 1) = "1", OFFSET($A$1, 888 - 1, 55 - 1) = "1" ), 1, IF( AND( OFFSET($A$1, 888 - 1, 54 - 1) = "1", OFFSET($A$1, 888 - 1, 55 - 1) = "0" ), 2, IF( AND( OFFSET($A$1, 888 - 1, 54 - 1) = "0", OFFSET($A$1, 888 - 1, 55 - 1) = "1" ), 3, 4 ) ) )</f>
        <v>4</v>
      </c>
    </row>
    <row r="889" spans="53:56" x14ac:dyDescent="0.35">
      <c r="BA889" s="3">
        <v>0.29288102273910227</v>
      </c>
      <c r="BB889" s="3" t="str">
        <f>"0"</f>
        <v>0</v>
      </c>
      <c r="BC889" t="str">
        <f ca="1">IF((OFFSET($A$1, 889 - 1, 53 - 1)) &gt;= (OFFSET($A$1, 69 - 1, 7 - 1)), "1","0")</f>
        <v>0</v>
      </c>
      <c r="BD889">
        <f ca="1" xml:space="preserve"> IF( AND( OFFSET($A$1, 889 - 1, 54 - 1) = "1", OFFSET($A$1, 889 - 1, 55 - 1) = "1" ), 1, IF( AND( OFFSET($A$1, 889 - 1, 54 - 1) = "1", OFFSET($A$1, 889 - 1, 55 - 1) = "0" ), 2, IF( AND( OFFSET($A$1, 889 - 1, 54 - 1) = "0", OFFSET($A$1, 889 - 1, 55 - 1) = "1" ), 3, 4 ) ) )</f>
        <v>4</v>
      </c>
    </row>
    <row r="890" spans="53:56" x14ac:dyDescent="0.35">
      <c r="BA890" s="3">
        <v>0.29400643961700479</v>
      </c>
      <c r="BB890" s="3" t="str">
        <f>"0"</f>
        <v>0</v>
      </c>
      <c r="BC890" t="str">
        <f ca="1">IF((OFFSET($A$1, 890 - 1, 53 - 1)) &gt;= (OFFSET($A$1, 69 - 1, 7 - 1)), "1","0")</f>
        <v>0</v>
      </c>
      <c r="BD890">
        <f ca="1" xml:space="preserve"> IF( AND( OFFSET($A$1, 890 - 1, 54 - 1) = "1", OFFSET($A$1, 890 - 1, 55 - 1) = "1" ), 1, IF( AND( OFFSET($A$1, 890 - 1, 54 - 1) = "1", OFFSET($A$1, 890 - 1, 55 - 1) = "0" ), 2, IF( AND( OFFSET($A$1, 890 - 1, 54 - 1) = "0", OFFSET($A$1, 890 - 1, 55 - 1) = "1" ), 3, 4 ) ) )</f>
        <v>4</v>
      </c>
    </row>
    <row r="891" spans="53:56" x14ac:dyDescent="0.35">
      <c r="BA891" s="3">
        <v>0.29512361794160813</v>
      </c>
      <c r="BB891" s="3" t="str">
        <f>"0"</f>
        <v>0</v>
      </c>
      <c r="BC891" t="str">
        <f ca="1">IF((OFFSET($A$1, 891 - 1, 53 - 1)) &gt;= (OFFSET($A$1, 69 - 1, 7 - 1)), "1","0")</f>
        <v>0</v>
      </c>
      <c r="BD891">
        <f ca="1" xml:space="preserve"> IF( AND( OFFSET($A$1, 891 - 1, 54 - 1) = "1", OFFSET($A$1, 891 - 1, 55 - 1) = "1" ), 1, IF( AND( OFFSET($A$1, 891 - 1, 54 - 1) = "1", OFFSET($A$1, 891 - 1, 55 - 1) = "0" ), 2, IF( AND( OFFSET($A$1, 891 - 1, 54 - 1) = "0", OFFSET($A$1, 891 - 1, 55 - 1) = "1" ), 3, 4 ) ) )</f>
        <v>4</v>
      </c>
    </row>
    <row r="892" spans="53:56" x14ac:dyDescent="0.35">
      <c r="BA892" s="3">
        <v>0.29623214685361132</v>
      </c>
      <c r="BB892" s="3" t="str">
        <f>"0"</f>
        <v>0</v>
      </c>
      <c r="BC892" t="str">
        <f ca="1">IF((OFFSET($A$1, 892 - 1, 53 - 1)) &gt;= (OFFSET($A$1, 69 - 1, 7 - 1)), "1","0")</f>
        <v>0</v>
      </c>
      <c r="BD892">
        <f ca="1" xml:space="preserve"> IF( AND( OFFSET($A$1, 892 - 1, 54 - 1) = "1", OFFSET($A$1, 892 - 1, 55 - 1) = "1" ), 1, IF( AND( OFFSET($A$1, 892 - 1, 54 - 1) = "1", OFFSET($A$1, 892 - 1, 55 - 1) = "0" ), 2, IF( AND( OFFSET($A$1, 892 - 1, 54 - 1) = "0", OFFSET($A$1, 892 - 1, 55 - 1) = "1" ), 3, 4 ) ) )</f>
        <v>4</v>
      </c>
    </row>
    <row r="893" spans="53:56" x14ac:dyDescent="0.35">
      <c r="BA893" s="3">
        <v>0.29733161698216071</v>
      </c>
      <c r="BB893" s="3" t="str">
        <f>"0"</f>
        <v>0</v>
      </c>
      <c r="BC893" t="str">
        <f ca="1">IF((OFFSET($A$1, 893 - 1, 53 - 1)) &gt;= (OFFSET($A$1, 69 - 1, 7 - 1)), "1","0")</f>
        <v>0</v>
      </c>
      <c r="BD893">
        <f ca="1" xml:space="preserve"> IF( AND( OFFSET($A$1, 893 - 1, 54 - 1) = "1", OFFSET($A$1, 893 - 1, 55 - 1) = "1" ), 1, IF( AND( OFFSET($A$1, 893 - 1, 54 - 1) = "1", OFFSET($A$1, 893 - 1, 55 - 1) = "0" ), 2, IF( AND( OFFSET($A$1, 893 - 1, 54 - 1) = "0", OFFSET($A$1, 893 - 1, 55 - 1) = "1" ), 3, 4 ) ) )</f>
        <v>4</v>
      </c>
    </row>
    <row r="894" spans="53:56" x14ac:dyDescent="0.35">
      <c r="BA894" s="3">
        <v>0.29842162067207373</v>
      </c>
      <c r="BB894" s="3" t="str">
        <f>"0"</f>
        <v>0</v>
      </c>
      <c r="BC894" t="str">
        <f ca="1">IF((OFFSET($A$1, 894 - 1, 53 - 1)) &gt;= (OFFSET($A$1, 69 - 1, 7 - 1)), "1","0")</f>
        <v>0</v>
      </c>
      <c r="BD894">
        <f ca="1" xml:space="preserve"> IF( AND( OFFSET($A$1, 894 - 1, 54 - 1) = "1", OFFSET($A$1, 894 - 1, 55 - 1) = "1" ), 1, IF( AND( OFFSET($A$1, 894 - 1, 54 - 1) = "1", OFFSET($A$1, 894 - 1, 55 - 1) = "0" ), 2, IF( AND( OFFSET($A$1, 894 - 1, 54 - 1) = "0", OFFSET($A$1, 894 - 1, 55 - 1) = "1" ), 3, 4 ) ) )</f>
        <v>4</v>
      </c>
    </row>
    <row r="895" spans="53:56" x14ac:dyDescent="0.35">
      <c r="BA895" s="3">
        <v>0.29950175221073005</v>
      </c>
      <c r="BB895" s="3" t="str">
        <f>"1"</f>
        <v>1</v>
      </c>
      <c r="BC895" t="str">
        <f ca="1">IF((OFFSET($A$1, 895 - 1, 53 - 1)) &gt;= (OFFSET($A$1, 69 - 1, 7 - 1)), "1","0")</f>
        <v>0</v>
      </c>
      <c r="BD895">
        <f ca="1" xml:space="preserve"> IF( AND( OFFSET($A$1, 895 - 1, 54 - 1) = "1", OFFSET($A$1, 895 - 1, 55 - 1) = "1" ), 1, IF( AND( OFFSET($A$1, 895 - 1, 54 - 1) = "1", OFFSET($A$1, 895 - 1, 55 - 1) = "0" ), 2, IF( AND( OFFSET($A$1, 895 - 1, 54 - 1) = "0", OFFSET($A$1, 895 - 1, 55 - 1) = "1" ), 3, 4 ) ) )</f>
        <v>2</v>
      </c>
    </row>
    <row r="896" spans="53:56" x14ac:dyDescent="0.35">
      <c r="BA896" s="3">
        <v>0.57291608391519733</v>
      </c>
      <c r="BB896" s="3" t="str">
        <f>"1"</f>
        <v>1</v>
      </c>
      <c r="BC896" t="str">
        <f ca="1">IF((OFFSET($A$1, 896 - 1, 53 - 1)) &gt;= (OFFSET($A$1, 69 - 1, 7 - 1)), "1","0")</f>
        <v>1</v>
      </c>
      <c r="BD896">
        <f ca="1" xml:space="preserve"> IF( AND( OFFSET($A$1, 896 - 1, 54 - 1) = "1", OFFSET($A$1, 896 - 1, 55 - 1) = "1" ), 1, IF( AND( OFFSET($A$1, 896 - 1, 54 - 1) = "1", OFFSET($A$1, 896 - 1, 55 - 1) = "0" ), 2, IF( AND( OFFSET($A$1, 896 - 1, 54 - 1) = "0", OFFSET($A$1, 896 - 1, 55 - 1) = "1" ), 3, 4 ) ) )</f>
        <v>1</v>
      </c>
    </row>
    <row r="897" spans="53:56" x14ac:dyDescent="0.35">
      <c r="BA897" s="3">
        <v>0.57414716562135293</v>
      </c>
      <c r="BB897" s="3" t="str">
        <f>"1"</f>
        <v>1</v>
      </c>
      <c r="BC897" t="str">
        <f ca="1">IF((OFFSET($A$1, 897 - 1, 53 - 1)) &gt;= (OFFSET($A$1, 69 - 1, 7 - 1)), "1","0")</f>
        <v>1</v>
      </c>
      <c r="BD897">
        <f ca="1" xml:space="preserve"> IF( AND( OFFSET($A$1, 897 - 1, 54 - 1) = "1", OFFSET($A$1, 897 - 1, 55 - 1) = "1" ), 1, IF( AND( OFFSET($A$1, 897 - 1, 54 - 1) = "1", OFFSET($A$1, 897 - 1, 55 - 1) = "0" ), 2, IF( AND( OFFSET($A$1, 897 - 1, 54 - 1) = "0", OFFSET($A$1, 897 - 1, 55 - 1) = "1" ), 3, 4 ) ) )</f>
        <v>1</v>
      </c>
    </row>
    <row r="898" spans="53:56" x14ac:dyDescent="0.35">
      <c r="BA898" s="3">
        <v>0.57536205788035621</v>
      </c>
      <c r="BB898" s="3" t="str">
        <f>"1"</f>
        <v>1</v>
      </c>
      <c r="BC898" t="str">
        <f ca="1">IF((OFFSET($A$1, 898 - 1, 53 - 1)) &gt;= (OFFSET($A$1, 69 - 1, 7 - 1)), "1","0")</f>
        <v>1</v>
      </c>
      <c r="BD898">
        <f ca="1" xml:space="preserve"> IF( AND( OFFSET($A$1, 898 - 1, 54 - 1) = "1", OFFSET($A$1, 898 - 1, 55 - 1) = "1" ), 1, IF( AND( OFFSET($A$1, 898 - 1, 54 - 1) = "1", OFFSET($A$1, 898 - 1, 55 - 1) = "0" ), 2, IF( AND( OFFSET($A$1, 898 - 1, 54 - 1) = "0", OFFSET($A$1, 898 - 1, 55 - 1) = "1" ), 3, 4 ) ) )</f>
        <v>1</v>
      </c>
    </row>
    <row r="899" spans="53:56" x14ac:dyDescent="0.35">
      <c r="BA899" s="3">
        <v>0.57656042164108168</v>
      </c>
      <c r="BB899" s="3" t="str">
        <f>"0"</f>
        <v>0</v>
      </c>
      <c r="BC899" t="str">
        <f ca="1">IF((OFFSET($A$1, 899 - 1, 53 - 1)) &gt;= (OFFSET($A$1, 69 - 1, 7 - 1)), "1","0")</f>
        <v>1</v>
      </c>
      <c r="BD899">
        <f ca="1" xml:space="preserve"> IF( AND( OFFSET($A$1, 899 - 1, 54 - 1) = "1", OFFSET($A$1, 899 - 1, 55 - 1) = "1" ), 1, IF( AND( OFFSET($A$1, 899 - 1, 54 - 1) = "1", OFFSET($A$1, 899 - 1, 55 - 1) = "0" ), 2, IF( AND( OFFSET($A$1, 899 - 1, 54 - 1) = "0", OFFSET($A$1, 899 - 1, 55 - 1) = "1" ), 3, 4 ) ) )</f>
        <v>3</v>
      </c>
    </row>
    <row r="900" spans="53:56" x14ac:dyDescent="0.35">
      <c r="BA900" s="3">
        <v>0.30474029211305176</v>
      </c>
      <c r="BB900" s="3" t="str">
        <f>"0"</f>
        <v>0</v>
      </c>
      <c r="BC900" t="str">
        <f ca="1">IF((OFFSET($A$1, 900 - 1, 53 - 1)) &gt;= (OFFSET($A$1, 69 - 1, 7 - 1)), "1","0")</f>
        <v>0</v>
      </c>
      <c r="BD900">
        <f ca="1" xml:space="preserve"> IF( AND( OFFSET($A$1, 900 - 1, 54 - 1) = "1", OFFSET($A$1, 900 - 1, 55 - 1) = "1" ), 1, IF( AND( OFFSET($A$1, 900 - 1, 54 - 1) = "1", OFFSET($A$1, 900 - 1, 55 - 1) = "0" ), 2, IF( AND( OFFSET($A$1, 900 - 1, 54 - 1) = "0", OFFSET($A$1, 900 - 1, 55 - 1) = "1" ), 3, 4 ) ) )</f>
        <v>4</v>
      </c>
    </row>
    <row r="901" spans="53:56" x14ac:dyDescent="0.35">
      <c r="BA901" s="3">
        <v>0.30575280795812687</v>
      </c>
      <c r="BB901" s="3" t="str">
        <f>"0"</f>
        <v>0</v>
      </c>
      <c r="BC901" t="str">
        <f ca="1">IF((OFFSET($A$1, 901 - 1, 53 - 1)) &gt;= (OFFSET($A$1, 69 - 1, 7 - 1)), "1","0")</f>
        <v>0</v>
      </c>
      <c r="BD901">
        <f ca="1" xml:space="preserve"> IF( AND( OFFSET($A$1, 901 - 1, 54 - 1) = "1", OFFSET($A$1, 901 - 1, 55 - 1) = "1" ), 1, IF( AND( OFFSET($A$1, 901 - 1, 54 - 1) = "1", OFFSET($A$1, 901 - 1, 55 - 1) = "0" ), 2, IF( AND( OFFSET($A$1, 901 - 1, 54 - 1) = "0", OFFSET($A$1, 901 - 1, 55 - 1) = "1" ), 3, 4 ) ) )</f>
        <v>4</v>
      </c>
    </row>
    <row r="902" spans="53:56" x14ac:dyDescent="0.35">
      <c r="BA902" s="3">
        <v>0.30675268493604474</v>
      </c>
      <c r="BB902" s="3" t="str">
        <f>"0"</f>
        <v>0</v>
      </c>
      <c r="BC902" t="str">
        <f ca="1">IF((OFFSET($A$1, 902 - 1, 53 - 1)) &gt;= (OFFSET($A$1, 69 - 1, 7 - 1)), "1","0")</f>
        <v>0</v>
      </c>
      <c r="BD902">
        <f ca="1" xml:space="preserve"> IF( AND( OFFSET($A$1, 902 - 1, 54 - 1) = "1", OFFSET($A$1, 902 - 1, 55 - 1) = "1" ), 1, IF( AND( OFFSET($A$1, 902 - 1, 54 - 1) = "1", OFFSET($A$1, 902 - 1, 55 - 1) = "0" ), 2, IF( AND( OFFSET($A$1, 902 - 1, 54 - 1) = "0", OFFSET($A$1, 902 - 1, 55 - 1) = "1" ), 3, 4 ) ) )</f>
        <v>4</v>
      </c>
    </row>
    <row r="903" spans="53:56" x14ac:dyDescent="0.35">
      <c r="BA903" s="3">
        <v>0.30773954092615036</v>
      </c>
      <c r="BB903" s="3" t="str">
        <f>"1"</f>
        <v>1</v>
      </c>
      <c r="BC903" t="str">
        <f ca="1">IF((OFFSET($A$1, 903 - 1, 53 - 1)) &gt;= (OFFSET($A$1, 69 - 1, 7 - 1)), "1","0")</f>
        <v>0</v>
      </c>
      <c r="BD903">
        <f ca="1" xml:space="preserve"> IF( AND( OFFSET($A$1, 903 - 1, 54 - 1) = "1", OFFSET($A$1, 903 - 1, 55 - 1) = "1" ), 1, IF( AND( OFFSET($A$1, 903 - 1, 54 - 1) = "1", OFFSET($A$1, 903 - 1, 55 - 1) = "0" ), 2, IF( AND( OFFSET($A$1, 903 - 1, 54 - 1) = "0", OFFSET($A$1, 903 - 1, 55 - 1) = "1" ), 3, 4 ) ) )</f>
        <v>2</v>
      </c>
    </row>
    <row r="904" spans="53:56" x14ac:dyDescent="0.35">
      <c r="BA904" s="3">
        <v>0.58229289304455378</v>
      </c>
      <c r="BB904" s="3" t="str">
        <f>"0"</f>
        <v>0</v>
      </c>
      <c r="BC904" t="str">
        <f ca="1">IF((OFFSET($A$1, 904 - 1, 53 - 1)) &gt;= (OFFSET($A$1, 69 - 1, 7 - 1)), "1","0")</f>
        <v>1</v>
      </c>
      <c r="BD904">
        <f ca="1" xml:space="preserve"> IF( AND( OFFSET($A$1, 904 - 1, 54 - 1) = "1", OFFSET($A$1, 904 - 1, 55 - 1) = "1" ), 1, IF( AND( OFFSET($A$1, 904 - 1, 54 - 1) = "1", OFFSET($A$1, 904 - 1, 55 - 1) = "0" ), 2, IF( AND( OFFSET($A$1, 904 - 1, 54 - 1) = "0", OFFSET($A$1, 904 - 1, 55 - 1) = "1" ), 3, 4 ) ) )</f>
        <v>3</v>
      </c>
    </row>
    <row r="905" spans="53:56" x14ac:dyDescent="0.35">
      <c r="BA905" s="3">
        <v>0.30967268133045062</v>
      </c>
      <c r="BB905" s="3" t="str">
        <f>"0"</f>
        <v>0</v>
      </c>
      <c r="BC905" t="str">
        <f ca="1">IF((OFFSET($A$1, 905 - 1, 53 - 1)) &gt;= (OFFSET($A$1, 69 - 1, 7 - 1)), "1","0")</f>
        <v>0</v>
      </c>
      <c r="BD905">
        <f ca="1" xml:space="preserve"> IF( AND( OFFSET($A$1, 905 - 1, 54 - 1) = "1", OFFSET($A$1, 905 - 1, 55 - 1) = "1" ), 1, IF( AND( OFFSET($A$1, 905 - 1, 54 - 1) = "1", OFFSET($A$1, 905 - 1, 55 - 1) = "0" ), 2, IF( AND( OFFSET($A$1, 905 - 1, 54 - 1) = "0", OFFSET($A$1, 905 - 1, 55 - 1) = "1" ), 3, 4 ) ) )</f>
        <v>4</v>
      </c>
    </row>
    <row r="906" spans="53:56" x14ac:dyDescent="0.35">
      <c r="BA906" s="3">
        <v>0.31061822200457606</v>
      </c>
      <c r="BB906" s="3" t="str">
        <f>"0"</f>
        <v>0</v>
      </c>
      <c r="BC906" t="str">
        <f ca="1">IF((OFFSET($A$1, 906 - 1, 53 - 1)) &gt;= (OFFSET($A$1, 69 - 1, 7 - 1)), "1","0")</f>
        <v>0</v>
      </c>
      <c r="BD906">
        <f ca="1" xml:space="preserve"> IF( AND( OFFSET($A$1, 906 - 1, 54 - 1) = "1", OFFSET($A$1, 906 - 1, 55 - 1) = "1" ), 1, IF( AND( OFFSET($A$1, 906 - 1, 54 - 1) = "1", OFFSET($A$1, 906 - 1, 55 - 1) = "0" ), 2, IF( AND( OFFSET($A$1, 906 - 1, 54 - 1) = "0", OFFSET($A$1, 906 - 1, 55 - 1) = "1" ), 3, 4 ) ) )</f>
        <v>4</v>
      </c>
    </row>
    <row r="907" spans="53:56" x14ac:dyDescent="0.35">
      <c r="BA907" s="3">
        <v>0.31154925462508998</v>
      </c>
      <c r="BB907" s="3" t="str">
        <f>"0"</f>
        <v>0</v>
      </c>
      <c r="BC907" t="str">
        <f ca="1">IF((OFFSET($A$1, 907 - 1, 53 - 1)) &gt;= (OFFSET($A$1, 69 - 1, 7 - 1)), "1","0")</f>
        <v>0</v>
      </c>
      <c r="BD907">
        <f ca="1" xml:space="preserve"> IF( AND( OFFSET($A$1, 907 - 1, 54 - 1) = "1", OFFSET($A$1, 907 - 1, 55 - 1) = "1" ), 1, IF( AND( OFFSET($A$1, 907 - 1, 54 - 1) = "1", OFFSET($A$1, 907 - 1, 55 - 1) = "0" ), 2, IF( AND( OFFSET($A$1, 907 - 1, 54 - 1) = "0", OFFSET($A$1, 907 - 1, 55 - 1) = "1" ), 3, 4 ) ) )</f>
        <v>4</v>
      </c>
    </row>
    <row r="908" spans="53:56" x14ac:dyDescent="0.35">
      <c r="BA908" s="3">
        <v>0.31246541881526002</v>
      </c>
      <c r="BB908" s="3" t="str">
        <f>"1"</f>
        <v>1</v>
      </c>
      <c r="BC908" t="str">
        <f ca="1">IF((OFFSET($A$1, 908 - 1, 53 - 1)) &gt;= (OFFSET($A$1, 69 - 1, 7 - 1)), "1","0")</f>
        <v>0</v>
      </c>
      <c r="BD908">
        <f ca="1" xml:space="preserve"> IF( AND( OFFSET($A$1, 908 - 1, 54 - 1) = "1", OFFSET($A$1, 908 - 1, 55 - 1) = "1" ), 1, IF( AND( OFFSET($A$1, 908 - 1, 54 - 1) = "1", OFFSET($A$1, 908 - 1, 55 - 1) = "0" ), 2, IF( AND( OFFSET($A$1, 908 - 1, 54 - 1) = "0", OFFSET($A$1, 908 - 1, 55 - 1) = "1" ), 3, 4 ) ) )</f>
        <v>2</v>
      </c>
    </row>
    <row r="909" spans="53:56" x14ac:dyDescent="0.35">
      <c r="BA909" s="3">
        <v>0.58756499500064285</v>
      </c>
      <c r="BB909" s="3" t="str">
        <f>"0"</f>
        <v>0</v>
      </c>
      <c r="BC909" t="str">
        <f ca="1">IF((OFFSET($A$1, 909 - 1, 53 - 1)) &gt;= (OFFSET($A$1, 69 - 1, 7 - 1)), "1","0")</f>
        <v>1</v>
      </c>
      <c r="BD909">
        <f ca="1" xml:space="preserve"> IF( AND( OFFSET($A$1, 909 - 1, 54 - 1) = "1", OFFSET($A$1, 909 - 1, 55 - 1) = "1" ), 1, IF( AND( OFFSET($A$1, 909 - 1, 54 - 1) = "1", OFFSET($A$1, 909 - 1, 55 - 1) = "0" ), 2, IF( AND( OFFSET($A$1, 909 - 1, 54 - 1) = "0", OFFSET($A$1, 909 - 1, 55 - 1) = "1" ), 3, 4 ) ) )</f>
        <v>3</v>
      </c>
    </row>
    <row r="910" spans="53:56" x14ac:dyDescent="0.35">
      <c r="BA910" s="3">
        <v>0.31425172539247659</v>
      </c>
      <c r="BB910" s="3" t="str">
        <f>"1"</f>
        <v>1</v>
      </c>
      <c r="BC910" t="str">
        <f ca="1">IF((OFFSET($A$1, 910 - 1, 53 - 1)) &gt;= (OFFSET($A$1, 69 - 1, 7 - 1)), "1","0")</f>
        <v>0</v>
      </c>
      <c r="BD910">
        <f ca="1" xml:space="preserve"> IF( AND( OFFSET($A$1, 910 - 1, 54 - 1) = "1", OFFSET($A$1, 910 - 1, 55 - 1) = "1" ), 1, IF( AND( OFFSET($A$1, 910 - 1, 54 - 1) = "1", OFFSET($A$1, 910 - 1, 55 - 1) = "0" ), 2, IF( AND( OFFSET($A$1, 910 - 1, 54 - 1) = "0", OFFSET($A$1, 910 - 1, 55 - 1) = "1" ), 3, 4 ) ) )</f>
        <v>2</v>
      </c>
    </row>
    <row r="911" spans="53:56" x14ac:dyDescent="0.35">
      <c r="BA911" s="3">
        <v>0.58953694016635871</v>
      </c>
      <c r="BB911" s="3" t="str">
        <f>"1"</f>
        <v>1</v>
      </c>
      <c r="BC911" t="str">
        <f ca="1">IF((OFFSET($A$1, 911 - 1, 53 - 1)) &gt;= (OFFSET($A$1, 69 - 1, 7 - 1)), "1","0")</f>
        <v>1</v>
      </c>
      <c r="BD911">
        <f ca="1" xml:space="preserve"> IF( AND( OFFSET($A$1, 911 - 1, 54 - 1) = "1", OFFSET($A$1, 911 - 1, 55 - 1) = "1" ), 1, IF( AND( OFFSET($A$1, 911 - 1, 54 - 1) = "1", OFFSET($A$1, 911 - 1, 55 - 1) = "0" ), 2, IF( AND( OFFSET($A$1, 911 - 1, 54 - 1) = "0", OFFSET($A$1, 911 - 1, 55 - 1) = "1" ), 3, 4 ) ) )</f>
        <v>1</v>
      </c>
    </row>
    <row r="912" spans="53:56" x14ac:dyDescent="0.35">
      <c r="BA912" s="3">
        <v>0.5904925223651285</v>
      </c>
      <c r="BB912" s="3" t="str">
        <f>"1"</f>
        <v>1</v>
      </c>
      <c r="BC912" t="str">
        <f ca="1">IF((OFFSET($A$1, 912 - 1, 53 - 1)) &gt;= (OFFSET($A$1, 69 - 1, 7 - 1)), "1","0")</f>
        <v>1</v>
      </c>
      <c r="BD912">
        <f ca="1" xml:space="preserve"> IF( AND( OFFSET($A$1, 912 - 1, 54 - 1) = "1", OFFSET($A$1, 912 - 1, 55 - 1) = "1" ), 1, IF( AND( OFFSET($A$1, 912 - 1, 54 - 1) = "1", OFFSET($A$1, 912 - 1, 55 - 1) = "0" ), 2, IF( AND( OFFSET($A$1, 912 - 1, 54 - 1) = "0", OFFSET($A$1, 912 - 1, 55 - 1) = "1" ), 3, 4 ) ) )</f>
        <v>1</v>
      </c>
    </row>
    <row r="913" spans="53:56" x14ac:dyDescent="0.35">
      <c r="BA913" s="3">
        <v>0.59142751237408053</v>
      </c>
      <c r="BB913" s="3" t="str">
        <f>"0"</f>
        <v>0</v>
      </c>
      <c r="BC913" t="str">
        <f ca="1">IF((OFFSET($A$1, 913 - 1, 53 - 1)) &gt;= (OFFSET($A$1, 69 - 1, 7 - 1)), "1","0")</f>
        <v>1</v>
      </c>
      <c r="BD913">
        <f ca="1" xml:space="preserve"> IF( AND( OFFSET($A$1, 913 - 1, 54 - 1) = "1", OFFSET($A$1, 913 - 1, 55 - 1) = "1" ), 1, IF( AND( OFFSET($A$1, 913 - 1, 54 - 1) = "1", OFFSET($A$1, 913 - 1, 55 - 1) = "0" ), 2, IF( AND( OFFSET($A$1, 913 - 1, 54 - 1) = "0", OFFSET($A$1, 913 - 1, 55 - 1) = "1" ), 3, 4 ) ) )</f>
        <v>3</v>
      </c>
    </row>
    <row r="914" spans="53:56" x14ac:dyDescent="0.35">
      <c r="BA914" s="3">
        <v>0.31763063518297041</v>
      </c>
      <c r="BB914" s="3" t="str">
        <f>"0"</f>
        <v>0</v>
      </c>
      <c r="BC914" t="str">
        <f ca="1">IF((OFFSET($A$1, 914 - 1, 53 - 1)) &gt;= (OFFSET($A$1, 69 - 1, 7 - 1)), "1","0")</f>
        <v>0</v>
      </c>
      <c r="BD914">
        <f ca="1" xml:space="preserve"> IF( AND( OFFSET($A$1, 914 - 1, 54 - 1) = "1", OFFSET($A$1, 914 - 1, 55 - 1) = "1" ), 1, IF( AND( OFFSET($A$1, 914 - 1, 54 - 1) = "1", OFFSET($A$1, 914 - 1, 55 - 1) = "0" ), 2, IF( AND( OFFSET($A$1, 914 - 1, 54 - 1) = "0", OFFSET($A$1, 914 - 1, 55 - 1) = "1" ), 3, 4 ) ) )</f>
        <v>4</v>
      </c>
    </row>
    <row r="915" spans="53:56" x14ac:dyDescent="0.35">
      <c r="BA915" s="3">
        <v>0.31843307071434052</v>
      </c>
      <c r="BB915" s="3" t="str">
        <f>"1"</f>
        <v>1</v>
      </c>
      <c r="BC915" t="str">
        <f ca="1">IF((OFFSET($A$1, 915 - 1, 53 - 1)) &gt;= (OFFSET($A$1, 69 - 1, 7 - 1)), "1","0")</f>
        <v>0</v>
      </c>
      <c r="BD915">
        <f ca="1" xml:space="preserve"> IF( AND( OFFSET($A$1, 915 - 1, 54 - 1) = "1", OFFSET($A$1, 915 - 1, 55 - 1) = "1" ), 1, IF( AND( OFFSET($A$1, 915 - 1, 54 - 1) = "1", OFFSET($A$1, 915 - 1, 55 - 1) = "0" ), 2, IF( AND( OFFSET($A$1, 915 - 1, 54 - 1) = "0", OFFSET($A$1, 915 - 1, 55 - 1) = "1" ), 3, 4 ) ) )</f>
        <v>2</v>
      </c>
    </row>
    <row r="916" spans="53:56" x14ac:dyDescent="0.35">
      <c r="BA916" s="3">
        <v>0.59410655589641692</v>
      </c>
      <c r="BB916" s="3" t="str">
        <f>"1"</f>
        <v>1</v>
      </c>
      <c r="BC916" t="str">
        <f ca="1">IF((OFFSET($A$1, 916 - 1, 53 - 1)) &gt;= (OFFSET($A$1, 69 - 1, 7 - 1)), "1","0")</f>
        <v>1</v>
      </c>
      <c r="BD916">
        <f ca="1" xml:space="preserve"> IF( AND( OFFSET($A$1, 916 - 1, 54 - 1) = "1", OFFSET($A$1, 916 - 1, 55 - 1) = "1" ), 1, IF( AND( OFFSET($A$1, 916 - 1, 54 - 1) = "1", OFFSET($A$1, 916 - 1, 55 - 1) = "0" ), 2, IF( AND( OFFSET($A$1, 916 - 1, 54 - 1) = "0", OFFSET($A$1, 916 - 1, 55 - 1) = "1" ), 3, 4 ) ) )</f>
        <v>1</v>
      </c>
    </row>
    <row r="917" spans="53:56" x14ac:dyDescent="0.35">
      <c r="BA917" s="3">
        <v>0.59495683687534939</v>
      </c>
      <c r="BB917" s="3" t="str">
        <f>"1"</f>
        <v>1</v>
      </c>
      <c r="BC917" t="str">
        <f ca="1">IF((OFFSET($A$1, 917 - 1, 53 - 1)) &gt;= (OFFSET($A$1, 69 - 1, 7 - 1)), "1","0")</f>
        <v>1</v>
      </c>
      <c r="BD917">
        <f ca="1" xml:space="preserve"> IF( AND( OFFSET($A$1, 917 - 1, 54 - 1) = "1", OFFSET($A$1, 917 - 1, 55 - 1) = "1" ), 1, IF( AND( OFFSET($A$1, 917 - 1, 54 - 1) = "1", OFFSET($A$1, 917 - 1, 55 - 1) = "0" ), 2, IF( AND( OFFSET($A$1, 917 - 1, 54 - 1) = "0", OFFSET($A$1, 917 - 1, 55 - 1) = "1" ), 3, 4 ) ) )</f>
        <v>1</v>
      </c>
    </row>
    <row r="918" spans="53:56" x14ac:dyDescent="0.35">
      <c r="BA918" s="3">
        <v>0.59578538857037089</v>
      </c>
      <c r="BB918" s="3" t="str">
        <f>"0"</f>
        <v>0</v>
      </c>
      <c r="BC918" t="str">
        <f ca="1">IF((OFFSET($A$1, 918 - 1, 53 - 1)) &gt;= (OFFSET($A$1, 69 - 1, 7 - 1)), "1","0")</f>
        <v>1</v>
      </c>
      <c r="BD918">
        <f ca="1" xml:space="preserve"> IF( AND( OFFSET($A$1, 918 - 1, 54 - 1) = "1", OFFSET($A$1, 918 - 1, 55 - 1) = "1" ), 1, IF( AND( OFFSET($A$1, 918 - 1, 54 - 1) = "1", OFFSET($A$1, 918 - 1, 55 - 1) = "0" ), 2, IF( AND( OFFSET($A$1, 918 - 1, 54 - 1) = "0", OFFSET($A$1, 918 - 1, 55 - 1) = "1" ), 3, 4 ) ) )</f>
        <v>3</v>
      </c>
    </row>
    <row r="919" spans="53:56" x14ac:dyDescent="0.35">
      <c r="BA919" s="3">
        <v>0.3214641876040859</v>
      </c>
      <c r="BB919" s="3" t="str">
        <f>"1"</f>
        <v>1</v>
      </c>
      <c r="BC919" t="str">
        <f ca="1">IF((OFFSET($A$1, 919 - 1, 53 - 1)) &gt;= (OFFSET($A$1, 69 - 1, 7 - 1)), "1","0")</f>
        <v>0</v>
      </c>
      <c r="BD919">
        <f ca="1" xml:space="preserve"> IF( AND( OFFSET($A$1, 919 - 1, 54 - 1) = "1", OFFSET($A$1, 919 - 1, 55 - 1) = "1" ), 1, IF( AND( OFFSET($A$1, 919 - 1, 54 - 1) = "1", OFFSET($A$1, 919 - 1, 55 - 1) = "0" ), 2, IF( AND( OFFSET($A$1, 919 - 1, 54 - 1) = "0", OFFSET($A$1, 919 - 1, 55 - 1) = "1" ), 3, 4 ) ) )</f>
        <v>2</v>
      </c>
    </row>
    <row r="920" spans="53:56" x14ac:dyDescent="0.35">
      <c r="BA920" s="3">
        <v>0.59737648002895904</v>
      </c>
      <c r="BB920" s="3" t="str">
        <f>"0"</f>
        <v>0</v>
      </c>
      <c r="BC920" t="str">
        <f ca="1">IF((OFFSET($A$1, 920 - 1, 53 - 1)) &gt;= (OFFSET($A$1, 69 - 1, 7 - 1)), "1","0")</f>
        <v>1</v>
      </c>
      <c r="BD920">
        <f ca="1" xml:space="preserve"> IF( AND( OFFSET($A$1, 920 - 1, 54 - 1) = "1", OFFSET($A$1, 920 - 1, 55 - 1) = "1" ), 1, IF( AND( OFFSET($A$1, 920 - 1, 54 - 1) = "1", OFFSET($A$1, 920 - 1, 55 - 1) = "0" ), 2, IF( AND( OFFSET($A$1, 920 - 1, 54 - 1) = "0", OFFSET($A$1, 920 - 1, 55 - 1) = "1" ), 3, 4 ) ) )</f>
        <v>3</v>
      </c>
    </row>
    <row r="921" spans="53:56" x14ac:dyDescent="0.35">
      <c r="BA921" s="3">
        <v>0.32286840972982228</v>
      </c>
      <c r="BB921" s="3" t="str">
        <f>"0"</f>
        <v>0</v>
      </c>
      <c r="BC921" t="str">
        <f ca="1">IF((OFFSET($A$1, 921 - 1, 53 - 1)) &gt;= (OFFSET($A$1, 69 - 1, 7 - 1)), "1","0")</f>
        <v>0</v>
      </c>
      <c r="BD921">
        <f ca="1" xml:space="preserve"> IF( AND( OFFSET($A$1, 921 - 1, 54 - 1) = "1", OFFSET($A$1, 921 - 1, 55 - 1) = "1" ), 1, IF( AND( OFFSET($A$1, 921 - 1, 54 - 1) = "1", OFFSET($A$1, 921 - 1, 55 - 1) = "0" ), 2, IF( AND( OFFSET($A$1, 921 - 1, 54 - 1) = "0", OFFSET($A$1, 921 - 1, 55 - 1) = "1" ), 3, 4 ) ) )</f>
        <v>4</v>
      </c>
    </row>
    <row r="922" spans="53:56" x14ac:dyDescent="0.35">
      <c r="BA922" s="3">
        <v>0.32354169498340696</v>
      </c>
      <c r="BB922" s="3" t="str">
        <f>"1"</f>
        <v>1</v>
      </c>
      <c r="BC922" t="str">
        <f ca="1">IF((OFFSET($A$1, 922 - 1, 53 - 1)) &gt;= (OFFSET($A$1, 69 - 1, 7 - 1)), "1","0")</f>
        <v>0</v>
      </c>
      <c r="BD922">
        <f ca="1" xml:space="preserve"> IF( AND( OFFSET($A$1, 922 - 1, 54 - 1) = "1", OFFSET($A$1, 922 - 1, 55 - 1) = "1" ), 1, IF( AND( OFFSET($A$1, 922 - 1, 54 - 1) = "1", OFFSET($A$1, 922 - 1, 55 - 1) = "0" ), 2, IF( AND( OFFSET($A$1, 922 - 1, 54 - 1) = "0", OFFSET($A$1, 922 - 1, 55 - 1) = "1" ), 3, 4 ) ) )</f>
        <v>2</v>
      </c>
    </row>
    <row r="923" spans="53:56" x14ac:dyDescent="0.35">
      <c r="BA923" s="3">
        <v>0.59959516824040904</v>
      </c>
      <c r="BB923" s="3" t="str">
        <f>"0"</f>
        <v>0</v>
      </c>
      <c r="BC923" t="str">
        <f ca="1">IF((OFFSET($A$1, 923 - 1, 53 - 1)) &gt;= (OFFSET($A$1, 69 - 1, 7 - 1)), "1","0")</f>
        <v>1</v>
      </c>
      <c r="BD923">
        <f ca="1" xml:space="preserve"> IF( AND( OFFSET($A$1, 923 - 1, 54 - 1) = "1", OFFSET($A$1, 923 - 1, 55 - 1) = "1" ), 1, IF( AND( OFFSET($A$1, 923 - 1, 54 - 1) = "1", OFFSET($A$1, 923 - 1, 55 - 1) = "0" ), 2, IF( AND( OFFSET($A$1, 923 - 1, 54 - 1) = "0", OFFSET($A$1, 923 - 1, 55 - 1) = "1" ), 3, 4 ) ) )</f>
        <v>3</v>
      </c>
    </row>
    <row r="924" spans="53:56" x14ac:dyDescent="0.35">
      <c r="BA924" s="3">
        <v>0.32482927852773502</v>
      </c>
      <c r="BB924" s="3" t="str">
        <f>"0"</f>
        <v>0</v>
      </c>
      <c r="BC924" t="str">
        <f ca="1">IF((OFFSET($A$1, 924 - 1, 53 - 1)) &gt;= (OFFSET($A$1, 69 - 1, 7 - 1)), "1","0")</f>
        <v>0</v>
      </c>
      <c r="BD924">
        <f ca="1" xml:space="preserve"> IF( AND( OFFSET($A$1, 924 - 1, 54 - 1) = "1", OFFSET($A$1, 924 - 1, 55 - 1) = "1" ), 1, IF( AND( OFFSET($A$1, 924 - 1, 54 - 1) = "1", OFFSET($A$1, 924 - 1, 55 - 1) = "0" ), 2, IF( AND( OFFSET($A$1, 924 - 1, 54 - 1) = "0", OFFSET($A$1, 924 - 1, 55 - 1) = "1" ), 3, 4 ) ) )</f>
        <v>4</v>
      </c>
    </row>
    <row r="925" spans="53:56" x14ac:dyDescent="0.35">
      <c r="BA925" s="3">
        <v>0.32544306523743666</v>
      </c>
      <c r="BB925" s="3" t="str">
        <f>"0"</f>
        <v>0</v>
      </c>
      <c r="BC925" t="str">
        <f ca="1">IF((OFFSET($A$1, 925 - 1, 53 - 1)) &gt;= (OFFSET($A$1, 69 - 1, 7 - 1)), "1","0")</f>
        <v>0</v>
      </c>
      <c r="BD925">
        <f ca="1" xml:space="preserve"> IF( AND( OFFSET($A$1, 925 - 1, 54 - 1) = "1", OFFSET($A$1, 925 - 1, 55 - 1) = "1" ), 1, IF( AND( OFFSET($A$1, 925 - 1, 54 - 1) = "1", OFFSET($A$1, 925 - 1, 55 - 1) = "0" ), 2, IF( AND( OFFSET($A$1, 925 - 1, 54 - 1) = "0", OFFSET($A$1, 925 - 1, 55 - 1) = "1" ), 3, 4 ) ) )</f>
        <v>4</v>
      </c>
    </row>
    <row r="926" spans="53:56" x14ac:dyDescent="0.35">
      <c r="BA926" s="3">
        <v>0.32603652035932784</v>
      </c>
      <c r="BB926" s="3" t="str">
        <f>"1"</f>
        <v>1</v>
      </c>
      <c r="BC926" t="str">
        <f ca="1">IF((OFFSET($A$1, 926 - 1, 53 - 1)) &gt;= (OFFSET($A$1, 69 - 1, 7 - 1)), "1","0")</f>
        <v>0</v>
      </c>
      <c r="BD926">
        <f ca="1" xml:space="preserve"> IF( AND( OFFSET($A$1, 926 - 1, 54 - 1) = "1", OFFSET($A$1, 926 - 1, 55 - 1) = "1" ), 1, IF( AND( OFFSET($A$1, 926 - 1, 54 - 1) = "1", OFFSET($A$1, 926 - 1, 55 - 1) = "0" ), 2, IF( AND( OFFSET($A$1, 926 - 1, 54 - 1) = "0", OFFSET($A$1, 926 - 1, 55 - 1) = "1" ), 3, 4 ) ) )</f>
        <v>2</v>
      </c>
    </row>
    <row r="927" spans="53:56" x14ac:dyDescent="0.35">
      <c r="BA927" s="3">
        <v>0.60223241904593727</v>
      </c>
      <c r="BB927" s="3" t="str">
        <f>"0"</f>
        <v>0</v>
      </c>
      <c r="BC927" t="str">
        <f ca="1">IF((OFFSET($A$1, 927 - 1, 53 - 1)) &gt;= (OFFSET($A$1, 69 - 1, 7 - 1)), "1","0")</f>
        <v>1</v>
      </c>
      <c r="BD927">
        <f ca="1" xml:space="preserve"> IF( AND( OFFSET($A$1, 927 - 1, 54 - 1) = "1", OFFSET($A$1, 927 - 1, 55 - 1) = "1" ), 1, IF( AND( OFFSET($A$1, 927 - 1, 54 - 1) = "1", OFFSET($A$1, 927 - 1, 55 - 1) = "0" ), 2, IF( AND( OFFSET($A$1, 927 - 1, 54 - 1) = "0", OFFSET($A$1, 927 - 1, 55 - 1) = "1" ), 3, 4 ) ) )</f>
        <v>3</v>
      </c>
    </row>
    <row r="928" spans="53:56" x14ac:dyDescent="0.35">
      <c r="BA928" s="3">
        <v>0.32716149848603826</v>
      </c>
      <c r="BB928" s="3" t="str">
        <f>"0"</f>
        <v>0</v>
      </c>
      <c r="BC928" t="str">
        <f ca="1">IF((OFFSET($A$1, 928 - 1, 53 - 1)) &gt;= (OFFSET($A$1, 69 - 1, 7 - 1)), "1","0")</f>
        <v>0</v>
      </c>
      <c r="BD928">
        <f ca="1" xml:space="preserve"> IF( AND( OFFSET($A$1, 928 - 1, 54 - 1) = "1", OFFSET($A$1, 928 - 1, 55 - 1) = "1" ), 1, IF( AND( OFFSET($A$1, 928 - 1, 54 - 1) = "1", OFFSET($A$1, 928 - 1, 55 - 1) = "0" ), 2, IF( AND( OFFSET($A$1, 928 - 1, 54 - 1) = "0", OFFSET($A$1, 928 - 1, 55 - 1) = "1" ), 3, 4 ) ) )</f>
        <v>4</v>
      </c>
    </row>
    <row r="929" spans="53:56" x14ac:dyDescent="0.35">
      <c r="BA929" s="3">
        <v>0.32769257293454807</v>
      </c>
      <c r="BB929" s="3" t="str">
        <f>"1"</f>
        <v>1</v>
      </c>
      <c r="BC929" t="str">
        <f ca="1">IF((OFFSET($A$1, 929 - 1, 53 - 1)) &gt;= (OFFSET($A$1, 69 - 1, 7 - 1)), "1","0")</f>
        <v>0</v>
      </c>
      <c r="BD929">
        <f ca="1" xml:space="preserve"> IF( AND( OFFSET($A$1, 929 - 1, 54 - 1) = "1", OFFSET($A$1, 929 - 1, 55 - 1) = "1" ), 1, IF( AND( OFFSET($A$1, 929 - 1, 54 - 1) = "1", OFFSET($A$1, 929 - 1, 55 - 1) = "0" ), 2, IF( AND( OFFSET($A$1, 929 - 1, 54 - 1) = "0", OFFSET($A$1, 929 - 1, 55 - 1) = "1" ), 3, 4 ) ) )</f>
        <v>2</v>
      </c>
    </row>
    <row r="930" spans="53:56" x14ac:dyDescent="0.35">
      <c r="BA930" s="3">
        <v>0.60396403073190041</v>
      </c>
      <c r="BB930" s="3" t="str">
        <f>"1"</f>
        <v>1</v>
      </c>
      <c r="BC930" t="str">
        <f ca="1">IF((OFFSET($A$1, 930 - 1, 53 - 1)) &gt;= (OFFSET($A$1, 69 - 1, 7 - 1)), "1","0")</f>
        <v>1</v>
      </c>
      <c r="BD930">
        <f ca="1" xml:space="preserve"> IF( AND( OFFSET($A$1, 930 - 1, 54 - 1) = "1", OFFSET($A$1, 930 - 1, 55 - 1) = "1" ), 1, IF( AND( OFFSET($A$1, 930 - 1, 54 - 1) = "1", OFFSET($A$1, 930 - 1, 55 - 1) = "0" ), 2, IF( AND( OFFSET($A$1, 930 - 1, 54 - 1) = "0", OFFSET($A$1, 930 - 1, 55 - 1) = "1" ), 3, 4 ) ) )</f>
        <v>1</v>
      </c>
    </row>
    <row r="931" spans="53:56" x14ac:dyDescent="0.35">
      <c r="BA931" s="3">
        <v>0.60449355790067938</v>
      </c>
      <c r="BB931" s="3" t="str">
        <f>"0"</f>
        <v>0</v>
      </c>
      <c r="BC931" t="str">
        <f ca="1">IF((OFFSET($A$1, 931 - 1, 53 - 1)) &gt;= (OFFSET($A$1, 69 - 1, 7 - 1)), "1","0")</f>
        <v>1</v>
      </c>
      <c r="BD931">
        <f ca="1" xml:space="preserve"> IF( AND( OFFSET($A$1, 931 - 1, 54 - 1) = "1", OFFSET($A$1, 931 - 1, 55 - 1) = "1" ), 1, IF( AND( OFFSET($A$1, 931 - 1, 54 - 1) = "1", OFFSET($A$1, 931 - 1, 55 - 1) = "0" ), 2, IF( AND( OFFSET($A$1, 931 - 1, 54 - 1) = "0", OFFSET($A$1, 931 - 1, 55 - 1) = "1" ), 3, 4 ) ) )</f>
        <v>3</v>
      </c>
    </row>
    <row r="932" spans="53:56" x14ac:dyDescent="0.35">
      <c r="BA932" s="3">
        <v>0.32915761925043246</v>
      </c>
      <c r="BB932" s="3" t="str">
        <f>"1"</f>
        <v>1</v>
      </c>
      <c r="BC932" t="str">
        <f ca="1">IF((OFFSET($A$1, 932 - 1, 53 - 1)) &gt;= (OFFSET($A$1, 69 - 1, 7 - 1)), "1","0")</f>
        <v>0</v>
      </c>
      <c r="BD932">
        <f ca="1" xml:space="preserve"> IF( AND( OFFSET($A$1, 932 - 1, 54 - 1) = "1", OFFSET($A$1, 932 - 1, 55 - 1) = "1" ), 1, IF( AND( OFFSET($A$1, 932 - 1, 54 - 1) = "1", OFFSET($A$1, 932 - 1, 55 - 1) = "0" ), 2, IF( AND( OFFSET($A$1, 932 - 1, 54 - 1) = "0", OFFSET($A$1, 932 - 1, 55 - 1) = "1" ), 3, 4 ) ) )</f>
        <v>2</v>
      </c>
    </row>
    <row r="933" spans="53:56" x14ac:dyDescent="0.35">
      <c r="BA933" s="3">
        <v>0.60548033815203561</v>
      </c>
      <c r="BB933" s="3" t="str">
        <f>"1"</f>
        <v>1</v>
      </c>
      <c r="BC933" t="str">
        <f ca="1">IF((OFFSET($A$1, 933 - 1, 53 - 1)) &gt;= (OFFSET($A$1, 69 - 1, 7 - 1)), "1","0")</f>
        <v>1</v>
      </c>
      <c r="BD933">
        <f ca="1" xml:space="preserve"> IF( AND( OFFSET($A$1, 933 - 1, 54 - 1) = "1", OFFSET($A$1, 933 - 1, 55 - 1) = "1" ), 1, IF( AND( OFFSET($A$1, 933 - 1, 54 - 1) = "1", OFFSET($A$1, 933 - 1, 55 - 1) = "0" ), 2, IF( AND( OFFSET($A$1, 933 - 1, 54 - 1) = "0", OFFSET($A$1, 933 - 1, 55 - 1) = "1" ), 3, 4 ) ) )</f>
        <v>1</v>
      </c>
    </row>
    <row r="934" spans="53:56" x14ac:dyDescent="0.35">
      <c r="BA934" s="3">
        <v>0.60593735969424001</v>
      </c>
      <c r="BB934" s="3" t="str">
        <f>"0"</f>
        <v>0</v>
      </c>
      <c r="BC934" t="str">
        <f ca="1">IF((OFFSET($A$1, 934 - 1, 53 - 1)) &gt;= (OFFSET($A$1, 69 - 1, 7 - 1)), "1","0")</f>
        <v>1</v>
      </c>
      <c r="BD934">
        <f ca="1" xml:space="preserve"> IF( AND( OFFSET($A$1, 934 - 1, 54 - 1) = "1", OFFSET($A$1, 934 - 1, 55 - 1) = "1" ), 1, IF( AND( OFFSET($A$1, 934 - 1, 54 - 1) = "1", OFFSET($A$1, 934 - 1, 55 - 1) = "0" ), 2, IF( AND( OFFSET($A$1, 934 - 1, 54 - 1) = "0", OFFSET($A$1, 934 - 1, 55 - 1) = "1" ), 3, 4 ) ) )</f>
        <v>3</v>
      </c>
    </row>
    <row r="935" spans="53:56" x14ac:dyDescent="0.35">
      <c r="BA935" s="3">
        <v>0.33042639100021426</v>
      </c>
      <c r="BB935" s="3" t="str">
        <f>"1"</f>
        <v>1</v>
      </c>
      <c r="BC935" t="str">
        <f ca="1">IF((OFFSET($A$1, 935 - 1, 53 - 1)) &gt;= (OFFSET($A$1, 69 - 1, 7 - 1)), "1","0")</f>
        <v>0</v>
      </c>
      <c r="BD935">
        <f ca="1" xml:space="preserve"> IF( AND( OFFSET($A$1, 935 - 1, 54 - 1) = "1", OFFSET($A$1, 935 - 1, 55 - 1) = "1" ), 1, IF( AND( OFFSET($A$1, 935 - 1, 54 - 1) = "1", OFFSET($A$1, 935 - 1, 55 - 1) = "0" ), 2, IF( AND( OFFSET($A$1, 935 - 1, 54 - 1) = "0", OFFSET($A$1, 935 - 1, 55 - 1) = "1" ), 3, 4 ) ) )</f>
        <v>2</v>
      </c>
    </row>
    <row r="936" spans="53:56" x14ac:dyDescent="0.35">
      <c r="BA936" s="3">
        <v>0.60677813229368449</v>
      </c>
      <c r="BB936" s="3" t="str">
        <f>"1"</f>
        <v>1</v>
      </c>
      <c r="BC936" t="str">
        <f ca="1">IF((OFFSET($A$1, 936 - 1, 53 - 1)) &gt;= (OFFSET($A$1, 69 - 1, 7 - 1)), "1","0")</f>
        <v>1</v>
      </c>
      <c r="BD936">
        <f ca="1" xml:space="preserve"> IF( AND( OFFSET($A$1, 936 - 1, 54 - 1) = "1", OFFSET($A$1, 936 - 1, 55 - 1) = "1" ), 1, IF( AND( OFFSET($A$1, 936 - 1, 54 - 1) = "1", OFFSET($A$1, 936 - 1, 55 - 1) = "0" ), 2, IF( AND( OFFSET($A$1, 936 - 1, 54 - 1) = "0", OFFSET($A$1, 936 - 1, 55 - 1) = "1" ), 3, 4 ) ) )</f>
        <v>1</v>
      </c>
    </row>
    <row r="937" spans="53:56" x14ac:dyDescent="0.35">
      <c r="BA937" s="3">
        <v>0.60716168810179361</v>
      </c>
      <c r="BB937" s="3" t="str">
        <f>"0"</f>
        <v>0</v>
      </c>
      <c r="BC937" t="str">
        <f ca="1">IF((OFFSET($A$1, 937 - 1, 53 - 1)) &gt;= (OFFSET($A$1, 69 - 1, 7 - 1)), "1","0")</f>
        <v>1</v>
      </c>
      <c r="BD937">
        <f ca="1" xml:space="preserve"> IF( AND( OFFSET($A$1, 937 - 1, 54 - 1) = "1", OFFSET($A$1, 937 - 1, 55 - 1) = "1" ), 1, IF( AND( OFFSET($A$1, 937 - 1, 54 - 1) = "1", OFFSET($A$1, 937 - 1, 55 - 1) = "0" ), 2, IF( AND( OFFSET($A$1, 937 - 1, 54 - 1) = "0", OFFSET($A$1, 937 - 1, 55 - 1) = "1" ), 3, 4 ) ) )</f>
        <v>3</v>
      </c>
    </row>
    <row r="938" spans="53:56" x14ac:dyDescent="0.35">
      <c r="BA938" s="3">
        <v>0.33149431804773138</v>
      </c>
      <c r="BB938" s="3" t="str">
        <f>"0"</f>
        <v>0</v>
      </c>
      <c r="BC938" t="str">
        <f ca="1">IF((OFFSET($A$1, 938 - 1, 53 - 1)) &gt;= (OFFSET($A$1, 69 - 1, 7 - 1)), "1","0")</f>
        <v>0</v>
      </c>
      <c r="BD938">
        <f ca="1" xml:space="preserve"> IF( AND( OFFSET($A$1, 938 - 1, 54 - 1) = "1", OFFSET($A$1, 938 - 1, 55 - 1) = "1" ), 1, IF( AND( OFFSET($A$1, 938 - 1, 54 - 1) = "1", OFFSET($A$1, 938 - 1, 55 - 1) = "0" ), 2, IF( AND( OFFSET($A$1, 938 - 1, 54 - 1) = "0", OFFSET($A$1, 938 - 1, 55 - 1) = "1" ), 3, 4 ) ) )</f>
        <v>4</v>
      </c>
    </row>
    <row r="939" spans="53:56" x14ac:dyDescent="0.35">
      <c r="BA939" s="3">
        <v>0.33180497479534282</v>
      </c>
      <c r="BB939" s="3" t="str">
        <f>"0"</f>
        <v>0</v>
      </c>
      <c r="BC939" t="str">
        <f ca="1">IF((OFFSET($A$1, 939 - 1, 53 - 1)) &gt;= (OFFSET($A$1, 69 - 1, 7 - 1)), "1","0")</f>
        <v>0</v>
      </c>
      <c r="BD939">
        <f ca="1" xml:space="preserve"> IF( AND( OFFSET($A$1, 939 - 1, 54 - 1) = "1", OFFSET($A$1, 939 - 1, 55 - 1) = "1" ), 1, IF( AND( OFFSET($A$1, 939 - 1, 54 - 1) = "1", OFFSET($A$1, 939 - 1, 55 - 1) = "0" ), 2, IF( AND( OFFSET($A$1, 939 - 1, 54 - 1) = "0", OFFSET($A$1, 939 - 1, 55 - 1) = "1" ), 3, 4 ) ) )</f>
        <v>4</v>
      </c>
    </row>
    <row r="940" spans="53:56" x14ac:dyDescent="0.35">
      <c r="BA940" s="3">
        <v>0.33209275680028727</v>
      </c>
      <c r="BB940" s="3" t="str">
        <f>"0"</f>
        <v>0</v>
      </c>
      <c r="BC940" t="str">
        <f ca="1">IF((OFFSET($A$1, 940 - 1, 53 - 1)) &gt;= (OFFSET($A$1, 69 - 1, 7 - 1)), "1","0")</f>
        <v>0</v>
      </c>
      <c r="BD940">
        <f ca="1" xml:space="preserve"> IF( AND( OFFSET($A$1, 940 - 1, 54 - 1) = "1", OFFSET($A$1, 940 - 1, 55 - 1) = "1" ), 1, IF( AND( OFFSET($A$1, 940 - 1, 54 - 1) = "1", OFFSET($A$1, 940 - 1, 55 - 1) = "0" ), 2, IF( AND( OFFSET($A$1, 940 - 1, 54 - 1) = "0", OFFSET($A$1, 940 - 1, 55 - 1) = "1" ), 3, 4 ) ) )</f>
        <v>4</v>
      </c>
    </row>
    <row r="941" spans="53:56" x14ac:dyDescent="0.35">
      <c r="BA941" s="3">
        <v>0.33235754857251604</v>
      </c>
      <c r="BB941" s="3" t="str">
        <f>"1"</f>
        <v>1</v>
      </c>
      <c r="BC941" t="str">
        <f ca="1">IF((OFFSET($A$1, 941 - 1, 53 - 1)) &gt;= (OFFSET($A$1, 69 - 1, 7 - 1)), "1","0")</f>
        <v>0</v>
      </c>
      <c r="BD941">
        <f ca="1" xml:space="preserve"> IF( AND( OFFSET($A$1, 941 - 1, 54 - 1) = "1", OFFSET($A$1, 941 - 1, 55 - 1) = "1" ), 1, IF( AND( OFFSET($A$1, 941 - 1, 54 - 1) = "1", OFFSET($A$1, 941 - 1, 55 - 1) = "0" ), 2, IF( AND( OFFSET($A$1, 941 - 1, 54 - 1) = "0", OFFSET($A$1, 941 - 1, 55 - 1) = "1" ), 3, 4 ) ) )</f>
        <v>2</v>
      </c>
    </row>
    <row r="942" spans="53:56" x14ac:dyDescent="0.35">
      <c r="BA942" s="3">
        <v>0.60870779360942562</v>
      </c>
      <c r="BB942" s="3" t="str">
        <f>"0"</f>
        <v>0</v>
      </c>
      <c r="BC942" t="str">
        <f ca="1">IF((OFFSET($A$1, 942 - 1, 53 - 1)) &gt;= (OFFSET($A$1, 69 - 1, 7 - 1)), "1","0")</f>
        <v>1</v>
      </c>
      <c r="BD942">
        <f ca="1" xml:space="preserve"> IF( AND( OFFSET($A$1, 942 - 1, 54 - 1) = "1", OFFSET($A$1, 942 - 1, 55 - 1) = "1" ), 1, IF( AND( OFFSET($A$1, 942 - 1, 54 - 1) = "1", OFFSET($A$1, 942 - 1, 55 - 1) = "0" ), 2, IF( AND( OFFSET($A$1, 942 - 1, 54 - 1) = "0", OFFSET($A$1, 942 - 1, 55 - 1) = "1" ), 3, 4 ) ) )</f>
        <v>3</v>
      </c>
    </row>
    <row r="943" spans="53:56" x14ac:dyDescent="0.35">
      <c r="BA943" s="3">
        <v>0.33281774548977971</v>
      </c>
      <c r="BB943" s="3" t="str">
        <f>"0"</f>
        <v>0</v>
      </c>
      <c r="BC943" t="str">
        <f ca="1">IF((OFFSET($A$1, 943 - 1, 53 - 1)) &gt;= (OFFSET($A$1, 69 - 1, 7 - 1)), "1","0")</f>
        <v>0</v>
      </c>
      <c r="BD943">
        <f ca="1" xml:space="preserve"> IF( AND( OFFSET($A$1, 943 - 1, 54 - 1) = "1", OFFSET($A$1, 943 - 1, 55 - 1) = "1" ), 1, IF( AND( OFFSET($A$1, 943 - 1, 54 - 1) = "1", OFFSET($A$1, 943 - 1, 55 - 1) = "0" ), 2, IF( AND( OFFSET($A$1, 943 - 1, 54 - 1) = "0", OFFSET($A$1, 943 - 1, 55 - 1) = "1" ), 3, 4 ) ) )</f>
        <v>4</v>
      </c>
    </row>
    <row r="944" spans="53:56" x14ac:dyDescent="0.35">
      <c r="BA944" s="3">
        <v>0.33301296583317014</v>
      </c>
      <c r="BB944" s="3" t="str">
        <f>"0"</f>
        <v>0</v>
      </c>
      <c r="BC944" t="str">
        <f ca="1">IF((OFFSET($A$1, 944 - 1, 53 - 1)) &gt;= (OFFSET($A$1, 69 - 1, 7 - 1)), "1","0")</f>
        <v>0</v>
      </c>
      <c r="BD944">
        <f ca="1" xml:space="preserve"> IF( AND( OFFSET($A$1, 944 - 1, 54 - 1) = "1", OFFSET($A$1, 944 - 1, 55 - 1) = "1" ), 1, IF( AND( OFFSET($A$1, 944 - 1, 54 - 1) = "1", OFFSET($A$1, 944 - 1, 55 - 1) = "0" ), 2, IF( AND( OFFSET($A$1, 944 - 1, 54 - 1) = "0", OFFSET($A$1, 944 - 1, 55 - 1) = "1" ), 3, 4 ) ) )</f>
        <v>4</v>
      </c>
    </row>
    <row r="945" spans="53:56" x14ac:dyDescent="0.35">
      <c r="BA945" s="3">
        <v>0.33318482642817027</v>
      </c>
      <c r="BB945" s="3" t="str">
        <f>"1"</f>
        <v>1</v>
      </c>
      <c r="BC945" t="str">
        <f ca="1">IF((OFFSET($A$1, 945 - 1, 53 - 1)) &gt;= (OFFSET($A$1, 69 - 1, 7 - 1)), "1","0")</f>
        <v>0</v>
      </c>
      <c r="BD945">
        <f ca="1" xml:space="preserve"> IF( AND( OFFSET($A$1, 945 - 1, 54 - 1) = "1", OFFSET($A$1, 945 - 1, 55 - 1) = "1" ), 1, IF( AND( OFFSET($A$1, 945 - 1, 54 - 1) = "1", OFFSET($A$1, 945 - 1, 55 - 1) = "0" ), 2, IF( AND( OFFSET($A$1, 945 - 1, 54 - 1) = "0", OFFSET($A$1, 945 - 1, 55 - 1) = "1" ), 3, 4 ) ) )</f>
        <v>2</v>
      </c>
    </row>
    <row r="946" spans="53:56" x14ac:dyDescent="0.35">
      <c r="BA946" s="3">
        <v>0.60949467696286241</v>
      </c>
      <c r="BB946" s="3" t="str">
        <f>"1"</f>
        <v>1</v>
      </c>
      <c r="BC946" t="str">
        <f ca="1">IF((OFFSET($A$1, 946 - 1, 53 - 1)) &gt;= (OFFSET($A$1, 69 - 1, 7 - 1)), "1","0")</f>
        <v>1</v>
      </c>
      <c r="BD946">
        <f ca="1" xml:space="preserve"> IF( AND( OFFSET($A$1, 946 - 1, 54 - 1) = "1", OFFSET($A$1, 946 - 1, 55 - 1) = "1" ), 1, IF( AND( OFFSET($A$1, 946 - 1, 54 - 1) = "1", OFFSET($A$1, 946 - 1, 55 - 1) = "0" ), 2, IF( AND( OFFSET($A$1, 946 - 1, 54 - 1) = "0", OFFSET($A$1, 946 - 1, 55 - 1) = "1" ), 3, 4 ) ) )</f>
        <v>1</v>
      </c>
    </row>
    <row r="947" spans="53:56" x14ac:dyDescent="0.35">
      <c r="BA947" s="3">
        <v>0.60962847667433617</v>
      </c>
      <c r="BB947" s="3" t="str">
        <f>"1"</f>
        <v>1</v>
      </c>
      <c r="BC947" t="str">
        <f ca="1">IF((OFFSET($A$1, 947 - 1, 53 - 1)) &gt;= (OFFSET($A$1, 69 - 1, 7 - 1)), "1","0")</f>
        <v>1</v>
      </c>
      <c r="BD947">
        <f ca="1" xml:space="preserve"> IF( AND( OFFSET($A$1, 947 - 1, 54 - 1) = "1", OFFSET($A$1, 947 - 1, 55 - 1) = "1" ), 1, IF( AND( OFFSET($A$1, 947 - 1, 54 - 1) = "1", OFFSET($A$1, 947 - 1, 55 - 1) = "0" ), 2, IF( AND( OFFSET($A$1, 947 - 1, 54 - 1) = "0", OFFSET($A$1, 947 - 1, 55 - 1) = "1" ), 3, 4 ) ) )</f>
        <v>1</v>
      </c>
    </row>
    <row r="948" spans="53:56" x14ac:dyDescent="0.35">
      <c r="BA948" s="3">
        <v>0.60973703870407137</v>
      </c>
      <c r="BB948" s="3" t="str">
        <f>"0"</f>
        <v>0</v>
      </c>
      <c r="BC948" t="str">
        <f ca="1">IF((OFFSET($A$1, 948 - 1, 53 - 1)) &gt;= (OFFSET($A$1, 69 - 1, 7 - 1)), "1","0")</f>
        <v>1</v>
      </c>
      <c r="BD948">
        <f ca="1" xml:space="preserve"> IF( AND( OFFSET($A$1, 948 - 1, 54 - 1) = "1", OFFSET($A$1, 948 - 1, 55 - 1) = "1" ), 1, IF( AND( OFFSET($A$1, 948 - 1, 54 - 1) = "1", OFFSET($A$1, 948 - 1, 55 - 1) = "0" ), 2, IF( AND( OFFSET($A$1, 948 - 1, 54 - 1) = "0", OFFSET($A$1, 948 - 1, 55 - 1) = "1" ), 3, 4 ) ) )</f>
        <v>3</v>
      </c>
    </row>
    <row r="949" spans="53:56" x14ac:dyDescent="0.35">
      <c r="BA949" s="3">
        <v>0.33363743157209036</v>
      </c>
      <c r="BB949" s="3" t="str">
        <f>"1"</f>
        <v>1</v>
      </c>
      <c r="BC949" t="str">
        <f ca="1">IF((OFFSET($A$1, 949 - 1, 53 - 1)) &gt;= (OFFSET($A$1, 69 - 1, 7 - 1)), "1","0")</f>
        <v>0</v>
      </c>
      <c r="BD949">
        <f ca="1" xml:space="preserve"> IF( AND( OFFSET($A$1, 949 - 1, 54 - 1) = "1", OFFSET($A$1, 949 - 1, 55 - 1) = "1" ), 1, IF( AND( OFFSET($A$1, 949 - 1, 54 - 1) = "1", OFFSET($A$1, 949 - 1, 55 - 1) = "0" ), 2, IF( AND( OFFSET($A$1, 949 - 1, 54 - 1) = "0", OFFSET($A$1, 949 - 1, 55 - 1) = "1" ), 3, 4 ) ) )</f>
        <v>2</v>
      </c>
    </row>
    <row r="950" spans="53:56" x14ac:dyDescent="0.35">
      <c r="BA950" s="3">
        <v>0.60987835721131767</v>
      </c>
      <c r="BB950" s="3" t="str">
        <f>"1"</f>
        <v>1</v>
      </c>
      <c r="BC950" t="str">
        <f ca="1">IF((OFFSET($A$1, 950 - 1, 53 - 1)) &gt;= (OFFSET($A$1, 69 - 1, 7 - 1)), "1","0")</f>
        <v>1</v>
      </c>
      <c r="BD950">
        <f ca="1" xml:space="preserve"> IF( AND( OFFSET($A$1, 950 - 1, 54 - 1) = "1", OFFSET($A$1, 950 - 1, 55 - 1) = "1" ), 1, IF( AND( OFFSET($A$1, 950 - 1, 54 - 1) = "1", OFFSET($A$1, 950 - 1, 55 - 1) = "0" ), 2, IF( AND( OFFSET($A$1, 950 - 1, 54 - 1) = "0", OFFSET($A$1, 950 - 1, 55 - 1) = "1" ), 3, 4 ) ) )</f>
        <v>1</v>
      </c>
    </row>
    <row r="951" spans="53:56" x14ac:dyDescent="0.35">
      <c r="BA951" s="3">
        <v>0.60991108175188335</v>
      </c>
      <c r="BB951" s="3" t="str">
        <f>"1"</f>
        <v>1</v>
      </c>
      <c r="BC951" t="str">
        <f ca="1">IF((OFFSET($A$1, 951 - 1, 53 - 1)) &gt;= (OFFSET($A$1, 69 - 1, 7 - 1)), "1","0")</f>
        <v>1</v>
      </c>
      <c r="BD951">
        <f ca="1" xml:space="preserve"> IF( AND( OFFSET($A$1, 951 - 1, 54 - 1) = "1", OFFSET($A$1, 951 - 1, 55 - 1) = "1" ), 1, IF( AND( OFFSET($A$1, 951 - 1, 54 - 1) = "1", OFFSET($A$1, 951 - 1, 55 - 1) = "0" ), 2, IF( AND( OFFSET($A$1, 951 - 1, 54 - 1) = "0", OFFSET($A$1, 951 - 1, 55 - 1) = "1" ), 3, 4 ) ) )</f>
        <v>1</v>
      </c>
    </row>
    <row r="952" spans="53:56" x14ac:dyDescent="0.35">
      <c r="BA952" s="3">
        <v>0.60991850472435394</v>
      </c>
      <c r="BB952" s="3" t="str">
        <f>"0"</f>
        <v>0</v>
      </c>
      <c r="BC952" t="str">
        <f ca="1">IF((OFFSET($A$1, 952 - 1, 53 - 1)) &gt;= (OFFSET($A$1, 69 - 1, 7 - 1)), "1","0")</f>
        <v>1</v>
      </c>
      <c r="BD952">
        <f ca="1" xml:space="preserve"> IF( AND( OFFSET($A$1, 952 - 1, 54 - 1) = "1", OFFSET($A$1, 952 - 1, 55 - 1) = "1" ), 1, IF( AND( OFFSET($A$1, 952 - 1, 54 - 1) = "1", OFFSET($A$1, 952 - 1, 55 - 1) = "0" ), 2, IF( AND( OFFSET($A$1, 952 - 1, 54 - 1) = "0", OFFSET($A$1, 952 - 1, 55 - 1) = "1" ), 3, 4 ) ) )</f>
        <v>3</v>
      </c>
    </row>
    <row r="953" spans="53:56" x14ac:dyDescent="0.35">
      <c r="BA953" s="3">
        <v>0.33371245534614413</v>
      </c>
      <c r="BB953" s="3" t="str">
        <f>"0"</f>
        <v>0</v>
      </c>
      <c r="BC953" t="str">
        <f ca="1">IF((OFFSET($A$1, 953 - 1, 53 - 1)) &gt;= (OFFSET($A$1, 69 - 1, 7 - 1)), "1","0")</f>
        <v>0</v>
      </c>
      <c r="BD953">
        <f ca="1" xml:space="preserve"> IF( AND( OFFSET($A$1, 953 - 1, 54 - 1) = "1", OFFSET($A$1, 953 - 1, 55 - 1) = "1" ), 1, IF( AND( OFFSET($A$1, 953 - 1, 54 - 1) = "1", OFFSET($A$1, 953 - 1, 55 - 1) = "0" ), 2, IF( AND( OFFSET($A$1, 953 - 1, 54 - 1) = "0", OFFSET($A$1, 953 - 1, 55 - 1) = "1" ), 3, 4 ) ) )</f>
        <v>4</v>
      </c>
    </row>
    <row r="954" spans="53:56" x14ac:dyDescent="0.35">
      <c r="BA954" s="3">
        <v>0.33367210424396698</v>
      </c>
      <c r="BB954" s="3" t="str">
        <f>"0"</f>
        <v>0</v>
      </c>
      <c r="BC954" t="str">
        <f ca="1">IF((OFFSET($A$1, 954 - 1, 53 - 1)) &gt;= (OFFSET($A$1, 69 - 1, 7 - 1)), "1","0")</f>
        <v>0</v>
      </c>
      <c r="BD954">
        <f ca="1" xml:space="preserve"> IF( AND( OFFSET($A$1, 954 - 1, 54 - 1) = "1", OFFSET($A$1, 954 - 1, 55 - 1) = "1" ), 1, IF( AND( OFFSET($A$1, 954 - 1, 54 - 1) = "1", OFFSET($A$1, 954 - 1, 55 - 1) = "0" ), 2, IF( AND( OFFSET($A$1, 954 - 1, 54 - 1) = "0", OFFSET($A$1, 954 - 1, 55 - 1) = "1" ), 3, 4 ) ) )</f>
        <v>4</v>
      </c>
    </row>
    <row r="955" spans="53:56" x14ac:dyDescent="0.35">
      <c r="BA955" s="3">
        <v>0.33360812850902527</v>
      </c>
      <c r="BB955" s="3" t="str">
        <f>"1"</f>
        <v>1</v>
      </c>
      <c r="BC955" t="str">
        <f ca="1">IF((OFFSET($A$1, 955 - 1, 53 - 1)) &gt;= (OFFSET($A$1, 69 - 1, 7 - 1)), "1","0")</f>
        <v>0</v>
      </c>
      <c r="BD955">
        <f ca="1" xml:space="preserve"> IF( AND( OFFSET($A$1, 955 - 1, 54 - 1) = "1", OFFSET($A$1, 955 - 1, 55 - 1) = "1" ), 1, IF( AND( OFFSET($A$1, 955 - 1, 54 - 1) = "1", OFFSET($A$1, 955 - 1, 55 - 1) = "0" ), 2, IF( AND( OFFSET($A$1, 955 - 1, 54 - 1) = "0", OFFSET($A$1, 955 - 1, 55 - 1) = "1" ), 3, 4 ) ) )</f>
        <v>2</v>
      </c>
    </row>
    <row r="956" spans="53:56" x14ac:dyDescent="0.35">
      <c r="BA956" s="3">
        <v>0.60969523312656393</v>
      </c>
      <c r="BB956" s="3" t="str">
        <f>"1"</f>
        <v>1</v>
      </c>
      <c r="BC956" t="str">
        <f ca="1">IF((OFFSET($A$1, 956 - 1, 53 - 1)) &gt;= (OFFSET($A$1, 69 - 1, 7 - 1)), "1","0")</f>
        <v>1</v>
      </c>
      <c r="BD956">
        <f ca="1" xml:space="preserve"> IF( AND( OFFSET($A$1, 956 - 1, 54 - 1) = "1", OFFSET($A$1, 956 - 1, 55 - 1) = "1" ), 1, IF( AND( OFFSET($A$1, 956 - 1, 54 - 1) = "1", OFFSET($A$1, 956 - 1, 55 - 1) = "0" ), 2, IF( AND( OFFSET($A$1, 956 - 1, 54 - 1) = "0", OFFSET($A$1, 956 - 1, 55 - 1) = "1" ), 3, 4 ) ) )</f>
        <v>1</v>
      </c>
    </row>
    <row r="957" spans="53:56" x14ac:dyDescent="0.35">
      <c r="BA957" s="3">
        <v>0.60957623742532951</v>
      </c>
      <c r="BB957" s="3" t="str">
        <f>"1"</f>
        <v>1</v>
      </c>
      <c r="BC957" t="str">
        <f ca="1">IF((OFFSET($A$1, 957 - 1, 53 - 1)) &gt;= (OFFSET($A$1, 69 - 1, 7 - 1)), "1","0")</f>
        <v>1</v>
      </c>
      <c r="BD957">
        <f ca="1" xml:space="preserve"> IF( AND( OFFSET($A$1, 957 - 1, 54 - 1) = "1", OFFSET($A$1, 957 - 1, 55 - 1) = "1" ), 1, IF( AND( OFFSET($A$1, 957 - 1, 54 - 1) = "1", OFFSET($A$1, 957 - 1, 55 - 1) = "0" ), 2, IF( AND( OFFSET($A$1, 957 - 1, 54 - 1) = "0", OFFSET($A$1, 957 - 1, 55 - 1) = "1" ), 3, 4 ) ) )</f>
        <v>1</v>
      </c>
    </row>
    <row r="958" spans="53:56" x14ac:dyDescent="0.35">
      <c r="BA958" s="3">
        <v>0.60943201586774265</v>
      </c>
      <c r="BB958" s="3" t="str">
        <f>"0"</f>
        <v>0</v>
      </c>
      <c r="BC958" t="str">
        <f ca="1">IF((OFFSET($A$1, 958 - 1, 53 - 1)) &gt;= (OFFSET($A$1, 69 - 1, 7 - 1)), "1","0")</f>
        <v>1</v>
      </c>
      <c r="BD958">
        <f ca="1" xml:space="preserve"> IF( AND( OFFSET($A$1, 958 - 1, 54 - 1) = "1", OFFSET($A$1, 958 - 1, 55 - 1) = "1" ), 1, IF( AND( OFFSET($A$1, 958 - 1, 54 - 1) = "1", OFFSET($A$1, 958 - 1, 55 - 1) = "0" ), 2, IF( AND( OFFSET($A$1, 958 - 1, 54 - 1) = "0", OFFSET($A$1, 958 - 1, 55 - 1) = "1" ), 3, 4 ) ) )</f>
        <v>3</v>
      </c>
    </row>
    <row r="959" spans="53:56" x14ac:dyDescent="0.35">
      <c r="BA959" s="3">
        <v>0.33311663572980316</v>
      </c>
      <c r="BB959" s="3" t="str">
        <f>"0"</f>
        <v>0</v>
      </c>
      <c r="BC959" t="str">
        <f ca="1">IF((OFFSET($A$1, 959 - 1, 53 - 1)) &gt;= (OFFSET($A$1, 69 - 1, 7 - 1)), "1","0")</f>
        <v>0</v>
      </c>
      <c r="BD959">
        <f ca="1" xml:space="preserve"> IF( AND( OFFSET($A$1, 959 - 1, 54 - 1) = "1", OFFSET($A$1, 959 - 1, 55 - 1) = "1" ), 1, IF( AND( OFFSET($A$1, 959 - 1, 54 - 1) = "1", OFFSET($A$1, 959 - 1, 55 - 1) = "0" ), 2, IF( AND( OFFSET($A$1, 959 - 1, 54 - 1) = "0", OFFSET($A$1, 959 - 1, 55 - 1) = "1" ), 3, 4 ) ) )</f>
        <v>4</v>
      </c>
    </row>
    <row r="960" spans="53:56" x14ac:dyDescent="0.35">
      <c r="BA960" s="3">
        <v>0.33293511198339687</v>
      </c>
      <c r="BB960" s="3" t="str">
        <f>"0"</f>
        <v>0</v>
      </c>
      <c r="BC960" t="str">
        <f ca="1">IF((OFFSET($A$1, 960 - 1, 53 - 1)) &gt;= (OFFSET($A$1, 69 - 1, 7 - 1)), "1","0")</f>
        <v>0</v>
      </c>
      <c r="BD960">
        <f ca="1" xml:space="preserve"> IF( AND( OFFSET($A$1, 960 - 1, 54 - 1) = "1", OFFSET($A$1, 960 - 1, 55 - 1) = "1" ), 1, IF( AND( OFFSET($A$1, 960 - 1, 54 - 1) = "1", OFFSET($A$1, 960 - 1, 55 - 1) = "0" ), 2, IF( AND( OFFSET($A$1, 960 - 1, 54 - 1) = "0", OFFSET($A$1, 960 - 1, 55 - 1) = "1" ), 3, 4 ) ) )</f>
        <v>4</v>
      </c>
    </row>
    <row r="961" spans="53:56" x14ac:dyDescent="0.35">
      <c r="BA961" s="3">
        <v>0.33273025976430637</v>
      </c>
      <c r="BB961" s="3" t="str">
        <f>"0"</f>
        <v>0</v>
      </c>
      <c r="BC961" t="str">
        <f ca="1">IF((OFFSET($A$1, 961 - 1, 53 - 1)) &gt;= (OFFSET($A$1, 69 - 1, 7 - 1)), "1","0")</f>
        <v>0</v>
      </c>
      <c r="BD961">
        <f ca="1" xml:space="preserve"> IF( AND( OFFSET($A$1, 961 - 1, 54 - 1) = "1", OFFSET($A$1, 961 - 1, 55 - 1) = "1" ), 1, IF( AND( OFFSET($A$1, 961 - 1, 54 - 1) = "1", OFFSET($A$1, 961 - 1, 55 - 1) = "0" ), 2, IF( AND( OFFSET($A$1, 961 - 1, 54 - 1) = "0", OFFSET($A$1, 961 - 1, 55 - 1) = "1" ), 3, 4 ) ) )</f>
        <v>4</v>
      </c>
    </row>
    <row r="962" spans="53:56" x14ac:dyDescent="0.35">
      <c r="BA962" s="3">
        <v>0.33250216135511196</v>
      </c>
      <c r="BB962" s="3" t="str">
        <f>"0"</f>
        <v>0</v>
      </c>
      <c r="BC962" t="str">
        <f ca="1">IF((OFFSET($A$1, 962 - 1, 53 - 1)) &gt;= (OFFSET($A$1, 69 - 1, 7 - 1)), "1","0")</f>
        <v>0</v>
      </c>
      <c r="BD962">
        <f ca="1" xml:space="preserve"> IF( AND( OFFSET($A$1, 962 - 1, 54 - 1) = "1", OFFSET($A$1, 962 - 1, 55 - 1) = "1" ), 1, IF( AND( OFFSET($A$1, 962 - 1, 54 - 1) = "1", OFFSET($A$1, 962 - 1, 55 - 1) = "0" ), 2, IF( AND( OFFSET($A$1, 962 - 1, 54 - 1) = "0", OFFSET($A$1, 962 - 1, 55 - 1) = "1" ), 3, 4 ) ) )</f>
        <v>4</v>
      </c>
    </row>
    <row r="963" spans="53:56" x14ac:dyDescent="0.35">
      <c r="BA963" s="3">
        <v>0.33225090835611021</v>
      </c>
      <c r="BB963" s="3" t="str">
        <f>"0"</f>
        <v>0</v>
      </c>
      <c r="BC963" t="str">
        <f ca="1">IF((OFFSET($A$1, 963 - 1, 53 - 1)) &gt;= (OFFSET($A$1, 69 - 1, 7 - 1)), "1","0")</f>
        <v>0</v>
      </c>
      <c r="BD963">
        <f ca="1" xml:space="preserve"> IF( AND( OFFSET($A$1, 963 - 1, 54 - 1) = "1", OFFSET($A$1, 963 - 1, 55 - 1) = "1" ), 1, IF( AND( OFFSET($A$1, 963 - 1, 54 - 1) = "1", OFFSET($A$1, 963 - 1, 55 - 1) = "0" ), 2, IF( AND( OFFSET($A$1, 963 - 1, 54 - 1) = "0", OFFSET($A$1, 963 - 1, 55 - 1) = "1" ), 3, 4 ) ) )</f>
        <v>4</v>
      </c>
    </row>
    <row r="964" spans="53:56" x14ac:dyDescent="0.35">
      <c r="BA964" s="3">
        <v>0.33197660164190146</v>
      </c>
      <c r="BB964" s="3" t="str">
        <f>"0"</f>
        <v>0</v>
      </c>
      <c r="BC964" t="str">
        <f ca="1">IF((OFFSET($A$1, 964 - 1, 53 - 1)) &gt;= (OFFSET($A$1, 69 - 1, 7 - 1)), "1","0")</f>
        <v>0</v>
      </c>
      <c r="BD964">
        <f ca="1" xml:space="preserve"> IF( AND( OFFSET($A$1, 964 - 1, 54 - 1) = "1", OFFSET($A$1, 964 - 1, 55 - 1) = "1" ), 1, IF( AND( OFFSET($A$1, 964 - 1, 54 - 1) = "1", OFFSET($A$1, 964 - 1, 55 - 1) = "0" ), 2, IF( AND( OFFSET($A$1, 964 - 1, 54 - 1) = "0", OFFSET($A$1, 964 - 1, 55 - 1) = "1" ), 3, 4 ) ) )</f>
        <v>4</v>
      </c>
    </row>
    <row r="965" spans="53:56" x14ac:dyDescent="0.35">
      <c r="BA965" s="3">
        <v>0.33167935131344189</v>
      </c>
      <c r="BB965" s="3" t="str">
        <f>"0"</f>
        <v>0</v>
      </c>
      <c r="BC965" t="str">
        <f ca="1">IF((OFFSET($A$1, 965 - 1, 53 - 1)) &gt;= (OFFSET($A$1, 69 - 1, 7 - 1)), "1","0")</f>
        <v>0</v>
      </c>
      <c r="BD965">
        <f ca="1" xml:space="preserve"> IF( AND( OFFSET($A$1, 965 - 1, 54 - 1) = "1", OFFSET($A$1, 965 - 1, 55 - 1) = "1" ), 1, IF( AND( OFFSET($A$1, 965 - 1, 54 - 1) = "1", OFFSET($A$1, 965 - 1, 55 - 1) = "0" ), 2, IF( AND( OFFSET($A$1, 965 - 1, 54 - 1) = "0", OFFSET($A$1, 965 - 1, 55 - 1) = "1" ), 3, 4 ) ) )</f>
        <v>4</v>
      </c>
    </row>
    <row r="966" spans="53:56" x14ac:dyDescent="0.35">
      <c r="BA966" s="3">
        <v>0.33135927664554427</v>
      </c>
      <c r="BB966" s="3" t="str">
        <f>"1"</f>
        <v>1</v>
      </c>
      <c r="BC966" t="str">
        <f ca="1">IF((OFFSET($A$1, 966 - 1, 53 - 1)) &gt;= (OFFSET($A$1, 69 - 1, 7 - 1)), "1","0")</f>
        <v>0</v>
      </c>
      <c r="BD966">
        <f ca="1" xml:space="preserve"> IF( AND( OFFSET($A$1, 966 - 1, 54 - 1) = "1", OFFSET($A$1, 966 - 1, 55 - 1) = "1" ), 1, IF( AND( OFFSET($A$1, 966 - 1, 54 - 1) = "1", OFFSET($A$1, 966 - 1, 55 - 1) = "0" ), 2, IF( AND( OFFSET($A$1, 966 - 1, 54 - 1) = "0", OFFSET($A$1, 966 - 1, 55 - 1) = "1" ), 3, 4 ) ) )</f>
        <v>2</v>
      </c>
    </row>
    <row r="967" spans="53:56" x14ac:dyDescent="0.35">
      <c r="BA967" s="3">
        <v>0.60700615660799373</v>
      </c>
      <c r="BB967" s="3" t="str">
        <f>"0"</f>
        <v>0</v>
      </c>
      <c r="BC967" t="str">
        <f ca="1">IF((OFFSET($A$1, 967 - 1, 53 - 1)) &gt;= (OFFSET($A$1, 69 - 1, 7 - 1)), "1","0")</f>
        <v>1</v>
      </c>
      <c r="BD967">
        <f ca="1" xml:space="preserve"> IF( AND( OFFSET($A$1, 967 - 1, 54 - 1) = "1", OFFSET($A$1, 967 - 1, 55 - 1) = "1" ), 1, IF( AND( OFFSET($A$1, 967 - 1, 54 - 1) = "1", OFFSET($A$1, 967 - 1, 55 - 1) = "0" ), 2, IF( AND( OFFSET($A$1, 967 - 1, 54 - 1) = "0", OFFSET($A$1, 967 - 1, 55 - 1) = "1" ), 3, 4 ) ) )</f>
        <v>3</v>
      </c>
    </row>
    <row r="968" spans="53:56" x14ac:dyDescent="0.35">
      <c r="BA968" s="3">
        <v>0.33065117691298695</v>
      </c>
      <c r="BB968" s="3" t="str">
        <f>"0"</f>
        <v>0</v>
      </c>
      <c r="BC968" t="str">
        <f ca="1">IF((OFFSET($A$1, 968 - 1, 53 - 1)) &gt;= (OFFSET($A$1, 69 - 1, 7 - 1)), "1","0")</f>
        <v>0</v>
      </c>
      <c r="BD968">
        <f ca="1" xml:space="preserve"> IF( AND( OFFSET($A$1, 968 - 1, 54 - 1) = "1", OFFSET($A$1, 968 - 1, 55 - 1) = "1" ), 1, IF( AND( OFFSET($A$1, 968 - 1, 54 - 1) = "1", OFFSET($A$1, 968 - 1, 55 - 1) = "0" ), 2, IF( AND( OFFSET($A$1, 968 - 1, 54 - 1) = "0", OFFSET($A$1, 968 - 1, 55 - 1) = "1" ), 3, 4 ) ) )</f>
        <v>4</v>
      </c>
    </row>
    <row r="969" spans="53:56" x14ac:dyDescent="0.35">
      <c r="BA969" s="3">
        <v>0.33026343573069961</v>
      </c>
      <c r="BB969" s="3" t="str">
        <f>"0"</f>
        <v>0</v>
      </c>
      <c r="BC969" t="str">
        <f ca="1">IF((OFFSET($A$1, 969 - 1, 53 - 1)) &gt;= (OFFSET($A$1, 69 - 1, 7 - 1)), "1","0")</f>
        <v>0</v>
      </c>
      <c r="BD969">
        <f ca="1" xml:space="preserve"> IF( AND( OFFSET($A$1, 969 - 1, 54 - 1) = "1", OFFSET($A$1, 969 - 1, 55 - 1) = "1" ), 1, IF( AND( OFFSET($A$1, 969 - 1, 54 - 1) = "1", OFFSET($A$1, 969 - 1, 55 - 1) = "0" ), 2, IF( AND( OFFSET($A$1, 969 - 1, 54 - 1) = "0", OFFSET($A$1, 969 - 1, 55 - 1) = "1" ), 3, 4 ) ) )</f>
        <v>4</v>
      </c>
    </row>
    <row r="970" spans="53:56" x14ac:dyDescent="0.35">
      <c r="BA970" s="3">
        <v>0.32985343783659754</v>
      </c>
      <c r="BB970" s="3" t="str">
        <f>"0"</f>
        <v>0</v>
      </c>
      <c r="BC970" t="str">
        <f ca="1">IF((OFFSET($A$1, 970 - 1, 53 - 1)) &gt;= (OFFSET($A$1, 69 - 1, 7 - 1)), "1","0")</f>
        <v>0</v>
      </c>
      <c r="BD970">
        <f ca="1" xml:space="preserve"> IF( AND( OFFSET($A$1, 970 - 1, 54 - 1) = "1", OFFSET($A$1, 970 - 1, 55 - 1) = "1" ), 1, IF( AND( OFFSET($A$1, 970 - 1, 54 - 1) = "1", OFFSET($A$1, 970 - 1, 55 - 1) = "0" ), 2, IF( AND( OFFSET($A$1, 970 - 1, 54 - 1) = "0", OFFSET($A$1, 970 - 1, 55 - 1) = "1" ), 3, 4 ) ) )</f>
        <v>4</v>
      </c>
    </row>
    <row r="971" spans="53:56" x14ac:dyDescent="0.35">
      <c r="BA971" s="3">
        <v>0.32942134742684442</v>
      </c>
      <c r="BB971" s="3" t="str">
        <f>"0"</f>
        <v>0</v>
      </c>
      <c r="BC971" t="str">
        <f ca="1">IF((OFFSET($A$1, 971 - 1, 53 - 1)) &gt;= (OFFSET($A$1, 69 - 1, 7 - 1)), "1","0")</f>
        <v>0</v>
      </c>
      <c r="BD971">
        <f ca="1" xml:space="preserve"> IF( AND( OFFSET($A$1, 971 - 1, 54 - 1) = "1", OFFSET($A$1, 971 - 1, 55 - 1) = "1" ), 1, IF( AND( OFFSET($A$1, 971 - 1, 54 - 1) = "1", OFFSET($A$1, 971 - 1, 55 - 1) = "0" ), 2, IF( AND( OFFSET($A$1, 971 - 1, 54 - 1) = "0", OFFSET($A$1, 971 - 1, 55 - 1) = "1" ), 3, 4 ) ) )</f>
        <v>4</v>
      </c>
    </row>
    <row r="972" spans="53:56" x14ac:dyDescent="0.35">
      <c r="BA972" s="3">
        <v>0.32896733745997181</v>
      </c>
      <c r="BB972" s="3" t="str">
        <f>"1"</f>
        <v>1</v>
      </c>
      <c r="BC972" t="str">
        <f ca="1">IF((OFFSET($A$1, 972 - 1, 53 - 1)) &gt;= (OFFSET($A$1, 69 - 1, 7 - 1)), "1","0")</f>
        <v>0</v>
      </c>
      <c r="BD972">
        <f ca="1" xml:space="preserve"> IF( AND( OFFSET($A$1, 972 - 1, 54 - 1) = "1", OFFSET($A$1, 972 - 1, 55 - 1) = "1" ), 1, IF( AND( OFFSET($A$1, 972 - 1, 54 - 1) = "1", OFFSET($A$1, 972 - 1, 55 - 1) = "0" ), 2, IF( AND( OFFSET($A$1, 972 - 1, 54 - 1) = "0", OFFSET($A$1, 972 - 1, 55 - 1) = "1" ), 3, 4 ) ) )</f>
        <v>2</v>
      </c>
    </row>
    <row r="973" spans="53:56" x14ac:dyDescent="0.35">
      <c r="BA973" s="3">
        <v>0.60427762107658356</v>
      </c>
      <c r="BB973" s="3" t="str">
        <f>"0"</f>
        <v>0</v>
      </c>
      <c r="BC973" t="str">
        <f ca="1">IF((OFFSET($A$1, 973 - 1, 53 - 1)) &gt;= (OFFSET($A$1, 69 - 1, 7 - 1)), "1","0")</f>
        <v>1</v>
      </c>
      <c r="BD973">
        <f ca="1" xml:space="preserve"> IF( AND( OFFSET($A$1, 973 - 1, 54 - 1) = "1", OFFSET($A$1, 973 - 1, 55 - 1) = "1" ), 1, IF( AND( OFFSET($A$1, 973 - 1, 54 - 1) = "1", OFFSET($A$1, 973 - 1, 55 - 1) = "0" ), 2, IF( AND( OFFSET($A$1, 973 - 1, 54 - 1) = "0", OFFSET($A$1, 973 - 1, 55 - 1) = "1" ), 3, 4 ) ) )</f>
        <v>3</v>
      </c>
    </row>
    <row r="974" spans="53:56" x14ac:dyDescent="0.35">
      <c r="BA974" s="3">
        <v>0.32799429398729885</v>
      </c>
      <c r="BB974" s="3" t="str">
        <f>"1"</f>
        <v>1</v>
      </c>
      <c r="BC974" t="str">
        <f ca="1">IF((OFFSET($A$1, 974 - 1, 53 - 1)) &gt;= (OFFSET($A$1, 69 - 1, 7 - 1)), "1","0")</f>
        <v>0</v>
      </c>
      <c r="BD974">
        <f ca="1" xml:space="preserve"> IF( AND( OFFSET($A$1, 974 - 1, 54 - 1) = "1", OFFSET($A$1, 974 - 1, 55 - 1) = "1" ), 1, IF( AND( OFFSET($A$1, 974 - 1, 54 - 1) = "1", OFFSET($A$1, 974 - 1, 55 - 1) = "0" ), 2, IF( AND( OFFSET($A$1, 974 - 1, 54 - 1) = "0", OFFSET($A$1, 974 - 1, 55 - 1) = "1" ), 3, 4 ) ) )</f>
        <v>2</v>
      </c>
    </row>
    <row r="975" spans="53:56" x14ac:dyDescent="0.35">
      <c r="BA975" s="3">
        <v>0.60317488516956774</v>
      </c>
      <c r="BB975" s="3" t="str">
        <f>"0"</f>
        <v>0</v>
      </c>
      <c r="BC975" t="str">
        <f ca="1">IF((OFFSET($A$1, 975 - 1, 53 - 1)) &gt;= (OFFSET($A$1, 69 - 1, 7 - 1)), "1","0")</f>
        <v>1</v>
      </c>
      <c r="BD975">
        <f ca="1" xml:space="preserve"> IF( AND( OFFSET($A$1, 975 - 1, 54 - 1) = "1", OFFSET($A$1, 975 - 1, 55 - 1) = "1" ), 1, IF( AND( OFFSET($A$1, 975 - 1, 54 - 1) = "1", OFFSET($A$1, 975 - 1, 55 - 1) = "0" ), 2, IF( AND( OFFSET($A$1, 975 - 1, 54 - 1) = "0", OFFSET($A$1, 975 - 1, 55 - 1) = "1" ), 3, 4 ) ) )</f>
        <v>3</v>
      </c>
    </row>
    <row r="976" spans="53:56" x14ac:dyDescent="0.35">
      <c r="BA976" s="3">
        <v>0.32693586299455218</v>
      </c>
      <c r="BB976" s="3" t="str">
        <f>"0"</f>
        <v>0</v>
      </c>
      <c r="BC976" t="str">
        <f ca="1">IF((OFFSET($A$1, 976 - 1, 53 - 1)) &gt;= (OFFSET($A$1, 69 - 1, 7 - 1)), "1","0")</f>
        <v>0</v>
      </c>
      <c r="BD976">
        <f ca="1" xml:space="preserve"> IF( AND( OFFSET($A$1, 976 - 1, 54 - 1) = "1", OFFSET($A$1, 976 - 1, 55 - 1) = "1" ), 1, IF( AND( OFFSET($A$1, 976 - 1, 54 - 1) = "1", OFFSET($A$1, 976 - 1, 55 - 1) = "0" ), 2, IF( AND( OFFSET($A$1, 976 - 1, 54 - 1) = "0", OFFSET($A$1, 976 - 1, 55 - 1) = "1" ), 3, 4 ) ) )</f>
        <v>4</v>
      </c>
    </row>
    <row r="977" spans="53:56" x14ac:dyDescent="0.35">
      <c r="BA977" s="3">
        <v>0.32637515010439294</v>
      </c>
      <c r="BB977" s="3" t="str">
        <f>"0"</f>
        <v>0</v>
      </c>
      <c r="BC977" t="str">
        <f ca="1">IF((OFFSET($A$1, 977 - 1, 53 - 1)) &gt;= (OFFSET($A$1, 69 - 1, 7 - 1)), "1","0")</f>
        <v>0</v>
      </c>
      <c r="BD977">
        <f ca="1" xml:space="preserve"> IF( AND( OFFSET($A$1, 977 - 1, 54 - 1) = "1", OFFSET($A$1, 977 - 1, 55 - 1) = "1" ), 1, IF( AND( OFFSET($A$1, 977 - 1, 54 - 1) = "1", OFFSET($A$1, 977 - 1, 55 - 1) = "0" ), 2, IF( AND( OFFSET($A$1, 977 - 1, 54 - 1) = "0", OFFSET($A$1, 977 - 1, 55 - 1) = "1" ), 3, 4 ) ) )</f>
        <v>4</v>
      </c>
    </row>
    <row r="978" spans="53:56" x14ac:dyDescent="0.35">
      <c r="BA978" s="3">
        <v>0.32579373434123043</v>
      </c>
      <c r="BB978" s="3" t="str">
        <f>"1"</f>
        <v>1</v>
      </c>
      <c r="BC978" t="str">
        <f ca="1">IF((OFFSET($A$1, 978 - 1, 53 - 1)) &gt;= (OFFSET($A$1, 69 - 1, 7 - 1)), "1","0")</f>
        <v>0</v>
      </c>
      <c r="BD978">
        <f ca="1" xml:space="preserve"> IF( AND( OFFSET($A$1, 978 - 1, 54 - 1) = "1", OFFSET($A$1, 978 - 1, 55 - 1) = "1" ), 1, IF( AND( OFFSET($A$1, 978 - 1, 54 - 1) = "1", OFFSET($A$1, 978 - 1, 55 - 1) = "0" ), 2, IF( AND( OFFSET($A$1, 978 - 1, 54 - 1) = "0", OFFSET($A$1, 978 - 1, 55 - 1) = "1" ), 3, 4 ) ) )</f>
        <v>2</v>
      </c>
    </row>
    <row r="979" spans="53:56" x14ac:dyDescent="0.35">
      <c r="BA979" s="3">
        <v>0.60068569979203146</v>
      </c>
      <c r="BB979" s="3" t="str">
        <f>"0"</f>
        <v>0</v>
      </c>
      <c r="BC979" t="str">
        <f ca="1">IF((OFFSET($A$1, 979 - 1, 53 - 1)) &gt;= (OFFSET($A$1, 69 - 1, 7 - 1)), "1","0")</f>
        <v>1</v>
      </c>
      <c r="BD979">
        <f ca="1" xml:space="preserve"> IF( AND( OFFSET($A$1, 979 - 1, 54 - 1) = "1", OFFSET($A$1, 979 - 1, 55 - 1) = "1" ), 1, IF( AND( OFFSET($A$1, 979 - 1, 54 - 1) = "1", OFFSET($A$1, 979 - 1, 55 - 1) = "0" ), 2, IF( AND( OFFSET($A$1, 979 - 1, 54 - 1) = "0", OFFSET($A$1, 979 - 1, 55 - 1) = "1" ), 3, 4 ) ) )</f>
        <v>3</v>
      </c>
    </row>
    <row r="980" spans="53:56" x14ac:dyDescent="0.35">
      <c r="BA980" s="3">
        <v>0.32456972878199297</v>
      </c>
      <c r="BB980" s="3" t="str">
        <f>"0"</f>
        <v>0</v>
      </c>
      <c r="BC980" t="str">
        <f ca="1">IF((OFFSET($A$1, 980 - 1, 53 - 1)) &gt;= (OFFSET($A$1, 69 - 1, 7 - 1)), "1","0")</f>
        <v>0</v>
      </c>
      <c r="BD980">
        <f ca="1" xml:space="preserve"> IF( AND( OFFSET($A$1, 980 - 1, 54 - 1) = "1", OFFSET($A$1, 980 - 1, 55 - 1) = "1" ), 1, IF( AND( OFFSET($A$1, 980 - 1, 54 - 1) = "1", OFFSET($A$1, 980 - 1, 55 - 1) = "0" ), 2, IF( AND( OFFSET($A$1, 980 - 1, 54 - 1) = "0", OFFSET($A$1, 980 - 1, 55 - 1) = "1" ), 3, 4 ) ) )</f>
        <v>4</v>
      </c>
    </row>
    <row r="981" spans="53:56" x14ac:dyDescent="0.35">
      <c r="BA981" s="3">
        <v>0.32392762603860031</v>
      </c>
      <c r="BB981" s="3" t="str">
        <f>"1"</f>
        <v>1</v>
      </c>
      <c r="BC981" t="str">
        <f ca="1">IF((OFFSET($A$1, 981 - 1, 53 - 1)) &gt;= (OFFSET($A$1, 69 - 1, 7 - 1)), "1","0")</f>
        <v>0</v>
      </c>
      <c r="BD981">
        <f ca="1" xml:space="preserve"> IF( AND( OFFSET($A$1, 981 - 1, 54 - 1) = "1", OFFSET($A$1, 981 - 1, 55 - 1) = "1" ), 1, IF( AND( OFFSET($A$1, 981 - 1, 54 - 1) = "1", OFFSET($A$1, 981 - 1, 55 - 1) = "0" ), 2, IF( AND( OFFSET($A$1, 981 - 1, 54 - 1) = "0", OFFSET($A$1, 981 - 1, 55 - 1) = "1" ), 3, 4 ) ) )</f>
        <v>2</v>
      </c>
    </row>
    <row r="982" spans="53:56" x14ac:dyDescent="0.35">
      <c r="BA982" s="3">
        <v>0.59857531404866759</v>
      </c>
      <c r="BB982" s="3" t="str">
        <f>"1"</f>
        <v>1</v>
      </c>
      <c r="BC982" t="str">
        <f ca="1">IF((OFFSET($A$1, 982 - 1, 53 - 1)) &gt;= (OFFSET($A$1, 69 - 1, 7 - 1)), "1","0")</f>
        <v>1</v>
      </c>
      <c r="BD982">
        <f ca="1" xml:space="preserve"> IF( AND( OFFSET($A$1, 982 - 1, 54 - 1) = "1", OFFSET($A$1, 982 - 1, 55 - 1) = "1" ), 1, IF( AND( OFFSET($A$1, 982 - 1, 54 - 1) = "1", OFFSET($A$1, 982 - 1, 55 - 1) = "0" ), 2, IF( AND( OFFSET($A$1, 982 - 1, 54 - 1) = "0", OFFSET($A$1, 982 - 1, 55 - 1) = "1" ), 3, 4 ) ) )</f>
        <v>1</v>
      </c>
    </row>
    <row r="983" spans="53:56" x14ac:dyDescent="0.35">
      <c r="BA983" s="3">
        <v>0.59782636086670415</v>
      </c>
      <c r="BB983" s="3" t="str">
        <f>"1"</f>
        <v>1</v>
      </c>
      <c r="BC983" t="str">
        <f ca="1">IF((OFFSET($A$1, 983 - 1, 53 - 1)) &gt;= (OFFSET($A$1, 69 - 1, 7 - 1)), "1","0")</f>
        <v>1</v>
      </c>
      <c r="BD983">
        <f ca="1" xml:space="preserve"> IF( AND( OFFSET($A$1, 983 - 1, 54 - 1) = "1", OFFSET($A$1, 983 - 1, 55 - 1) = "1" ), 1, IF( AND( OFFSET($A$1, 983 - 1, 54 - 1) = "1", OFFSET($A$1, 983 - 1, 55 - 1) = "0" ), 2, IF( AND( OFFSET($A$1, 983 - 1, 54 - 1) = "0", OFFSET($A$1, 983 - 1, 55 - 1) = "1" ), 3, 4 ) ) )</f>
        <v>1</v>
      </c>
    </row>
    <row r="984" spans="53:56" x14ac:dyDescent="0.35">
      <c r="BA984" s="3">
        <v>0.5970549638801651</v>
      </c>
      <c r="BB984" s="3" t="str">
        <f>"0"</f>
        <v>0</v>
      </c>
      <c r="BC984" t="str">
        <f ca="1">IF((OFFSET($A$1, 984 - 1, 53 - 1)) &gt;= (OFFSET($A$1, 69 - 1, 7 - 1)), "1","0")</f>
        <v>1</v>
      </c>
      <c r="BD984">
        <f ca="1" xml:space="preserve"> IF( AND( OFFSET($A$1, 984 - 1, 54 - 1) = "1", OFFSET($A$1, 984 - 1, 55 - 1) = "1" ), 1, IF( AND( OFFSET($A$1, 984 - 1, 54 - 1) = "1", OFFSET($A$1, 984 - 1, 55 - 1) = "0" ), 2, IF( AND( OFFSET($A$1, 984 - 1, 54 - 1) = "0", OFFSET($A$1, 984 - 1, 55 - 1) = "1" ), 3, 4 ) ) )</f>
        <v>3</v>
      </c>
    </row>
    <row r="985" spans="53:56" x14ac:dyDescent="0.35">
      <c r="BA985" s="3">
        <v>0.32116458910610374</v>
      </c>
      <c r="BB985" s="3" t="str">
        <f>"1"</f>
        <v>1</v>
      </c>
      <c r="BC985" t="str">
        <f ca="1">IF((OFFSET($A$1, 985 - 1, 53 - 1)) &gt;= (OFFSET($A$1, 69 - 1, 7 - 1)), "1","0")</f>
        <v>0</v>
      </c>
      <c r="BD985">
        <f ca="1" xml:space="preserve"> IF( AND( OFFSET($A$1, 985 - 1, 54 - 1) = "1", OFFSET($A$1, 985 - 1, 55 - 1) = "1" ), 1, IF( AND( OFFSET($A$1, 985 - 1, 54 - 1) = "1", OFFSET($A$1, 985 - 1, 55 - 1) = "0" ), 2, IF( AND( OFFSET($A$1, 985 - 1, 54 - 1) = "0", OFFSET($A$1, 985 - 1, 55 - 1) = "1" ), 3, 4 ) ) )</f>
        <v>2</v>
      </c>
    </row>
    <row r="986" spans="53:56" x14ac:dyDescent="0.35">
      <c r="BA986" s="3">
        <v>0.59544560814790026</v>
      </c>
      <c r="BB986" s="3" t="str">
        <f>"0"</f>
        <v>0</v>
      </c>
      <c r="BC986" t="str">
        <f ca="1">IF((OFFSET($A$1, 986 - 1, 53 - 1)) &gt;= (OFFSET($A$1, 69 - 1, 7 - 1)), "1","0")</f>
        <v>1</v>
      </c>
      <c r="BD986">
        <f ca="1" xml:space="preserve"> IF( AND( OFFSET($A$1, 986 - 1, 54 - 1) = "1", OFFSET($A$1, 986 - 1, 55 - 1) = "1" ), 1, IF( AND( OFFSET($A$1, 986 - 1, 54 - 1) = "1", OFFSET($A$1, 986 - 1, 55 - 1) = "0" ), 2, IF( AND( OFFSET($A$1, 986 - 1, 54 - 1) = "0", OFFSET($A$1, 986 - 1, 55 - 1) = "1" ), 3, 4 ) ) )</f>
        <v>3</v>
      </c>
    </row>
    <row r="987" spans="53:56" x14ac:dyDescent="0.35">
      <c r="BA987" s="3">
        <v>0.31967015258960368</v>
      </c>
      <c r="BB987" s="3" t="str">
        <f>"0"</f>
        <v>0</v>
      </c>
      <c r="BC987" t="str">
        <f ca="1">IF((OFFSET($A$1, 987 - 1, 53 - 1)) &gt;= (OFFSET($A$1, 69 - 1, 7 - 1)), "1","0")</f>
        <v>0</v>
      </c>
      <c r="BD987">
        <f ca="1" xml:space="preserve"> IF( AND( OFFSET($A$1, 987 - 1, 54 - 1) = "1", OFFSET($A$1, 987 - 1, 55 - 1) = "1" ), 1, IF( AND( OFFSET($A$1, 987 - 1, 54 - 1) = "1", OFFSET($A$1, 987 - 1, 55 - 1) = "0" ), 2, IF( AND( OFFSET($A$1, 987 - 1, 54 - 1) = "0", OFFSET($A$1, 987 - 1, 55 - 1) = "1" ), 3, 4 ) ) )</f>
        <v>4</v>
      </c>
    </row>
    <row r="988" spans="53:56" x14ac:dyDescent="0.35">
      <c r="BA988" s="3">
        <v>0.3188957190198306</v>
      </c>
      <c r="BB988" s="3" t="str">
        <f>"0"</f>
        <v>0</v>
      </c>
      <c r="BC988" t="str">
        <f ca="1">IF((OFFSET($A$1, 988 - 1, 53 - 1)) &gt;= (OFFSET($A$1, 69 - 1, 7 - 1)), "1","0")</f>
        <v>0</v>
      </c>
      <c r="BD988">
        <f ca="1" xml:space="preserve"> IF( AND( OFFSET($A$1, 988 - 1, 54 - 1) = "1", OFFSET($A$1, 988 - 1, 55 - 1) = "1" ), 1, IF( AND( OFFSET($A$1, 988 - 1, 54 - 1) = "1", OFFSET($A$1, 988 - 1, 55 - 1) = "0" ), 2, IF( AND( OFFSET($A$1, 988 - 1, 54 - 1) = "0", OFFSET($A$1, 988 - 1, 55 - 1) = "1" ), 3, 4 ) ) )</f>
        <v>4</v>
      </c>
    </row>
    <row r="989" spans="53:56" x14ac:dyDescent="0.35">
      <c r="BA989" s="3">
        <v>0.318103546520771</v>
      </c>
      <c r="BB989" s="3" t="str">
        <f>"0"</f>
        <v>0</v>
      </c>
      <c r="BC989" t="str">
        <f ca="1">IF((OFFSET($A$1, 989 - 1, 53 - 1)) &gt;= (OFFSET($A$1, 69 - 1, 7 - 1)), "1","0")</f>
        <v>0</v>
      </c>
      <c r="BD989">
        <f ca="1" xml:space="preserve"> IF( AND( OFFSET($A$1, 989 - 1, 54 - 1) = "1", OFFSET($A$1, 989 - 1, 55 - 1) = "1" ), 1, IF( AND( OFFSET($A$1, 989 - 1, 54 - 1) = "1", OFFSET($A$1, 989 - 1, 55 - 1) = "0" ), 2, IF( AND( OFFSET($A$1, 989 - 1, 54 - 1) = "0", OFFSET($A$1, 989 - 1, 55 - 1) = "1" ), 3, 4 ) ) )</f>
        <v>4</v>
      </c>
    </row>
    <row r="990" spans="53:56" x14ac:dyDescent="0.35">
      <c r="BA990" s="3">
        <v>0.3172939467471716</v>
      </c>
      <c r="BB990" s="3" t="str">
        <f>"1"</f>
        <v>1</v>
      </c>
      <c r="BC990" t="str">
        <f ca="1">IF((OFFSET($A$1, 990 - 1, 53 - 1)) &gt;= (OFFSET($A$1, 69 - 1, 7 - 1)), "1","0")</f>
        <v>0</v>
      </c>
      <c r="BD990">
        <f ca="1" xml:space="preserve"> IF( AND( OFFSET($A$1, 990 - 1, 54 - 1) = "1", OFFSET($A$1, 990 - 1, 55 - 1) = "1" ), 1, IF( AND( OFFSET($A$1, 990 - 1, 54 - 1) = "1", OFFSET($A$1, 990 - 1, 55 - 1) = "0" ), 2, IF( AND( OFFSET($A$1, 990 - 1, 54 - 1) = "0", OFFSET($A$1, 990 - 1, 55 - 1) = "1" ), 3, 4 ) ) )</f>
        <v>2</v>
      </c>
    </row>
    <row r="991" spans="53:56" x14ac:dyDescent="0.35">
      <c r="BA991" s="3">
        <v>0.59104360680230827</v>
      </c>
      <c r="BB991" s="3" t="str">
        <f>"1"</f>
        <v>1</v>
      </c>
      <c r="BC991" t="str">
        <f ca="1">IF((OFFSET($A$1, 991 - 1, 53 - 1)) &gt;= (OFFSET($A$1, 69 - 1, 7 - 1)), "1","0")</f>
        <v>1</v>
      </c>
      <c r="BD991">
        <f ca="1" xml:space="preserve"> IF( AND( OFFSET($A$1, 991 - 1, 54 - 1) = "1", OFFSET($A$1, 991 - 1, 55 - 1) = "1" ), 1, IF( AND( OFFSET($A$1, 991 - 1, 54 - 1) = "1", OFFSET($A$1, 991 - 1, 55 - 1) = "0" ), 2, IF( AND( OFFSET($A$1, 991 - 1, 54 - 1) = "0", OFFSET($A$1, 991 - 1, 55 - 1) = "1" ), 3, 4 ) ) )</f>
        <v>1</v>
      </c>
    </row>
    <row r="992" spans="53:56" x14ac:dyDescent="0.35">
      <c r="BA992" s="3">
        <v>0.59010007678564014</v>
      </c>
      <c r="BB992" s="3" t="str">
        <f>"0"</f>
        <v>0</v>
      </c>
      <c r="BC992" t="str">
        <f ca="1">IF((OFFSET($A$1, 992 - 1, 53 - 1)) &gt;= (OFFSET($A$1, 69 - 1, 7 - 1)), "1","0")</f>
        <v>1</v>
      </c>
      <c r="BD992">
        <f ca="1" xml:space="preserve"> IF( AND( OFFSET($A$1, 992 - 1, 54 - 1) = "1", OFFSET($A$1, 992 - 1, 55 - 1) = "1" ), 1, IF( AND( OFFSET($A$1, 992 - 1, 54 - 1) = "1", OFFSET($A$1, 992 - 1, 55 - 1) = "0" ), 2, IF( AND( OFFSET($A$1, 992 - 1, 54 - 1) = "0", OFFSET($A$1, 992 - 1, 55 - 1) = "1" ), 3, 4 ) ) )</f>
        <v>3</v>
      </c>
    </row>
    <row r="993" spans="53:56" x14ac:dyDescent="0.35">
      <c r="BA993" s="3">
        <v>0.31476379464899717</v>
      </c>
      <c r="BB993" s="3" t="str">
        <f>"1"</f>
        <v>1</v>
      </c>
      <c r="BC993" t="str">
        <f ca="1">IF((OFFSET($A$1, 993 - 1, 53 - 1)) &gt;= (OFFSET($A$1, 69 - 1, 7 - 1)), "1","0")</f>
        <v>0</v>
      </c>
      <c r="BD993">
        <f ca="1" xml:space="preserve"> IF( AND( OFFSET($A$1, 993 - 1, 54 - 1) = "1", OFFSET($A$1, 993 - 1, 55 - 1) = "1" ), 1, IF( AND( OFFSET($A$1, 993 - 1, 54 - 1) = "1", OFFSET($A$1, 993 - 1, 55 - 1) = "0" ), 2, IF( AND( OFFSET($A$1, 993 - 1, 54 - 1) = "0", OFFSET($A$1, 993 - 1, 55 - 1) = "1" ), 3, 4 ) ) )</f>
        <v>2</v>
      </c>
    </row>
    <row r="994" spans="53:56" x14ac:dyDescent="0.35">
      <c r="BA994" s="3">
        <v>0.58815179440453946</v>
      </c>
      <c r="BB994" s="3" t="str">
        <f>"1"</f>
        <v>1</v>
      </c>
      <c r="BC994" t="str">
        <f ca="1">IF((OFFSET($A$1, 994 - 1, 53 - 1)) &gt;= (OFFSET($A$1, 69 - 1, 7 - 1)), "1","0")</f>
        <v>1</v>
      </c>
      <c r="BD994">
        <f ca="1" xml:space="preserve"> IF( AND( OFFSET($A$1, 994 - 1, 54 - 1) = "1", OFFSET($A$1, 994 - 1, 55 - 1) = "1" ), 1, IF( AND( OFFSET($A$1, 994 - 1, 54 - 1) = "1", OFFSET($A$1, 994 - 1, 55 - 1) = "0" ), 2, IF( AND( OFFSET($A$1, 994 - 1, 54 - 1) = "0", OFFSET($A$1, 994 - 1, 55 - 1) = "1" ), 3, 4 ) ) )</f>
        <v>1</v>
      </c>
    </row>
    <row r="995" spans="53:56" x14ac:dyDescent="0.35">
      <c r="BA995" s="3">
        <v>0.58714754875638075</v>
      </c>
      <c r="BB995" s="3" t="str">
        <f>"0"</f>
        <v>0</v>
      </c>
      <c r="BC995" t="str">
        <f ca="1">IF((OFFSET($A$1, 995 - 1, 53 - 1)) &gt;= (OFFSET($A$1, 69 - 1, 7 - 1)), "1","0")</f>
        <v>1</v>
      </c>
      <c r="BD995">
        <f ca="1" xml:space="preserve"> IF( AND( OFFSET($A$1, 995 - 1, 54 - 1) = "1", OFFSET($A$1, 995 - 1, 55 - 1) = "1" ), 1, IF( AND( OFFSET($A$1, 995 - 1, 54 - 1) = "1", OFFSET($A$1, 995 - 1, 55 - 1) = "0" ), 2, IF( AND( OFFSET($A$1, 995 - 1, 54 - 1) = "0", OFFSET($A$1, 995 - 1, 55 - 1) = "1" ), 3, 4 ) ) )</f>
        <v>3</v>
      </c>
    </row>
    <row r="996" spans="53:56" x14ac:dyDescent="0.35">
      <c r="BA996" s="3">
        <v>0.31208860705375235</v>
      </c>
      <c r="BB996" s="3" t="str">
        <f>"0"</f>
        <v>0</v>
      </c>
      <c r="BC996" t="str">
        <f ca="1">IF((OFFSET($A$1, 996 - 1, 53 - 1)) &gt;= (OFFSET($A$1, 69 - 1, 7 - 1)), "1","0")</f>
        <v>0</v>
      </c>
      <c r="BD996">
        <f ca="1" xml:space="preserve"> IF( AND( OFFSET($A$1, 996 - 1, 54 - 1) = "1", OFFSET($A$1, 996 - 1, 55 - 1) = "1" ), 1, IF( AND( OFFSET($A$1, 996 - 1, 54 - 1) = "1", OFFSET($A$1, 996 - 1, 55 - 1) = "0" ), 2, IF( AND( OFFSET($A$1, 996 - 1, 54 - 1) = "0", OFFSET($A$1, 996 - 1, 55 - 1) = "1" ), 3, 4 ) ) )</f>
        <v>4</v>
      </c>
    </row>
    <row r="997" spans="53:56" x14ac:dyDescent="0.35">
      <c r="BA997" s="3">
        <v>0.31116625457918751</v>
      </c>
      <c r="BB997" s="3" t="str">
        <f>"0"</f>
        <v>0</v>
      </c>
      <c r="BC997" t="str">
        <f ca="1">IF((OFFSET($A$1, 997 - 1, 53 - 1)) &gt;= (OFFSET($A$1, 69 - 1, 7 - 1)), "1","0")</f>
        <v>0</v>
      </c>
      <c r="BD997">
        <f ca="1" xml:space="preserve"> IF( AND( OFFSET($A$1, 997 - 1, 54 - 1) = "1", OFFSET($A$1, 997 - 1, 55 - 1) = "1" ), 1, IF( AND( OFFSET($A$1, 997 - 1, 54 - 1) = "1", OFFSET($A$1, 997 - 1, 55 - 1) = "0" ), 2, IF( AND( OFFSET($A$1, 997 - 1, 54 - 1) = "0", OFFSET($A$1, 997 - 1, 55 - 1) = "1" ), 3, 4 ) ) )</f>
        <v>4</v>
      </c>
    </row>
    <row r="998" spans="53:56" x14ac:dyDescent="0.35">
      <c r="BA998" s="3">
        <v>0.31022918202274469</v>
      </c>
      <c r="BB998" s="3" t="str">
        <f>"0"</f>
        <v>0</v>
      </c>
      <c r="BC998" t="str">
        <f ca="1">IF((OFFSET($A$1, 998 - 1, 53 - 1)) &gt;= (OFFSET($A$1, 69 - 1, 7 - 1)), "1","0")</f>
        <v>0</v>
      </c>
      <c r="BD998">
        <f ca="1" xml:space="preserve"> IF( AND( OFFSET($A$1, 998 - 1, 54 - 1) = "1", OFFSET($A$1, 998 - 1, 55 - 1) = "1" ), 1, IF( AND( OFFSET($A$1, 998 - 1, 54 - 1) = "1", OFFSET($A$1, 998 - 1, 55 - 1) = "0" ), 2, IF( AND( OFFSET($A$1, 998 - 1, 54 - 1) = "0", OFFSET($A$1, 998 - 1, 55 - 1) = "1" ), 3, 4 ) ) )</f>
        <v>4</v>
      </c>
    </row>
    <row r="999" spans="53:56" x14ac:dyDescent="0.35">
      <c r="BA999" s="3">
        <v>0.30927775175282746</v>
      </c>
      <c r="BB999" s="3" t="str">
        <f>"0"</f>
        <v>0</v>
      </c>
      <c r="BC999" t="str">
        <f ca="1">IF((OFFSET($A$1, 999 - 1, 53 - 1)) &gt;= (OFFSET($A$1, 69 - 1, 7 - 1)), "1","0")</f>
        <v>0</v>
      </c>
      <c r="BD999">
        <f ca="1" xml:space="preserve"> IF( AND( OFFSET($A$1, 999 - 1, 54 - 1) = "1", OFFSET($A$1, 999 - 1, 55 - 1) = "1" ), 1, IF( AND( OFFSET($A$1, 999 - 1, 54 - 1) = "1", OFFSET($A$1, 999 - 1, 55 - 1) = "0" ), 2, IF( AND( OFFSET($A$1, 999 - 1, 54 - 1) = "0", OFFSET($A$1, 999 - 1, 55 - 1) = "1" ), 3, 4 ) ) )</f>
        <v>4</v>
      </c>
    </row>
    <row r="1000" spans="53:56" x14ac:dyDescent="0.35">
      <c r="BA1000" s="3">
        <v>0.3083123308145404</v>
      </c>
      <c r="BB1000" s="3" t="str">
        <f>"0"</f>
        <v>0</v>
      </c>
      <c r="BC1000" t="str">
        <f ca="1">IF((OFFSET($A$1, 1000 - 1, 53 - 1)) &gt;= (OFFSET($A$1, 69 - 1, 7 - 1)), "1","0")</f>
        <v>0</v>
      </c>
      <c r="BD1000">
        <f ca="1" xml:space="preserve"> IF( AND( OFFSET($A$1, 1000 - 1, 54 - 1) = "1", OFFSET($A$1, 1000 - 1, 55 - 1) = "1" ), 1, IF( AND( OFFSET($A$1, 1000 - 1, 54 - 1) = "1", OFFSET($A$1, 1000 - 1, 55 - 1) = "0" ), 2, IF( AND( OFFSET($A$1, 1000 - 1, 54 - 1) = "0", OFFSET($A$1, 1000 - 1, 55 - 1) = "1" ), 3, 4 ) ) )</f>
        <v>4</v>
      </c>
    </row>
    <row r="1001" spans="53:56" x14ac:dyDescent="0.35">
      <c r="BA1001" s="3">
        <v>0.30733329072568072</v>
      </c>
      <c r="BB1001" s="3" t="str">
        <f>"0"</f>
        <v>0</v>
      </c>
      <c r="BC1001" t="str">
        <f ca="1">IF((OFFSET($A$1, 1001 - 1, 53 - 1)) &gt;= (OFFSET($A$1, 69 - 1, 7 - 1)), "1","0")</f>
        <v>0</v>
      </c>
      <c r="BD1001">
        <f ca="1" xml:space="preserve"> IF( AND( OFFSET($A$1, 1001 - 1, 54 - 1) = "1", OFFSET($A$1, 1001 - 1, 55 - 1) = "1" ), 1, IF( AND( OFFSET($A$1, 1001 - 1, 54 - 1) = "1", OFFSET($A$1, 1001 - 1, 55 - 1) = "0" ), 2, IF( AND( OFFSET($A$1, 1001 - 1, 54 - 1) = "0", OFFSET($A$1, 1001 - 1, 55 - 1) = "1" ), 3, 4 ) ) )</f>
        <v>4</v>
      </c>
    </row>
    <row r="1002" spans="53:56" x14ac:dyDescent="0.35">
      <c r="BA1002" s="3">
        <v>0.30634100726979369</v>
      </c>
      <c r="BB1002" s="3" t="str">
        <f>"1"</f>
        <v>1</v>
      </c>
      <c r="BC1002" t="str">
        <f ca="1">IF((OFFSET($A$1, 1002 - 1, 53 - 1)) &gt;= (OFFSET($A$1, 69 - 1, 7 - 1)), "1","0")</f>
        <v>0</v>
      </c>
      <c r="BD1002">
        <f ca="1" xml:space="preserve"> IF( AND( OFFSET($A$1, 1002 - 1, 54 - 1) = "1", OFFSET($A$1, 1002 - 1, 55 - 1) = "1" ), 1, IF( AND( OFFSET($A$1, 1002 - 1, 54 - 1) = "1", OFFSET($A$1, 1002 - 1, 55 - 1) = "0" ), 2, IF( AND( OFFSET($A$1, 1002 - 1, 54 - 1) = "0", OFFSET($A$1, 1002 - 1, 55 - 1) = "1" ), 3, 4 ) ) )</f>
        <v>2</v>
      </c>
    </row>
    <row r="1003" spans="53:56" x14ac:dyDescent="0.35">
      <c r="BA1003" s="3">
        <v>0.57842714926002758</v>
      </c>
      <c r="BB1003" s="3" t="str">
        <f>"1"</f>
        <v>1</v>
      </c>
      <c r="BC1003" t="str">
        <f ca="1">IF((OFFSET($A$1, 1003 - 1, 53 - 1)) &gt;= (OFFSET($A$1, 69 - 1, 7 - 1)), "1","0")</f>
        <v>1</v>
      </c>
      <c r="BD1003">
        <f ca="1" xml:space="preserve"> IF( AND( OFFSET($A$1, 1003 - 1, 54 - 1) = "1", OFFSET($A$1, 1003 - 1, 55 - 1) = "1" ), 1, IF( AND( OFFSET($A$1, 1003 - 1, 54 - 1) = "1", OFFSET($A$1, 1003 - 1, 55 - 1) = "0" ), 2, IF( AND( OFFSET($A$1, 1003 - 1, 54 - 1) = "0", OFFSET($A$1, 1003 - 1, 55 - 1) = "1" ), 3, 4 ) ) )</f>
        <v>1</v>
      </c>
    </row>
    <row r="1004" spans="53:56" x14ac:dyDescent="0.35">
      <c r="BA1004" s="3">
        <v>0.57725569172101354</v>
      </c>
      <c r="BB1004" s="3" t="str">
        <f>"0"</f>
        <v>0</v>
      </c>
      <c r="BC1004" t="str">
        <f ca="1">IF((OFFSET($A$1, 1004 - 1, 53 - 1)) &gt;= (OFFSET($A$1, 69 - 1, 7 - 1)), "1","0")</f>
        <v>1</v>
      </c>
      <c r="BD1004">
        <f ca="1" xml:space="preserve"> IF( AND( OFFSET($A$1, 1004 - 1, 54 - 1) = "1", OFFSET($A$1, 1004 - 1, 55 - 1) = "1" ), 1, IF( AND( OFFSET($A$1, 1004 - 1, 54 - 1) = "1", OFFSET($A$1, 1004 - 1, 55 - 1) = "0" ), 2, IF( AND( OFFSET($A$1, 1004 - 1, 54 - 1) = "0", OFFSET($A$1, 1004 - 1, 55 - 1) = "1" ), 3, 4 ) ) )</f>
        <v>3</v>
      </c>
    </row>
    <row r="1005" spans="53:56" x14ac:dyDescent="0.35">
      <c r="BA1005" s="3">
        <v>0.30328851409974328</v>
      </c>
      <c r="BB1005" s="3" t="str">
        <f>"0"</f>
        <v>0</v>
      </c>
      <c r="BC1005" t="str">
        <f ca="1">IF((OFFSET($A$1, 1005 - 1, 53 - 1)) &gt;= (OFFSET($A$1, 69 - 1, 7 - 1)), "1","0")</f>
        <v>0</v>
      </c>
      <c r="BD1005">
        <f ca="1" xml:space="preserve"> IF( AND( OFFSET($A$1, 1005 - 1, 54 - 1) = "1", OFFSET($A$1, 1005 - 1, 55 - 1) = "1" ), 1, IF( AND( OFFSET($A$1, 1005 - 1, 54 - 1) = "1", OFFSET($A$1, 1005 - 1, 55 - 1) = "0" ), 2, IF( AND( OFFSET($A$1, 1005 - 1, 54 - 1) = "0", OFFSET($A$1, 1005 - 1, 55 - 1) = "1" ), 3, 4 ) ) )</f>
        <v>4</v>
      </c>
    </row>
    <row r="1006" spans="53:56" x14ac:dyDescent="0.35">
      <c r="BA1006" s="3">
        <v>0.30224709293312996</v>
      </c>
      <c r="BB1006" s="3" t="str">
        <f>"0"</f>
        <v>0</v>
      </c>
      <c r="BC1006" t="str">
        <f ca="1">IF((OFFSET($A$1, 1006 - 1, 53 - 1)) &gt;= (OFFSET($A$1, 69 - 1, 7 - 1)), "1","0")</f>
        <v>0</v>
      </c>
      <c r="BD1006">
        <f ca="1" xml:space="preserve"> IF( AND( OFFSET($A$1, 1006 - 1, 54 - 1) = "1", OFFSET($A$1, 1006 - 1, 55 - 1) = "1" ), 1, IF( AND( OFFSET($A$1, 1006 - 1, 54 - 1) = "1", OFFSET($A$1, 1006 - 1, 55 - 1) = "0" ), 2, IF( AND( OFFSET($A$1, 1006 - 1, 54 - 1) = "0", OFFSET($A$1, 1006 - 1, 55 - 1) = "1" ), 3, 4 ) ) )</f>
        <v>4</v>
      </c>
    </row>
    <row r="1007" spans="53:56" x14ac:dyDescent="0.35">
      <c r="BA1007" s="3">
        <v>0.30119436387673387</v>
      </c>
      <c r="BB1007" s="3" t="str">
        <f>"0"</f>
        <v>0</v>
      </c>
      <c r="BC1007" t="str">
        <f ca="1">IF((OFFSET($A$1, 1007 - 1, 53 - 1)) &gt;= (OFFSET($A$1, 69 - 1, 7 - 1)), "1","0")</f>
        <v>0</v>
      </c>
      <c r="BD1007">
        <f ca="1" xml:space="preserve"> IF( AND( OFFSET($A$1, 1007 - 1, 54 - 1) = "1", OFFSET($A$1, 1007 - 1, 55 - 1) = "1" ), 1, IF( AND( OFFSET($A$1, 1007 - 1, 54 - 1) = "1", OFFSET($A$1, 1007 - 1, 55 - 1) = "0" ), 2, IF( AND( OFFSET($A$1, 1007 - 1, 54 - 1) = "0", OFFSET($A$1, 1007 - 1, 55 - 1) = "1" ), 3, 4 ) ) )</f>
        <v>4</v>
      </c>
    </row>
    <row r="1008" spans="53:56" x14ac:dyDescent="0.35">
      <c r="BA1008" s="3">
        <v>0.30013072382050698</v>
      </c>
      <c r="BB1008" s="3" t="str">
        <f>"1"</f>
        <v>1</v>
      </c>
      <c r="BC1008" t="str">
        <f ca="1">IF((OFFSET($A$1, 1008 - 1, 53 - 1)) &gt;= (OFFSET($A$1, 69 - 1, 7 - 1)), "1","0")</f>
        <v>0</v>
      </c>
      <c r="BD1008">
        <f ca="1" xml:space="preserve"> IF( AND( OFFSET($A$1, 1008 - 1, 54 - 1) = "1", OFFSET($A$1, 1008 - 1, 55 - 1) = "1" ), 1, IF( AND( OFFSET($A$1, 1008 - 1, 54 - 1) = "1", OFFSET($A$1, 1008 - 1, 55 - 1) = "0" ), 2, IF( AND( OFFSET($A$1, 1008 - 1, 54 - 1) = "0", OFFSET($A$1, 1008 - 1, 55 - 1) = "1" ), 3, 4 ) ) )</f>
        <v>2</v>
      </c>
    </row>
    <row r="1009" spans="53:56" x14ac:dyDescent="0.35">
      <c r="BA1009" s="3">
        <v>0.57114927699829776</v>
      </c>
      <c r="BB1009" s="3" t="str">
        <f>"1"</f>
        <v>1</v>
      </c>
      <c r="BC1009" t="str">
        <f ca="1">IF((OFFSET($A$1, 1009 - 1, 53 - 1)) &gt;= (OFFSET($A$1, 69 - 1, 7 - 1)), "1","0")</f>
        <v>1</v>
      </c>
      <c r="BD1009">
        <f ca="1" xml:space="preserve"> IF( AND( OFFSET($A$1, 1009 - 1, 54 - 1) = "1", OFFSET($A$1, 1009 - 1, 55 - 1) = "1" ), 1, IF( AND( OFFSET($A$1, 1009 - 1, 54 - 1) = "1", OFFSET($A$1, 1009 - 1, 55 - 1) = "0" ), 2, IF( AND( OFFSET($A$1, 1009 - 1, 54 - 1) = "0", OFFSET($A$1, 1009 - 1, 55 - 1) = "1" ), 3, 4 ) ) )</f>
        <v>1</v>
      </c>
    </row>
    <row r="1010" spans="53:56" x14ac:dyDescent="0.35">
      <c r="BA1010" s="3">
        <v>0.56988055990501019</v>
      </c>
      <c r="BB1010" s="3" t="str">
        <f>"0"</f>
        <v>0</v>
      </c>
      <c r="BC1010" t="str">
        <f ca="1">IF((OFFSET($A$1, 1010 - 1, 53 - 1)) &gt;= (OFFSET($A$1, 69 - 1, 7 - 1)), "1","0")</f>
        <v>1</v>
      </c>
      <c r="BD1010">
        <f ca="1" xml:space="preserve"> IF( AND( OFFSET($A$1, 1010 - 1, 54 - 1) = "1", OFFSET($A$1, 1010 - 1, 55 - 1) = "1" ), 1, IF( AND( OFFSET($A$1, 1010 - 1, 54 - 1) = "1", OFFSET($A$1, 1010 - 1, 55 - 1) = "0" ), 2, IF( AND( OFFSET($A$1, 1010 - 1, 54 - 1) = "0", OFFSET($A$1, 1010 - 1, 55 - 1) = "1" ), 3, 4 ) ) )</f>
        <v>3</v>
      </c>
    </row>
    <row r="1011" spans="53:56" x14ac:dyDescent="0.35">
      <c r="BA1011" s="3">
        <v>0.29687834645865163</v>
      </c>
      <c r="BB1011" s="3" t="str">
        <f>"0"</f>
        <v>0</v>
      </c>
      <c r="BC1011" t="str">
        <f ca="1">IF((OFFSET($A$1, 1011 - 1, 53 - 1)) &gt;= (OFFSET($A$1, 69 - 1, 7 - 1)), "1","0")</f>
        <v>0</v>
      </c>
      <c r="BD1011">
        <f ca="1" xml:space="preserve"> IF( AND( OFFSET($A$1, 1011 - 1, 54 - 1) = "1", OFFSET($A$1, 1011 - 1, 55 - 1) = "1" ), 1, IF( AND( OFFSET($A$1, 1011 - 1, 54 - 1) = "1", OFFSET($A$1, 1011 - 1, 55 - 1) = "0" ), 2, IF( AND( OFFSET($A$1, 1011 - 1, 54 - 1) = "0", OFFSET($A$1, 1011 - 1, 55 - 1) = "1" ), 3, 4 ) ) )</f>
        <v>4</v>
      </c>
    </row>
    <row r="1012" spans="53:56" x14ac:dyDescent="0.35">
      <c r="BA1012" s="3">
        <v>0.29577508293943011</v>
      </c>
      <c r="BB1012" s="3" t="str">
        <f>"1"</f>
        <v>1</v>
      </c>
      <c r="BC1012" t="str">
        <f ca="1">IF((OFFSET($A$1, 1012 - 1, 53 - 1)) &gt;= (OFFSET($A$1, 69 - 1, 7 - 1)), "1","0")</f>
        <v>0</v>
      </c>
      <c r="BD1012">
        <f ca="1" xml:space="preserve"> IF( AND( OFFSET($A$1, 1012 - 1, 54 - 1) = "1", OFFSET($A$1, 1012 - 1, 55 - 1) = "1" ), 1, IF( AND( OFFSET($A$1, 1012 - 1, 54 - 1) = "1", OFFSET($A$1, 1012 - 1, 55 - 1) = "0" ), 2, IF( AND( OFFSET($A$1, 1012 - 1, 54 - 1) = "0", OFFSET($A$1, 1012 - 1, 55 - 1) = "1" ), 3, 4 ) ) )</f>
        <v>2</v>
      </c>
    </row>
    <row r="1013" spans="53:56" x14ac:dyDescent="0.35">
      <c r="BA1013" s="3">
        <v>0.56598596837614257</v>
      </c>
      <c r="BB1013" s="3" t="str">
        <f>"1"</f>
        <v>1</v>
      </c>
      <c r="BC1013" t="str">
        <f ca="1">IF((OFFSET($A$1, 1013 - 1, 53 - 1)) &gt;= (OFFSET($A$1, 69 - 1, 7 - 1)), "1","0")</f>
        <v>1</v>
      </c>
      <c r="BD1013">
        <f ca="1" xml:space="preserve"> IF( AND( OFFSET($A$1, 1013 - 1, 54 - 1) = "1", OFFSET($A$1, 1013 - 1, 55 - 1) = "1" ), 1, IF( AND( OFFSET($A$1, 1013 - 1, 54 - 1) = "1", OFFSET($A$1, 1013 - 1, 55 - 1) = "0" ), 2, IF( AND( OFFSET($A$1, 1013 - 1, 54 - 1) = "0", OFFSET($A$1, 1013 - 1, 55 - 1) = "1" ), 3, 4 ) ) )</f>
        <v>1</v>
      </c>
    </row>
    <row r="1014" spans="53:56" x14ac:dyDescent="0.35">
      <c r="BA1014" s="3">
        <v>0.56465953183188977</v>
      </c>
      <c r="BB1014" s="3" t="str">
        <f>"0"</f>
        <v>0</v>
      </c>
      <c r="BC1014" t="str">
        <f ca="1">IF((OFFSET($A$1, 1014 - 1, 53 - 1)) &gt;= (OFFSET($A$1, 69 - 1, 7 - 1)), "1","0")</f>
        <v>1</v>
      </c>
      <c r="BD1014">
        <f ca="1" xml:space="preserve"> IF( AND( OFFSET($A$1, 1014 - 1, 54 - 1) = "1", OFFSET($A$1, 1014 - 1, 55 - 1) = "1" ), 1, IF( AND( OFFSET($A$1, 1014 - 1, 54 - 1) = "1", OFFSET($A$1, 1014 - 1, 55 - 1) = "0" ), 2, IF( AND( OFFSET($A$1, 1014 - 1, 54 - 1) = "0", OFFSET($A$1, 1014 - 1, 55 - 1) = "1" ), 3, 4 ) ) )</f>
        <v>3</v>
      </c>
    </row>
    <row r="1015" spans="53:56" x14ac:dyDescent="0.35">
      <c r="BA1015" s="3">
        <v>0.29241359508167519</v>
      </c>
      <c r="BB1015" s="3" t="str">
        <f>"0"</f>
        <v>0</v>
      </c>
      <c r="BC1015" t="str">
        <f ca="1">IF((OFFSET($A$1, 1015 - 1, 53 - 1)) &gt;= (OFFSET($A$1, 69 - 1, 7 - 1)), "1","0")</f>
        <v>0</v>
      </c>
      <c r="BD1015">
        <f ca="1" xml:space="preserve"> IF( AND( OFFSET($A$1, 1015 - 1, 54 - 1) = "1", OFFSET($A$1, 1015 - 1, 55 - 1) = "1" ), 1, IF( AND( OFFSET($A$1, 1015 - 1, 54 - 1) = "1", OFFSET($A$1, 1015 - 1, 55 - 1) = "0" ), 2, IF( AND( OFFSET($A$1, 1015 - 1, 54 - 1) = "0", OFFSET($A$1, 1015 - 1, 55 - 1) = "1" ), 3, 4 ) ) )</f>
        <v>4</v>
      </c>
    </row>
    <row r="1016" spans="53:56" x14ac:dyDescent="0.35">
      <c r="BA1016" s="3">
        <v>0.29127723782865822</v>
      </c>
      <c r="BB1016" s="3" t="str">
        <f>"0"</f>
        <v>0</v>
      </c>
      <c r="BC1016" t="str">
        <f ca="1">IF((OFFSET($A$1, 1016 - 1, 53 - 1)) &gt;= (OFFSET($A$1, 69 - 1, 7 - 1)), "1","0")</f>
        <v>0</v>
      </c>
      <c r="BD1016">
        <f ca="1" xml:space="preserve"> IF( AND( OFFSET($A$1, 1016 - 1, 54 - 1) = "1", OFFSET($A$1, 1016 - 1, 55 - 1) = "1" ), 1, IF( AND( OFFSET($A$1, 1016 - 1, 54 - 1) = "1", OFFSET($A$1, 1016 - 1, 55 - 1) = "0" ), 2, IF( AND( OFFSET($A$1, 1016 - 1, 54 - 1) = "0", OFFSET($A$1, 1016 - 1, 55 - 1) = "1" ), 3, 4 ) ) )</f>
        <v>4</v>
      </c>
    </row>
    <row r="1017" spans="53:56" x14ac:dyDescent="0.35">
      <c r="BA1017" s="3">
        <v>0.29013363829654254</v>
      </c>
      <c r="BB1017" s="3" t="str">
        <f>"1"</f>
        <v>1</v>
      </c>
      <c r="BC1017" t="str">
        <f ca="1">IF((OFFSET($A$1, 1017 - 1, 53 - 1)) &gt;= (OFFSET($A$1, 69 - 1, 7 - 1)), "1","0")</f>
        <v>0</v>
      </c>
      <c r="BD1017">
        <f ca="1" xml:space="preserve"> IF( AND( OFFSET($A$1, 1017 - 1, 54 - 1) = "1", OFFSET($A$1, 1017 - 1, 55 - 1) = "1" ), 1, IF( AND( OFFSET($A$1, 1017 - 1, 54 - 1) = "1", OFFSET($A$1, 1017 - 1, 55 - 1) = "0" ), 2, IF( AND( OFFSET($A$1, 1017 - 1, 54 - 1) = "0", OFFSET($A$1, 1017 - 1, 55 - 1) = "1" ), 3, 4 ) ) )</f>
        <v>2</v>
      </c>
    </row>
    <row r="1018" spans="53:56" x14ac:dyDescent="0.35">
      <c r="BA1018" s="3">
        <v>0.55922286213088757</v>
      </c>
      <c r="BB1018" s="3" t="str">
        <f>"1"</f>
        <v>1</v>
      </c>
      <c r="BC1018" t="str">
        <f ca="1">IF((OFFSET($A$1, 1018 - 1, 53 - 1)) &gt;= (OFFSET($A$1, 69 - 1, 7 - 1)), "1","0")</f>
        <v>1</v>
      </c>
      <c r="BD1018">
        <f ca="1" xml:space="preserve"> IF( AND( OFFSET($A$1, 1018 - 1, 54 - 1) = "1", OFFSET($A$1, 1018 - 1, 55 - 1) = "1" ), 1, IF( AND( OFFSET($A$1, 1018 - 1, 54 - 1) = "1", OFFSET($A$1, 1018 - 1, 55 - 1) = "0" ), 2, IF( AND( OFFSET($A$1, 1018 - 1, 54 - 1) = "0", OFFSET($A$1, 1018 - 1, 55 - 1) = "1" ), 3, 4 ) ) )</f>
        <v>1</v>
      </c>
    </row>
    <row r="1019" spans="53:56" x14ac:dyDescent="0.35">
      <c r="BA1019" s="3">
        <v>0.55783295292768709</v>
      </c>
      <c r="BB1019" s="3" t="str">
        <f>"1"</f>
        <v>1</v>
      </c>
      <c r="BC1019" t="str">
        <f ca="1">IF((OFFSET($A$1, 1019 - 1, 53 - 1)) &gt;= (OFFSET($A$1, 69 - 1, 7 - 1)), "1","0")</f>
        <v>1</v>
      </c>
      <c r="BD1019">
        <f ca="1" xml:space="preserve"> IF( AND( OFFSET($A$1, 1019 - 1, 54 - 1) = "1", OFFSET($A$1, 1019 - 1, 55 - 1) = "1" ), 1, IF( AND( OFFSET($A$1, 1019 - 1, 54 - 1) = "1", OFFSET($A$1, 1019 - 1, 55 - 1) = "0" ), 2, IF( AND( OFFSET($A$1, 1019 - 1, 54 - 1) = "0", OFFSET($A$1, 1019 - 1, 55 - 1) = "1" ), 3, 4 ) ) )</f>
        <v>1</v>
      </c>
    </row>
    <row r="1020" spans="53:56" x14ac:dyDescent="0.35">
      <c r="BA1020" s="3">
        <v>0.55643156141255568</v>
      </c>
      <c r="BB1020" s="3" t="str">
        <f>"1"</f>
        <v>1</v>
      </c>
      <c r="BC1020" t="str">
        <f ca="1">IF((OFFSET($A$1, 1020 - 1, 53 - 1)) &gt;= (OFFSET($A$1, 69 - 1, 7 - 1)), "1","0")</f>
        <v>1</v>
      </c>
      <c r="BD1020">
        <f ca="1" xml:space="preserve"> IF( AND( OFFSET($A$1, 1020 - 1, 54 - 1) = "1", OFFSET($A$1, 1020 - 1, 55 - 1) = "1" ), 1, IF( AND( OFFSET($A$1, 1020 - 1, 54 - 1) = "1", OFFSET($A$1, 1020 - 1, 55 - 1) = "0" ), 2, IF( AND( OFFSET($A$1, 1020 - 1, 54 - 1) = "0", OFFSET($A$1, 1020 - 1, 55 - 1) = "1" ), 3, 4 ) ) )</f>
        <v>1</v>
      </c>
    </row>
    <row r="1021" spans="53:56" x14ac:dyDescent="0.35">
      <c r="BA1021" s="3">
        <v>0.55501910381493191</v>
      </c>
      <c r="BB1021" s="3" t="str">
        <f>"0"</f>
        <v>0</v>
      </c>
      <c r="BC1021" t="str">
        <f ca="1">IF((OFFSET($A$1, 1021 - 1, 53 - 1)) &gt;= (OFFSET($A$1, 69 - 1, 7 - 1)), "1","0")</f>
        <v>1</v>
      </c>
      <c r="BD1021">
        <f ca="1" xml:space="preserve"> IF( AND( OFFSET($A$1, 1021 - 1, 54 - 1) = "1", OFFSET($A$1, 1021 - 1, 55 - 1) = "1" ), 1, IF( AND( OFFSET($A$1, 1021 - 1, 54 - 1) = "1", OFFSET($A$1, 1021 - 1, 55 - 1) = "0" ), 2, IF( AND( OFFSET($A$1, 1021 - 1, 54 - 1) = "0", OFFSET($A$1, 1021 - 1, 55 - 1) = "1" ), 3, 4 ) ) )</f>
        <v>3</v>
      </c>
    </row>
    <row r="1022" spans="53:56" x14ac:dyDescent="0.35">
      <c r="BA1022" s="3">
        <v>0.28432151683399082</v>
      </c>
      <c r="BB1022" s="3" t="str">
        <f>"0"</f>
        <v>0</v>
      </c>
      <c r="BC1022" t="str">
        <f ca="1">IF((OFFSET($A$1, 1022 - 1, 53 - 1)) &gt;= (OFFSET($A$1, 69 - 1, 7 - 1)), "1","0")</f>
        <v>0</v>
      </c>
      <c r="BD1022">
        <f ca="1" xml:space="preserve"> IF( AND( OFFSET($A$1, 1022 - 1, 54 - 1) = "1", OFFSET($A$1, 1022 - 1, 55 - 1) = "1" ), 1, IF( AND( OFFSET($A$1, 1022 - 1, 54 - 1) = "1", OFFSET($A$1, 1022 - 1, 55 - 1) = "0" ), 2, IF( AND( OFFSET($A$1, 1022 - 1, 54 - 1) = "0", OFFSET($A$1, 1022 - 1, 55 - 1) = "1" ), 3, 4 ) ) )</f>
        <v>4</v>
      </c>
    </row>
    <row r="1023" spans="53:56" x14ac:dyDescent="0.35">
      <c r="BA1023" s="3">
        <v>0.28314317167627268</v>
      </c>
      <c r="BB1023" s="3" t="str">
        <f>"0"</f>
        <v>0</v>
      </c>
      <c r="BC1023" t="str">
        <f ca="1">IF((OFFSET($A$1, 1023 - 1, 53 - 1)) &gt;= (OFFSET($A$1, 69 - 1, 7 - 1)), "1","0")</f>
        <v>0</v>
      </c>
      <c r="BD1023">
        <f ca="1" xml:space="preserve"> IF( AND( OFFSET($A$1, 1023 - 1, 54 - 1) = "1", OFFSET($A$1, 1023 - 1, 55 - 1) = "1" ), 1, IF( AND( OFFSET($A$1, 1023 - 1, 54 - 1) = "1", OFFSET($A$1, 1023 - 1, 55 - 1) = "0" ), 2, IF( AND( OFFSET($A$1, 1023 - 1, 54 - 1) = "0", OFFSET($A$1, 1023 - 1, 55 - 1) = "1" ), 3, 4 ) ) )</f>
        <v>4</v>
      </c>
    </row>
    <row r="1024" spans="53:56" x14ac:dyDescent="0.35">
      <c r="BA1024" s="3">
        <v>0.28196048627124809</v>
      </c>
      <c r="BB1024" s="3" t="str">
        <f>"0"</f>
        <v>0</v>
      </c>
      <c r="BC1024" t="str">
        <f ca="1">IF((OFFSET($A$1, 1024 - 1, 53 - 1)) &gt;= (OFFSET($A$1, 69 - 1, 7 - 1)), "1","0")</f>
        <v>0</v>
      </c>
      <c r="BD1024">
        <f ca="1" xml:space="preserve"> IF( AND( OFFSET($A$1, 1024 - 1, 54 - 1) = "1", OFFSET($A$1, 1024 - 1, 55 - 1) = "1" ), 1, IF( AND( OFFSET($A$1, 1024 - 1, 54 - 1) = "1", OFFSET($A$1, 1024 - 1, 55 - 1) = "0" ), 2, IF( AND( OFFSET($A$1, 1024 - 1, 54 - 1) = "0", OFFSET($A$1, 1024 - 1, 55 - 1) = "1" ), 3, 4 ) ) )</f>
        <v>4</v>
      </c>
    </row>
    <row r="1025" spans="53:56" x14ac:dyDescent="0.35">
      <c r="BA1025" s="3">
        <v>0.28077387359575329</v>
      </c>
      <c r="BB1025" s="3" t="str">
        <f>"0"</f>
        <v>0</v>
      </c>
      <c r="BC1025" t="str">
        <f ca="1">IF((OFFSET($A$1, 1025 - 1, 53 - 1)) &gt;= (OFFSET($A$1, 69 - 1, 7 - 1)), "1","0")</f>
        <v>0</v>
      </c>
      <c r="BD1025">
        <f ca="1" xml:space="preserve"> IF( AND( OFFSET($A$1, 1025 - 1, 54 - 1) = "1", OFFSET($A$1, 1025 - 1, 55 - 1) = "1" ), 1, IF( AND( OFFSET($A$1, 1025 - 1, 54 - 1) = "1", OFFSET($A$1, 1025 - 1, 55 - 1) = "0" ), 2, IF( AND( OFFSET($A$1, 1025 - 1, 54 - 1) = "0", OFFSET($A$1, 1025 - 1, 55 - 1) = "1" ), 3, 4 ) ) )</f>
        <v>4</v>
      </c>
    </row>
    <row r="1026" spans="53:56" x14ac:dyDescent="0.35">
      <c r="BA1026" s="3">
        <v>0.27958374557619442</v>
      </c>
      <c r="BB1026" s="3" t="str">
        <f>"0"</f>
        <v>0</v>
      </c>
      <c r="BC1026" t="str">
        <f ca="1">IF((OFFSET($A$1, 1026 - 1, 53 - 1)) &gt;= (OFFSET($A$1, 69 - 1, 7 - 1)), "1","0")</f>
        <v>0</v>
      </c>
      <c r="BD1026">
        <f ca="1" xml:space="preserve"> IF( AND( OFFSET($A$1, 1026 - 1, 54 - 1) = "1", OFFSET($A$1, 1026 - 1, 55 - 1) = "1" ), 1, IF( AND( OFFSET($A$1, 1026 - 1, 54 - 1) = "1", OFFSET($A$1, 1026 - 1, 55 - 1) = "0" ), 2, IF( AND( OFFSET($A$1, 1026 - 1, 54 - 1) = "0", OFFSET($A$1, 1026 - 1, 55 - 1) = "1" ), 3, 4 ) ) )</f>
        <v>4</v>
      </c>
    </row>
    <row r="1027" spans="53:56" x14ac:dyDescent="0.35">
      <c r="BA1027" s="3">
        <v>0.27839051287777594</v>
      </c>
      <c r="BB1027" s="3" t="str">
        <f>"1"</f>
        <v>1</v>
      </c>
      <c r="BC1027" t="str">
        <f ca="1">IF((OFFSET($A$1, 1027 - 1, 53 - 1)) &gt;= (OFFSET($A$1, 69 - 1, 7 - 1)), "1","0")</f>
        <v>0</v>
      </c>
      <c r="BD1027">
        <f ca="1" xml:space="preserve"> IF( AND( OFFSET($A$1, 1027 - 1, 54 - 1) = "1", OFFSET($A$1, 1027 - 1, 55 - 1) = "1" ), 1, IF( AND( OFFSET($A$1, 1027 - 1, 54 - 1) = "1", OFFSET($A$1, 1027 - 1, 55 - 1) = "0" ), 2, IF( AND( OFFSET($A$1, 1027 - 1, 54 - 1) = "0", OFFSET($A$1, 1027 - 1, 55 - 1) = "1" ), 3, 4 ) ) )</f>
        <v>2</v>
      </c>
    </row>
    <row r="1028" spans="53:56" x14ac:dyDescent="0.35">
      <c r="BA1028" s="3">
        <v>0.54485801536569411</v>
      </c>
      <c r="BB1028" s="3" t="str">
        <f>"1"</f>
        <v>1</v>
      </c>
      <c r="BC1028" t="str">
        <f ca="1">IF((OFFSET($A$1, 1028 - 1, 53 - 1)) &gt;= (OFFSET($A$1, 69 - 1, 7 - 1)), "1","0")</f>
        <v>1</v>
      </c>
      <c r="BD1028">
        <f ca="1" xml:space="preserve"> IF( AND( OFFSET($A$1, 1028 - 1, 54 - 1) = "1", OFFSET($A$1, 1028 - 1, 55 - 1) = "1" ), 1, IF( AND( OFFSET($A$1, 1028 - 1, 54 - 1) = "1", OFFSET($A$1, 1028 - 1, 55 - 1) = "0" ), 2, IF( AND( OFFSET($A$1, 1028 - 1, 54 - 1) = "0", OFFSET($A$1, 1028 - 1, 55 - 1) = "1" ), 3, 4 ) ) )</f>
        <v>1</v>
      </c>
    </row>
    <row r="1029" spans="53:56" x14ac:dyDescent="0.35">
      <c r="BA1029" s="3">
        <v>0.54337257570702813</v>
      </c>
      <c r="BB1029" s="3" t="str">
        <f>"1"</f>
        <v>1</v>
      </c>
      <c r="BC1029" t="str">
        <f ca="1">IF((OFFSET($A$1, 1029 - 1, 53 - 1)) &gt;= (OFFSET($A$1, 69 - 1, 7 - 1)), "1","0")</f>
        <v>1</v>
      </c>
      <c r="BD1029">
        <f ca="1" xml:space="preserve"> IF( AND( OFFSET($A$1, 1029 - 1, 54 - 1) = "1", OFFSET($A$1, 1029 - 1, 55 - 1) = "1" ), 1, IF( AND( OFFSET($A$1, 1029 - 1, 54 - 1) = "1", OFFSET($A$1, 1029 - 1, 55 - 1) = "0" ), 2, IF( AND( OFFSET($A$1, 1029 - 1, 54 - 1) = "0", OFFSET($A$1, 1029 - 1, 55 - 1) = "1" ), 3, 4 ) ) )</f>
        <v>1</v>
      </c>
    </row>
    <row r="1030" spans="53:56" x14ac:dyDescent="0.35">
      <c r="BA1030" s="3">
        <v>0.54188002041933336</v>
      </c>
      <c r="BB1030" s="3" t="str">
        <f>"0"</f>
        <v>0</v>
      </c>
      <c r="BC1030" t="str">
        <f ca="1">IF((OFFSET($A$1, 1030 - 1, 53 - 1)) &gt;= (OFFSET($A$1, 69 - 1, 7 - 1)), "1","0")</f>
        <v>1</v>
      </c>
      <c r="BD1030">
        <f ca="1" xml:space="preserve"> IF( AND( OFFSET($A$1, 1030 - 1, 54 - 1) = "1", OFFSET($A$1, 1030 - 1, 55 - 1) = "1" ), 1, IF( AND( OFFSET($A$1, 1030 - 1, 54 - 1) = "1", OFFSET($A$1, 1030 - 1, 55 - 1) = "0" ), 2, IF( AND( OFFSET($A$1, 1030 - 1, 54 - 1) = "0", OFFSET($A$1, 1030 - 1, 55 - 1) = "1" ), 3, 4 ) ) )</f>
        <v>3</v>
      </c>
    </row>
    <row r="1031" spans="53:56" x14ac:dyDescent="0.35">
      <c r="BA1031" s="3">
        <v>0.27359469291203176</v>
      </c>
      <c r="BB1031" s="3" t="str">
        <f>"1"</f>
        <v>1</v>
      </c>
      <c r="BC1031" t="str">
        <f ca="1">IF((OFFSET($A$1, 1031 - 1, 53 - 1)) &gt;= (OFFSET($A$1, 69 - 1, 7 - 1)), "1","0")</f>
        <v>0</v>
      </c>
      <c r="BD1031">
        <f ca="1" xml:space="preserve"> IF( AND( OFFSET($A$1, 1031 - 1, 54 - 1) = "1", OFFSET($A$1, 1031 - 1, 55 - 1) = "1" ), 1, IF( AND( OFFSET($A$1, 1031 - 1, 54 - 1) = "1", OFFSET($A$1, 1031 - 1, 55 - 1) = "0" ), 2, IF( AND( OFFSET($A$1, 1031 - 1, 54 - 1) = "0", OFFSET($A$1, 1031 - 1, 55 - 1) = "1" ), 3, 4 ) ) )</f>
        <v>2</v>
      </c>
    </row>
    <row r="1032" spans="53:56" x14ac:dyDescent="0.35">
      <c r="BA1032" s="3">
        <v>0.53887540085045937</v>
      </c>
      <c r="BB1032" s="3" t="str">
        <f>"1"</f>
        <v>1</v>
      </c>
      <c r="BC1032" t="str">
        <f ca="1">IF((OFFSET($A$1, 1032 - 1, 53 - 1)) &gt;= (OFFSET($A$1, 69 - 1, 7 - 1)), "1","0")</f>
        <v>1</v>
      </c>
      <c r="BD1032">
        <f ca="1" xml:space="preserve"> IF( AND( OFFSET($A$1, 1032 - 1, 54 - 1) = "1", OFFSET($A$1, 1032 - 1, 55 - 1) = "1" ), 1, IF( AND( OFFSET($A$1, 1032 - 1, 54 - 1) = "1", OFFSET($A$1, 1032 - 1, 55 - 1) = "0" ), 2, IF( AND( OFFSET($A$1, 1032 - 1, 54 - 1) = "0", OFFSET($A$1, 1032 - 1, 55 - 1) = "1" ), 3, 4 ) ) )</f>
        <v>1</v>
      </c>
    </row>
    <row r="1033" spans="53:56" x14ac:dyDescent="0.35">
      <c r="BA1033" s="3">
        <v>0.53736426354439271</v>
      </c>
      <c r="BB1033" s="3" t="str">
        <f>"0"</f>
        <v>0</v>
      </c>
      <c r="BC1033" t="str">
        <f ca="1">IF((OFFSET($A$1, 1033 - 1, 53 - 1)) &gt;= (OFFSET($A$1, 69 - 1, 7 - 1)), "1","0")</f>
        <v>1</v>
      </c>
      <c r="BD1033">
        <f ca="1" xml:space="preserve"> IF( AND( OFFSET($A$1, 1033 - 1, 54 - 1) = "1", OFFSET($A$1, 1033 - 1, 55 - 1) = "1" ), 1, IF( AND( OFFSET($A$1, 1033 - 1, 54 - 1) = "1", OFFSET($A$1, 1033 - 1, 55 - 1) = "0" ), 2, IF( AND( OFFSET($A$1, 1033 - 1, 54 - 1) = "0", OFFSET($A$1, 1033 - 1, 55 - 1) = "1" ), 3, 4 ) ) )</f>
        <v>3</v>
      </c>
    </row>
    <row r="1034" spans="53:56" x14ac:dyDescent="0.35">
      <c r="BA1034" s="3">
        <v>0.26998508955483974</v>
      </c>
      <c r="BB1034" s="3" t="str">
        <f>"0"</f>
        <v>0</v>
      </c>
      <c r="BC1034" t="str">
        <f ca="1">IF((OFFSET($A$1, 1034 - 1, 53 - 1)) &gt;= (OFFSET($A$1, 69 - 1, 7 - 1)), "1","0")</f>
        <v>0</v>
      </c>
      <c r="BD1034">
        <f ca="1" xml:space="preserve"> IF( AND( OFFSET($A$1, 1034 - 1, 54 - 1) = "1", OFFSET($A$1, 1034 - 1, 55 - 1) = "1" ), 1, IF( AND( OFFSET($A$1, 1034 - 1, 54 - 1) = "1", OFFSET($A$1, 1034 - 1, 55 - 1) = "0" ), 2, IF( AND( OFFSET($A$1, 1034 - 1, 54 - 1) = "0", OFFSET($A$1, 1034 - 1, 55 - 1) = "1" ), 3, 4 ) ) )</f>
        <v>4</v>
      </c>
    </row>
    <row r="1035" spans="53:56" x14ac:dyDescent="0.35">
      <c r="BA1035" s="3">
        <v>0.26878158503719407</v>
      </c>
      <c r="BB1035" s="3" t="str">
        <f>"0"</f>
        <v>0</v>
      </c>
      <c r="BC1035" t="str">
        <f ca="1">IF((OFFSET($A$1, 1035 - 1, 53 - 1)) &gt;= (OFFSET($A$1, 69 - 1, 7 - 1)), "1","0")</f>
        <v>0</v>
      </c>
      <c r="BD1035">
        <f ca="1" xml:space="preserve"> IF( AND( OFFSET($A$1, 1035 - 1, 54 - 1) = "1", OFFSET($A$1, 1035 - 1, 55 - 1) = "1" ), 1, IF( AND( OFFSET($A$1, 1035 - 1, 54 - 1) = "1", OFFSET($A$1, 1035 - 1, 55 - 1) = "0" ), 2, IF( AND( OFFSET($A$1, 1035 - 1, 54 - 1) = "0", OFFSET($A$1, 1035 - 1, 55 - 1) = "1" ), 3, 4 ) ) )</f>
        <v>4</v>
      </c>
    </row>
    <row r="1036" spans="53:56" x14ac:dyDescent="0.35">
      <c r="BA1036" s="3">
        <v>0.26757858194576256</v>
      </c>
      <c r="BB1036" s="3" t="str">
        <f>"0"</f>
        <v>0</v>
      </c>
      <c r="BC1036" t="str">
        <f ca="1">IF((OFFSET($A$1, 1036 - 1, 53 - 1)) &gt;= (OFFSET($A$1, 69 - 1, 7 - 1)), "1","0")</f>
        <v>0</v>
      </c>
      <c r="BD1036">
        <f ca="1" xml:space="preserve"> IF( AND( OFFSET($A$1, 1036 - 1, 54 - 1) = "1", OFFSET($A$1, 1036 - 1, 55 - 1) = "1" ), 1, IF( AND( OFFSET($A$1, 1036 - 1, 54 - 1) = "1", OFFSET($A$1, 1036 - 1, 55 - 1) = "0" ), 2, IF( AND( OFFSET($A$1, 1036 - 1, 54 - 1) = "0", OFFSET($A$1, 1036 - 1, 55 - 1) = "1" ), 3, 4 ) ) )</f>
        <v>4</v>
      </c>
    </row>
    <row r="1037" spans="53:56" x14ac:dyDescent="0.35">
      <c r="BA1037" s="3">
        <v>0.2663764675055813</v>
      </c>
      <c r="BB1037" s="3" t="str">
        <f>"0"</f>
        <v>0</v>
      </c>
      <c r="BC1037" t="str">
        <f ca="1">IF((OFFSET($A$1, 1037 - 1, 53 - 1)) &gt;= (OFFSET($A$1, 69 - 1, 7 - 1)), "1","0")</f>
        <v>0</v>
      </c>
      <c r="BD1037">
        <f ca="1" xml:space="preserve"> IF( AND( OFFSET($A$1, 1037 - 1, 54 - 1) = "1", OFFSET($A$1, 1037 - 1, 55 - 1) = "1" ), 1, IF( AND( OFFSET($A$1, 1037 - 1, 54 - 1) = "1", OFFSET($A$1, 1037 - 1, 55 - 1) = "0" ), 2, IF( AND( OFFSET($A$1, 1037 - 1, 54 - 1) = "0", OFFSET($A$1, 1037 - 1, 55 - 1) = "1" ), 3, 4 ) ) )</f>
        <v>4</v>
      </c>
    </row>
    <row r="1038" spans="53:56" x14ac:dyDescent="0.35">
      <c r="BA1038" s="3">
        <v>0.26517562560637081</v>
      </c>
      <c r="BB1038" s="3" t="str">
        <f>"1"</f>
        <v>1</v>
      </c>
      <c r="BC1038" t="str">
        <f ca="1">IF((OFFSET($A$1, 1038 - 1, 53 - 1)) &gt;= (OFFSET($A$1, 69 - 1, 7 - 1)), "1","0")</f>
        <v>0</v>
      </c>
      <c r="BD1038">
        <f ca="1" xml:space="preserve"> IF( AND( OFFSET($A$1, 1038 - 1, 54 - 1) = "1", OFFSET($A$1, 1038 - 1, 55 - 1) = "1" ), 1, IF( AND( OFFSET($A$1, 1038 - 1, 54 - 1) = "1", OFFSET($A$1, 1038 - 1, 55 - 1) = "0" ), 2, IF( AND( OFFSET($A$1, 1038 - 1, 54 - 1) = "0", OFFSET($A$1, 1038 - 1, 55 - 1) = "1" ), 3, 4 ) ) )</f>
        <v>2</v>
      </c>
    </row>
    <row r="1039" spans="53:56" x14ac:dyDescent="0.35">
      <c r="BA1039" s="3">
        <v>0.52820349158930657</v>
      </c>
      <c r="BB1039" s="3" t="str">
        <f>"1"</f>
        <v>1</v>
      </c>
      <c r="BC1039" t="str">
        <f ca="1">IF((OFFSET($A$1, 1039 - 1, 53 - 1)) &gt;= (OFFSET($A$1, 69 - 1, 7 - 1)), "1","0")</f>
        <v>1</v>
      </c>
      <c r="BD1039">
        <f ca="1" xml:space="preserve"> IF( AND( OFFSET($A$1, 1039 - 1, 54 - 1) = "1", OFFSET($A$1, 1039 - 1, 55 - 1) = "1" ), 1, IF( AND( OFFSET($A$1, 1039 - 1, 54 - 1) = "1", OFFSET($A$1, 1039 - 1, 55 - 1) = "0" ), 2, IF( AND( OFFSET($A$1, 1039 - 1, 54 - 1) = "0", OFFSET($A$1, 1039 - 1, 55 - 1) = "1" ), 3, 4 ) ) )</f>
        <v>1</v>
      </c>
    </row>
    <row r="1040" spans="53:56" x14ac:dyDescent="0.35">
      <c r="BA1040" s="3">
        <v>0.52666548326312568</v>
      </c>
      <c r="BB1040" s="3" t="str">
        <f>"1"</f>
        <v>1</v>
      </c>
      <c r="BC1040" t="str">
        <f ca="1">IF((OFFSET($A$1, 1040 - 1, 53 - 1)) &gt;= (OFFSET($A$1, 69 - 1, 7 - 1)), "1","0")</f>
        <v>1</v>
      </c>
      <c r="BD1040">
        <f ca="1" xml:space="preserve"> IF( AND( OFFSET($A$1, 1040 - 1, 54 - 1) = "1", OFFSET($A$1, 1040 - 1, 55 - 1) = "1" ), 1, IF( AND( OFFSET($A$1, 1040 - 1, 54 - 1) = "1", OFFSET($A$1, 1040 - 1, 55 - 1) = "0" ), 2, IF( AND( OFFSET($A$1, 1040 - 1, 54 - 1) = "0", OFFSET($A$1, 1040 - 1, 55 - 1) = "1" ), 3, 4 ) ) )</f>
        <v>1</v>
      </c>
    </row>
    <row r="1041" spans="53:56" x14ac:dyDescent="0.35">
      <c r="BA1041" s="3">
        <v>0.52512555242010861</v>
      </c>
      <c r="BB1041" s="3" t="str">
        <f>"0"</f>
        <v>0</v>
      </c>
      <c r="BC1041" t="str">
        <f ca="1">IF((OFFSET($A$1, 1041 - 1, 53 - 1)) &gt;= (OFFSET($A$1, 69 - 1, 7 - 1)), "1","0")</f>
        <v>1</v>
      </c>
      <c r="BD1041">
        <f ca="1" xml:space="preserve"> IF( AND( OFFSET($A$1, 1041 - 1, 54 - 1) = "1", OFFSET($A$1, 1041 - 1, 55 - 1) = "1" ), 1, IF( AND( OFFSET($A$1, 1041 - 1, 54 - 1) = "1", OFFSET($A$1, 1041 - 1, 55 - 1) = "0" ), 2, IF( AND( OFFSET($A$1, 1041 - 1, 54 - 1) = "0", OFFSET($A$1, 1041 - 1, 55 - 1) = "1" ), 3, 4 ) ) )</f>
        <v>3</v>
      </c>
    </row>
    <row r="1042" spans="53:56" x14ac:dyDescent="0.35">
      <c r="BA1042" s="3">
        <v>0.26039253560468528</v>
      </c>
      <c r="BB1042" s="3" t="str">
        <f>"0"</f>
        <v>0</v>
      </c>
      <c r="BC1042" t="str">
        <f ca="1">IF((OFFSET($A$1, 1042 - 1, 53 - 1)) &gt;= (OFFSET($A$1, 69 - 1, 7 - 1)), "1","0")</f>
        <v>0</v>
      </c>
      <c r="BD1042">
        <f ca="1" xml:space="preserve"> IF( AND( OFFSET($A$1, 1042 - 1, 54 - 1) = "1", OFFSET($A$1, 1042 - 1, 55 - 1) = "1" ), 1, IF( AND( OFFSET($A$1, 1042 - 1, 54 - 1) = "1", OFFSET($A$1, 1042 - 1, 55 - 1) = "0" ), 2, IF( AND( OFFSET($A$1, 1042 - 1, 54 - 1) = "0", OFFSET($A$1, 1042 - 1, 55 - 1) = "1" ), 3, 4 ) ) )</f>
        <v>4</v>
      </c>
    </row>
    <row r="1043" spans="53:56" x14ac:dyDescent="0.35">
      <c r="BA1043" s="3">
        <v>0.2592036870430886</v>
      </c>
      <c r="BB1043" s="3" t="str">
        <f>"0"</f>
        <v>0</v>
      </c>
      <c r="BC1043" t="str">
        <f ca="1">IF((OFFSET($A$1, 1043 - 1, 53 - 1)) &gt;= (OFFSET($A$1, 69 - 1, 7 - 1)), "1","0")</f>
        <v>0</v>
      </c>
      <c r="BD1043">
        <f ca="1" xml:space="preserve"> IF( AND( OFFSET($A$1, 1043 - 1, 54 - 1) = "1", OFFSET($A$1, 1043 - 1, 55 - 1) = "1" ), 1, IF( AND( OFFSET($A$1, 1043 - 1, 54 - 1) = "1", OFFSET($A$1, 1043 - 1, 55 - 1) = "0" ), 2, IF( AND( OFFSET($A$1, 1043 - 1, 54 - 1) = "0", OFFSET($A$1, 1043 - 1, 55 - 1) = "1" ), 3, 4 ) ) )</f>
        <v>4</v>
      </c>
    </row>
    <row r="1044" spans="53:56" x14ac:dyDescent="0.35">
      <c r="BA1044" s="3">
        <v>0.25801833567606841</v>
      </c>
      <c r="BB1044" s="3" t="str">
        <f>"0"</f>
        <v>0</v>
      </c>
      <c r="BC1044" t="str">
        <f ca="1">IF((OFFSET($A$1, 1044 - 1, 53 - 1)) &gt;= (OFFSET($A$1, 69 - 1, 7 - 1)), "1","0")</f>
        <v>0</v>
      </c>
      <c r="BD1044">
        <f ca="1" xml:space="preserve"> IF( AND( OFFSET($A$1, 1044 - 1, 54 - 1) = "1", OFFSET($A$1, 1044 - 1, 55 - 1) = "1" ), 1, IF( AND( OFFSET($A$1, 1044 - 1, 54 - 1) = "1", OFFSET($A$1, 1044 - 1, 55 - 1) = "0" ), 2, IF( AND( OFFSET($A$1, 1044 - 1, 54 - 1) = "0", OFFSET($A$1, 1044 - 1, 55 - 1) = "1" ), 3, 4 ) ) )</f>
        <v>4</v>
      </c>
    </row>
    <row r="1045" spans="53:56" x14ac:dyDescent="0.35">
      <c r="BA1045" s="3">
        <v>0.25683683784172479</v>
      </c>
      <c r="BB1045" s="3" t="str">
        <f>"0"</f>
        <v>0</v>
      </c>
      <c r="BC1045" t="str">
        <f ca="1">IF((OFFSET($A$1, 1045 - 1, 53 - 1)) &gt;= (OFFSET($A$1, 69 - 1, 7 - 1)), "1","0")</f>
        <v>0</v>
      </c>
      <c r="BD1045">
        <f ca="1" xml:space="preserve"> IF( AND( OFFSET($A$1, 1045 - 1, 54 - 1) = "1", OFFSET($A$1, 1045 - 1, 55 - 1) = "1" ), 1, IF( AND( OFFSET($A$1, 1045 - 1, 54 - 1) = "1", OFFSET($A$1, 1045 - 1, 55 - 1) = "0" ), 2, IF( AND( OFFSET($A$1, 1045 - 1, 54 - 1) = "0", OFFSET($A$1, 1045 - 1, 55 - 1) = "1" ), 3, 4 ) ) )</f>
        <v>4</v>
      </c>
    </row>
    <row r="1046" spans="53:56" x14ac:dyDescent="0.35">
      <c r="BA1046" s="3">
        <v>0.25565954540987823</v>
      </c>
      <c r="BB1046" s="3" t="str">
        <f>"0"</f>
        <v>0</v>
      </c>
      <c r="BC1046" t="str">
        <f ca="1">IF((OFFSET($A$1, 1046 - 1, 53 - 1)) &gt;= (OFFSET($A$1, 69 - 1, 7 - 1)), "1","0")</f>
        <v>0</v>
      </c>
      <c r="BD1046">
        <f ca="1" xml:space="preserve"> IF( AND( OFFSET($A$1, 1046 - 1, 54 - 1) = "1", OFFSET($A$1, 1046 - 1, 55 - 1) = "1" ), 1, IF( AND( OFFSET($A$1, 1046 - 1, 54 - 1) = "1", OFFSET($A$1, 1046 - 1, 55 - 1) = "0" ), 2, IF( AND( OFFSET($A$1, 1046 - 1, 54 - 1) = "0", OFFSET($A$1, 1046 - 1, 55 - 1) = "1" ), 3, 4 ) ) )</f>
        <v>4</v>
      </c>
    </row>
    <row r="1047" spans="53:56" x14ac:dyDescent="0.35">
      <c r="BA1047" s="3">
        <v>0.25448680566682041</v>
      </c>
      <c r="BB1047" s="3" t="str">
        <f>"0"</f>
        <v>0</v>
      </c>
      <c r="BC1047" t="str">
        <f ca="1">IF((OFFSET($A$1, 1047 - 1, 53 - 1)) &gt;= (OFFSET($A$1, 69 - 1, 7 - 1)), "1","0")</f>
        <v>0</v>
      </c>
      <c r="BD1047">
        <f ca="1" xml:space="preserve"> IF( AND( OFFSET($A$1, 1047 - 1, 54 - 1) = "1", OFFSET($A$1, 1047 - 1, 55 - 1) = "1" ), 1, IF( AND( OFFSET($A$1, 1047 - 1, 54 - 1) = "1", OFFSET($A$1, 1047 - 1, 55 - 1) = "0" ), 2, IF( AND( OFFSET($A$1, 1047 - 1, 54 - 1) = "0", OFFSET($A$1, 1047 - 1, 55 - 1) = "1" ), 3, 4 ) ) )</f>
        <v>4</v>
      </c>
    </row>
    <row r="1048" spans="53:56" x14ac:dyDescent="0.35">
      <c r="BA1048" s="3">
        <v>0.25331896120620223</v>
      </c>
      <c r="BB1048" s="3" t="str">
        <f>"0"</f>
        <v>0</v>
      </c>
      <c r="BC1048" t="str">
        <f ca="1">IF((OFFSET($A$1, 1048 - 1, 53 - 1)) &gt;= (OFFSET($A$1, 69 - 1, 7 - 1)), "1","0")</f>
        <v>0</v>
      </c>
      <c r="BD1048">
        <f ca="1" xml:space="preserve"> IF( AND( OFFSET($A$1, 1048 - 1, 54 - 1) = "1", OFFSET($A$1, 1048 - 1, 55 - 1) = "1" ), 1, IF( AND( OFFSET($A$1, 1048 - 1, 54 - 1) = "1", OFFSET($A$1, 1048 - 1, 55 - 1) = "0" ), 2, IF( AND( OFFSET($A$1, 1048 - 1, 54 - 1) = "0", OFFSET($A$1, 1048 - 1, 55 - 1) = "1" ), 3, 4 ) ) )</f>
        <v>4</v>
      </c>
    </row>
    <row r="1049" spans="53:56" x14ac:dyDescent="0.35">
      <c r="BA1049" s="3">
        <v>0.25215634982611373</v>
      </c>
      <c r="BB1049" s="3" t="str">
        <f>"0"</f>
        <v>0</v>
      </c>
      <c r="BC1049" t="str">
        <f ca="1">IF((OFFSET($A$1, 1049 - 1, 53 - 1)) &gt;= (OFFSET($A$1, 69 - 1, 7 - 1)), "1","0")</f>
        <v>0</v>
      </c>
      <c r="BD1049">
        <f ca="1" xml:space="preserve"> IF( AND( OFFSET($A$1, 1049 - 1, 54 - 1) = "1", OFFSET($A$1, 1049 - 1, 55 - 1) = "1" ), 1, IF( AND( OFFSET($A$1, 1049 - 1, 54 - 1) = "1", OFFSET($A$1, 1049 - 1, 55 - 1) = "0" ), 2, IF( AND( OFFSET($A$1, 1049 - 1, 54 - 1) = "0", OFFSET($A$1, 1049 - 1, 55 - 1) = "1" ), 3, 4 ) ) )</f>
        <v>4</v>
      </c>
    </row>
    <row r="1050" spans="53:56" x14ac:dyDescent="0.35">
      <c r="BA1050" s="3">
        <v>0.25099930443239266</v>
      </c>
      <c r="BB1050" s="3" t="str">
        <f>"0"</f>
        <v>0</v>
      </c>
      <c r="BC1050" t="str">
        <f ca="1">IF((OFFSET($A$1, 1050 - 1, 53 - 1)) &gt;= (OFFSET($A$1, 69 - 1, 7 - 1)), "1","0")</f>
        <v>0</v>
      </c>
      <c r="BD1050">
        <f ca="1" xml:space="preserve"> IF( AND( OFFSET($A$1, 1050 - 1, 54 - 1) = "1", OFFSET($A$1, 1050 - 1, 55 - 1) = "1" ), 1, IF( AND( OFFSET($A$1, 1050 - 1, 54 - 1) = "1", OFFSET($A$1, 1050 - 1, 55 - 1) = "0" ), 2, IF( AND( OFFSET($A$1, 1050 - 1, 54 - 1) = "0", OFFSET($A$1, 1050 - 1, 55 - 1) = "1" ), 3, 4 ) ) )</f>
        <v>4</v>
      </c>
    </row>
    <row r="1051" spans="53:56" x14ac:dyDescent="0.35">
      <c r="BA1051" s="3">
        <v>0.24984815294819157</v>
      </c>
      <c r="BB1051" s="3" t="str">
        <f>"0"</f>
        <v>0</v>
      </c>
      <c r="BC1051" t="str">
        <f ca="1">IF((OFFSET($A$1, 1051 - 1, 53 - 1)) &gt;= (OFFSET($A$1, 69 - 1, 7 - 1)), "1","0")</f>
        <v>0</v>
      </c>
      <c r="BD1051">
        <f ca="1" xml:space="preserve"> IF( AND( OFFSET($A$1, 1051 - 1, 54 - 1) = "1", OFFSET($A$1, 1051 - 1, 55 - 1) = "1" ), 1, IF( AND( OFFSET($A$1, 1051 - 1, 54 - 1) = "1", OFFSET($A$1, 1051 - 1, 55 - 1) = "0" ), 2, IF( AND( OFFSET($A$1, 1051 - 1, 54 - 1) = "0", OFFSET($A$1, 1051 - 1, 55 - 1) = "1" ), 3, 4 ) ) )</f>
        <v>4</v>
      </c>
    </row>
    <row r="1052" spans="53:56" x14ac:dyDescent="0.35">
      <c r="BA1052" s="3">
        <v>0.24870321822982636</v>
      </c>
      <c r="BB1052" s="3" t="str">
        <f>"0"</f>
        <v>0</v>
      </c>
      <c r="BC1052" t="str">
        <f ca="1">IF((OFFSET($A$1, 1052 - 1, 53 - 1)) &gt;= (OFFSET($A$1, 69 - 1, 7 - 1)), "1","0")</f>
        <v>0</v>
      </c>
      <c r="BD1052">
        <f ca="1" xml:space="preserve"> IF( AND( OFFSET($A$1, 1052 - 1, 54 - 1) = "1", OFFSET($A$1, 1052 - 1, 55 - 1) = "1" ), 1, IF( AND( OFFSET($A$1, 1052 - 1, 54 - 1) = "1", OFFSET($A$1, 1052 - 1, 55 - 1) = "0" ), 2, IF( AND( OFFSET($A$1, 1052 - 1, 54 - 1) = "0", OFFSET($A$1, 1052 - 1, 55 - 1) = "1" ), 3, 4 ) ) )</f>
        <v>4</v>
      </c>
    </row>
    <row r="1053" spans="53:56" x14ac:dyDescent="0.35">
      <c r="BA1053" s="3">
        <v>0.24756481798890523</v>
      </c>
      <c r="BB1053" s="3" t="str">
        <f>"0"</f>
        <v>0</v>
      </c>
      <c r="BC1053" t="str">
        <f ca="1">IF((OFFSET($A$1, 1053 - 1, 53 - 1)) &gt;= (OFFSET($A$1, 69 - 1, 7 - 1)), "1","0")</f>
        <v>0</v>
      </c>
      <c r="BD1053">
        <f ca="1" xml:space="preserve"> IF( AND( OFFSET($A$1, 1053 - 1, 54 - 1) = "1", OFFSET($A$1, 1053 - 1, 55 - 1) = "1" ), 1, IF( AND( OFFSET($A$1, 1053 - 1, 54 - 1) = "1", OFFSET($A$1, 1053 - 1, 55 - 1) = "0" ), 2, IF( AND( OFFSET($A$1, 1053 - 1, 54 - 1) = "0", OFFSET($A$1, 1053 - 1, 55 - 1) = "1" ), 3, 4 ) ) )</f>
        <v>4</v>
      </c>
    </row>
    <row r="1054" spans="53:56" x14ac:dyDescent="0.35">
      <c r="BA1054" s="3">
        <v>0.24643326472073984</v>
      </c>
      <c r="BB1054" s="3" t="str">
        <f>"0"</f>
        <v>0</v>
      </c>
      <c r="BC1054" t="str">
        <f ca="1">IF((OFFSET($A$1, 1054 - 1, 53 - 1)) &gt;= (OFFSET($A$1, 69 - 1, 7 - 1)), "1","0")</f>
        <v>0</v>
      </c>
      <c r="BD1054">
        <f ca="1" xml:space="preserve"> IF( AND( OFFSET($A$1, 1054 - 1, 54 - 1) = "1", OFFSET($A$1, 1054 - 1, 55 - 1) = "1" ), 1, IF( AND( OFFSET($A$1, 1054 - 1, 54 - 1) = "1", OFFSET($A$1, 1054 - 1, 55 - 1) = "0" ), 2, IF( AND( OFFSET($A$1, 1054 - 1, 54 - 1) = "0", OFFSET($A$1, 1054 - 1, 55 - 1) = "1" ), 3, 4 ) ) )</f>
        <v>4</v>
      </c>
    </row>
    <row r="1055" spans="53:56" x14ac:dyDescent="0.35">
      <c r="BA1055" s="3">
        <v>0.24530886563901899</v>
      </c>
      <c r="BB1055" s="3" t="str">
        <f>"1"</f>
        <v>1</v>
      </c>
      <c r="BC1055" t="str">
        <f ca="1">IF((OFFSET($A$1, 1055 - 1, 53 - 1)) &gt;= (OFFSET($A$1, 69 - 1, 7 - 1)), "1","0")</f>
        <v>0</v>
      </c>
      <c r="BD1055">
        <f ca="1" xml:space="preserve"> IF( AND( OFFSET($A$1, 1055 - 1, 54 - 1) = "1", OFFSET($A$1, 1055 - 1, 55 - 1) = "1" ), 1, IF( AND( OFFSET($A$1, 1055 - 1, 54 - 1) = "1", OFFSET($A$1, 1055 - 1, 55 - 1) = "0" ), 2, IF( AND( OFFSET($A$1, 1055 - 1, 54 - 1) = "0", OFFSET($A$1, 1055 - 1, 55 - 1) = "1" ), 3, 4 ) ) )</f>
        <v>2</v>
      </c>
    </row>
    <row r="1056" spans="53:56" x14ac:dyDescent="0.35">
      <c r="BA1056" s="3">
        <v>0.50212577209412701</v>
      </c>
      <c r="BB1056" s="3" t="str">
        <f>"0"</f>
        <v>0</v>
      </c>
      <c r="BC1056" t="str">
        <f ca="1">IF((OFFSET($A$1, 1056 - 1, 53 - 1)) &gt;= (OFFSET($A$1, 69 - 1, 7 - 1)), "1","0")</f>
        <v>1</v>
      </c>
      <c r="BD1056">
        <f ca="1" xml:space="preserve"> IF( AND( OFFSET($A$1, 1056 - 1, 54 - 1) = "1", OFFSET($A$1, 1056 - 1, 55 - 1) = "1" ), 1, IF( AND( OFFSET($A$1, 1056 - 1, 54 - 1) = "1", OFFSET($A$1, 1056 - 1, 55 - 1) = "0" ), 2, IF( AND( OFFSET($A$1, 1056 - 1, 54 - 1) = "0", OFFSET($A$1, 1056 - 1, 55 - 1) = "1" ), 3, 4 ) ) )</f>
        <v>3</v>
      </c>
    </row>
    <row r="1057" spans="53:56" x14ac:dyDescent="0.35">
      <c r="BA1057" s="3">
        <v>0.24308273213323367</v>
      </c>
      <c r="BB1057" s="3" t="str">
        <f>"0"</f>
        <v>0</v>
      </c>
      <c r="BC1057" t="str">
        <f ca="1">IF((OFFSET($A$1, 1057 - 1, 53 - 1)) &gt;= (OFFSET($A$1, 69 - 1, 7 - 1)), "1","0")</f>
        <v>0</v>
      </c>
      <c r="BD1057">
        <f ca="1" xml:space="preserve"> IF( AND( OFFSET($A$1, 1057 - 1, 54 - 1) = "1", OFFSET($A$1, 1057 - 1, 55 - 1) = "1" ), 1, IF( AND( OFFSET($A$1, 1057 - 1, 54 - 1) = "1", OFFSET($A$1, 1057 - 1, 55 - 1) = "0" ), 2, IF( AND( OFFSET($A$1, 1057 - 1, 54 - 1) = "0", OFFSET($A$1, 1057 - 1, 55 - 1) = "1" ), 3, 4 ) ) )</f>
        <v>4</v>
      </c>
    </row>
    <row r="1058" spans="53:56" x14ac:dyDescent="0.35">
      <c r="BA1058" s="3">
        <v>0.24198158522760799</v>
      </c>
      <c r="BB1058" s="3" t="str">
        <f>"0"</f>
        <v>0</v>
      </c>
      <c r="BC1058" t="str">
        <f ca="1">IF((OFFSET($A$1, 1058 - 1, 53 - 1)) &gt;= (OFFSET($A$1, 69 - 1, 7 - 1)), "1","0")</f>
        <v>0</v>
      </c>
      <c r="BD1058">
        <f ca="1" xml:space="preserve"> IF( AND( OFFSET($A$1, 1058 - 1, 54 - 1) = "1", OFFSET($A$1, 1058 - 1, 55 - 1) = "1" ), 1, IF( AND( OFFSET($A$1, 1058 - 1, 54 - 1) = "1", OFFSET($A$1, 1058 - 1, 55 - 1) = "0" ), 2, IF( AND( OFFSET($A$1, 1058 - 1, 54 - 1) = "0", OFFSET($A$1, 1058 - 1, 55 - 1) = "1" ), 3, 4 ) ) )</f>
        <v>4</v>
      </c>
    </row>
    <row r="1059" spans="53:56" x14ac:dyDescent="0.35">
      <c r="BA1059" s="3">
        <v>0.24088876745793483</v>
      </c>
      <c r="BB1059" s="3" t="str">
        <f>"0"</f>
        <v>0</v>
      </c>
      <c r="BC1059" t="str">
        <f ca="1">IF((OFFSET($A$1, 1059 - 1, 53 - 1)) &gt;= (OFFSET($A$1, 69 - 1, 7 - 1)), "1","0")</f>
        <v>0</v>
      </c>
      <c r="BD1059">
        <f ca="1" xml:space="preserve"> IF( AND( OFFSET($A$1, 1059 - 1, 54 - 1) = "1", OFFSET($A$1, 1059 - 1, 55 - 1) = "1" ), 1, IF( AND( OFFSET($A$1, 1059 - 1, 54 - 1) = "1", OFFSET($A$1, 1059 - 1, 55 - 1) = "0" ), 2, IF( AND( OFFSET($A$1, 1059 - 1, 54 - 1) = "0", OFFSET($A$1, 1059 - 1, 55 - 1) = "1" ), 3, 4 ) ) )</f>
        <v>4</v>
      </c>
    </row>
    <row r="1060" spans="53:56" x14ac:dyDescent="0.35">
      <c r="BA1060" s="3">
        <v>0.23980455886673002</v>
      </c>
      <c r="BB1060" s="3" t="str">
        <f>"1"</f>
        <v>1</v>
      </c>
      <c r="BC1060" t="str">
        <f ca="1">IF((OFFSET($A$1, 1060 - 1, 53 - 1)) &gt;= (OFFSET($A$1, 69 - 1, 7 - 1)), "1","0")</f>
        <v>0</v>
      </c>
      <c r="BD1060">
        <f ca="1" xml:space="preserve"> IF( AND( OFFSET($A$1, 1060 - 1, 54 - 1) = "1", OFFSET($A$1, 1060 - 1, 55 - 1) = "1" ), 1, IF( AND( OFFSET($A$1, 1060 - 1, 54 - 1) = "1", OFFSET($A$1, 1060 - 1, 55 - 1) = "0" ), 2, IF( AND( OFFSET($A$1, 1060 - 1, 54 - 1) = "0", OFFSET($A$1, 1060 - 1, 55 - 1) = "1" ), 3, 4 ) ) )</f>
        <v>2</v>
      </c>
    </row>
    <row r="1061" spans="53:56" x14ac:dyDescent="0.35">
      <c r="BA1061" s="3">
        <v>0.49466946028974057</v>
      </c>
      <c r="BB1061" s="3" t="str">
        <f>"1"</f>
        <v>1</v>
      </c>
      <c r="BC1061" t="str">
        <f ca="1">IF((OFFSET($A$1, 1061 - 1, 53 - 1)) &gt;= (OFFSET($A$1, 69 - 1, 7 - 1)), "1","0")</f>
        <v>0</v>
      </c>
      <c r="BD1061">
        <f ca="1" xml:space="preserve"> IF( AND( OFFSET($A$1, 1061 - 1, 54 - 1) = "1", OFFSET($A$1, 1061 - 1, 55 - 1) = "1" ), 1, IF( AND( OFFSET($A$1, 1061 - 1, 54 - 1) = "1", OFFSET($A$1, 1061 - 1, 55 - 1) = "0" ), 2, IF( AND( OFFSET($A$1, 1061 - 1, 54 - 1) = "0", OFFSET($A$1, 1061 - 1, 55 - 1) = "1" ), 3, 4 ) ) )</f>
        <v>2</v>
      </c>
    </row>
    <row r="1062" spans="53:56" x14ac:dyDescent="0.35">
      <c r="BA1062" s="3">
        <v>0.49320078474911094</v>
      </c>
      <c r="BB1062" s="3" t="str">
        <f>"1"</f>
        <v>1</v>
      </c>
      <c r="BC1062" t="str">
        <f ca="1">IF((OFFSET($A$1, 1062 - 1, 53 - 1)) &gt;= (OFFSET($A$1, 69 - 1, 7 - 1)), "1","0")</f>
        <v>0</v>
      </c>
      <c r="BD1062">
        <f ca="1" xml:space="preserve"> IF( AND( OFFSET($A$1, 1062 - 1, 54 - 1) = "1", OFFSET($A$1, 1062 - 1, 55 - 1) = "1" ), 1, IF( AND( OFFSET($A$1, 1062 - 1, 54 - 1) = "1", OFFSET($A$1, 1062 - 1, 55 - 1) = "0" ), 2, IF( AND( OFFSET($A$1, 1062 - 1, 54 - 1) = "0", OFFSET($A$1, 1062 - 1, 55 - 1) = "1" ), 3, 4 ) ) )</f>
        <v>2</v>
      </c>
    </row>
    <row r="1063" spans="53:56" x14ac:dyDescent="0.35">
      <c r="BA1063" s="3">
        <v>0.49174071470430447</v>
      </c>
      <c r="BB1063" s="3" t="str">
        <f>"0"</f>
        <v>0</v>
      </c>
      <c r="BC1063" t="str">
        <f ca="1">IF((OFFSET($A$1, 1063 - 1, 53 - 1)) &gt;= (OFFSET($A$1, 69 - 1, 7 - 1)), "1","0")</f>
        <v>0</v>
      </c>
      <c r="BD1063">
        <f ca="1" xml:space="preserve"> IF( AND( OFFSET($A$1, 1063 - 1, 54 - 1) = "1", OFFSET($A$1, 1063 - 1, 55 - 1) = "1" ), 1, IF( AND( OFFSET($A$1, 1063 - 1, 54 - 1) = "1", OFFSET($A$1, 1063 - 1, 55 - 1) = "0" ), 2, IF( AND( OFFSET($A$1, 1063 - 1, 54 - 1) = "0", OFFSET($A$1, 1063 - 1, 55 - 1) = "1" ), 3, 4 ) ) )</f>
        <v>4</v>
      </c>
    </row>
    <row r="1064" spans="53:56" x14ac:dyDescent="0.35">
      <c r="BA1064" s="3">
        <v>0.23555922265049362</v>
      </c>
      <c r="BB1064" s="3" t="str">
        <f>"0"</f>
        <v>0</v>
      </c>
      <c r="BC1064" t="str">
        <f ca="1">IF((OFFSET($A$1, 1064 - 1, 53 - 1)) &gt;= (OFFSET($A$1, 69 - 1, 7 - 1)), "1","0")</f>
        <v>0</v>
      </c>
      <c r="BD1064">
        <f ca="1" xml:space="preserve"> IF( AND( OFFSET($A$1, 1064 - 1, 54 - 1) = "1", OFFSET($A$1, 1064 - 1, 55 - 1) = "1" ), 1, IF( AND( OFFSET($A$1, 1064 - 1, 54 - 1) = "1", OFFSET($A$1, 1064 - 1, 55 - 1) = "0" ), 2, IF( AND( OFFSET($A$1, 1064 - 1, 54 - 1) = "0", OFFSET($A$1, 1064 - 1, 55 - 1) = "1" ), 3, 4 ) ) )</f>
        <v>4</v>
      </c>
    </row>
    <row r="1065" spans="53:56" x14ac:dyDescent="0.35">
      <c r="BA1065" s="3">
        <v>0.23452206586401853</v>
      </c>
      <c r="BB1065" s="3" t="str">
        <f>"1"</f>
        <v>1</v>
      </c>
      <c r="BC1065" t="str">
        <f ca="1">IF((OFFSET($A$1, 1065 - 1, 53 - 1)) &gt;= (OFFSET($A$1, 69 - 1, 7 - 1)), "1","0")</f>
        <v>0</v>
      </c>
      <c r="BD1065">
        <f ca="1" xml:space="preserve"> IF( AND( OFFSET($A$1, 1065 - 1, 54 - 1) = "1", OFFSET($A$1, 1065 - 1, 55 - 1) = "1" ), 1, IF( AND( OFFSET($A$1, 1065 - 1, 54 - 1) = "1", OFFSET($A$1, 1065 - 1, 55 - 1) = "0" ), 2, IF( AND( OFFSET($A$1, 1065 - 1, 54 - 1) = "0", OFFSET($A$1, 1065 - 1, 55 - 1) = "1" ), 3, 4 ) ) )</f>
        <v>2</v>
      </c>
    </row>
    <row r="1066" spans="53:56" x14ac:dyDescent="0.35">
      <c r="BA1066" s="3">
        <v>0.48741666533167949</v>
      </c>
      <c r="BB1066" s="3" t="str">
        <f>"0"</f>
        <v>0</v>
      </c>
      <c r="BC1066" t="str">
        <f ca="1">IF((OFFSET($A$1, 1066 - 1, 53 - 1)) &gt;= (OFFSET($A$1, 69 - 1, 7 - 1)), "1","0")</f>
        <v>0</v>
      </c>
      <c r="BD1066">
        <f ca="1" xml:space="preserve"> IF( AND( OFFSET($A$1, 1066 - 1, 54 - 1) = "1", OFFSET($A$1, 1066 - 1, 55 - 1) = "1" ), 1, IF( AND( OFFSET($A$1, 1066 - 1, 54 - 1) = "1", OFFSET($A$1, 1066 - 1, 55 - 1) = "0" ), 2, IF( AND( OFFSET($A$1, 1066 - 1, 54 - 1) = "0", OFFSET($A$1, 1066 - 1, 55 - 1) = "1" ), 3, 4 ) ) )</f>
        <v>4</v>
      </c>
    </row>
    <row r="1067" spans="53:56" x14ac:dyDescent="0.35">
      <c r="BA1067" s="3">
        <v>0.23247851046365681</v>
      </c>
      <c r="BB1067" s="3" t="str">
        <f>"0"</f>
        <v>0</v>
      </c>
      <c r="BC1067" t="str">
        <f ca="1">IF((OFFSET($A$1, 1067 - 1, 53 - 1)) &gt;= (OFFSET($A$1, 69 - 1, 7 - 1)), "1","0")</f>
        <v>0</v>
      </c>
      <c r="BD1067">
        <f ca="1" xml:space="preserve"> IF( AND( OFFSET($A$1, 1067 - 1, 54 - 1) = "1", OFFSET($A$1, 1067 - 1, 55 - 1) = "1" ), 1, IF( AND( OFFSET($A$1, 1067 - 1, 54 - 1) = "1", OFFSET($A$1, 1067 - 1, 55 - 1) = "0" ), 2, IF( AND( OFFSET($A$1, 1067 - 1, 54 - 1) = "0", OFFSET($A$1, 1067 - 1, 55 - 1) = "1" ), 3, 4 ) ) )</f>
        <v>4</v>
      </c>
    </row>
    <row r="1068" spans="53:56" x14ac:dyDescent="0.35">
      <c r="BA1068" s="3">
        <v>0.23147258816809949</v>
      </c>
      <c r="BB1068" s="3" t="str">
        <f>"0"</f>
        <v>0</v>
      </c>
      <c r="BC1068" t="str">
        <f ca="1">IF((OFFSET($A$1, 1068 - 1, 53 - 1)) &gt;= (OFFSET($A$1, 69 - 1, 7 - 1)), "1","0")</f>
        <v>0</v>
      </c>
      <c r="BD1068">
        <f ca="1" xml:space="preserve"> IF( AND( OFFSET($A$1, 1068 - 1, 54 - 1) = "1", OFFSET($A$1, 1068 - 1, 55 - 1) = "1" ), 1, IF( AND( OFFSET($A$1, 1068 - 1, 54 - 1) = "1", OFFSET($A$1, 1068 - 1, 55 - 1) = "0" ), 2, IF( AND( OFFSET($A$1, 1068 - 1, 54 - 1) = "0", OFFSET($A$1, 1068 - 1, 55 - 1) = "1" ), 3, 4 ) ) )</f>
        <v>4</v>
      </c>
    </row>
    <row r="1069" spans="53:56" x14ac:dyDescent="0.35">
      <c r="BA1069" s="3">
        <v>0.23047754439213061</v>
      </c>
      <c r="BB1069" s="3" t="str">
        <f>"0"</f>
        <v>0</v>
      </c>
      <c r="BC1069" t="str">
        <f ca="1">IF((OFFSET($A$1, 1069 - 1, 53 - 1)) &gt;= (OFFSET($A$1, 69 - 1, 7 - 1)), "1","0")</f>
        <v>0</v>
      </c>
      <c r="BD1069">
        <f ca="1" xml:space="preserve"> IF( AND( OFFSET($A$1, 1069 - 1, 54 - 1) = "1", OFFSET($A$1, 1069 - 1, 55 - 1) = "1" ), 1, IF( AND( OFFSET($A$1, 1069 - 1, 54 - 1) = "1", OFFSET($A$1, 1069 - 1, 55 - 1) = "0" ), 2, IF( AND( OFFSET($A$1, 1069 - 1, 54 - 1) = "0", OFFSET($A$1, 1069 - 1, 55 - 1) = "1" ), 3, 4 ) ) )</f>
        <v>4</v>
      </c>
    </row>
    <row r="1070" spans="53:56" x14ac:dyDescent="0.35">
      <c r="BA1070" s="3">
        <v>0.2294936033789467</v>
      </c>
      <c r="BB1070" s="3" t="str">
        <f>"1"</f>
        <v>1</v>
      </c>
      <c r="BC1070" t="str">
        <f ca="1">IF((OFFSET($A$1, 1070 - 1, 53 - 1)) &gt;= (OFFSET($A$1, 69 - 1, 7 - 1)), "1","0")</f>
        <v>0</v>
      </c>
      <c r="BD1070">
        <f ca="1" xml:space="preserve"> IF( AND( OFFSET($A$1, 1070 - 1, 54 - 1) = "1", OFFSET($A$1, 1070 - 1, 55 - 1) = "1" ), 1, IF( AND( OFFSET($A$1, 1070 - 1, 54 - 1) = "1", OFFSET($A$1, 1070 - 1, 55 - 1) = "0" ), 2, IF( AND( OFFSET($A$1, 1070 - 1, 54 - 1) = "0", OFFSET($A$1, 1070 - 1, 55 - 1) = "1" ), 3, 4 ) ) )</f>
        <v>2</v>
      </c>
    </row>
    <row r="1071" spans="53:56" x14ac:dyDescent="0.35">
      <c r="BA1071" s="3">
        <v>0.48042368721710188</v>
      </c>
      <c r="BB1071" s="3" t="str">
        <f>"1"</f>
        <v>1</v>
      </c>
      <c r="BC1071" t="str">
        <f ca="1">IF((OFFSET($A$1, 1071 - 1, 53 - 1)) &gt;= (OFFSET($A$1, 69 - 1, 7 - 1)), "1","0")</f>
        <v>0</v>
      </c>
      <c r="BD1071">
        <f ca="1" xml:space="preserve"> IF( AND( OFFSET($A$1, 1071 - 1, 54 - 1) = "1", OFFSET($A$1, 1071 - 1, 55 - 1) = "1" ), 1, IF( AND( OFFSET($A$1, 1071 - 1, 54 - 1) = "1", OFFSET($A$1, 1071 - 1, 55 - 1) = "0" ), 2, IF( AND( OFFSET($A$1, 1071 - 1, 54 - 1) = "0", OFFSET($A$1, 1071 - 1, 55 - 1) = "1" ), 3, 4 ) ) )</f>
        <v>2</v>
      </c>
    </row>
    <row r="1072" spans="53:56" x14ac:dyDescent="0.35">
      <c r="BA1072" s="3">
        <v>0.47906104426387069</v>
      </c>
      <c r="BB1072" s="3" t="str">
        <f>"1"</f>
        <v>1</v>
      </c>
      <c r="BC1072" t="str">
        <f ca="1">IF((OFFSET($A$1, 1072 - 1, 53 - 1)) &gt;= (OFFSET($A$1, 69 - 1, 7 - 1)), "1","0")</f>
        <v>0</v>
      </c>
      <c r="BD1072">
        <f ca="1" xml:space="preserve"> IF( AND( OFFSET($A$1, 1072 - 1, 54 - 1) = "1", OFFSET($A$1, 1072 - 1, 55 - 1) = "1" ), 1, IF( AND( OFFSET($A$1, 1072 - 1, 54 - 1) = "1", OFFSET($A$1, 1072 - 1, 55 - 1) = "0" ), 2, IF( AND( OFFSET($A$1, 1072 - 1, 54 - 1) = "0", OFFSET($A$1, 1072 - 1, 55 - 1) = "1" ), 3, 4 ) ) )</f>
        <v>2</v>
      </c>
    </row>
    <row r="1073" spans="53:56" x14ac:dyDescent="0.35">
      <c r="BA1073" s="3">
        <v>0.47771136576690587</v>
      </c>
      <c r="BB1073" s="3" t="str">
        <f>"0"</f>
        <v>0</v>
      </c>
      <c r="BC1073" t="str">
        <f ca="1">IF((OFFSET($A$1, 1073 - 1, 53 - 1)) &gt;= (OFFSET($A$1, 69 - 1, 7 - 1)), "1","0")</f>
        <v>0</v>
      </c>
      <c r="BD1073">
        <f ca="1" xml:space="preserve"> IF( AND( OFFSET($A$1, 1073 - 1, 54 - 1) = "1", OFFSET($A$1, 1073 - 1, 55 - 1) = "1" ), 1, IF( AND( OFFSET($A$1, 1073 - 1, 54 - 1) = "1", OFFSET($A$1, 1073 - 1, 55 - 1) = "0" ), 2, IF( AND( OFFSET($A$1, 1073 - 1, 54 - 1) = "0", OFFSET($A$1, 1073 - 1, 55 - 1) = "1" ), 3, 4 ) ) )</f>
        <v>4</v>
      </c>
    </row>
    <row r="1074" spans="53:56" x14ac:dyDescent="0.35">
      <c r="BA1074" s="3">
        <v>0.22567315903460192</v>
      </c>
      <c r="BB1074" s="3" t="str">
        <f>"1"</f>
        <v>1</v>
      </c>
      <c r="BC1074" t="str">
        <f ca="1">IF((OFFSET($A$1, 1074 - 1, 53 - 1)) &gt;= (OFFSET($A$1, 69 - 1, 7 - 1)), "1","0")</f>
        <v>0</v>
      </c>
      <c r="BD1074">
        <f ca="1" xml:space="preserve"> IF( AND( OFFSET($A$1, 1074 - 1, 54 - 1) = "1", OFFSET($A$1, 1074 - 1, 55 - 1) = "1" ), 1, IF( AND( OFFSET($A$1, 1074 - 1, 54 - 1) = "1", OFFSET($A$1, 1074 - 1, 55 - 1) = "0" ), 2, IF( AND( OFFSET($A$1, 1074 - 1, 54 - 1) = "0", OFFSET($A$1, 1074 - 1, 55 - 1) = "1" ), 3, 4 ) ) )</f>
        <v>2</v>
      </c>
    </row>
    <row r="1075" spans="53:56" x14ac:dyDescent="0.35">
      <c r="BA1075" s="3">
        <v>0.47505253686184606</v>
      </c>
      <c r="BB1075" s="3" t="str">
        <f>"0"</f>
        <v>0</v>
      </c>
      <c r="BC1075" t="str">
        <f ca="1">IF((OFFSET($A$1, 1075 - 1, 53 - 1)) &gt;= (OFFSET($A$1, 69 - 1, 7 - 1)), "1","0")</f>
        <v>0</v>
      </c>
      <c r="BD1075">
        <f ca="1" xml:space="preserve"> IF( AND( OFFSET($A$1, 1075 - 1, 54 - 1) = "1", OFFSET($A$1, 1075 - 1, 55 - 1) = "1" ), 1, IF( AND( OFFSET($A$1, 1075 - 1, 54 - 1) = "1", OFFSET($A$1, 1075 - 1, 55 - 1) = "0" ), 2, IF( AND( OFFSET($A$1, 1075 - 1, 54 - 1) = "0", OFFSET($A$1, 1075 - 1, 55 - 1) = "1" ), 3, 4 ) ) )</f>
        <v>4</v>
      </c>
    </row>
    <row r="1076" spans="53:56" x14ac:dyDescent="0.35">
      <c r="BA1076" s="3">
        <v>0.2238349806496813</v>
      </c>
      <c r="BB1076" s="3" t="str">
        <f>"0"</f>
        <v>0</v>
      </c>
      <c r="BC1076" t="str">
        <f ca="1">IF((OFFSET($A$1, 1076 - 1, 53 - 1)) &gt;= (OFFSET($A$1, 69 - 1, 7 - 1)), "1","0")</f>
        <v>0</v>
      </c>
      <c r="BD1076">
        <f ca="1" xml:space="preserve"> IF( AND( OFFSET($A$1, 1076 - 1, 54 - 1) = "1", OFFSET($A$1, 1076 - 1, 55 - 1) = "1" ), 1, IF( AND( OFFSET($A$1, 1076 - 1, 54 - 1) = "1", OFFSET($A$1, 1076 - 1, 55 - 1) = "0" ), 2, IF( AND( OFFSET($A$1, 1076 - 1, 54 - 1) = "0", OFFSET($A$1, 1076 - 1, 55 - 1) = "1" ), 3, 4 ) ) )</f>
        <v>4</v>
      </c>
    </row>
    <row r="1077" spans="53:56" x14ac:dyDescent="0.35">
      <c r="BA1077" s="3">
        <v>0.22293457779123174</v>
      </c>
      <c r="BB1077" s="3" t="str">
        <f>"0"</f>
        <v>0</v>
      </c>
      <c r="BC1077" t="str">
        <f ca="1">IF((OFFSET($A$1, 1077 - 1, 53 - 1)) &gt;= (OFFSET($A$1, 69 - 1, 7 - 1)), "1","0")</f>
        <v>0</v>
      </c>
      <c r="BD1077">
        <f ca="1" xml:space="preserve"> IF( AND( OFFSET($A$1, 1077 - 1, 54 - 1) = "1", OFFSET($A$1, 1077 - 1, 55 - 1) = "1" ), 1, IF( AND( OFFSET($A$1, 1077 - 1, 54 - 1) = "1", OFFSET($A$1, 1077 - 1, 55 - 1) = "0" ), 2, IF( AND( OFFSET($A$1, 1077 - 1, 54 - 1) = "0", OFFSET($A$1, 1077 - 1, 55 - 1) = "1" ), 3, 4 ) ) )</f>
        <v>4</v>
      </c>
    </row>
    <row r="1078" spans="53:56" x14ac:dyDescent="0.35">
      <c r="BA1078" s="3">
        <v>0.22204687568319817</v>
      </c>
      <c r="BB1078" s="3" t="str">
        <f>"0"</f>
        <v>0</v>
      </c>
      <c r="BC1078" t="str">
        <f ca="1">IF((OFFSET($A$1, 1078 - 1, 53 - 1)) &gt;= (OFFSET($A$1, 69 - 1, 7 - 1)), "1","0")</f>
        <v>0</v>
      </c>
      <c r="BD1078">
        <f ca="1" xml:space="preserve"> IF( AND( OFFSET($A$1, 1078 - 1, 54 - 1) = "1", OFFSET($A$1, 1078 - 1, 55 - 1) = "1" ), 1, IF( AND( OFFSET($A$1, 1078 - 1, 54 - 1) = "1", OFFSET($A$1, 1078 - 1, 55 - 1) = "0" ), 2, IF( AND( OFFSET($A$1, 1078 - 1, 54 - 1) = "0", OFFSET($A$1, 1078 - 1, 55 - 1) = "1" ), 3, 4 ) ) )</f>
        <v>4</v>
      </c>
    </row>
    <row r="1079" spans="53:56" x14ac:dyDescent="0.35">
      <c r="BA1079" s="3">
        <v>0.22117205023478342</v>
      </c>
      <c r="BB1079" s="3" t="str">
        <f>"0"</f>
        <v>0</v>
      </c>
      <c r="BC1079" t="str">
        <f ca="1">IF((OFFSET($A$1, 1079 - 1, 53 - 1)) &gt;= (OFFSET($A$1, 69 - 1, 7 - 1)), "1","0")</f>
        <v>0</v>
      </c>
      <c r="BD1079">
        <f ca="1" xml:space="preserve"> IF( AND( OFFSET($A$1, 1079 - 1, 54 - 1) = "1", OFFSET($A$1, 1079 - 1, 55 - 1) = "1" ), 1, IF( AND( OFFSET($A$1, 1079 - 1, 54 - 1) = "1", OFFSET($A$1, 1079 - 1, 55 - 1) = "0" ), 2, IF( AND( OFFSET($A$1, 1079 - 1, 54 - 1) = "0", OFFSET($A$1, 1079 - 1, 55 - 1) = "1" ), 3, 4 ) ) )</f>
        <v>4</v>
      </c>
    </row>
    <row r="1080" spans="53:56" x14ac:dyDescent="0.35">
      <c r="BA1080" s="3">
        <v>0.22031027223698027</v>
      </c>
      <c r="BB1080" s="3" t="str">
        <f>"0"</f>
        <v>0</v>
      </c>
      <c r="BC1080" t="str">
        <f ca="1">IF((OFFSET($A$1, 1080 - 1, 53 - 1)) &gt;= (OFFSET($A$1, 69 - 1, 7 - 1)), "1","0")</f>
        <v>0</v>
      </c>
      <c r="BD1080">
        <f ca="1" xml:space="preserve"> IF( AND( OFFSET($A$1, 1080 - 1, 54 - 1) = "1", OFFSET($A$1, 1080 - 1, 55 - 1) = "1" ), 1, IF( AND( OFFSET($A$1, 1080 - 1, 54 - 1) = "1", OFFSET($A$1, 1080 - 1, 55 - 1) = "0" ), 2, IF( AND( OFFSET($A$1, 1080 - 1, 54 - 1) = "0", OFFSET($A$1, 1080 - 1, 55 - 1) = "1" ), 3, 4 ) ) )</f>
        <v>4</v>
      </c>
    </row>
    <row r="1081" spans="53:56" x14ac:dyDescent="0.35">
      <c r="BA1081" s="3">
        <v>0.21946170742531501</v>
      </c>
      <c r="BB1081" s="3" t="str">
        <f>"0"</f>
        <v>0</v>
      </c>
      <c r="BC1081" t="str">
        <f ca="1">IF((OFFSET($A$1, 1081 - 1, 53 - 1)) &gt;= (OFFSET($A$1, 69 - 1, 7 - 1)), "1","0")</f>
        <v>0</v>
      </c>
      <c r="BD1081">
        <f ca="1" xml:space="preserve"> IF( AND( OFFSET($A$1, 1081 - 1, 54 - 1) = "1", OFFSET($A$1, 1081 - 1, 55 - 1) = "1" ), 1, IF( AND( OFFSET($A$1, 1081 - 1, 54 - 1) = "1", OFFSET($A$1, 1081 - 1, 55 - 1) = "0" ), 2, IF( AND( OFFSET($A$1, 1081 - 1, 54 - 1) = "0", OFFSET($A$1, 1081 - 1, 55 - 1) = "1" ), 3, 4 ) ) )</f>
        <v>4</v>
      </c>
    </row>
    <row r="1082" spans="53:56" x14ac:dyDescent="0.35">
      <c r="BA1082" s="3">
        <v>0.21862651654539236</v>
      </c>
      <c r="BB1082" s="3" t="str">
        <f>"0"</f>
        <v>0</v>
      </c>
      <c r="BC1082" t="str">
        <f ca="1">IF((OFFSET($A$1, 1082 - 1, 53 - 1)) &gt;= (OFFSET($A$1, 69 - 1, 7 - 1)), "1","0")</f>
        <v>0</v>
      </c>
      <c r="BD1082">
        <f ca="1" xml:space="preserve"> IF( AND( OFFSET($A$1, 1082 - 1, 54 - 1) = "1", OFFSET($A$1, 1082 - 1, 55 - 1) = "1" ), 1, IF( AND( OFFSET($A$1, 1082 - 1, 54 - 1) = "1", OFFSET($A$1, 1082 - 1, 55 - 1) = "0" ), 2, IF( AND( OFFSET($A$1, 1082 - 1, 54 - 1) = "0", OFFSET($A$1, 1082 - 1, 55 - 1) = "1" ), 3, 4 ) ) )</f>
        <v>4</v>
      </c>
    </row>
    <row r="1083" spans="53:56" x14ac:dyDescent="0.35">
      <c r="BA1083" s="3">
        <v>0.21780485542104794</v>
      </c>
      <c r="BB1083" s="3" t="str">
        <f>"0"</f>
        <v>0</v>
      </c>
      <c r="BC1083" t="str">
        <f ca="1">IF((OFFSET($A$1, 1083 - 1, 53 - 1)) &gt;= (OFFSET($A$1, 69 - 1, 7 - 1)), "1","0")</f>
        <v>0</v>
      </c>
      <c r="BD1083">
        <f ca="1" xml:space="preserve"> IF( AND( OFFSET($A$1, 1083 - 1, 54 - 1) = "1", OFFSET($A$1, 1083 - 1, 55 - 1) = "1" ), 1, IF( AND( OFFSET($A$1, 1083 - 1, 54 - 1) = "1", OFFSET($A$1, 1083 - 1, 55 - 1) = "0" ), 2, IF( AND( OFFSET($A$1, 1083 - 1, 54 - 1) = "0", OFFSET($A$1, 1083 - 1, 55 - 1) = "1" ), 3, 4 ) ) )</f>
        <v>4</v>
      </c>
    </row>
    <row r="1084" spans="53:56" x14ac:dyDescent="0.35">
      <c r="BA1084" s="3">
        <v>0.21699687502492832</v>
      </c>
      <c r="BB1084" s="3" t="str">
        <f>"0"</f>
        <v>0</v>
      </c>
      <c r="BC1084" t="str">
        <f ca="1">IF((OFFSET($A$1, 1084 - 1, 53 - 1)) &gt;= (OFFSET($A$1, 69 - 1, 7 - 1)), "1","0")</f>
        <v>0</v>
      </c>
      <c r="BD1084">
        <f ca="1" xml:space="preserve"> IF( AND( OFFSET($A$1, 1084 - 1, 54 - 1) = "1", OFFSET($A$1, 1084 - 1, 55 - 1) = "1" ), 1, IF( AND( OFFSET($A$1, 1084 - 1, 54 - 1) = "1", OFFSET($A$1, 1084 - 1, 55 - 1) = "0" ), 2, IF( AND( OFFSET($A$1, 1084 - 1, 54 - 1) = "0", OFFSET($A$1, 1084 - 1, 55 - 1) = "1" ), 3, 4 ) ) )</f>
        <v>4</v>
      </c>
    </row>
    <row r="1085" spans="53:56" x14ac:dyDescent="0.35">
      <c r="BA1085" s="3">
        <v>0.21620272155130327</v>
      </c>
      <c r="BB1085" s="3" t="str">
        <f>"0"</f>
        <v>0</v>
      </c>
      <c r="BC1085" t="str">
        <f ca="1">IF((OFFSET($A$1, 1085 - 1, 53 - 1)) &gt;= (OFFSET($A$1, 69 - 1, 7 - 1)), "1","0")</f>
        <v>0</v>
      </c>
      <c r="BD1085">
        <f ca="1" xml:space="preserve"> IF( AND( OFFSET($A$1, 1085 - 1, 54 - 1) = "1", OFFSET($A$1, 1085 - 1, 55 - 1) = "1" ), 1, IF( AND( OFFSET($A$1, 1085 - 1, 54 - 1) = "1", OFFSET($A$1, 1085 - 1, 55 - 1) = "0" ), 2, IF( AND( OFFSET($A$1, 1085 - 1, 54 - 1) = "0", OFFSET($A$1, 1085 - 1, 55 - 1) = "1" ), 3, 4 ) ) )</f>
        <v>4</v>
      </c>
    </row>
    <row r="1086" spans="53:56" x14ac:dyDescent="0.35">
      <c r="BA1086" s="3">
        <v>0.21542253649092752</v>
      </c>
      <c r="BB1086" s="3" t="str">
        <f>"0"</f>
        <v>0</v>
      </c>
      <c r="BC1086" t="str">
        <f ca="1">IF((OFFSET($A$1, 1086 - 1, 53 - 1)) &gt;= (OFFSET($A$1, 69 - 1, 7 - 1)), "1","0")</f>
        <v>0</v>
      </c>
      <c r="BD1086">
        <f ca="1" xml:space="preserve"> IF( AND( OFFSET($A$1, 1086 - 1, 54 - 1) = "1", OFFSET($A$1, 1086 - 1, 55 - 1) = "1" ), 1, IF( AND( OFFSET($A$1, 1086 - 1, 54 - 1) = "1", OFFSET($A$1, 1086 - 1, 55 - 1) = "0" ), 2, IF( AND( OFFSET($A$1, 1086 - 1, 54 - 1) = "0", OFFSET($A$1, 1086 - 1, 55 - 1) = "1" ), 3, 4 ) ) )</f>
        <v>4</v>
      </c>
    </row>
    <row r="1087" spans="53:56" x14ac:dyDescent="0.35">
      <c r="BA1087" s="3">
        <v>0.21465645670776132</v>
      </c>
      <c r="BB1087" s="3" t="str">
        <f>"0"</f>
        <v>0</v>
      </c>
      <c r="BC1087" t="str">
        <f ca="1">IF((OFFSET($A$1, 1087 - 1, 53 - 1)) &gt;= (OFFSET($A$1, 69 - 1, 7 - 1)), "1","0")</f>
        <v>0</v>
      </c>
      <c r="BD1087">
        <f ca="1" xml:space="preserve"> IF( AND( OFFSET($A$1, 1087 - 1, 54 - 1) = "1", OFFSET($A$1, 1087 - 1, 55 - 1) = "1" ), 1, IF( AND( OFFSET($A$1, 1087 - 1, 54 - 1) = "1", OFFSET($A$1, 1087 - 1, 55 - 1) = "0" ), 2, IF( AND( OFFSET($A$1, 1087 - 1, 54 - 1) = "0", OFFSET($A$1, 1087 - 1, 55 - 1) = "1" ), 3, 4 ) ) )</f>
        <v>4</v>
      </c>
    </row>
    <row r="1088" spans="53:56" x14ac:dyDescent="0.35">
      <c r="BA1088" s="3">
        <v>0.21390461451736567</v>
      </c>
      <c r="BB1088" s="3" t="str">
        <f>"0"</f>
        <v>0</v>
      </c>
      <c r="BC1088" t="str">
        <f ca="1">IF((OFFSET($A$1, 1088 - 1, 53 - 1)) &gt;= (OFFSET($A$1, 69 - 1, 7 - 1)), "1","0")</f>
        <v>0</v>
      </c>
      <c r="BD1088">
        <f ca="1" xml:space="preserve"> IF( AND( OFFSET($A$1, 1088 - 1, 54 - 1) = "1", OFFSET($A$1, 1088 - 1, 55 - 1) = "1" ), 1, IF( AND( OFFSET($A$1, 1088 - 1, 54 - 1) = "1", OFFSET($A$1, 1088 - 1, 55 - 1) = "0" ), 2, IF( AND( OFFSET($A$1, 1088 - 1, 54 - 1) = "0", OFFSET($A$1, 1088 - 1, 55 - 1) = "1" ), 3, 4 ) ) )</f>
        <v>4</v>
      </c>
    </row>
    <row r="1089" spans="53:56" x14ac:dyDescent="0.35">
      <c r="BA1089" s="3">
        <v>0.21316713776678808</v>
      </c>
      <c r="BB1089" s="3" t="str">
        <f>"0"</f>
        <v>0</v>
      </c>
      <c r="BC1089" t="str">
        <f ca="1">IF((OFFSET($A$1, 1089 - 1, 53 - 1)) &gt;= (OFFSET($A$1, 69 - 1, 7 - 1)), "1","0")</f>
        <v>0</v>
      </c>
      <c r="BD1089">
        <f ca="1" xml:space="preserve"> IF( AND( OFFSET($A$1, 1089 - 1, 54 - 1) = "1", OFFSET($A$1, 1089 - 1, 55 - 1) = "1" ), 1, IF( AND( OFFSET($A$1, 1089 - 1, 54 - 1) = "1", OFFSET($A$1, 1089 - 1, 55 - 1) = "0" ), 2, IF( AND( OFFSET($A$1, 1089 - 1, 54 - 1) = "0", OFFSET($A$1, 1089 - 1, 55 - 1) = "1" ), 3, 4 ) ) )</f>
        <v>4</v>
      </c>
    </row>
    <row r="1090" spans="53:56" x14ac:dyDescent="0.35">
      <c r="BA1090" s="3">
        <v>0.21244414991575339</v>
      </c>
      <c r="BB1090" s="3" t="str">
        <f>"1"</f>
        <v>1</v>
      </c>
      <c r="BC1090" t="str">
        <f ca="1">IF((OFFSET($A$1, 1090 - 1, 53 - 1)) &gt;= (OFFSET($A$1, 69 - 1, 7 - 1)), "1","0")</f>
        <v>0</v>
      </c>
      <c r="BD1090">
        <f ca="1" xml:space="preserve"> IF( AND( OFFSET($A$1, 1090 - 1, 54 - 1) = "1", OFFSET($A$1, 1090 - 1, 55 - 1) = "1" ), 1, IF( AND( OFFSET($A$1, 1090 - 1, 54 - 1) = "1", OFFSET($A$1, 1090 - 1, 55 - 1) = "0" ), 2, IF( AND( OFFSET($A$1, 1090 - 1, 54 - 1) = "0", OFFSET($A$1, 1090 - 1, 55 - 1) = "1" ), 3, 4 ) ) )</f>
        <v>2</v>
      </c>
    </row>
    <row r="1091" spans="53:56" x14ac:dyDescent="0.35">
      <c r="BA1091" s="3">
        <v>0.45607401086093674</v>
      </c>
      <c r="BB1091" s="3" t="str">
        <f>"0"</f>
        <v>0</v>
      </c>
      <c r="BC1091" t="str">
        <f ca="1">IF((OFFSET($A$1, 1091 - 1, 53 - 1)) &gt;= (OFFSET($A$1, 69 - 1, 7 - 1)), "1","0")</f>
        <v>0</v>
      </c>
      <c r="BD1091">
        <f ca="1" xml:space="preserve"> IF( AND( OFFSET($A$1, 1091 - 1, 54 - 1) = "1", OFFSET($A$1, 1091 - 1, 55 - 1) = "1" ), 1, IF( AND( OFFSET($A$1, 1091 - 1, 54 - 1) = "1", OFFSET($A$1, 1091 - 1, 55 - 1) = "0" ), 2, IF( AND( OFFSET($A$1, 1091 - 1, 54 - 1) = "0", OFFSET($A$1, 1091 - 1, 55 - 1) = "1" ), 3, 4 ) ) )</f>
        <v>4</v>
      </c>
    </row>
    <row r="1092" spans="53:56" x14ac:dyDescent="0.35">
      <c r="BA1092" s="3">
        <v>0.21104211330944472</v>
      </c>
      <c r="BB1092" s="3" t="str">
        <f>"0"</f>
        <v>0</v>
      </c>
      <c r="BC1092" t="str">
        <f ca="1">IF((OFFSET($A$1, 1092 - 1, 53 - 1)) &gt;= (OFFSET($A$1, 69 - 1, 7 - 1)), "1","0")</f>
        <v>0</v>
      </c>
      <c r="BD1092">
        <f ca="1" xml:space="preserve"> IF( AND( OFFSET($A$1, 1092 - 1, 54 - 1) = "1", OFFSET($A$1, 1092 - 1, 55 - 1) = "1" ), 1, IF( AND( OFFSET($A$1, 1092 - 1, 54 - 1) = "1", OFFSET($A$1, 1092 - 1, 55 - 1) = "0" ), 2, IF( AND( OFFSET($A$1, 1092 - 1, 54 - 1) = "0", OFFSET($A$1, 1092 - 1, 55 - 1) = "1" ), 3, 4 ) ) )</f>
        <v>4</v>
      </c>
    </row>
    <row r="1093" spans="53:56" x14ac:dyDescent="0.35">
      <c r="BA1093" s="3">
        <v>0.21036329028241119</v>
      </c>
      <c r="BB1093" s="3" t="str">
        <f>"0"</f>
        <v>0</v>
      </c>
      <c r="BC1093" t="str">
        <f ca="1">IF((OFFSET($A$1, 1093 - 1, 53 - 1)) &gt;= (OFFSET($A$1, 69 - 1, 7 - 1)), "1","0")</f>
        <v>0</v>
      </c>
      <c r="BD1093">
        <f ca="1" xml:space="preserve"> IF( AND( OFFSET($A$1, 1093 - 1, 54 - 1) = "1", OFFSET($A$1, 1093 - 1, 55 - 1) = "1" ), 1, IF( AND( OFFSET($A$1, 1093 - 1, 54 - 1) = "1", OFFSET($A$1, 1093 - 1, 55 - 1) = "0" ), 2, IF( AND( OFFSET($A$1, 1093 - 1, 54 - 1) = "0", OFFSET($A$1, 1093 - 1, 55 - 1) = "1" ), 3, 4 ) ) )</f>
        <v>4</v>
      </c>
    </row>
    <row r="1094" spans="53:56" x14ac:dyDescent="0.35">
      <c r="BA1094" s="3">
        <v>0.2096994077800601</v>
      </c>
      <c r="BB1094" s="3" t="str">
        <f>"0"</f>
        <v>0</v>
      </c>
      <c r="BC1094" t="str">
        <f ca="1">IF((OFFSET($A$1, 1094 - 1, 53 - 1)) &gt;= (OFFSET($A$1, 69 - 1, 7 - 1)), "1","0")</f>
        <v>0</v>
      </c>
      <c r="BD1094">
        <f ca="1" xml:space="preserve"> IF( AND( OFFSET($A$1, 1094 - 1, 54 - 1) = "1", OFFSET($A$1, 1094 - 1, 55 - 1) = "1" ), 1, IF( AND( OFFSET($A$1, 1094 - 1, 54 - 1) = "1", OFFSET($A$1, 1094 - 1, 55 - 1) = "0" ), 2, IF( AND( OFFSET($A$1, 1094 - 1, 54 - 1) = "0", OFFSET($A$1, 1094 - 1, 55 - 1) = "1" ), 3, 4 ) ) )</f>
        <v>4</v>
      </c>
    </row>
    <row r="1095" spans="53:56" x14ac:dyDescent="0.35">
      <c r="BA1095" s="3">
        <v>0.20905056857653981</v>
      </c>
      <c r="BB1095" s="3" t="str">
        <f>"1"</f>
        <v>1</v>
      </c>
      <c r="BC1095" t="str">
        <f ca="1">IF((OFFSET($A$1, 1095 - 1, 53 - 1)) &gt;= (OFFSET($A$1, 69 - 1, 7 - 1)), "1","0")</f>
        <v>0</v>
      </c>
      <c r="BD1095">
        <f ca="1" xml:space="preserve"> IF( AND( OFFSET($A$1, 1095 - 1, 54 - 1) = "1", OFFSET($A$1, 1095 - 1, 55 - 1) = "1" ), 1, IF( AND( OFFSET($A$1, 1095 - 1, 54 - 1) = "1", OFFSET($A$1, 1095 - 1, 55 - 1) = "0" ), 2, IF( AND( OFFSET($A$1, 1095 - 1, 54 - 1) = "0", OFFSET($A$1, 1095 - 1, 55 - 1) = "1" ), 3, 4 ) ) )</f>
        <v>2</v>
      </c>
    </row>
    <row r="1096" spans="53:56" x14ac:dyDescent="0.35">
      <c r="BA1096" s="3">
        <v>0.4511170178468128</v>
      </c>
      <c r="BB1096" s="3" t="str">
        <f>"1"</f>
        <v>1</v>
      </c>
      <c r="BC1096" t="str">
        <f ca="1">IF((OFFSET($A$1, 1096 - 1, 53 - 1)) &gt;= (OFFSET($A$1, 69 - 1, 7 - 1)), "1","0")</f>
        <v>0</v>
      </c>
      <c r="BD1096">
        <f ca="1" xml:space="preserve"> IF( AND( OFFSET($A$1, 1096 - 1, 54 - 1) = "1", OFFSET($A$1, 1096 - 1, 55 - 1) = "1" ), 1, IF( AND( OFFSET($A$1, 1096 - 1, 54 - 1) = "1", OFFSET($A$1, 1096 - 1, 55 - 1) = "0" ), 2, IF( AND( OFFSET($A$1, 1096 - 1, 54 - 1) = "0", OFFSET($A$1, 1096 - 1, 55 - 1) = "1" ), 3, 4 ) ) )</f>
        <v>2</v>
      </c>
    </row>
    <row r="1097" spans="53:56" x14ac:dyDescent="0.35">
      <c r="BA1097" s="3">
        <v>0.45018795240297671</v>
      </c>
      <c r="BB1097" s="3" t="str">
        <f>"1"</f>
        <v>1</v>
      </c>
      <c r="BC1097" t="str">
        <f ca="1">IF((OFFSET($A$1, 1097 - 1, 53 - 1)) &gt;= (OFFSET($A$1, 69 - 1, 7 - 1)), "1","0")</f>
        <v>0</v>
      </c>
      <c r="BD1097">
        <f ca="1" xml:space="preserve"> IF( AND( OFFSET($A$1, 1097 - 1, 54 - 1) = "1", OFFSET($A$1, 1097 - 1, 55 - 1) = "1" ), 1, IF( AND( OFFSET($A$1, 1097 - 1, 54 - 1) = "1", OFFSET($A$1, 1097 - 1, 55 - 1) = "0" ), 2, IF( AND( OFFSET($A$1, 1097 - 1, 54 - 1) = "0", OFFSET($A$1, 1097 - 1, 55 - 1) = "1" ), 3, 4 ) ) )</f>
        <v>2</v>
      </c>
    </row>
    <row r="1098" spans="53:56" x14ac:dyDescent="0.35">
      <c r="BA1098" s="3">
        <v>0.44928028290872268</v>
      </c>
      <c r="BB1098" s="3" t="str">
        <f>"1"</f>
        <v>1</v>
      </c>
      <c r="BC1098" t="str">
        <f ca="1">IF((OFFSET($A$1, 1098 - 1, 53 - 1)) &gt;= (OFFSET($A$1, 69 - 1, 7 - 1)), "1","0")</f>
        <v>0</v>
      </c>
      <c r="BD1098">
        <f ca="1" xml:space="preserve"> IF( AND( OFFSET($A$1, 1098 - 1, 54 - 1) = "1", OFFSET($A$1, 1098 - 1, 55 - 1) = "1" ), 1, IF( AND( OFFSET($A$1, 1098 - 1, 54 - 1) = "1", OFFSET($A$1, 1098 - 1, 55 - 1) = "0" ), 2, IF( AND( OFFSET($A$1, 1098 - 1, 54 - 1) = "0", OFFSET($A$1, 1098 - 1, 55 - 1) = "1" ), 3, 4 ) ) )</f>
        <v>2</v>
      </c>
    </row>
    <row r="1099" spans="53:56" x14ac:dyDescent="0.35">
      <c r="BA1099" s="3">
        <v>0.44839426044706721</v>
      </c>
      <c r="BB1099" s="3" t="str">
        <f>"0"</f>
        <v>0</v>
      </c>
      <c r="BC1099" t="str">
        <f ca="1">IF((OFFSET($A$1, 1099 - 1, 53 - 1)) &gt;= (OFFSET($A$1, 69 - 1, 7 - 1)), "1","0")</f>
        <v>0</v>
      </c>
      <c r="BD1099">
        <f ca="1" xml:space="preserve"> IF( AND( OFFSET($A$1, 1099 - 1, 54 - 1) = "1", OFFSET($A$1, 1099 - 1, 55 - 1) = "1" ), 1, IF( AND( OFFSET($A$1, 1099 - 1, 54 - 1) = "1", OFFSET($A$1, 1099 - 1, 55 - 1) = "0" ), 2, IF( AND( OFFSET($A$1, 1099 - 1, 54 - 1) = "0", OFFSET($A$1, 1099 - 1, 55 - 1) = "1" ), 3, 4 ) ) )</f>
        <v>4</v>
      </c>
    </row>
    <row r="1100" spans="53:56" x14ac:dyDescent="0.35">
      <c r="BA1100" s="3">
        <v>0.20603535212479165</v>
      </c>
      <c r="BB1100" s="3" t="str">
        <f>"0"</f>
        <v>0</v>
      </c>
      <c r="BC1100" t="str">
        <f ca="1">IF((OFFSET($A$1, 1100 - 1, 53 - 1)) &gt;= (OFFSET($A$1, 69 - 1, 7 - 1)), "1","0")</f>
        <v>0</v>
      </c>
      <c r="BD1100">
        <f ca="1" xml:space="preserve"> IF( AND( OFFSET($A$1, 1100 - 1, 54 - 1) = "1", OFFSET($A$1, 1100 - 1, 55 - 1) = "1" ), 1, IF( AND( OFFSET($A$1, 1100 - 1, 54 - 1) = "1", OFFSET($A$1, 1100 - 1, 55 - 1) = "0" ), 2, IF( AND( OFFSET($A$1, 1100 - 1, 54 - 1) = "0", OFFSET($A$1, 1100 - 1, 55 - 1) = "1" ), 3, 4 ) ) )</f>
        <v>4</v>
      </c>
    </row>
    <row r="1101" spans="53:56" x14ac:dyDescent="0.35">
      <c r="BA1101" s="3">
        <v>0.20547871950816934</v>
      </c>
      <c r="BB1101" s="3" t="str">
        <f>"0"</f>
        <v>0</v>
      </c>
      <c r="BC1101" t="str">
        <f ca="1">IF((OFFSET($A$1, 1101 - 1, 53 - 1)) &gt;= (OFFSET($A$1, 69 - 1, 7 - 1)), "1","0")</f>
        <v>0</v>
      </c>
      <c r="BD1101">
        <f ca="1" xml:space="preserve"> IF( AND( OFFSET($A$1, 1101 - 1, 54 - 1) = "1", OFFSET($A$1, 1101 - 1, 55 - 1) = "1" ), 1, IF( AND( OFFSET($A$1, 1101 - 1, 54 - 1) = "1", OFFSET($A$1, 1101 - 1, 55 - 1) = "0" ), 2, IF( AND( OFFSET($A$1, 1101 - 1, 54 - 1) = "0", OFFSET($A$1, 1101 - 1, 55 - 1) = "1" ), 3, 4 ) ) )</f>
        <v>4</v>
      </c>
    </row>
    <row r="1102" spans="53:56" x14ac:dyDescent="0.35">
      <c r="BA1102" s="3">
        <v>0.2049377456616186</v>
      </c>
      <c r="BB1102" s="3" t="str">
        <f>"0"</f>
        <v>0</v>
      </c>
      <c r="BC1102" t="str">
        <f ca="1">IF((OFFSET($A$1, 1102 - 1, 53 - 1)) &gt;= (OFFSET($A$1, 69 - 1, 7 - 1)), "1","0")</f>
        <v>0</v>
      </c>
      <c r="BD1102">
        <f ca="1" xml:space="preserve"> IF( AND( OFFSET($A$1, 1102 - 1, 54 - 1) = "1", OFFSET($A$1, 1102 - 1, 55 - 1) = "1" ), 1, IF( AND( OFFSET($A$1, 1102 - 1, 54 - 1) = "1", OFFSET($A$1, 1102 - 1, 55 - 1) = "0" ), 2, IF( AND( OFFSET($A$1, 1102 - 1, 54 - 1) = "0", OFFSET($A$1, 1102 - 1, 55 - 1) = "1" ), 3, 4 ) ) )</f>
        <v>4</v>
      </c>
    </row>
    <row r="1103" spans="53:56" x14ac:dyDescent="0.35">
      <c r="BA1103" s="3">
        <v>0.20441250467375896</v>
      </c>
      <c r="BB1103" s="3" t="str">
        <f>"0"</f>
        <v>0</v>
      </c>
      <c r="BC1103" t="str">
        <f ca="1">IF((OFFSET($A$1, 1103 - 1, 53 - 1)) &gt;= (OFFSET($A$1, 69 - 1, 7 - 1)), "1","0")</f>
        <v>0</v>
      </c>
      <c r="BD1103">
        <f ca="1" xml:space="preserve"> IF( AND( OFFSET($A$1, 1103 - 1, 54 - 1) = "1", OFFSET($A$1, 1103 - 1, 55 - 1) = "1" ), 1, IF( AND( OFFSET($A$1, 1103 - 1, 54 - 1) = "1", OFFSET($A$1, 1103 - 1, 55 - 1) = "0" ), 2, IF( AND( OFFSET($A$1, 1103 - 1, 54 - 1) = "0", OFFSET($A$1, 1103 - 1, 55 - 1) = "1" ), 3, 4 ) ) )</f>
        <v>4</v>
      </c>
    </row>
    <row r="1104" spans="53:56" x14ac:dyDescent="0.35">
      <c r="BA1104" s="3">
        <v>0.20390306742307257</v>
      </c>
      <c r="BB1104" s="3" t="str">
        <f>"1"</f>
        <v>1</v>
      </c>
      <c r="BC1104" t="str">
        <f ca="1">IF((OFFSET($A$1, 1104 - 1, 53 - 1)) &gt;= (OFFSET($A$1, 69 - 1, 7 - 1)), "1","0")</f>
        <v>0</v>
      </c>
      <c r="BD1104">
        <f ca="1" xml:space="preserve"> IF( AND( OFFSET($A$1, 1104 - 1, 54 - 1) = "1", OFFSET($A$1, 1104 - 1, 55 - 1) = "1" ), 1, IF( AND( OFFSET($A$1, 1104 - 1, 54 - 1) = "1", OFFSET($A$1, 1104 - 1, 55 - 1) = "0" ), 2, IF( AND( OFFSET($A$1, 1104 - 1, 54 - 1) = "0", OFFSET($A$1, 1104 - 1, 55 - 1) = "1" ), 3, 4 ) ) )</f>
        <v>2</v>
      </c>
    </row>
    <row r="1105" spans="53:56" x14ac:dyDescent="0.35">
      <c r="BA1105" s="3">
        <v>0.44354589590946436</v>
      </c>
      <c r="BB1105" s="3" t="str">
        <f>"0"</f>
        <v>0</v>
      </c>
      <c r="BC1105" t="str">
        <f ca="1">IF((OFFSET($A$1, 1105 - 1, 53 - 1)) &gt;= (OFFSET($A$1, 69 - 1, 7 - 1)), "1","0")</f>
        <v>0</v>
      </c>
      <c r="BD1105">
        <f ca="1" xml:space="preserve"> IF( AND( OFFSET($A$1, 1105 - 1, 54 - 1) = "1", OFFSET($A$1, 1105 - 1, 55 - 1) = "1" ), 1, IF( AND( OFFSET($A$1, 1105 - 1, 54 - 1) = "1", OFFSET($A$1, 1105 - 1, 55 - 1) = "0" ), 2, IF( AND( OFFSET($A$1, 1105 - 1, 54 - 1) = "0", OFFSET($A$1, 1105 - 1, 55 - 1) = "1" ), 3, 4 ) ) )</f>
        <v>4</v>
      </c>
    </row>
    <row r="1106" spans="53:56" x14ac:dyDescent="0.35">
      <c r="BA1106" s="3">
        <v>0.20293187207888846</v>
      </c>
      <c r="BB1106" s="3" t="str">
        <f>"0"</f>
        <v>0</v>
      </c>
      <c r="BC1106" t="str">
        <f ca="1">IF((OFFSET($A$1, 1106 - 1, 53 - 1)) &gt;= (OFFSET($A$1, 69 - 1, 7 - 1)), "1","0")</f>
        <v>0</v>
      </c>
      <c r="BD1106">
        <f ca="1" xml:space="preserve"> IF( AND( OFFSET($A$1, 1106 - 1, 54 - 1) = "1", OFFSET($A$1, 1106 - 1, 55 - 1) = "1" ), 1, IF( AND( OFFSET($A$1, 1106 - 1, 54 - 1) = "1", OFFSET($A$1, 1106 - 1, 55 - 1) = "0" ), 2, IF( AND( OFFSET($A$1, 1106 - 1, 54 - 1) = "0", OFFSET($A$1, 1106 - 1, 55 - 1) = "1" ), 3, 4 ) ) )</f>
        <v>4</v>
      </c>
    </row>
    <row r="1107" spans="53:56" x14ac:dyDescent="0.35">
      <c r="BA1107" s="3">
        <v>0.20247024041088085</v>
      </c>
      <c r="BB1107" s="3" t="str">
        <f>"0"</f>
        <v>0</v>
      </c>
      <c r="BC1107" t="str">
        <f ca="1">IF((OFFSET($A$1, 1107 - 1, 53 - 1)) &gt;= (OFFSET($A$1, 69 - 1, 7 - 1)), "1","0")</f>
        <v>0</v>
      </c>
      <c r="BD1107">
        <f ca="1" xml:space="preserve"> IF( AND( OFFSET($A$1, 1107 - 1, 54 - 1) = "1", OFFSET($A$1, 1107 - 1, 55 - 1) = "1" ), 1, IF( AND( OFFSET($A$1, 1107 - 1, 54 - 1) = "1", OFFSET($A$1, 1107 - 1, 55 - 1) = "0" ), 2, IF( AND( OFFSET($A$1, 1107 - 1, 54 - 1) = "0", OFFSET($A$1, 1107 - 1, 55 - 1) = "1" ), 3, 4 ) ) )</f>
        <v>4</v>
      </c>
    </row>
    <row r="1108" spans="53:56" x14ac:dyDescent="0.35">
      <c r="BA1108" s="3">
        <v>0.20202466548559939</v>
      </c>
      <c r="BB1108" s="3" t="str">
        <f>"0"</f>
        <v>0</v>
      </c>
      <c r="BC1108" t="str">
        <f ca="1">IF((OFFSET($A$1, 1108 - 1, 53 - 1)) &gt;= (OFFSET($A$1, 69 - 1, 7 - 1)), "1","0")</f>
        <v>0</v>
      </c>
      <c r="BD1108">
        <f ca="1" xml:space="preserve"> IF( AND( OFFSET($A$1, 1108 - 1, 54 - 1) = "1", OFFSET($A$1, 1108 - 1, 55 - 1) = "1" ), 1, IF( AND( OFFSET($A$1, 1108 - 1, 54 - 1) = "1", OFFSET($A$1, 1108 - 1, 55 - 1) = "0" ), 2, IF( AND( OFFSET($A$1, 1108 - 1, 54 - 1) = "0", OFFSET($A$1, 1108 - 1, 55 - 1) = "1" ), 3, 4 ) ) )</f>
        <v>4</v>
      </c>
    </row>
    <row r="1109" spans="53:56" x14ac:dyDescent="0.35">
      <c r="BA1109" s="3">
        <v>0.20159520331352929</v>
      </c>
      <c r="BB1109" s="3" t="str">
        <f>"0"</f>
        <v>0</v>
      </c>
      <c r="BC1109" t="str">
        <f ca="1">IF((OFFSET($A$1, 1109 - 1, 53 - 1)) &gt;= (OFFSET($A$1, 69 - 1, 7 - 1)), "1","0")</f>
        <v>0</v>
      </c>
      <c r="BD1109">
        <f ca="1" xml:space="preserve"> IF( AND( OFFSET($A$1, 1109 - 1, 54 - 1) = "1", OFFSET($A$1, 1109 - 1, 55 - 1) = "1" ), 1, IF( AND( OFFSET($A$1, 1109 - 1, 54 - 1) = "1", OFFSET($A$1, 1109 - 1, 55 - 1) = "0" ), 2, IF( AND( OFFSET($A$1, 1109 - 1, 54 - 1) = "0", OFFSET($A$1, 1109 - 1, 55 - 1) = "1" ), 3, 4 ) ) )</f>
        <v>4</v>
      </c>
    </row>
    <row r="1110" spans="53:56" x14ac:dyDescent="0.35">
      <c r="BA1110" s="3">
        <v>0.20118190715777576</v>
      </c>
      <c r="BB1110" s="3" t="str">
        <f>"0"</f>
        <v>0</v>
      </c>
      <c r="BC1110" t="str">
        <f ca="1">IF((OFFSET($A$1, 1110 - 1, 53 - 1)) &gt;= (OFFSET($A$1, 69 - 1, 7 - 1)), "1","0")</f>
        <v>0</v>
      </c>
      <c r="BD1110">
        <f ca="1" xml:space="preserve"> IF( AND( OFFSET($A$1, 1110 - 1, 54 - 1) = "1", OFFSET($A$1, 1110 - 1, 55 - 1) = "1" ), 1, IF( AND( OFFSET($A$1, 1110 - 1, 54 - 1) = "1", OFFSET($A$1, 1110 - 1, 55 - 1) = "0" ), 2, IF( AND( OFFSET($A$1, 1110 - 1, 54 - 1) = "0", OFFSET($A$1, 1110 - 1, 55 - 1) = "1" ), 3, 4 ) ) )</f>
        <v>4</v>
      </c>
    </row>
    <row r="1111" spans="53:56" x14ac:dyDescent="0.35">
      <c r="BA1111" s="3">
        <v>0.2007848276054898</v>
      </c>
      <c r="BB1111" s="3" t="str">
        <f>"0"</f>
        <v>0</v>
      </c>
      <c r="BC1111" t="str">
        <f ca="1">IF((OFFSET($A$1, 1111 - 1, 53 - 1)) &gt;= (OFFSET($A$1, 69 - 1, 7 - 1)), "1","0")</f>
        <v>0</v>
      </c>
      <c r="BD1111">
        <f ca="1" xml:space="preserve"> IF( AND( OFFSET($A$1, 1111 - 1, 54 - 1) = "1", OFFSET($A$1, 1111 - 1, 55 - 1) = "1" ), 1, IF( AND( OFFSET($A$1, 1111 - 1, 54 - 1) = "1", OFFSET($A$1, 1111 - 1, 55 - 1) = "0" ), 2, IF( AND( OFFSET($A$1, 1111 - 1, 54 - 1) = "0", OFFSET($A$1, 1111 - 1, 55 - 1) = "1" ), 3, 4 ) ) )</f>
        <v>4</v>
      </c>
    </row>
    <row r="1112" spans="53:56" x14ac:dyDescent="0.35">
      <c r="BA1112" s="3">
        <v>0.20040401263737051</v>
      </c>
      <c r="BB1112" s="3" t="str">
        <f>"0"</f>
        <v>0</v>
      </c>
      <c r="BC1112" t="str">
        <f ca="1">IF((OFFSET($A$1, 1112 - 1, 53 - 1)) &gt;= (OFFSET($A$1, 69 - 1, 7 - 1)), "1","0")</f>
        <v>0</v>
      </c>
      <c r="BD1112">
        <f ca="1" xml:space="preserve"> IF( AND( OFFSET($A$1, 1112 - 1, 54 - 1) = "1", OFFSET($A$1, 1112 - 1, 55 - 1) = "1" ), 1, IF( AND( OFFSET($A$1, 1112 - 1, 54 - 1) = "1", OFFSET($A$1, 1112 - 1, 55 - 1) = "0" ), 2, IF( AND( OFFSET($A$1, 1112 - 1, 54 - 1) = "0", OFFSET($A$1, 1112 - 1, 55 - 1) = "1" ), 3, 4 ) ) )</f>
        <v>4</v>
      </c>
    </row>
    <row r="1113" spans="53:56" x14ac:dyDescent="0.35">
      <c r="BA1113" s="3">
        <v>0.20003950769514478</v>
      </c>
      <c r="BB1113" s="3" t="str">
        <f>"0"</f>
        <v>0</v>
      </c>
      <c r="BC1113" t="str">
        <f ca="1">IF((OFFSET($A$1, 1113 - 1, 53 - 1)) &gt;= (OFFSET($A$1, 69 - 1, 7 - 1)), "1","0")</f>
        <v>0</v>
      </c>
      <c r="BD1113">
        <f ca="1" xml:space="preserve"> IF( AND( OFFSET($A$1, 1113 - 1, 54 - 1) = "1", OFFSET($A$1, 1113 - 1, 55 - 1) = "1" ), 1, IF( AND( OFFSET($A$1, 1113 - 1, 54 - 1) = "1", OFFSET($A$1, 1113 - 1, 55 - 1) = "0" ), 2, IF( AND( OFFSET($A$1, 1113 - 1, 54 - 1) = "0", OFFSET($A$1, 1113 - 1, 55 - 1) = "1" ), 3, 4 ) ) )</f>
        <v>4</v>
      </c>
    </row>
    <row r="1114" spans="53:56" x14ac:dyDescent="0.35">
      <c r="BA1114" s="3">
        <v>0.19969135574692856</v>
      </c>
      <c r="BB1114" s="3" t="str">
        <f>"0"</f>
        <v>0</v>
      </c>
      <c r="BC1114" t="str">
        <f ca="1">IF((OFFSET($A$1, 1114 - 1, 53 - 1)) &gt;= (OFFSET($A$1, 69 - 1, 7 - 1)), "1","0")</f>
        <v>0</v>
      </c>
      <c r="BD1114">
        <f ca="1" xml:space="preserve"> IF( AND( OFFSET($A$1, 1114 - 1, 54 - 1) = "1", OFFSET($A$1, 1114 - 1, 55 - 1) = "1" ), 1, IF( AND( OFFSET($A$1, 1114 - 1, 54 - 1) = "1", OFFSET($A$1, 1114 - 1, 55 - 1) = "0" ), 2, IF( AND( OFFSET($A$1, 1114 - 1, 54 - 1) = "0", OFFSET($A$1, 1114 - 1, 55 - 1) = "1" ), 3, 4 ) ) )</f>
        <v>4</v>
      </c>
    </row>
    <row r="1115" spans="53:56" x14ac:dyDescent="0.35">
      <c r="BA1115" s="3">
        <v>0.1993595973503762</v>
      </c>
      <c r="BB1115" s="3" t="str">
        <f>"0"</f>
        <v>0</v>
      </c>
      <c r="BC1115" t="str">
        <f ca="1">IF((OFFSET($A$1, 1115 - 1, 53 - 1)) &gt;= (OFFSET($A$1, 69 - 1, 7 - 1)), "1","0")</f>
        <v>0</v>
      </c>
      <c r="BD1115">
        <f ca="1" xml:space="preserve"> IF( AND( OFFSET($A$1, 1115 - 1, 54 - 1) = "1", OFFSET($A$1, 1115 - 1, 55 - 1) = "1" ), 1, IF( AND( OFFSET($A$1, 1115 - 1, 54 - 1) = "1", OFFSET($A$1, 1115 - 1, 55 - 1) = "0" ), 2, IF( AND( OFFSET($A$1, 1115 - 1, 54 - 1) = "0", OFFSET($A$1, 1115 - 1, 55 - 1) = "1" ), 3, 4 ) ) )</f>
        <v>4</v>
      </c>
    </row>
    <row r="1116" spans="53:56" x14ac:dyDescent="0.35">
      <c r="BA1116" s="3">
        <v>0.19904427071353198</v>
      </c>
      <c r="BB1116" s="3" t="str">
        <f>"0"</f>
        <v>0</v>
      </c>
      <c r="BC1116" t="str">
        <f ca="1">IF((OFFSET($A$1, 1116 - 1, 53 - 1)) &gt;= (OFFSET($A$1, 69 - 1, 7 - 1)), "1","0")</f>
        <v>0</v>
      </c>
      <c r="BD1116">
        <f ca="1" xml:space="preserve"> IF( AND( OFFSET($A$1, 1116 - 1, 54 - 1) = "1", OFFSET($A$1, 1116 - 1, 55 - 1) = "1" ), 1, IF( AND( OFFSET($A$1, 1116 - 1, 54 - 1) = "1", OFFSET($A$1, 1116 - 1, 55 - 1) = "0" ), 2, IF( AND( OFFSET($A$1, 1116 - 1, 54 - 1) = "0", OFFSET($A$1, 1116 - 1, 55 - 1) = "1" ), 3, 4 ) ) )</f>
        <v>4</v>
      </c>
    </row>
    <row r="1117" spans="53:56" x14ac:dyDescent="0.35">
      <c r="BA1117" s="3">
        <v>0.19874541175330135</v>
      </c>
      <c r="BB1117" s="3" t="str">
        <f>"0"</f>
        <v>0</v>
      </c>
      <c r="BC1117" t="str">
        <f ca="1">IF((OFFSET($A$1, 1117 - 1, 53 - 1)) &gt;= (OFFSET($A$1, 69 - 1, 7 - 1)), "1","0")</f>
        <v>0</v>
      </c>
      <c r="BD1117">
        <f ca="1" xml:space="preserve"> IF( AND( OFFSET($A$1, 1117 - 1, 54 - 1) = "1", OFFSET($A$1, 1117 - 1, 55 - 1) = "1" ), 1, IF( AND( OFFSET($A$1, 1117 - 1, 54 - 1) = "1", OFFSET($A$1, 1117 - 1, 55 - 1) = "0" ), 2, IF( AND( OFFSET($A$1, 1117 - 1, 54 - 1) = "0", OFFSET($A$1, 1117 - 1, 55 - 1) = "1" ), 3, 4 ) ) )</f>
        <v>4</v>
      </c>
    </row>
    <row r="1118" spans="53:56" x14ac:dyDescent="0.35">
      <c r="BA1118" s="3">
        <v>0.19846305415146012</v>
      </c>
      <c r="BB1118" s="3" t="str">
        <f>"0"</f>
        <v>0</v>
      </c>
      <c r="BC1118" t="str">
        <f ca="1">IF((OFFSET($A$1, 1118 - 1, 53 - 1)) &gt;= (OFFSET($A$1, 69 - 1, 7 - 1)), "1","0")</f>
        <v>0</v>
      </c>
      <c r="BD1118">
        <f ca="1" xml:space="preserve"> IF( AND( OFFSET($A$1, 1118 - 1, 54 - 1) = "1", OFFSET($A$1, 1118 - 1, 55 - 1) = "1" ), 1, IF( AND( OFFSET($A$1, 1118 - 1, 54 - 1) = "1", OFFSET($A$1, 1118 - 1, 55 - 1) = "0" ), 2, IF( AND( OFFSET($A$1, 1118 - 1, 54 - 1) = "0", OFFSET($A$1, 1118 - 1, 55 - 1) = "1" ), 3, 4 ) ) )</f>
        <v>4</v>
      </c>
    </row>
    <row r="1119" spans="53:56" x14ac:dyDescent="0.35">
      <c r="BA1119" s="3">
        <v>0.198197229408131</v>
      </c>
      <c r="BB1119" s="3" t="str">
        <f>"0"</f>
        <v>0</v>
      </c>
      <c r="BC1119" t="str">
        <f ca="1">IF((OFFSET($A$1, 1119 - 1, 53 - 1)) &gt;= (OFFSET($A$1, 69 - 1, 7 - 1)), "1","0")</f>
        <v>0</v>
      </c>
      <c r="BD1119">
        <f ca="1" xml:space="preserve"> IF( AND( OFFSET($A$1, 1119 - 1, 54 - 1) = "1", OFFSET($A$1, 1119 - 1, 55 - 1) = "1" ), 1, IF( AND( OFFSET($A$1, 1119 - 1, 54 - 1) = "1", OFFSET($A$1, 1119 - 1, 55 - 1) = "0" ), 2, IF( AND( OFFSET($A$1, 1119 - 1, 54 - 1) = "0", OFFSET($A$1, 1119 - 1, 55 - 1) = "1" ), 3, 4 ) ) )</f>
        <v>4</v>
      </c>
    </row>
    <row r="1120" spans="53:56" x14ac:dyDescent="0.35">
      <c r="BA1120" s="3">
        <v>0.19794796689265357</v>
      </c>
      <c r="BB1120" s="3" t="str">
        <f>"0"</f>
        <v>0</v>
      </c>
      <c r="BC1120" t="str">
        <f ca="1">IF((OFFSET($A$1, 1120 - 1, 53 - 1)) &gt;= (OFFSET($A$1, 69 - 1, 7 - 1)), "1","0")</f>
        <v>0</v>
      </c>
      <c r="BD1120">
        <f ca="1" xml:space="preserve"> IF( AND( OFFSET($A$1, 1120 - 1, 54 - 1) = "1", OFFSET($A$1, 1120 - 1, 55 - 1) = "1" ), 1, IF( AND( OFFSET($A$1, 1120 - 1, 54 - 1) = "1", OFFSET($A$1, 1120 - 1, 55 - 1) = "0" ), 2, IF( AND( OFFSET($A$1, 1120 - 1, 54 - 1) = "0", OFFSET($A$1, 1120 - 1, 55 - 1) = "1" ), 3, 4 ) ) )</f>
        <v>4</v>
      </c>
    </row>
    <row r="1121" spans="53:56" x14ac:dyDescent="0.35">
      <c r="BA1121" s="3">
        <v>0.19771529389178352</v>
      </c>
      <c r="BB1121" s="3" t="str">
        <f>"0"</f>
        <v>0</v>
      </c>
      <c r="BC1121" t="str">
        <f ca="1">IF((OFFSET($A$1, 1121 - 1, 53 - 1)) &gt;= (OFFSET($A$1, 69 - 1, 7 - 1)), "1","0")</f>
        <v>0</v>
      </c>
      <c r="BD1121">
        <f ca="1" xml:space="preserve"> IF( AND( OFFSET($A$1, 1121 - 1, 54 - 1) = "1", OFFSET($A$1, 1121 - 1, 55 - 1) = "1" ), 1, IF( AND( OFFSET($A$1, 1121 - 1, 54 - 1) = "1", OFFSET($A$1, 1121 - 1, 55 - 1) = "0" ), 2, IF( AND( OFFSET($A$1, 1121 - 1, 54 - 1) = "0", OFFSET($A$1, 1121 - 1, 55 - 1) = "1" ), 3, 4 ) ) )</f>
        <v>4</v>
      </c>
    </row>
    <row r="1122" spans="53:56" x14ac:dyDescent="0.35">
      <c r="BA1122" s="3">
        <v>0.19749923565515917</v>
      </c>
      <c r="BB1122" s="3" t="str">
        <f>"0"</f>
        <v>0</v>
      </c>
      <c r="BC1122" t="str">
        <f ca="1">IF((OFFSET($A$1, 1122 - 1, 53 - 1)) &gt;= (OFFSET($A$1, 69 - 1, 7 - 1)), "1","0")</f>
        <v>0</v>
      </c>
      <c r="BD1122">
        <f ca="1" xml:space="preserve"> IF( AND( OFFSET($A$1, 1122 - 1, 54 - 1) = "1", OFFSET($A$1, 1122 - 1, 55 - 1) = "1" ), 1, IF( AND( OFFSET($A$1, 1122 - 1, 54 - 1) = "1", OFFSET($A$1, 1122 - 1, 55 - 1) = "0" ), 2, IF( AND( OFFSET($A$1, 1122 - 1, 54 - 1) = "0", OFFSET($A$1, 1122 - 1, 55 - 1) = "1" ), 3, 4 ) ) )</f>
        <v>4</v>
      </c>
    </row>
    <row r="1123" spans="53:56" x14ac:dyDescent="0.35">
      <c r="BA1123" s="3">
        <v>0.19729981543797515</v>
      </c>
      <c r="BB1123" s="3" t="str">
        <f>"1"</f>
        <v>1</v>
      </c>
      <c r="BC1123" t="str">
        <f ca="1">IF((OFFSET($A$1, 1123 - 1, 53 - 1)) &gt;= (OFFSET($A$1, 69 - 1, 7 - 1)), "1","0")</f>
        <v>0</v>
      </c>
      <c r="BD1123">
        <f ca="1" xml:space="preserve"> IF( AND( OFFSET($A$1, 1123 - 1, 54 - 1) = "1", OFFSET($A$1, 1123 - 1, 55 - 1) = "1" ), 1, IF( AND( OFFSET($A$1, 1123 - 1, 54 - 1) = "1", OFFSET($A$1, 1123 - 1, 55 - 1) = "0" ), 2, IF( AND( OFFSET($A$1, 1123 - 1, 54 - 1) = "0", OFFSET($A$1, 1123 - 1, 55 - 1) = "1" ), 3, 4 ) ) )</f>
        <v>2</v>
      </c>
    </row>
    <row r="1124" spans="53:56" x14ac:dyDescent="0.35">
      <c r="BA1124" s="3">
        <v>0.43387091451329418</v>
      </c>
      <c r="BB1124" s="3" t="str">
        <f>"0"</f>
        <v>0</v>
      </c>
      <c r="BC1124" t="str">
        <f ca="1">IF((OFFSET($A$1, 1124 - 1, 53 - 1)) &gt;= (OFFSET($A$1, 69 - 1, 7 - 1)), "1","0")</f>
        <v>0</v>
      </c>
      <c r="BD1124">
        <f ca="1" xml:space="preserve"> IF( AND( OFFSET($A$1, 1124 - 1, 54 - 1) = "1", OFFSET($A$1, 1124 - 1, 55 - 1) = "1" ), 1, IF( AND( OFFSET($A$1, 1124 - 1, 54 - 1) = "1", OFFSET($A$1, 1124 - 1, 55 - 1) = "0" ), 2, IF( AND( OFFSET($A$1, 1124 - 1, 54 - 1) = "0", OFFSET($A$1, 1124 - 1, 55 - 1) = "1" ), 3, 4 ) ) )</f>
        <v>4</v>
      </c>
    </row>
    <row r="1125" spans="53:56" x14ac:dyDescent="0.35">
      <c r="BA1125" s="3">
        <v>0.19695097234657538</v>
      </c>
      <c r="BB1125" s="3" t="str">
        <f>"0"</f>
        <v>0</v>
      </c>
      <c r="BC1125" t="str">
        <f ca="1">IF((OFFSET($A$1, 1125 - 1, 53 - 1)) &gt;= (OFFSET($A$1, 69 - 1, 7 - 1)), "1","0")</f>
        <v>0</v>
      </c>
      <c r="BD1125">
        <f ca="1" xml:space="preserve"> IF( AND( OFFSET($A$1, 1125 - 1, 54 - 1) = "1", OFFSET($A$1, 1125 - 1, 55 - 1) = "1" ), 1, IF( AND( OFFSET($A$1, 1125 - 1, 54 - 1) = "1", OFFSET($A$1, 1125 - 1, 55 - 1) = "0" ), 2, IF( AND( OFFSET($A$1, 1125 - 1, 54 - 1) = "0", OFFSET($A$1, 1125 - 1, 55 - 1) = "1" ), 3, 4 ) ) )</f>
        <v>4</v>
      </c>
    </row>
    <row r="1126" spans="53:56" x14ac:dyDescent="0.35">
      <c r="BA1126" s="3">
        <v>0.19680158635447992</v>
      </c>
      <c r="BB1126" s="3" t="str">
        <f>"0"</f>
        <v>0</v>
      </c>
      <c r="BC1126" t="str">
        <f ca="1">IF((OFFSET($A$1, 1126 - 1, 53 - 1)) &gt;= (OFFSET($A$1, 69 - 1, 7 - 1)), "1","0")</f>
        <v>0</v>
      </c>
      <c r="BD1126">
        <f ca="1" xml:space="preserve"> IF( AND( OFFSET($A$1, 1126 - 1, 54 - 1) = "1", OFFSET($A$1, 1126 - 1, 55 - 1) = "1" ), 1, IF( AND( OFFSET($A$1, 1126 - 1, 54 - 1) = "1", OFFSET($A$1, 1126 - 1, 55 - 1) = "0" ), 2, IF( AND( OFFSET($A$1, 1126 - 1, 54 - 1) = "0", OFFSET($A$1, 1126 - 1, 55 - 1) = "1" ), 3, 4 ) ) )</f>
        <v>4</v>
      </c>
    </row>
    <row r="1127" spans="53:56" x14ac:dyDescent="0.35">
      <c r="BA1127" s="3">
        <v>0.19666891221107122</v>
      </c>
      <c r="BB1127" s="3" t="str">
        <f>"1"</f>
        <v>1</v>
      </c>
      <c r="BC1127" t="str">
        <f ca="1">IF((OFFSET($A$1, 1127 - 1, 53 - 1)) &gt;= (OFFSET($A$1, 69 - 1, 7 - 1)), "1","0")</f>
        <v>0</v>
      </c>
      <c r="BD1127">
        <f ca="1" xml:space="preserve"> IF( AND( OFFSET($A$1, 1127 - 1, 54 - 1) = "1", OFFSET($A$1, 1127 - 1, 55 - 1) = "1" ), 1, IF( AND( OFFSET($A$1, 1127 - 1, 54 - 1) = "1", OFFSET($A$1, 1127 - 1, 55 - 1) = "0" ), 2, IF( AND( OFFSET($A$1, 1127 - 1, 54 - 1) = "0", OFFSET($A$1, 1127 - 1, 55 - 1) = "1" ), 3, 4 ) ) )</f>
        <v>2</v>
      </c>
    </row>
    <row r="1128" spans="53:56" x14ac:dyDescent="0.35">
      <c r="BA1128" s="3">
        <v>0.4329946903454247</v>
      </c>
      <c r="BB1128" s="3" t="str">
        <f>"0"</f>
        <v>0</v>
      </c>
      <c r="BC1128" t="str">
        <f ca="1">IF((OFFSET($A$1, 1128 - 1, 53 - 1)) &gt;= (OFFSET($A$1, 69 - 1, 7 - 1)), "1","0")</f>
        <v>0</v>
      </c>
      <c r="BD1128">
        <f ca="1" xml:space="preserve"> IF( AND( OFFSET($A$1, 1128 - 1, 54 - 1) = "1", OFFSET($A$1, 1128 - 1, 55 - 1) = "1" ), 1, IF( AND( OFFSET($A$1, 1128 - 1, 54 - 1) = "1", OFFSET($A$1, 1128 - 1, 55 - 1) = "0" ), 2, IF( AND( OFFSET($A$1, 1128 - 1, 54 - 1) = "0", OFFSET($A$1, 1128 - 1, 55 - 1) = "1" ), 3, 4 ) ) )</f>
        <v>4</v>
      </c>
    </row>
    <row r="1129" spans="53:56" x14ac:dyDescent="0.35">
      <c r="BA1129" s="3">
        <v>0.19645375295801601</v>
      </c>
      <c r="BB1129" s="3" t="str">
        <f>"0"</f>
        <v>0</v>
      </c>
      <c r="BC1129" t="str">
        <f ca="1">IF((OFFSET($A$1, 1129 - 1, 53 - 1)) &gt;= (OFFSET($A$1, 69 - 1, 7 - 1)), "1","0")</f>
        <v>0</v>
      </c>
      <c r="BD1129">
        <f ca="1" xml:space="preserve"> IF( AND( OFFSET($A$1, 1129 - 1, 54 - 1) = "1", OFFSET($A$1, 1129 - 1, 55 - 1) = "1" ), 1, IF( AND( OFFSET($A$1, 1129 - 1, 54 - 1) = "1", OFFSET($A$1, 1129 - 1, 55 - 1) = "0" ), 2, IF( AND( OFFSET($A$1, 1129 - 1, 54 - 1) = "0", OFFSET($A$1, 1129 - 1, 55 - 1) = "1" ), 3, 4 ) ) )</f>
        <v>4</v>
      </c>
    </row>
    <row r="1130" spans="53:56" x14ac:dyDescent="0.35">
      <c r="BA1130" s="3">
        <v>0.1963712901147085</v>
      </c>
      <c r="BB1130" s="3" t="str">
        <f>"0"</f>
        <v>0</v>
      </c>
      <c r="BC1130" t="str">
        <f ca="1">IF((OFFSET($A$1, 1130 - 1, 53 - 1)) &gt;= (OFFSET($A$1, 69 - 1, 7 - 1)), "1","0")</f>
        <v>0</v>
      </c>
      <c r="BD1130">
        <f ca="1" xml:space="preserve"> IF( AND( OFFSET($A$1, 1130 - 1, 54 - 1) = "1", OFFSET($A$1, 1130 - 1, 55 - 1) = "1" ), 1, IF( AND( OFFSET($A$1, 1130 - 1, 54 - 1) = "1", OFFSET($A$1, 1130 - 1, 55 - 1) = "0" ), 2, IF( AND( OFFSET($A$1, 1130 - 1, 54 - 1) = "0", OFFSET($A$1, 1130 - 1, 55 - 1) = "1" ), 3, 4 ) ) )</f>
        <v>4</v>
      </c>
    </row>
    <row r="1131" spans="53:56" x14ac:dyDescent="0.35">
      <c r="BA1131" s="3">
        <v>0.19630558369335868</v>
      </c>
      <c r="BB1131" s="3" t="str">
        <f>"0"</f>
        <v>0</v>
      </c>
      <c r="BC1131" t="str">
        <f ca="1">IF((OFFSET($A$1, 1131 - 1, 53 - 1)) &gt;= (OFFSET($A$1, 69 - 1, 7 - 1)), "1","0")</f>
        <v>0</v>
      </c>
      <c r="BD1131">
        <f ca="1" xml:space="preserve"> IF( AND( OFFSET($A$1, 1131 - 1, 54 - 1) = "1", OFFSET($A$1, 1131 - 1, 55 - 1) = "1" ), 1, IF( AND( OFFSET($A$1, 1131 - 1, 54 - 1) = "1", OFFSET($A$1, 1131 - 1, 55 - 1) = "0" ), 2, IF( AND( OFFSET($A$1, 1131 - 1, 54 - 1) = "0", OFFSET($A$1, 1131 - 1, 55 - 1) = "1" ), 3, 4 ) ) )</f>
        <v>4</v>
      </c>
    </row>
    <row r="1132" spans="53:56" x14ac:dyDescent="0.35">
      <c r="BA1132" s="3">
        <v>0.19625664043549287</v>
      </c>
      <c r="BB1132" s="3" t="str">
        <f>"0"</f>
        <v>0</v>
      </c>
      <c r="BC1132" t="str">
        <f ca="1">IF((OFFSET($A$1, 1132 - 1, 53 - 1)) &gt;= (OFFSET($A$1, 69 - 1, 7 - 1)), "1","0")</f>
        <v>0</v>
      </c>
      <c r="BD1132">
        <f ca="1" xml:space="preserve"> IF( AND( OFFSET($A$1, 1132 - 1, 54 - 1) = "1", OFFSET($A$1, 1132 - 1, 55 - 1) = "1" ), 1, IF( AND( OFFSET($A$1, 1132 - 1, 54 - 1) = "1", OFFSET($A$1, 1132 - 1, 55 - 1) = "0" ), 2, IF( AND( OFFSET($A$1, 1132 - 1, 54 - 1) = "0", OFFSET($A$1, 1132 - 1, 55 - 1) = "1" ), 3, 4 ) ) )</f>
        <v>4</v>
      </c>
    </row>
    <row r="1133" spans="53:56" x14ac:dyDescent="0.35">
      <c r="BA1133" s="3">
        <v>0.1962244653515498</v>
      </c>
      <c r="BB1133" s="3" t="str">
        <f>"1"</f>
        <v>1</v>
      </c>
      <c r="BC1133" t="str">
        <f ca="1">IF((OFFSET($A$1, 1133 - 1, 53 - 1)) &gt;= (OFFSET($A$1, 69 - 1, 7 - 1)), "1","0")</f>
        <v>0</v>
      </c>
      <c r="BD1133">
        <f ca="1" xml:space="preserve"> IF( AND( OFFSET($A$1, 1133 - 1, 54 - 1) = "1", OFFSET($A$1, 1133 - 1, 55 - 1) = "1" ), 1, IF( AND( OFFSET($A$1, 1133 - 1, 54 - 1) = "1", OFFSET($A$1, 1133 - 1, 55 - 1) = "0" ), 2, IF( AND( OFFSET($A$1, 1133 - 1, 54 - 1) = "0", OFFSET($A$1, 1133 - 1, 55 - 1) = "1" ), 3, 4 ) ) )</f>
        <v>2</v>
      </c>
    </row>
    <row r="1134" spans="53:56" x14ac:dyDescent="0.35">
      <c r="BA1134" s="3">
        <v>0.43245976739196279</v>
      </c>
      <c r="BB1134" s="3" t="str">
        <f>"1"</f>
        <v>1</v>
      </c>
      <c r="BC1134" t="str">
        <f ca="1">IF((OFFSET($A$1, 1134 - 1, 53 - 1)) &gt;= (OFFSET($A$1, 69 - 1, 7 - 1)), "1","0")</f>
        <v>0</v>
      </c>
      <c r="BD1134">
        <f ca="1" xml:space="preserve"> IF( AND( OFFSET($A$1, 1134 - 1, 54 - 1) = "1", OFFSET($A$1, 1134 - 1, 55 - 1) = "1" ), 1, IF( AND( OFFSET($A$1, 1134 - 1, 54 - 1) = "1", OFFSET($A$1, 1134 - 1, 55 - 1) = "0" ), 2, IF( AND( OFFSET($A$1, 1134 - 1, 54 - 1) = "0", OFFSET($A$1, 1134 - 1, 55 - 1) = "1" ), 3, 4 ) ) )</f>
        <v>2</v>
      </c>
    </row>
    <row r="1135" spans="53:56" x14ac:dyDescent="0.35">
      <c r="BA1135" s="3">
        <v>0.43246189854243572</v>
      </c>
      <c r="BB1135" s="3" t="str">
        <f>"0"</f>
        <v>0</v>
      </c>
      <c r="BC1135" t="str">
        <f ca="1">IF((OFFSET($A$1, 1135 - 1, 53 - 1)) &gt;= (OFFSET($A$1, 69 - 1, 7 - 1)), "1","0")</f>
        <v>0</v>
      </c>
      <c r="BD1135">
        <f ca="1" xml:space="preserve"> IF( AND( OFFSET($A$1, 1135 - 1, 54 - 1) = "1", OFFSET($A$1, 1135 - 1, 55 - 1) = "1" ), 1, IF( AND( OFFSET($A$1, 1135 - 1, 54 - 1) = "1", OFFSET($A$1, 1135 - 1, 55 - 1) = "0" ), 2, IF( AND( OFFSET($A$1, 1135 - 1, 54 - 1) = "0", OFFSET($A$1, 1135 - 1, 55 - 1) = "1" ), 3, 4 ) ) )</f>
        <v>4</v>
      </c>
    </row>
    <row r="1136" spans="53:56" x14ac:dyDescent="0.35">
      <c r="BA1136" s="3">
        <v>0.19622857345417194</v>
      </c>
      <c r="BB1136" s="3" t="str">
        <f>"0"</f>
        <v>0</v>
      </c>
      <c r="BC1136" t="str">
        <f ca="1">IF((OFFSET($A$1, 1136 - 1, 53 - 1)) &gt;= (OFFSET($A$1, 69 - 1, 7 - 1)), "1","0")</f>
        <v>0</v>
      </c>
      <c r="BD1136">
        <f ca="1" xml:space="preserve"> IF( AND( OFFSET($A$1, 1136 - 1, 54 - 1) = "1", OFFSET($A$1, 1136 - 1, 55 - 1) = "1" ), 1, IF( AND( OFFSET($A$1, 1136 - 1, 54 - 1) = "1", OFFSET($A$1, 1136 - 1, 55 - 1) = "0" ), 2, IF( AND( OFFSET($A$1, 1136 - 1, 54 - 1) = "0", OFFSET($A$1, 1136 - 1, 55 - 1) = "1" ), 3, 4 ) ) )</f>
        <v>4</v>
      </c>
    </row>
    <row r="1137" spans="53:56" x14ac:dyDescent="0.35">
      <c r="BA1137" s="3">
        <v>0.19626348680693345</v>
      </c>
      <c r="BB1137" s="3" t="str">
        <f>"0"</f>
        <v>0</v>
      </c>
      <c r="BC1137" t="str">
        <f ca="1">IF((OFFSET($A$1, 1137 - 1, 53 - 1)) &gt;= (OFFSET($A$1, 69 - 1, 7 - 1)), "1","0")</f>
        <v>0</v>
      </c>
      <c r="BD1137">
        <f ca="1" xml:space="preserve"> IF( AND( OFFSET($A$1, 1137 - 1, 54 - 1) = "1", OFFSET($A$1, 1137 - 1, 55 - 1) = "1" ), 1, IF( AND( OFFSET($A$1, 1137 - 1, 54 - 1) = "1", OFFSET($A$1, 1137 - 1, 55 - 1) = "0" ), 2, IF( AND( OFFSET($A$1, 1137 - 1, 54 - 1) = "0", OFFSET($A$1, 1137 - 1, 55 - 1) = "1" ), 3, 4 ) ) )</f>
        <v>4</v>
      </c>
    </row>
    <row r="1138" spans="53:56" x14ac:dyDescent="0.35">
      <c r="BA1138" s="3">
        <v>0.19631516763331225</v>
      </c>
      <c r="BB1138" s="3" t="str">
        <f>"0"</f>
        <v>0</v>
      </c>
      <c r="BC1138" t="str">
        <f ca="1">IF((OFFSET($A$1, 1138 - 1, 53 - 1)) &gt;= (OFFSET($A$1, 69 - 1, 7 - 1)), "1","0")</f>
        <v>0</v>
      </c>
      <c r="BD1138">
        <f ca="1" xml:space="preserve"> IF( AND( OFFSET($A$1, 1138 - 1, 54 - 1) = "1", OFFSET($A$1, 1138 - 1, 55 - 1) = "1" ), 1, IF( AND( OFFSET($A$1, 1138 - 1, 54 - 1) = "1", OFFSET($A$1, 1138 - 1, 55 - 1) = "0" ), 2, IF( AND( OFFSET($A$1, 1138 - 1, 54 - 1) = "0", OFFSET($A$1, 1138 - 1, 55 - 1) = "1" ), 3, 4 ) ) )</f>
        <v>4</v>
      </c>
    </row>
    <row r="1139" spans="53:56" x14ac:dyDescent="0.35">
      <c r="BA1139" s="3">
        <v>0.19638361064092694</v>
      </c>
      <c r="BB1139" s="3" t="str">
        <f>"0"</f>
        <v>0</v>
      </c>
      <c r="BC1139" t="str">
        <f ca="1">IF((OFFSET($A$1, 1139 - 1, 53 - 1)) &gt;= (OFFSET($A$1, 69 - 1, 7 - 1)), "1","0")</f>
        <v>0</v>
      </c>
      <c r="BD1139">
        <f ca="1" xml:space="preserve"> IF( AND( OFFSET($A$1, 1139 - 1, 54 - 1) = "1", OFFSET($A$1, 1139 - 1, 55 - 1) = "1" ), 1, IF( AND( OFFSET($A$1, 1139 - 1, 54 - 1) = "1", OFFSET($A$1, 1139 - 1, 55 - 1) = "0" ), 2, IF( AND( OFFSET($A$1, 1139 - 1, 54 - 1) = "0", OFFSET($A$1, 1139 - 1, 55 - 1) = "1" ), 3, 4 ) ) )</f>
        <v>4</v>
      </c>
    </row>
    <row r="1140" spans="53:56" x14ac:dyDescent="0.35">
      <c r="BA1140" s="3">
        <v>0.19646880880449058</v>
      </c>
      <c r="BB1140" s="3" t="str">
        <f>"0"</f>
        <v>0</v>
      </c>
      <c r="BC1140" t="str">
        <f ca="1">IF((OFFSET($A$1, 1140 - 1, 53 - 1)) &gt;= (OFFSET($A$1, 69 - 1, 7 - 1)), "1","0")</f>
        <v>0</v>
      </c>
      <c r="BD1140">
        <f ca="1" xml:space="preserve"> IF( AND( OFFSET($A$1, 1140 - 1, 54 - 1) = "1", OFFSET($A$1, 1140 - 1, 55 - 1) = "1" ), 1, IF( AND( OFFSET($A$1, 1140 - 1, 54 - 1) = "1", OFFSET($A$1, 1140 - 1, 55 - 1) = "0" ), 2, IF( AND( OFFSET($A$1, 1140 - 1, 54 - 1) = "0", OFFSET($A$1, 1140 - 1, 55 - 1) = "1" ), 3, 4 ) ) )</f>
        <v>4</v>
      </c>
    </row>
    <row r="1141" spans="53:56" x14ac:dyDescent="0.35">
      <c r="BA1141" s="3">
        <v>0.19657075335283841</v>
      </c>
      <c r="BB1141" s="3" t="str">
        <f>"0"</f>
        <v>0</v>
      </c>
      <c r="BC1141" t="str">
        <f ca="1">IF((OFFSET($A$1, 1141 - 1, 53 - 1)) &gt;= (OFFSET($A$1, 69 - 1, 7 - 1)), "1","0")</f>
        <v>0</v>
      </c>
      <c r="BD1141">
        <f ca="1" xml:space="preserve"> IF( AND( OFFSET($A$1, 1141 - 1, 54 - 1) = "1", OFFSET($A$1, 1141 - 1, 55 - 1) = "1" ), 1, IF( AND( OFFSET($A$1, 1141 - 1, 54 - 1) = "1", OFFSET($A$1, 1141 - 1, 55 - 1) = "0" ), 2, IF( AND( OFFSET($A$1, 1141 - 1, 54 - 1) = "0", OFFSET($A$1, 1141 - 1, 55 - 1) = "1" ), 3, 4 ) ) )</f>
        <v>4</v>
      </c>
    </row>
    <row r="1142" spans="53:56" x14ac:dyDescent="0.35">
      <c r="BA1142" s="3">
        <v>0.19668943375280659</v>
      </c>
      <c r="BB1142" s="3" t="str">
        <f>"0"</f>
        <v>0</v>
      </c>
      <c r="BC1142" t="str">
        <f ca="1">IF((OFFSET($A$1, 1142 - 1, 53 - 1)) &gt;= (OFFSET($A$1, 69 - 1, 7 - 1)), "1","0")</f>
        <v>0</v>
      </c>
      <c r="BD1142">
        <f ca="1" xml:space="preserve"> IF( AND( OFFSET($A$1, 1142 - 1, 54 - 1) = "1", OFFSET($A$1, 1142 - 1, 55 - 1) = "1" ), 1, IF( AND( OFFSET($A$1, 1142 - 1, 54 - 1) = "1", OFFSET($A$1, 1142 - 1, 55 - 1) = "0" ), 2, IF( AND( OFFSET($A$1, 1142 - 1, 54 - 1) = "0", OFFSET($A$1, 1142 - 1, 55 - 1) = "1" ), 3, 4 ) ) )</f>
        <v>4</v>
      </c>
    </row>
    <row r="1143" spans="53:56" x14ac:dyDescent="0.35">
      <c r="BA1143" s="3">
        <v>0.19682483768998146</v>
      </c>
      <c r="BB1143" s="3" t="str">
        <f>"1"</f>
        <v>1</v>
      </c>
      <c r="BC1143" t="str">
        <f ca="1">IF((OFFSET($A$1, 1143 - 1, 53 - 1)) &gt;= (OFFSET($A$1, 69 - 1, 7 - 1)), "1","0")</f>
        <v>0</v>
      </c>
      <c r="BD1143">
        <f ca="1" xml:space="preserve"> IF( AND( OFFSET($A$1, 1143 - 1, 54 - 1) = "1", OFFSET($A$1, 1143 - 1, 55 - 1) = "1" ), 1, IF( AND( OFFSET($A$1, 1143 - 1, 54 - 1) = "1", OFFSET($A$1, 1143 - 1, 55 - 1) = "0" ), 2, IF( AND( OFFSET($A$1, 1143 - 1, 54 - 1) = "0", OFFSET($A$1, 1143 - 1, 55 - 1) = "1" ), 3, 4 ) ) )</f>
        <v>2</v>
      </c>
    </row>
    <row r="1144" spans="53:56" x14ac:dyDescent="0.35">
      <c r="BA1144" s="3">
        <v>0.43365342437377224</v>
      </c>
      <c r="BB1144" s="3" t="str">
        <f>"0"</f>
        <v>0</v>
      </c>
      <c r="BC1144" t="str">
        <f ca="1">IF((OFFSET($A$1, 1144 - 1, 53 - 1)) &gt;= (OFFSET($A$1, 69 - 1, 7 - 1)), "1","0")</f>
        <v>0</v>
      </c>
      <c r="BD1144">
        <f ca="1" xml:space="preserve"> IF( AND( OFFSET($A$1, 1144 - 1, 54 - 1) = "1", OFFSET($A$1, 1144 - 1, 55 - 1) = "1" ), 1, IF( AND( OFFSET($A$1, 1144 - 1, 54 - 1) = "1", OFFSET($A$1, 1144 - 1, 55 - 1) = "0" ), 2, IF( AND( OFFSET($A$1, 1144 - 1, 54 - 1) = "0", OFFSET($A$1, 1144 - 1, 55 - 1) = "1" ), 3, 4 ) ) )</f>
        <v>4</v>
      </c>
    </row>
    <row r="1145" spans="53:56" x14ac:dyDescent="0.35">
      <c r="BA1145" s="3">
        <v>0.19714575787482064</v>
      </c>
      <c r="BB1145" s="3" t="str">
        <f>"0"</f>
        <v>0</v>
      </c>
      <c r="BC1145" t="str">
        <f ca="1">IF((OFFSET($A$1, 1145 - 1, 53 - 1)) &gt;= (OFFSET($A$1, 69 - 1, 7 - 1)), "1","0")</f>
        <v>0</v>
      </c>
      <c r="BD1145">
        <f ca="1" xml:space="preserve"> IF( AND( OFFSET($A$1, 1145 - 1, 54 - 1) = "1", OFFSET($A$1, 1145 - 1, 55 - 1) = "1" ), 1, IF( AND( OFFSET($A$1, 1145 - 1, 54 - 1) = "1", OFFSET($A$1, 1145 - 1, 55 - 1) = "0" ), 2, IF( AND( OFFSET($A$1, 1145 - 1, 54 - 1) = "0", OFFSET($A$1, 1145 - 1, 55 - 1) = "1" ), 3, 4 ) ) )</f>
        <v>4</v>
      </c>
    </row>
    <row r="1146" spans="53:56" x14ac:dyDescent="0.35">
      <c r="BA1146" s="3">
        <v>0.19733124037082042</v>
      </c>
      <c r="BB1146" s="3" t="str">
        <f>"0"</f>
        <v>0</v>
      </c>
      <c r="BC1146" t="str">
        <f ca="1">IF((OFFSET($A$1, 1146 - 1, 53 - 1)) &gt;= (OFFSET($A$1, 69 - 1, 7 - 1)), "1","0")</f>
        <v>0</v>
      </c>
      <c r="BD1146">
        <f ca="1" xml:space="preserve"> IF( AND( OFFSET($A$1, 1146 - 1, 54 - 1) = "1", OFFSET($A$1, 1146 - 1, 55 - 1) = "1" ), 1, IF( AND( OFFSET($A$1, 1146 - 1, 54 - 1) = "1", OFFSET($A$1, 1146 - 1, 55 - 1) = "0" ), 2, IF( AND( OFFSET($A$1, 1146 - 1, 54 - 1) = "0", OFFSET($A$1, 1146 - 1, 55 - 1) = "1" ), 3, 4 ) ) )</f>
        <v>4</v>
      </c>
    </row>
    <row r="1147" spans="53:56" x14ac:dyDescent="0.35">
      <c r="BA1147" s="3">
        <v>0.19753337884070987</v>
      </c>
      <c r="BB1147" s="3" t="str">
        <f>"0"</f>
        <v>0</v>
      </c>
      <c r="BC1147" t="str">
        <f ca="1">IF((OFFSET($A$1, 1147 - 1, 53 - 1)) &gt;= (OFFSET($A$1, 69 - 1, 7 - 1)), "1","0")</f>
        <v>0</v>
      </c>
      <c r="BD1147">
        <f ca="1" xml:space="preserve"> IF( AND( OFFSET($A$1, 1147 - 1, 54 - 1) = "1", OFFSET($A$1, 1147 - 1, 55 - 1) = "1" ), 1, IF( AND( OFFSET($A$1, 1147 - 1, 54 - 1) = "1", OFFSET($A$1, 1147 - 1, 55 - 1) = "0" ), 2, IF( AND( OFFSET($A$1, 1147 - 1, 54 - 1) = "0", OFFSET($A$1, 1147 - 1, 55 - 1) = "1" ), 3, 4 ) ) )</f>
        <v>4</v>
      </c>
    </row>
    <row r="1148" spans="53:56" x14ac:dyDescent="0.35">
      <c r="BA1148" s="3">
        <v>0.197752151667348</v>
      </c>
      <c r="BB1148" s="3" t="str">
        <f>"1"</f>
        <v>1</v>
      </c>
      <c r="BC1148" t="str">
        <f ca="1">IF((OFFSET($A$1, 1148 - 1, 53 - 1)) &gt;= (OFFSET($A$1, 69 - 1, 7 - 1)), "1","0")</f>
        <v>0</v>
      </c>
      <c r="BD1148">
        <f ca="1" xml:space="preserve"> IF( AND( OFFSET($A$1, 1148 - 1, 54 - 1) = "1", OFFSET($A$1, 1148 - 1, 55 - 1) = "1" ), 1, IF( AND( OFFSET($A$1, 1148 - 1, 54 - 1) = "1", OFFSET($A$1, 1148 - 1, 55 - 1) = "0" ), 2, IF( AND( OFFSET($A$1, 1148 - 1, 54 - 1) = "0", OFFSET($A$1, 1148 - 1, 55 - 1) = "1" ), 3, 4 ) ) )</f>
        <v>2</v>
      </c>
    </row>
    <row r="1149" spans="53:56" x14ac:dyDescent="0.35">
      <c r="BA1149" s="3">
        <v>0.43522016803545871</v>
      </c>
      <c r="BB1149" s="3" t="str">
        <f>"1"</f>
        <v>1</v>
      </c>
      <c r="BC1149" t="str">
        <f ca="1">IF((OFFSET($A$1, 1149 - 1, 53 - 1)) &gt;= (OFFSET($A$1, 69 - 1, 7 - 1)), "1","0")</f>
        <v>0</v>
      </c>
      <c r="BD1149">
        <f ca="1" xml:space="preserve"> IF( AND( OFFSET($A$1, 1149 - 1, 54 - 1) = "1", OFFSET($A$1, 1149 - 1, 55 - 1) = "1" ), 1, IF( AND( OFFSET($A$1, 1149 - 1, 54 - 1) = "1", OFFSET($A$1, 1149 - 1, 55 - 1) = "0" ), 2, IF( AND( OFFSET($A$1, 1149 - 1, 54 - 1) = "0", OFFSET($A$1, 1149 - 1, 55 - 1) = "1" ), 3, 4 ) ) )</f>
        <v>2</v>
      </c>
    </row>
    <row r="1150" spans="53:56" x14ac:dyDescent="0.35">
      <c r="BA1150" s="3">
        <v>0.43561006741424046</v>
      </c>
      <c r="BB1150" s="3" t="str">
        <f>"0"</f>
        <v>0</v>
      </c>
      <c r="BC1150" t="str">
        <f ca="1">IF((OFFSET($A$1, 1150 - 1, 53 - 1)) &gt;= (OFFSET($A$1, 69 - 1, 7 - 1)), "1","0")</f>
        <v>0</v>
      </c>
      <c r="BD1150">
        <f ca="1" xml:space="preserve"> IF( AND( OFFSET($A$1, 1150 - 1, 54 - 1) = "1", OFFSET($A$1, 1150 - 1, 55 - 1) = "1" ), 1, IF( AND( OFFSET($A$1, 1150 - 1, 54 - 1) = "1", OFFSET($A$1, 1150 - 1, 55 - 1) = "0" ), 2, IF( AND( OFFSET($A$1, 1150 - 1, 54 - 1) = "0", OFFSET($A$1, 1150 - 1, 55 - 1) = "1" ), 3, 4 ) ) )</f>
        <v>4</v>
      </c>
    </row>
    <row r="1151" spans="53:56" x14ac:dyDescent="0.35">
      <c r="BA1151" s="3">
        <v>0.1985080304579124</v>
      </c>
      <c r="BB1151" s="3" t="str">
        <f>"0"</f>
        <v>0</v>
      </c>
      <c r="BC1151" t="str">
        <f ca="1">IF((OFFSET($A$1, 1151 - 1, 53 - 1)) &gt;= (OFFSET($A$1, 69 - 1, 7 - 1)), "1","0")</f>
        <v>0</v>
      </c>
      <c r="BD1151">
        <f ca="1" xml:space="preserve"> IF( AND( OFFSET($A$1, 1151 - 1, 54 - 1) = "1", OFFSET($A$1, 1151 - 1, 55 - 1) = "1" ), 1, IF( AND( OFFSET($A$1, 1151 - 1, 54 - 1) = "1", OFFSET($A$1, 1151 - 1, 55 - 1) = "0" ), 2, IF( AND( OFFSET($A$1, 1151 - 1, 54 - 1) = "0", OFFSET($A$1, 1151 - 1, 55 - 1) = "1" ), 3, 4 ) ) )</f>
        <v>4</v>
      </c>
    </row>
    <row r="1152" spans="53:56" x14ac:dyDescent="0.35">
      <c r="BA1152" s="3">
        <v>0.19879308470029267</v>
      </c>
      <c r="BB1152" s="3" t="str">
        <f>"0"</f>
        <v>0</v>
      </c>
      <c r="BC1152" t="str">
        <f ca="1">IF((OFFSET($A$1, 1152 - 1, 53 - 1)) &gt;= (OFFSET($A$1, 69 - 1, 7 - 1)), "1","0")</f>
        <v>0</v>
      </c>
      <c r="BD1152">
        <f ca="1" xml:space="preserve"> IF( AND( OFFSET($A$1, 1152 - 1, 54 - 1) = "1", OFFSET($A$1, 1152 - 1, 55 - 1) = "1" ), 1, IF( AND( OFFSET($A$1, 1152 - 1, 54 - 1) = "1", OFFSET($A$1, 1152 - 1, 55 - 1) = "0" ), 2, IF( AND( OFFSET($A$1, 1152 - 1, 54 - 1) = "0", OFFSET($A$1, 1152 - 1, 55 - 1) = "1" ), 3, 4 ) ) )</f>
        <v>4</v>
      </c>
    </row>
    <row r="1153" spans="53:56" x14ac:dyDescent="0.35">
      <c r="BA1153" s="3">
        <v>0.19909463495173652</v>
      </c>
      <c r="BB1153" s="3" t="str">
        <f>"0"</f>
        <v>0</v>
      </c>
      <c r="BC1153" t="str">
        <f ca="1">IF((OFFSET($A$1, 1153 - 1, 53 - 1)) &gt;= (OFFSET($A$1, 69 - 1, 7 - 1)), "1","0")</f>
        <v>0</v>
      </c>
      <c r="BD1153">
        <f ca="1" xml:space="preserve"> IF( AND( OFFSET($A$1, 1153 - 1, 54 - 1) = "1", OFFSET($A$1, 1153 - 1, 55 - 1) = "1" ), 1, IF( AND( OFFSET($A$1, 1153 - 1, 54 - 1) = "1", OFFSET($A$1, 1153 - 1, 55 - 1) = "0" ), 2, IF( AND( OFFSET($A$1, 1153 - 1, 54 - 1) = "0", OFFSET($A$1, 1153 - 1, 55 - 1) = "1" ), 3, 4 ) ) )</f>
        <v>4</v>
      </c>
    </row>
    <row r="1154" spans="53:56" x14ac:dyDescent="0.35">
      <c r="BA1154" s="3">
        <v>0.19941264716922463</v>
      </c>
      <c r="BB1154" s="3" t="str">
        <f>"0"</f>
        <v>0</v>
      </c>
      <c r="BC1154" t="str">
        <f ca="1">IF((OFFSET($A$1, 1154 - 1, 53 - 1)) &gt;= (OFFSET($A$1, 69 - 1, 7 - 1)), "1","0")</f>
        <v>0</v>
      </c>
      <c r="BD1154">
        <f ca="1" xml:space="preserve"> IF( AND( OFFSET($A$1, 1154 - 1, 54 - 1) = "1", OFFSET($A$1, 1154 - 1, 55 - 1) = "1" ), 1, IF( AND( OFFSET($A$1, 1154 - 1, 54 - 1) = "1", OFFSET($A$1, 1154 - 1, 55 - 1) = "0" ), 2, IF( AND( OFFSET($A$1, 1154 - 1, 54 - 1) = "0", OFFSET($A$1, 1154 - 1, 55 - 1) = "1" ), 3, 4 ) ) )</f>
        <v>4</v>
      </c>
    </row>
    <row r="1155" spans="53:56" x14ac:dyDescent="0.35">
      <c r="BA1155" s="3">
        <v>0.19974708506563446</v>
      </c>
      <c r="BB1155" s="3" t="str">
        <f>"1"</f>
        <v>1</v>
      </c>
      <c r="BC1155" t="str">
        <f ca="1">IF((OFFSET($A$1, 1155 - 1, 53 - 1)) &gt;= (OFFSET($A$1, 69 - 1, 7 - 1)), "1","0")</f>
        <v>0</v>
      </c>
      <c r="BD1155">
        <f ca="1" xml:space="preserve"> IF( AND( OFFSET($A$1, 1155 - 1, 54 - 1) = "1", OFFSET($A$1, 1155 - 1, 55 - 1) = "1" ), 1, IF( AND( OFFSET($A$1, 1155 - 1, 54 - 1) = "1", OFFSET($A$1, 1155 - 1, 55 - 1) = "0" ), 2, IF( AND( OFFSET($A$1, 1155 - 1, 54 - 1) = "0", OFFSET($A$1, 1155 - 1, 55 - 1) = "1" ), 3, 4 ) ) )</f>
        <v>2</v>
      </c>
    </row>
    <row r="1156" spans="53:56" x14ac:dyDescent="0.35">
      <c r="BA1156" s="3">
        <v>0.43847674738787357</v>
      </c>
      <c r="BB1156" s="3" t="str">
        <f>"1"</f>
        <v>1</v>
      </c>
      <c r="BC1156" t="str">
        <f ca="1">IF((OFFSET($A$1, 1156 - 1, 53 - 1)) &gt;= (OFFSET($A$1, 69 - 1, 7 - 1)), "1","0")</f>
        <v>0</v>
      </c>
      <c r="BD1156">
        <f ca="1" xml:space="preserve"> IF( AND( OFFSET($A$1, 1156 - 1, 54 - 1) = "1", OFFSET($A$1, 1156 - 1, 55 - 1) = "1" ), 1, IF( AND( OFFSET($A$1, 1156 - 1, 54 - 1) = "1", OFFSET($A$1, 1156 - 1, 55 - 1) = "0" ), 2, IF( AND( OFFSET($A$1, 1156 - 1, 54 - 1) = "0", OFFSET($A$1, 1156 - 1, 55 - 1) = "1" ), 3, 4 ) ) )</f>
        <v>2</v>
      </c>
    </row>
    <row r="1157" spans="53:56" x14ac:dyDescent="0.35">
      <c r="BA1157" s="3">
        <v>0.43904125010153888</v>
      </c>
      <c r="BB1157" s="3" t="str">
        <f>"1"</f>
        <v>1</v>
      </c>
      <c r="BC1157" t="str">
        <f ca="1">IF((OFFSET($A$1, 1157 - 1, 53 - 1)) &gt;= (OFFSET($A$1, 69 - 1, 7 - 1)), "1","0")</f>
        <v>0</v>
      </c>
      <c r="BD1157">
        <f ca="1" xml:space="preserve"> IF( AND( OFFSET($A$1, 1157 - 1, 54 - 1) = "1", OFFSET($A$1, 1157 - 1, 55 - 1) = "1" ), 1, IF( AND( OFFSET($A$1, 1157 - 1, 54 - 1) = "1", OFFSET($A$1, 1157 - 1, 55 - 1) = "0" ), 2, IF( AND( OFFSET($A$1, 1157 - 1, 54 - 1) = "0", OFFSET($A$1, 1157 - 1, 55 - 1) = "1" ), 3, 4 ) ) )</f>
        <v>2</v>
      </c>
    </row>
    <row r="1158" spans="53:56" x14ac:dyDescent="0.35">
      <c r="BA1158" s="3">
        <v>0.43963015894589252</v>
      </c>
      <c r="BB1158" s="3" t="str">
        <f>"1"</f>
        <v>1</v>
      </c>
      <c r="BC1158" t="str">
        <f ca="1">IF((OFFSET($A$1, 1158 - 1, 53 - 1)) &gt;= (OFFSET($A$1, 69 - 1, 7 - 1)), "1","0")</f>
        <v>0</v>
      </c>
      <c r="BD1158">
        <f ca="1" xml:space="preserve"> IF( AND( OFFSET($A$1, 1158 - 1, 54 - 1) = "1", OFFSET($A$1, 1158 - 1, 55 - 1) = "1" ), 1, IF( AND( OFFSET($A$1, 1158 - 1, 54 - 1) = "1", OFFSET($A$1, 1158 - 1, 55 - 1) = "0" ), 2, IF( AND( OFFSET($A$1, 1158 - 1, 54 - 1) = "0", OFFSET($A$1, 1158 - 1, 55 - 1) = "1" ), 3, 4 ) ) )</f>
        <v>2</v>
      </c>
    </row>
    <row r="1159" spans="53:56" x14ac:dyDescent="0.35">
      <c r="BA1159" s="3">
        <v>0.4402433190616778</v>
      </c>
      <c r="BB1159" s="3" t="str">
        <f>"0"</f>
        <v>0</v>
      </c>
      <c r="BC1159" t="str">
        <f ca="1">IF((OFFSET($A$1, 1159 - 1, 53 - 1)) &gt;= (OFFSET($A$1, 69 - 1, 7 - 1)), "1","0")</f>
        <v>0</v>
      </c>
      <c r="BD1159">
        <f ca="1" xml:space="preserve"> IF( AND( OFFSET($A$1, 1159 - 1, 54 - 1) = "1", OFFSET($A$1, 1159 - 1, 55 - 1) = "1" ), 1, IF( AND( OFFSET($A$1, 1159 - 1, 54 - 1) = "1", OFFSET($A$1, 1159 - 1, 55 - 1) = "0" ), 2, IF( AND( OFFSET($A$1, 1159 - 1, 54 - 1) = "0", OFFSET($A$1, 1159 - 1, 55 - 1) = "1" ), 3, 4 ) ) )</f>
        <v>4</v>
      </c>
    </row>
    <row r="1160" spans="53:56" x14ac:dyDescent="0.35">
      <c r="BA1160" s="3">
        <v>0.20166422528371403</v>
      </c>
      <c r="BB1160" s="3" t="str">
        <f>"1"</f>
        <v>1</v>
      </c>
      <c r="BC1160" t="str">
        <f ca="1">IF((OFFSET($A$1, 1160 - 1, 53 - 1)) &gt;= (OFFSET($A$1, 69 - 1, 7 - 1)), "1","0")</f>
        <v>0</v>
      </c>
      <c r="BD1160">
        <f ca="1" xml:space="preserve"> IF( AND( OFFSET($A$1, 1160 - 1, 54 - 1) = "1", OFFSET($A$1, 1160 - 1, 55 - 1) = "1" ), 1, IF( AND( OFFSET($A$1, 1160 - 1, 54 - 1) = "1", OFFSET($A$1, 1160 - 1, 55 - 1) = "0" ), 2, IF( AND( OFFSET($A$1, 1160 - 1, 54 - 1) = "0", OFFSET($A$1, 1160 - 1, 55 - 1) = "1" ), 3, 4 ) ) )</f>
        <v>2</v>
      </c>
    </row>
    <row r="1161" spans="53:56" x14ac:dyDescent="0.35">
      <c r="BA1161" s="3">
        <v>0.44154173918153544</v>
      </c>
      <c r="BB1161" s="3" t="str">
        <f>"0"</f>
        <v>0</v>
      </c>
      <c r="BC1161" t="str">
        <f ca="1">IF((OFFSET($A$1, 1161 - 1, 53 - 1)) &gt;= (OFFSET($A$1, 69 - 1, 7 - 1)), "1","0")</f>
        <v>0</v>
      </c>
      <c r="BD1161">
        <f ca="1" xml:space="preserve"> IF( AND( OFFSET($A$1, 1161 - 1, 54 - 1) = "1", OFFSET($A$1, 1161 - 1, 55 - 1) = "1" ), 1, IF( AND( OFFSET($A$1, 1161 - 1, 54 - 1) = "1", OFFSET($A$1, 1161 - 1, 55 - 1) = "0" ), 2, IF( AND( OFFSET($A$1, 1161 - 1, 54 - 1) = "0", OFFSET($A$1, 1161 - 1, 55 - 1) = "1" ), 3, 4 ) ) )</f>
        <v>4</v>
      </c>
    </row>
    <row r="1162" spans="53:56" x14ac:dyDescent="0.35">
      <c r="BA1162" s="3">
        <v>0.20254452280171864</v>
      </c>
      <c r="BB1162" s="3" t="str">
        <f>"0"</f>
        <v>0</v>
      </c>
      <c r="BC1162" t="str">
        <f ca="1">IF((OFFSET($A$1, 1162 - 1, 53 - 1)) &gt;= (OFFSET($A$1, 69 - 1, 7 - 1)), "1","0")</f>
        <v>0</v>
      </c>
      <c r="BD1162">
        <f ca="1" xml:space="preserve"> IF( AND( OFFSET($A$1, 1162 - 1, 54 - 1) = "1", OFFSET($A$1, 1162 - 1, 55 - 1) = "1" ), 1, IF( AND( OFFSET($A$1, 1162 - 1, 54 - 1) = "1", OFFSET($A$1, 1162 - 1, 55 - 1) = "0" ), 2, IF( AND( OFFSET($A$1, 1162 - 1, 54 - 1) = "0", OFFSET($A$1, 1162 - 1, 55 - 1) = "1" ), 3, 4 ) ) )</f>
        <v>4</v>
      </c>
    </row>
    <row r="1163" spans="53:56" x14ac:dyDescent="0.35">
      <c r="BA1163" s="3">
        <v>0.20300877079038579</v>
      </c>
      <c r="BB1163" s="3" t="str">
        <f>"1"</f>
        <v>1</v>
      </c>
      <c r="BC1163" t="str">
        <f ca="1">IF((OFFSET($A$1, 1163 - 1, 53 - 1)) &gt;= (OFFSET($A$1, 69 - 1, 7 - 1)), "1","0")</f>
        <v>0</v>
      </c>
      <c r="BD1163">
        <f ca="1" xml:space="preserve"> IF( AND( OFFSET($A$1, 1163 - 1, 54 - 1) = "1", OFFSET($A$1, 1163 - 1, 55 - 1) = "1" ), 1, IF( AND( OFFSET($A$1, 1163 - 1, 54 - 1) = "1", OFFSET($A$1, 1163 - 1, 55 - 1) = "0" ), 2, IF( AND( OFFSET($A$1, 1163 - 1, 54 - 1) = "0", OFFSET($A$1, 1163 - 1, 55 - 1) = "1" ), 3, 4 ) ) )</f>
        <v>2</v>
      </c>
    </row>
    <row r="1164" spans="53:56" x14ac:dyDescent="0.35">
      <c r="BA1164" s="3">
        <v>0.44366698518073455</v>
      </c>
      <c r="BB1164" s="3" t="str">
        <f>"1"</f>
        <v>1</v>
      </c>
      <c r="BC1164" t="str">
        <f ca="1">IF((OFFSET($A$1, 1164 - 1, 53 - 1)) &gt;= (OFFSET($A$1, 69 - 1, 7 - 1)), "1","0")</f>
        <v>0</v>
      </c>
      <c r="BD1164">
        <f ca="1" xml:space="preserve"> IF( AND( OFFSET($A$1, 1164 - 1, 54 - 1) = "1", OFFSET($A$1, 1164 - 1, 55 - 1) = "1" ), 1, IF( AND( OFFSET($A$1, 1164 - 1, 54 - 1) = "1", OFFSET($A$1, 1164 - 1, 55 - 1) = "0" ), 2, IF( AND( OFFSET($A$1, 1164 - 1, 54 - 1) = "0", OFFSET($A$1, 1164 - 1, 55 - 1) = "1" ), 3, 4 ) ) )</f>
        <v>2</v>
      </c>
    </row>
    <row r="1165" spans="53:56" x14ac:dyDescent="0.35">
      <c r="BA1165" s="3">
        <v>0.44442201376805729</v>
      </c>
      <c r="BB1165" s="3" t="str">
        <f>"1"</f>
        <v>1</v>
      </c>
      <c r="BC1165" t="str">
        <f ca="1">IF((OFFSET($A$1, 1165 - 1, 53 - 1)) &gt;= (OFFSET($A$1, 69 - 1, 7 - 1)), "1","0")</f>
        <v>0</v>
      </c>
      <c r="BD1165">
        <f ca="1" xml:space="preserve"> IF( AND( OFFSET($A$1, 1165 - 1, 54 - 1) = "1", OFFSET($A$1, 1165 - 1, 55 - 1) = "1" ), 1, IF( AND( OFFSET($A$1, 1165 - 1, 54 - 1) = "1", OFFSET($A$1, 1165 - 1, 55 - 1) = "0" ), 2, IF( AND( OFFSET($A$1, 1165 - 1, 54 - 1) = "0", OFFSET($A$1, 1165 - 1, 55 - 1) = "1" ), 3, 4 ) ) )</f>
        <v>2</v>
      </c>
    </row>
    <row r="1166" spans="53:56" x14ac:dyDescent="0.35">
      <c r="BA1166" s="3">
        <v>0.44520001578538415</v>
      </c>
      <c r="BB1166" s="3" t="str">
        <f>"0"</f>
        <v>0</v>
      </c>
      <c r="BC1166" t="str">
        <f ca="1">IF((OFFSET($A$1, 1166 - 1, 53 - 1)) &gt;= (OFFSET($A$1, 69 - 1, 7 - 1)), "1","0")</f>
        <v>0</v>
      </c>
      <c r="BD1166">
        <f ca="1" xml:space="preserve"> IF( AND( OFFSET($A$1, 1166 - 1, 54 - 1) = "1", OFFSET($A$1, 1166 - 1, 55 - 1) = "1" ), 1, IF( AND( OFFSET($A$1, 1166 - 1, 54 - 1) = "1", OFFSET($A$1, 1166 - 1, 55 - 1) = "0" ), 2, IF( AND( OFFSET($A$1, 1166 - 1, 54 - 1) = "0", OFFSET($A$1, 1166 - 1, 55 - 1) = "1" ), 3, 4 ) ) )</f>
        <v>4</v>
      </c>
    </row>
    <row r="1167" spans="53:56" x14ac:dyDescent="0.35">
      <c r="BA1167" s="3">
        <v>0.20502500599938175</v>
      </c>
      <c r="BB1167" s="3" t="str">
        <f>"0"</f>
        <v>0</v>
      </c>
      <c r="BC1167" t="str">
        <f ca="1">IF((OFFSET($A$1, 1167 - 1, 53 - 1)) &gt;= (OFFSET($A$1, 69 - 1, 7 - 1)), "1","0")</f>
        <v>0</v>
      </c>
      <c r="BD1167">
        <f ca="1" xml:space="preserve"> IF( AND( OFFSET($A$1, 1167 - 1, 54 - 1) = "1", OFFSET($A$1, 1167 - 1, 55 - 1) = "1" ), 1, IF( AND( OFFSET($A$1, 1167 - 1, 54 - 1) = "1", OFFSET($A$1, 1167 - 1, 55 - 1) = "0" ), 2, IF( AND( OFFSET($A$1, 1167 - 1, 54 - 1) = "0", OFFSET($A$1, 1167 - 1, 55 - 1) = "1" ), 3, 4 ) ) )</f>
        <v>4</v>
      </c>
    </row>
    <row r="1168" spans="53:56" x14ac:dyDescent="0.35">
      <c r="BA1168" s="3">
        <v>0.20556854184239942</v>
      </c>
      <c r="BB1168" s="3" t="str">
        <f>"0"</f>
        <v>0</v>
      </c>
      <c r="BC1168" t="str">
        <f ca="1">IF((OFFSET($A$1, 1168 - 1, 53 - 1)) &gt;= (OFFSET($A$1, 69 - 1, 7 - 1)), "1","0")</f>
        <v>0</v>
      </c>
      <c r="BD1168">
        <f ca="1" xml:space="preserve"> IF( AND( OFFSET($A$1, 1168 - 1, 54 - 1) = "1", OFFSET($A$1, 1168 - 1, 55 - 1) = "1" ), 1, IF( AND( OFFSET($A$1, 1168 - 1, 54 - 1) = "1", OFFSET($A$1, 1168 - 1, 55 - 1) = "0" ), 2, IF( AND( OFFSET($A$1, 1168 - 1, 54 - 1) = "0", OFFSET($A$1, 1168 - 1, 55 - 1) = "1" ), 3, 4 ) ) )</f>
        <v>4</v>
      </c>
    </row>
    <row r="1169" spans="53:56" x14ac:dyDescent="0.35">
      <c r="BA1169" s="3">
        <v>0.20612772404743551</v>
      </c>
      <c r="BB1169" s="3" t="str">
        <f>"0"</f>
        <v>0</v>
      </c>
      <c r="BC1169" t="str">
        <f ca="1">IF((OFFSET($A$1, 1169 - 1, 53 - 1)) &gt;= (OFFSET($A$1, 69 - 1, 7 - 1)), "1","0")</f>
        <v>0</v>
      </c>
      <c r="BD1169">
        <f ca="1" xml:space="preserve"> IF( AND( OFFSET($A$1, 1169 - 1, 54 - 1) = "1", OFFSET($A$1, 1169 - 1, 55 - 1) = "1" ), 1, IF( AND( OFFSET($A$1, 1169 - 1, 54 - 1) = "1", OFFSET($A$1, 1169 - 1, 55 - 1) = "0" ), 2, IF( AND( OFFSET($A$1, 1169 - 1, 54 - 1) = "0", OFFSET($A$1, 1169 - 1, 55 - 1) = "1" ), 3, 4 ) ) )</f>
        <v>4</v>
      </c>
    </row>
    <row r="1170" spans="53:56" x14ac:dyDescent="0.35">
      <c r="BA1170" s="3">
        <v>0.20670247468868619</v>
      </c>
      <c r="BB1170" s="3" t="str">
        <f>"0"</f>
        <v>0</v>
      </c>
      <c r="BC1170" t="str">
        <f ca="1">IF((OFFSET($A$1, 1170 - 1, 53 - 1)) &gt;= (OFFSET($A$1, 69 - 1, 7 - 1)), "1","0")</f>
        <v>0</v>
      </c>
      <c r="BD1170">
        <f ca="1" xml:space="preserve"> IF( AND( OFFSET($A$1, 1170 - 1, 54 - 1) = "1", OFFSET($A$1, 1170 - 1, 55 - 1) = "1" ), 1, IF( AND( OFFSET($A$1, 1170 - 1, 54 - 1) = "1", OFFSET($A$1, 1170 - 1, 55 - 1) = "0" ), 2, IF( AND( OFFSET($A$1, 1170 - 1, 54 - 1) = "0", OFFSET($A$1, 1170 - 1, 55 - 1) = "1" ), 3, 4 ) ) )</f>
        <v>4</v>
      </c>
    </row>
    <row r="1171" spans="53:56" x14ac:dyDescent="0.35">
      <c r="BA1171" s="3">
        <v>0.20729271245224948</v>
      </c>
      <c r="BB1171" s="3" t="str">
        <f>"0"</f>
        <v>0</v>
      </c>
      <c r="BC1171" t="str">
        <f ca="1">IF((OFFSET($A$1, 1171 - 1, 53 - 1)) &gt;= (OFFSET($A$1, 69 - 1, 7 - 1)), "1","0")</f>
        <v>0</v>
      </c>
      <c r="BD1171">
        <f ca="1" xml:space="preserve"> IF( AND( OFFSET($A$1, 1171 - 1, 54 - 1) = "1", OFFSET($A$1, 1171 - 1, 55 - 1) = "1" ), 1, IF( AND( OFFSET($A$1, 1171 - 1, 54 - 1) = "1", OFFSET($A$1, 1171 - 1, 55 - 1) = "0" ), 2, IF( AND( OFFSET($A$1, 1171 - 1, 54 - 1) = "0", OFFSET($A$1, 1171 - 1, 55 - 1) = "1" ), 3, 4 ) ) )</f>
        <v>4</v>
      </c>
    </row>
    <row r="1172" spans="53:56" x14ac:dyDescent="0.35">
      <c r="BA1172" s="3">
        <v>0.20789835255250727</v>
      </c>
      <c r="BB1172" s="3" t="str">
        <f>"0"</f>
        <v>0</v>
      </c>
      <c r="BC1172" t="str">
        <f ca="1">IF((OFFSET($A$1, 1172 - 1, 53 - 1)) &gt;= (OFFSET($A$1, 69 - 1, 7 - 1)), "1","0")</f>
        <v>0</v>
      </c>
      <c r="BD1172">
        <f ca="1" xml:space="preserve"> IF( AND( OFFSET($A$1, 1172 - 1, 54 - 1) = "1", OFFSET($A$1, 1172 - 1, 55 - 1) = "1" ), 1, IF( AND( OFFSET($A$1, 1172 - 1, 54 - 1) = "1", OFFSET($A$1, 1172 - 1, 55 - 1) = "0" ), 2, IF( AND( OFFSET($A$1, 1172 - 1, 54 - 1) = "0", OFFSET($A$1, 1172 - 1, 55 - 1) = "1" ), 3, 4 ) ) )</f>
        <v>4</v>
      </c>
    </row>
    <row r="1173" spans="53:56" x14ac:dyDescent="0.35">
      <c r="BA1173" s="3">
        <v>0.20851930664785001</v>
      </c>
      <c r="BB1173" s="3" t="str">
        <f>"0"</f>
        <v>0</v>
      </c>
      <c r="BC1173" t="str">
        <f ca="1">IF((OFFSET($A$1, 1173 - 1, 53 - 1)) &gt;= (OFFSET($A$1, 69 - 1, 7 - 1)), "1","0")</f>
        <v>0</v>
      </c>
      <c r="BD1173">
        <f ca="1" xml:space="preserve"> IF( AND( OFFSET($A$1, 1173 - 1, 54 - 1) = "1", OFFSET($A$1, 1173 - 1, 55 - 1) = "1" ), 1, IF( AND( OFFSET($A$1, 1173 - 1, 54 - 1) = "1", OFFSET($A$1, 1173 - 1, 55 - 1) = "0" ), 2, IF( AND( OFFSET($A$1, 1173 - 1, 54 - 1) = "0", OFFSET($A$1, 1173 - 1, 55 - 1) = "1" ), 3, 4 ) ) )</f>
        <v>4</v>
      </c>
    </row>
    <row r="1174" spans="53:56" x14ac:dyDescent="0.35">
      <c r="BA1174" s="3">
        <v>0.2091554827558903</v>
      </c>
      <c r="BB1174" s="3" t="str">
        <f>"0"</f>
        <v>0</v>
      </c>
      <c r="BC1174" t="str">
        <f ca="1">IF((OFFSET($A$1, 1174 - 1, 53 - 1)) &gt;= (OFFSET($A$1, 69 - 1, 7 - 1)), "1","0")</f>
        <v>0</v>
      </c>
      <c r="BD1174">
        <f ca="1" xml:space="preserve"> IF( AND( OFFSET($A$1, 1174 - 1, 54 - 1) = "1", OFFSET($A$1, 1174 - 1, 55 - 1) = "1" ), 1, IF( AND( OFFSET($A$1, 1174 - 1, 54 - 1) = "1", OFFSET($A$1, 1174 - 1, 55 - 1) = "0" ), 2, IF( AND( OFFSET($A$1, 1174 - 1, 54 - 1) = "0", OFFSET($A$1, 1174 - 1, 55 - 1) = "1" ), 3, 4 ) ) )</f>
        <v>4</v>
      </c>
    </row>
    <row r="1175" spans="53:56" x14ac:dyDescent="0.35">
      <c r="BA1175" s="3">
        <v>0.20980678516831797</v>
      </c>
      <c r="BB1175" s="3" t="str">
        <f>"1"</f>
        <v>1</v>
      </c>
      <c r="BC1175" t="str">
        <f ca="1">IF((OFFSET($A$1, 1175 - 1, 53 - 1)) &gt;= (OFFSET($A$1, 69 - 1, 7 - 1)), "1","0")</f>
        <v>0</v>
      </c>
      <c r="BD1175">
        <f ca="1" xml:space="preserve"> IF( AND( OFFSET($A$1, 1175 - 1, 54 - 1) = "1", OFFSET($A$1, 1175 - 1, 55 - 1) = "1" ), 1, IF( AND( OFFSET($A$1, 1175 - 1, 54 - 1) = "1", OFFSET($A$1, 1175 - 1, 55 - 1) = "0" ), 2, IF( AND( OFFSET($A$1, 1175 - 1, 54 - 1) = "0", OFFSET($A$1, 1175 - 1, 55 - 1) = "1" ), 3, 4 ) ) )</f>
        <v>2</v>
      </c>
    </row>
    <row r="1176" spans="53:56" x14ac:dyDescent="0.35">
      <c r="BA1176" s="3">
        <v>0.4541938389328678</v>
      </c>
      <c r="BB1176" s="3" t="str">
        <f>"1"</f>
        <v>1</v>
      </c>
      <c r="BC1176" t="str">
        <f ca="1">IF((OFFSET($A$1, 1176 - 1, 53 - 1)) &gt;= (OFFSET($A$1, 69 - 1, 7 - 1)), "1","0")</f>
        <v>0</v>
      </c>
      <c r="BD1176">
        <f ca="1" xml:space="preserve"> IF( AND( OFFSET($A$1, 1176 - 1, 54 - 1) = "1", OFFSET($A$1, 1176 - 1, 55 - 1) = "1" ), 1, IF( AND( OFFSET($A$1, 1176 - 1, 54 - 1) = "1", OFFSET($A$1, 1176 - 1, 55 - 1) = "0" ), 2, IF( AND( OFFSET($A$1, 1176 - 1, 54 - 1) = "0", OFFSET($A$1, 1176 - 1, 55 - 1) = "1" ), 3, 4 ) ) )</f>
        <v>2</v>
      </c>
    </row>
    <row r="1177" spans="53:56" x14ac:dyDescent="0.35">
      <c r="BA1177" s="3">
        <v>0.45520912998208884</v>
      </c>
      <c r="BB1177" s="3" t="str">
        <f>"1"</f>
        <v>1</v>
      </c>
      <c r="BC1177" t="str">
        <f ca="1">IF((OFFSET($A$1, 1177 - 1, 53 - 1)) &gt;= (OFFSET($A$1, 69 - 1, 7 - 1)), "1","0")</f>
        <v>0</v>
      </c>
      <c r="BD1177">
        <f ca="1" xml:space="preserve"> IF( AND( OFFSET($A$1, 1177 - 1, 54 - 1) = "1", OFFSET($A$1, 1177 - 1, 55 - 1) = "1" ), 1, IF( AND( OFFSET($A$1, 1177 - 1, 54 - 1) = "1", OFFSET($A$1, 1177 - 1, 55 - 1) = "0" ), 2, IF( AND( OFFSET($A$1, 1177 - 1, 54 - 1) = "0", OFFSET($A$1, 1177 - 1, 55 - 1) = "1" ), 3, 4 ) ) )</f>
        <v>2</v>
      </c>
    </row>
    <row r="1178" spans="53:56" x14ac:dyDescent="0.35">
      <c r="BA1178" s="3">
        <v>0.45624441038676156</v>
      </c>
      <c r="BB1178" s="3" t="str">
        <f>"1"</f>
        <v>1</v>
      </c>
      <c r="BC1178" t="str">
        <f ca="1">IF((OFFSET($A$1, 1178 - 1, 53 - 1)) &gt;= (OFFSET($A$1, 69 - 1, 7 - 1)), "1","0")</f>
        <v>0</v>
      </c>
      <c r="BD1178">
        <f ca="1" xml:space="preserve"> IF( AND( OFFSET($A$1, 1178 - 1, 54 - 1) = "1", OFFSET($A$1, 1178 - 1, 55 - 1) = "1" ), 1, IF( AND( OFFSET($A$1, 1178 - 1, 54 - 1) = "1", OFFSET($A$1, 1178 - 1, 55 - 1) = "0" ), 2, IF( AND( OFFSET($A$1, 1178 - 1, 54 - 1) = "0", OFFSET($A$1, 1178 - 1, 55 - 1) = "1" ), 3, 4 ) ) )</f>
        <v>2</v>
      </c>
    </row>
    <row r="1179" spans="53:56" x14ac:dyDescent="0.35">
      <c r="BA1179" s="3">
        <v>0.45729938655707586</v>
      </c>
      <c r="BB1179" s="3" t="str">
        <f>"0"</f>
        <v>0</v>
      </c>
      <c r="BC1179" t="str">
        <f ca="1">IF((OFFSET($A$1, 1179 - 1, 53 - 1)) &gt;= (OFFSET($A$1, 69 - 1, 7 - 1)), "1","0")</f>
        <v>0</v>
      </c>
      <c r="BD1179">
        <f ca="1" xml:space="preserve"> IF( AND( OFFSET($A$1, 1179 - 1, 54 - 1) = "1", OFFSET($A$1, 1179 - 1, 55 - 1) = "1" ), 1, IF( AND( OFFSET($A$1, 1179 - 1, 54 - 1) = "1", OFFSET($A$1, 1179 - 1, 55 - 1) = "0" ), 2, IF( AND( OFFSET($A$1, 1179 - 1, 54 - 1) = "0", OFFSET($A$1, 1179 - 1, 55 - 1) = "1" ), 3, 4 ) ) )</f>
        <v>4</v>
      </c>
    </row>
    <row r="1180" spans="53:56" x14ac:dyDescent="0.35">
      <c r="BA1180" s="3">
        <v>0.21328657043895557</v>
      </c>
      <c r="BB1180" s="3" t="str">
        <f>"0"</f>
        <v>0</v>
      </c>
      <c r="BC1180" t="str">
        <f ca="1">IF((OFFSET($A$1, 1180 - 1, 53 - 1)) &gt;= (OFFSET($A$1, 69 - 1, 7 - 1)), "1","0")</f>
        <v>0</v>
      </c>
      <c r="BD1180">
        <f ca="1" xml:space="preserve"> IF( AND( OFFSET($A$1, 1180 - 1, 54 - 1) = "1", OFFSET($A$1, 1180 - 1, 55 - 1) = "1" ), 1, IF( AND( OFFSET($A$1, 1180 - 1, 54 - 1) = "1", OFFSET($A$1, 1180 - 1, 55 - 1) = "0" ), 2, IF( AND( OFFSET($A$1, 1180 - 1, 54 - 1) = "0", OFFSET($A$1, 1180 - 1, 55 - 1) = "1" ), 3, 4 ) ) )</f>
        <v>4</v>
      </c>
    </row>
    <row r="1181" spans="53:56" x14ac:dyDescent="0.35">
      <c r="BA1181" s="3">
        <v>0.21402640140564408</v>
      </c>
      <c r="BB1181" s="3" t="str">
        <f>"0"</f>
        <v>0</v>
      </c>
      <c r="BC1181" t="str">
        <f ca="1">IF((OFFSET($A$1, 1181 - 1, 53 - 1)) &gt;= (OFFSET($A$1, 69 - 1, 7 - 1)), "1","0")</f>
        <v>0</v>
      </c>
      <c r="BD1181">
        <f ca="1" xml:space="preserve"> IF( AND( OFFSET($A$1, 1181 - 1, 54 - 1) = "1", OFFSET($A$1, 1181 - 1, 55 - 1) = "1" ), 1, IF( AND( OFFSET($A$1, 1181 - 1, 54 - 1) = "1", OFFSET($A$1, 1181 - 1, 55 - 1) = "0" ), 2, IF( AND( OFFSET($A$1, 1181 - 1, 54 - 1) = "0", OFFSET($A$1, 1181 - 1, 55 - 1) = "1" ), 3, 4 ) ) )</f>
        <v>4</v>
      </c>
    </row>
    <row r="1182" spans="53:56" x14ac:dyDescent="0.35">
      <c r="BA1182" s="3">
        <v>0.21478057723845964</v>
      </c>
      <c r="BB1182" s="3" t="str">
        <f>"0"</f>
        <v>0</v>
      </c>
      <c r="BC1182" t="str">
        <f ca="1">IF((OFFSET($A$1, 1182 - 1, 53 - 1)) &gt;= (OFFSET($A$1, 69 - 1, 7 - 1)), "1","0")</f>
        <v>0</v>
      </c>
      <c r="BD1182">
        <f ca="1" xml:space="preserve"> IF( AND( OFFSET($A$1, 1182 - 1, 54 - 1) = "1", OFFSET($A$1, 1182 - 1, 55 - 1) = "1" ), 1, IF( AND( OFFSET($A$1, 1182 - 1, 54 - 1) = "1", OFFSET($A$1, 1182 - 1, 55 - 1) = "0" ), 2, IF( AND( OFFSET($A$1, 1182 - 1, 54 - 1) = "0", OFFSET($A$1, 1182 - 1, 55 - 1) = "1" ), 3, 4 ) ) )</f>
        <v>4</v>
      </c>
    </row>
    <row r="1183" spans="53:56" x14ac:dyDescent="0.35">
      <c r="BA1183" s="3">
        <v>0.21554896936622603</v>
      </c>
      <c r="BB1183" s="3" t="str">
        <f>"0"</f>
        <v>0</v>
      </c>
      <c r="BC1183" t="str">
        <f ca="1">IF((OFFSET($A$1, 1183 - 1, 53 - 1)) &gt;= (OFFSET($A$1, 69 - 1, 7 - 1)), "1","0")</f>
        <v>0</v>
      </c>
      <c r="BD1183">
        <f ca="1" xml:space="preserve"> IF( AND( OFFSET($A$1, 1183 - 1, 54 - 1) = "1", OFFSET($A$1, 1183 - 1, 55 - 1) = "1" ), 1, IF( AND( OFFSET($A$1, 1183 - 1, 54 - 1) = "1", OFFSET($A$1, 1183 - 1, 55 - 1) = "0" ), 2, IF( AND( OFFSET($A$1, 1183 - 1, 54 - 1) = "0", OFFSET($A$1, 1183 - 1, 55 - 1) = "1" ), 3, 4 ) ) )</f>
        <v>4</v>
      </c>
    </row>
    <row r="1184" spans="53:56" x14ac:dyDescent="0.35">
      <c r="BA1184" s="3">
        <v>0.21633144473611418</v>
      </c>
      <c r="BB1184" s="3" t="str">
        <f>"0"</f>
        <v>0</v>
      </c>
      <c r="BC1184" t="str">
        <f ca="1">IF((OFFSET($A$1, 1184 - 1, 53 - 1)) &gt;= (OFFSET($A$1, 69 - 1, 7 - 1)), "1","0")</f>
        <v>0</v>
      </c>
      <c r="BD1184">
        <f ca="1" xml:space="preserve"> IF( AND( OFFSET($A$1, 1184 - 1, 54 - 1) = "1", OFFSET($A$1, 1184 - 1, 55 - 1) = "1" ), 1, IF( AND( OFFSET($A$1, 1184 - 1, 54 - 1) = "1", OFFSET($A$1, 1184 - 1, 55 - 1) = "0" ), 2, IF( AND( OFFSET($A$1, 1184 - 1, 54 - 1) = "0", OFFSET($A$1, 1184 - 1, 55 - 1) = "1" ), 3, 4 ) ) )</f>
        <v>4</v>
      </c>
    </row>
    <row r="1185" spans="53:56" x14ac:dyDescent="0.35">
      <c r="BA1185" s="3">
        <v>0.21712786573398887</v>
      </c>
      <c r="BB1185" s="3" t="str">
        <f>"0"</f>
        <v>0</v>
      </c>
      <c r="BC1185" t="str">
        <f ca="1">IF((OFFSET($A$1, 1185 - 1, 53 - 1)) &gt;= (OFFSET($A$1, 69 - 1, 7 - 1)), "1","0")</f>
        <v>0</v>
      </c>
      <c r="BD1185">
        <f ca="1" xml:space="preserve"> IF( AND( OFFSET($A$1, 1185 - 1, 54 - 1) = "1", OFFSET($A$1, 1185 - 1, 55 - 1) = "1" ), 1, IF( AND( OFFSET($A$1, 1185 - 1, 54 - 1) = "1", OFFSET($A$1, 1185 - 1, 55 - 1) = "0" ), 2, IF( AND( OFFSET($A$1, 1185 - 1, 54 - 1) = "0", OFFSET($A$1, 1185 - 1, 55 - 1) = "1" ), 3, 4 ) ) )</f>
        <v>4</v>
      </c>
    </row>
    <row r="1186" spans="53:56" x14ac:dyDescent="0.35">
      <c r="BA1186" s="3">
        <v>0.21793809010627438</v>
      </c>
      <c r="BB1186" s="3" t="str">
        <f>"0"</f>
        <v>0</v>
      </c>
      <c r="BC1186" t="str">
        <f ca="1">IF((OFFSET($A$1, 1186 - 1, 53 - 1)) &gt;= (OFFSET($A$1, 69 - 1, 7 - 1)), "1","0")</f>
        <v>0</v>
      </c>
      <c r="BD1186">
        <f ca="1" xml:space="preserve"> IF( AND( OFFSET($A$1, 1186 - 1, 54 - 1) = "1", OFFSET($A$1, 1186 - 1, 55 - 1) = "1" ), 1, IF( AND( OFFSET($A$1, 1186 - 1, 54 - 1) = "1", OFFSET($A$1, 1186 - 1, 55 - 1) = "0" ), 2, IF( AND( OFFSET($A$1, 1186 - 1, 54 - 1) = "0", OFFSET($A$1, 1186 - 1, 55 - 1) = "1" ), 3, 4 ) ) )</f>
        <v>4</v>
      </c>
    </row>
    <row r="1187" spans="53:56" x14ac:dyDescent="0.35">
      <c r="BA1187" s="3">
        <v>0.21876197088352317</v>
      </c>
      <c r="BB1187" s="3" t="str">
        <f>"0"</f>
        <v>0</v>
      </c>
      <c r="BC1187" t="str">
        <f ca="1">IF((OFFSET($A$1, 1187 - 1, 53 - 1)) &gt;= (OFFSET($A$1, 69 - 1, 7 - 1)), "1","0")</f>
        <v>0</v>
      </c>
      <c r="BD1187">
        <f ca="1" xml:space="preserve"> IF( AND( OFFSET($A$1, 1187 - 1, 54 - 1) = "1", OFFSET($A$1, 1187 - 1, 55 - 1) = "1" ), 1, IF( AND( OFFSET($A$1, 1187 - 1, 54 - 1) = "1", OFFSET($A$1, 1187 - 1, 55 - 1) = "0" ), 2, IF( AND( OFFSET($A$1, 1187 - 1, 54 - 1) = "0", OFFSET($A$1, 1187 - 1, 55 - 1) = "1" ), 3, 4 ) ) )</f>
        <v>4</v>
      </c>
    </row>
    <row r="1188" spans="53:56" x14ac:dyDescent="0.35">
      <c r="BA1188" s="3">
        <v>0.21959935630587696</v>
      </c>
      <c r="BB1188" s="3" t="str">
        <f>"1"</f>
        <v>1</v>
      </c>
      <c r="BC1188" t="str">
        <f ca="1">IF((OFFSET($A$1, 1188 - 1, 53 - 1)) &gt;= (OFFSET($A$1, 69 - 1, 7 - 1)), "1","0")</f>
        <v>0</v>
      </c>
      <c r="BD1188">
        <f ca="1" xml:space="preserve"> IF( AND( OFFSET($A$1, 1188 - 1, 54 - 1) = "1", OFFSET($A$1, 1188 - 1, 55 - 1) = "1" ), 1, IF( AND( OFFSET($A$1, 1188 - 1, 54 - 1) = "1", OFFSET($A$1, 1188 - 1, 55 - 1) = "0" ), 2, IF( AND( OFFSET($A$1, 1188 - 1, 54 - 1) = "0", OFFSET($A$1, 1188 - 1, 55 - 1) = "1" ), 3, 4 ) ) )</f>
        <v>2</v>
      </c>
    </row>
    <row r="1189" spans="53:56" x14ac:dyDescent="0.35">
      <c r="BA1189" s="3">
        <v>0.46886302844474503</v>
      </c>
      <c r="BB1189" s="3" t="str">
        <f>"1"</f>
        <v>1</v>
      </c>
      <c r="BC1189" t="str">
        <f ca="1">IF((OFFSET($A$1, 1189 - 1, 53 - 1)) &gt;= (OFFSET($A$1, 69 - 1, 7 - 1)), "1","0")</f>
        <v>0</v>
      </c>
      <c r="BD1189">
        <f ca="1" xml:space="preserve"> IF( AND( OFFSET($A$1, 1189 - 1, 54 - 1) = "1", OFFSET($A$1, 1189 - 1, 55 - 1) = "1" ), 1, IF( AND( OFFSET($A$1, 1189 - 1, 54 - 1) = "1", OFFSET($A$1, 1189 - 1, 55 - 1) = "0" ), 2, IF( AND( OFFSET($A$1, 1189 - 1, 54 - 1) = "0", OFFSET($A$1, 1189 - 1, 55 - 1) = "1" ), 3, 4 ) ) )</f>
        <v>2</v>
      </c>
    </row>
    <row r="1190" spans="53:56" x14ac:dyDescent="0.35">
      <c r="BA1190" s="3">
        <v>0.47011337323749969</v>
      </c>
      <c r="BB1190" s="3" t="str">
        <f>"0"</f>
        <v>0</v>
      </c>
      <c r="BC1190" t="str">
        <f ca="1">IF((OFFSET($A$1, 1190 - 1, 53 - 1)) &gt;= (OFFSET($A$1, 69 - 1, 7 - 1)), "1","0")</f>
        <v>0</v>
      </c>
      <c r="BD1190">
        <f ca="1" xml:space="preserve"> IF( AND( OFFSET($A$1, 1190 - 1, 54 - 1) = "1", OFFSET($A$1, 1190 - 1, 55 - 1) = "1" ), 1, IF( AND( OFFSET($A$1, 1190 - 1, 54 - 1) = "1", OFFSET($A$1, 1190 - 1, 55 - 1) = "0" ), 2, IF( AND( OFFSET($A$1, 1190 - 1, 54 - 1) = "0", OFFSET($A$1, 1190 - 1, 55 - 1) = "1" ), 3, 4 ) ) )</f>
        <v>4</v>
      </c>
    </row>
    <row r="1191" spans="53:56" x14ac:dyDescent="0.35">
      <c r="BA1191" s="3">
        <v>0.2221909494831964</v>
      </c>
      <c r="BB1191" s="3" t="str">
        <f>"0"</f>
        <v>0</v>
      </c>
      <c r="BC1191" t="str">
        <f ca="1">IF((OFFSET($A$1, 1191 - 1, 53 - 1)) &gt;= (OFFSET($A$1, 69 - 1, 7 - 1)), "1","0")</f>
        <v>0</v>
      </c>
      <c r="BD1191">
        <f ca="1" xml:space="preserve"> IF( AND( OFFSET($A$1, 1191 - 1, 54 - 1) = "1", OFFSET($A$1, 1191 - 1, 55 - 1) = "1" ), 1, IF( AND( OFFSET($A$1, 1191 - 1, 54 - 1) = "1", OFFSET($A$1, 1191 - 1, 55 - 1) = "0" ), 2, IF( AND( OFFSET($A$1, 1191 - 1, 54 - 1) = "0", OFFSET($A$1, 1191 - 1, 55 - 1) = "1" ), 3, 4 ) ) )</f>
        <v>4</v>
      </c>
    </row>
    <row r="1192" spans="53:56" x14ac:dyDescent="0.35">
      <c r="BA1192" s="3">
        <v>0.22308073759193878</v>
      </c>
      <c r="BB1192" s="3" t="str">
        <f>"0"</f>
        <v>0</v>
      </c>
      <c r="BC1192" t="str">
        <f ca="1">IF((OFFSET($A$1, 1192 - 1, 53 - 1)) &gt;= (OFFSET($A$1, 69 - 1, 7 - 1)), "1","0")</f>
        <v>0</v>
      </c>
      <c r="BD1192">
        <f ca="1" xml:space="preserve"> IF( AND( OFFSET($A$1, 1192 - 1, 54 - 1) = "1", OFFSET($A$1, 1192 - 1, 55 - 1) = "1" ), 1, IF( AND( OFFSET($A$1, 1192 - 1, 54 - 1) = "1", OFFSET($A$1, 1192 - 1, 55 - 1) = "0" ), 2, IF( AND( OFFSET($A$1, 1192 - 1, 54 - 1) = "0", OFFSET($A$1, 1192 - 1, 55 - 1) = "1" ), 3, 4 ) ) )</f>
        <v>4</v>
      </c>
    </row>
    <row r="1193" spans="53:56" x14ac:dyDescent="0.35">
      <c r="BA1193" s="3">
        <v>0.22398319723745339</v>
      </c>
      <c r="BB1193" s="3" t="str">
        <f>"0"</f>
        <v>0</v>
      </c>
      <c r="BC1193" t="str">
        <f ca="1">IF((OFFSET($A$1, 1193 - 1, 53 - 1)) &gt;= (OFFSET($A$1, 69 - 1, 7 - 1)), "1","0")</f>
        <v>0</v>
      </c>
      <c r="BD1193">
        <f ca="1" xml:space="preserve"> IF( AND( OFFSET($A$1, 1193 - 1, 54 - 1) = "1", OFFSET($A$1, 1193 - 1, 55 - 1) = "1" ), 1, IF( AND( OFFSET($A$1, 1193 - 1, 54 - 1) = "1", OFFSET($A$1, 1193 - 1, 55 - 1) = "0" ), 2, IF( AND( OFFSET($A$1, 1193 - 1, 54 - 1) = "0", OFFSET($A$1, 1193 - 1, 55 - 1) = "1" ), 3, 4 ) ) )</f>
        <v>4</v>
      </c>
    </row>
    <row r="1194" spans="53:56" x14ac:dyDescent="0.35">
      <c r="BA1194" s="3">
        <v>0.22489814648162357</v>
      </c>
      <c r="BB1194" s="3" t="str">
        <f>"1"</f>
        <v>1</v>
      </c>
      <c r="BC1194" t="str">
        <f ca="1">IF((OFFSET($A$1, 1194 - 1, 53 - 1)) &gt;= (OFFSET($A$1, 69 - 1, 7 - 1)), "1","0")</f>
        <v>0</v>
      </c>
      <c r="BD1194">
        <f ca="1" xml:space="preserve"> IF( AND( OFFSET($A$1, 1194 - 1, 54 - 1) = "1", OFFSET($A$1, 1194 - 1, 55 - 1) = "1" ), 1, IF( AND( OFFSET($A$1, 1194 - 1, 54 - 1) = "1", OFFSET($A$1, 1194 - 1, 55 - 1) = "0" ), 2, IF( AND( OFFSET($A$1, 1194 - 1, 54 - 1) = "0", OFFSET($A$1, 1194 - 1, 55 - 1) = "1" ), 3, 4 ) ) )</f>
        <v>2</v>
      </c>
    </row>
    <row r="1195" spans="53:56" x14ac:dyDescent="0.35">
      <c r="BA1195" s="3">
        <v>0.47659233009975849</v>
      </c>
      <c r="BB1195" s="3" t="str">
        <f>"1"</f>
        <v>1</v>
      </c>
      <c r="BC1195" t="str">
        <f ca="1">IF((OFFSET($A$1, 1195 - 1, 53 - 1)) &gt;= (OFFSET($A$1, 69 - 1, 7 - 1)), "1","0")</f>
        <v>0</v>
      </c>
      <c r="BD1195">
        <f ca="1" xml:space="preserve"> IF( AND( OFFSET($A$1, 1195 - 1, 54 - 1) = "1", OFFSET($A$1, 1195 - 1, 55 - 1) = "1" ), 1, IF( AND( OFFSET($A$1, 1195 - 1, 54 - 1) = "1", OFFSET($A$1, 1195 - 1, 55 - 1) = "0" ), 2, IF( AND( OFFSET($A$1, 1195 - 1, 54 - 1) = "0", OFFSET($A$1, 1195 - 1, 55 - 1) = "1" ), 3, 4 ) ) )</f>
        <v>2</v>
      </c>
    </row>
    <row r="1196" spans="53:56" x14ac:dyDescent="0.35">
      <c r="BA1196" s="3">
        <v>0.47793084577869493</v>
      </c>
      <c r="BB1196" s="3" t="str">
        <f>"0"</f>
        <v>0</v>
      </c>
      <c r="BC1196" t="str">
        <f ca="1">IF((OFFSET($A$1, 1196 - 1, 53 - 1)) &gt;= (OFFSET($A$1, 69 - 1, 7 - 1)), "1","0")</f>
        <v>0</v>
      </c>
      <c r="BD1196">
        <f ca="1" xml:space="preserve"> IF( AND( OFFSET($A$1, 1196 - 1, 54 - 1) = "1", OFFSET($A$1, 1196 - 1, 55 - 1) = "1" ), 1, IF( AND( OFFSET($A$1, 1196 - 1, 54 - 1) = "1", OFFSET($A$1, 1196 - 1, 55 - 1) = "0" ), 2, IF( AND( OFFSET($A$1, 1196 - 1, 54 - 1) = "0", OFFSET($A$1, 1196 - 1, 55 - 1) = "1" ), 3, 4 ) ) )</f>
        <v>4</v>
      </c>
    </row>
    <row r="1197" spans="53:56" x14ac:dyDescent="0.35">
      <c r="BA1197" s="3">
        <v>0.22771603346036087</v>
      </c>
      <c r="BB1197" s="3" t="str">
        <f>"1"</f>
        <v>1</v>
      </c>
      <c r="BC1197" t="str">
        <f ca="1">IF((OFFSET($A$1, 1197 - 1, 53 - 1)) &gt;= (OFFSET($A$1, 69 - 1, 7 - 1)), "1","0")</f>
        <v>0</v>
      </c>
      <c r="BD1197">
        <f ca="1" xml:space="preserve"> IF( AND( OFFSET($A$1, 1197 - 1, 54 - 1) = "1", OFFSET($A$1, 1197 - 1, 55 - 1) = "1" ), 1, IF( AND( OFFSET($A$1, 1197 - 1, 54 - 1) = "1", OFFSET($A$1, 1197 - 1, 55 - 1) = "0" ), 2, IF( AND( OFFSET($A$1, 1197 - 1, 54 - 1) = "0", OFFSET($A$1, 1197 - 1, 55 - 1) = "1" ), 3, 4 ) ) )</f>
        <v>2</v>
      </c>
    </row>
    <row r="1198" spans="53:56" x14ac:dyDescent="0.35">
      <c r="BA1198" s="3">
        <v>0.48064738989404315</v>
      </c>
      <c r="BB1198" s="3" t="str">
        <f>"1"</f>
        <v>1</v>
      </c>
      <c r="BC1198" t="str">
        <f ca="1">IF((OFFSET($A$1, 1198 - 1, 53 - 1)) &gt;= (OFFSET($A$1, 69 - 1, 7 - 1)), "1","0")</f>
        <v>0</v>
      </c>
      <c r="BD1198">
        <f ca="1" xml:space="preserve"> IF( AND( OFFSET($A$1, 1198 - 1, 54 - 1) = "1", OFFSET($A$1, 1198 - 1, 55 - 1) = "1" ), 1, IF( AND( OFFSET($A$1, 1198 - 1, 54 - 1) = "1", OFFSET($A$1, 1198 - 1, 55 - 1) = "0" ), 2, IF( AND( OFFSET($A$1, 1198 - 1, 54 - 1) = "0", OFFSET($A$1, 1198 - 1, 55 - 1) = "1" ), 3, 4 ) ) )</f>
        <v>2</v>
      </c>
    </row>
    <row r="1199" spans="53:56" x14ac:dyDescent="0.35">
      <c r="BA1199" s="3">
        <v>0.48202459147643512</v>
      </c>
      <c r="BB1199" s="3" t="str">
        <f>"0"</f>
        <v>0</v>
      </c>
      <c r="BC1199" t="str">
        <f ca="1">IF((OFFSET($A$1, 1199 - 1, 53 - 1)) &gt;= (OFFSET($A$1, 69 - 1, 7 - 1)), "1","0")</f>
        <v>0</v>
      </c>
      <c r="BD1199">
        <f ca="1" xml:space="preserve"> IF( AND( OFFSET($A$1, 1199 - 1, 54 - 1) = "1", OFFSET($A$1, 1199 - 1, 55 - 1) = "1" ), 1, IF( AND( OFFSET($A$1, 1199 - 1, 54 - 1) = "1", OFFSET($A$1, 1199 - 1, 55 - 1) = "0" ), 2, IF( AND( OFFSET($A$1, 1199 - 1, 54 - 1) = "0", OFFSET($A$1, 1199 - 1, 55 - 1) = "1" ), 3, 4 ) ) )</f>
        <v>4</v>
      </c>
    </row>
    <row r="1200" spans="53:56" x14ac:dyDescent="0.35">
      <c r="BA1200" s="3">
        <v>0.23063926797689552</v>
      </c>
      <c r="BB1200" s="3" t="str">
        <f>"1"</f>
        <v>1</v>
      </c>
      <c r="BC1200" t="str">
        <f ca="1">IF((OFFSET($A$1, 1200 - 1, 53 - 1)) &gt;= (OFFSET($A$1, 69 - 1, 7 - 1)), "1","0")</f>
        <v>0</v>
      </c>
      <c r="BD1200">
        <f ca="1" xml:space="preserve"> IF( AND( OFFSET($A$1, 1200 - 1, 54 - 1) = "1", OFFSET($A$1, 1200 - 1, 55 - 1) = "1" ), 1, IF( AND( OFFSET($A$1, 1200 - 1, 54 - 1) = "1", OFFSET($A$1, 1200 - 1, 55 - 1) = "0" ), 2, IF( AND( OFFSET($A$1, 1200 - 1, 54 - 1) = "0", OFFSET($A$1, 1200 - 1, 55 - 1) = "1" ), 3, 4 ) ) )</f>
        <v>2</v>
      </c>
    </row>
    <row r="1201" spans="53:56" x14ac:dyDescent="0.35">
      <c r="BA1201" s="3">
        <v>0.48481474886284881</v>
      </c>
      <c r="BB1201" s="3" t="str">
        <f>"0"</f>
        <v>0</v>
      </c>
      <c r="BC1201" t="str">
        <f ca="1">IF((OFFSET($A$1, 1201 - 1, 53 - 1)) &gt;= (OFFSET($A$1, 69 - 1, 7 - 1)), "1","0")</f>
        <v>0</v>
      </c>
      <c r="BD1201">
        <f ca="1" xml:space="preserve"> IF( AND( OFFSET($A$1, 1201 - 1, 54 - 1) = "1", OFFSET($A$1, 1201 - 1, 55 - 1) = "1" ), 1, IF( AND( OFFSET($A$1, 1201 - 1, 54 - 1) = "1", OFFSET($A$1, 1201 - 1, 55 - 1) = "0" ), 2, IF( AND( OFFSET($A$1, 1201 - 1, 54 - 1) = "0", OFFSET($A$1, 1201 - 1, 55 - 1) = "1" ), 3, 4 ) ) )</f>
        <v>4</v>
      </c>
    </row>
    <row r="1202" spans="53:56" x14ac:dyDescent="0.35">
      <c r="BA1202" s="3">
        <v>0.23264378044422293</v>
      </c>
      <c r="BB1202" s="3" t="str">
        <f>"1"</f>
        <v>1</v>
      </c>
      <c r="BC1202" t="str">
        <f ca="1">IF((OFFSET($A$1, 1202 - 1, 53 - 1)) &gt;= (OFFSET($A$1, 69 - 1, 7 - 1)), "1","0")</f>
        <v>0</v>
      </c>
      <c r="BD1202">
        <f ca="1" xml:space="preserve"> IF( AND( OFFSET($A$1, 1202 - 1, 54 - 1) = "1", OFFSET($A$1, 1202 - 1, 55 - 1) = "1" ), 1, IF( AND( OFFSET($A$1, 1202 - 1, 54 - 1) = "1", OFFSET($A$1, 1202 - 1, 55 - 1) = "0" ), 2, IF( AND( OFFSET($A$1, 1202 - 1, 54 - 1) = "0", OFFSET($A$1, 1202 - 1, 55 - 1) = "1" ), 3, 4 ) ) )</f>
        <v>2</v>
      </c>
    </row>
    <row r="1203" spans="53:56" x14ac:dyDescent="0.35">
      <c r="BA1203" s="3">
        <v>0.48764971624270992</v>
      </c>
      <c r="BB1203" s="3" t="str">
        <f>"0"</f>
        <v>0</v>
      </c>
      <c r="BC1203" t="str">
        <f ca="1">IF((OFFSET($A$1, 1203 - 1, 53 - 1)) &gt;= (OFFSET($A$1, 69 - 1, 7 - 1)), "1","0")</f>
        <v>0</v>
      </c>
      <c r="BD1203">
        <f ca="1" xml:space="preserve"> IF( AND( OFFSET($A$1, 1203 - 1, 54 - 1) = "1", OFFSET($A$1, 1203 - 1, 55 - 1) = "1" ), 1, IF( AND( OFFSET($A$1, 1203 - 1, 54 - 1) = "1", OFFSET($A$1, 1203 - 1, 55 - 1) = "0" ), 2, IF( AND( OFFSET($A$1, 1203 - 1, 54 - 1) = "0", OFFSET($A$1, 1203 - 1, 55 - 1) = "1" ), 3, 4 ) ) )</f>
        <v>4</v>
      </c>
    </row>
    <row r="1204" spans="53:56" x14ac:dyDescent="0.35">
      <c r="BA1204" s="3">
        <v>0.23469073003447605</v>
      </c>
      <c r="BB1204" s="3" t="str">
        <f>"0"</f>
        <v>0</v>
      </c>
      <c r="BC1204" t="str">
        <f ca="1">IF((OFFSET($A$1, 1204 - 1, 53 - 1)) &gt;= (OFFSET($A$1, 69 - 1, 7 - 1)), "1","0")</f>
        <v>0</v>
      </c>
      <c r="BD1204">
        <f ca="1" xml:space="preserve"> IF( AND( OFFSET($A$1, 1204 - 1, 54 - 1) = "1", OFFSET($A$1, 1204 - 1, 55 - 1) = "1" ), 1, IF( AND( OFFSET($A$1, 1204 - 1, 54 - 1) = "1", OFFSET($A$1, 1204 - 1, 55 - 1) = "0" ), 2, IF( AND( OFFSET($A$1, 1204 - 1, 54 - 1) = "0", OFFSET($A$1, 1204 - 1, 55 - 1) = "1" ), 3, 4 ) ) )</f>
        <v>4</v>
      </c>
    </row>
    <row r="1205" spans="53:56" x14ac:dyDescent="0.35">
      <c r="BA1205" s="3">
        <v>0.23572952455950225</v>
      </c>
      <c r="BB1205" s="3" t="str">
        <f>"0"</f>
        <v>0</v>
      </c>
      <c r="BC1205" t="str">
        <f ca="1">IF((OFFSET($A$1, 1205 - 1, 53 - 1)) &gt;= (OFFSET($A$1, 69 - 1, 7 - 1)), "1","0")</f>
        <v>0</v>
      </c>
      <c r="BD1205">
        <f ca="1" xml:space="preserve"> IF( AND( OFFSET($A$1, 1205 - 1, 54 - 1) = "1", OFFSET($A$1, 1205 - 1, 55 - 1) = "1" ), 1, IF( AND( OFFSET($A$1, 1205 - 1, 54 - 1) = "1", OFFSET($A$1, 1205 - 1, 55 - 1) = "0" ), 2, IF( AND( OFFSET($A$1, 1205 - 1, 54 - 1) = "0", OFFSET($A$1, 1205 - 1, 55 - 1) = "1" ), 3, 4 ) ) )</f>
        <v>4</v>
      </c>
    </row>
    <row r="1206" spans="53:56" x14ac:dyDescent="0.35">
      <c r="BA1206" s="3">
        <v>0.23677820415238432</v>
      </c>
      <c r="BB1206" s="3" t="str">
        <f>"0"</f>
        <v>0</v>
      </c>
      <c r="BC1206" t="str">
        <f ca="1">IF((OFFSET($A$1, 1206 - 1, 53 - 1)) &gt;= (OFFSET($A$1, 69 - 1, 7 - 1)), "1","0")</f>
        <v>0</v>
      </c>
      <c r="BD1206">
        <f ca="1" xml:space="preserve"> IF( AND( OFFSET($A$1, 1206 - 1, 54 - 1) = "1", OFFSET($A$1, 1206 - 1, 55 - 1) = "1" ), 1, IF( AND( OFFSET($A$1, 1206 - 1, 54 - 1) = "1", OFFSET($A$1, 1206 - 1, 55 - 1) = "0" ), 2, IF( AND( OFFSET($A$1, 1206 - 1, 54 - 1) = "0", OFFSET($A$1, 1206 - 1, 55 - 1) = "1" ), 3, 4 ) ) )</f>
        <v>4</v>
      </c>
    </row>
    <row r="1207" spans="53:56" x14ac:dyDescent="0.35">
      <c r="BA1207" s="3">
        <v>0.23783651574774126</v>
      </c>
      <c r="BB1207" s="3" t="str">
        <f>"0"</f>
        <v>0</v>
      </c>
      <c r="BC1207" t="str">
        <f ca="1">IF((OFFSET($A$1, 1207 - 1, 53 - 1)) &gt;= (OFFSET($A$1, 69 - 1, 7 - 1)), "1","0")</f>
        <v>0</v>
      </c>
      <c r="BD1207">
        <f ca="1" xml:space="preserve"> IF( AND( OFFSET($A$1, 1207 - 1, 54 - 1) = "1", OFFSET($A$1, 1207 - 1, 55 - 1) = "1" ), 1, IF( AND( OFFSET($A$1, 1207 - 1, 54 - 1) = "1", OFFSET($A$1, 1207 - 1, 55 - 1) = "0" ), 2, IF( AND( OFFSET($A$1, 1207 - 1, 54 - 1) = "0", OFFSET($A$1, 1207 - 1, 55 - 1) = "1" ), 3, 4 ) ) )</f>
        <v>4</v>
      </c>
    </row>
    <row r="1208" spans="53:56" x14ac:dyDescent="0.35">
      <c r="BA1208" s="3">
        <v>0.23890420067956489</v>
      </c>
      <c r="BB1208" s="3" t="str">
        <f>"0"</f>
        <v>0</v>
      </c>
      <c r="BC1208" t="str">
        <f ca="1">IF((OFFSET($A$1, 1208 - 1, 53 - 1)) &gt;= (OFFSET($A$1, 69 - 1, 7 - 1)), "1","0")</f>
        <v>0</v>
      </c>
      <c r="BD1208">
        <f ca="1" xml:space="preserve"> IF( AND( OFFSET($A$1, 1208 - 1, 54 - 1) = "1", OFFSET($A$1, 1208 - 1, 55 - 1) = "1" ), 1, IF( AND( OFFSET($A$1, 1208 - 1, 54 - 1) = "1", OFFSET($A$1, 1208 - 1, 55 - 1) = "0" ), 2, IF( AND( OFFSET($A$1, 1208 - 1, 54 - 1) = "0", OFFSET($A$1, 1208 - 1, 55 - 1) = "1" ), 3, 4 ) ) )</f>
        <v>4</v>
      </c>
    </row>
    <row r="1209" spans="53:56" x14ac:dyDescent="0.35">
      <c r="BA1209" s="3">
        <v>0.23998099468791897</v>
      </c>
      <c r="BB1209" s="3" t="str">
        <f>"0"</f>
        <v>0</v>
      </c>
      <c r="BC1209" t="str">
        <f ca="1">IF((OFFSET($A$1, 1209 - 1, 53 - 1)) &gt;= (OFFSET($A$1, 69 - 1, 7 - 1)), "1","0")</f>
        <v>0</v>
      </c>
      <c r="BD1209">
        <f ca="1" xml:space="preserve"> IF( AND( OFFSET($A$1, 1209 - 1, 54 - 1) = "1", OFFSET($A$1, 1209 - 1, 55 - 1) = "1" ), 1, IF( AND( OFFSET($A$1, 1209 - 1, 54 - 1) = "1", OFFSET($A$1, 1209 - 1, 55 - 1) = "0" ), 2, IF( AND( OFFSET($A$1, 1209 - 1, 54 - 1) = "0", OFFSET($A$1, 1209 - 1, 55 - 1) = "1" ), 3, 4 ) ) )</f>
        <v>4</v>
      </c>
    </row>
    <row r="1210" spans="53:56" x14ac:dyDescent="0.35">
      <c r="BA1210" s="3">
        <v>0.24106662793121225</v>
      </c>
      <c r="BB1210" s="3" t="str">
        <f>"1"</f>
        <v>1</v>
      </c>
      <c r="BC1210" t="str">
        <f ca="1">IF((OFFSET($A$1, 1210 - 1, 53 - 1)) &gt;= (OFFSET($A$1, 69 - 1, 7 - 1)), "1","0")</f>
        <v>0</v>
      </c>
      <c r="BD1210">
        <f ca="1" xml:space="preserve"> IF( AND( OFFSET($A$1, 1210 - 1, 54 - 1) = "1", OFFSET($A$1, 1210 - 1, 55 - 1) = "1" ), 1, IF( AND( OFFSET($A$1, 1210 - 1, 54 - 1) = "1", OFFSET($A$1, 1210 - 1, 55 - 1) = "0" ), 2, IF( AND( OFFSET($A$1, 1210 - 1, 54 - 1) = "0", OFFSET($A$1, 1210 - 1, 55 - 1) = "1" ), 3, 4 ) ) )</f>
        <v>2</v>
      </c>
    </row>
    <row r="1211" spans="53:56" x14ac:dyDescent="0.35">
      <c r="BA1211" s="3">
        <v>0.49936675335741865</v>
      </c>
      <c r="BB1211" s="3" t="str">
        <f>"1"</f>
        <v>1</v>
      </c>
      <c r="BC1211" t="str">
        <f ca="1">IF((OFFSET($A$1, 1211 - 1, 53 - 1)) &gt;= (OFFSET($A$1, 69 - 1, 7 - 1)), "1","0")</f>
        <v>0</v>
      </c>
      <c r="BD1211">
        <f ca="1" xml:space="preserve"> IF( AND( OFFSET($A$1, 1211 - 1, 54 - 1) = "1", OFFSET($A$1, 1211 - 1, 55 - 1) = "1" ), 1, IF( AND( OFFSET($A$1, 1211 - 1, 54 - 1) = "1", OFFSET($A$1, 1211 - 1, 55 - 1) = "0" ), 2, IF( AND( OFFSET($A$1, 1211 - 1, 54 - 1) = "0", OFFSET($A$1, 1211 - 1, 55 - 1) = "1" ), 3, 4 ) ) )</f>
        <v>2</v>
      </c>
    </row>
    <row r="1212" spans="53:56" x14ac:dyDescent="0.35">
      <c r="BA1212" s="3">
        <v>0.50086629504442415</v>
      </c>
      <c r="BB1212" s="3" t="str">
        <f>"0"</f>
        <v>0</v>
      </c>
      <c r="BC1212" t="str">
        <f ca="1">IF((OFFSET($A$1, 1212 - 1, 53 - 1)) &gt;= (OFFSET($A$1, 69 - 1, 7 - 1)), "1","0")</f>
        <v>1</v>
      </c>
      <c r="BD1212">
        <f ca="1" xml:space="preserve"> IF( AND( OFFSET($A$1, 1212 - 1, 54 - 1) = "1", OFFSET($A$1, 1212 - 1, 55 - 1) = "1" ), 1, IF( AND( OFFSET($A$1, 1212 - 1, 54 - 1) = "1", OFFSET($A$1, 1212 - 1, 55 - 1) = "0" ), 2, IF( AND( OFFSET($A$1, 1212 - 1, 54 - 1) = "0", OFFSET($A$1, 1212 - 1, 55 - 1) = "1" ), 3, 4 ) ) )</f>
        <v>3</v>
      </c>
    </row>
    <row r="1213" spans="53:56" x14ac:dyDescent="0.35">
      <c r="BA1213" s="3">
        <v>0.24437378134769713</v>
      </c>
      <c r="BB1213" s="3" t="str">
        <f>"0"</f>
        <v>0</v>
      </c>
      <c r="BC1213" t="str">
        <f ca="1">IF((OFFSET($A$1, 1213 - 1, 53 - 1)) &gt;= (OFFSET($A$1, 69 - 1, 7 - 1)), "1","0")</f>
        <v>0</v>
      </c>
      <c r="BD1213">
        <f ca="1" xml:space="preserve"> IF( AND( OFFSET($A$1, 1213 - 1, 54 - 1) = "1", OFFSET($A$1, 1213 - 1, 55 - 1) = "1" ), 1, IF( AND( OFFSET($A$1, 1213 - 1, 54 - 1) = "1", OFFSET($A$1, 1213 - 1, 55 - 1) = "0" ), 2, IF( AND( OFFSET($A$1, 1213 - 1, 54 - 1) = "0", OFFSET($A$1, 1213 - 1, 55 - 1) = "1" ), 3, 4 ) ) )</f>
        <v>4</v>
      </c>
    </row>
    <row r="1214" spans="53:56" x14ac:dyDescent="0.35">
      <c r="BA1214" s="3">
        <v>0.24549196223240038</v>
      </c>
      <c r="BB1214" s="3" t="str">
        <f>"1"</f>
        <v>1</v>
      </c>
      <c r="BC1214" t="str">
        <f ca="1">IF((OFFSET($A$1, 1214 - 1, 53 - 1)) &gt;= (OFFSET($A$1, 69 - 1, 7 - 1)), "1","0")</f>
        <v>0</v>
      </c>
      <c r="BD1214">
        <f ca="1" xml:space="preserve"> IF( AND( OFFSET($A$1, 1214 - 1, 54 - 1) = "1", OFFSET($A$1, 1214 - 1, 55 - 1) = "1" ), 1, IF( AND( OFFSET($A$1, 1214 - 1, 54 - 1) = "1", OFFSET($A$1, 1214 - 1, 55 - 1) = "0" ), 2, IF( AND( OFFSET($A$1, 1214 - 1, 54 - 1) = "0", OFFSET($A$1, 1214 - 1, 55 - 1) = "1" ), 3, 4 ) ) )</f>
        <v>2</v>
      </c>
    </row>
    <row r="1215" spans="53:56" x14ac:dyDescent="0.35">
      <c r="BA1215" s="3">
        <v>0.50540026257856219</v>
      </c>
      <c r="BB1215" s="3" t="str">
        <f>"0"</f>
        <v>0</v>
      </c>
      <c r="BC1215" t="str">
        <f ca="1">IF((OFFSET($A$1, 1215 - 1, 53 - 1)) &gt;= (OFFSET($A$1, 69 - 1, 7 - 1)), "1","0")</f>
        <v>1</v>
      </c>
      <c r="BD1215">
        <f ca="1" xml:space="preserve"> IF( AND( OFFSET($A$1, 1215 - 1, 54 - 1) = "1", OFFSET($A$1, 1215 - 1, 55 - 1) = "1" ), 1, IF( AND( OFFSET($A$1, 1215 - 1, 54 - 1) = "1", OFFSET($A$1, 1215 - 1, 55 - 1) = "0" ), 2, IF( AND( OFFSET($A$1, 1215 - 1, 54 - 1) = "0", OFFSET($A$1, 1215 - 1, 55 - 1) = "1" ), 3, 4 ) ) )</f>
        <v>3</v>
      </c>
    </row>
    <row r="1216" spans="53:56" x14ac:dyDescent="0.35">
      <c r="BA1216" s="3">
        <v>0.24775024265823578</v>
      </c>
      <c r="BB1216" s="3" t="str">
        <f>"0"</f>
        <v>0</v>
      </c>
      <c r="BC1216" t="str">
        <f ca="1">IF((OFFSET($A$1, 1216 - 1, 53 - 1)) &gt;= (OFFSET($A$1, 69 - 1, 7 - 1)), "1","0")</f>
        <v>0</v>
      </c>
      <c r="BD1216">
        <f ca="1" xml:space="preserve"> IF( AND( OFFSET($A$1, 1216 - 1, 54 - 1) = "1", OFFSET($A$1, 1216 - 1, 55 - 1) = "1" ), 1, IF( AND( OFFSET($A$1, 1216 - 1, 54 - 1) = "1", OFFSET($A$1, 1216 - 1, 55 - 1) = "0" ), 2, IF( AND( OFFSET($A$1, 1216 - 1, 54 - 1) = "0", OFFSET($A$1, 1216 - 1, 55 - 1) = "1" ), 3, 4 ) ) )</f>
        <v>4</v>
      </c>
    </row>
    <row r="1217" spans="53:56" x14ac:dyDescent="0.35">
      <c r="BA1217" s="3">
        <v>0.24888973137024956</v>
      </c>
      <c r="BB1217" s="3" t="str">
        <f>"1"</f>
        <v>1</v>
      </c>
      <c r="BC1217" t="str">
        <f ca="1">IF((OFFSET($A$1, 1217 - 1, 53 - 1)) &gt;= (OFFSET($A$1, 69 - 1, 7 - 1)), "1","0")</f>
        <v>0</v>
      </c>
      <c r="BD1217">
        <f ca="1" xml:space="preserve"> IF( AND( OFFSET($A$1, 1217 - 1, 54 - 1) = "1", OFFSET($A$1, 1217 - 1, 55 - 1) = "1" ), 1, IF( AND( OFFSET($A$1, 1217 - 1, 54 - 1) = "1", OFFSET($A$1, 1217 - 1, 55 - 1) = "0" ), 2, IF( AND( OFFSET($A$1, 1217 - 1, 54 - 1) = "0", OFFSET($A$1, 1217 - 1, 55 - 1) = "1" ), 3, 4 ) ) )</f>
        <v>2</v>
      </c>
    </row>
    <row r="1218" spans="53:56" x14ac:dyDescent="0.35">
      <c r="BA1218" s="3">
        <v>0.50997723841317888</v>
      </c>
      <c r="BB1218" s="3" t="str">
        <f>"0"</f>
        <v>0</v>
      </c>
      <c r="BC1218" t="str">
        <f ca="1">IF((OFFSET($A$1, 1218 - 1, 53 - 1)) &gt;= (OFFSET($A$1, 69 - 1, 7 - 1)), "1","0")</f>
        <v>1</v>
      </c>
      <c r="BD1218">
        <f ca="1" xml:space="preserve"> IF( AND( OFFSET($A$1, 1218 - 1, 54 - 1) = "1", OFFSET($A$1, 1218 - 1, 55 - 1) = "1" ), 1, IF( AND( OFFSET($A$1, 1218 - 1, 54 - 1) = "1", OFFSET($A$1, 1218 - 1, 55 - 1) = "0" ), 2, IF( AND( OFFSET($A$1, 1218 - 1, 54 - 1) = "0", OFFSET($A$1, 1218 - 1, 55 - 1) = "1" ), 3, 4 ) ) )</f>
        <v>3</v>
      </c>
    </row>
    <row r="1219" spans="53:56" x14ac:dyDescent="0.35">
      <c r="BA1219" s="3">
        <v>0.25118783910039139</v>
      </c>
      <c r="BB1219" s="3" t="str">
        <f>"0"</f>
        <v>0</v>
      </c>
      <c r="BC1219" t="str">
        <f ca="1">IF((OFFSET($A$1, 1219 - 1, 53 - 1)) &gt;= (OFFSET($A$1, 69 - 1, 7 - 1)), "1","0")</f>
        <v>0</v>
      </c>
      <c r="BD1219">
        <f ca="1" xml:space="preserve"> IF( AND( OFFSET($A$1, 1219 - 1, 54 - 1) = "1", OFFSET($A$1, 1219 - 1, 55 - 1) = "1" ), 1, IF( AND( OFFSET($A$1, 1219 - 1, 54 - 1) = "1", OFFSET($A$1, 1219 - 1, 55 - 1) = "0" ), 2, IF( AND( OFFSET($A$1, 1219 - 1, 54 - 1) = "0", OFFSET($A$1, 1219 - 1, 55 - 1) = "1" ), 3, 4 ) ) )</f>
        <v>4</v>
      </c>
    </row>
    <row r="1220" spans="53:56" x14ac:dyDescent="0.35">
      <c r="BA1220" s="3">
        <v>0.25234581587265675</v>
      </c>
      <c r="BB1220" s="3" t="str">
        <f>"1"</f>
        <v>1</v>
      </c>
      <c r="BC1220" t="str">
        <f ca="1">IF((OFFSET($A$1, 1220 - 1, 53 - 1)) &gt;= (OFFSET($A$1, 69 - 1, 7 - 1)), "1","0")</f>
        <v>0</v>
      </c>
      <c r="BD1220">
        <f ca="1" xml:space="preserve"> IF( AND( OFFSET($A$1, 1220 - 1, 54 - 1) = "1", OFFSET($A$1, 1220 - 1, 55 - 1) = "1" ), 1, IF( AND( OFFSET($A$1, 1220 - 1, 54 - 1) = "1", OFFSET($A$1, 1220 - 1, 55 - 1) = "0" ), 2, IF( AND( OFFSET($A$1, 1220 - 1, 54 - 1) = "0", OFFSET($A$1, 1220 - 1, 55 - 1) = "1" ), 3, 4 ) ) )</f>
        <v>2</v>
      </c>
    </row>
    <row r="1221" spans="53:56" x14ac:dyDescent="0.35">
      <c r="BA1221" s="3">
        <v>0.51458423874733239</v>
      </c>
      <c r="BB1221" s="3" t="str">
        <f>"0"</f>
        <v>0</v>
      </c>
      <c r="BC1221" t="str">
        <f ca="1">IF((OFFSET($A$1, 1221 - 1, 53 - 1)) &gt;= (OFFSET($A$1, 69 - 1, 7 - 1)), "1","0")</f>
        <v>1</v>
      </c>
      <c r="BD1221">
        <f ca="1" xml:space="preserve"> IF( AND( OFFSET($A$1, 1221 - 1, 54 - 1) = "1", OFFSET($A$1, 1221 - 1, 55 - 1) = "1" ), 1, IF( AND( OFFSET($A$1, 1221 - 1, 54 - 1) = "1", OFFSET($A$1, 1221 - 1, 55 - 1) = "0" ), 2, IF( AND( OFFSET($A$1, 1221 - 1, 54 - 1) = "0", OFFSET($A$1, 1221 - 1, 55 - 1) = "1" ), 3, 4 ) ) )</f>
        <v>3</v>
      </c>
    </row>
    <row r="1222" spans="53:56" x14ac:dyDescent="0.35">
      <c r="BA1222" s="3">
        <v>0.25467797160341471</v>
      </c>
      <c r="BB1222" s="3" t="str">
        <f>"0"</f>
        <v>0</v>
      </c>
      <c r="BC1222" t="str">
        <f ca="1">IF((OFFSET($A$1, 1222 - 1, 53 - 1)) &gt;= (OFFSET($A$1, 69 - 1, 7 - 1)), "1","0")</f>
        <v>0</v>
      </c>
      <c r="BD1222">
        <f ca="1" xml:space="preserve"> IF( AND( OFFSET($A$1, 1222 - 1, 54 - 1) = "1", OFFSET($A$1, 1222 - 1, 55 - 1) = "1" ), 1, IF( AND( OFFSET($A$1, 1222 - 1, 54 - 1) = "1", OFFSET($A$1, 1222 - 1, 55 - 1) = "0" ), 2, IF( AND( OFFSET($A$1, 1222 - 1, 54 - 1) = "0", OFFSET($A$1, 1222 - 1, 55 - 1) = "1" ), 3, 4 ) ) )</f>
        <v>4</v>
      </c>
    </row>
    <row r="1223" spans="53:56" x14ac:dyDescent="0.35">
      <c r="BA1223" s="3">
        <v>0.25585147826298721</v>
      </c>
      <c r="BB1223" s="3" t="str">
        <f>"0"</f>
        <v>0</v>
      </c>
      <c r="BC1223" t="str">
        <f ca="1">IF((OFFSET($A$1, 1223 - 1, 53 - 1)) &gt;= (OFFSET($A$1, 69 - 1, 7 - 1)), "1","0")</f>
        <v>0</v>
      </c>
      <c r="BD1223">
        <f ca="1" xml:space="preserve"> IF( AND( OFFSET($A$1, 1223 - 1, 54 - 1) = "1", OFFSET($A$1, 1223 - 1, 55 - 1) = "1" ), 1, IF( AND( OFFSET($A$1, 1223 - 1, 54 - 1) = "1", OFFSET($A$1, 1223 - 1, 55 - 1) = "0" ), 2, IF( AND( OFFSET($A$1, 1223 - 1, 54 - 1) = "0", OFFSET($A$1, 1223 - 1, 55 - 1) = "1" ), 3, 4 ) ) )</f>
        <v>4</v>
      </c>
    </row>
    <row r="1224" spans="53:56" x14ac:dyDescent="0.35">
      <c r="BA1224" s="3">
        <v>0.25702948122230035</v>
      </c>
      <c r="BB1224" s="3" t="str">
        <f>"0"</f>
        <v>0</v>
      </c>
      <c r="BC1224" t="str">
        <f ca="1">IF((OFFSET($A$1, 1224 - 1, 53 - 1)) &gt;= (OFFSET($A$1, 69 - 1, 7 - 1)), "1","0")</f>
        <v>0</v>
      </c>
      <c r="BD1224">
        <f ca="1" xml:space="preserve"> IF( AND( OFFSET($A$1, 1224 - 1, 54 - 1) = "1", OFFSET($A$1, 1224 - 1, 55 - 1) = "1" ), 1, IF( AND( OFFSET($A$1, 1224 - 1, 54 - 1) = "1", OFFSET($A$1, 1224 - 1, 55 - 1) = "0" ), 2, IF( AND( OFFSET($A$1, 1224 - 1, 54 - 1) = "0", OFFSET($A$1, 1224 - 1, 55 - 1) = "1" ), 3, 4 ) ) )</f>
        <v>4</v>
      </c>
    </row>
    <row r="1225" spans="53:56" x14ac:dyDescent="0.35">
      <c r="BA1225" s="3">
        <v>0.25821163243902201</v>
      </c>
      <c r="BB1225" s="3" t="str">
        <f>"1"</f>
        <v>1</v>
      </c>
      <c r="BC1225" t="str">
        <f ca="1">IF((OFFSET($A$1, 1225 - 1, 53 - 1)) &gt;= (OFFSET($A$1, 69 - 1, 7 - 1)), "1","0")</f>
        <v>0</v>
      </c>
      <c r="BD1225">
        <f ca="1" xml:space="preserve"> IF( AND( OFFSET($A$1, 1225 - 1, 54 - 1) = "1", OFFSET($A$1, 1225 - 1, 55 - 1) = "1" ), 1, IF( AND( OFFSET($A$1, 1225 - 1, 54 - 1) = "1", OFFSET($A$1, 1225 - 1, 55 - 1) = "0" ), 2, IF( AND( OFFSET($A$1, 1225 - 1, 54 - 1) = "0", OFFSET($A$1, 1225 - 1, 55 - 1) = "1" ), 3, 4 ) ) )</f>
        <v>2</v>
      </c>
    </row>
    <row r="1226" spans="53:56" x14ac:dyDescent="0.35">
      <c r="BA1226" s="3">
        <v>0.52229374279665031</v>
      </c>
      <c r="BB1226" s="3" t="str">
        <f>"1"</f>
        <v>1</v>
      </c>
      <c r="BC1226" t="str">
        <f ca="1">IF((OFFSET($A$1, 1226 - 1, 53 - 1)) &gt;= (OFFSET($A$1, 69 - 1, 7 - 1)), "1","0")</f>
        <v>1</v>
      </c>
      <c r="BD1226">
        <f ca="1" xml:space="preserve"> IF( AND( OFFSET($A$1, 1226 - 1, 54 - 1) = "1", OFFSET($A$1, 1226 - 1, 55 - 1) = "1" ), 1, IF( AND( OFFSET($A$1, 1226 - 1, 54 - 1) = "1", OFFSET($A$1, 1226 - 1, 55 - 1) = "0" ), 2, IF( AND( OFFSET($A$1, 1226 - 1, 54 - 1) = "0", OFFSET($A$1, 1226 - 1, 55 - 1) = "1" ), 3, 4 ) ) )</f>
        <v>1</v>
      </c>
    </row>
    <row r="1227" spans="53:56" x14ac:dyDescent="0.35">
      <c r="BA1227" s="3">
        <v>0.52383594399219979</v>
      </c>
      <c r="BB1227" s="3" t="str">
        <f>"0"</f>
        <v>0</v>
      </c>
      <c r="BC1227" t="str">
        <f ca="1">IF((OFFSET($A$1, 1227 - 1, 53 - 1)) &gt;= (OFFSET($A$1, 69 - 1, 7 - 1)), "1","0")</f>
        <v>1</v>
      </c>
      <c r="BD1227">
        <f ca="1" xml:space="preserve"> IF( AND( OFFSET($A$1, 1227 - 1, 54 - 1) = "1", OFFSET($A$1, 1227 - 1, 55 - 1) = "1" ), 1, IF( AND( OFFSET($A$1, 1227 - 1, 54 - 1) = "1", OFFSET($A$1, 1227 - 1, 55 - 1) = "0" ), 2, IF( AND( OFFSET($A$1, 1227 - 1, 54 - 1) = "0", OFFSET($A$1, 1227 - 1, 55 - 1) = "1" ), 3, 4 ) ) )</f>
        <v>3</v>
      </c>
    </row>
    <row r="1228" spans="53:56" x14ac:dyDescent="0.35">
      <c r="BA1228" s="3">
        <v>0.26177942743693372</v>
      </c>
      <c r="BB1228" s="3" t="str">
        <f>"0"</f>
        <v>0</v>
      </c>
      <c r="BC1228" t="str">
        <f ca="1">IF((OFFSET($A$1, 1228 - 1, 53 - 1)) &gt;= (OFFSET($A$1, 69 - 1, 7 - 1)), "1","0")</f>
        <v>0</v>
      </c>
      <c r="BD1228">
        <f ca="1" xml:space="preserve"> IF( AND( OFFSET($A$1, 1228 - 1, 54 - 1) = "1", OFFSET($A$1, 1228 - 1, 55 - 1) = "1" ), 1, IF( AND( OFFSET($A$1, 1228 - 1, 54 - 1) = "1", OFFSET($A$1, 1228 - 1, 55 - 1) = "0" ), 2, IF( AND( OFFSET($A$1, 1228 - 1, 54 - 1) = "0", OFFSET($A$1, 1228 - 1, 55 - 1) = "1" ), 3, 4 ) ) )</f>
        <v>4</v>
      </c>
    </row>
    <row r="1229" spans="53:56" x14ac:dyDescent="0.35">
      <c r="BA1229" s="3">
        <v>0.26297460173738613</v>
      </c>
      <c r="BB1229" s="3" t="str">
        <f>"0"</f>
        <v>0</v>
      </c>
      <c r="BC1229" t="str">
        <f ca="1">IF((OFFSET($A$1, 1229 - 1, 53 - 1)) &gt;= (OFFSET($A$1, 69 - 1, 7 - 1)), "1","0")</f>
        <v>0</v>
      </c>
      <c r="BD1229">
        <f ca="1" xml:space="preserve"> IF( AND( OFFSET($A$1, 1229 - 1, 54 - 1) = "1", OFFSET($A$1, 1229 - 1, 55 - 1) = "1" ), 1, IF( AND( OFFSET($A$1, 1229 - 1, 54 - 1) = "1", OFFSET($A$1, 1229 - 1, 55 - 1) = "0" ), 2, IF( AND( OFFSET($A$1, 1229 - 1, 54 - 1) = "0", OFFSET($A$1, 1229 - 1, 55 - 1) = "1" ), 3, 4 ) ) )</f>
        <v>4</v>
      </c>
    </row>
    <row r="1230" spans="53:56" x14ac:dyDescent="0.35">
      <c r="BA1230" s="3">
        <v>0.26417211802203611</v>
      </c>
      <c r="BB1230" s="3" t="str">
        <f>"0"</f>
        <v>0</v>
      </c>
      <c r="BC1230" t="str">
        <f ca="1">IF((OFFSET($A$1, 1230 - 1, 53 - 1)) &gt;= (OFFSET($A$1, 69 - 1, 7 - 1)), "1","0")</f>
        <v>0</v>
      </c>
      <c r="BD1230">
        <f ca="1" xml:space="preserve"> IF( AND( OFFSET($A$1, 1230 - 1, 54 - 1) = "1", OFFSET($A$1, 1230 - 1, 55 - 1) = "1" ), 1, IF( AND( OFFSET($A$1, 1230 - 1, 54 - 1) = "1", OFFSET($A$1, 1230 - 1, 55 - 1) = "0" ), 2, IF( AND( OFFSET($A$1, 1230 - 1, 54 - 1) = "0", OFFSET($A$1, 1230 - 1, 55 - 1) = "1" ), 3, 4 ) ) )</f>
        <v>4</v>
      </c>
    </row>
    <row r="1231" spans="53:56" x14ac:dyDescent="0.35">
      <c r="BA1231" s="3">
        <v>0.2653716027214944</v>
      </c>
      <c r="BB1231" s="3" t="str">
        <f>"1"</f>
        <v>1</v>
      </c>
      <c r="BC1231" t="str">
        <f ca="1">IF((OFFSET($A$1, 1231 - 1, 53 - 1)) &gt;= (OFFSET($A$1, 69 - 1, 7 - 1)), "1","0")</f>
        <v>0</v>
      </c>
      <c r="BD1231">
        <f ca="1" xml:space="preserve"> IF( AND( OFFSET($A$1, 1231 - 1, 54 - 1) = "1", OFFSET($A$1, 1231 - 1, 55 - 1) = "1" ), 1, IF( AND( OFFSET($A$1, 1231 - 1, 54 - 1) = "1", OFFSET($A$1, 1231 - 1, 55 - 1) = "0" ), 2, IF( AND( OFFSET($A$1, 1231 - 1, 54 - 1) = "0", OFFSET($A$1, 1231 - 1, 55 - 1) = "1" ), 3, 4 ) ) )</f>
        <v>2</v>
      </c>
    </row>
    <row r="1232" spans="53:56" x14ac:dyDescent="0.35">
      <c r="BA1232" s="3">
        <v>0.53152177576434645</v>
      </c>
      <c r="BB1232" s="3" t="str">
        <f>"1"</f>
        <v>1</v>
      </c>
      <c r="BC1232" t="str">
        <f ca="1">IF((OFFSET($A$1, 1232 - 1, 53 - 1)) &gt;= (OFFSET($A$1, 69 - 1, 7 - 1)), "1","0")</f>
        <v>1</v>
      </c>
      <c r="BD1232">
        <f ca="1" xml:space="preserve"> IF( AND( OFFSET($A$1, 1232 - 1, 54 - 1) = "1", OFFSET($A$1, 1232 - 1, 55 - 1) = "1" ), 1, IF( AND( OFFSET($A$1, 1232 - 1, 54 - 1) = "1", OFFSET($A$1, 1232 - 1, 55 - 1) = "0" ), 2, IF( AND( OFFSET($A$1, 1232 - 1, 54 - 1) = "0", OFFSET($A$1, 1232 - 1, 55 - 1) = "1" ), 3, 4 ) ) )</f>
        <v>1</v>
      </c>
    </row>
    <row r="1233" spans="53:56" x14ac:dyDescent="0.35">
      <c r="BA1233" s="3">
        <v>0.53305053282258807</v>
      </c>
      <c r="BB1233" s="3" t="str">
        <f>"0"</f>
        <v>0</v>
      </c>
      <c r="BC1233" t="str">
        <f ca="1">IF((OFFSET($A$1, 1233 - 1, 53 - 1)) &gt;= (OFFSET($A$1, 69 - 1, 7 - 1)), "1","0")</f>
        <v>1</v>
      </c>
      <c r="BD1233">
        <f ca="1" xml:space="preserve"> IF( AND( OFFSET($A$1, 1233 - 1, 54 - 1) = "1", OFFSET($A$1, 1233 - 1, 55 - 1) = "1" ), 1, IF( AND( OFFSET($A$1, 1233 - 1, 54 - 1) = "1", OFFSET($A$1, 1233 - 1, 55 - 1) = "0" ), 2, IF( AND( OFFSET($A$1, 1233 - 1, 54 - 1) = "0", OFFSET($A$1, 1233 - 1, 55 - 1) = "1" ), 3, 4 ) ) )</f>
        <v>3</v>
      </c>
    </row>
    <row r="1234" spans="53:56" x14ac:dyDescent="0.35">
      <c r="BA1234" s="3">
        <v>0.26897807585142264</v>
      </c>
      <c r="BB1234" s="3" t="str">
        <f>"1"</f>
        <v>1</v>
      </c>
      <c r="BC1234" t="str">
        <f ca="1">IF((OFFSET($A$1, 1234 - 1, 53 - 1)) &gt;= (OFFSET($A$1, 69 - 1, 7 - 1)), "1","0")</f>
        <v>0</v>
      </c>
      <c r="BD1234">
        <f ca="1" xml:space="preserve"> IF( AND( OFFSET($A$1, 1234 - 1, 54 - 1) = "1", OFFSET($A$1, 1234 - 1, 55 - 1) = "1" ), 1, IF( AND( OFFSET($A$1, 1234 - 1, 54 - 1) = "1", OFFSET($A$1, 1234 - 1, 55 - 1) = "0" ), 2, IF( AND( OFFSET($A$1, 1234 - 1, 54 - 1) = "0", OFFSET($A$1, 1234 - 1, 55 - 1) = "1" ), 3, 4 ) ) )</f>
        <v>2</v>
      </c>
    </row>
    <row r="1235" spans="53:56" x14ac:dyDescent="0.35">
      <c r="BA1235" s="3">
        <v>0.53609580991807315</v>
      </c>
      <c r="BB1235" s="3" t="str">
        <f>"1"</f>
        <v>1</v>
      </c>
      <c r="BC1235" t="str">
        <f ca="1">IF((OFFSET($A$1, 1235 - 1, 53 - 1)) &gt;= (OFFSET($A$1, 69 - 1, 7 - 1)), "1","0")</f>
        <v>1</v>
      </c>
      <c r="BD1235">
        <f ca="1" xml:space="preserve"> IF( AND( OFFSET($A$1, 1235 - 1, 54 - 1) = "1", OFFSET($A$1, 1235 - 1, 55 - 1) = "1" ), 1, IF( AND( OFFSET($A$1, 1235 - 1, 54 - 1) = "1", OFFSET($A$1, 1235 - 1, 55 - 1) = "0" ), 2, IF( AND( OFFSET($A$1, 1235 - 1, 54 - 1) = "0", OFFSET($A$1, 1235 - 1, 55 - 1) = "1" ), 3, 4 ) ) )</f>
        <v>1</v>
      </c>
    </row>
    <row r="1236" spans="53:56" x14ac:dyDescent="0.35">
      <c r="BA1236" s="3">
        <v>0.53761138215295756</v>
      </c>
      <c r="BB1236" s="3" t="str">
        <f>"1"</f>
        <v>1</v>
      </c>
      <c r="BC1236" t="str">
        <f ca="1">IF((OFFSET($A$1, 1236 - 1, 53 - 1)) &gt;= (OFFSET($A$1, 69 - 1, 7 - 1)), "1","0")</f>
        <v>1</v>
      </c>
      <c r="BD1236">
        <f ca="1" xml:space="preserve"> IF( AND( OFFSET($A$1, 1236 - 1, 54 - 1) = "1", OFFSET($A$1, 1236 - 1, 55 - 1) = "1" ), 1, IF( AND( OFFSET($A$1, 1236 - 1, 54 - 1) = "1", OFFSET($A$1, 1236 - 1, 55 - 1) = "0" ), 2, IF( AND( OFFSET($A$1, 1236 - 1, 54 - 1) = "0", OFFSET($A$1, 1236 - 1, 55 - 1) = "1" ), 3, 4 ) ) )</f>
        <v>1</v>
      </c>
    </row>
    <row r="1237" spans="53:56" x14ac:dyDescent="0.35">
      <c r="BA1237" s="3">
        <v>0.53912161572409079</v>
      </c>
      <c r="BB1237" s="3" t="str">
        <f>"1"</f>
        <v>1</v>
      </c>
      <c r="BC1237" t="str">
        <f ca="1">IF((OFFSET($A$1, 1237 - 1, 53 - 1)) &gt;= (OFFSET($A$1, 69 - 1, 7 - 1)), "1","0")</f>
        <v>1</v>
      </c>
      <c r="BD1237">
        <f ca="1" xml:space="preserve"> IF( AND( OFFSET($A$1, 1237 - 1, 54 - 1) = "1", OFFSET($A$1, 1237 - 1, 55 - 1) = "1" ), 1, IF( AND( OFFSET($A$1, 1237 - 1, 54 - 1) = "1", OFFSET($A$1, 1237 - 1, 55 - 1) = "0" ), 2, IF( AND( OFFSET($A$1, 1237 - 1, 54 - 1) = "0", OFFSET($A$1, 1237 - 1, 55 - 1) = "1" ), 3, 4 ) ) )</f>
        <v>1</v>
      </c>
    </row>
    <row r="1238" spans="53:56" x14ac:dyDescent="0.35">
      <c r="BA1238" s="3">
        <v>0.54062604315578222</v>
      </c>
      <c r="BB1238" s="3" t="str">
        <f>"0"</f>
        <v>0</v>
      </c>
      <c r="BC1238" t="str">
        <f ca="1">IF((OFFSET($A$1, 1238 - 1, 53 - 1)) &gt;= (OFFSET($A$1, 69 - 1, 7 - 1)), "1","0")</f>
        <v>1</v>
      </c>
      <c r="BD1238">
        <f ca="1" xml:space="preserve"> IF( AND( OFFSET($A$1, 1238 - 1, 54 - 1) = "1", OFFSET($A$1, 1238 - 1, 55 - 1) = "1" ), 1, IF( AND( OFFSET($A$1, 1238 - 1, 54 - 1) = "1", OFFSET($A$1, 1238 - 1, 55 - 1) = "0" ), 2, IF( AND( OFFSET($A$1, 1238 - 1, 54 - 1) = "0", OFFSET($A$1, 1238 - 1, 55 - 1) = "1" ), 3, 4 ) ) )</f>
        <v>3</v>
      </c>
    </row>
    <row r="1239" spans="53:56" x14ac:dyDescent="0.35">
      <c r="BA1239" s="3">
        <v>0.274992340384139</v>
      </c>
      <c r="BB1239" s="3" t="str">
        <f>"0"</f>
        <v>0</v>
      </c>
      <c r="BC1239" t="str">
        <f ca="1">IF((OFFSET($A$1, 1239 - 1, 53 - 1)) &gt;= (OFFSET($A$1, 69 - 1, 7 - 1)), "1","0")</f>
        <v>0</v>
      </c>
      <c r="BD1239">
        <f ca="1" xml:space="preserve"> IF( AND( OFFSET($A$1, 1239 - 1, 54 - 1) = "1", OFFSET($A$1, 1239 - 1, 55 - 1) = "1" ), 1, IF( AND( OFFSET($A$1, 1239 - 1, 54 - 1) = "1", OFFSET($A$1, 1239 - 1, 55 - 1) = "0" ), 2, IF( AND( OFFSET($A$1, 1239 - 1, 54 - 1) = "0", OFFSET($A$1, 1239 - 1, 55 - 1) = "1" ), 3, 4 ) ) )</f>
        <v>4</v>
      </c>
    </row>
    <row r="1240" spans="53:56" x14ac:dyDescent="0.35">
      <c r="BA1240" s="3">
        <v>0.27619215910953637</v>
      </c>
      <c r="BB1240" s="3" t="str">
        <f>"0"</f>
        <v>0</v>
      </c>
      <c r="BC1240" t="str">
        <f ca="1">IF((OFFSET($A$1, 1240 - 1, 53 - 1)) &gt;= (OFFSET($A$1, 69 - 1, 7 - 1)), "1","0")</f>
        <v>0</v>
      </c>
      <c r="BD1240">
        <f ca="1" xml:space="preserve"> IF( AND( OFFSET($A$1, 1240 - 1, 54 - 1) = "1", OFFSET($A$1, 1240 - 1, 55 - 1) = "1" ), 1, IF( AND( OFFSET($A$1, 1240 - 1, 54 - 1) = "1", OFFSET($A$1, 1240 - 1, 55 - 1) = "0" ), 2, IF( AND( OFFSET($A$1, 1240 - 1, 54 - 1) = "0", OFFSET($A$1, 1240 - 1, 55 - 1) = "1" ), 3, 4 ) ) )</f>
        <v>4</v>
      </c>
    </row>
    <row r="1241" spans="53:56" x14ac:dyDescent="0.35">
      <c r="BA1241" s="3">
        <v>0.27739002942267788</v>
      </c>
      <c r="BB1241" s="3" t="str">
        <f>"0"</f>
        <v>0</v>
      </c>
      <c r="BC1241" t="str">
        <f ca="1">IF((OFFSET($A$1, 1241 - 1, 53 - 1)) &gt;= (OFFSET($A$1, 69 - 1, 7 - 1)), "1","0")</f>
        <v>0</v>
      </c>
      <c r="BD1241">
        <f ca="1" xml:space="preserve"> IF( AND( OFFSET($A$1, 1241 - 1, 54 - 1) = "1", OFFSET($A$1, 1241 - 1, 55 - 1) = "1" ), 1, IF( AND( OFFSET($A$1, 1241 - 1, 54 - 1) = "1", OFFSET($A$1, 1241 - 1, 55 - 1) = "0" ), 2, IF( AND( OFFSET($A$1, 1241 - 1, 54 - 1) = "0", OFFSET($A$1, 1241 - 1, 55 - 1) = "1" ), 3, 4 ) ) )</f>
        <v>4</v>
      </c>
    </row>
    <row r="1242" spans="53:56" x14ac:dyDescent="0.35">
      <c r="BA1242" s="3">
        <v>0.27858554535602675</v>
      </c>
      <c r="BB1242" s="3" t="str">
        <f>"0"</f>
        <v>0</v>
      </c>
      <c r="BC1242" t="str">
        <f ca="1">IF((OFFSET($A$1, 1242 - 1, 53 - 1)) &gt;= (OFFSET($A$1, 69 - 1, 7 - 1)), "1","0")</f>
        <v>0</v>
      </c>
      <c r="BD1242">
        <f ca="1" xml:space="preserve"> IF( AND( OFFSET($A$1, 1242 - 1, 54 - 1) = "1", OFFSET($A$1, 1242 - 1, 55 - 1) = "1" ), 1, IF( AND( OFFSET($A$1, 1242 - 1, 54 - 1) = "1", OFFSET($A$1, 1242 - 1, 55 - 1) = "0" ), 2, IF( AND( OFFSET($A$1, 1242 - 1, 54 - 1) = "0", OFFSET($A$1, 1242 - 1, 55 - 1) = "1" ), 3, 4 ) ) )</f>
        <v>4</v>
      </c>
    </row>
    <row r="1243" spans="53:56" x14ac:dyDescent="0.35">
      <c r="BA1243" s="3">
        <v>0.27977829909987939</v>
      </c>
      <c r="BB1243" s="3" t="str">
        <f>"0"</f>
        <v>0</v>
      </c>
      <c r="BC1243" t="str">
        <f ca="1">IF((OFFSET($A$1, 1243 - 1, 53 - 1)) &gt;= (OFFSET($A$1, 69 - 1, 7 - 1)), "1","0")</f>
        <v>0</v>
      </c>
      <c r="BD1243">
        <f ca="1" xml:space="preserve"> IF( AND( OFFSET($A$1, 1243 - 1, 54 - 1) = "1", OFFSET($A$1, 1243 - 1, 55 - 1) = "1" ), 1, IF( AND( OFFSET($A$1, 1243 - 1, 54 - 1) = "1", OFFSET($A$1, 1243 - 1, 55 - 1) = "0" ), 2, IF( AND( OFFSET($A$1, 1243 - 1, 54 - 1) = "0", OFFSET($A$1, 1243 - 1, 55 - 1) = "1" ), 3, 4 ) ) )</f>
        <v>4</v>
      </c>
    </row>
    <row r="1244" spans="53:56" x14ac:dyDescent="0.35">
      <c r="BA1244" s="3">
        <v>0.28096788120410743</v>
      </c>
      <c r="BB1244" s="3" t="str">
        <f>"0"</f>
        <v>0</v>
      </c>
      <c r="BC1244" t="str">
        <f ca="1">IF((OFFSET($A$1, 1244 - 1, 53 - 1)) &gt;= (OFFSET($A$1, 69 - 1, 7 - 1)), "1","0")</f>
        <v>0</v>
      </c>
      <c r="BD1244">
        <f ca="1" xml:space="preserve"> IF( AND( OFFSET($A$1, 1244 - 1, 54 - 1) = "1", OFFSET($A$1, 1244 - 1, 55 - 1) = "1" ), 1, IF( AND( OFFSET($A$1, 1244 - 1, 54 - 1) = "1", OFFSET($A$1, 1244 - 1, 55 - 1) = "0" ), 2, IF( AND( OFFSET($A$1, 1244 - 1, 54 - 1) = "0", OFFSET($A$1, 1244 - 1, 55 - 1) = "1" ), 3, 4 ) ) )</f>
        <v>4</v>
      </c>
    </row>
    <row r="1245" spans="53:56" x14ac:dyDescent="0.35">
      <c r="BA1245" s="3">
        <v>0.28215388078329395</v>
      </c>
      <c r="BB1245" s="3" t="str">
        <f>"0"</f>
        <v>0</v>
      </c>
      <c r="BC1245" t="str">
        <f ca="1">IF((OFFSET($A$1, 1245 - 1, 53 - 1)) &gt;= (OFFSET($A$1, 69 - 1, 7 - 1)), "1","0")</f>
        <v>0</v>
      </c>
      <c r="BD1245">
        <f ca="1" xml:space="preserve"> IF( AND( OFFSET($A$1, 1245 - 1, 54 - 1) = "1", OFFSET($A$1, 1245 - 1, 55 - 1) = "1" ), 1, IF( AND( OFFSET($A$1, 1245 - 1, 54 - 1) = "1", OFFSET($A$1, 1245 - 1, 55 - 1) = "0" ), 2, IF( AND( OFFSET($A$1, 1245 - 1, 54 - 1) = "0", OFFSET($A$1, 1245 - 1, 55 - 1) = "1" ), 3, 4 ) ) )</f>
        <v>4</v>
      </c>
    </row>
    <row r="1246" spans="53:56" x14ac:dyDescent="0.35">
      <c r="BA1246" s="3">
        <v>0.28333588572503932</v>
      </c>
      <c r="BB1246" s="3" t="str">
        <f>"0"</f>
        <v>0</v>
      </c>
      <c r="BC1246" t="str">
        <f ca="1">IF((OFFSET($A$1, 1246 - 1, 53 - 1)) &gt;= (OFFSET($A$1, 69 - 1, 7 - 1)), "1","0")</f>
        <v>0</v>
      </c>
      <c r="BD1246">
        <f ca="1" xml:space="preserve"> IF( AND( OFFSET($A$1, 1246 - 1, 54 - 1) = "1", OFFSET($A$1, 1246 - 1, 55 - 1) = "1" ), 1, IF( AND( OFFSET($A$1, 1246 - 1, 54 - 1) = "1", OFFSET($A$1, 1246 - 1, 55 - 1) = "0" ), 2, IF( AND( OFFSET($A$1, 1246 - 1, 54 - 1) = "0", OFFSET($A$1, 1246 - 1, 55 - 1) = "1" ), 3, 4 ) ) )</f>
        <v>4</v>
      </c>
    </row>
    <row r="1247" spans="53:56" x14ac:dyDescent="0.35">
      <c r="BA1247" s="3">
        <v>0.28451348290119549</v>
      </c>
      <c r="BB1247" s="3" t="str">
        <f>"0"</f>
        <v>0</v>
      </c>
      <c r="BC1247" t="str">
        <f ca="1">IF((OFFSET($A$1, 1247 - 1, 53 - 1)) &gt;= (OFFSET($A$1, 69 - 1, 7 - 1)), "1","0")</f>
        <v>0</v>
      </c>
      <c r="BD1247">
        <f ca="1" xml:space="preserve"> IF( AND( OFFSET($A$1, 1247 - 1, 54 - 1) = "1", OFFSET($A$1, 1247 - 1, 55 - 1) = "1" ), 1, IF( AND( OFFSET($A$1, 1247 - 1, 54 - 1) = "1", OFFSET($A$1, 1247 - 1, 55 - 1) = "0" ), 2, IF( AND( OFFSET($A$1, 1247 - 1, 54 - 1) = "0", OFFSET($A$1, 1247 - 1, 55 - 1) = "1" ), 3, 4 ) ) )</f>
        <v>4</v>
      </c>
    </row>
    <row r="1248" spans="53:56" x14ac:dyDescent="0.35">
      <c r="BA1248" s="3">
        <v>0.28568625838180278</v>
      </c>
      <c r="BB1248" s="3" t="str">
        <f>"1"</f>
        <v>1</v>
      </c>
      <c r="BC1248" t="str">
        <f ca="1">IF((OFFSET($A$1, 1248 - 1, 53 - 1)) &gt;= (OFFSET($A$1, 69 - 1, 7 - 1)), "1","0")</f>
        <v>0</v>
      </c>
      <c r="BD1248">
        <f ca="1" xml:space="preserve"> IF( AND( OFFSET($A$1, 1248 - 1, 54 - 1) = "1", OFFSET($A$1, 1248 - 1, 55 - 1) = "1" ), 1, IF( AND( OFFSET($A$1, 1248 - 1, 54 - 1) = "1", OFFSET($A$1, 1248 - 1, 55 - 1) = "0" ), 2, IF( AND( OFFSET($A$1, 1248 - 1, 54 - 1) = "0", OFFSET($A$1, 1248 - 1, 55 - 1) = "1" ), 3, 4 ) ) )</f>
        <v>2</v>
      </c>
    </row>
    <row r="1249" spans="53:56" x14ac:dyDescent="0.35">
      <c r="BA1249" s="3">
        <v>0.55666115527067228</v>
      </c>
      <c r="BB1249" s="3" t="str">
        <f>"1"</f>
        <v>1</v>
      </c>
      <c r="BC1249" t="str">
        <f ca="1">IF((OFFSET($A$1, 1249 - 1, 53 - 1)) &gt;= (OFFSET($A$1, 69 - 1, 7 - 1)), "1","0")</f>
        <v>1</v>
      </c>
      <c r="BD1249">
        <f ca="1" xml:space="preserve"> IF( AND( OFFSET($A$1, 1249 - 1, 54 - 1) = "1", OFFSET($A$1, 1249 - 1, 55 - 1) = "1" ), 1, IF( AND( OFFSET($A$1, 1249 - 1, 54 - 1) = "1", OFFSET($A$1, 1249 - 1, 55 - 1) = "0" ), 2, IF( AND( OFFSET($A$1, 1249 - 1, 54 - 1) = "0", OFFSET($A$1, 1249 - 1, 55 - 1) = "1" ), 3, 4 ) ) )</f>
        <v>1</v>
      </c>
    </row>
    <row r="1250" spans="53:56" x14ac:dyDescent="0.35">
      <c r="BA1250" s="3">
        <v>0.5580607001917679</v>
      </c>
      <c r="BB1250" s="3" t="str">
        <f>"0"</f>
        <v>0</v>
      </c>
      <c r="BC1250" t="str">
        <f ca="1">IF((OFFSET($A$1, 1250 - 1, 53 - 1)) &gt;= (OFFSET($A$1, 69 - 1, 7 - 1)), "1","0")</f>
        <v>1</v>
      </c>
      <c r="BD1250">
        <f ca="1" xml:space="preserve"> IF( AND( OFFSET($A$1, 1250 - 1, 54 - 1) = "1", OFFSET($A$1, 1250 - 1, 55 - 1) = "1" ), 1, IF( AND( OFFSET($A$1, 1250 - 1, 54 - 1) = "1", OFFSET($A$1, 1250 - 1, 55 - 1) = "0" ), 2, IF( AND( OFFSET($A$1, 1250 - 1, 54 - 1) = "0", OFFSET($A$1, 1250 - 1, 55 - 1) = "1" ), 3, 4 ) ) )</f>
        <v>3</v>
      </c>
    </row>
    <row r="1251" spans="53:56" x14ac:dyDescent="0.35">
      <c r="BA1251" s="3">
        <v>0.28917150788287682</v>
      </c>
      <c r="BB1251" s="3" t="str">
        <f>"0"</f>
        <v>0</v>
      </c>
      <c r="BC1251" t="str">
        <f ca="1">IF((OFFSET($A$1, 1251 - 1, 53 - 1)) &gt;= (OFFSET($A$1, 69 - 1, 7 - 1)), "1","0")</f>
        <v>0</v>
      </c>
      <c r="BD1251">
        <f ca="1" xml:space="preserve"> IF( AND( OFFSET($A$1, 1251 - 1, 54 - 1) = "1", OFFSET($A$1, 1251 - 1, 55 - 1) = "1" ), 1, IF( AND( OFFSET($A$1, 1251 - 1, 54 - 1) = "1", OFFSET($A$1, 1251 - 1, 55 - 1) = "0" ), 2, IF( AND( OFFSET($A$1, 1251 - 1, 54 - 1) = "0", OFFSET($A$1, 1251 - 1, 55 - 1) = "1" ), 3, 4 ) ) )</f>
        <v>4</v>
      </c>
    </row>
    <row r="1252" spans="53:56" x14ac:dyDescent="0.35">
      <c r="BA1252" s="3">
        <v>0.29032084886364334</v>
      </c>
      <c r="BB1252" s="3" t="str">
        <f>"0"</f>
        <v>0</v>
      </c>
      <c r="BC1252" t="str">
        <f ca="1">IF((OFFSET($A$1, 1252 - 1, 53 - 1)) &gt;= (OFFSET($A$1, 69 - 1, 7 - 1)), "1","0")</f>
        <v>0</v>
      </c>
      <c r="BD1252">
        <f ca="1" xml:space="preserve"> IF( AND( OFFSET($A$1, 1252 - 1, 54 - 1) = "1", OFFSET($A$1, 1252 - 1, 55 - 1) = "1" ), 1, IF( AND( OFFSET($A$1, 1252 - 1, 54 - 1) = "1", OFFSET($A$1, 1252 - 1, 55 - 1) = "0" ), 2, IF( AND( OFFSET($A$1, 1252 - 1, 54 - 1) = "0", OFFSET($A$1, 1252 - 1, 55 - 1) = "1" ), 3, 4 ) ) )</f>
        <v>4</v>
      </c>
    </row>
    <row r="1253" spans="53:56" x14ac:dyDescent="0.35">
      <c r="BA1253" s="3">
        <v>0.2914632941175565</v>
      </c>
      <c r="BB1253" s="3" t="str">
        <f>"0"</f>
        <v>0</v>
      </c>
      <c r="BC1253" t="str">
        <f ca="1">IF((OFFSET($A$1, 1253 - 1, 53 - 1)) &gt;= (OFFSET($A$1, 69 - 1, 7 - 1)), "1","0")</f>
        <v>0</v>
      </c>
      <c r="BD1253">
        <f ca="1" xml:space="preserve"> IF( AND( OFFSET($A$1, 1253 - 1, 54 - 1) = "1", OFFSET($A$1, 1253 - 1, 55 - 1) = "1" ), 1, IF( AND( OFFSET($A$1, 1253 - 1, 54 - 1) = "1", OFFSET($A$1, 1253 - 1, 55 - 1) = "0" ), 2, IF( AND( OFFSET($A$1, 1253 - 1, 54 - 1) = "0", OFFSET($A$1, 1253 - 1, 55 - 1) = "1" ), 3, 4 ) ) )</f>
        <v>4</v>
      </c>
    </row>
    <row r="1254" spans="53:56" x14ac:dyDescent="0.35">
      <c r="BA1254" s="3">
        <v>0.29259842951657195</v>
      </c>
      <c r="BB1254" s="3" t="str">
        <f>"1"</f>
        <v>1</v>
      </c>
      <c r="BC1254" t="str">
        <f ca="1">IF((OFFSET($A$1, 1254 - 1, 53 - 1)) &gt;= (OFFSET($A$1, 69 - 1, 7 - 1)), "1","0")</f>
        <v>0</v>
      </c>
      <c r="BD1254">
        <f ca="1" xml:space="preserve"> IF( AND( OFFSET($A$1, 1254 - 1, 54 - 1) = "1", OFFSET($A$1, 1254 - 1, 55 - 1) = "1" ), 1, IF( AND( OFFSET($A$1, 1254 - 1, 54 - 1) = "1", OFFSET($A$1, 1254 - 1, 55 - 1) = "0" ), 2, IF( AND( OFFSET($A$1, 1254 - 1, 54 - 1) = "0", OFFSET($A$1, 1254 - 1, 55 - 1) = "1" ), 3, 4 ) ) )</f>
        <v>2</v>
      </c>
    </row>
    <row r="1255" spans="53:56" x14ac:dyDescent="0.35">
      <c r="BA1255" s="3">
        <v>0.56487705100616326</v>
      </c>
      <c r="BB1255" s="3" t="str">
        <f>"0"</f>
        <v>0</v>
      </c>
      <c r="BC1255" t="str">
        <f ca="1">IF((OFFSET($A$1, 1255 - 1, 53 - 1)) &gt;= (OFFSET($A$1, 69 - 1, 7 - 1)), "1","0")</f>
        <v>1</v>
      </c>
      <c r="BD1255">
        <f ca="1" xml:space="preserve"> IF( AND( OFFSET($A$1, 1255 - 1, 54 - 1) = "1", OFFSET($A$1, 1255 - 1, 55 - 1) = "1" ), 1, IF( AND( OFFSET($A$1, 1255 - 1, 54 - 1) = "1", OFFSET($A$1, 1255 - 1, 55 - 1) = "0" ), 2, IF( AND( OFFSET($A$1, 1255 - 1, 54 - 1) = "0", OFFSET($A$1, 1255 - 1, 55 - 1) = "1" ), 3, 4 ) ) )</f>
        <v>3</v>
      </c>
    </row>
    <row r="1256" spans="53:56" x14ac:dyDescent="0.35">
      <c r="BA1256" s="3">
        <v>0.29484511821738618</v>
      </c>
      <c r="BB1256" s="3" t="str">
        <f>"1"</f>
        <v>1</v>
      </c>
      <c r="BC1256" t="str">
        <f ca="1">IF((OFFSET($A$1, 1256 - 1, 53 - 1)) &gt;= (OFFSET($A$1, 69 - 1, 7 - 1)), "1","0")</f>
        <v>0</v>
      </c>
      <c r="BD1256">
        <f ca="1" xml:space="preserve"> IF( AND( OFFSET($A$1, 1256 - 1, 54 - 1) = "1", OFFSET($A$1, 1256 - 1, 55 - 1) = "1" ), 1, IF( AND( OFFSET($A$1, 1256 - 1, 54 - 1) = "1", OFFSET($A$1, 1256 - 1, 55 - 1) = "0" ), 2, IF( AND( OFFSET($A$1, 1256 - 1, 54 - 1) = "0", OFFSET($A$1, 1256 - 1, 55 - 1) = "1" ), 3, 4 ) ) )</f>
        <v>2</v>
      </c>
    </row>
    <row r="1257" spans="53:56" x14ac:dyDescent="0.35">
      <c r="BA1257" s="3">
        <v>0.56751151643849895</v>
      </c>
      <c r="BB1257" s="3" t="str">
        <f>"0"</f>
        <v>0</v>
      </c>
      <c r="BC1257" t="str">
        <f ca="1">IF((OFFSET($A$1, 1257 - 1, 53 - 1)) &gt;= (OFFSET($A$1, 69 - 1, 7 - 1)), "1","0")</f>
        <v>1</v>
      </c>
      <c r="BD1257">
        <f ca="1" xml:space="preserve"> IF( AND( OFFSET($A$1, 1257 - 1, 54 - 1) = "1", OFFSET($A$1, 1257 - 1, 55 - 1) = "1" ), 1, IF( AND( OFFSET($A$1, 1257 - 1, 54 - 1) = "1", OFFSET($A$1, 1257 - 1, 55 - 1) = "0" ), 2, IF( AND( OFFSET($A$1, 1257 - 1, 54 - 1) = "0", OFFSET($A$1, 1257 - 1, 55 - 1) = "1" ), 3, 4 ) ) )</f>
        <v>3</v>
      </c>
    </row>
    <row r="1258" spans="53:56" x14ac:dyDescent="0.35">
      <c r="BA1258" s="3">
        <v>0.2970576210360697</v>
      </c>
      <c r="BB1258" s="3" t="str">
        <f>"0"</f>
        <v>0</v>
      </c>
      <c r="BC1258" t="str">
        <f ca="1">IF((OFFSET($A$1, 1258 - 1, 53 - 1)) &gt;= (OFFSET($A$1, 69 - 1, 7 - 1)), "1","0")</f>
        <v>0</v>
      </c>
      <c r="BD1258">
        <f ca="1" xml:space="preserve"> IF( AND( OFFSET($A$1, 1258 - 1, 54 - 1) = "1", OFFSET($A$1, 1258 - 1, 55 - 1) = "1" ), 1, IF( AND( OFFSET($A$1, 1258 - 1, 54 - 1) = "1", OFFSET($A$1, 1258 - 1, 55 - 1) = "0" ), 2, IF( AND( OFFSET($A$1, 1258 - 1, 54 - 1) = "0", OFFSET($A$1, 1258 - 1, 55 - 1) = "1" ), 3, 4 ) ) )</f>
        <v>4</v>
      </c>
    </row>
    <row r="1259" spans="53:56" x14ac:dyDescent="0.35">
      <c r="BA1259" s="3">
        <v>0.29815002945095448</v>
      </c>
      <c r="BB1259" s="3" t="str">
        <f>"0"</f>
        <v>0</v>
      </c>
      <c r="BC1259" t="str">
        <f ca="1">IF((OFFSET($A$1, 1259 - 1, 53 - 1)) &gt;= (OFFSET($A$1, 69 - 1, 7 - 1)), "1","0")</f>
        <v>0</v>
      </c>
      <c r="BD1259">
        <f ca="1" xml:space="preserve"> IF( AND( OFFSET($A$1, 1259 - 1, 54 - 1) = "1", OFFSET($A$1, 1259 - 1, 55 - 1) = "1" ), 1, IF( AND( OFFSET($A$1, 1259 - 1, 54 - 1) = "1", OFFSET($A$1, 1259 - 1, 55 - 1) = "0" ), 2, IF( AND( OFFSET($A$1, 1259 - 1, 54 - 1) = "0", OFFSET($A$1, 1259 - 1, 55 - 1) = "1" ), 3, 4 ) ) )</f>
        <v>4</v>
      </c>
    </row>
    <row r="1260" spans="53:56" x14ac:dyDescent="0.35">
      <c r="BA1260" s="3">
        <v>0.29923266694823342</v>
      </c>
      <c r="BB1260" s="3" t="str">
        <f>"0"</f>
        <v>0</v>
      </c>
      <c r="BC1260" t="str">
        <f ca="1">IF((OFFSET($A$1, 1260 - 1, 53 - 1)) &gt;= (OFFSET($A$1, 69 - 1, 7 - 1)), "1","0")</f>
        <v>0</v>
      </c>
      <c r="BD1260">
        <f ca="1" xml:space="preserve"> IF( AND( OFFSET($A$1, 1260 - 1, 54 - 1) = "1", OFFSET($A$1, 1260 - 1, 55 - 1) = "1" ), 1, IF( AND( OFFSET($A$1, 1260 - 1, 54 - 1) = "1", OFFSET($A$1, 1260 - 1, 55 - 1) = "0" ), 2, IF( AND( OFFSET($A$1, 1260 - 1, 54 - 1) = "0", OFFSET($A$1, 1260 - 1, 55 - 1) = "1" ), 3, 4 ) ) )</f>
        <v>4</v>
      </c>
    </row>
    <row r="1261" spans="53:56" x14ac:dyDescent="0.35">
      <c r="BA1261" s="3">
        <v>0.30030512942076948</v>
      </c>
      <c r="BB1261" s="3" t="str">
        <f>"1"</f>
        <v>1</v>
      </c>
      <c r="BC1261" t="str">
        <f ca="1">IF((OFFSET($A$1, 1261 - 1, 53 - 1)) &gt;= (OFFSET($A$1, 69 - 1, 7 - 1)), "1","0")</f>
        <v>0</v>
      </c>
      <c r="BD1261">
        <f ca="1" xml:space="preserve"> IF( AND( OFFSET($A$1, 1261 - 1, 54 - 1) = "1", OFFSET($A$1, 1261 - 1, 55 - 1) = "1" ), 1, IF( AND( OFFSET($A$1, 1261 - 1, 54 - 1) = "1", OFFSET($A$1, 1261 - 1, 55 - 1) = "0" ), 2, IF( AND( OFFSET($A$1, 1261 - 1, 54 - 1) = "0", OFFSET($A$1, 1261 - 1, 55 - 1) = "1" ), 3, 4 ) ) )</f>
        <v>2</v>
      </c>
    </row>
    <row r="1262" spans="53:56" x14ac:dyDescent="0.35">
      <c r="BA1262" s="3">
        <v>0.57384089957271212</v>
      </c>
      <c r="BB1262" s="3" t="str">
        <f>"1"</f>
        <v>1</v>
      </c>
      <c r="BC1262" t="str">
        <f ca="1">IF((OFFSET($A$1, 1262 - 1, 53 - 1)) &gt;= (OFFSET($A$1, 69 - 1, 7 - 1)), "1","0")</f>
        <v>1</v>
      </c>
      <c r="BD1262">
        <f ca="1" xml:space="preserve"> IF( AND( OFFSET($A$1, 1262 - 1, 54 - 1) = "1", OFFSET($A$1, 1262 - 1, 55 - 1) = "1" ), 1, IF( AND( OFFSET($A$1, 1262 - 1, 54 - 1) = "1", OFFSET($A$1, 1262 - 1, 55 - 1) = "0" ), 2, IF( AND( OFFSET($A$1, 1262 - 1, 54 - 1) = "0", OFFSET($A$1, 1262 - 1, 55 - 1) = "1" ), 3, 4 ) ) )</f>
        <v>1</v>
      </c>
    </row>
    <row r="1263" spans="53:56" x14ac:dyDescent="0.35">
      <c r="BA1263" s="3">
        <v>0.57505987122612456</v>
      </c>
      <c r="BB1263" s="3" t="str">
        <f>"1"</f>
        <v>1</v>
      </c>
      <c r="BC1263" t="str">
        <f ca="1">IF((OFFSET($A$1, 1263 - 1, 53 - 1)) &gt;= (OFFSET($A$1, 69 - 1, 7 - 1)), "1","0")</f>
        <v>1</v>
      </c>
      <c r="BD1263">
        <f ca="1" xml:space="preserve"> IF( AND( OFFSET($A$1, 1263 - 1, 54 - 1) = "1", OFFSET($A$1, 1263 - 1, 55 - 1) = "1" ), 1, IF( AND( OFFSET($A$1, 1263 - 1, 54 - 1) = "1", OFFSET($A$1, 1263 - 1, 55 - 1) = "0" ), 2, IF( AND( OFFSET($A$1, 1263 - 1, 54 - 1) = "0", OFFSET($A$1, 1263 - 1, 55 - 1) = "1" ), 3, 4 ) ) )</f>
        <v>1</v>
      </c>
    </row>
    <row r="1264" spans="53:56" x14ac:dyDescent="0.35">
      <c r="BA1264" s="3">
        <v>0.57626239855146832</v>
      </c>
      <c r="BB1264" s="3" t="str">
        <f>"1"</f>
        <v>1</v>
      </c>
      <c r="BC1264" t="str">
        <f ca="1">IF((OFFSET($A$1, 1264 - 1, 53 - 1)) &gt;= (OFFSET($A$1, 69 - 1, 7 - 1)), "1","0")</f>
        <v>1</v>
      </c>
      <c r="BD1264">
        <f ca="1" xml:space="preserve"> IF( AND( OFFSET($A$1, 1264 - 1, 54 - 1) = "1", OFFSET($A$1, 1264 - 1, 55 - 1) = "1" ), 1, IF( AND( OFFSET($A$1, 1264 - 1, 54 - 1) = "1", OFFSET($A$1, 1264 - 1, 55 - 1) = "0" ), 2, IF( AND( OFFSET($A$1, 1264 - 1, 54 - 1) = "0", OFFSET($A$1, 1264 - 1, 55 - 1) = "1" ), 3, 4 ) ) )</f>
        <v>1</v>
      </c>
    </row>
    <row r="1265" spans="53:56" x14ac:dyDescent="0.35">
      <c r="BA1265" s="3">
        <v>0.57744814725042393</v>
      </c>
      <c r="BB1265" s="3" t="str">
        <f>"0"</f>
        <v>0</v>
      </c>
      <c r="BC1265" t="str">
        <f ca="1">IF((OFFSET($A$1, 1265 - 1, 53 - 1)) &gt;= (OFFSET($A$1, 69 - 1, 7 - 1)), "1","0")</f>
        <v>1</v>
      </c>
      <c r="BD1265">
        <f ca="1" xml:space="preserve"> IF( AND( OFFSET($A$1, 1265 - 1, 54 - 1) = "1", OFFSET($A$1, 1265 - 1, 55 - 1) = "1" ), 1, IF( AND( OFFSET($A$1, 1265 - 1, 54 - 1) = "1", OFFSET($A$1, 1265 - 1, 55 - 1) = "0" ), 2, IF( AND( OFFSET($A$1, 1265 - 1, 54 - 1) = "0", OFFSET($A$1, 1265 - 1, 55 - 1) = "1" ), 3, 4 ) ) )</f>
        <v>3</v>
      </c>
    </row>
    <row r="1266" spans="53:56" x14ac:dyDescent="0.35">
      <c r="BA1266" s="3">
        <v>0.30550084888071727</v>
      </c>
      <c r="BB1266" s="3" t="str">
        <f>"1"</f>
        <v>1</v>
      </c>
      <c r="BC1266" t="str">
        <f ca="1">IF((OFFSET($A$1, 1266 - 1, 53 - 1)) &gt;= (OFFSET($A$1, 69 - 1, 7 - 1)), "1","0")</f>
        <v>0</v>
      </c>
      <c r="BD1266">
        <f ca="1" xml:space="preserve"> IF( AND( OFFSET($A$1, 1266 - 1, 54 - 1) = "1", OFFSET($A$1, 1266 - 1, 55 - 1) = "1" ), 1, IF( AND( OFFSET($A$1, 1266 - 1, 54 - 1) = "1", OFFSET($A$1, 1266 - 1, 55 - 1) = "0" ), 2, IF( AND( OFFSET($A$1, 1266 - 1, 54 - 1) = "0", OFFSET($A$1, 1266 - 1, 55 - 1) = "1" ), 3, 4 ) ) )</f>
        <v>2</v>
      </c>
    </row>
    <row r="1267" spans="53:56" x14ac:dyDescent="0.35">
      <c r="BA1267" s="3">
        <v>0.57976800354328895</v>
      </c>
      <c r="BB1267" s="3" t="str">
        <f>"1"</f>
        <v>1</v>
      </c>
      <c r="BC1267" t="str">
        <f ca="1">IF((OFFSET($A$1, 1267 - 1, 53 - 1)) &gt;= (OFFSET($A$1, 69 - 1, 7 - 1)), "1","0")</f>
        <v>1</v>
      </c>
      <c r="BD1267">
        <f ca="1" xml:space="preserve"> IF( AND( OFFSET($A$1, 1267 - 1, 54 - 1) = "1", OFFSET($A$1, 1267 - 1, 55 - 1) = "1" ), 1, IF( AND( OFFSET($A$1, 1267 - 1, 54 - 1) = "1", OFFSET($A$1, 1267 - 1, 55 - 1) = "0" ), 2, IF( AND( OFFSET($A$1, 1267 - 1, 54 - 1) = "0", OFFSET($A$1, 1267 - 1, 55 - 1) = "1" ), 3, 4 ) ) )</f>
        <v>1</v>
      </c>
    </row>
    <row r="1268" spans="53:56" x14ac:dyDescent="0.35">
      <c r="BA1268" s="3">
        <v>0.58090147464792952</v>
      </c>
      <c r="BB1268" s="3" t="str">
        <f>"0"</f>
        <v>0</v>
      </c>
      <c r="BC1268" t="str">
        <f ca="1">IF((OFFSET($A$1, 1268 - 1, 53 - 1)) &gt;= (OFFSET($A$1, 69 - 1, 7 - 1)), "1","0")</f>
        <v>1</v>
      </c>
      <c r="BD1268">
        <f ca="1" xml:space="preserve"> IF( AND( OFFSET($A$1, 1268 - 1, 54 - 1) = "1", OFFSET($A$1, 1268 - 1, 55 - 1) = "1" ), 1, IF( AND( OFFSET($A$1, 1268 - 1, 54 - 1) = "1", OFFSET($A$1, 1268 - 1, 55 - 1) = "0" ), 2, IF( AND( OFFSET($A$1, 1268 - 1, 54 - 1) = "0", OFFSET($A$1, 1268 - 1, 55 - 1) = "1" ), 3, 4 ) ) )</f>
        <v>3</v>
      </c>
    </row>
    <row r="1269" spans="53:56" x14ac:dyDescent="0.35">
      <c r="BA1269" s="3">
        <v>0.30847091023743384</v>
      </c>
      <c r="BB1269" s="3" t="str">
        <f>"1"</f>
        <v>1</v>
      </c>
      <c r="BC1269" t="str">
        <f ca="1">IF((OFFSET($A$1, 1269 - 1, 53 - 1)) &gt;= (OFFSET($A$1, 69 - 1, 7 - 1)), "1","0")</f>
        <v>0</v>
      </c>
      <c r="BD1269">
        <f ca="1" xml:space="preserve"> IF( AND( OFFSET($A$1, 1269 - 1, 54 - 1) = "1", OFFSET($A$1, 1269 - 1, 55 - 1) = "1" ), 1, IF( AND( OFFSET($A$1, 1269 - 1, 54 - 1) = "1", OFFSET($A$1, 1269 - 1, 55 - 1) = "0" ), 2, IF( AND( OFFSET($A$1, 1269 - 1, 54 - 1) = "0", OFFSET($A$1, 1269 - 1, 55 - 1) = "1" ), 3, 4 ) ) )</f>
        <v>2</v>
      </c>
    </row>
    <row r="1270" spans="53:56" x14ac:dyDescent="0.35">
      <c r="BA1270" s="3">
        <v>0.58311396033806839</v>
      </c>
      <c r="BB1270" s="3" t="str">
        <f>"1"</f>
        <v>1</v>
      </c>
      <c r="BC1270" t="str">
        <f ca="1">IF((OFFSET($A$1, 1270 - 1, 53 - 1)) &gt;= (OFFSET($A$1, 69 - 1, 7 - 1)), "1","0")</f>
        <v>1</v>
      </c>
      <c r="BD1270">
        <f ca="1" xml:space="preserve"> IF( AND( OFFSET($A$1, 1270 - 1, 54 - 1) = "1", OFFSET($A$1, 1270 - 1, 55 - 1) = "1" ), 1, IF( AND( OFFSET($A$1, 1270 - 1, 54 - 1) = "1", OFFSET($A$1, 1270 - 1, 55 - 1) = "0" ), 2, IF( AND( OFFSET($A$1, 1270 - 1, 54 - 1) = "0", OFFSET($A$1, 1270 - 1, 55 - 1) = "1" ), 3, 4 ) ) )</f>
        <v>1</v>
      </c>
    </row>
    <row r="1271" spans="53:56" x14ac:dyDescent="0.35">
      <c r="BA1271" s="3">
        <v>0.58419237760264986</v>
      </c>
      <c r="BB1271" s="3" t="str">
        <f>"1"</f>
        <v>1</v>
      </c>
      <c r="BC1271" t="str">
        <f ca="1">IF((OFFSET($A$1, 1271 - 1, 53 - 1)) &gt;= (OFFSET($A$1, 69 - 1, 7 - 1)), "1","0")</f>
        <v>1</v>
      </c>
      <c r="BD1271">
        <f ca="1" xml:space="preserve"> IF( AND( OFFSET($A$1, 1271 - 1, 54 - 1) = "1", OFFSET($A$1, 1271 - 1, 55 - 1) = "1" ), 1, IF( AND( OFFSET($A$1, 1271 - 1, 54 - 1) = "1", OFFSET($A$1, 1271 - 1, 55 - 1) = "0" ), 2, IF( AND( OFFSET($A$1, 1271 - 1, 54 - 1) = "0", OFFSET($A$1, 1271 - 1, 55 - 1) = "1" ), 3, 4 ) ) )</f>
        <v>1</v>
      </c>
    </row>
    <row r="1272" spans="53:56" x14ac:dyDescent="0.35">
      <c r="BA1272" s="3">
        <v>0.58525185724641149</v>
      </c>
      <c r="BB1272" s="3" t="str">
        <f>"0"</f>
        <v>0</v>
      </c>
      <c r="BC1272" t="str">
        <f ca="1">IF((OFFSET($A$1, 1272 - 1, 53 - 1)) &gt;= (OFFSET($A$1, 69 - 1, 7 - 1)), "1","0")</f>
        <v>1</v>
      </c>
      <c r="BD1272">
        <f ca="1" xml:space="preserve"> IF( AND( OFFSET($A$1, 1272 - 1, 54 - 1) = "1", OFFSET($A$1, 1272 - 1, 55 - 1) = "1" ), 1, IF( AND( OFFSET($A$1, 1272 - 1, 54 - 1) = "1", OFFSET($A$1, 1272 - 1, 55 - 1) = "0" ), 2, IF( AND( OFFSET($A$1, 1272 - 1, 54 - 1) = "0", OFFSET($A$1, 1272 - 1, 55 - 1) = "1" ), 3, 4 ) ) )</f>
        <v>3</v>
      </c>
    </row>
    <row r="1273" spans="53:56" x14ac:dyDescent="0.35">
      <c r="BA1273" s="3">
        <v>0.31223779120654815</v>
      </c>
      <c r="BB1273" s="3" t="str">
        <f>"0"</f>
        <v>0</v>
      </c>
      <c r="BC1273" t="str">
        <f ca="1">IF((OFFSET($A$1, 1273 - 1, 53 - 1)) &gt;= (OFFSET($A$1, 69 - 1, 7 - 1)), "1","0")</f>
        <v>0</v>
      </c>
      <c r="BD1273">
        <f ca="1" xml:space="preserve"> IF( AND( OFFSET($A$1, 1273 - 1, 54 - 1) = "1", OFFSET($A$1, 1273 - 1, 55 - 1) = "1" ), 1, IF( AND( OFFSET($A$1, 1273 - 1, 54 - 1) = "1", OFFSET($A$1, 1273 - 1, 55 - 1) = "0" ), 2, IF( AND( OFFSET($A$1, 1273 - 1, 54 - 1) = "0", OFFSET($A$1, 1273 - 1, 55 - 1) = "1" ), 3, 4 ) ) )</f>
        <v>4</v>
      </c>
    </row>
    <row r="1274" spans="53:56" x14ac:dyDescent="0.35">
      <c r="BA1274" s="3">
        <v>0.31314257055289402</v>
      </c>
      <c r="BB1274" s="3" t="str">
        <f>"0"</f>
        <v>0</v>
      </c>
      <c r="BC1274" t="str">
        <f ca="1">IF((OFFSET($A$1, 1274 - 1, 53 - 1)) &gt;= (OFFSET($A$1, 69 - 1, 7 - 1)), "1","0")</f>
        <v>0</v>
      </c>
      <c r="BD1274">
        <f ca="1" xml:space="preserve"> IF( AND( OFFSET($A$1, 1274 - 1, 54 - 1) = "1", OFFSET($A$1, 1274 - 1, 55 - 1) = "1" ), 1, IF( AND( OFFSET($A$1, 1274 - 1, 54 - 1) = "1", OFFSET($A$1, 1274 - 1, 55 - 1) = "0" ), 2, IF( AND( OFFSET($A$1, 1274 - 1, 54 - 1) = "0", OFFSET($A$1, 1274 - 1, 55 - 1) = "1" ), 3, 4 ) ) )</f>
        <v>4</v>
      </c>
    </row>
    <row r="1275" spans="53:56" x14ac:dyDescent="0.35">
      <c r="BA1275" s="3">
        <v>0.31403186286212359</v>
      </c>
      <c r="BB1275" s="3" t="str">
        <f>"1"</f>
        <v>1</v>
      </c>
      <c r="BC1275" t="str">
        <f ca="1">IF((OFFSET($A$1, 1275 - 1, 53 - 1)) &gt;= (OFFSET($A$1, 69 - 1, 7 - 1)), "1","0")</f>
        <v>0</v>
      </c>
      <c r="BD1275">
        <f ca="1" xml:space="preserve"> IF( AND( OFFSET($A$1, 1275 - 1, 54 - 1) = "1", OFFSET($A$1, 1275 - 1, 55 - 1) = "1" ), 1, IF( AND( OFFSET($A$1, 1275 - 1, 54 - 1) = "1", OFFSET($A$1, 1275 - 1, 55 - 1) = "0" ), 2, IF( AND( OFFSET($A$1, 1275 - 1, 54 - 1) = "0", OFFSET($A$1, 1275 - 1, 55 - 1) = "1" ), 3, 4 ) ) )</f>
        <v>2</v>
      </c>
    </row>
    <row r="1276" spans="53:56" x14ac:dyDescent="0.35">
      <c r="BA1276" s="3">
        <v>0.58929485592021469</v>
      </c>
      <c r="BB1276" s="3" t="str">
        <f>"1"</f>
        <v>1</v>
      </c>
      <c r="BC1276" t="str">
        <f ca="1">IF((OFFSET($A$1, 1276 - 1, 53 - 1)) &gt;= (OFFSET($A$1, 69 - 1, 7 - 1)), "1","0")</f>
        <v>1</v>
      </c>
      <c r="BD1276">
        <f ca="1" xml:space="preserve"> IF( AND( OFFSET($A$1, 1276 - 1, 54 - 1) = "1", OFFSET($A$1, 1276 - 1, 55 - 1) = "1" ), 1, IF( AND( OFFSET($A$1, 1276 - 1, 54 - 1) = "1", OFFSET($A$1, 1276 - 1, 55 - 1) = "0" ), 2, IF( AND( OFFSET($A$1, 1276 - 1, 54 - 1) = "0", OFFSET($A$1, 1276 - 1, 55 - 1) = "1" ), 3, 4 ) ) )</f>
        <v>1</v>
      </c>
    </row>
    <row r="1277" spans="53:56" x14ac:dyDescent="0.35">
      <c r="BA1277" s="3">
        <v>0.59025554778702116</v>
      </c>
      <c r="BB1277" s="3" t="str">
        <f>"1"</f>
        <v>1</v>
      </c>
      <c r="BC1277" t="str">
        <f ca="1">IF((OFFSET($A$1, 1277 - 1, 53 - 1)) &gt;= (OFFSET($A$1, 69 - 1, 7 - 1)), "1","0")</f>
        <v>1</v>
      </c>
      <c r="BD1277">
        <f ca="1" xml:space="preserve"> IF( AND( OFFSET($A$1, 1277 - 1, 54 - 1) = "1", OFFSET($A$1, 1277 - 1, 55 - 1) = "1" ), 1, IF( AND( OFFSET($A$1, 1277 - 1, 54 - 1) = "1", OFFSET($A$1, 1277 - 1, 55 - 1) = "0" ), 2, IF( AND( OFFSET($A$1, 1277 - 1, 54 - 1) = "0", OFFSET($A$1, 1277 - 1, 55 - 1) = "1" ), 3, 4 ) ) )</f>
        <v>1</v>
      </c>
    </row>
    <row r="1278" spans="53:56" x14ac:dyDescent="0.35">
      <c r="BA1278" s="3">
        <v>0.59119570866357085</v>
      </c>
      <c r="BB1278" s="3" t="str">
        <f>"1"</f>
        <v>1</v>
      </c>
      <c r="BC1278" t="str">
        <f ca="1">IF((OFFSET($A$1, 1278 - 1, 53 - 1)) &gt;= (OFFSET($A$1, 69 - 1, 7 - 1)), "1","0")</f>
        <v>1</v>
      </c>
      <c r="BD1278">
        <f ca="1" xml:space="preserve"> IF( AND( OFFSET($A$1, 1278 - 1, 54 - 1) = "1", OFFSET($A$1, 1278 - 1, 55 - 1) = "1" ), 1, IF( AND( OFFSET($A$1, 1278 - 1, 54 - 1) = "1", OFFSET($A$1, 1278 - 1, 55 - 1) = "0" ), 2, IF( AND( OFFSET($A$1, 1278 - 1, 54 - 1) = "0", OFFSET($A$1, 1278 - 1, 55 - 1) = "1" ), 3, 4 ) ) )</f>
        <v>1</v>
      </c>
    </row>
    <row r="1279" spans="53:56" x14ac:dyDescent="0.35">
      <c r="BA1279" s="3">
        <v>0.59211509624079861</v>
      </c>
      <c r="BB1279" s="3" t="str">
        <f>"0"</f>
        <v>0</v>
      </c>
      <c r="BC1279" t="str">
        <f ca="1">IF((OFFSET($A$1, 1279 - 1, 53 - 1)) &gt;= (OFFSET($A$1, 69 - 1, 7 - 1)), "1","0")</f>
        <v>1</v>
      </c>
      <c r="BD1279">
        <f ca="1" xml:space="preserve"> IF( AND( OFFSET($A$1, 1279 - 1, 54 - 1) = "1", OFFSET($A$1, 1279 - 1, 55 - 1) = "1" ), 1, IF( AND( OFFSET($A$1, 1279 - 1, 54 - 1) = "1", OFFSET($A$1, 1279 - 1, 55 - 1) = "0" ), 2, IF( AND( OFFSET($A$1, 1279 - 1, 54 - 1) = "0", OFFSET($A$1, 1279 - 1, 55 - 1) = "1" ), 3, 4 ) ) )</f>
        <v>3</v>
      </c>
    </row>
    <row r="1280" spans="53:56" x14ac:dyDescent="0.35">
      <c r="BA1280" s="3">
        <v>0.31823409557489835</v>
      </c>
      <c r="BB1280" s="3" t="str">
        <f>"0"</f>
        <v>0</v>
      </c>
      <c r="BC1280" t="str">
        <f ca="1">IF((OFFSET($A$1, 1280 - 1, 53 - 1)) &gt;= (OFFSET($A$1, 69 - 1, 7 - 1)), "1","0")</f>
        <v>0</v>
      </c>
      <c r="BD1280">
        <f ca="1" xml:space="preserve"> IF( AND( OFFSET($A$1, 1280 - 1, 54 - 1) = "1", OFFSET($A$1, 1280 - 1, 55 - 1) = "1" ), 1, IF( AND( OFFSET($A$1, 1280 - 1, 54 - 1) = "1", OFFSET($A$1, 1280 - 1, 55 - 1) = "0" ), 2, IF( AND( OFFSET($A$1, 1280 - 1, 54 - 1) = "0", OFFSET($A$1, 1280 - 1, 55 - 1) = "1" ), 3, 4 ) ) )</f>
        <v>4</v>
      </c>
    </row>
    <row r="1281" spans="53:56" x14ac:dyDescent="0.35">
      <c r="BA1281" s="3">
        <v>0.31902339268393859</v>
      </c>
      <c r="BB1281" s="3" t="str">
        <f>"0"</f>
        <v>0</v>
      </c>
      <c r="BC1281" t="str">
        <f ca="1">IF((OFFSET($A$1, 1281 - 1, 53 - 1)) &gt;= (OFFSET($A$1, 69 - 1, 7 - 1)), "1","0")</f>
        <v>0</v>
      </c>
      <c r="BD1281">
        <f ca="1" xml:space="preserve"> IF( AND( OFFSET($A$1, 1281 - 1, 54 - 1) = "1", OFFSET($A$1, 1281 - 1, 55 - 1) = "1" ), 1, IF( AND( OFFSET($A$1, 1281 - 1, 54 - 1) = "1", OFFSET($A$1, 1281 - 1, 55 - 1) = "0" ), 2, IF( AND( OFFSET($A$1, 1281 - 1, 54 - 1) = "0", OFFSET($A$1, 1281 - 1, 55 - 1) = "1" ), 3, 4 ) ) )</f>
        <v>4</v>
      </c>
    </row>
    <row r="1282" spans="53:56" x14ac:dyDescent="0.35">
      <c r="BA1282" s="3">
        <v>0.31979490059026683</v>
      </c>
      <c r="BB1282" s="3" t="str">
        <f>"0"</f>
        <v>0</v>
      </c>
      <c r="BC1282" t="str">
        <f ca="1">IF((OFFSET($A$1, 1282 - 1, 53 - 1)) &gt;= (OFFSET($A$1, 69 - 1, 7 - 1)), "1","0")</f>
        <v>0</v>
      </c>
      <c r="BD1282">
        <f ca="1" xml:space="preserve"> IF( AND( OFFSET($A$1, 1282 - 1, 54 - 1) = "1", OFFSET($A$1, 1282 - 1, 55 - 1) = "1" ), 1, IF( AND( OFFSET($A$1, 1282 - 1, 54 - 1) = "1", OFFSET($A$1, 1282 - 1, 55 - 1) = "0" ), 2, IF( AND( OFFSET($A$1, 1282 - 1, 54 - 1) = "0", OFFSET($A$1, 1282 - 1, 55 - 1) = "1" ), 3, 4 ) ) )</f>
        <v>4</v>
      </c>
    </row>
    <row r="1283" spans="53:56" x14ac:dyDescent="0.35">
      <c r="BA1283" s="3">
        <v>0.32054831524419874</v>
      </c>
      <c r="BB1283" s="3" t="str">
        <f>"0"</f>
        <v>0</v>
      </c>
      <c r="BC1283" t="str">
        <f ca="1">IF((OFFSET($A$1, 1283 - 1, 53 - 1)) &gt;= (OFFSET($A$1, 69 - 1, 7 - 1)), "1","0")</f>
        <v>0</v>
      </c>
      <c r="BD1283">
        <f ca="1" xml:space="preserve"> IF( AND( OFFSET($A$1, 1283 - 1, 54 - 1) = "1", OFFSET($A$1, 1283 - 1, 55 - 1) = "1" ), 1, IF( AND( OFFSET($A$1, 1283 - 1, 54 - 1) = "1", OFFSET($A$1, 1283 - 1, 55 - 1) = "0" ), 2, IF( AND( OFFSET($A$1, 1283 - 1, 54 - 1) = "0", OFFSET($A$1, 1283 - 1, 55 - 1) = "1" ), 3, 4 ) ) )</f>
        <v>4</v>
      </c>
    </row>
    <row r="1284" spans="53:56" x14ac:dyDescent="0.35">
      <c r="BA1284" s="3">
        <v>0.32128333930936398</v>
      </c>
      <c r="BB1284" s="3" t="str">
        <f>"0"</f>
        <v>0</v>
      </c>
      <c r="BC1284" t="str">
        <f ca="1">IF((OFFSET($A$1, 1284 - 1, 53 - 1)) &gt;= (OFFSET($A$1, 69 - 1, 7 - 1)), "1","0")</f>
        <v>0</v>
      </c>
      <c r="BD1284">
        <f ca="1" xml:space="preserve"> IF( AND( OFFSET($A$1, 1284 - 1, 54 - 1) = "1", OFFSET($A$1, 1284 - 1, 55 - 1) = "1" ), 1, IF( AND( OFFSET($A$1, 1284 - 1, 54 - 1) = "1", OFFSET($A$1, 1284 - 1, 55 - 1) = "0" ), 2, IF( AND( OFFSET($A$1, 1284 - 1, 54 - 1) = "0", OFFSET($A$1, 1284 - 1, 55 - 1) = "1" ), 3, 4 ) ) )</f>
        <v>4</v>
      </c>
    </row>
    <row r="1285" spans="53:56" x14ac:dyDescent="0.35">
      <c r="BA1285" s="3">
        <v>0.32199968232061404</v>
      </c>
      <c r="BB1285" s="3" t="str">
        <f>"1"</f>
        <v>1</v>
      </c>
      <c r="BC1285" t="str">
        <f ca="1">IF((OFFSET($A$1, 1285 - 1, 53 - 1)) &gt;= (OFFSET($A$1, 69 - 1, 7 - 1)), "1","0")</f>
        <v>0</v>
      </c>
      <c r="BD1285">
        <f ca="1" xml:space="preserve"> IF( AND( OFFSET($A$1, 1285 - 1, 54 - 1) = "1", OFFSET($A$1, 1285 - 1, 55 - 1) = "1" ), 1, IF( AND( OFFSET($A$1, 1285 - 1, 54 - 1) = "1", OFFSET($A$1, 1285 - 1, 55 - 1) = "0" ), 2, IF( AND( OFFSET($A$1, 1285 - 1, 54 - 1) = "0", OFFSET($A$1, 1285 - 1, 55 - 1) = "1" ), 3, 4 ) ) )</f>
        <v>2</v>
      </c>
    </row>
    <row r="1286" spans="53:56" x14ac:dyDescent="0.35">
      <c r="BA1286" s="3">
        <v>0.59795019215043621</v>
      </c>
      <c r="BB1286" s="3" t="str">
        <f>"0"</f>
        <v>0</v>
      </c>
      <c r="BC1286" t="str">
        <f ca="1">IF((OFFSET($A$1, 1286 - 1, 53 - 1)) &gt;= (OFFSET($A$1, 69 - 1, 7 - 1)), "1","0")</f>
        <v>1</v>
      </c>
      <c r="BD1286">
        <f ca="1" xml:space="preserve"> IF( AND( OFFSET($A$1, 1286 - 1, 54 - 1) = "1", OFFSET($A$1, 1286 - 1, 55 - 1) = "1" ), 1, IF( AND( OFFSET($A$1, 1286 - 1, 54 - 1) = "1", OFFSET($A$1, 1286 - 1, 55 - 1) = "0" ), 2, IF( AND( OFFSET($A$1, 1286 - 1, 54 - 1) = "0", OFFSET($A$1, 1286 - 1, 55 - 1) = "1" ), 3, 4 ) ) )</f>
        <v>3</v>
      </c>
    </row>
    <row r="1287" spans="53:56" x14ac:dyDescent="0.35">
      <c r="BA1287" s="3">
        <v>0.32337519859350944</v>
      </c>
      <c r="BB1287" s="3" t="str">
        <f>"0"</f>
        <v>0</v>
      </c>
      <c r="BC1287" t="str">
        <f ca="1">IF((OFFSET($A$1, 1287 - 1, 53 - 1)) &gt;= (OFFSET($A$1, 69 - 1, 7 - 1)), "1","0")</f>
        <v>0</v>
      </c>
      <c r="BD1287">
        <f ca="1" xml:space="preserve"> IF( AND( OFFSET($A$1, 1287 - 1, 54 - 1) = "1", OFFSET($A$1, 1287 - 1, 55 - 1) = "1" ), 1, IF( AND( OFFSET($A$1, 1287 - 1, 54 - 1) = "1", OFFSET($A$1, 1287 - 1, 55 - 1) = "0" ), 2, IF( AND( OFFSET($A$1, 1287 - 1, 54 - 1) = "0", OFFSET($A$1, 1287 - 1, 55 - 1) = "1" ), 3, 4 ) ) )</f>
        <v>4</v>
      </c>
    </row>
    <row r="1288" spans="53:56" x14ac:dyDescent="0.35">
      <c r="BA1288" s="3">
        <v>0.32403382664026414</v>
      </c>
      <c r="BB1288" s="3" t="str">
        <f>"0"</f>
        <v>0</v>
      </c>
      <c r="BC1288" t="str">
        <f ca="1">IF((OFFSET($A$1, 1288 - 1, 53 - 1)) &gt;= (OFFSET($A$1, 69 - 1, 7 - 1)), "1","0")</f>
        <v>0</v>
      </c>
      <c r="BD1288">
        <f ca="1" xml:space="preserve"> IF( AND( OFFSET($A$1, 1288 - 1, 54 - 1) = "1", OFFSET($A$1, 1288 - 1, 55 - 1) = "1" ), 1, IF( AND( OFFSET($A$1, 1288 - 1, 54 - 1) = "1", OFFSET($A$1, 1288 - 1, 55 - 1) = "0" ), 2, IF( AND( OFFSET($A$1, 1288 - 1, 54 - 1) = "0", OFFSET($A$1, 1288 - 1, 55 - 1) = "1" ), 3, 4 ) ) )</f>
        <v>4</v>
      </c>
    </row>
    <row r="1289" spans="53:56" x14ac:dyDescent="0.35">
      <c r="BA1289" s="3">
        <v>0.32467268348788847</v>
      </c>
      <c r="BB1289" s="3" t="str">
        <f>"0"</f>
        <v>0</v>
      </c>
      <c r="BC1289" t="str">
        <f ca="1">IF((OFFSET($A$1, 1289 - 1, 53 - 1)) &gt;= (OFFSET($A$1, 69 - 1, 7 - 1)), "1","0")</f>
        <v>0</v>
      </c>
      <c r="BD1289">
        <f ca="1" xml:space="preserve"> IF( AND( OFFSET($A$1, 1289 - 1, 54 - 1) = "1", OFFSET($A$1, 1289 - 1, 55 - 1) = "1" ), 1, IF( AND( OFFSET($A$1, 1289 - 1, 54 - 1) = "1", OFFSET($A$1, 1289 - 1, 55 - 1) = "0" ), 2, IF( AND( OFFSET($A$1, 1289 - 1, 54 - 1) = "0", OFFSET($A$1, 1289 - 1, 55 - 1) = "1" ), 3, 4 ) ) )</f>
        <v>4</v>
      </c>
    </row>
    <row r="1290" spans="53:56" x14ac:dyDescent="0.35">
      <c r="BA1290" s="3">
        <v>0.32529151524025601</v>
      </c>
      <c r="BB1290" s="3" t="str">
        <f>"0"</f>
        <v>0</v>
      </c>
      <c r="BC1290" t="str">
        <f ca="1">IF((OFFSET($A$1, 1290 - 1, 53 - 1)) &gt;= (OFFSET($A$1, 69 - 1, 7 - 1)), "1","0")</f>
        <v>0</v>
      </c>
      <c r="BD1290">
        <f ca="1" xml:space="preserve"> IF( AND( OFFSET($A$1, 1290 - 1, 54 - 1) = "1", OFFSET($A$1, 1290 - 1, 55 - 1) = "1" ), 1, IF( AND( OFFSET($A$1, 1290 - 1, 54 - 1) = "1", OFFSET($A$1, 1290 - 1, 55 - 1) = "0" ), 2, IF( AND( OFFSET($A$1, 1290 - 1, 54 - 1) = "0", OFFSET($A$1, 1290 - 1, 55 - 1) = "1" ), 3, 4 ) ) )</f>
        <v>4</v>
      </c>
    </row>
    <row r="1291" spans="53:56" x14ac:dyDescent="0.35">
      <c r="BA1291" s="3">
        <v>0.32589007572583834</v>
      </c>
      <c r="BB1291" s="3" t="str">
        <f>"1"</f>
        <v>1</v>
      </c>
      <c r="BC1291" t="str">
        <f ca="1">IF((OFFSET($A$1, 1291 - 1, 53 - 1)) &gt;= (OFFSET($A$1, 69 - 1, 7 - 1)), "1","0")</f>
        <v>0</v>
      </c>
      <c r="BD1291">
        <f ca="1" xml:space="preserve"> IF( AND( OFFSET($A$1, 1291 - 1, 54 - 1) = "1", OFFSET($A$1, 1291 - 1, 55 - 1) = "1" ), 1, IF( AND( OFFSET($A$1, 1291 - 1, 54 - 1) = "1", OFFSET($A$1, 1291 - 1, 55 - 1) = "0" ), 2, IF( AND( OFFSET($A$1, 1291 - 1, 54 - 1) = "0", OFFSET($A$1, 1291 - 1, 55 - 1) = "1" ), 3, 4 ) ) )</f>
        <v>2</v>
      </c>
    </row>
    <row r="1292" spans="53:56" x14ac:dyDescent="0.35">
      <c r="BA1292" s="3">
        <v>0.60207851209765639</v>
      </c>
      <c r="BB1292" s="3" t="str">
        <f>"0"</f>
        <v>0</v>
      </c>
      <c r="BC1292" t="str">
        <f ca="1">IF((OFFSET($A$1, 1292 - 1, 53 - 1)) &gt;= (OFFSET($A$1, 69 - 1, 7 - 1)), "1","0")</f>
        <v>1</v>
      </c>
      <c r="BD1292">
        <f ca="1" xml:space="preserve"> IF( AND( OFFSET($A$1, 1292 - 1, 54 - 1) = "1", OFFSET($A$1, 1292 - 1, 55 - 1) = "1" ), 1, IF( AND( OFFSET($A$1, 1292 - 1, 54 - 1) = "1", OFFSET($A$1, 1292 - 1, 55 - 1) = "0" ), 2, IF( AND( OFFSET($A$1, 1292 - 1, 54 - 1) = "0", OFFSET($A$1, 1292 - 1, 55 - 1) = "1" ), 3, 4 ) ) )</f>
        <v>3</v>
      </c>
    </row>
    <row r="1293" spans="53:56" x14ac:dyDescent="0.35">
      <c r="BA1293" s="3">
        <v>0.3270254375859098</v>
      </c>
      <c r="BB1293" s="3" t="str">
        <f>"1"</f>
        <v>1</v>
      </c>
      <c r="BC1293" t="str">
        <f ca="1">IF((OFFSET($A$1, 1293 - 1, 53 - 1)) &gt;= (OFFSET($A$1, 69 - 1, 7 - 1)), "1","0")</f>
        <v>0</v>
      </c>
      <c r="BD1293">
        <f ca="1" xml:space="preserve"> IF( AND( OFFSET($A$1, 1293 - 1, 54 - 1) = "1", OFFSET($A$1, 1293 - 1, 55 - 1) = "1" ), 1, IF( AND( OFFSET($A$1, 1293 - 1, 54 - 1) = "1", OFFSET($A$1, 1293 - 1, 55 - 1) = "0" ), 2, IF( AND( OFFSET($A$1, 1293 - 1, 54 - 1) = "0", OFFSET($A$1, 1293 - 1, 55 - 1) = "1" ), 3, 4 ) ) )</f>
        <v>2</v>
      </c>
    </row>
    <row r="1294" spans="53:56" x14ac:dyDescent="0.35">
      <c r="BA1294" s="3">
        <v>0.60326848992888049</v>
      </c>
      <c r="BB1294" s="3" t="str">
        <f>"0"</f>
        <v>0</v>
      </c>
      <c r="BC1294" t="str">
        <f ca="1">IF((OFFSET($A$1, 1294 - 1, 53 - 1)) &gt;= (OFFSET($A$1, 69 - 1, 7 - 1)), "1","0")</f>
        <v>1</v>
      </c>
      <c r="BD1294">
        <f ca="1" xml:space="preserve"> IF( AND( OFFSET($A$1, 1294 - 1, 54 - 1) = "1", OFFSET($A$1, 1294 - 1, 55 - 1) = "1" ), 1, IF( AND( OFFSET($A$1, 1294 - 1, 54 - 1) = "1", OFFSET($A$1, 1294 - 1, 55 - 1) = "0" ), 2, IF( AND( OFFSET($A$1, 1294 - 1, 54 - 1) = "0", OFFSET($A$1, 1294 - 1, 55 - 1) = "1" ), 3, 4 ) ) )</f>
        <v>3</v>
      </c>
    </row>
    <row r="1295" spans="53:56" x14ac:dyDescent="0.35">
      <c r="BA1295" s="3">
        <v>0.32807695886586064</v>
      </c>
      <c r="BB1295" s="3" t="str">
        <f>"0"</f>
        <v>0</v>
      </c>
      <c r="BC1295" t="str">
        <f ca="1">IF((OFFSET($A$1, 1295 - 1, 53 - 1)) &gt;= (OFFSET($A$1, 69 - 1, 7 - 1)), "1","0")</f>
        <v>0</v>
      </c>
      <c r="BD1295">
        <f ca="1" xml:space="preserve"> IF( AND( OFFSET($A$1, 1295 - 1, 54 - 1) = "1", OFFSET($A$1, 1295 - 1, 55 - 1) = "1" ), 1, IF( AND( OFFSET($A$1, 1295 - 1, 54 - 1) = "1", OFFSET($A$1, 1295 - 1, 55 - 1) = "0" ), 2, IF( AND( OFFSET($A$1, 1295 - 1, 54 - 1) = "0", OFFSET($A$1, 1295 - 1, 55 - 1) = "1" ), 3, 4 ) ) )</f>
        <v>4</v>
      </c>
    </row>
    <row r="1296" spans="53:56" x14ac:dyDescent="0.35">
      <c r="BA1296" s="3">
        <v>0.32857074937642239</v>
      </c>
      <c r="BB1296" s="3" t="str">
        <f>"0"</f>
        <v>0</v>
      </c>
      <c r="BC1296" t="str">
        <f ca="1">IF((OFFSET($A$1, 1296 - 1, 53 - 1)) &gt;= (OFFSET($A$1, 69 - 1, 7 - 1)), "1","0")</f>
        <v>0</v>
      </c>
      <c r="BD1296">
        <f ca="1" xml:space="preserve"> IF( AND( OFFSET($A$1, 1296 - 1, 54 - 1) = "1", OFFSET($A$1, 1296 - 1, 55 - 1) = "1" ), 1, IF( AND( OFFSET($A$1, 1296 - 1, 54 - 1) = "1", OFFSET($A$1, 1296 - 1, 55 - 1) = "0" ), 2, IF( AND( OFFSET($A$1, 1296 - 1, 54 - 1) = "0", OFFSET($A$1, 1296 - 1, 55 - 1) = "1" ), 3, 4 ) ) )</f>
        <v>4</v>
      </c>
    </row>
    <row r="1297" spans="53:56" x14ac:dyDescent="0.35">
      <c r="BA1297" s="3">
        <v>0.32904296054649756</v>
      </c>
      <c r="BB1297" s="3" t="str">
        <f>"0"</f>
        <v>0</v>
      </c>
      <c r="BC1297" t="str">
        <f ca="1">IF((OFFSET($A$1, 1297 - 1, 53 - 1)) &gt;= (OFFSET($A$1, 69 - 1, 7 - 1)), "1","0")</f>
        <v>0</v>
      </c>
      <c r="BD1297">
        <f ca="1" xml:space="preserve"> IF( AND( OFFSET($A$1, 1297 - 1, 54 - 1) = "1", OFFSET($A$1, 1297 - 1, 55 - 1) = "1" ), 1, IF( AND( OFFSET($A$1, 1297 - 1, 54 - 1) = "1", OFFSET($A$1, 1297 - 1, 55 - 1) = "0" ), 2, IF( AND( OFFSET($A$1, 1297 - 1, 54 - 1) = "0", OFFSET($A$1, 1297 - 1, 55 - 1) = "1" ), 3, 4 ) ) )</f>
        <v>4</v>
      </c>
    </row>
    <row r="1298" spans="53:56" x14ac:dyDescent="0.35">
      <c r="BA1298" s="3">
        <v>0.32949340354792017</v>
      </c>
      <c r="BB1298" s="3" t="str">
        <f>"0"</f>
        <v>0</v>
      </c>
      <c r="BC1298" t="str">
        <f ca="1">IF((OFFSET($A$1, 1298 - 1, 53 - 1)) &gt;= (OFFSET($A$1, 69 - 1, 7 - 1)), "1","0")</f>
        <v>0</v>
      </c>
      <c r="BD1298">
        <f ca="1" xml:space="preserve"> IF( AND( OFFSET($A$1, 1298 - 1, 54 - 1) = "1", OFFSET($A$1, 1298 - 1, 55 - 1) = "1" ), 1, IF( AND( OFFSET($A$1, 1298 - 1, 54 - 1) = "1", OFFSET($A$1, 1298 - 1, 55 - 1) = "0" ), 2, IF( AND( OFFSET($A$1, 1298 - 1, 54 - 1) = "0", OFFSET($A$1, 1298 - 1, 55 - 1) = "1" ), 3, 4 ) ) )</f>
        <v>4</v>
      </c>
    </row>
    <row r="1299" spans="53:56" x14ac:dyDescent="0.35">
      <c r="BA1299" s="3">
        <v>0.3299218981555318</v>
      </c>
      <c r="BB1299" s="3" t="str">
        <f>"1"</f>
        <v>1</v>
      </c>
      <c r="BC1299" t="str">
        <f ca="1">IF((OFFSET($A$1, 1299 - 1, 53 - 1)) &gt;= (OFFSET($A$1, 69 - 1, 7 - 1)), "1","0")</f>
        <v>0</v>
      </c>
      <c r="BD1299">
        <f ca="1" xml:space="preserve"> IF( AND( OFFSET($A$1, 1299 - 1, 54 - 1) = "1", OFFSET($A$1, 1299 - 1, 55 - 1) = "1" ), 1, IF( AND( OFFSET($A$1, 1299 - 1, 54 - 1) = "1", OFFSET($A$1, 1299 - 1, 55 - 1) = "0" ), 2, IF( AND( OFFSET($A$1, 1299 - 1, 54 - 1) = "0", OFFSET($A$1, 1299 - 1, 55 - 1) = "1" ), 3, 4 ) ) )</f>
        <v>2</v>
      </c>
    </row>
    <row r="1300" spans="53:56" x14ac:dyDescent="0.35">
      <c r="BA1300" s="3">
        <v>0.60626412554974574</v>
      </c>
      <c r="BB1300" s="3" t="str">
        <f>"1"</f>
        <v>1</v>
      </c>
      <c r="BC1300" t="str">
        <f ca="1">IF((OFFSET($A$1, 1300 - 1, 53 - 1)) &gt;= (OFFSET($A$1, 69 - 1, 7 - 1)), "1","0")</f>
        <v>1</v>
      </c>
      <c r="BD1300">
        <f ca="1" xml:space="preserve"> IF( AND( OFFSET($A$1, 1300 - 1, 54 - 1) = "1", OFFSET($A$1, 1300 - 1, 55 - 1) = "1" ), 1, IF( AND( OFFSET($A$1, 1300 - 1, 54 - 1) = "1", OFFSET($A$1, 1300 - 1, 55 - 1) = "0" ), 2, IF( AND( OFFSET($A$1, 1300 - 1, 54 - 1) = "0", OFFSET($A$1, 1300 - 1, 55 - 1) = "1" ), 3, 4 ) ) )</f>
        <v>1</v>
      </c>
    </row>
    <row r="1301" spans="53:56" x14ac:dyDescent="0.35">
      <c r="BA1301" s="3">
        <v>0.60667839830978387</v>
      </c>
      <c r="BB1301" s="3" t="str">
        <f>"1"</f>
        <v>1</v>
      </c>
      <c r="BC1301" t="str">
        <f ca="1">IF((OFFSET($A$1, 1301 - 1, 53 - 1)) &gt;= (OFFSET($A$1, 69 - 1, 7 - 1)), "1","0")</f>
        <v>1</v>
      </c>
      <c r="BD1301">
        <f ca="1" xml:space="preserve"> IF( AND( OFFSET($A$1, 1301 - 1, 54 - 1) = "1", OFFSET($A$1, 1301 - 1, 55 - 1) = "1" ), 1, IF( AND( OFFSET($A$1, 1301 - 1, 54 - 1) = "1", OFFSET($A$1, 1301 - 1, 55 - 1) = "0" ), 2, IF( AND( OFFSET($A$1, 1301 - 1, 54 - 1) = "0", OFFSET($A$1, 1301 - 1, 55 - 1) = "1" ), 3, 4 ) ) )</f>
        <v>1</v>
      </c>
    </row>
    <row r="1302" spans="53:56" x14ac:dyDescent="0.35">
      <c r="BA1302" s="3">
        <v>0.60706810896249563</v>
      </c>
      <c r="BB1302" s="3" t="str">
        <f>"1"</f>
        <v>1</v>
      </c>
      <c r="BC1302" t="str">
        <f ca="1">IF((OFFSET($A$1, 1302 - 1, 53 - 1)) &gt;= (OFFSET($A$1, 69 - 1, 7 - 1)), "1","0")</f>
        <v>1</v>
      </c>
      <c r="BD1302">
        <f ca="1" xml:space="preserve"> IF( AND( OFFSET($A$1, 1302 - 1, 54 - 1) = "1", OFFSET($A$1, 1302 - 1, 55 - 1) = "1" ), 1, IF( AND( OFFSET($A$1, 1302 - 1, 54 - 1) = "1", OFFSET($A$1, 1302 - 1, 55 - 1) = "0" ), 2, IF( AND( OFFSET($A$1, 1302 - 1, 54 - 1) = "0", OFFSET($A$1, 1302 - 1, 55 - 1) = "1" ), 3, 4 ) ) )</f>
        <v>1</v>
      </c>
    </row>
    <row r="1303" spans="53:56" x14ac:dyDescent="0.35">
      <c r="BA1303" s="3">
        <v>0.60743316736446384</v>
      </c>
      <c r="BB1303" s="3" t="str">
        <f>"1"</f>
        <v>1</v>
      </c>
      <c r="BC1303" t="str">
        <f ca="1">IF((OFFSET($A$1, 1303 - 1, 53 - 1)) &gt;= (OFFSET($A$1, 69 - 1, 7 - 1)), "1","0")</f>
        <v>1</v>
      </c>
      <c r="BD1303">
        <f ca="1" xml:space="preserve"> IF( AND( OFFSET($A$1, 1303 - 1, 54 - 1) = "1", OFFSET($A$1, 1303 - 1, 55 - 1) = "1" ), 1, IF( AND( OFFSET($A$1, 1303 - 1, 54 - 1) = "1", OFFSET($A$1, 1303 - 1, 55 - 1) = "0" ), 2, IF( AND( OFFSET($A$1, 1303 - 1, 54 - 1) = "0", OFFSET($A$1, 1303 - 1, 55 - 1) = "1" ), 3, 4 ) ) )</f>
        <v>1</v>
      </c>
    </row>
    <row r="1304" spans="53:56" x14ac:dyDescent="0.35">
      <c r="BA1304" s="3">
        <v>0.60777348932091446</v>
      </c>
      <c r="BB1304" s="3" t="str">
        <f>"1"</f>
        <v>1</v>
      </c>
      <c r="BC1304" t="str">
        <f ca="1">IF((OFFSET($A$1, 1304 - 1, 53 - 1)) &gt;= (OFFSET($A$1, 69 - 1, 7 - 1)), "1","0")</f>
        <v>1</v>
      </c>
      <c r="BD1304">
        <f ca="1" xml:space="preserve"> IF( AND( OFFSET($A$1, 1304 - 1, 54 - 1) = "1", OFFSET($A$1, 1304 - 1, 55 - 1) = "1" ), 1, IF( AND( OFFSET($A$1, 1304 - 1, 54 - 1) = "1", OFFSET($A$1, 1304 - 1, 55 - 1) = "0" ), 2, IF( AND( OFFSET($A$1, 1304 - 1, 54 - 1) = "0", OFFSET($A$1, 1304 - 1, 55 - 1) = "1" ), 3, 4 ) ) )</f>
        <v>1</v>
      </c>
    </row>
    <row r="1305" spans="53:56" x14ac:dyDescent="0.35">
      <c r="BA1305" s="3">
        <v>0.60808899655757354</v>
      </c>
      <c r="BB1305" s="3" t="str">
        <f>"0"</f>
        <v>0</v>
      </c>
      <c r="BC1305" t="str">
        <f ca="1">IF((OFFSET($A$1, 1305 - 1, 53 - 1)) &gt;= (OFFSET($A$1, 69 - 1, 7 - 1)), "1","0")</f>
        <v>1</v>
      </c>
      <c r="BD1305">
        <f ca="1" xml:space="preserve"> IF( AND( OFFSET($A$1, 1305 - 1, 54 - 1) = "1", OFFSET($A$1, 1305 - 1, 55 - 1) = "1" ), 1, IF( AND( OFFSET($A$1, 1305 - 1, 54 - 1) = "1", OFFSET($A$1, 1305 - 1, 55 - 1) = "0" ), 2, IF( AND( OFFSET($A$1, 1305 - 1, 54 - 1) = "0", OFFSET($A$1, 1305 - 1, 55 - 1) = "1" ), 3, 4 ) ) )</f>
        <v>3</v>
      </c>
    </row>
    <row r="1306" spans="53:56" x14ac:dyDescent="0.35">
      <c r="BA1306" s="3">
        <v>0.33229351193437778</v>
      </c>
      <c r="BB1306" s="3" t="str">
        <f>"1"</f>
        <v>1</v>
      </c>
      <c r="BC1306" t="str">
        <f ca="1">IF((OFFSET($A$1, 1306 - 1, 53 - 1)) &gt;= (OFFSET($A$1, 69 - 1, 7 - 1)), "1","0")</f>
        <v>0</v>
      </c>
      <c r="BD1306">
        <f ca="1" xml:space="preserve"> IF( AND( OFFSET($A$1, 1306 - 1, 54 - 1) = "1", OFFSET($A$1, 1306 - 1, 55 - 1) = "1" ), 1, IF( AND( OFFSET($A$1, 1306 - 1, 54 - 1) = "1", OFFSET($A$1, 1306 - 1, 55 - 1) = "0" ), 2, IF( AND( OFFSET($A$1, 1306 - 1, 54 - 1) = "0", OFFSET($A$1, 1306 - 1, 55 - 1) = "1" ), 3, 4 ) ) )</f>
        <v>2</v>
      </c>
    </row>
    <row r="1307" spans="53:56" x14ac:dyDescent="0.35">
      <c r="BA1307" s="3">
        <v>0.60864528321790068</v>
      </c>
      <c r="BB1307" s="3" t="str">
        <f>"1"</f>
        <v>1</v>
      </c>
      <c r="BC1307" t="str">
        <f ca="1">IF((OFFSET($A$1, 1307 - 1, 53 - 1)) &gt;= (OFFSET($A$1, 69 - 1, 7 - 1)), "1","0")</f>
        <v>1</v>
      </c>
      <c r="BD1307">
        <f ca="1" xml:space="preserve"> IF( AND( OFFSET($A$1, 1307 - 1, 54 - 1) = "1", OFFSET($A$1, 1307 - 1, 55 - 1) = "1" ), 1, IF( AND( OFFSET($A$1, 1307 - 1, 54 - 1) = "1", OFFSET($A$1, 1307 - 1, 55 - 1) = "0" ), 2, IF( AND( OFFSET($A$1, 1307 - 1, 54 - 1) = "0", OFFSET($A$1, 1307 - 1, 55 - 1) = "1" ), 3, 4 ) ) )</f>
        <v>1</v>
      </c>
    </row>
    <row r="1308" spans="53:56" x14ac:dyDescent="0.35">
      <c r="BA1308" s="3">
        <v>0.60888593546235248</v>
      </c>
      <c r="BB1308" s="3" t="str">
        <f>"1"</f>
        <v>1</v>
      </c>
      <c r="BC1308" t="str">
        <f ca="1">IF((OFFSET($A$1, 1308 - 1, 53 - 1)) &gt;= (OFFSET($A$1, 69 - 1, 7 - 1)), "1","0")</f>
        <v>1</v>
      </c>
      <c r="BD1308">
        <f ca="1" xml:space="preserve"> IF( AND( OFFSET($A$1, 1308 - 1, 54 - 1) = "1", OFFSET($A$1, 1308 - 1, 55 - 1) = "1" ), 1, IF( AND( OFFSET($A$1, 1308 - 1, 54 - 1) = "1", OFFSET($A$1, 1308 - 1, 55 - 1) = "0" ), 2, IF( AND( OFFSET($A$1, 1308 - 1, 54 - 1) = "0", OFFSET($A$1, 1308 - 1, 55 - 1) = "1" ), 3, 4 ) ) )</f>
        <v>1</v>
      </c>
    </row>
    <row r="1309" spans="53:56" x14ac:dyDescent="0.35">
      <c r="BA1309" s="3">
        <v>0.60910151858300488</v>
      </c>
      <c r="BB1309" s="3" t="str">
        <f>"0"</f>
        <v>0</v>
      </c>
      <c r="BC1309" t="str">
        <f ca="1">IF((OFFSET($A$1, 1309 - 1, 53 - 1)) &gt;= (OFFSET($A$1, 69 - 1, 7 - 1)), "1","0")</f>
        <v>1</v>
      </c>
      <c r="BD1309">
        <f ca="1" xml:space="preserve"> IF( AND( OFFSET($A$1, 1309 - 1, 54 - 1) = "1", OFFSET($A$1, 1309 - 1, 55 - 1) = "1" ), 1, IF( AND( OFFSET($A$1, 1309 - 1, 54 - 1) = "1", OFFSET($A$1, 1309 - 1, 55 - 1) = "0" ), 2, IF( AND( OFFSET($A$1, 1309 - 1, 54 - 1) = "0", OFFSET($A$1, 1309 - 1, 55 - 1) = "1" ), 3, 4 ) ) )</f>
        <v>3</v>
      </c>
    </row>
    <row r="1310" spans="53:56" x14ac:dyDescent="0.35">
      <c r="BA1310" s="3">
        <v>0.33314405519241058</v>
      </c>
      <c r="BB1310" s="3" t="str">
        <f>"0"</f>
        <v>0</v>
      </c>
      <c r="BC1310" t="str">
        <f ca="1">IF((OFFSET($A$1, 1310 - 1, 53 - 1)) &gt;= (OFFSET($A$1, 69 - 1, 7 - 1)), "1","0")</f>
        <v>0</v>
      </c>
      <c r="BD1310">
        <f ca="1" xml:space="preserve"> IF( AND( OFFSET($A$1, 1310 - 1, 54 - 1) = "1", OFFSET($A$1, 1310 - 1, 55 - 1) = "1" ), 1, IF( AND( OFFSET($A$1, 1310 - 1, 54 - 1) = "1", OFFSET($A$1, 1310 - 1, 55 - 1) = "0" ), 2, IF( AND( OFFSET($A$1, 1310 - 1, 54 - 1) = "0", OFFSET($A$1, 1310 - 1, 55 - 1) = "1" ), 3, 4 ) ) )</f>
        <v>4</v>
      </c>
    </row>
    <row r="1311" spans="53:56" x14ac:dyDescent="0.35">
      <c r="BA1311" s="3">
        <v>0.33329835014913306</v>
      </c>
      <c r="BB1311" s="3" t="str">
        <f>"0"</f>
        <v>0</v>
      </c>
      <c r="BC1311" t="str">
        <f ca="1">IF((OFFSET($A$1, 1311 - 1, 53 - 1)) &gt;= (OFFSET($A$1, 69 - 1, 7 - 1)), "1","0")</f>
        <v>0</v>
      </c>
      <c r="BD1311">
        <f ca="1" xml:space="preserve"> IF( AND( OFFSET($A$1, 1311 - 1, 54 - 1) = "1", OFFSET($A$1, 1311 - 1, 55 - 1) = "1" ), 1, IF( AND( OFFSET($A$1, 1311 - 1, 54 - 1) = "1", OFFSET($A$1, 1311 - 1, 55 - 1) = "0" ), 2, IF( AND( OFFSET($A$1, 1311 - 1, 54 - 1) = "0", OFFSET($A$1, 1311 - 1, 55 - 1) = "1" ), 3, 4 ) ) )</f>
        <v>4</v>
      </c>
    </row>
    <row r="1312" spans="53:56" x14ac:dyDescent="0.35">
      <c r="BA1312" s="3">
        <v>0.3334291706919012</v>
      </c>
      <c r="BB1312" s="3" t="str">
        <f>"0"</f>
        <v>0</v>
      </c>
      <c r="BC1312" t="str">
        <f ca="1">IF((OFFSET($A$1, 1312 - 1, 53 - 1)) &gt;= (OFFSET($A$1, 69 - 1, 7 - 1)), "1","0")</f>
        <v>0</v>
      </c>
      <c r="BD1312">
        <f ca="1" xml:space="preserve"> IF( AND( OFFSET($A$1, 1312 - 1, 54 - 1) = "1", OFFSET($A$1, 1312 - 1, 55 - 1) = "1" ), 1, IF( AND( OFFSET($A$1, 1312 - 1, 54 - 1) = "1", OFFSET($A$1, 1312 - 1, 55 - 1) = "0" ), 2, IF( AND( OFFSET($A$1, 1312 - 1, 54 - 1) = "0", OFFSET($A$1, 1312 - 1, 55 - 1) = "1" ), 3, 4 ) ) )</f>
        <v>4</v>
      </c>
    </row>
    <row r="1313" spans="53:56" x14ac:dyDescent="0.35">
      <c r="BA1313" s="3">
        <v>0.33353646424746197</v>
      </c>
      <c r="BB1313" s="3" t="str">
        <f>"0"</f>
        <v>0</v>
      </c>
      <c r="BC1313" t="str">
        <f ca="1">IF((OFFSET($A$1, 1313 - 1, 53 - 1)) &gt;= (OFFSET($A$1, 69 - 1, 7 - 1)), "1","0")</f>
        <v>0</v>
      </c>
      <c r="BD1313">
        <f ca="1" xml:space="preserve"> IF( AND( OFFSET($A$1, 1313 - 1, 54 - 1) = "1", OFFSET($A$1, 1313 - 1, 55 - 1) = "1" ), 1, IF( AND( OFFSET($A$1, 1313 - 1, 54 - 1) = "1", OFFSET($A$1, 1313 - 1, 55 - 1) = "0" ), 2, IF( AND( OFFSET($A$1, 1313 - 1, 54 - 1) = "0", OFFSET($A$1, 1313 - 1, 55 - 1) = "1" ), 3, 4 ) ) )</f>
        <v>4</v>
      </c>
    </row>
    <row r="1314" spans="53:56" x14ac:dyDescent="0.35">
      <c r="BA1314" s="3">
        <v>0.33362018769259749</v>
      </c>
      <c r="BB1314" s="3" t="str">
        <f>"1"</f>
        <v>1</v>
      </c>
      <c r="BC1314" t="str">
        <f ca="1">IF((OFFSET($A$1, 1314 - 1, 53 - 1)) &gt;= (OFFSET($A$1, 69 - 1, 7 - 1)), "1","0")</f>
        <v>0</v>
      </c>
      <c r="BD1314">
        <f ca="1" xml:space="preserve"> IF( AND( OFFSET($A$1, 1314 - 1, 54 - 1) = "1", OFFSET($A$1, 1314 - 1, 55 - 1) = "1" ), 1, IF( AND( OFFSET($A$1, 1314 - 1, 54 - 1) = "1", OFFSET($A$1, 1314 - 1, 55 - 1) = "0" ), 2, IF( AND( OFFSET($A$1, 1314 - 1, 54 - 1) = "0", OFFSET($A$1, 1314 - 1, 55 - 1) = "1" ), 3, 4 ) ) )</f>
        <v>2</v>
      </c>
    </row>
    <row r="1315" spans="53:56" x14ac:dyDescent="0.35">
      <c r="BA1315" s="3">
        <v>0.60986622344662056</v>
      </c>
      <c r="BB1315" s="3" t="str">
        <f>"1"</f>
        <v>1</v>
      </c>
      <c r="BC1315" t="str">
        <f ca="1">IF((OFFSET($A$1, 1315 - 1, 53 - 1)) &gt;= (OFFSET($A$1, 69 - 1, 7 - 1)), "1","0")</f>
        <v>1</v>
      </c>
      <c r="BD1315">
        <f ca="1" xml:space="preserve"> IF( AND( OFFSET($A$1, 1315 - 1, 54 - 1) = "1", OFFSET($A$1, 1315 - 1, 55 - 1) = "1" ), 1, IF( AND( OFFSET($A$1, 1315 - 1, 54 - 1) = "1", OFFSET($A$1, 1315 - 1, 55 - 1) = "0" ), 2, IF( AND( OFFSET($A$1, 1315 - 1, 54 - 1) = "0", OFFSET($A$1, 1315 - 1, 55 - 1) = "1" ), 3, 4 ) ) )</f>
        <v>1</v>
      </c>
    </row>
    <row r="1316" spans="53:56" x14ac:dyDescent="0.35">
      <c r="BA1316" s="3">
        <v>0.60990527244773762</v>
      </c>
      <c r="BB1316" s="3" t="str">
        <f>"0"</f>
        <v>0</v>
      </c>
      <c r="BC1316" t="str">
        <f ca="1">IF((OFFSET($A$1, 1316 - 1, 53 - 1)) &gt;= (OFFSET($A$1, 69 - 1, 7 - 1)), "1","0")</f>
        <v>1</v>
      </c>
      <c r="BD1316">
        <f ca="1" xml:space="preserve"> IF( AND( OFFSET($A$1, 1316 - 1, 54 - 1) = "1", OFFSET($A$1, 1316 - 1, 55 - 1) = "1" ), 1, IF( AND( OFFSET($A$1, 1316 - 1, 54 - 1) = "1", OFFSET($A$1, 1316 - 1, 55 - 1) = "0" ), 2, IF( AND( OFFSET($A$1, 1316 - 1, 54 - 1) = "0", OFFSET($A$1, 1316 - 1, 55 - 1) = "1" ), 3, 4 ) ) )</f>
        <v>3</v>
      </c>
    </row>
    <row r="1317" spans="53:56" x14ac:dyDescent="0.35">
      <c r="BA1317" s="3">
        <v>0.33372964827716489</v>
      </c>
      <c r="BB1317" s="3" t="str">
        <f>"1"</f>
        <v>1</v>
      </c>
      <c r="BC1317" t="str">
        <f ca="1">IF((OFFSET($A$1, 1317 - 1, 53 - 1)) &gt;= (OFFSET($A$1, 69 - 1, 7 - 1)), "1","0")</f>
        <v>0</v>
      </c>
      <c r="BD1317">
        <f ca="1" xml:space="preserve"> IF( AND( OFFSET($A$1, 1317 - 1, 54 - 1) = "1", OFFSET($A$1, 1317 - 1, 55 - 1) = "1" ), 1, IF( AND( OFFSET($A$1, 1317 - 1, 54 - 1) = "1", OFFSET($A$1, 1317 - 1, 55 - 1) = "0" ), 2, IF( AND( OFFSET($A$1, 1317 - 1, 54 - 1) = "0", OFFSET($A$1, 1317 - 1, 55 - 1) = "1" ), 3, 4 ) ) )</f>
        <v>2</v>
      </c>
    </row>
    <row r="1318" spans="53:56" x14ac:dyDescent="0.35">
      <c r="BA1318" s="3">
        <v>0.6099074665765718</v>
      </c>
      <c r="BB1318" s="3" t="str">
        <f>"0"</f>
        <v>0</v>
      </c>
      <c r="BC1318" t="str">
        <f ca="1">IF((OFFSET($A$1, 1318 - 1, 53 - 1)) &gt;= (OFFSET($A$1, 69 - 1, 7 - 1)), "1","0")</f>
        <v>1</v>
      </c>
      <c r="BD1318">
        <f ca="1" xml:space="preserve"> IF( AND( OFFSET($A$1, 1318 - 1, 54 - 1) = "1", OFFSET($A$1, 1318 - 1, 55 - 1) = "1" ), 1, IF( AND( OFFSET($A$1, 1318 - 1, 54 - 1) = "1", OFFSET($A$1, 1318 - 1, 55 - 1) = "0" ), 2, IF( AND( OFFSET($A$1, 1318 - 1, 54 - 1) = "0", OFFSET($A$1, 1318 - 1, 55 - 1) = "1" ), 3, 4 ) ) )</f>
        <v>3</v>
      </c>
    </row>
    <row r="1319" spans="53:56" x14ac:dyDescent="0.35">
      <c r="BA1319" s="3">
        <v>0.33368440762482088</v>
      </c>
      <c r="BB1319" s="3" t="str">
        <f>"0"</f>
        <v>0</v>
      </c>
      <c r="BC1319" t="str">
        <f ca="1">IF((OFFSET($A$1, 1319 - 1, 53 - 1)) &gt;= (OFFSET($A$1, 69 - 1, 7 - 1)), "1","0")</f>
        <v>0</v>
      </c>
      <c r="BD1319">
        <f ca="1" xml:space="preserve"> IF( AND( OFFSET($A$1, 1319 - 1, 54 - 1) = "1", OFFSET($A$1, 1319 - 1, 55 - 1) = "1" ), 1, IF( AND( OFFSET($A$1, 1319 - 1, 54 - 1) = "1", OFFSET($A$1, 1319 - 1, 55 - 1) = "0" ), 2, IF( AND( OFFSET($A$1, 1319 - 1, 54 - 1) = "0", OFFSET($A$1, 1319 - 1, 55 - 1) = "1" ), 3, 4 ) ) )</f>
        <v>4</v>
      </c>
    </row>
    <row r="1320" spans="53:56" x14ac:dyDescent="0.35">
      <c r="BA1320" s="3">
        <v>0.33362633600788033</v>
      </c>
      <c r="BB1320" s="3" t="str">
        <f>"0"</f>
        <v>0</v>
      </c>
      <c r="BC1320" t="str">
        <f ca="1">IF((OFFSET($A$1, 1320 - 1, 53 - 1)) &gt;= (OFFSET($A$1, 69 - 1, 7 - 1)), "1","0")</f>
        <v>0</v>
      </c>
      <c r="BD1320">
        <f ca="1" xml:space="preserve"> IF( AND( OFFSET($A$1, 1320 - 1, 54 - 1) = "1", OFFSET($A$1, 1320 - 1, 55 - 1) = "1" ), 1, IF( AND( OFFSET($A$1, 1320 - 1, 54 - 1) = "1", OFFSET($A$1, 1320 - 1, 55 - 1) = "0" ), 2, IF( AND( OFFSET($A$1, 1320 - 1, 54 - 1) = "0", OFFSET($A$1, 1320 - 1, 55 - 1) = "1" ), 3, 4 ) ) )</f>
        <v>4</v>
      </c>
    </row>
    <row r="1321" spans="53:56" x14ac:dyDescent="0.35">
      <c r="BA1321" s="3">
        <v>0.33354465815610684</v>
      </c>
      <c r="BB1321" s="3" t="str">
        <f>"1"</f>
        <v>1</v>
      </c>
      <c r="BC1321" t="str">
        <f ca="1">IF((OFFSET($A$1, 1321 - 1, 53 - 1)) &gt;= (OFFSET($A$1, 69 - 1, 7 - 1)), "1","0")</f>
        <v>0</v>
      </c>
      <c r="BD1321">
        <f ca="1" xml:space="preserve"> IF( AND( OFFSET($A$1, 1321 - 1, 54 - 1) = "1", OFFSET($A$1, 1321 - 1, 55 - 1) = "1" ), 1, IF( AND( OFFSET($A$1, 1321 - 1, 54 - 1) = "1", OFFSET($A$1, 1321 - 1, 55 - 1) = "0" ), 2, IF( AND( OFFSET($A$1, 1321 - 1, 54 - 1) = "0", OFFSET($A$1, 1321 - 1, 55 - 1) = "1" ), 3, 4 ) ) )</f>
        <v>2</v>
      </c>
    </row>
    <row r="1322" spans="53:56" x14ac:dyDescent="0.35">
      <c r="BA1322" s="3">
        <v>0.60960835242468436</v>
      </c>
      <c r="BB1322" s="3" t="str">
        <f>"1"</f>
        <v>1</v>
      </c>
      <c r="BC1322" t="str">
        <f ca="1">IF((OFFSET($A$1, 1322 - 1, 53 - 1)) &gt;= (OFFSET($A$1, 69 - 1, 7 - 1)), "1","0")</f>
        <v>1</v>
      </c>
      <c r="BD1322">
        <f ca="1" xml:space="preserve"> IF( AND( OFFSET($A$1, 1322 - 1, 54 - 1) = "1", OFFSET($A$1, 1322 - 1, 55 - 1) = "1" ), 1, IF( AND( OFFSET($A$1, 1322 - 1, 54 - 1) = "1", OFFSET($A$1, 1322 - 1, 55 - 1) = "0" ), 2, IF( AND( OFFSET($A$1, 1322 - 1, 54 - 1) = "0", OFFSET($A$1, 1322 - 1, 55 - 1) = "1" ), 3, 4 ) ) )</f>
        <v>1</v>
      </c>
    </row>
    <row r="1323" spans="53:56" x14ac:dyDescent="0.35">
      <c r="BA1323" s="3">
        <v>0.6094704344926154</v>
      </c>
      <c r="BB1323" s="3" t="str">
        <f>"0"</f>
        <v>0</v>
      </c>
      <c r="BC1323" t="str">
        <f ca="1">IF((OFFSET($A$1, 1323 - 1, 53 - 1)) &gt;= (OFFSET($A$1, 69 - 1, 7 - 1)), "1","0")</f>
        <v>1</v>
      </c>
      <c r="BD1323">
        <f ca="1" xml:space="preserve"> IF( AND( OFFSET($A$1, 1323 - 1, 54 - 1) = "1", OFFSET($A$1, 1323 - 1, 55 - 1) = "1" ), 1, IF( AND( OFFSET($A$1, 1323 - 1, 54 - 1) = "1", OFFSET($A$1, 1323 - 1, 55 - 1) = "0" ), 2, IF( AND( OFFSET($A$1, 1323 - 1, 54 - 1) = "0", OFFSET($A$1, 1323 - 1, 55 - 1) = "1" ), 3, 4 ) ) )</f>
        <v>3</v>
      </c>
    </row>
    <row r="1324" spans="53:56" x14ac:dyDescent="0.35">
      <c r="BA1324" s="3">
        <v>0.3331583628404361</v>
      </c>
      <c r="BB1324" s="3" t="str">
        <f>"0"</f>
        <v>0</v>
      </c>
      <c r="BC1324" t="str">
        <f ca="1">IF((OFFSET($A$1, 1324 - 1, 53 - 1)) &gt;= (OFFSET($A$1, 69 - 1, 7 - 1)), "1","0")</f>
        <v>0</v>
      </c>
      <c r="BD1324">
        <f ca="1" xml:space="preserve"> IF( AND( OFFSET($A$1, 1324 - 1, 54 - 1) = "1", OFFSET($A$1, 1324 - 1, 55 - 1) = "1" ), 1, IF( AND( OFFSET($A$1, 1324 - 1, 54 - 1) = "1", OFFSET($A$1, 1324 - 1, 55 - 1) = "0" ), 2, IF( AND( OFFSET($A$1, 1324 - 1, 54 - 1) = "0", OFFSET($A$1, 1324 - 1, 55 - 1) = "1" ), 3, 4 ) ) )</f>
        <v>4</v>
      </c>
    </row>
    <row r="1325" spans="53:56" x14ac:dyDescent="0.35">
      <c r="BA1325" s="3">
        <v>0.33298268297316663</v>
      </c>
      <c r="BB1325" s="3" t="str">
        <f>"0"</f>
        <v>0</v>
      </c>
      <c r="BC1325" t="str">
        <f ca="1">IF((OFFSET($A$1, 1325 - 1, 53 - 1)) &gt;= (OFFSET($A$1, 69 - 1, 7 - 1)), "1","0")</f>
        <v>0</v>
      </c>
      <c r="BD1325">
        <f ca="1" xml:space="preserve"> IF( AND( OFFSET($A$1, 1325 - 1, 54 - 1) = "1", OFFSET($A$1, 1325 - 1, 55 - 1) = "1" ), 1, IF( AND( OFFSET($A$1, 1325 - 1, 54 - 1) = "1", OFFSET($A$1, 1325 - 1, 55 - 1) = "0" ), 2, IF( AND( OFFSET($A$1, 1325 - 1, 54 - 1) = "0", OFFSET($A$1, 1325 - 1, 55 - 1) = "1" ), 3, 4 ) ) )</f>
        <v>4</v>
      </c>
    </row>
    <row r="1326" spans="53:56" x14ac:dyDescent="0.35">
      <c r="BA1326" s="3">
        <v>0.33278365552311789</v>
      </c>
      <c r="BB1326" s="3" t="str">
        <f>"1"</f>
        <v>1</v>
      </c>
      <c r="BC1326" t="str">
        <f ca="1">IF((OFFSET($A$1, 1326 - 1, 53 - 1)) &gt;= (OFFSET($A$1, 69 - 1, 7 - 1)), "1","0")</f>
        <v>0</v>
      </c>
      <c r="BD1326">
        <f ca="1" xml:space="preserve"> IF( AND( OFFSET($A$1, 1326 - 1, 54 - 1) = "1", OFFSET($A$1, 1326 - 1, 55 - 1) = "1" ), 1, IF( AND( OFFSET($A$1, 1326 - 1, 54 - 1) = "1", OFFSET($A$1, 1326 - 1, 55 - 1) = "0" ), 2, IF( AND( OFFSET($A$1, 1326 - 1, 54 - 1) = "0", OFFSET($A$1, 1326 - 1, 55 - 1) = "1" ), 3, 4 ) ) )</f>
        <v>2</v>
      </c>
    </row>
    <row r="1327" spans="53:56" x14ac:dyDescent="0.35">
      <c r="BA1327" s="3">
        <v>0.60866714260282373</v>
      </c>
      <c r="BB1327" s="3" t="str">
        <f>"1"</f>
        <v>1</v>
      </c>
      <c r="BC1327" t="str">
        <f ca="1">IF((OFFSET($A$1, 1327 - 1, 53 - 1)) &gt;= (OFFSET($A$1, 69 - 1, 7 - 1)), "1","0")</f>
        <v>1</v>
      </c>
      <c r="BD1327">
        <f ca="1" xml:space="preserve"> IF( AND( OFFSET($A$1, 1327 - 1, 54 - 1) = "1", OFFSET($A$1, 1327 - 1, 55 - 1) = "1" ), 1, IF( AND( OFFSET($A$1, 1327 - 1, 54 - 1) = "1", OFFSET($A$1, 1327 - 1, 55 - 1) = "0" ), 2, IF( AND( OFFSET($A$1, 1327 - 1, 54 - 1) = "0", OFFSET($A$1, 1327 - 1, 55 - 1) = "1" ), 3, 4 ) ) )</f>
        <v>1</v>
      </c>
    </row>
    <row r="1328" spans="53:56" x14ac:dyDescent="0.35">
      <c r="BA1328" s="3">
        <v>0.60840364286248705</v>
      </c>
      <c r="BB1328" s="3" t="str">
        <f>"0"</f>
        <v>0</v>
      </c>
      <c r="BC1328" t="str">
        <f ca="1">IF((OFFSET($A$1, 1328 - 1, 53 - 1)) &gt;= (OFFSET($A$1, 69 - 1, 7 - 1)), "1","0")</f>
        <v>1</v>
      </c>
      <c r="BD1328">
        <f ca="1" xml:space="preserve"> IF( AND( OFFSET($A$1, 1328 - 1, 54 - 1) = "1", OFFSET($A$1, 1328 - 1, 55 - 1) = "1" ), 1, IF( AND( OFFSET($A$1, 1328 - 1, 54 - 1) = "1", OFFSET($A$1, 1328 - 1, 55 - 1) = "0" ), 2, IF( AND( OFFSET($A$1, 1328 - 1, 54 - 1) = "0", OFFSET($A$1, 1328 - 1, 55 - 1) = "1" ), 3, 4 ) ) )</f>
        <v>3</v>
      </c>
    </row>
    <row r="1329" spans="53:56" x14ac:dyDescent="0.35">
      <c r="BA1329" s="3">
        <v>0.33204733374230788</v>
      </c>
      <c r="BB1329" s="3" t="str">
        <f>"0"</f>
        <v>0</v>
      </c>
      <c r="BC1329" t="str">
        <f ca="1">IF((OFFSET($A$1, 1329 - 1, 53 - 1)) &gt;= (OFFSET($A$1, 69 - 1, 7 - 1)), "1","0")</f>
        <v>0</v>
      </c>
      <c r="BD1329">
        <f ca="1" xml:space="preserve"> IF( AND( OFFSET($A$1, 1329 - 1, 54 - 1) = "1", OFFSET($A$1, 1329 - 1, 55 - 1) = "1" ), 1, IF( AND( OFFSET($A$1, 1329 - 1, 54 - 1) = "1", OFFSET($A$1, 1329 - 1, 55 - 1) = "0" ), 2, IF( AND( OFFSET($A$1, 1329 - 1, 54 - 1) = "0", OFFSET($A$1, 1329 - 1, 55 - 1) = "1" ), 3, 4 ) ) )</f>
        <v>4</v>
      </c>
    </row>
    <row r="1330" spans="53:56" x14ac:dyDescent="0.35">
      <c r="BA1330" s="3">
        <v>0.331755808492811</v>
      </c>
      <c r="BB1330" s="3" t="str">
        <f>"0"</f>
        <v>0</v>
      </c>
      <c r="BC1330" t="str">
        <f ca="1">IF((OFFSET($A$1, 1330 - 1, 53 - 1)) &gt;= (OFFSET($A$1, 69 - 1, 7 - 1)), "1","0")</f>
        <v>0</v>
      </c>
      <c r="BD1330">
        <f ca="1" xml:space="preserve"> IF( AND( OFFSET($A$1, 1330 - 1, 54 - 1) = "1", OFFSET($A$1, 1330 - 1, 55 - 1) = "1" ), 1, IF( AND( OFFSET($A$1, 1330 - 1, 54 - 1) = "1", OFFSET($A$1, 1330 - 1, 55 - 1) = "0" ), 2, IF( AND( OFFSET($A$1, 1330 - 1, 54 - 1) = "0", OFFSET($A$1, 1330 - 1, 55 - 1) = "1" ), 3, 4 ) ) )</f>
        <v>4</v>
      </c>
    </row>
    <row r="1331" spans="53:56" x14ac:dyDescent="0.35">
      <c r="BA1331" s="3">
        <v>0.33144142822816641</v>
      </c>
      <c r="BB1331" s="3" t="str">
        <f>"0"</f>
        <v>0</v>
      </c>
      <c r="BC1331" t="str">
        <f ca="1">IF((OFFSET($A$1, 1331 - 1, 53 - 1)) &gt;= (OFFSET($A$1, 69 - 1, 7 - 1)), "1","0")</f>
        <v>0</v>
      </c>
      <c r="BD1331">
        <f ca="1" xml:space="preserve"> IF( AND( OFFSET($A$1, 1331 - 1, 54 - 1) = "1", OFFSET($A$1, 1331 - 1, 55 - 1) = "1" ), 1, IF( AND( OFFSET($A$1, 1331 - 1, 54 - 1) = "1", OFFSET($A$1, 1331 - 1, 55 - 1) = "0" ), 2, IF( AND( OFFSET($A$1, 1331 - 1, 54 - 1) = "0", OFFSET($A$1, 1331 - 1, 55 - 1) = "1" ), 3, 4 ) ) )</f>
        <v>4</v>
      </c>
    </row>
    <row r="1332" spans="53:56" x14ac:dyDescent="0.35">
      <c r="BA1332" s="3">
        <v>0.33110431906638016</v>
      </c>
      <c r="BB1332" s="3" t="str">
        <f>"1"</f>
        <v>1</v>
      </c>
      <c r="BC1332" t="str">
        <f ca="1">IF((OFFSET($A$1, 1332 - 1, 53 - 1)) &gt;= (OFFSET($A$1, 69 - 1, 7 - 1)), "1","0")</f>
        <v>0</v>
      </c>
      <c r="BD1332">
        <f ca="1" xml:space="preserve"> IF( AND( OFFSET($A$1, 1332 - 1, 54 - 1) = "1", OFFSET($A$1, 1332 - 1, 55 - 1) = "1" ), 1, IF( AND( OFFSET($A$1, 1332 - 1, 54 - 1) = "1", OFFSET($A$1, 1332 - 1, 55 - 1) = "0" ), 2, IF( AND( OFFSET($A$1, 1332 - 1, 54 - 1) = "0", OFFSET($A$1, 1332 - 1, 55 - 1) = "1" ), 3, 4 ) ) )</f>
        <v>2</v>
      </c>
    </row>
    <row r="1333" spans="53:56" x14ac:dyDescent="0.35">
      <c r="BA1333" s="3">
        <v>0.60671316583150436</v>
      </c>
      <c r="BB1333" s="3" t="str">
        <f>"1"</f>
        <v>1</v>
      </c>
      <c r="BC1333" t="str">
        <f ca="1">IF((OFFSET($A$1, 1333 - 1, 53 - 1)) &gt;= (OFFSET($A$1, 69 - 1, 7 - 1)), "1","0")</f>
        <v>1</v>
      </c>
      <c r="BD1333">
        <f ca="1" xml:space="preserve"> IF( AND( OFFSET($A$1, 1333 - 1, 54 - 1) = "1", OFFSET($A$1, 1333 - 1, 55 - 1) = "1" ), 1, IF( AND( OFFSET($A$1, 1333 - 1, 54 - 1) = "1", OFFSET($A$1, 1333 - 1, 55 - 1) = "0" ), 2, IF( AND( OFFSET($A$1, 1333 - 1, 54 - 1) = "0", OFFSET($A$1, 1333 - 1, 55 - 1) = "1" ), 3, 4 ) ) )</f>
        <v>1</v>
      </c>
    </row>
    <row r="1334" spans="53:56" x14ac:dyDescent="0.35">
      <c r="BA1334" s="3">
        <v>0.60630101924358504</v>
      </c>
      <c r="BB1334" s="3" t="str">
        <f>"1"</f>
        <v>1</v>
      </c>
      <c r="BC1334" t="str">
        <f ca="1">IF((OFFSET($A$1, 1334 - 1, 53 - 1)) &gt;= (OFFSET($A$1, 69 - 1, 7 - 1)), "1","0")</f>
        <v>1</v>
      </c>
      <c r="BD1334">
        <f ca="1" xml:space="preserve"> IF( AND( OFFSET($A$1, 1334 - 1, 54 - 1) = "1", OFFSET($A$1, 1334 - 1, 55 - 1) = "1" ), 1, IF( AND( OFFSET($A$1, 1334 - 1, 54 - 1) = "1", OFFSET($A$1, 1334 - 1, 55 - 1) = "0" ), 2, IF( AND( OFFSET($A$1, 1334 - 1, 54 - 1) = "0", OFFSET($A$1, 1334 - 1, 55 - 1) = "1" ), 3, 4 ) ) )</f>
        <v>1</v>
      </c>
    </row>
    <row r="1335" spans="53:56" x14ac:dyDescent="0.35">
      <c r="BA1335" s="3">
        <v>0.60586439809719739</v>
      </c>
      <c r="BB1335" s="3" t="str">
        <f>"1"</f>
        <v>1</v>
      </c>
      <c r="BC1335" t="str">
        <f ca="1">IF((OFFSET($A$1, 1335 - 1, 53 - 1)) &gt;= (OFFSET($A$1, 69 - 1, 7 - 1)), "1","0")</f>
        <v>1</v>
      </c>
      <c r="BD1335">
        <f ca="1" xml:space="preserve"> IF( AND( OFFSET($A$1, 1335 - 1, 54 - 1) = "1", OFFSET($A$1, 1335 - 1, 55 - 1) = "1" ), 1, IF( AND( OFFSET($A$1, 1335 - 1, 54 - 1) = "1", OFFSET($A$1, 1335 - 1, 55 - 1) = "0" ), 2, IF( AND( OFFSET($A$1, 1335 - 1, 54 - 1) = "0", OFFSET($A$1, 1335 - 1, 55 - 1) = "1" ), 3, 4 ) ) )</f>
        <v>1</v>
      </c>
    </row>
    <row r="1336" spans="53:56" x14ac:dyDescent="0.35">
      <c r="BA1336" s="3">
        <v>0.60540340400013837</v>
      </c>
      <c r="BB1336" s="3" t="str">
        <f>"0"</f>
        <v>0</v>
      </c>
      <c r="BC1336" t="str">
        <f ca="1">IF((OFFSET($A$1, 1336 - 1, 53 - 1)) &gt;= (OFFSET($A$1, 69 - 1, 7 - 1)), "1","0")</f>
        <v>1</v>
      </c>
      <c r="BD1336">
        <f ca="1" xml:space="preserve"> IF( AND( OFFSET($A$1, 1336 - 1, 54 - 1) = "1", OFFSET($A$1, 1336 - 1, 55 - 1) = "1" ), 1, IF( AND( OFFSET($A$1, 1336 - 1, 54 - 1) = "1", OFFSET($A$1, 1336 - 1, 55 - 1) = "0" ), 2, IF( AND( OFFSET($A$1, 1336 - 1, 54 - 1) = "0", OFFSET($A$1, 1336 - 1, 55 - 1) = "1" ), 3, 4 ) ) )</f>
        <v>3</v>
      </c>
    </row>
    <row r="1337" spans="53:56" x14ac:dyDescent="0.35">
      <c r="BA1337" s="3">
        <v>0.32908288512441997</v>
      </c>
      <c r="BB1337" s="3" t="str">
        <f>"0"</f>
        <v>0</v>
      </c>
      <c r="BC1337" t="str">
        <f ca="1">IF((OFFSET($A$1, 1337 - 1, 53 - 1)) &gt;= (OFFSET($A$1, 69 - 1, 7 - 1)), "1","0")</f>
        <v>0</v>
      </c>
      <c r="BD1337">
        <f ca="1" xml:space="preserve"> IF( AND( OFFSET($A$1, 1337 - 1, 54 - 1) = "1", OFFSET($A$1, 1337 - 1, 55 - 1) = "1" ), 1, IF( AND( OFFSET($A$1, 1337 - 1, 54 - 1) = "1", OFFSET($A$1, 1337 - 1, 55 - 1) = "0" ), 2, IF( AND( OFFSET($A$1, 1337 - 1, 54 - 1) = "0", OFFSET($A$1, 1337 - 1, 55 - 1) = "1" ), 3, 4 ) ) )</f>
        <v>4</v>
      </c>
    </row>
    <row r="1338" spans="53:56" x14ac:dyDescent="0.35">
      <c r="BA1338" s="3">
        <v>0.32861255421715702</v>
      </c>
      <c r="BB1338" s="3" t="str">
        <f>"1"</f>
        <v>1</v>
      </c>
      <c r="BC1338" t="str">
        <f ca="1">IF((OFFSET($A$1, 1338 - 1, 53 - 1)) &gt;= (OFFSET($A$1, 69 - 1, 7 - 1)), "1","0")</f>
        <v>0</v>
      </c>
      <c r="BD1338">
        <f ca="1" xml:space="preserve"> IF( AND( OFFSET($A$1, 1338 - 1, 54 - 1) = "1", OFFSET($A$1, 1338 - 1, 55 - 1) = "1" ), 1, IF( AND( OFFSET($A$1, 1338 - 1, 54 - 1) = "1", OFFSET($A$1, 1338 - 1, 55 - 1) = "0" ), 2, IF( AND( OFFSET($A$1, 1338 - 1, 54 - 1) = "0", OFFSET($A$1, 1338 - 1, 55 - 1) = "1" ), 3, 4 ) ) )</f>
        <v>2</v>
      </c>
    </row>
    <row r="1339" spans="53:56" x14ac:dyDescent="0.35">
      <c r="BA1339" s="3">
        <v>0.60387529083813629</v>
      </c>
      <c r="BB1339" s="3" t="str">
        <f>"0"</f>
        <v>0</v>
      </c>
      <c r="BC1339" t="str">
        <f ca="1">IF((OFFSET($A$1, 1339 - 1, 53 - 1)) &gt;= (OFFSET($A$1, 69 - 1, 7 - 1)), "1","0")</f>
        <v>1</v>
      </c>
      <c r="BD1339">
        <f ca="1" xml:space="preserve"> IF( AND( OFFSET($A$1, 1339 - 1, 54 - 1) = "1", OFFSET($A$1, 1339 - 1, 55 - 1) = "1" ), 1, IF( AND( OFFSET($A$1, 1339 - 1, 54 - 1) = "1", OFFSET($A$1, 1339 - 1, 55 - 1) = "0" ), 2, IF( AND( OFFSET($A$1, 1339 - 1, 54 - 1) = "0", OFFSET($A$1, 1339 - 1, 55 - 1) = "1" ), 3, 4 ) ) )</f>
        <v>3</v>
      </c>
    </row>
    <row r="1340" spans="53:56" x14ac:dyDescent="0.35">
      <c r="BA1340" s="3">
        <v>0.32760730084740791</v>
      </c>
      <c r="BB1340" s="3" t="str">
        <f>"1"</f>
        <v>1</v>
      </c>
      <c r="BC1340" t="str">
        <f ca="1">IF((OFFSET($A$1, 1340 - 1, 53 - 1)) &gt;= (OFFSET($A$1, 69 - 1, 7 - 1)), "1","0")</f>
        <v>0</v>
      </c>
      <c r="BD1340">
        <f ca="1" xml:space="preserve"> IF( AND( OFFSET($A$1, 1340 - 1, 54 - 1) = "1", OFFSET($A$1, 1340 - 1, 55 - 1) = "1" ), 1, IF( AND( OFFSET($A$1, 1340 - 1, 54 - 1) = "1", OFFSET($A$1, 1340 - 1, 55 - 1) = "0" ), 2, IF( AND( OFFSET($A$1, 1340 - 1, 54 - 1) = "0", OFFSET($A$1, 1340 - 1, 55 - 1) = "1" ), 3, 4 ) ) )</f>
        <v>2</v>
      </c>
    </row>
    <row r="1341" spans="53:56" x14ac:dyDescent="0.35">
      <c r="BA1341" s="3">
        <v>0.60273681997289097</v>
      </c>
      <c r="BB1341" s="3" t="str">
        <f>"1"</f>
        <v>1</v>
      </c>
      <c r="BC1341" t="str">
        <f ca="1">IF((OFFSET($A$1, 1341 - 1, 53 - 1)) &gt;= (OFFSET($A$1, 69 - 1, 7 - 1)), "1","0")</f>
        <v>1</v>
      </c>
      <c r="BD1341">
        <f ca="1" xml:space="preserve"> IF( AND( OFFSET($A$1, 1341 - 1, 54 - 1) = "1", OFFSET($A$1, 1341 - 1, 55 - 1) = "1" ), 1, IF( AND( OFFSET($A$1, 1341 - 1, 54 - 1) = "1", OFFSET($A$1, 1341 - 1, 55 - 1) = "0" ), 2, IF( AND( OFFSET($A$1, 1341 - 1, 54 - 1) = "0", OFFSET($A$1, 1341 - 1, 55 - 1) = "1" ), 3, 4 ) ) )</f>
        <v>1</v>
      </c>
    </row>
    <row r="1342" spans="53:56" x14ac:dyDescent="0.35">
      <c r="BA1342" s="3">
        <v>0.60213206232721972</v>
      </c>
      <c r="BB1342" s="3" t="str">
        <f>"0"</f>
        <v>0</v>
      </c>
      <c r="BC1342" t="str">
        <f ca="1">IF((OFFSET($A$1, 1342 - 1, 53 - 1)) &gt;= (OFFSET($A$1, 69 - 1, 7 - 1)), "1","0")</f>
        <v>1</v>
      </c>
      <c r="BD1342">
        <f ca="1" xml:space="preserve"> IF( AND( OFFSET($A$1, 1342 - 1, 54 - 1) = "1", OFFSET($A$1, 1342 - 1, 55 - 1) = "1" ), 1, IF( AND( OFFSET($A$1, 1342 - 1, 54 - 1) = "1", OFFSET($A$1, 1342 - 1, 55 - 1) = "0" ), 2, IF( AND( OFFSET($A$1, 1342 - 1, 54 - 1) = "0", OFFSET($A$1, 1342 - 1, 55 - 1) = "1" ), 3, 4 ) ) )</f>
        <v>3</v>
      </c>
    </row>
    <row r="1343" spans="53:56" x14ac:dyDescent="0.35">
      <c r="BA1343" s="3">
        <v>0.32594101664438246</v>
      </c>
      <c r="BB1343" s="3" t="str">
        <f>"0"</f>
        <v>0</v>
      </c>
      <c r="BC1343" t="str">
        <f ca="1">IF((OFFSET($A$1, 1343 - 1, 53 - 1)) &gt;= (OFFSET($A$1, 69 - 1, 7 - 1)), "1","0")</f>
        <v>0</v>
      </c>
      <c r="BD1343">
        <f ca="1" xml:space="preserve"> IF( AND( OFFSET($A$1, 1343 - 1, 54 - 1) = "1", OFFSET($A$1, 1343 - 1, 55 - 1) = "1" ), 1, IF( AND( OFFSET($A$1, 1343 - 1, 54 - 1) = "1", OFFSET($A$1, 1343 - 1, 55 - 1) = "0" ), 2, IF( AND( OFFSET($A$1, 1343 - 1, 54 - 1) = "0", OFFSET($A$1, 1343 - 1, 55 - 1) = "1" ), 3, 4 ) ) )</f>
        <v>4</v>
      </c>
    </row>
    <row r="1344" spans="53:56" x14ac:dyDescent="0.35">
      <c r="BA1344" s="3">
        <v>0.32534422531527807</v>
      </c>
      <c r="BB1344" s="3" t="str">
        <f>"0"</f>
        <v>0</v>
      </c>
      <c r="BC1344" t="str">
        <f ca="1">IF((OFFSET($A$1, 1344 - 1, 53 - 1)) &gt;= (OFFSET($A$1, 69 - 1, 7 - 1)), "1","0")</f>
        <v>0</v>
      </c>
      <c r="BD1344">
        <f ca="1" xml:space="preserve"> IF( AND( OFFSET($A$1, 1344 - 1, 54 - 1) = "1", OFFSET($A$1, 1344 - 1, 55 - 1) = "1" ), 1, IF( AND( OFFSET($A$1, 1344 - 1, 54 - 1) = "1", OFFSET($A$1, 1344 - 1, 55 - 1) = "0" ), 2, IF( AND( OFFSET($A$1, 1344 - 1, 54 - 1) = "0", OFFSET($A$1, 1344 - 1, 55 - 1) = "1" ), 3, 4 ) ) )</f>
        <v>4</v>
      </c>
    </row>
    <row r="1345" spans="53:56" x14ac:dyDescent="0.35">
      <c r="BA1345" s="3">
        <v>0.32472714174086265</v>
      </c>
      <c r="BB1345" s="3" t="str">
        <f>"0"</f>
        <v>0</v>
      </c>
      <c r="BC1345" t="str">
        <f ca="1">IF((OFFSET($A$1, 1345 - 1, 53 - 1)) &gt;= (OFFSET($A$1, 69 - 1, 7 - 1)), "1","0")</f>
        <v>0</v>
      </c>
      <c r="BD1345">
        <f ca="1" xml:space="preserve"> IF( AND( OFFSET($A$1, 1345 - 1, 54 - 1) = "1", OFFSET($A$1, 1345 - 1, 55 - 1) = "1" ), 1, IF( AND( OFFSET($A$1, 1345 - 1, 54 - 1) = "1", OFFSET($A$1, 1345 - 1, 55 - 1) = "0" ), 2, IF( AND( OFFSET($A$1, 1345 - 1, 54 - 1) = "0", OFFSET($A$1, 1345 - 1, 55 - 1) = "1" ), 3, 4 ) ) )</f>
        <v>4</v>
      </c>
    </row>
    <row r="1346" spans="53:56" x14ac:dyDescent="0.35">
      <c r="BA1346" s="3">
        <v>0.32409001141681709</v>
      </c>
      <c r="BB1346" s="3" t="str">
        <f>"0"</f>
        <v>0</v>
      </c>
      <c r="BC1346" t="str">
        <f ca="1">IF((OFFSET($A$1, 1346 - 1, 53 - 1)) &gt;= (OFFSET($A$1, 69 - 1, 7 - 1)), "1","0")</f>
        <v>0</v>
      </c>
      <c r="BD1346">
        <f ca="1" xml:space="preserve"> IF( AND( OFFSET($A$1, 1346 - 1, 54 - 1) = "1", OFFSET($A$1, 1346 - 1, 55 - 1) = "1" ), 1, IF( AND( OFFSET($A$1, 1346 - 1, 54 - 1) = "1", OFFSET($A$1, 1346 - 1, 55 - 1) = "0" ), 2, IF( AND( OFFSET($A$1, 1346 - 1, 54 - 1) = "0", OFFSET($A$1, 1346 - 1, 55 - 1) = "1" ), 3, 4 ) ) )</f>
        <v>4</v>
      </c>
    </row>
    <row r="1347" spans="53:56" x14ac:dyDescent="0.35">
      <c r="BA1347" s="3">
        <v>0.32343308757454664</v>
      </c>
      <c r="BB1347" s="3" t="str">
        <f>"0"</f>
        <v>0</v>
      </c>
      <c r="BC1347" t="str">
        <f ca="1">IF((OFFSET($A$1, 1347 - 1, 53 - 1)) &gt;= (OFFSET($A$1, 69 - 1, 7 - 1)), "1","0")</f>
        <v>0</v>
      </c>
      <c r="BD1347">
        <f ca="1" xml:space="preserve"> IF( AND( OFFSET($A$1, 1347 - 1, 54 - 1) = "1", OFFSET($A$1, 1347 - 1, 55 - 1) = "1" ), 1, IF( AND( OFFSET($A$1, 1347 - 1, 54 - 1) = "1", OFFSET($A$1, 1347 - 1, 55 - 1) = "0" ), 2, IF( AND( OFFSET($A$1, 1347 - 1, 54 - 1) = "0", OFFSET($A$1, 1347 - 1, 55 - 1) = "1" ), 3, 4 ) ) )</f>
        <v>4</v>
      </c>
    </row>
    <row r="1348" spans="53:56" x14ac:dyDescent="0.35">
      <c r="BA1348" s="3">
        <v>0.32275663105076785</v>
      </c>
      <c r="BB1348" s="3" t="str">
        <f>"0"</f>
        <v>0</v>
      </c>
      <c r="BC1348" t="str">
        <f ca="1">IF((OFFSET($A$1, 1348 - 1, 53 - 1)) &gt;= (OFFSET($A$1, 69 - 1, 7 - 1)), "1","0")</f>
        <v>0</v>
      </c>
      <c r="BD1348">
        <f ca="1" xml:space="preserve"> IF( AND( OFFSET($A$1, 1348 - 1, 54 - 1) = "1", OFFSET($A$1, 1348 - 1, 55 - 1) = "1" ), 1, IF( AND( OFFSET($A$1, 1348 - 1, 54 - 1) = "1", OFFSET($A$1, 1348 - 1, 55 - 1) = "0" ), 2, IF( AND( OFFSET($A$1, 1348 - 1, 54 - 1) = "0", OFFSET($A$1, 1348 - 1, 55 - 1) = "1" ), 3, 4 ) ) )</f>
        <v>4</v>
      </c>
    </row>
    <row r="1349" spans="53:56" x14ac:dyDescent="0.35">
      <c r="BA1349" s="3">
        <v>0.32206091015248123</v>
      </c>
      <c r="BB1349" s="3" t="str">
        <f>"1"</f>
        <v>1</v>
      </c>
      <c r="BC1349" t="str">
        <f ca="1">IF((OFFSET($A$1, 1349 - 1, 53 - 1)) &gt;= (OFFSET($A$1, 69 - 1, 7 - 1)), "1","0")</f>
        <v>0</v>
      </c>
      <c r="BD1349">
        <f ca="1" xml:space="preserve"> IF( AND( OFFSET($A$1, 1349 - 1, 54 - 1) = "1", OFFSET($A$1, 1349 - 1, 55 - 1) = "1" ), 1, IF( AND( OFFSET($A$1, 1349 - 1, 54 - 1) = "1", OFFSET($A$1, 1349 - 1, 55 - 1) = "0" ), 2, IF( AND( OFFSET($A$1, 1349 - 1, 54 - 1) = "0", OFFSET($A$1, 1349 - 1, 55 - 1) = "1" ), 3, 4 ) ) )</f>
        <v>2</v>
      </c>
    </row>
    <row r="1350" spans="53:56" x14ac:dyDescent="0.35">
      <c r="BA1350" s="3">
        <v>0.59646180192063614</v>
      </c>
      <c r="BB1350" s="3" t="str">
        <f>"1"</f>
        <v>1</v>
      </c>
      <c r="BC1350" t="str">
        <f ca="1">IF((OFFSET($A$1, 1350 - 1, 53 - 1)) &gt;= (OFFSET($A$1, 69 - 1, 7 - 1)), "1","0")</f>
        <v>1</v>
      </c>
      <c r="BD1350">
        <f ca="1" xml:space="preserve"> IF( AND( OFFSET($A$1, 1350 - 1, 54 - 1) = "1", OFFSET($A$1, 1350 - 1, 55 - 1) = "1" ), 1, IF( AND( OFFSET($A$1, 1350 - 1, 54 - 1) = "1", OFFSET($A$1, 1350 - 1, 55 - 1) = "0" ), 2, IF( AND( OFFSET($A$1, 1350 - 1, 54 - 1) = "0", OFFSET($A$1, 1350 - 1, 55 - 1) = "1" ), 3, 4 ) ) )</f>
        <v>1</v>
      </c>
    </row>
    <row r="1351" spans="53:56" x14ac:dyDescent="0.35">
      <c r="BA1351" s="3">
        <v>0.59565159127040723</v>
      </c>
      <c r="BB1351" s="3" t="str">
        <f>"0"</f>
        <v>0</v>
      </c>
      <c r="BC1351" t="str">
        <f ca="1">IF((OFFSET($A$1, 1351 - 1, 53 - 1)) &gt;= (OFFSET($A$1, 69 - 1, 7 - 1)), "1","0")</f>
        <v>1</v>
      </c>
      <c r="BD1351">
        <f ca="1" xml:space="preserve"> IF( AND( OFFSET($A$1, 1351 - 1, 54 - 1) = "1", OFFSET($A$1, 1351 - 1, 55 - 1) = "1" ), 1, IF( AND( OFFSET($A$1, 1351 - 1, 54 - 1) = "1", OFFSET($A$1, 1351 - 1, 55 - 1) = "0" ), 2, IF( AND( OFFSET($A$1, 1351 - 1, 54 - 1) = "0", OFFSET($A$1, 1351 - 1, 55 - 1) = "1" ), 3, 4 ) ) )</f>
        <v>3</v>
      </c>
    </row>
    <row r="1352" spans="53:56" x14ac:dyDescent="0.35">
      <c r="BA1352" s="3">
        <v>0.319860953371158</v>
      </c>
      <c r="BB1352" s="3" t="str">
        <f>"0"</f>
        <v>0</v>
      </c>
      <c r="BC1352" t="str">
        <f ca="1">IF((OFFSET($A$1, 1352 - 1, 53 - 1)) &gt;= (OFFSET($A$1, 69 - 1, 7 - 1)), "1","0")</f>
        <v>0</v>
      </c>
      <c r="BD1352">
        <f ca="1" xml:space="preserve"> IF( AND( OFFSET($A$1, 1352 - 1, 54 - 1) = "1", OFFSET($A$1, 1352 - 1, 55 - 1) = "1" ), 1, IF( AND( OFFSET($A$1, 1352 - 1, 54 - 1) = "1", OFFSET($A$1, 1352 - 1, 55 - 1) = "0" ), 2, IF( AND( OFFSET($A$1, 1352 - 1, 54 - 1) = "0", OFFSET($A$1, 1352 - 1, 55 - 1) = "1" ), 3, 4 ) ) )</f>
        <v>4</v>
      </c>
    </row>
    <row r="1353" spans="53:56" x14ac:dyDescent="0.35">
      <c r="BA1353" s="3">
        <v>0.31909100246882299</v>
      </c>
      <c r="BB1353" s="3" t="str">
        <f>"1"</f>
        <v>1</v>
      </c>
      <c r="BC1353" t="str">
        <f ca="1">IF((OFFSET($A$1, 1353 - 1, 53 - 1)) &gt;= (OFFSET($A$1, 69 - 1, 7 - 1)), "1","0")</f>
        <v>0</v>
      </c>
      <c r="BD1353">
        <f ca="1" xml:space="preserve"> IF( AND( OFFSET($A$1, 1353 - 1, 54 - 1) = "1", OFFSET($A$1, 1353 - 1, 55 - 1) = "1" ), 1, IF( AND( OFFSET($A$1, 1353 - 1, 54 - 1) = "1", OFFSET($A$1, 1353 - 1, 55 - 1) = "0" ), 2, IF( AND( OFFSET($A$1, 1353 - 1, 54 - 1) = "0", OFFSET($A$1, 1353 - 1, 55 - 1) = "1" ), 3, 4 ) ) )</f>
        <v>2</v>
      </c>
    </row>
    <row r="1354" spans="53:56" x14ac:dyDescent="0.35">
      <c r="BA1354" s="3">
        <v>0.59309037991129809</v>
      </c>
      <c r="BB1354" s="3" t="str">
        <f>"1"</f>
        <v>1</v>
      </c>
      <c r="BC1354" t="str">
        <f ca="1">IF((OFFSET($A$1, 1354 - 1, 53 - 1)) &gt;= (OFFSET($A$1, 69 - 1, 7 - 1)), "1","0")</f>
        <v>1</v>
      </c>
      <c r="BD1354">
        <f ca="1" xml:space="preserve"> IF( AND( OFFSET($A$1, 1354 - 1, 54 - 1) = "1", OFFSET($A$1, 1354 - 1, 55 - 1) = "1" ), 1, IF( AND( OFFSET($A$1, 1354 - 1, 54 - 1) = "1", OFFSET($A$1, 1354 - 1, 55 - 1) = "0" ), 2, IF( AND( OFFSET($A$1, 1354 - 1, 54 - 1) = "0", OFFSET($A$1, 1354 - 1, 55 - 1) = "1" ), 3, 4 ) ) )</f>
        <v>1</v>
      </c>
    </row>
    <row r="1355" spans="53:56" x14ac:dyDescent="0.35">
      <c r="BA1355" s="3">
        <v>0.59219383398170944</v>
      </c>
      <c r="BB1355" s="3" t="str">
        <f>"1"</f>
        <v>1</v>
      </c>
      <c r="BC1355" t="str">
        <f ca="1">IF((OFFSET($A$1, 1355 - 1, 53 - 1)) &gt;= (OFFSET($A$1, 69 - 1, 7 - 1)), "1","0")</f>
        <v>1</v>
      </c>
      <c r="BD1355">
        <f ca="1" xml:space="preserve"> IF( AND( OFFSET($A$1, 1355 - 1, 54 - 1) = "1", OFFSET($A$1, 1355 - 1, 55 - 1) = "1" ), 1, IF( AND( OFFSET($A$1, 1355 - 1, 54 - 1) = "1", OFFSET($A$1, 1355 - 1, 55 - 1) = "0" ), 2, IF( AND( OFFSET($A$1, 1355 - 1, 54 - 1) = "0", OFFSET($A$1, 1355 - 1, 55 - 1) = "1" ), 3, 4 ) ) )</f>
        <v>1</v>
      </c>
    </row>
    <row r="1356" spans="53:56" x14ac:dyDescent="0.35">
      <c r="BA1356" s="3">
        <v>0.59127625895143787</v>
      </c>
      <c r="BB1356" s="3" t="str">
        <f>"1"</f>
        <v>1</v>
      </c>
      <c r="BC1356" t="str">
        <f ca="1">IF((OFFSET($A$1, 1356 - 1, 53 - 1)) &gt;= (OFFSET($A$1, 69 - 1, 7 - 1)), "1","0")</f>
        <v>1</v>
      </c>
      <c r="BD1356">
        <f ca="1" xml:space="preserve"> IF( AND( OFFSET($A$1, 1356 - 1, 54 - 1) = "1", OFFSET($A$1, 1356 - 1, 55 - 1) = "1" ), 1, IF( AND( OFFSET($A$1, 1356 - 1, 54 - 1) = "1", OFFSET($A$1, 1356 - 1, 55 - 1) = "0" ), 2, IF( AND( OFFSET($A$1, 1356 - 1, 54 - 1) = "0", OFFSET($A$1, 1356 - 1, 55 - 1) = "1" ), 3, 4 ) ) )</f>
        <v>1</v>
      </c>
    </row>
    <row r="1357" spans="53:56" x14ac:dyDescent="0.35">
      <c r="BA1357" s="3">
        <v>0.59033788992275682</v>
      </c>
      <c r="BB1357" s="3" t="str">
        <f>"1"</f>
        <v>1</v>
      </c>
      <c r="BC1357" t="str">
        <f ca="1">IF((OFFSET($A$1, 1357 - 1, 53 - 1)) &gt;= (OFFSET($A$1, 69 - 1, 7 - 1)), "1","0")</f>
        <v>1</v>
      </c>
      <c r="BD1357">
        <f ca="1" xml:space="preserve"> IF( AND( OFFSET($A$1, 1357 - 1, 54 - 1) = "1", OFFSET($A$1, 1357 - 1, 55 - 1) = "1" ), 1, IF( AND( OFFSET($A$1, 1357 - 1, 54 - 1) = "1", OFFSET($A$1, 1357 - 1, 55 - 1) = "0" ), 2, IF( AND( OFFSET($A$1, 1357 - 1, 54 - 1) = "0", OFFSET($A$1, 1357 - 1, 55 - 1) = "1" ), 3, 4 ) ) )</f>
        <v>1</v>
      </c>
    </row>
    <row r="1358" spans="53:56" x14ac:dyDescent="0.35">
      <c r="BA1358" s="3">
        <v>0.589378968629236</v>
      </c>
      <c r="BB1358" s="3" t="str">
        <f>"0"</f>
        <v>0</v>
      </c>
      <c r="BC1358" t="str">
        <f ca="1">IF((OFFSET($A$1, 1358 - 1, 53 - 1)) &gt;= (OFFSET($A$1, 69 - 1, 7 - 1)), "1","0")</f>
        <v>1</v>
      </c>
      <c r="BD1358">
        <f ca="1" xml:space="preserve"> IF( AND( OFFSET($A$1, 1358 - 1, 54 - 1) = "1", OFFSET($A$1, 1358 - 1, 55 - 1) = "1" ), 1, IF( AND( OFFSET($A$1, 1358 - 1, 54 - 1) = "1", OFFSET($A$1, 1358 - 1, 55 - 1) = "0" ), 2, IF( AND( OFFSET($A$1, 1358 - 1, 54 - 1) = "0", OFFSET($A$1, 1358 - 1, 55 - 1) = "1" ), 3, 4 ) ) )</f>
        <v>3</v>
      </c>
    </row>
    <row r="1359" spans="53:56" x14ac:dyDescent="0.35">
      <c r="BA1359" s="3">
        <v>0.31410823636247126</v>
      </c>
      <c r="BB1359" s="3" t="str">
        <f>"1"</f>
        <v>1</v>
      </c>
      <c r="BC1359" t="str">
        <f ca="1">IF((OFFSET($A$1, 1359 - 1, 53 - 1)) &gt;= (OFFSET($A$1, 69 - 1, 7 - 1)), "1","0")</f>
        <v>0</v>
      </c>
      <c r="BD1359">
        <f ca="1" xml:space="preserve"> IF( AND( OFFSET($A$1, 1359 - 1, 54 - 1) = "1", OFFSET($A$1, 1359 - 1, 55 - 1) = "1" ), 1, IF( AND( OFFSET($A$1, 1359 - 1, 54 - 1) = "1", OFFSET($A$1, 1359 - 1, 55 - 1) = "0" ), 2, IF( AND( OFFSET($A$1, 1359 - 1, 54 - 1) = "0", OFFSET($A$1, 1359 - 1, 55 - 1) = "1" ), 3, 4 ) ) )</f>
        <v>2</v>
      </c>
    </row>
    <row r="1360" spans="53:56" x14ac:dyDescent="0.35">
      <c r="BA1360" s="3">
        <v>0.58740046938850532</v>
      </c>
      <c r="BB1360" s="3" t="str">
        <f>"0"</f>
        <v>0</v>
      </c>
      <c r="BC1360" t="str">
        <f ca="1">IF((OFFSET($A$1, 1360 - 1, 53 - 1)) &gt;= (OFFSET($A$1, 69 - 1, 7 - 1)), "1","0")</f>
        <v>1</v>
      </c>
      <c r="BD1360">
        <f ca="1" xml:space="preserve"> IF( AND( OFFSET($A$1, 1360 - 1, 54 - 1) = "1", OFFSET($A$1, 1360 - 1, 55 - 1) = "1" ), 1, IF( AND( OFFSET($A$1, 1360 - 1, 54 - 1) = "1", OFFSET($A$1, 1360 - 1, 55 - 1) = "0" ), 2, IF( AND( OFFSET($A$1, 1360 - 1, 54 - 1) = "0", OFFSET($A$1, 1360 - 1, 55 - 1) = "1" ), 3, 4 ) ) )</f>
        <v>3</v>
      </c>
    </row>
    <row r="1361" spans="53:56" x14ac:dyDescent="0.35">
      <c r="BA1361" s="3">
        <v>0.31231685315613716</v>
      </c>
      <c r="BB1361" s="3" t="str">
        <f>"0"</f>
        <v>0</v>
      </c>
      <c r="BC1361" t="str">
        <f ca="1">IF((OFFSET($A$1, 1361 - 1, 53 - 1)) &gt;= (OFFSET($A$1, 69 - 1, 7 - 1)), "1","0")</f>
        <v>0</v>
      </c>
      <c r="BD1361">
        <f ca="1" xml:space="preserve"> IF( AND( OFFSET($A$1, 1361 - 1, 54 - 1) = "1", OFFSET($A$1, 1361 - 1, 55 - 1) = "1" ), 1, IF( AND( OFFSET($A$1, 1361 - 1, 54 - 1) = "1", OFFSET($A$1, 1361 - 1, 55 - 1) = "0" ), 2, IF( AND( OFFSET($A$1, 1361 - 1, 54 - 1) = "0", OFFSET($A$1, 1361 - 1, 55 - 1) = "1" ), 3, 4 ) ) )</f>
        <v>4</v>
      </c>
    </row>
    <row r="1362" spans="53:56" x14ac:dyDescent="0.35">
      <c r="BA1362" s="3">
        <v>0.31139823675487832</v>
      </c>
      <c r="BB1362" s="3" t="str">
        <f>"1"</f>
        <v>1</v>
      </c>
      <c r="BC1362" t="str">
        <f ca="1">IF((OFFSET($A$1, 1362 - 1, 53 - 1)) &gt;= (OFFSET($A$1, 69 - 1, 7 - 1)), "1","0")</f>
        <v>0</v>
      </c>
      <c r="BD1362">
        <f ca="1" xml:space="preserve"> IF( AND( OFFSET($A$1, 1362 - 1, 54 - 1) = "1", OFFSET($A$1, 1362 - 1, 55 - 1) = "1" ), 1, IF( AND( OFFSET($A$1, 1362 - 1, 54 - 1) = "1", OFFSET($A$1, 1362 - 1, 55 - 1) = "0" ), 2, IF( AND( OFFSET($A$1, 1362 - 1, 54 - 1) = "0", OFFSET($A$1, 1362 - 1, 55 - 1) = "1" ), 3, 4 ) ) )</f>
        <v>2</v>
      </c>
    </row>
    <row r="1363" spans="53:56" x14ac:dyDescent="0.35">
      <c r="BA1363" s="3">
        <v>0.58428500389078852</v>
      </c>
      <c r="BB1363" s="3" t="str">
        <f>"1"</f>
        <v>1</v>
      </c>
      <c r="BC1363" t="str">
        <f ca="1">IF((OFFSET($A$1, 1363 - 1, 53 - 1)) &gt;= (OFFSET($A$1, 69 - 1, 7 - 1)), "1","0")</f>
        <v>1</v>
      </c>
      <c r="BD1363">
        <f ca="1" xml:space="preserve"> IF( AND( OFFSET($A$1, 1363 - 1, 54 - 1) = "1", OFFSET($A$1, 1363 - 1, 55 - 1) = "1" ), 1, IF( AND( OFFSET($A$1, 1363 - 1, 54 - 1) = "1", OFFSET($A$1, 1363 - 1, 55 - 1) = "0" ), 2, IF( AND( OFFSET($A$1, 1363 - 1, 54 - 1) = "0", OFFSET($A$1, 1363 - 1, 55 - 1) = "1" ), 3, 4 ) ) )</f>
        <v>1</v>
      </c>
    </row>
    <row r="1364" spans="53:56" x14ac:dyDescent="0.35">
      <c r="BA1364" s="3">
        <v>0.58320821745362661</v>
      </c>
      <c r="BB1364" s="3" t="str">
        <f>"0"</f>
        <v>0</v>
      </c>
      <c r="BC1364" t="str">
        <f ca="1">IF((OFFSET($A$1, 1364 - 1, 53 - 1)) &gt;= (OFFSET($A$1, 69 - 1, 7 - 1)), "1","0")</f>
        <v>1</v>
      </c>
      <c r="BD1364">
        <f ca="1" xml:space="preserve"> IF( AND( OFFSET($A$1, 1364 - 1, 54 - 1) = "1", OFFSET($A$1, 1364 - 1, 55 - 1) = "1" ), 1, IF( AND( OFFSET($A$1, 1364 - 1, 54 - 1) = "1", OFFSET($A$1, 1364 - 1, 55 - 1) = "0" ), 2, IF( AND( OFFSET($A$1, 1364 - 1, 54 - 1) = "0", OFFSET($A$1, 1364 - 1, 55 - 1) = "1" ), 3, 4 ) ) )</f>
        <v>3</v>
      </c>
    </row>
    <row r="1365" spans="53:56" x14ac:dyDescent="0.35">
      <c r="BA1365" s="3">
        <v>0.30855497743139487</v>
      </c>
      <c r="BB1365" s="3" t="str">
        <f>"1"</f>
        <v>1</v>
      </c>
      <c r="BC1365" t="str">
        <f ca="1">IF((OFFSET($A$1, 1365 - 1, 53 - 1)) &gt;= (OFFSET($A$1, 69 - 1, 7 - 1)), "1","0")</f>
        <v>0</v>
      </c>
      <c r="BD1365">
        <f ca="1" xml:space="preserve"> IF( AND( OFFSET($A$1, 1365 - 1, 54 - 1) = "1", OFFSET($A$1, 1365 - 1, 55 - 1) = "1" ), 1, IF( AND( OFFSET($A$1, 1365 - 1, 54 - 1) = "1", OFFSET($A$1, 1365 - 1, 55 - 1) = "0" ), 2, IF( AND( OFFSET($A$1, 1365 - 1, 54 - 1) = "0", OFFSET($A$1, 1365 - 1, 55 - 1) = "1" ), 3, 4 ) ) )</f>
        <v>2</v>
      </c>
    </row>
    <row r="1366" spans="53:56" x14ac:dyDescent="0.35">
      <c r="BA1366" s="3">
        <v>0.58099891693921857</v>
      </c>
      <c r="BB1366" s="3" t="str">
        <f>"1"</f>
        <v>1</v>
      </c>
      <c r="BC1366" t="str">
        <f ca="1">IF((OFFSET($A$1, 1366 - 1, 53 - 1)) &gt;= (OFFSET($A$1, 69 - 1, 7 - 1)), "1","0")</f>
        <v>1</v>
      </c>
      <c r="BD1366">
        <f ca="1" xml:space="preserve"> IF( AND( OFFSET($A$1, 1366 - 1, 54 - 1) = "1", OFFSET($A$1, 1366 - 1, 55 - 1) = "1" ), 1, IF( AND( OFFSET($A$1, 1366 - 1, 54 - 1) = "1", OFFSET($A$1, 1366 - 1, 55 - 1) = "0" ), 2, IF( AND( OFFSET($A$1, 1366 - 1, 54 - 1) = "0", OFFSET($A$1, 1366 - 1, 55 - 1) = "1" ), 3, 4 ) ) )</f>
        <v>1</v>
      </c>
    </row>
    <row r="1367" spans="53:56" x14ac:dyDescent="0.35">
      <c r="BA1367" s="3">
        <v>0.57986699904262073</v>
      </c>
      <c r="BB1367" s="3" t="str">
        <f>"1"</f>
        <v>1</v>
      </c>
      <c r="BC1367" t="str">
        <f ca="1">IF((OFFSET($A$1, 1367 - 1, 53 - 1)) &gt;= (OFFSET($A$1, 69 - 1, 7 - 1)), "1","0")</f>
        <v>1</v>
      </c>
      <c r="BD1367">
        <f ca="1" xml:space="preserve"> IF( AND( OFFSET($A$1, 1367 - 1, 54 - 1) = "1", OFFSET($A$1, 1367 - 1, 55 - 1) = "1" ), 1, IF( AND( OFFSET($A$1, 1367 - 1, 54 - 1) = "1", OFFSET($A$1, 1367 - 1, 55 - 1) = "0" ), 2, IF( AND( OFFSET($A$1, 1367 - 1, 54 - 1) = "0", OFFSET($A$1, 1367 - 1, 55 - 1) = "1" ), 3, 4 ) ) )</f>
        <v>1</v>
      </c>
    </row>
    <row r="1368" spans="53:56" x14ac:dyDescent="0.35">
      <c r="BA1368" s="3">
        <v>0.57871731110652924</v>
      </c>
      <c r="BB1368" s="3" t="str">
        <f>"1"</f>
        <v>1</v>
      </c>
      <c r="BC1368" t="str">
        <f ca="1">IF((OFFSET($A$1, 1368 - 1, 53 - 1)) &gt;= (OFFSET($A$1, 69 - 1, 7 - 1)), "1","0")</f>
        <v>1</v>
      </c>
      <c r="BD1368">
        <f ca="1" xml:space="preserve"> IF( AND( OFFSET($A$1, 1368 - 1, 54 - 1) = "1", OFFSET($A$1, 1368 - 1, 55 - 1) = "1" ), 1, IF( AND( OFFSET($A$1, 1368 - 1, 54 - 1) = "1", OFFSET($A$1, 1368 - 1, 55 - 1) = "0" ), 2, IF( AND( OFFSET($A$1, 1368 - 1, 54 - 1) = "0", OFFSET($A$1, 1368 - 1, 55 - 1) = "1" ), 3, 4 ) ) )</f>
        <v>1</v>
      </c>
    </row>
    <row r="1369" spans="53:56" x14ac:dyDescent="0.35">
      <c r="BA1369" s="3">
        <v>0.57755016757454158</v>
      </c>
      <c r="BB1369" s="3" t="str">
        <f>"1"</f>
        <v>1</v>
      </c>
      <c r="BC1369" t="str">
        <f ca="1">IF((OFFSET($A$1, 1369 - 1, 53 - 1)) &gt;= (OFFSET($A$1, 69 - 1, 7 - 1)), "1","0")</f>
        <v>1</v>
      </c>
      <c r="BD1369">
        <f ca="1" xml:space="preserve"> IF( AND( OFFSET($A$1, 1369 - 1, 54 - 1) = "1", OFFSET($A$1, 1369 - 1, 55 - 1) = "1" ), 1, IF( AND( OFFSET($A$1, 1369 - 1, 54 - 1) = "1", OFFSET($A$1, 1369 - 1, 55 - 1) = "0" ), 2, IF( AND( OFFSET($A$1, 1369 - 1, 54 - 1) = "0", OFFSET($A$1, 1369 - 1, 55 - 1) = "1" ), 3, 4 ) ) )</f>
        <v>1</v>
      </c>
    </row>
    <row r="1370" spans="53:56" x14ac:dyDescent="0.35">
      <c r="BA1370" s="3">
        <v>0.57636588936908895</v>
      </c>
      <c r="BB1370" s="3" t="str">
        <f>"0"</f>
        <v>0</v>
      </c>
      <c r="BC1370" t="str">
        <f ca="1">IF((OFFSET($A$1, 1370 - 1, 53 - 1)) &gt;= (OFFSET($A$1, 69 - 1, 7 - 1)), "1","0")</f>
        <v>1</v>
      </c>
      <c r="BD1370">
        <f ca="1" xml:space="preserve"> IF( AND( OFFSET($A$1, 1370 - 1, 54 - 1) = "1", OFFSET($A$1, 1370 - 1, 55 - 1) = "1" ), 1, IF( AND( OFFSET($A$1, 1370 - 1, 54 - 1) = "1", OFFSET($A$1, 1370 - 1, 55 - 1) = "0" ), 2, IF( AND( OFFSET($A$1, 1370 - 1, 54 - 1) = "0", OFFSET($A$1, 1370 - 1, 55 - 1) = "1" ), 3, 4 ) ) )</f>
        <v>3</v>
      </c>
    </row>
    <row r="1371" spans="53:56" x14ac:dyDescent="0.35">
      <c r="BA1371" s="3">
        <v>0.30250852377935689</v>
      </c>
      <c r="BB1371" s="3" t="str">
        <f>"1"</f>
        <v>1</v>
      </c>
      <c r="BC1371" t="str">
        <f ca="1">IF((OFFSET($A$1, 1371 - 1, 53 - 1)) &gt;= (OFFSET($A$1, 69 - 1, 7 - 1)), "1","0")</f>
        <v>0</v>
      </c>
      <c r="BD1371">
        <f ca="1" xml:space="preserve"> IF( AND( OFFSET($A$1, 1371 - 1, 54 - 1) = "1", OFFSET($A$1, 1371 - 1, 55 - 1) = "1" ), 1, IF( AND( OFFSET($A$1, 1371 - 1, 54 - 1) = "1", OFFSET($A$1, 1371 - 1, 55 - 1) = "0" ), 2, IF( AND( OFFSET($A$1, 1371 - 1, 54 - 1) = "0", OFFSET($A$1, 1371 - 1, 55 - 1) = "1" ), 3, 4 ) ) )</f>
        <v>2</v>
      </c>
    </row>
    <row r="1372" spans="53:56" x14ac:dyDescent="0.35">
      <c r="BA1372" s="3">
        <v>0.57394724476038916</v>
      </c>
      <c r="BB1372" s="3" t="str">
        <f>"1"</f>
        <v>1</v>
      </c>
      <c r="BC1372" t="str">
        <f ca="1">IF((OFFSET($A$1, 1372 - 1, 53 - 1)) &gt;= (OFFSET($A$1, 69 - 1, 7 - 1)), "1","0")</f>
        <v>1</v>
      </c>
      <c r="BD1372">
        <f ca="1" xml:space="preserve"> IF( AND( OFFSET($A$1, 1372 - 1, 54 - 1) = "1", OFFSET($A$1, 1372 - 1, 55 - 1) = "1" ), 1, IF( AND( OFFSET($A$1, 1372 - 1, 54 - 1) = "1", OFFSET($A$1, 1372 - 1, 55 - 1) = "0" ), 2, IF( AND( OFFSET($A$1, 1372 - 1, 54 - 1) = "0", OFFSET($A$1, 1372 - 1, 55 - 1) = "1" ), 3, 4 ) ) )</f>
        <v>1</v>
      </c>
    </row>
    <row r="1373" spans="53:56" x14ac:dyDescent="0.35">
      <c r="BA1373" s="3">
        <v>0.57271355218558373</v>
      </c>
      <c r="BB1373" s="3" t="str">
        <f>"0"</f>
        <v>0</v>
      </c>
      <c r="BC1373" t="str">
        <f ca="1">IF((OFFSET($A$1, 1373 - 1, 53 - 1)) &gt;= (OFFSET($A$1, 69 - 1, 7 - 1)), "1","0")</f>
        <v>1</v>
      </c>
      <c r="BD1373">
        <f ca="1" xml:space="preserve"> IF( AND( OFFSET($A$1, 1373 - 1, 54 - 1) = "1", OFFSET($A$1, 1373 - 1, 55 - 1) = "1" ), 1, IF( AND( OFFSET($A$1, 1373 - 1, 54 - 1) = "1", OFFSET($A$1, 1373 - 1, 55 - 1) = "0" ), 2, IF( AND( OFFSET($A$1, 1373 - 1, 54 - 1) = "0", OFFSET($A$1, 1373 - 1, 55 - 1) = "1" ), 3, 4 ) ) )</f>
        <v>3</v>
      </c>
    </row>
    <row r="1374" spans="53:56" x14ac:dyDescent="0.35">
      <c r="BA1374" s="3">
        <v>0.29932607374601711</v>
      </c>
      <c r="BB1374" s="3" t="str">
        <f>"0"</f>
        <v>0</v>
      </c>
      <c r="BC1374" t="str">
        <f ca="1">IF((OFFSET($A$1, 1374 - 1, 53 - 1)) &gt;= (OFFSET($A$1, 69 - 1, 7 - 1)), "1","0")</f>
        <v>0</v>
      </c>
      <c r="BD1374">
        <f ca="1" xml:space="preserve"> IF( AND( OFFSET($A$1, 1374 - 1, 54 - 1) = "1", OFFSET($A$1, 1374 - 1, 55 - 1) = "1" ), 1, IF( AND( OFFSET($A$1, 1374 - 1, 54 - 1) = "1", OFFSET($A$1, 1374 - 1, 55 - 1) = "0" ), 2, IF( AND( OFFSET($A$1, 1374 - 1, 54 - 1) = "0", OFFSET($A$1, 1374 - 1, 55 - 1) = "1" ), 3, 4 ) ) )</f>
        <v>4</v>
      </c>
    </row>
    <row r="1375" spans="53:56" x14ac:dyDescent="0.35">
      <c r="BA1375" s="3">
        <v>0.2982443026018663</v>
      </c>
      <c r="BB1375" s="3" t="str">
        <f>"0"</f>
        <v>0</v>
      </c>
      <c r="BC1375" t="str">
        <f ca="1">IF((OFFSET($A$1, 1375 - 1, 53 - 1)) &gt;= (OFFSET($A$1, 69 - 1, 7 - 1)), "1","0")</f>
        <v>0</v>
      </c>
      <c r="BD1375">
        <f ca="1" xml:space="preserve"> IF( AND( OFFSET($A$1, 1375 - 1, 54 - 1) = "1", OFFSET($A$1, 1375 - 1, 55 - 1) = "1" ), 1, IF( AND( OFFSET($A$1, 1375 - 1, 54 - 1) = "1", OFFSET($A$1, 1375 - 1, 55 - 1) = "0" ), 2, IF( AND( OFFSET($A$1, 1375 - 1, 54 - 1) = "0", OFFSET($A$1, 1375 - 1, 55 - 1) = "1" ), 3, 4 ) ) )</f>
        <v>4</v>
      </c>
    </row>
    <row r="1376" spans="53:56" x14ac:dyDescent="0.35">
      <c r="BA1376" s="3">
        <v>0.29715272541124788</v>
      </c>
      <c r="BB1376" s="3" t="str">
        <f>"0"</f>
        <v>0</v>
      </c>
      <c r="BC1376" t="str">
        <f ca="1">IF((OFFSET($A$1, 1376 - 1, 53 - 1)) &gt;= (OFFSET($A$1, 69 - 1, 7 - 1)), "1","0")</f>
        <v>0</v>
      </c>
      <c r="BD1376">
        <f ca="1" xml:space="preserve"> IF( AND( OFFSET($A$1, 1376 - 1, 54 - 1) = "1", OFFSET($A$1, 1376 - 1, 55 - 1) = "1" ), 1, IF( AND( OFFSET($A$1, 1376 - 1, 54 - 1) = "1", OFFSET($A$1, 1376 - 1, 55 - 1) = "0" ), 2, IF( AND( OFFSET($A$1, 1376 - 1, 54 - 1) = "0", OFFSET($A$1, 1376 - 1, 55 - 1) = "1" ), 3, 4 ) ) )</f>
        <v>4</v>
      </c>
    </row>
    <row r="1377" spans="53:56" x14ac:dyDescent="0.35">
      <c r="BA1377" s="3">
        <v>0.29605174821945357</v>
      </c>
      <c r="BB1377" s="3" t="str">
        <f>"1"</f>
        <v>1</v>
      </c>
      <c r="BC1377" t="str">
        <f ca="1">IF((OFFSET($A$1, 1377 - 1, 53 - 1)) &gt;= (OFFSET($A$1, 69 - 1, 7 - 1)), "1","0")</f>
        <v>0</v>
      </c>
      <c r="BD1377">
        <f ca="1" xml:space="preserve"> IF( AND( OFFSET($A$1, 1377 - 1, 54 - 1) = "1", OFFSET($A$1, 1377 - 1, 55 - 1) = "1" ), 1, IF( AND( OFFSET($A$1, 1377 - 1, 54 - 1) = "1", OFFSET($A$1, 1377 - 1, 55 - 1) = "0" ), 2, IF( AND( OFFSET($A$1, 1377 - 1, 54 - 1) = "0", OFFSET($A$1, 1377 - 1, 55 - 1) = "1" ), 3, 4 ) ) )</f>
        <v>2</v>
      </c>
    </row>
    <row r="1378" spans="53:56" x14ac:dyDescent="0.35">
      <c r="BA1378" s="3">
        <v>0.56631542541511282</v>
      </c>
      <c r="BB1378" s="3" t="str">
        <f>"1"</f>
        <v>1</v>
      </c>
      <c r="BC1378" t="str">
        <f ca="1">IF((OFFSET($A$1, 1378 - 1, 53 - 1)) &gt;= (OFFSET($A$1, 69 - 1, 7 - 1)), "1","0")</f>
        <v>1</v>
      </c>
      <c r="BD1378">
        <f ca="1" xml:space="preserve"> IF( AND( OFFSET($A$1, 1378 - 1, 54 - 1) = "1", OFFSET($A$1, 1378 - 1, 55 - 1) = "1" ), 1, IF( AND( OFFSET($A$1, 1378 - 1, 54 - 1) = "1", OFFSET($A$1, 1378 - 1, 55 - 1) = "0" ), 2, IF( AND( OFFSET($A$1, 1378 - 1, 54 - 1) = "0", OFFSET($A$1, 1378 - 1, 55 - 1) = "1" ), 3, 4 ) ) )</f>
        <v>1</v>
      </c>
    </row>
    <row r="1379" spans="53:56" x14ac:dyDescent="0.35">
      <c r="BA1379" s="3">
        <v>0.56499242025167717</v>
      </c>
      <c r="BB1379" s="3" t="str">
        <f>"1"</f>
        <v>1</v>
      </c>
      <c r="BC1379" t="str">
        <f ca="1">IF((OFFSET($A$1, 1379 - 1, 53 - 1)) &gt;= (OFFSET($A$1, 69 - 1, 7 - 1)), "1","0")</f>
        <v>1</v>
      </c>
      <c r="BD1379">
        <f ca="1" xml:space="preserve"> IF( AND( OFFSET($A$1, 1379 - 1, 54 - 1) = "1", OFFSET($A$1, 1379 - 1, 55 - 1) = "1" ), 1, IF( AND( OFFSET($A$1, 1379 - 1, 54 - 1) = "1", OFFSET($A$1, 1379 - 1, 55 - 1) = "0" ), 2, IF( AND( OFFSET($A$1, 1379 - 1, 54 - 1) = "0", OFFSET($A$1, 1379 - 1, 55 - 1) = "1" ), 3, 4 ) ) )</f>
        <v>1</v>
      </c>
    </row>
    <row r="1380" spans="53:56" x14ac:dyDescent="0.35">
      <c r="BA1380" s="3">
        <v>0.56365583388426954</v>
      </c>
      <c r="BB1380" s="3" t="str">
        <f>"1"</f>
        <v>1</v>
      </c>
      <c r="BC1380" t="str">
        <f ca="1">IF((OFFSET($A$1, 1380 - 1, 53 - 1)) &gt;= (OFFSET($A$1, 69 - 1, 7 - 1)), "1","0")</f>
        <v>1</v>
      </c>
      <c r="BD1380">
        <f ca="1" xml:space="preserve"> IF( AND( OFFSET($A$1, 1380 - 1, 54 - 1) = "1", OFFSET($A$1, 1380 - 1, 55 - 1) = "1" ), 1, IF( AND( OFFSET($A$1, 1380 - 1, 54 - 1) = "1", OFFSET($A$1, 1380 - 1, 55 - 1) = "0" ), 2, IF( AND( OFFSET($A$1, 1380 - 1, 54 - 1) = "0", OFFSET($A$1, 1380 - 1, 55 - 1) = "1" ), 3, 4 ) ) )</f>
        <v>1</v>
      </c>
    </row>
    <row r="1381" spans="53:56" x14ac:dyDescent="0.35">
      <c r="BA1381" s="3">
        <v>0.56230605447222637</v>
      </c>
      <c r="BB1381" s="3" t="str">
        <f>"1"</f>
        <v>1</v>
      </c>
      <c r="BC1381" t="str">
        <f ca="1">IF((OFFSET($A$1, 1381 - 1, 53 - 1)) &gt;= (OFFSET($A$1, 69 - 1, 7 - 1)), "1","0")</f>
        <v>1</v>
      </c>
      <c r="BD1381">
        <f ca="1" xml:space="preserve"> IF( AND( OFFSET($A$1, 1381 - 1, 54 - 1) = "1", OFFSET($A$1, 1381 - 1, 55 - 1) = "1" ), 1, IF( AND( OFFSET($A$1, 1381 - 1, 54 - 1) = "1", OFFSET($A$1, 1381 - 1, 55 - 1) = "0" ), 2, IF( AND( OFFSET($A$1, 1381 - 1, 54 - 1) = "0", OFFSET($A$1, 1381 - 1, 55 - 1) = "1" ), 3, 4 ) ) )</f>
        <v>1</v>
      </c>
    </row>
    <row r="1382" spans="53:56" x14ac:dyDescent="0.35">
      <c r="BA1382" s="3">
        <v>0.56094347577197978</v>
      </c>
      <c r="BB1382" s="3" t="str">
        <f>"0"</f>
        <v>0</v>
      </c>
      <c r="BC1382" t="str">
        <f ca="1">IF((OFFSET($A$1, 1382 - 1, 53 - 1)) &gt;= (OFFSET($A$1, 69 - 1, 7 - 1)), "1","0")</f>
        <v>1</v>
      </c>
      <c r="BD1382">
        <f ca="1" xml:space="preserve"> IF( AND( OFFSET($A$1, 1382 - 1, 54 - 1) = "1", OFFSET($A$1, 1382 - 1, 55 - 1) = "1" ), 1, IF( AND( OFFSET($A$1, 1382 - 1, 54 - 1) = "1", OFFSET($A$1, 1382 - 1, 55 - 1) = "0" ), 2, IF( AND( OFFSET($A$1, 1382 - 1, 54 - 1) = "0", OFFSET($A$1, 1382 - 1, 55 - 1) = "1" ), 3, 4 ) ) )</f>
        <v>3</v>
      </c>
    </row>
    <row r="1383" spans="53:56" x14ac:dyDescent="0.35">
      <c r="BA1383" s="3">
        <v>0.2892714350660468</v>
      </c>
      <c r="BB1383" s="3" t="str">
        <f>"0"</f>
        <v>0</v>
      </c>
      <c r="BC1383" t="str">
        <f ca="1">IF((OFFSET($A$1, 1383 - 1, 53 - 1)) &gt;= (OFFSET($A$1, 69 - 1, 7 - 1)), "1","0")</f>
        <v>0</v>
      </c>
      <c r="BD1383">
        <f ca="1" xml:space="preserve"> IF( AND( OFFSET($A$1, 1383 - 1, 54 - 1) = "1", OFFSET($A$1, 1383 - 1, 55 - 1) = "1" ), 1, IF( AND( OFFSET($A$1, 1383 - 1, 54 - 1) = "1", OFFSET($A$1, 1383 - 1, 55 - 1) = "0" ), 2, IF( AND( OFFSET($A$1, 1383 - 1, 54 - 1) = "0", OFFSET($A$1, 1383 - 1, 55 - 1) = "1" ), 3, 4 ) ) )</f>
        <v>4</v>
      </c>
    </row>
    <row r="1384" spans="53:56" x14ac:dyDescent="0.35">
      <c r="BA1384" s="3">
        <v>0.28811615858630685</v>
      </c>
      <c r="BB1384" s="3" t="str">
        <f>"0"</f>
        <v>0</v>
      </c>
      <c r="BC1384" t="str">
        <f ca="1">IF((OFFSET($A$1, 1384 - 1, 53 - 1)) &gt;= (OFFSET($A$1, 69 - 1, 7 - 1)), "1","0")</f>
        <v>0</v>
      </c>
      <c r="BD1384">
        <f ca="1" xml:space="preserve"> IF( AND( OFFSET($A$1, 1384 - 1, 54 - 1) = "1", OFFSET($A$1, 1384 - 1, 55 - 1) = "1" ), 1, IF( AND( OFFSET($A$1, 1384 - 1, 54 - 1) = "1", OFFSET($A$1, 1384 - 1, 55 - 1) = "0" ), 2, IF( AND( OFFSET($A$1, 1384 - 1, 54 - 1) = "0", OFFSET($A$1, 1384 - 1, 55 - 1) = "1" ), 3, 4 ) ) )</f>
        <v>4</v>
      </c>
    </row>
    <row r="1385" spans="53:56" x14ac:dyDescent="0.35">
      <c r="BA1385" s="3">
        <v>0.28695477999629876</v>
      </c>
      <c r="BB1385" s="3" t="str">
        <f>"1"</f>
        <v>1</v>
      </c>
      <c r="BC1385" t="str">
        <f ca="1">IF((OFFSET($A$1, 1385 - 1, 53 - 1)) &gt;= (OFFSET($A$1, 69 - 1, 7 - 1)), "1","0")</f>
        <v>0</v>
      </c>
      <c r="BD1385">
        <f ca="1" xml:space="preserve"> IF( AND( OFFSET($A$1, 1385 - 1, 54 - 1) = "1", OFFSET($A$1, 1385 - 1, 55 - 1) = "1" ), 1, IF( AND( OFFSET($A$1, 1385 - 1, 54 - 1) = "1", OFFSET($A$1, 1385 - 1, 55 - 1) = "0" ), 2, IF( AND( OFFSET($A$1, 1385 - 1, 54 - 1) = "0", OFFSET($A$1, 1385 - 1, 55 - 1) = "1" ), 3, 4 ) ) )</f>
        <v>2</v>
      </c>
    </row>
    <row r="1386" spans="53:56" x14ac:dyDescent="0.35">
      <c r="BA1386" s="3">
        <v>0.55537323270973715</v>
      </c>
      <c r="BB1386" s="3" t="str">
        <f>"0"</f>
        <v>0</v>
      </c>
      <c r="BC1386" t="str">
        <f ca="1">IF((OFFSET($A$1, 1386 - 1, 53 - 1)) &gt;= (OFFSET($A$1, 69 - 1, 7 - 1)), "1","0")</f>
        <v>1</v>
      </c>
      <c r="BD1386">
        <f ca="1" xml:space="preserve"> IF( AND( OFFSET($A$1, 1386 - 1, 54 - 1) = "1", OFFSET($A$1, 1386 - 1, 55 - 1) = "1" ), 1, IF( AND( OFFSET($A$1, 1386 - 1, 54 - 1) = "1", OFFSET($A$1, 1386 - 1, 55 - 1) = "0" ), 2, IF( AND( OFFSET($A$1, 1386 - 1, 54 - 1) = "0", OFFSET($A$1, 1386 - 1, 55 - 1) = "1" ), 3, 4 ) ) )</f>
        <v>3</v>
      </c>
    </row>
    <row r="1387" spans="53:56" x14ac:dyDescent="0.35">
      <c r="BA1387" s="3">
        <v>0.28461537648129315</v>
      </c>
      <c r="BB1387" s="3" t="str">
        <f>"0"</f>
        <v>0</v>
      </c>
      <c r="BC1387" t="str">
        <f ca="1">IF((OFFSET($A$1, 1387 - 1, 53 - 1)) &gt;= (OFFSET($A$1, 69 - 1, 7 - 1)), "1","0")</f>
        <v>0</v>
      </c>
      <c r="BD1387">
        <f ca="1" xml:space="preserve"> IF( AND( OFFSET($A$1, 1387 - 1, 54 - 1) = "1", OFFSET($A$1, 1387 - 1, 55 - 1) = "1" ), 1, IF( AND( OFFSET($A$1, 1387 - 1, 54 - 1) = "1", OFFSET($A$1, 1387 - 1, 55 - 1) = "0" ), 2, IF( AND( OFFSET($A$1, 1387 - 1, 54 - 1) = "0", OFFSET($A$1, 1387 - 1, 55 - 1) = "1" ), 3, 4 ) ) )</f>
        <v>4</v>
      </c>
    </row>
    <row r="1388" spans="53:56" x14ac:dyDescent="0.35">
      <c r="BA1388" s="3">
        <v>0.28343818101583684</v>
      </c>
      <c r="BB1388" s="3" t="str">
        <f>"1"</f>
        <v>1</v>
      </c>
      <c r="BC1388" t="str">
        <f ca="1">IF((OFFSET($A$1, 1388 - 1, 53 - 1)) &gt;= (OFFSET($A$1, 69 - 1, 7 - 1)), "1","0")</f>
        <v>0</v>
      </c>
      <c r="BD1388">
        <f ca="1" xml:space="preserve"> IF( AND( OFFSET($A$1, 1388 - 1, 54 - 1) = "1", OFFSET($A$1, 1388 - 1, 55 - 1) = "1" ), 1, IF( AND( OFFSET($A$1, 1388 - 1, 54 - 1) = "1", OFFSET($A$1, 1388 - 1, 55 - 1) = "0" ), 2, IF( AND( OFFSET($A$1, 1388 - 1, 54 - 1) = "0", OFFSET($A$1, 1388 - 1, 55 - 1) = "1" ), 3, 4 ) ) )</f>
        <v>2</v>
      </c>
    </row>
    <row r="1389" spans="53:56" x14ac:dyDescent="0.35">
      <c r="BA1389" s="3">
        <v>0.55108124152011229</v>
      </c>
      <c r="BB1389" s="3" t="str">
        <f>"1"</f>
        <v>1</v>
      </c>
      <c r="BC1389" t="str">
        <f ca="1">IF((OFFSET($A$1, 1389 - 1, 53 - 1)) &gt;= (OFFSET($A$1, 69 - 1, 7 - 1)), "1","0")</f>
        <v>1</v>
      </c>
      <c r="BD1389">
        <f ca="1" xml:space="preserve"> IF( AND( OFFSET($A$1, 1389 - 1, 54 - 1) = "1", OFFSET($A$1, 1389 - 1, 55 - 1) = "1" ), 1, IF( AND( OFFSET($A$1, 1389 - 1, 54 - 1) = "1", OFFSET($A$1, 1389 - 1, 55 - 1) = "0" ), 2, IF( AND( OFFSET($A$1, 1389 - 1, 54 - 1) = "0", OFFSET($A$1, 1389 - 1, 55 - 1) = "1" ), 3, 4 ) ) )</f>
        <v>1</v>
      </c>
    </row>
    <row r="1390" spans="53:56" x14ac:dyDescent="0.35">
      <c r="BA1390" s="3">
        <v>0.54963107590236671</v>
      </c>
      <c r="BB1390" s="3" t="str">
        <f>"0"</f>
        <v>0</v>
      </c>
      <c r="BC1390" t="str">
        <f ca="1">IF((OFFSET($A$1, 1390 - 1, 53 - 1)) &gt;= (OFFSET($A$1, 69 - 1, 7 - 1)), "1","0")</f>
        <v>1</v>
      </c>
      <c r="BD1390">
        <f ca="1" xml:space="preserve"> IF( AND( OFFSET($A$1, 1390 - 1, 54 - 1) = "1", OFFSET($A$1, 1390 - 1, 55 - 1) = "1" ), 1, IF( AND( OFFSET($A$1, 1390 - 1, 54 - 1) = "1", OFFSET($A$1, 1390 - 1, 55 - 1) = "0" ), 2, IF( AND( OFFSET($A$1, 1390 - 1, 54 - 1) = "0", OFFSET($A$1, 1390 - 1, 55 - 1) = "1" ), 3, 4 ) ) )</f>
        <v>3</v>
      </c>
    </row>
    <row r="1391" spans="53:56" x14ac:dyDescent="0.35">
      <c r="BA1391" s="3">
        <v>0.27988158466281898</v>
      </c>
      <c r="BB1391" s="3" t="str">
        <f>"1"</f>
        <v>1</v>
      </c>
      <c r="BC1391" t="str">
        <f ca="1">IF((OFFSET($A$1, 1391 - 1, 53 - 1)) &gt;= (OFFSET($A$1, 69 - 1, 7 - 1)), "1","0")</f>
        <v>0</v>
      </c>
      <c r="BD1391">
        <f ca="1" xml:space="preserve"> IF( AND( OFFSET($A$1, 1391 - 1, 54 - 1) = "1", OFFSET($A$1, 1391 - 1, 55 - 1) = "1" ), 1, IF( AND( OFFSET($A$1, 1391 - 1, 54 - 1) = "1", OFFSET($A$1, 1391 - 1, 55 - 1) = "0" ), 2, IF( AND( OFFSET($A$1, 1391 - 1, 54 - 1) = "0", OFFSET($A$1, 1391 - 1, 55 - 1) = "1" ), 3, 4 ) ) )</f>
        <v>2</v>
      </c>
    </row>
    <row r="1392" spans="53:56" x14ac:dyDescent="0.35">
      <c r="BA1392" s="3">
        <v>0.54670411550024212</v>
      </c>
      <c r="BB1392" s="3" t="str">
        <f>"1"</f>
        <v>1</v>
      </c>
      <c r="BC1392" t="str">
        <f ca="1">IF((OFFSET($A$1, 1392 - 1, 53 - 1)) &gt;= (OFFSET($A$1, 69 - 1, 7 - 1)), "1","0")</f>
        <v>1</v>
      </c>
      <c r="BD1392">
        <f ca="1" xml:space="preserve"> IF( AND( OFFSET($A$1, 1392 - 1, 54 - 1) = "1", OFFSET($A$1, 1392 - 1, 55 - 1) = "1" ), 1, IF( AND( OFFSET($A$1, 1392 - 1, 54 - 1) = "1", OFFSET($A$1, 1392 - 1, 55 - 1) = "0" ), 2, IF( AND( OFFSET($A$1, 1392 - 1, 54 - 1) = "0", OFFSET($A$1, 1392 - 1, 55 - 1) = "1" ), 3, 4 ) ) )</f>
        <v>1</v>
      </c>
    </row>
    <row r="1393" spans="53:56" x14ac:dyDescent="0.35">
      <c r="BA1393" s="3">
        <v>0.54522821004344146</v>
      </c>
      <c r="BB1393" s="3" t="str">
        <f>"1"</f>
        <v>1</v>
      </c>
      <c r="BC1393" t="str">
        <f ca="1">IF((OFFSET($A$1, 1393 - 1, 53 - 1)) &gt;= (OFFSET($A$1, 69 - 1, 7 - 1)), "1","0")</f>
        <v>1</v>
      </c>
      <c r="BD1393">
        <f ca="1" xml:space="preserve"> IF( AND( OFFSET($A$1, 1393 - 1, 54 - 1) = "1", OFFSET($A$1, 1393 - 1, 55 - 1) = "1" ), 1, IF( AND( OFFSET($A$1, 1393 - 1, 54 - 1) = "1", OFFSET($A$1, 1393 - 1, 55 - 1) = "0" ), 2, IF( AND( OFFSET($A$1, 1393 - 1, 54 - 1) = "0", OFFSET($A$1, 1393 - 1, 55 - 1) = "1" ), 3, 4 ) ) )</f>
        <v>1</v>
      </c>
    </row>
    <row r="1394" spans="53:56" x14ac:dyDescent="0.35">
      <c r="BA1394" s="3">
        <v>0.54374462055303519</v>
      </c>
      <c r="BB1394" s="3" t="str">
        <f>"0"</f>
        <v>0</v>
      </c>
      <c r="BC1394" t="str">
        <f ca="1">IF((OFFSET($A$1, 1394 - 1, 53 - 1)) &gt;= (OFFSET($A$1, 69 - 1, 7 - 1)), "1","0")</f>
        <v>1</v>
      </c>
      <c r="BD1394">
        <f ca="1" xml:space="preserve"> IF( AND( OFFSET($A$1, 1394 - 1, 54 - 1) = "1", OFFSET($A$1, 1394 - 1, 55 - 1) = "1" ), 1, IF( AND( OFFSET($A$1, 1394 - 1, 54 - 1) = "1", OFFSET($A$1, 1394 - 1, 55 - 1) = "0" ), 2, IF( AND( OFFSET($A$1, 1394 - 1, 54 - 1) = "0", OFFSET($A$1, 1394 - 1, 55 - 1) = "1" ), 3, 4 ) ) )</f>
        <v>3</v>
      </c>
    </row>
    <row r="1395" spans="53:56" x14ac:dyDescent="0.35">
      <c r="BA1395" s="3">
        <v>0.27509644907447944</v>
      </c>
      <c r="BB1395" s="3" t="str">
        <f>"1"</f>
        <v>1</v>
      </c>
      <c r="BC1395" t="str">
        <f ca="1">IF((OFFSET($A$1, 1395 - 1, 53 - 1)) &gt;= (OFFSET($A$1, 69 - 1, 7 - 1)), "1","0")</f>
        <v>0</v>
      </c>
      <c r="BD1395">
        <f ca="1" xml:space="preserve"> IF( AND( OFFSET($A$1, 1395 - 1, 54 - 1) = "1", OFFSET($A$1, 1395 - 1, 55 - 1) = "1" ), 1, IF( AND( OFFSET($A$1, 1395 - 1, 54 - 1) = "1", OFFSET($A$1, 1395 - 1, 55 - 1) = "0" ), 2, IF( AND( OFFSET($A$1, 1395 - 1, 54 - 1) = "0", OFFSET($A$1, 1395 - 1, 55 - 1) = "1" ), 3, 4 ) ) )</f>
        <v>2</v>
      </c>
    </row>
    <row r="1396" spans="53:56" x14ac:dyDescent="0.35">
      <c r="BA1396" s="3">
        <v>0.54075621010405817</v>
      </c>
      <c r="BB1396" s="3" t="str">
        <f>"0"</f>
        <v>0</v>
      </c>
      <c r="BC1396" t="str">
        <f ca="1">IF((OFFSET($A$1, 1396 - 1, 53 - 1)) &gt;= (OFFSET($A$1, 69 - 1, 7 - 1)), "1","0")</f>
        <v>1</v>
      </c>
      <c r="BD1396">
        <f ca="1" xml:space="preserve"> IF( AND( OFFSET($A$1, 1396 - 1, 54 - 1) = "1", OFFSET($A$1, 1396 - 1, 55 - 1) = "1" ), 1, IF( AND( OFFSET($A$1, 1396 - 1, 54 - 1) = "1", OFFSET($A$1, 1396 - 1, 55 - 1) = "0" ), 2, IF( AND( OFFSET($A$1, 1396 - 1, 54 - 1) = "0", OFFSET($A$1, 1396 - 1, 55 - 1) = "1" ), 3, 4 ) ) )</f>
        <v>3</v>
      </c>
    </row>
    <row r="1397" spans="53:56" x14ac:dyDescent="0.35">
      <c r="BA1397" s="3">
        <v>0.27269278110186074</v>
      </c>
      <c r="BB1397" s="3" t="str">
        <f>"0"</f>
        <v>0</v>
      </c>
      <c r="BC1397" t="str">
        <f ca="1">IF((OFFSET($A$1, 1397 - 1, 53 - 1)) &gt;= (OFFSET($A$1, 69 - 1, 7 - 1)), "1","0")</f>
        <v>0</v>
      </c>
      <c r="BD1397">
        <f ca="1" xml:space="preserve"> IF( AND( OFFSET($A$1, 1397 - 1, 54 - 1) = "1", OFFSET($A$1, 1397 - 1, 55 - 1) = "1" ), 1, IF( AND( OFFSET($A$1, 1397 - 1, 54 - 1) = "1", OFFSET($A$1, 1397 - 1, 55 - 1) = "0" ), 2, IF( AND( OFFSET($A$1, 1397 - 1, 54 - 1) = "0", OFFSET($A$1, 1397 - 1, 55 - 1) = "1" ), 3, 4 ) ) )</f>
        <v>4</v>
      </c>
    </row>
    <row r="1398" spans="53:56" x14ac:dyDescent="0.35">
      <c r="BA1398" s="3">
        <v>0.27148958030364029</v>
      </c>
      <c r="BB1398" s="3" t="str">
        <f>"1"</f>
        <v>1</v>
      </c>
      <c r="BC1398" t="str">
        <f ca="1">IF((OFFSET($A$1, 1398 - 1, 53 - 1)) &gt;= (OFFSET($A$1, 69 - 1, 7 - 1)), "1","0")</f>
        <v>0</v>
      </c>
      <c r="BD1398">
        <f ca="1" xml:space="preserve"> IF( AND( OFFSET($A$1, 1398 - 1, 54 - 1) = "1", OFFSET($A$1, 1398 - 1, 55 - 1) = "1" ), 1, IF( AND( OFFSET($A$1, 1398 - 1, 54 - 1) = "1", OFFSET($A$1, 1398 - 1, 55 - 1) = "0" ), 2, IF( AND( OFFSET($A$1, 1398 - 1, 54 - 1) = "0", OFFSET($A$1, 1398 - 1, 55 - 1) = "1" ), 3, 4 ) ) )</f>
        <v>2</v>
      </c>
    </row>
    <row r="1399" spans="53:56" x14ac:dyDescent="0.35">
      <c r="BA1399" s="3">
        <v>0.53622743163980269</v>
      </c>
      <c r="BB1399" s="3" t="str">
        <f>"1"</f>
        <v>1</v>
      </c>
      <c r="BC1399" t="str">
        <f ca="1">IF((OFFSET($A$1, 1399 - 1, 53 - 1)) &gt;= (OFFSET($A$1, 69 - 1, 7 - 1)), "1","0")</f>
        <v>1</v>
      </c>
      <c r="BD1399">
        <f ca="1" xml:space="preserve"> IF( AND( OFFSET($A$1, 1399 - 1, 54 - 1) = "1", OFFSET($A$1, 1399 - 1, 55 - 1) = "1" ), 1, IF( AND( OFFSET($A$1, 1399 - 1, 54 - 1) = "1", OFFSET($A$1, 1399 - 1, 55 - 1) = "0" ), 2, IF( AND( OFFSET($A$1, 1399 - 1, 54 - 1) = "0", OFFSET($A$1, 1399 - 1, 55 - 1) = "1" ), 3, 4 ) ) )</f>
        <v>1</v>
      </c>
    </row>
    <row r="1400" spans="53:56" x14ac:dyDescent="0.35">
      <c r="BA1400" s="3">
        <v>0.53470739443147464</v>
      </c>
      <c r="BB1400" s="3" t="str">
        <f>"1"</f>
        <v>1</v>
      </c>
      <c r="BC1400" t="str">
        <f ca="1">IF((OFFSET($A$1, 1400 - 1, 53 - 1)) &gt;= (OFFSET($A$1, 69 - 1, 7 - 1)), "1","0")</f>
        <v>1</v>
      </c>
      <c r="BD1400">
        <f ca="1" xml:space="preserve"> IF( AND( OFFSET($A$1, 1400 - 1, 54 - 1) = "1", OFFSET($A$1, 1400 - 1, 55 - 1) = "1" ), 1, IF( AND( OFFSET($A$1, 1400 - 1, 54 - 1) = "1", OFFSET($A$1, 1400 - 1, 55 - 1) = "0" ), 2, IF( AND( OFFSET($A$1, 1400 - 1, 54 - 1) = "0", OFFSET($A$1, 1400 - 1, 55 - 1) = "1" ), 3, 4 ) ) )</f>
        <v>1</v>
      </c>
    </row>
    <row r="1401" spans="53:56" x14ac:dyDescent="0.35">
      <c r="BA1401" s="3">
        <v>0.53318292041894033</v>
      </c>
      <c r="BB1401" s="3" t="str">
        <f>"1"</f>
        <v>1</v>
      </c>
      <c r="BC1401" t="str">
        <f ca="1">IF((OFFSET($A$1, 1401 - 1, 53 - 1)) &gt;= (OFFSET($A$1, 69 - 1, 7 - 1)), "1","0")</f>
        <v>1</v>
      </c>
      <c r="BD1401">
        <f ca="1" xml:space="preserve"> IF( AND( OFFSET($A$1, 1401 - 1, 54 - 1) = "1", OFFSET($A$1, 1401 - 1, 55 - 1) = "1" ), 1, IF( AND( OFFSET($A$1, 1401 - 1, 54 - 1) = "1", OFFSET($A$1, 1401 - 1, 55 - 1) = "0" ), 2, IF( AND( OFFSET($A$1, 1401 - 1, 54 - 1) = "0", OFFSET($A$1, 1401 - 1, 55 - 1) = "1" ), 3, 4 ) ) )</f>
        <v>1</v>
      </c>
    </row>
    <row r="1402" spans="53:56" x14ac:dyDescent="0.35">
      <c r="BA1402" s="3">
        <v>0.53165448447215646</v>
      </c>
      <c r="BB1402" s="3" t="str">
        <f>"1"</f>
        <v>1</v>
      </c>
      <c r="BC1402" t="str">
        <f ca="1">IF((OFFSET($A$1, 1402 - 1, 53 - 1)) &gt;= (OFFSET($A$1, 69 - 1, 7 - 1)), "1","0")</f>
        <v>1</v>
      </c>
      <c r="BD1402">
        <f ca="1" xml:space="preserve"> IF( AND( OFFSET($A$1, 1402 - 1, 54 - 1) = "1", OFFSET($A$1, 1402 - 1, 55 - 1) = "1" ), 1, IF( AND( OFFSET($A$1, 1402 - 1, 54 - 1) = "1", OFFSET($A$1, 1402 - 1, 55 - 1) = "0" ), 2, IF( AND( OFFSET($A$1, 1402 - 1, 54 - 1) = "0", OFFSET($A$1, 1402 - 1, 55 - 1) = "1" ), 3, 4 ) ) )</f>
        <v>1</v>
      </c>
    </row>
    <row r="1403" spans="53:56" x14ac:dyDescent="0.35">
      <c r="BA1403" s="3">
        <v>0.53012256359421772</v>
      </c>
      <c r="BB1403" s="3" t="str">
        <f>"1"</f>
        <v>1</v>
      </c>
      <c r="BC1403" t="str">
        <f ca="1">IF((OFFSET($A$1, 1403 - 1, 53 - 1)) &gt;= (OFFSET($A$1, 69 - 1, 7 - 1)), "1","0")</f>
        <v>1</v>
      </c>
      <c r="BD1403">
        <f ca="1" xml:space="preserve"> IF( AND( OFFSET($A$1, 1403 - 1, 54 - 1) = "1", OFFSET($A$1, 1403 - 1, 55 - 1) = "1" ), 1, IF( AND( OFFSET($A$1, 1403 - 1, 54 - 1) = "1", OFFSET($A$1, 1403 - 1, 55 - 1) = "0" ), 2, IF( AND( OFFSET($A$1, 1403 - 1, 54 - 1) = "0", OFFSET($A$1, 1403 - 1, 55 - 1) = "1" ), 3, 4 ) ) )</f>
        <v>1</v>
      </c>
    </row>
    <row r="1404" spans="53:56" x14ac:dyDescent="0.35">
      <c r="BA1404" s="3">
        <v>0.52858763670949538</v>
      </c>
      <c r="BB1404" s="3" t="str">
        <f>"0"</f>
        <v>0</v>
      </c>
      <c r="BC1404" t="str">
        <f ca="1">IF((OFFSET($A$1, 1404 - 1, 53 - 1)) &gt;= (OFFSET($A$1, 69 - 1, 7 - 1)), "1","0")</f>
        <v>1</v>
      </c>
      <c r="BD1404">
        <f ca="1" xml:space="preserve"> IF( AND( OFFSET($A$1, 1404 - 1, 54 - 1) = "1", OFFSET($A$1, 1404 - 1, 55 - 1) = "1" ), 1, IF( AND( OFFSET($A$1, 1404 - 1, 54 - 1) = "1", OFFSET($A$1, 1404 - 1, 55 - 1) = "0" ), 2, IF( AND( OFFSET($A$1, 1404 - 1, 54 - 1) = "0", OFFSET($A$1, 1404 - 1, 55 - 1) = "1" ), 3, 4 ) ) )</f>
        <v>3</v>
      </c>
    </row>
    <row r="1405" spans="53:56" x14ac:dyDescent="0.35">
      <c r="BA1405" s="3">
        <v>0.26307835643066291</v>
      </c>
      <c r="BB1405" s="3" t="str">
        <f>"0"</f>
        <v>0</v>
      </c>
      <c r="BC1405" t="str">
        <f ca="1">IF((OFFSET($A$1, 1405 - 1, 53 - 1)) &gt;= (OFFSET($A$1, 69 - 1, 7 - 1)), "1","0")</f>
        <v>0</v>
      </c>
      <c r="BD1405">
        <f ca="1" xml:space="preserve"> IF( AND( OFFSET($A$1, 1405 - 1, 54 - 1) = "1", OFFSET($A$1, 1405 - 1, 55 - 1) = "1" ), 1, IF( AND( OFFSET($A$1, 1405 - 1, 54 - 1) = "1", OFFSET($A$1, 1405 - 1, 55 - 1) = "0" ), 2, IF( AND( OFFSET($A$1, 1405 - 1, 54 - 1) = "0", OFFSET($A$1, 1405 - 1, 55 - 1) = "1" ), 3, 4 ) ) )</f>
        <v>4</v>
      </c>
    </row>
    <row r="1406" spans="53:56" x14ac:dyDescent="0.35">
      <c r="BA1406" s="3">
        <v>0.26188296435176089</v>
      </c>
      <c r="BB1406" s="3" t="str">
        <f>"0"</f>
        <v>0</v>
      </c>
      <c r="BC1406" t="str">
        <f ca="1">IF((OFFSET($A$1, 1406 - 1, 53 - 1)) &gt;= (OFFSET($A$1, 69 - 1, 7 - 1)), "1","0")</f>
        <v>0</v>
      </c>
      <c r="BD1406">
        <f ca="1" xml:space="preserve"> IF( AND( OFFSET($A$1, 1406 - 1, 54 - 1) = "1", OFFSET($A$1, 1406 - 1, 55 - 1) = "1" ), 1, IF( AND( OFFSET($A$1, 1406 - 1, 54 - 1) = "1", OFFSET($A$1, 1406 - 1, 55 - 1) = "0" ), 2, IF( AND( OFFSET($A$1, 1406 - 1, 54 - 1) = "0", OFFSET($A$1, 1406 - 1, 55 - 1) = "1" ), 3, 4 ) ) )</f>
        <v>4</v>
      </c>
    </row>
    <row r="1407" spans="53:56" x14ac:dyDescent="0.35">
      <c r="BA1407" s="3">
        <v>0.26069025200767731</v>
      </c>
      <c r="BB1407" s="3" t="str">
        <f>"0"</f>
        <v>0</v>
      </c>
      <c r="BC1407" t="str">
        <f ca="1">IF((OFFSET($A$1, 1407 - 1, 53 - 1)) &gt;= (OFFSET($A$1, 69 - 1, 7 - 1)), "1","0")</f>
        <v>0</v>
      </c>
      <c r="BD1407">
        <f ca="1" xml:space="preserve"> IF( AND( OFFSET($A$1, 1407 - 1, 54 - 1) = "1", OFFSET($A$1, 1407 - 1, 55 - 1) = "1" ), 1, IF( AND( OFFSET($A$1, 1407 - 1, 54 - 1) = "1", OFFSET($A$1, 1407 - 1, 55 - 1) = "0" ), 2, IF( AND( OFFSET($A$1, 1407 - 1, 54 - 1) = "0", OFFSET($A$1, 1407 - 1, 55 - 1) = "1" ), 3, 4 ) ) )</f>
        <v>4</v>
      </c>
    </row>
    <row r="1408" spans="53:56" x14ac:dyDescent="0.35">
      <c r="BA1408" s="3">
        <v>0.25950058533742576</v>
      </c>
      <c r="BB1408" s="3" t="str">
        <f>"0"</f>
        <v>0</v>
      </c>
      <c r="BC1408" t="str">
        <f ca="1">IF((OFFSET($A$1, 1408 - 1, 53 - 1)) &gt;= (OFFSET($A$1, 69 - 1, 7 - 1)), "1","0")</f>
        <v>0</v>
      </c>
      <c r="BD1408">
        <f ca="1" xml:space="preserve"> IF( AND( OFFSET($A$1, 1408 - 1, 54 - 1) = "1", OFFSET($A$1, 1408 - 1, 55 - 1) = "1" ), 1, IF( AND( OFFSET($A$1, 1408 - 1, 54 - 1) = "1", OFFSET($A$1, 1408 - 1, 55 - 1) = "0" ), 2, IF( AND( OFFSET($A$1, 1408 - 1, 54 - 1) = "0", OFFSET($A$1, 1408 - 1, 55 - 1) = "1" ), 3, 4 ) ) )</f>
        <v>4</v>
      </c>
    </row>
    <row r="1409" spans="53:56" x14ac:dyDescent="0.35">
      <c r="BA1409" s="3">
        <v>0.25831432609314153</v>
      </c>
      <c r="BB1409" s="3" t="str">
        <f>"0"</f>
        <v>0</v>
      </c>
      <c r="BC1409" t="str">
        <f ca="1">IF((OFFSET($A$1, 1409 - 1, 53 - 1)) &gt;= (OFFSET($A$1, 69 - 1, 7 - 1)), "1","0")</f>
        <v>0</v>
      </c>
      <c r="BD1409">
        <f ca="1" xml:space="preserve"> IF( AND( OFFSET($A$1, 1409 - 1, 54 - 1) = "1", OFFSET($A$1, 1409 - 1, 55 - 1) = "1" ), 1, IF( AND( OFFSET($A$1, 1409 - 1, 54 - 1) = "1", OFFSET($A$1, 1409 - 1, 55 - 1) = "0" ), 2, IF( AND( OFFSET($A$1, 1409 - 1, 54 - 1) = "0", OFFSET($A$1, 1409 - 1, 55 - 1) = "1" ), 3, 4 ) ) )</f>
        <v>4</v>
      </c>
    </row>
    <row r="1410" spans="53:56" x14ac:dyDescent="0.35">
      <c r="BA1410" s="3">
        <v>0.25713183171127435</v>
      </c>
      <c r="BB1410" s="3" t="str">
        <f>"0"</f>
        <v>0</v>
      </c>
      <c r="BC1410" t="str">
        <f ca="1">IF((OFFSET($A$1, 1410 - 1, 53 - 1)) &gt;= (OFFSET($A$1, 69 - 1, 7 - 1)), "1","0")</f>
        <v>0</v>
      </c>
      <c r="BD1410">
        <f ca="1" xml:space="preserve"> IF( AND( OFFSET($A$1, 1410 - 1, 54 - 1) = "1", OFFSET($A$1, 1410 - 1, 55 - 1) = "1" ), 1, IF( AND( OFFSET($A$1, 1410 - 1, 54 - 1) = "1", OFFSET($A$1, 1410 - 1, 55 - 1) = "0" ), 2, IF( AND( OFFSET($A$1, 1410 - 1, 54 - 1) = "0", OFFSET($A$1, 1410 - 1, 55 - 1) = "1" ), 3, 4 ) ) )</f>
        <v>4</v>
      </c>
    </row>
    <row r="1411" spans="53:56" x14ac:dyDescent="0.35">
      <c r="BA1411" s="3">
        <v>0.25595345518975776</v>
      </c>
      <c r="BB1411" s="3" t="str">
        <f>"0"</f>
        <v>0</v>
      </c>
      <c r="BC1411" t="str">
        <f ca="1">IF((OFFSET($A$1, 1411 - 1, 53 - 1)) &gt;= (OFFSET($A$1, 69 - 1, 7 - 1)), "1","0")</f>
        <v>0</v>
      </c>
      <c r="BD1411">
        <f ca="1" xml:space="preserve"> IF( AND( OFFSET($A$1, 1411 - 1, 54 - 1) = "1", OFFSET($A$1, 1411 - 1, 55 - 1) = "1" ), 1, IF( AND( OFFSET($A$1, 1411 - 1, 54 - 1) = "1", OFFSET($A$1, 1411 - 1, 55 - 1) = "0" ), 2, IF( AND( OFFSET($A$1, 1411 - 1, 54 - 1) = "0", OFFSET($A$1, 1411 - 1, 55 - 1) = "1" ), 3, 4 ) ) )</f>
        <v>4</v>
      </c>
    </row>
    <row r="1412" spans="53:56" x14ac:dyDescent="0.35">
      <c r="BA1412" s="3">
        <v>0.25477954497123484</v>
      </c>
      <c r="BB1412" s="3" t="str">
        <f>"0"</f>
        <v>0</v>
      </c>
      <c r="BC1412" t="str">
        <f ca="1">IF((OFFSET($A$1, 1412 - 1, 53 - 1)) &gt;= (OFFSET($A$1, 69 - 1, 7 - 1)), "1","0")</f>
        <v>0</v>
      </c>
      <c r="BD1412">
        <f ca="1" xml:space="preserve"> IF( AND( OFFSET($A$1, 1412 - 1, 54 - 1) = "1", OFFSET($A$1, 1412 - 1, 55 - 1) = "1" ), 1, IF( AND( OFFSET($A$1, 1412 - 1, 54 - 1) = "1", OFFSET($A$1, 1412 - 1, 55 - 1) = "0" ), 2, IF( AND( OFFSET($A$1, 1412 - 1, 54 - 1) = "0", OFFSET($A$1, 1412 - 1, 55 - 1) = "1" ), 3, 4 ) ) )</f>
        <v>4</v>
      </c>
    </row>
    <row r="1413" spans="53:56" x14ac:dyDescent="0.35">
      <c r="BA1413" s="3">
        <v>0.25361044483240858</v>
      </c>
      <c r="BB1413" s="3" t="str">
        <f>"0"</f>
        <v>0</v>
      </c>
      <c r="BC1413" t="str">
        <f ca="1">IF((OFFSET($A$1, 1413 - 1, 53 - 1)) &gt;= (OFFSET($A$1, 69 - 1, 7 - 1)), "1","0")</f>
        <v>0</v>
      </c>
      <c r="BD1413">
        <f ca="1" xml:space="preserve"> IF( AND( OFFSET($A$1, 1413 - 1, 54 - 1) = "1", OFFSET($A$1, 1413 - 1, 55 - 1) = "1" ), 1, IF( AND( OFFSET($A$1, 1413 - 1, 54 - 1) = "1", OFFSET($A$1, 1413 - 1, 55 - 1) = "0" ), 2, IF( AND( OFFSET($A$1, 1413 - 1, 54 - 1) = "0", OFFSET($A$1, 1413 - 1, 55 - 1) = "1" ), 3, 4 ) ) )</f>
        <v>4</v>
      </c>
    </row>
    <row r="1414" spans="53:56" x14ac:dyDescent="0.35">
      <c r="BA1414" s="3">
        <v>0.2524464937795684</v>
      </c>
      <c r="BB1414" s="3" t="str">
        <f>"0"</f>
        <v>0</v>
      </c>
      <c r="BC1414" t="str">
        <f ca="1">IF((OFFSET($A$1, 1414 - 1, 53 - 1)) &gt;= (OFFSET($A$1, 69 - 1, 7 - 1)), "1","0")</f>
        <v>0</v>
      </c>
      <c r="BD1414">
        <f ca="1" xml:space="preserve"> IF( AND( OFFSET($A$1, 1414 - 1, 54 - 1) = "1", OFFSET($A$1, 1414 - 1, 55 - 1) = "1" ), 1, IF( AND( OFFSET($A$1, 1414 - 1, 54 - 1) = "1", OFFSET($A$1, 1414 - 1, 55 - 1) = "0" ), 2, IF( AND( OFFSET($A$1, 1414 - 1, 54 - 1) = "0", OFFSET($A$1, 1414 - 1, 55 - 1) = "1" ), 3, 4 ) ) )</f>
        <v>4</v>
      </c>
    </row>
    <row r="1415" spans="53:56" x14ac:dyDescent="0.35">
      <c r="BA1415" s="3">
        <v>0.25128802595033706</v>
      </c>
      <c r="BB1415" s="3" t="str">
        <f>"0"</f>
        <v>0</v>
      </c>
      <c r="BC1415" t="str">
        <f ca="1">IF((OFFSET($A$1, 1415 - 1, 53 - 1)) &gt;= (OFFSET($A$1, 69 - 1, 7 - 1)), "1","0")</f>
        <v>0</v>
      </c>
      <c r="BD1415">
        <f ca="1" xml:space="preserve"> IF( AND( OFFSET($A$1, 1415 - 1, 54 - 1) = "1", OFFSET($A$1, 1415 - 1, 55 - 1) = "1" ), 1, IF( AND( OFFSET($A$1, 1415 - 1, 54 - 1) = "1", OFFSET($A$1, 1415 - 1, 55 - 1) = "0" ), 2, IF( AND( OFFSET($A$1, 1415 - 1, 54 - 1) = "0", OFFSET($A$1, 1415 - 1, 55 - 1) = "1" ), 3, 4 ) ) )</f>
        <v>4</v>
      </c>
    </row>
    <row r="1416" spans="53:56" x14ac:dyDescent="0.35">
      <c r="BA1416" s="3">
        <v>0.25013537052167389</v>
      </c>
      <c r="BB1416" s="3" t="str">
        <f>"0"</f>
        <v>0</v>
      </c>
      <c r="BC1416" t="str">
        <f ca="1">IF((OFFSET($A$1, 1416 - 1, 53 - 1)) &gt;= (OFFSET($A$1, 69 - 1, 7 - 1)), "1","0")</f>
        <v>0</v>
      </c>
      <c r="BD1416">
        <f ca="1" xml:space="preserve"> IF( AND( OFFSET($A$1, 1416 - 1, 54 - 1) = "1", OFFSET($A$1, 1416 - 1, 55 - 1) = "1" ), 1, IF( AND( OFFSET($A$1, 1416 - 1, 54 - 1) = "1", OFFSET($A$1, 1416 - 1, 55 - 1) = "0" ), 2, IF( AND( OFFSET($A$1, 1416 - 1, 54 - 1) = "0", OFFSET($A$1, 1416 - 1, 55 - 1) = "1" ), 3, 4 ) ) )</f>
        <v>4</v>
      </c>
    </row>
    <row r="1417" spans="53:56" x14ac:dyDescent="0.35">
      <c r="BA1417" s="3">
        <v>0.24898885162414985</v>
      </c>
      <c r="BB1417" s="3" t="str">
        <f>"0"</f>
        <v>0</v>
      </c>
      <c r="BC1417" t="str">
        <f ca="1">IF((OFFSET($A$1, 1417 - 1, 53 - 1)) &gt;= (OFFSET($A$1, 69 - 1, 7 - 1)), "1","0")</f>
        <v>0</v>
      </c>
      <c r="BD1417">
        <f ca="1" xml:space="preserve"> IF( AND( OFFSET($A$1, 1417 - 1, 54 - 1) = "1", OFFSET($A$1, 1417 - 1, 55 - 1) = "1" ), 1, IF( AND( OFFSET($A$1, 1417 - 1, 54 - 1) = "1", OFFSET($A$1, 1417 - 1, 55 - 1) = "0" ), 2, IF( AND( OFFSET($A$1, 1417 - 1, 54 - 1) = "0", OFFSET($A$1, 1417 - 1, 55 - 1) = "1" ), 3, 4 ) ) )</f>
        <v>4</v>
      </c>
    </row>
    <row r="1418" spans="53:56" x14ac:dyDescent="0.35">
      <c r="BA1418" s="3">
        <v>0.2478487882625062</v>
      </c>
      <c r="BB1418" s="3" t="str">
        <f>"0"</f>
        <v>0</v>
      </c>
      <c r="BC1418" t="str">
        <f ca="1">IF((OFFSET($A$1, 1418 - 1, 53 - 1)) &gt;= (OFFSET($A$1, 69 - 1, 7 - 1)), "1","0")</f>
        <v>0</v>
      </c>
      <c r="BD1418">
        <f ca="1" xml:space="preserve"> IF( AND( OFFSET($A$1, 1418 - 1, 54 - 1) = "1", OFFSET($A$1, 1418 - 1, 55 - 1) = "1" ), 1, IF( AND( OFFSET($A$1, 1418 - 1, 54 - 1) = "1", OFFSET($A$1, 1418 - 1, 55 - 1) = "0" ), 2, IF( AND( OFFSET($A$1, 1418 - 1, 54 - 1) = "0", OFFSET($A$1, 1418 - 1, 55 - 1) = "1" ), 3, 4 ) ) )</f>
        <v>4</v>
      </c>
    </row>
    <row r="1419" spans="53:56" x14ac:dyDescent="0.35">
      <c r="BA1419" s="3">
        <v>0.24671549424249731</v>
      </c>
      <c r="BB1419" s="3" t="str">
        <f>"0"</f>
        <v>0</v>
      </c>
      <c r="BC1419" t="str">
        <f ca="1">IF((OFFSET($A$1, 1419 - 1, 53 - 1)) &gt;= (OFFSET($A$1, 69 - 1, 7 - 1)), "1","0")</f>
        <v>0</v>
      </c>
      <c r="BD1419">
        <f ca="1" xml:space="preserve"> IF( AND( OFFSET($A$1, 1419 - 1, 54 - 1) = "1", OFFSET($A$1, 1419 - 1, 55 - 1) = "1" ), 1, IF( AND( OFFSET($A$1, 1419 - 1, 54 - 1) = "1", OFFSET($A$1, 1419 - 1, 55 - 1) = "0" ), 2, IF( AND( OFFSET($A$1, 1419 - 1, 54 - 1) = "0", OFFSET($A$1, 1419 - 1, 55 - 1) = "1" ), 3, 4 ) ) )</f>
        <v>4</v>
      </c>
    </row>
    <row r="1420" spans="53:56" x14ac:dyDescent="0.35">
      <c r="BA1420" s="3">
        <v>0.24558927810400066</v>
      </c>
      <c r="BB1420" s="3" t="str">
        <f>"1"</f>
        <v>1</v>
      </c>
      <c r="BC1420" t="str">
        <f ca="1">IF((OFFSET($A$1, 1420 - 1, 53 - 1)) &gt;= (OFFSET($A$1, 69 - 1, 7 - 1)), "1","0")</f>
        <v>0</v>
      </c>
      <c r="BD1420">
        <f ca="1" xml:space="preserve"> IF( AND( OFFSET($A$1, 1420 - 1, 54 - 1) = "1", OFFSET($A$1, 1420 - 1, 55 - 1) = "1" ), 1, IF( AND( OFFSET($A$1, 1420 - 1, 54 - 1) = "1", OFFSET($A$1, 1420 - 1, 55 - 1) = "0" ), 2, IF( AND( OFFSET($A$1, 1420 - 1, 54 - 1) = "0", OFFSET($A$1, 1420 - 1, 55 - 1) = "1" ), 3, 4 ) ) )</f>
        <v>2</v>
      </c>
    </row>
    <row r="1421" spans="53:56" x14ac:dyDescent="0.35">
      <c r="BA1421" s="3">
        <v>0.50250289021369599</v>
      </c>
      <c r="BB1421" s="3" t="str">
        <f>"1"</f>
        <v>1</v>
      </c>
      <c r="BC1421" t="str">
        <f ca="1">IF((OFFSET($A$1, 1421 - 1, 53 - 1)) &gt;= (OFFSET($A$1, 69 - 1, 7 - 1)), "1","0")</f>
        <v>1</v>
      </c>
      <c r="BD1421">
        <f ca="1" xml:space="preserve"> IF( AND( OFFSET($A$1, 1421 - 1, 54 - 1) = "1", OFFSET($A$1, 1421 - 1, 55 - 1) = "1" ), 1, IF( AND( OFFSET($A$1, 1421 - 1, 54 - 1) = "1", OFFSET($A$1, 1421 - 1, 55 - 1) = "0" ), 2, IF( AND( OFFSET($A$1, 1421 - 1, 54 - 1) = "0", OFFSET($A$1, 1421 - 1, 55 - 1) = "1" ), 3, 4 ) ) )</f>
        <v>1</v>
      </c>
    </row>
    <row r="1422" spans="53:56" x14ac:dyDescent="0.35">
      <c r="BA1422" s="3">
        <v>0.50099662633527864</v>
      </c>
      <c r="BB1422" s="3" t="str">
        <f>"1"</f>
        <v>1</v>
      </c>
      <c r="BC1422" t="str">
        <f ca="1">IF((OFFSET($A$1, 1422 - 1, 53 - 1)) &gt;= (OFFSET($A$1, 69 - 1, 7 - 1)), "1","0")</f>
        <v>1</v>
      </c>
      <c r="BD1422">
        <f ca="1" xml:space="preserve"> IF( AND( OFFSET($A$1, 1422 - 1, 54 - 1) = "1", OFFSET($A$1, 1422 - 1, 55 - 1) = "1" ), 1, IF( AND( OFFSET($A$1, 1422 - 1, 54 - 1) = "1", OFFSET($A$1, 1422 - 1, 55 - 1) = "0" ), 2, IF( AND( OFFSET($A$1, 1422 - 1, 54 - 1) = "0", OFFSET($A$1, 1422 - 1, 55 - 1) = "1" ), 3, 4 ) ) )</f>
        <v>1</v>
      </c>
    </row>
    <row r="1423" spans="53:56" x14ac:dyDescent="0.35">
      <c r="BA1423" s="3">
        <v>0.49949652779637543</v>
      </c>
      <c r="BB1423" s="3" t="str">
        <f>"1"</f>
        <v>1</v>
      </c>
      <c r="BC1423" t="str">
        <f ca="1">IF((OFFSET($A$1, 1423 - 1, 53 - 1)) &gt;= (OFFSET($A$1, 69 - 1, 7 - 1)), "1","0")</f>
        <v>0</v>
      </c>
      <c r="BD1423">
        <f ca="1" xml:space="preserve"> IF( AND( OFFSET($A$1, 1423 - 1, 54 - 1) = "1", OFFSET($A$1, 1423 - 1, 55 - 1) = "1" ), 1, IF( AND( OFFSET($A$1, 1423 - 1, 54 - 1) = "1", OFFSET($A$1, 1423 - 1, 55 - 1) = "0" ), 2, IF( AND( OFFSET($A$1, 1423 - 1, 54 - 1) = "0", OFFSET($A$1, 1423 - 1, 55 - 1) = "1" ), 3, 4 ) ) )</f>
        <v>2</v>
      </c>
    </row>
    <row r="1424" spans="53:56" x14ac:dyDescent="0.35">
      <c r="BA1424" s="3">
        <v>0.4980030655543492</v>
      </c>
      <c r="BB1424" s="3" t="str">
        <f>"0"</f>
        <v>0</v>
      </c>
      <c r="BC1424" t="str">
        <f ca="1">IF((OFFSET($A$1, 1424 - 1, 53 - 1)) &gt;= (OFFSET($A$1, 69 - 1, 7 - 1)), "1","0")</f>
        <v>0</v>
      </c>
      <c r="BD1424">
        <f ca="1" xml:space="preserve"> IF( AND( OFFSET($A$1, 1424 - 1, 54 - 1) = "1", OFFSET($A$1, 1424 - 1, 55 - 1) = "1" ), 1, IF( AND( OFFSET($A$1, 1424 - 1, 54 - 1) = "1", OFFSET($A$1, 1424 - 1, 55 - 1) = "0" ), 2, IF( AND( OFFSET($A$1, 1424 - 1, 54 - 1) = "0", OFFSET($A$1, 1424 - 1, 55 - 1) = "1" ), 3, 4 ) ) )</f>
        <v>4</v>
      </c>
    </row>
    <row r="1425" spans="53:56" x14ac:dyDescent="0.35">
      <c r="BA1425" s="3">
        <v>0.24007478879744029</v>
      </c>
      <c r="BB1425" s="3" t="str">
        <f>"1"</f>
        <v>1</v>
      </c>
      <c r="BC1425" t="str">
        <f ca="1">IF((OFFSET($A$1, 1425 - 1, 53 - 1)) &gt;= (OFFSET($A$1, 69 - 1, 7 - 1)), "1","0")</f>
        <v>0</v>
      </c>
      <c r="BD1425">
        <f ca="1" xml:space="preserve"> IF( AND( OFFSET($A$1, 1425 - 1, 54 - 1) = "1", OFFSET($A$1, 1425 - 1, 55 - 1) = "1" ), 1, IF( AND( OFFSET($A$1, 1425 - 1, 54 - 1) = "1", OFFSET($A$1, 1425 - 1, 55 - 1) = "0" ), 2, IF( AND( OFFSET($A$1, 1425 - 1, 54 - 1) = "0", OFFSET($A$1, 1425 - 1, 55 - 1) = "1" ), 3, 4 ) ) )</f>
        <v>2</v>
      </c>
    </row>
    <row r="1426" spans="53:56" x14ac:dyDescent="0.35">
      <c r="BA1426" s="3">
        <v>0.49503792016656378</v>
      </c>
      <c r="BB1426" s="3" t="str">
        <f>"0"</f>
        <v>0</v>
      </c>
      <c r="BC1426" t="str">
        <f ca="1">IF((OFFSET($A$1, 1426 - 1, 53 - 1)) &gt;= (OFFSET($A$1, 69 - 1, 7 - 1)), "1","0")</f>
        <v>0</v>
      </c>
      <c r="BD1426">
        <f ca="1" xml:space="preserve"> IF( AND( OFFSET($A$1, 1426 - 1, 54 - 1) = "1", OFFSET($A$1, 1426 - 1, 55 - 1) = "1" ), 1, IF( AND( OFFSET($A$1, 1426 - 1, 54 - 1) = "1", OFFSET($A$1, 1426 - 1, 55 - 1) = "0" ), 2, IF( AND( OFFSET($A$1, 1426 - 1, 54 - 1) = "0", OFFSET($A$1, 1426 - 1, 55 - 1) = "1" ), 3, 4 ) ) )</f>
        <v>4</v>
      </c>
    </row>
    <row r="1427" spans="53:56" x14ac:dyDescent="0.35">
      <c r="BA1427" s="3">
        <v>0.23792873216809163</v>
      </c>
      <c r="BB1427" s="3" t="str">
        <f>"0"</f>
        <v>0</v>
      </c>
      <c r="BC1427" t="str">
        <f ca="1">IF((OFFSET($A$1, 1427 - 1, 53 - 1)) &gt;= (OFFSET($A$1, 69 - 1, 7 - 1)), "1","0")</f>
        <v>0</v>
      </c>
      <c r="BD1427">
        <f ca="1" xml:space="preserve"> IF( AND( OFFSET($A$1, 1427 - 1, 54 - 1) = "1", OFFSET($A$1, 1427 - 1, 55 - 1) = "1" ), 1, IF( AND( OFFSET($A$1, 1427 - 1, 54 - 1) = "1", OFFSET($A$1, 1427 - 1, 55 - 1) = "0" ), 2, IF( AND( OFFSET($A$1, 1427 - 1, 54 - 1) = "0", OFFSET($A$1, 1427 - 1, 55 - 1) = "1" ), 3, 4 ) ) )</f>
        <v>4</v>
      </c>
    </row>
    <row r="1428" spans="53:56" x14ac:dyDescent="0.35">
      <c r="BA1428" s="3">
        <v>0.2368695974451373</v>
      </c>
      <c r="BB1428" s="3" t="str">
        <f>"0"</f>
        <v>0</v>
      </c>
      <c r="BC1428" t="str">
        <f ca="1">IF((OFFSET($A$1, 1428 - 1, 53 - 1)) &gt;= (OFFSET($A$1, 69 - 1, 7 - 1)), "1","0")</f>
        <v>0</v>
      </c>
      <c r="BD1428">
        <f ca="1" xml:space="preserve"> IF( AND( OFFSET($A$1, 1428 - 1, 54 - 1) = "1", OFFSET($A$1, 1428 - 1, 55 - 1) = "1" ), 1, IF( AND( OFFSET($A$1, 1428 - 1, 54 - 1) = "1", OFFSET($A$1, 1428 - 1, 55 - 1) = "0" ), 2, IF( AND( OFFSET($A$1, 1428 - 1, 54 - 1) = "0", OFFSET($A$1, 1428 - 1, 55 - 1) = "1" ), 3, 4 ) ) )</f>
        <v>4</v>
      </c>
    </row>
    <row r="1429" spans="53:56" x14ac:dyDescent="0.35">
      <c r="BA1429" s="3">
        <v>0.23582007251626116</v>
      </c>
      <c r="BB1429" s="3" t="str">
        <f>"0"</f>
        <v>0</v>
      </c>
      <c r="BC1429" t="str">
        <f ca="1">IF((OFFSET($A$1, 1429 - 1, 53 - 1)) &gt;= (OFFSET($A$1, 69 - 1, 7 - 1)), "1","0")</f>
        <v>0</v>
      </c>
      <c r="BD1429">
        <f ca="1" xml:space="preserve"> IF( AND( OFFSET($A$1, 1429 - 1, 54 - 1) = "1", OFFSET($A$1, 1429 - 1, 55 - 1) = "1" ), 1, IF( AND( OFFSET($A$1, 1429 - 1, 54 - 1) = "1", OFFSET($A$1, 1429 - 1, 55 - 1) = "0" ), 2, IF( AND( OFFSET($A$1, 1429 - 1, 54 - 1) = "0", OFFSET($A$1, 1429 - 1, 55 - 1) = "1" ), 3, 4 ) ) )</f>
        <v>4</v>
      </c>
    </row>
    <row r="1430" spans="53:56" x14ac:dyDescent="0.35">
      <c r="BA1430" s="3">
        <v>0.23478041093262714</v>
      </c>
      <c r="BB1430" s="3" t="str">
        <f>"0"</f>
        <v>0</v>
      </c>
      <c r="BC1430" t="str">
        <f ca="1">IF((OFFSET($A$1, 1430 - 1, 53 - 1)) &gt;= (OFFSET($A$1, 69 - 1, 7 - 1)), "1","0")</f>
        <v>0</v>
      </c>
      <c r="BD1430">
        <f ca="1" xml:space="preserve"> IF( AND( OFFSET($A$1, 1430 - 1, 54 - 1) = "1", OFFSET($A$1, 1430 - 1, 55 - 1) = "1" ), 1, IF( AND( OFFSET($A$1, 1430 - 1, 54 - 1) = "1", OFFSET($A$1, 1430 - 1, 55 - 1) = "0" ), 2, IF( AND( OFFSET($A$1, 1430 - 1, 54 - 1) = "0", OFFSET($A$1, 1430 - 1, 55 - 1) = "1" ), 3, 4 ) ) )</f>
        <v>4</v>
      </c>
    </row>
    <row r="1431" spans="53:56" x14ac:dyDescent="0.35">
      <c r="BA1431" s="3">
        <v>0.23375086064341941</v>
      </c>
      <c r="BB1431" s="3" t="str">
        <f>"1"</f>
        <v>1</v>
      </c>
      <c r="BC1431" t="str">
        <f ca="1">IF((OFFSET($A$1, 1431 - 1, 53 - 1)) &gt;= (OFFSET($A$1, 69 - 1, 7 - 1)), "1","0")</f>
        <v>0</v>
      </c>
      <c r="BD1431">
        <f ca="1" xml:space="preserve"> IF( AND( OFFSET($A$1, 1431 - 1, 54 - 1) = "1", OFFSET($A$1, 1431 - 1, 55 - 1) = "1" ), 1, IF( AND( OFFSET($A$1, 1431 - 1, 54 - 1) = "1", OFFSET($A$1, 1431 - 1, 55 - 1) = "0" ), 2, IF( AND( OFFSET($A$1, 1431 - 1, 54 - 1) = "0", OFFSET($A$1, 1431 - 1, 55 - 1) = "1" ), 3, 4 ) ) )</f>
        <v>2</v>
      </c>
    </row>
    <row r="1432" spans="53:56" x14ac:dyDescent="0.35">
      <c r="BA1432" s="3">
        <v>0.48634981151347428</v>
      </c>
      <c r="BB1432" s="3" t="str">
        <f>"0"</f>
        <v>0</v>
      </c>
      <c r="BC1432" t="str">
        <f ca="1">IF((OFFSET($A$1, 1432 - 1, 53 - 1)) &gt;= (OFFSET($A$1, 69 - 1, 7 - 1)), "1","0")</f>
        <v>0</v>
      </c>
      <c r="BD1432">
        <f ca="1" xml:space="preserve"> IF( AND( OFFSET($A$1, 1432 - 1, 54 - 1) = "1", OFFSET($A$1, 1432 - 1, 55 - 1) = "1" ), 1, IF( AND( OFFSET($A$1, 1432 - 1, 54 - 1) = "1", OFFSET($A$1, 1432 - 1, 55 - 1) = "0" ), 2, IF( AND( OFFSET($A$1, 1432 - 1, 54 - 1) = "0", OFFSET($A$1, 1432 - 1, 55 - 1) = "1" ), 3, 4 ) ) )</f>
        <v>4</v>
      </c>
    </row>
    <row r="1433" spans="53:56" x14ac:dyDescent="0.35">
      <c r="BA1433" s="3">
        <v>0.23172305776208416</v>
      </c>
      <c r="BB1433" s="3" t="str">
        <f>"1"</f>
        <v>1</v>
      </c>
      <c r="BC1433" t="str">
        <f ca="1">IF((OFFSET($A$1, 1433 - 1, 53 - 1)) &gt;= (OFFSET($A$1, 69 - 1, 7 - 1)), "1","0")</f>
        <v>0</v>
      </c>
      <c r="BD1433">
        <f ca="1" xml:space="preserve"> IF( AND( OFFSET($A$1, 1433 - 1, 54 - 1) = "1", OFFSET($A$1, 1433 - 1, 55 - 1) = "1" ), 1, IF( AND( OFFSET($A$1, 1433 - 1, 54 - 1) = "1", OFFSET($A$1, 1433 - 1, 55 - 1) = "0" ), 2, IF( AND( OFFSET($A$1, 1433 - 1, 54 - 1) = "0", OFFSET($A$1, 1433 - 1, 55 - 1) = "1" ), 3, 4 ) ) )</f>
        <v>2</v>
      </c>
    </row>
    <row r="1434" spans="53:56" x14ac:dyDescent="0.35">
      <c r="BA1434" s="3">
        <v>0.48353487660189415</v>
      </c>
      <c r="BB1434" s="3" t="str">
        <f>"0"</f>
        <v>0</v>
      </c>
      <c r="BC1434" t="str">
        <f ca="1">IF((OFFSET($A$1, 1434 - 1, 53 - 1)) &gt;= (OFFSET($A$1, 69 - 1, 7 - 1)), "1","0")</f>
        <v>0</v>
      </c>
      <c r="BD1434">
        <f ca="1" xml:space="preserve"> IF( AND( OFFSET($A$1, 1434 - 1, 54 - 1) = "1", OFFSET($A$1, 1434 - 1, 55 - 1) = "1" ), 1, IF( AND( OFFSET($A$1, 1434 - 1, 54 - 1) = "1", OFFSET($A$1, 1434 - 1, 55 - 1) = "0" ), 2, IF( AND( OFFSET($A$1, 1434 - 1, 54 - 1) = "0", OFFSET($A$1, 1434 - 1, 55 - 1) = "1" ), 3, 4 ) ) )</f>
        <v>4</v>
      </c>
    </row>
    <row r="1435" spans="53:56" x14ac:dyDescent="0.35">
      <c r="BA1435" s="3">
        <v>0.22973853569297795</v>
      </c>
      <c r="BB1435" s="3" t="str">
        <f>"1"</f>
        <v>1</v>
      </c>
      <c r="BC1435" t="str">
        <f ca="1">IF((OFFSET($A$1, 1435 - 1, 53 - 1)) &gt;= (OFFSET($A$1, 69 - 1, 7 - 1)), "1","0")</f>
        <v>0</v>
      </c>
      <c r="BD1435">
        <f ca="1" xml:space="preserve"> IF( AND( OFFSET($A$1, 1435 - 1, 54 - 1) = "1", OFFSET($A$1, 1435 - 1, 55 - 1) = "1" ), 1, IF( AND( OFFSET($A$1, 1435 - 1, 54 - 1) = "1", OFFSET($A$1, 1435 - 1, 55 - 1) = "0" ), 2, IF( AND( OFFSET($A$1, 1435 - 1, 54 - 1) = "0", OFFSET($A$1, 1435 - 1, 55 - 1) = "1" ), 3, 4 ) ) )</f>
        <v>2</v>
      </c>
    </row>
    <row r="1436" spans="53:56" x14ac:dyDescent="0.35">
      <c r="BA1436" s="3">
        <v>0.48076632511073042</v>
      </c>
      <c r="BB1436" s="3" t="str">
        <f>"0"</f>
        <v>0</v>
      </c>
      <c r="BC1436" t="str">
        <f ca="1">IF((OFFSET($A$1, 1436 - 1, 53 - 1)) &gt;= (OFFSET($A$1, 69 - 1, 7 - 1)), "1","0")</f>
        <v>0</v>
      </c>
      <c r="BD1436">
        <f ca="1" xml:space="preserve"> IF( AND( OFFSET($A$1, 1436 - 1, 54 - 1) = "1", OFFSET($A$1, 1436 - 1, 55 - 1) = "1" ), 1, IF( AND( OFFSET($A$1, 1436 - 1, 54 - 1) = "1", OFFSET($A$1, 1436 - 1, 55 - 1) = "0" ), 2, IF( AND( OFFSET($A$1, 1436 - 1, 54 - 1) = "0", OFFSET($A$1, 1436 - 1, 55 - 1) = "1" ), 3, 4 ) ) )</f>
        <v>4</v>
      </c>
    </row>
    <row r="1437" spans="53:56" x14ac:dyDescent="0.35">
      <c r="BA1437" s="3">
        <v>0.22779907738623353</v>
      </c>
      <c r="BB1437" s="3" t="str">
        <f>"0"</f>
        <v>0</v>
      </c>
      <c r="BC1437" t="str">
        <f ca="1">IF((OFFSET($A$1, 1437 - 1, 53 - 1)) &gt;= (OFFSET($A$1, 69 - 1, 7 - 1)), "1","0")</f>
        <v>0</v>
      </c>
      <c r="BD1437">
        <f ca="1" xml:space="preserve"> IF( AND( OFFSET($A$1, 1437 - 1, 54 - 1) = "1", OFFSET($A$1, 1437 - 1, 55 - 1) = "1" ), 1, IF( AND( OFFSET($A$1, 1437 - 1, 54 - 1) = "1", OFFSET($A$1, 1437 - 1, 55 - 1) = "0" ), 2, IF( AND( OFFSET($A$1, 1437 - 1, 54 - 1) = "0", OFFSET($A$1, 1437 - 1, 55 - 1) = "1" ), 3, 4 ) ) )</f>
        <v>4</v>
      </c>
    </row>
    <row r="1438" spans="53:56" x14ac:dyDescent="0.35">
      <c r="BA1438" s="3">
        <v>0.22684678021252591</v>
      </c>
      <c r="BB1438" s="3" t="str">
        <f>"0"</f>
        <v>0</v>
      </c>
      <c r="BC1438" t="str">
        <f ca="1">IF((OFFSET($A$1, 1438 - 1, 53 - 1)) &gt;= (OFFSET($A$1, 69 - 1, 7 - 1)), "1","0")</f>
        <v>0</v>
      </c>
      <c r="BD1438">
        <f ca="1" xml:space="preserve"> IF( AND( OFFSET($A$1, 1438 - 1, 54 - 1) = "1", OFFSET($A$1, 1438 - 1, 55 - 1) = "1" ), 1, IF( AND( OFFSET($A$1, 1438 - 1, 54 - 1) = "1", OFFSET($A$1, 1438 - 1, 55 - 1) = "0" ), 2, IF( AND( OFFSET($A$1, 1438 - 1, 54 - 1) = "0", OFFSET($A$1, 1438 - 1, 55 - 1) = "1" ), 3, 4 ) ) )</f>
        <v>4</v>
      </c>
    </row>
    <row r="1439" spans="53:56" x14ac:dyDescent="0.35">
      <c r="BA1439" s="3">
        <v>0.2259063777476949</v>
      </c>
      <c r="BB1439" s="3" t="str">
        <f>"0"</f>
        <v>0</v>
      </c>
      <c r="BC1439" t="str">
        <f ca="1">IF((OFFSET($A$1, 1439 - 1, 53 - 1)) &gt;= (OFFSET($A$1, 69 - 1, 7 - 1)), "1","0")</f>
        <v>0</v>
      </c>
      <c r="BD1439">
        <f ca="1" xml:space="preserve"> IF( AND( OFFSET($A$1, 1439 - 1, 54 - 1) = "1", OFFSET($A$1, 1439 - 1, 55 - 1) = "1" ), 1, IF( AND( OFFSET($A$1, 1439 - 1, 54 - 1) = "1", OFFSET($A$1, 1439 - 1, 55 - 1) = "0" ), 2, IF( AND( OFFSET($A$1, 1439 - 1, 54 - 1) = "0", OFFSET($A$1, 1439 - 1, 55 - 1) = "1" ), 3, 4 ) ) )</f>
        <v>4</v>
      </c>
    </row>
    <row r="1440" spans="53:56" x14ac:dyDescent="0.35">
      <c r="BA1440" s="3">
        <v>0.22497806828039987</v>
      </c>
      <c r="BB1440" s="3" t="str">
        <f>"0"</f>
        <v>0</v>
      </c>
      <c r="BC1440" t="str">
        <f ca="1">IF((OFFSET($A$1, 1440 - 1, 53 - 1)) &gt;= (OFFSET($A$1, 69 - 1, 7 - 1)), "1","0")</f>
        <v>0</v>
      </c>
      <c r="BD1440">
        <f ca="1" xml:space="preserve"> IF( AND( OFFSET($A$1, 1440 - 1, 54 - 1) = "1", OFFSET($A$1, 1440 - 1, 55 - 1) = "1" ), 1, IF( AND( OFFSET($A$1, 1440 - 1, 54 - 1) = "1", OFFSET($A$1, 1440 - 1, 55 - 1) = "0" ), 2, IF( AND( OFFSET($A$1, 1440 - 1, 54 - 1) = "0", OFFSET($A$1, 1440 - 1, 55 - 1) = "1" ), 3, 4 ) ) )</f>
        <v>4</v>
      </c>
    </row>
    <row r="1441" spans="53:56" x14ac:dyDescent="0.35">
      <c r="BA1441" s="3">
        <v>0.22406204474998914</v>
      </c>
      <c r="BB1441" s="3" t="str">
        <f>"1"</f>
        <v>1</v>
      </c>
      <c r="BC1441" t="str">
        <f ca="1">IF((OFFSET($A$1, 1441 - 1, 53 - 1)) &gt;= (OFFSET($A$1, 69 - 1, 7 - 1)), "1","0")</f>
        <v>0</v>
      </c>
      <c r="BD1441">
        <f ca="1" xml:space="preserve"> IF( AND( OFFSET($A$1, 1441 - 1, 54 - 1) = "1", OFFSET($A$1, 1441 - 1, 55 - 1) = "1" ), 1, IF( AND( OFFSET($A$1, 1441 - 1, 54 - 1) = "1", OFFSET($A$1, 1441 - 1, 55 - 1) = "0" ), 2, IF( AND( OFFSET($A$1, 1441 - 1, 54 - 1) = "0", OFFSET($A$1, 1441 - 1, 55 - 1) = "1" ), 3, 4 ) ) )</f>
        <v>2</v>
      </c>
    </row>
    <row r="1442" spans="53:56" x14ac:dyDescent="0.35">
      <c r="BA1442" s="3">
        <v>0.47277247228708724</v>
      </c>
      <c r="BB1442" s="3" t="str">
        <f>"0"</f>
        <v>0</v>
      </c>
      <c r="BC1442" t="str">
        <f ca="1">IF((OFFSET($A$1, 1442 - 1, 53 - 1)) &gt;= (OFFSET($A$1, 69 - 1, 7 - 1)), "1","0")</f>
        <v>0</v>
      </c>
      <c r="BD1442">
        <f ca="1" xml:space="preserve"> IF( AND( OFFSET($A$1, 1442 - 1, 54 - 1) = "1", OFFSET($A$1, 1442 - 1, 55 - 1) = "1" ), 1, IF( AND( OFFSET($A$1, 1442 - 1, 54 - 1) = "1", OFFSET($A$1, 1442 - 1, 55 - 1) = "0" ), 2, IF( AND( OFFSET($A$1, 1442 - 1, 54 - 1) = "0", OFFSET($A$1, 1442 - 1, 55 - 1) = "1" ), 3, 4 ) ) )</f>
        <v>4</v>
      </c>
    </row>
    <row r="1443" spans="53:56" x14ac:dyDescent="0.35">
      <c r="BA1443" s="3">
        <v>0.22226760080688068</v>
      </c>
      <c r="BB1443" s="3" t="str">
        <f>"1"</f>
        <v>1</v>
      </c>
      <c r="BC1443" t="str">
        <f ca="1">IF((OFFSET($A$1, 1443 - 1, 53 - 1)) &gt;= (OFFSET($A$1, 69 - 1, 7 - 1)), "1","0")</f>
        <v>0</v>
      </c>
      <c r="BD1443">
        <f ca="1" xml:space="preserve"> IF( AND( OFFSET($A$1, 1443 - 1, 54 - 1) = "1", OFFSET($A$1, 1443 - 1, 55 - 1) = "1" ), 1, IF( AND( OFFSET($A$1, 1443 - 1, 54 - 1) = "1", OFFSET($A$1, 1443 - 1, 55 - 1) = "0" ), 2, IF( AND( OFFSET($A$1, 1443 - 1, 54 - 1) = "0", OFFSET($A$1, 1443 - 1, 55 - 1) = "1" ), 3, 4 ) ) )</f>
        <v>2</v>
      </c>
    </row>
    <row r="1444" spans="53:56" x14ac:dyDescent="0.35">
      <c r="BA1444" s="3">
        <v>0.47022253945772868</v>
      </c>
      <c r="BB1444" s="3" t="str">
        <f>"0"</f>
        <v>0</v>
      </c>
      <c r="BC1444" t="str">
        <f ca="1">IF((OFFSET($A$1, 1444 - 1, 53 - 1)) &gt;= (OFFSET($A$1, 69 - 1, 7 - 1)), "1","0")</f>
        <v>0</v>
      </c>
      <c r="BD1444">
        <f ca="1" xml:space="preserve"> IF( AND( OFFSET($A$1, 1444 - 1, 54 - 1) = "1", OFFSET($A$1, 1444 - 1, 55 - 1) = "1" ), 1, IF( AND( OFFSET($A$1, 1444 - 1, 54 - 1) = "1", OFFSET($A$1, 1444 - 1, 55 - 1) = "0" ), 2, IF( AND( OFFSET($A$1, 1444 - 1, 54 - 1) = "0", OFFSET($A$1, 1444 - 1, 55 - 1) = "1" ), 3, 4 ) ) )</f>
        <v>4</v>
      </c>
    </row>
    <row r="1445" spans="53:56" x14ac:dyDescent="0.35">
      <c r="BA1445" s="3">
        <v>0.22052448438848399</v>
      </c>
      <c r="BB1445" s="3" t="str">
        <f>"0"</f>
        <v>0</v>
      </c>
      <c r="BC1445" t="str">
        <f ca="1">IF((OFFSET($A$1, 1445 - 1, 53 - 1)) &gt;= (OFFSET($A$1, 69 - 1, 7 - 1)), "1","0")</f>
        <v>0</v>
      </c>
      <c r="BD1445">
        <f ca="1" xml:space="preserve"> IF( AND( OFFSET($A$1, 1445 - 1, 54 - 1) = "1", OFFSET($A$1, 1445 - 1, 55 - 1) = "1" ), 1, IF( AND( OFFSET($A$1, 1445 - 1, 54 - 1) = "1", OFFSET($A$1, 1445 - 1, 55 - 1) = "0" ), 2, IF( AND( OFFSET($A$1, 1445 - 1, 54 - 1) = "0", OFFSET($A$1, 1445 - 1, 55 - 1) = "1" ), 3, 4 ) ) )</f>
        <v>4</v>
      </c>
    </row>
    <row r="1446" spans="53:56" x14ac:dyDescent="0.35">
      <c r="BA1446" s="3">
        <v>0.21967260101661046</v>
      </c>
      <c r="BB1446" s="3" t="str">
        <f>"0"</f>
        <v>0</v>
      </c>
      <c r="BC1446" t="str">
        <f ca="1">IF((OFFSET($A$1, 1446 - 1, 53 - 1)) &gt;= (OFFSET($A$1, 69 - 1, 7 - 1)), "1","0")</f>
        <v>0</v>
      </c>
      <c r="BD1446">
        <f ca="1" xml:space="preserve"> IF( AND( OFFSET($A$1, 1446 - 1, 54 - 1) = "1", OFFSET($A$1, 1446 - 1, 55 - 1) = "1" ), 1, IF( AND( OFFSET($A$1, 1446 - 1, 54 - 1) = "1", OFFSET($A$1, 1446 - 1, 55 - 1) = "0" ), 2, IF( AND( OFFSET($A$1, 1446 - 1, 54 - 1) = "0", OFFSET($A$1, 1446 - 1, 55 - 1) = "1" ), 3, 4 ) ) )</f>
        <v>4</v>
      </c>
    </row>
    <row r="1447" spans="53:56" x14ac:dyDescent="0.35">
      <c r="BA1447" s="3">
        <v>0.21883405185419924</v>
      </c>
      <c r="BB1447" s="3" t="str">
        <f>"0"</f>
        <v>0</v>
      </c>
      <c r="BC1447" t="str">
        <f ca="1">IF((OFFSET($A$1, 1447 - 1, 53 - 1)) &gt;= (OFFSET($A$1, 69 - 1, 7 - 1)), "1","0")</f>
        <v>0</v>
      </c>
      <c r="BD1447">
        <f ca="1" xml:space="preserve"> IF( AND( OFFSET($A$1, 1447 - 1, 54 - 1) = "1", OFFSET($A$1, 1447 - 1, 55 - 1) = "1" ), 1, IF( AND( OFFSET($A$1, 1447 - 1, 54 - 1) = "1", OFFSET($A$1, 1447 - 1, 55 - 1) = "0" ), 2, IF( AND( OFFSET($A$1, 1447 - 1, 54 - 1) = "0", OFFSET($A$1, 1447 - 1, 55 - 1) = "1" ), 3, 4 ) ) )</f>
        <v>4</v>
      </c>
    </row>
    <row r="1448" spans="53:56" x14ac:dyDescent="0.35">
      <c r="BA1448" s="3">
        <v>0.21800899394900283</v>
      </c>
      <c r="BB1448" s="3" t="str">
        <f>"0"</f>
        <v>0</v>
      </c>
      <c r="BC1448" t="str">
        <f ca="1">IF((OFFSET($A$1, 1448 - 1, 53 - 1)) &gt;= (OFFSET($A$1, 69 - 1, 7 - 1)), "1","0")</f>
        <v>0</v>
      </c>
      <c r="BD1448">
        <f ca="1" xml:space="preserve"> IF( AND( OFFSET($A$1, 1448 - 1, 54 - 1) = "1", OFFSET($A$1, 1448 - 1, 55 - 1) = "1" ), 1, IF( AND( OFFSET($A$1, 1448 - 1, 54 - 1) = "1", OFFSET($A$1, 1448 - 1, 55 - 1) = "0" ), 2, IF( AND( OFFSET($A$1, 1448 - 1, 54 - 1) = "0", OFFSET($A$1, 1448 - 1, 55 - 1) = "1" ), 3, 4 ) ) )</f>
        <v>4</v>
      </c>
    </row>
    <row r="1449" spans="53:56" x14ac:dyDescent="0.35">
      <c r="BA1449" s="3">
        <v>0.21719757947972304</v>
      </c>
      <c r="BB1449" s="3" t="str">
        <f>"1"</f>
        <v>1</v>
      </c>
      <c r="BC1449" t="str">
        <f ca="1">IF((OFFSET($A$1, 1449 - 1, 53 - 1)) &gt;= (OFFSET($A$1, 69 - 1, 7 - 1)), "1","0")</f>
        <v>0</v>
      </c>
      <c r="BD1449">
        <f ca="1" xml:space="preserve"> IF( AND( OFFSET($A$1, 1449 - 1, 54 - 1) = "1", OFFSET($A$1, 1449 - 1, 55 - 1) = "1" ), 1, IF( AND( OFFSET($A$1, 1449 - 1, 54 - 1) = "1", OFFSET($A$1, 1449 - 1, 55 - 1) = "0" ), 2, IF( AND( OFFSET($A$1, 1449 - 1, 54 - 1) = "0", OFFSET($A$1, 1449 - 1, 55 - 1) = "1" ), 3, 4 ) ) )</f>
        <v>2</v>
      </c>
    </row>
    <row r="1450" spans="53:56" x14ac:dyDescent="0.35">
      <c r="BA1450" s="3">
        <v>0.46295941727284073</v>
      </c>
      <c r="BB1450" s="3" t="str">
        <f>"0"</f>
        <v>0</v>
      </c>
      <c r="BC1450" t="str">
        <f ca="1">IF((OFFSET($A$1, 1450 - 1, 53 - 1)) &gt;= (OFFSET($A$1, 69 - 1, 7 - 1)), "1","0")</f>
        <v>0</v>
      </c>
      <c r="BD1450">
        <f ca="1" xml:space="preserve"> IF( AND( OFFSET($A$1, 1450 - 1, 54 - 1) = "1", OFFSET($A$1, 1450 - 1, 55 - 1) = "1" ), 1, IF( AND( OFFSET($A$1, 1450 - 1, 54 - 1) = "1", OFFSET($A$1, 1450 - 1, 55 - 1) = "0" ), 2, IF( AND( OFFSET($A$1, 1450 - 1, 54 - 1) = "0", OFFSET($A$1, 1450 - 1, 55 - 1) = "1" ), 3, 4 ) ) )</f>
        <v>4</v>
      </c>
    </row>
    <row r="1451" spans="53:56" x14ac:dyDescent="0.35">
      <c r="BA1451" s="3">
        <v>0.21561626565419176</v>
      </c>
      <c r="BB1451" s="3" t="str">
        <f>"1"</f>
        <v>1</v>
      </c>
      <c r="BC1451" t="str">
        <f ca="1">IF((OFFSET($A$1, 1451 - 1, 53 - 1)) &gt;= (OFFSET($A$1, 69 - 1, 7 - 1)), "1","0")</f>
        <v>0</v>
      </c>
      <c r="BD1451">
        <f ca="1" xml:space="preserve"> IF( AND( OFFSET($A$1, 1451 - 1, 54 - 1) = "1", OFFSET($A$1, 1451 - 1, 55 - 1) = "1" ), 1, IF( AND( OFFSET($A$1, 1451 - 1, 54 - 1) = "1", OFFSET($A$1, 1451 - 1, 55 - 1) = "0" ), 2, IF( AND( OFFSET($A$1, 1451 - 1, 54 - 1) = "0", OFFSET($A$1, 1451 - 1, 55 - 1) = "1" ), 3, 4 ) ) )</f>
        <v>2</v>
      </c>
    </row>
    <row r="1452" spans="53:56" x14ac:dyDescent="0.35">
      <c r="BA1452" s="3">
        <v>0.4606767731475247</v>
      </c>
      <c r="BB1452" s="3" t="str">
        <f>"1"</f>
        <v>1</v>
      </c>
      <c r="BC1452" t="str">
        <f ca="1">IF((OFFSET($A$1, 1452 - 1, 53 - 1)) &gt;= (OFFSET($A$1, 69 - 1, 7 - 1)), "1","0")</f>
        <v>0</v>
      </c>
      <c r="BD1452">
        <f ca="1" xml:space="preserve"> IF( AND( OFFSET($A$1, 1452 - 1, 54 - 1) = "1", OFFSET($A$1, 1452 - 1, 55 - 1) = "1" ), 1, IF( AND( OFFSET($A$1, 1452 - 1, 54 - 1) = "1", OFFSET($A$1, 1452 - 1, 55 - 1) = "0" ), 2, IF( AND( OFFSET($A$1, 1452 - 1, 54 - 1) = "0", OFFSET($A$1, 1452 - 1, 55 - 1) = "1" ), 3, 4 ) ) )</f>
        <v>2</v>
      </c>
    </row>
    <row r="1453" spans="53:56" x14ac:dyDescent="0.35">
      <c r="BA1453" s="3">
        <v>0.45956292593920017</v>
      </c>
      <c r="BB1453" s="3" t="str">
        <f>"1"</f>
        <v>1</v>
      </c>
      <c r="BC1453" t="str">
        <f ca="1">IF((OFFSET($A$1, 1453 - 1, 53 - 1)) &gt;= (OFFSET($A$1, 69 - 1, 7 - 1)), "1","0")</f>
        <v>0</v>
      </c>
      <c r="BD1453">
        <f ca="1" xml:space="preserve"> IF( AND( OFFSET($A$1, 1453 - 1, 54 - 1) = "1", OFFSET($A$1, 1453 - 1, 55 - 1) = "1" ), 1, IF( AND( OFFSET($A$1, 1453 - 1, 54 - 1) = "1", OFFSET($A$1, 1453 - 1, 55 - 1) = "0" ), 2, IF( AND( OFFSET($A$1, 1453 - 1, 54 - 1) = "0", OFFSET($A$1, 1453 - 1, 55 - 1) = "1" ), 3, 4 ) ) )</f>
        <v>2</v>
      </c>
    </row>
    <row r="1454" spans="53:56" x14ac:dyDescent="0.35">
      <c r="BA1454" s="3">
        <v>0.45846782560319815</v>
      </c>
      <c r="BB1454" s="3" t="str">
        <f>"0"</f>
        <v>0</v>
      </c>
      <c r="BC1454" t="str">
        <f ca="1">IF((OFFSET($A$1, 1454 - 1, 53 - 1)) &gt;= (OFFSET($A$1, 69 - 1, 7 - 1)), "1","0")</f>
        <v>0</v>
      </c>
      <c r="BD1454">
        <f ca="1" xml:space="preserve"> IF( AND( OFFSET($A$1, 1454 - 1, 54 - 1) = "1", OFFSET($A$1, 1454 - 1, 55 - 1) = "1" ), 1, IF( AND( OFFSET($A$1, 1454 - 1, 54 - 1) = "1", OFFSET($A$1, 1454 - 1, 55 - 1) = "0" ), 2, IF( AND( OFFSET($A$1, 1454 - 1, 54 - 1) = "0", OFFSET($A$1, 1454 - 1, 55 - 1) = "1" ), 3, 4 ) ) )</f>
        <v>4</v>
      </c>
    </row>
    <row r="1455" spans="53:56" x14ac:dyDescent="0.35">
      <c r="BA1455" s="3">
        <v>0.2126235319551141</v>
      </c>
      <c r="BB1455" s="3" t="str">
        <f>"0"</f>
        <v>0</v>
      </c>
      <c r="BC1455" t="str">
        <f ca="1">IF((OFFSET($A$1, 1455 - 1, 53 - 1)) &gt;= (OFFSET($A$1, 69 - 1, 7 - 1)), "1","0")</f>
        <v>0</v>
      </c>
      <c r="BD1455">
        <f ca="1" xml:space="preserve"> IF( AND( OFFSET($A$1, 1455 - 1, 54 - 1) = "1", OFFSET($A$1, 1455 - 1, 55 - 1) = "1" ), 1, IF( AND( OFFSET($A$1, 1455 - 1, 54 - 1) = "1", OFFSET($A$1, 1455 - 1, 55 - 1) = "0" ), 2, IF( AND( OFFSET($A$1, 1455 - 1, 54 - 1) = "0", OFFSET($A$1, 1455 - 1, 55 - 1) = "1" ), 3, 4 ) ) )</f>
        <v>4</v>
      </c>
    </row>
    <row r="1456" spans="53:56" x14ac:dyDescent="0.35">
      <c r="BA1456" s="3">
        <v>0.21191148920632791</v>
      </c>
      <c r="BB1456" s="3" t="str">
        <f>"0"</f>
        <v>0</v>
      </c>
      <c r="BC1456" t="str">
        <f ca="1">IF((OFFSET($A$1, 1456 - 1, 53 - 1)) &gt;= (OFFSET($A$1, 69 - 1, 7 - 1)), "1","0")</f>
        <v>0</v>
      </c>
      <c r="BD1456">
        <f ca="1" xml:space="preserve"> IF( AND( OFFSET($A$1, 1456 - 1, 54 - 1) = "1", OFFSET($A$1, 1456 - 1, 55 - 1) = "1" ), 1, IF( AND( OFFSET($A$1, 1456 - 1, 54 - 1) = "1", OFFSET($A$1, 1456 - 1, 55 - 1) = "0" ), 2, IF( AND( OFFSET($A$1, 1456 - 1, 54 - 1) = "0", OFFSET($A$1, 1456 - 1, 55 - 1) = "1" ), 3, 4 ) ) )</f>
        <v>4</v>
      </c>
    </row>
    <row r="1457" spans="53:56" x14ac:dyDescent="0.35">
      <c r="BA1457" s="3">
        <v>0.21121414110273987</v>
      </c>
      <c r="BB1457" s="3" t="str">
        <f>"0"</f>
        <v>0</v>
      </c>
      <c r="BC1457" t="str">
        <f ca="1">IF((OFFSET($A$1, 1457 - 1, 53 - 1)) &gt;= (OFFSET($A$1, 69 - 1, 7 - 1)), "1","0")</f>
        <v>0</v>
      </c>
      <c r="BD1457">
        <f ca="1" xml:space="preserve"> IF( AND( OFFSET($A$1, 1457 - 1, 54 - 1) = "1", OFFSET($A$1, 1457 - 1, 55 - 1) = "1" ), 1, IF( AND( OFFSET($A$1, 1457 - 1, 54 - 1) = "1", OFFSET($A$1, 1457 - 1, 55 - 1) = "0" ), 2, IF( AND( OFFSET($A$1, 1457 - 1, 54 - 1) = "0", OFFSET($A$1, 1457 - 1, 55 - 1) = "1" ), 3, 4 ) ) )</f>
        <v>4</v>
      </c>
    </row>
    <row r="1458" spans="53:56" x14ac:dyDescent="0.35">
      <c r="BA1458" s="3">
        <v>0.21053159946612868</v>
      </c>
      <c r="BB1458" s="3" t="str">
        <f>"0"</f>
        <v>0</v>
      </c>
      <c r="BC1458" t="str">
        <f ca="1">IF((OFFSET($A$1, 1458 - 1, 53 - 1)) &gt;= (OFFSET($A$1, 69 - 1, 7 - 1)), "1","0")</f>
        <v>0</v>
      </c>
      <c r="BD1458">
        <f ca="1" xml:space="preserve"> IF( AND( OFFSET($A$1, 1458 - 1, 54 - 1) = "1", OFFSET($A$1, 1458 - 1, 55 - 1) = "1" ), 1, IF( AND( OFFSET($A$1, 1458 - 1, 54 - 1) = "1", OFFSET($A$1, 1458 - 1, 55 - 1) = "0" ), 2, IF( AND( OFFSET($A$1, 1458 - 1, 54 - 1) = "0", OFFSET($A$1, 1458 - 1, 55 - 1) = "1" ), 3, 4 ) ) )</f>
        <v>4</v>
      </c>
    </row>
    <row r="1459" spans="53:56" x14ac:dyDescent="0.35">
      <c r="BA1459" s="3">
        <v>0.2098639720439858</v>
      </c>
      <c r="BB1459" s="3" t="str">
        <f>"0"</f>
        <v>0</v>
      </c>
      <c r="BC1459" t="str">
        <f ca="1">IF((OFFSET($A$1, 1459 - 1, 53 - 1)) &gt;= (OFFSET($A$1, 69 - 1, 7 - 1)), "1","0")</f>
        <v>0</v>
      </c>
      <c r="BD1459">
        <f ca="1" xml:space="preserve"> IF( AND( OFFSET($A$1, 1459 - 1, 54 - 1) = "1", OFFSET($A$1, 1459 - 1, 55 - 1) = "1" ), 1, IF( AND( OFFSET($A$1, 1459 - 1, 54 - 1) = "1", OFFSET($A$1, 1459 - 1, 55 - 1) = "0" ), 2, IF( AND( OFFSET($A$1, 1459 - 1, 54 - 1) = "0", OFFSET($A$1, 1459 - 1, 55 - 1) = "1" ), 3, 4 ) ) )</f>
        <v>4</v>
      </c>
    </row>
    <row r="1460" spans="53:56" x14ac:dyDescent="0.35">
      <c r="BA1460" s="3">
        <v>0.20921136259447715</v>
      </c>
      <c r="BB1460" s="3" t="str">
        <f>"0"</f>
        <v>0</v>
      </c>
      <c r="BC1460" t="str">
        <f ca="1">IF((OFFSET($A$1, 1460 - 1, 53 - 1)) &gt;= (OFFSET($A$1, 69 - 1, 7 - 1)), "1","0")</f>
        <v>0</v>
      </c>
      <c r="BD1460">
        <f ca="1" xml:space="preserve"> IF( AND( OFFSET($A$1, 1460 - 1, 54 - 1) = "1", OFFSET($A$1, 1460 - 1, 55 - 1) = "1" ), 1, IF( AND( OFFSET($A$1, 1460 - 1, 54 - 1) = "1", OFFSET($A$1, 1460 - 1, 55 - 1) = "0" ), 2, IF( AND( OFFSET($A$1, 1460 - 1, 54 - 1) = "0", OFFSET($A$1, 1460 - 1, 55 - 1) = "1" ), 3, 4 ) ) )</f>
        <v>4</v>
      </c>
    </row>
    <row r="1461" spans="53:56" x14ac:dyDescent="0.35">
      <c r="BA1461" s="3">
        <v>0.20857387097170155</v>
      </c>
      <c r="BB1461" s="3" t="str">
        <f>"0"</f>
        <v>0</v>
      </c>
      <c r="BC1461" t="str">
        <f ca="1">IF((OFFSET($A$1, 1461 - 1, 53 - 1)) &gt;= (OFFSET($A$1, 69 - 1, 7 - 1)), "1","0")</f>
        <v>0</v>
      </c>
      <c r="BD1461">
        <f ca="1" xml:space="preserve"> IF( AND( OFFSET($A$1, 1461 - 1, 54 - 1) = "1", OFFSET($A$1, 1461 - 1, 55 - 1) = "1" ), 1, IF( AND( OFFSET($A$1, 1461 - 1, 54 - 1) = "1", OFFSET($A$1, 1461 - 1, 55 - 1) = "0" ), 2, IF( AND( OFFSET($A$1, 1461 - 1, 54 - 1) = "0", OFFSET($A$1, 1461 - 1, 55 - 1) = "1" ), 3, 4 ) ) )</f>
        <v>4</v>
      </c>
    </row>
    <row r="1462" spans="53:56" x14ac:dyDescent="0.35">
      <c r="BA1462" s="3">
        <v>0.20795159321108006</v>
      </c>
      <c r="BB1462" s="3" t="str">
        <f>"0"</f>
        <v>0</v>
      </c>
      <c r="BC1462" t="str">
        <f ca="1">IF((OFFSET($A$1, 1462 - 1, 53 - 1)) &gt;= (OFFSET($A$1, 69 - 1, 7 - 1)), "1","0")</f>
        <v>0</v>
      </c>
      <c r="BD1462">
        <f ca="1" xml:space="preserve"> IF( AND( OFFSET($A$1, 1462 - 1, 54 - 1) = "1", OFFSET($A$1, 1462 - 1, 55 - 1) = "1" ), 1, IF( AND( OFFSET($A$1, 1462 - 1, 54 - 1) = "1", OFFSET($A$1, 1462 - 1, 55 - 1) = "0" ), 2, IF( AND( OFFSET($A$1, 1462 - 1, 54 - 1) = "0", OFFSET($A$1, 1462 - 1, 55 - 1) = "1" ), 3, 4 ) ) )</f>
        <v>4</v>
      </c>
    </row>
    <row r="1463" spans="53:56" x14ac:dyDescent="0.35">
      <c r="BA1463" s="3">
        <v>0.20734462161471642</v>
      </c>
      <c r="BB1463" s="3" t="str">
        <f>"0"</f>
        <v>0</v>
      </c>
      <c r="BC1463" t="str">
        <f ca="1">IF((OFFSET($A$1, 1463 - 1, 53 - 1)) &gt;= (OFFSET($A$1, 69 - 1, 7 - 1)), "1","0")</f>
        <v>0</v>
      </c>
      <c r="BD1463">
        <f ca="1" xml:space="preserve"> IF( AND( OFFSET($A$1, 1463 - 1, 54 - 1) = "1", OFFSET($A$1, 1463 - 1, 55 - 1) = "1" ), 1, IF( AND( OFFSET($A$1, 1463 - 1, 54 - 1) = "1", OFFSET($A$1, 1463 - 1, 55 - 1) = "0" ), 2, IF( AND( OFFSET($A$1, 1463 - 1, 54 - 1) = "0", OFFSET($A$1, 1463 - 1, 55 - 1) = "1" ), 3, 4 ) ) )</f>
        <v>4</v>
      </c>
    </row>
    <row r="1464" spans="53:56" x14ac:dyDescent="0.35">
      <c r="BA1464" s="3">
        <v>0.20675304483656529</v>
      </c>
      <c r="BB1464" s="3" t="str">
        <f>"0"</f>
        <v>0</v>
      </c>
      <c r="BC1464" t="str">
        <f ca="1">IF((OFFSET($A$1, 1464 - 1, 53 - 1)) &gt;= (OFFSET($A$1, 69 - 1, 7 - 1)), "1","0")</f>
        <v>0</v>
      </c>
      <c r="BD1464">
        <f ca="1" xml:space="preserve"> IF( AND( OFFSET($A$1, 1464 - 1, 54 - 1) = "1", OFFSET($A$1, 1464 - 1, 55 - 1) = "1" ), 1, IF( AND( OFFSET($A$1, 1464 - 1, 54 - 1) = "1", OFFSET($A$1, 1464 - 1, 55 - 1) = "0" ), 2, IF( AND( OFFSET($A$1, 1464 - 1, 54 - 1) = "0", OFFSET($A$1, 1464 - 1, 55 - 1) = "1" ), 3, 4 ) ) )</f>
        <v>4</v>
      </c>
    </row>
    <row r="1465" spans="53:56" x14ac:dyDescent="0.35">
      <c r="BA1465" s="3">
        <v>0.20617694796725525</v>
      </c>
      <c r="BB1465" s="3" t="str">
        <f>"0"</f>
        <v>0</v>
      </c>
      <c r="BC1465" t="str">
        <f ca="1">IF((OFFSET($A$1, 1465 - 1, 53 - 1)) &gt;= (OFFSET($A$1, 69 - 1, 7 - 1)), "1","0")</f>
        <v>0</v>
      </c>
      <c r="BD1465">
        <f ca="1" xml:space="preserve"> IF( AND( OFFSET($A$1, 1465 - 1, 54 - 1) = "1", OFFSET($A$1, 1465 - 1, 55 - 1) = "1" ), 1, IF( AND( OFFSET($A$1, 1465 - 1, 54 - 1) = "1", OFFSET($A$1, 1465 - 1, 55 - 1) = "0" ), 2, IF( AND( OFFSET($A$1, 1465 - 1, 54 - 1) = "0", OFFSET($A$1, 1465 - 1, 55 - 1) = "1" ), 3, 4 ) ) )</f>
        <v>4</v>
      </c>
    </row>
    <row r="1466" spans="53:56" x14ac:dyDescent="0.35">
      <c r="BA1466" s="3">
        <v>0.20561641261841551</v>
      </c>
      <c r="BB1466" s="3" t="str">
        <f>"1"</f>
        <v>1</v>
      </c>
      <c r="BC1466" t="str">
        <f ca="1">IF((OFFSET($A$1, 1466 - 1, 53 - 1)) &gt;= (OFFSET($A$1, 69 - 1, 7 - 1)), "1","0")</f>
        <v>0</v>
      </c>
      <c r="BD1466">
        <f ca="1" xml:space="preserve"> IF( AND( OFFSET($A$1, 1466 - 1, 54 - 1) = "1", OFFSET($A$1, 1466 - 1, 55 - 1) = "1" ), 1, IF( AND( OFFSET($A$1, 1466 - 1, 54 - 1) = "1", OFFSET($A$1, 1466 - 1, 55 - 1) = "0" ), 2, IF( AND( OFFSET($A$1, 1466 - 1, 54 - 1) = "0", OFFSET($A$1, 1466 - 1, 55 - 1) = "1" ), 3, 4 ) ) )</f>
        <v>2</v>
      </c>
    </row>
    <row r="1467" spans="53:56" x14ac:dyDescent="0.35">
      <c r="BA1467" s="3">
        <v>0.44607128430447651</v>
      </c>
      <c r="BB1467" s="3" t="str">
        <f>"0"</f>
        <v>0</v>
      </c>
      <c r="BC1467" t="str">
        <f ca="1">IF((OFFSET($A$1, 1467 - 1, 53 - 1)) &gt;= (OFFSET($A$1, 69 - 1, 7 - 1)), "1","0")</f>
        <v>0</v>
      </c>
      <c r="BD1467">
        <f ca="1" xml:space="preserve"> IF( AND( OFFSET($A$1, 1467 - 1, 54 - 1) = "1", OFFSET($A$1, 1467 - 1, 55 - 1) = "1" ), 1, IF( AND( OFFSET($A$1, 1467 - 1, 54 - 1) = "1", OFFSET($A$1, 1467 - 1, 55 - 1) = "0" ), 2, IF( AND( OFFSET($A$1, 1467 - 1, 54 - 1) = "0", OFFSET($A$1, 1467 - 1, 55 - 1) = "1" ), 3, 4 ) ) )</f>
        <v>4</v>
      </c>
    </row>
    <row r="1468" spans="53:56" x14ac:dyDescent="0.35">
      <c r="BA1468" s="3">
        <v>0.20454233603495553</v>
      </c>
      <c r="BB1468" s="3" t="str">
        <f>"0"</f>
        <v>0</v>
      </c>
      <c r="BC1468" t="str">
        <f ca="1">IF((OFFSET($A$1, 1468 - 1, 53 - 1)) &gt;= (OFFSET($A$1, 69 - 1, 7 - 1)), "1","0")</f>
        <v>0</v>
      </c>
      <c r="BD1468">
        <f ca="1" xml:space="preserve"> IF( AND( OFFSET($A$1, 1468 - 1, 54 - 1) = "1", OFFSET($A$1, 1468 - 1, 55 - 1) = "1" ), 1, IF( AND( OFFSET($A$1, 1468 - 1, 54 - 1) = "1", OFFSET($A$1, 1468 - 1, 55 - 1) = "0" ), 2, IF( AND( OFFSET($A$1, 1468 - 1, 54 - 1) = "0", OFFSET($A$1, 1468 - 1, 55 - 1) = "1" ), 3, 4 ) ) )</f>
        <v>4</v>
      </c>
    </row>
    <row r="1469" spans="53:56" x14ac:dyDescent="0.35">
      <c r="BA1469" s="3">
        <v>0.20402894137763078</v>
      </c>
      <c r="BB1469" s="3" t="str">
        <f>"1"</f>
        <v>1</v>
      </c>
      <c r="BC1469" t="str">
        <f ca="1">IF((OFFSET($A$1, 1469 - 1, 53 - 1)) &gt;= (OFFSET($A$1, 69 - 1, 7 - 1)), "1","0")</f>
        <v>0</v>
      </c>
      <c r="BD1469">
        <f ca="1" xml:space="preserve"> IF( AND( OFFSET($A$1, 1469 - 1, 54 - 1) = "1", OFFSET($A$1, 1469 - 1, 55 - 1) = "1" ), 1, IF( AND( OFFSET($A$1, 1469 - 1, 54 - 1) = "1", OFFSET($A$1, 1469 - 1, 55 - 1) = "0" ), 2, IF( AND( OFFSET($A$1, 1469 - 1, 54 - 1) = "0", OFFSET($A$1, 1469 - 1, 55 - 1) = "1" ), 3, 4 ) ) )</f>
        <v>2</v>
      </c>
    </row>
    <row r="1470" spans="53:56" x14ac:dyDescent="0.35">
      <c r="BA1470" s="3">
        <v>0.44373154227628936</v>
      </c>
      <c r="BB1470" s="3" t="str">
        <f>"1"</f>
        <v>1</v>
      </c>
      <c r="BC1470" t="str">
        <f ca="1">IF((OFFSET($A$1, 1470 - 1, 53 - 1)) &gt;= (OFFSET($A$1, 69 - 1, 7 - 1)), "1","0")</f>
        <v>0</v>
      </c>
      <c r="BD1470">
        <f ca="1" xml:space="preserve"> IF( AND( OFFSET($A$1, 1470 - 1, 54 - 1) = "1", OFFSET($A$1, 1470 - 1, 55 - 1) = "1" ), 1, IF( AND( OFFSET($A$1, 1470 - 1, 54 - 1) = "1", OFFSET($A$1, 1470 - 1, 55 - 1) = "0" ), 2, IF( AND( OFFSET($A$1, 1470 - 1, 54 - 1) = "0", OFFSET($A$1, 1470 - 1, 55 - 1) = "1" ), 3, 4 ) ) )</f>
        <v>2</v>
      </c>
    </row>
    <row r="1471" spans="53:56" x14ac:dyDescent="0.35">
      <c r="BA1471" s="3">
        <v>0.44299767287321673</v>
      </c>
      <c r="BB1471" s="3" t="str">
        <f>"0"</f>
        <v>0</v>
      </c>
      <c r="BC1471" t="str">
        <f ca="1">IF((OFFSET($A$1, 1471 - 1, 53 - 1)) &gt;= (OFFSET($A$1, 69 - 1, 7 - 1)), "1","0")</f>
        <v>0</v>
      </c>
      <c r="BD1471">
        <f ca="1" xml:space="preserve"> IF( AND( OFFSET($A$1, 1471 - 1, 54 - 1) = "1", OFFSET($A$1, 1471 - 1, 55 - 1) = "1" ), 1, IF( AND( OFFSET($A$1, 1471 - 1, 54 - 1) = "1", OFFSET($A$1, 1471 - 1, 55 - 1) = "0" ), 2, IF( AND( OFFSET($A$1, 1471 - 1, 54 - 1) = "0", OFFSET($A$1, 1471 - 1, 55 - 1) = "1" ), 3, 4 ) ) )</f>
        <v>4</v>
      </c>
    </row>
    <row r="1472" spans="53:56" x14ac:dyDescent="0.35">
      <c r="BA1472" s="3">
        <v>0.20258414525756788</v>
      </c>
      <c r="BB1472" s="3" t="str">
        <f>"0"</f>
        <v>0</v>
      </c>
      <c r="BC1472" t="str">
        <f ca="1">IF((OFFSET($A$1, 1472 - 1, 53 - 1)) &gt;= (OFFSET($A$1, 69 - 1, 7 - 1)), "1","0")</f>
        <v>0</v>
      </c>
      <c r="BD1472">
        <f ca="1" xml:space="preserve"> IF( AND( OFFSET($A$1, 1472 - 1, 54 - 1) = "1", OFFSET($A$1, 1472 - 1, 55 - 1) = "1" ), 1, IF( AND( OFFSET($A$1, 1472 - 1, 54 - 1) = "1", OFFSET($A$1, 1472 - 1, 55 - 1) = "0" ), 2, IF( AND( OFFSET($A$1, 1472 - 1, 54 - 1) = "0", OFFSET($A$1, 1472 - 1, 55 - 1) = "1" ), 3, 4 ) ) )</f>
        <v>4</v>
      </c>
    </row>
    <row r="1473" spans="53:56" x14ac:dyDescent="0.35">
      <c r="BA1473" s="3">
        <v>0.20213455078670647</v>
      </c>
      <c r="BB1473" s="3" t="str">
        <f>"0"</f>
        <v>0</v>
      </c>
      <c r="BC1473" t="str">
        <f ca="1">IF((OFFSET($A$1, 1473 - 1, 53 - 1)) &gt;= (OFFSET($A$1, 69 - 1, 7 - 1)), "1","0")</f>
        <v>0</v>
      </c>
      <c r="BD1473">
        <f ca="1" xml:space="preserve"> IF( AND( OFFSET($A$1, 1473 - 1, 54 - 1) = "1", OFFSET($A$1, 1473 - 1, 55 - 1) = "1" ), 1, IF( AND( OFFSET($A$1, 1473 - 1, 54 - 1) = "1", OFFSET($A$1, 1473 - 1, 55 - 1) = "0" ), 2, IF( AND( OFFSET($A$1, 1473 - 1, 54 - 1) = "0", OFFSET($A$1, 1473 - 1, 55 - 1) = "1" ), 3, 4 ) ) )</f>
        <v>4</v>
      </c>
    </row>
    <row r="1474" spans="53:56" x14ac:dyDescent="0.35">
      <c r="BA1474" s="3">
        <v>0.20170105532683283</v>
      </c>
      <c r="BB1474" s="3" t="str">
        <f>"0"</f>
        <v>0</v>
      </c>
      <c r="BC1474" t="str">
        <f ca="1">IF((OFFSET($A$1, 1474 - 1, 53 - 1)) &gt;= (OFFSET($A$1, 69 - 1, 7 - 1)), "1","0")</f>
        <v>0</v>
      </c>
      <c r="BD1474">
        <f ca="1" xml:space="preserve"> IF( AND( OFFSET($A$1, 1474 - 1, 54 - 1) = "1", OFFSET($A$1, 1474 - 1, 55 - 1) = "1" ), 1, IF( AND( OFFSET($A$1, 1474 - 1, 54 - 1) = "1", OFFSET($A$1, 1474 - 1, 55 - 1) = "0" ), 2, IF( AND( OFFSET($A$1, 1474 - 1, 54 - 1) = "0", OFFSET($A$1, 1474 - 1, 55 - 1) = "1" ), 3, 4 ) ) )</f>
        <v>4</v>
      </c>
    </row>
    <row r="1475" spans="53:56" x14ac:dyDescent="0.35">
      <c r="BA1475" s="3">
        <v>0.20128371282112831</v>
      </c>
      <c r="BB1475" s="3" t="str">
        <f>"0"</f>
        <v>0</v>
      </c>
      <c r="BC1475" t="str">
        <f ca="1">IF((OFFSET($A$1, 1475 - 1, 53 - 1)) &gt;= (OFFSET($A$1, 69 - 1, 7 - 1)), "1","0")</f>
        <v>0</v>
      </c>
      <c r="BD1475">
        <f ca="1" xml:space="preserve"> IF( AND( OFFSET($A$1, 1475 - 1, 54 - 1) = "1", OFFSET($A$1, 1475 - 1, 55 - 1) = "1" ), 1, IF( AND( OFFSET($A$1, 1475 - 1, 54 - 1) = "1", OFFSET($A$1, 1475 - 1, 55 - 1) = "0" ), 2, IF( AND( OFFSET($A$1, 1475 - 1, 54 - 1) = "0", OFFSET($A$1, 1475 - 1, 55 - 1) = "1" ), 3, 4 ) ) )</f>
        <v>4</v>
      </c>
    </row>
    <row r="1476" spans="53:56" x14ac:dyDescent="0.35">
      <c r="BA1476" s="3">
        <v>0.20088257451913949</v>
      </c>
      <c r="BB1476" s="3" t="str">
        <f>"0"</f>
        <v>0</v>
      </c>
      <c r="BC1476" t="str">
        <f ca="1">IF((OFFSET($A$1, 1476 - 1, 53 - 1)) &gt;= (OFFSET($A$1, 69 - 1, 7 - 1)), "1","0")</f>
        <v>0</v>
      </c>
      <c r="BD1476">
        <f ca="1" xml:space="preserve"> IF( AND( OFFSET($A$1, 1476 - 1, 54 - 1) = "1", OFFSET($A$1, 1476 - 1, 55 - 1) = "1" ), 1, IF( AND( OFFSET($A$1, 1476 - 1, 54 - 1) = "1", OFFSET($A$1, 1476 - 1, 55 - 1) = "0" ), 2, IF( AND( OFFSET($A$1, 1476 - 1, 54 - 1) = "0", OFFSET($A$1, 1476 - 1, 55 - 1) = "1" ), 3, 4 ) ) )</f>
        <v>4</v>
      </c>
    </row>
    <row r="1477" spans="53:56" x14ac:dyDescent="0.35">
      <c r="BA1477" s="3">
        <v>0.2004976890467717</v>
      </c>
      <c r="BB1477" s="3" t="str">
        <f>"0"</f>
        <v>0</v>
      </c>
      <c r="BC1477" t="str">
        <f ca="1">IF((OFFSET($A$1, 1477 - 1, 53 - 1)) &gt;= (OFFSET($A$1, 69 - 1, 7 - 1)), "1","0")</f>
        <v>0</v>
      </c>
      <c r="BD1477">
        <f ca="1" xml:space="preserve"> IF( AND( OFFSET($A$1, 1477 - 1, 54 - 1) = "1", OFFSET($A$1, 1477 - 1, 55 - 1) = "1" ), 1, IF( AND( OFFSET($A$1, 1477 - 1, 54 - 1) = "1", OFFSET($A$1, 1477 - 1, 55 - 1) = "0" ), 2, IF( AND( OFFSET($A$1, 1477 - 1, 54 - 1) = "0", OFFSET($A$1, 1477 - 1, 55 - 1) = "1" ), 3, 4 ) ) )</f>
        <v>4</v>
      </c>
    </row>
    <row r="1478" spans="53:56" x14ac:dyDescent="0.35">
      <c r="BA1478" s="3">
        <v>0.20012910247428278</v>
      </c>
      <c r="BB1478" s="3" t="str">
        <f>"1"</f>
        <v>1</v>
      </c>
      <c r="BC1478" t="str">
        <f ca="1">IF((OFFSET($A$1, 1478 - 1, 53 - 1)) &gt;= (OFFSET($A$1, 69 - 1, 7 - 1)), "1","0")</f>
        <v>0</v>
      </c>
      <c r="BD1478">
        <f ca="1" xml:space="preserve"> IF( AND( OFFSET($A$1, 1478 - 1, 54 - 1) = "1", OFFSET($A$1, 1478 - 1, 55 - 1) = "1" ), 1, IF( AND( OFFSET($A$1, 1478 - 1, 54 - 1) = "1", OFFSET($A$1, 1478 - 1, 55 - 1) = "0" ), 2, IF( AND( OFFSET($A$1, 1478 - 1, 54 - 1) = "0", OFFSET($A$1, 1478 - 1, 55 - 1) = "1" ), 3, 4 ) ) )</f>
        <v>2</v>
      </c>
    </row>
    <row r="1479" spans="53:56" x14ac:dyDescent="0.35">
      <c r="BA1479" s="3">
        <v>0.43798264429725881</v>
      </c>
      <c r="BB1479" s="3" t="str">
        <f>"0"</f>
        <v>0</v>
      </c>
      <c r="BC1479" t="str">
        <f ca="1">IF((OFFSET($A$1, 1479 - 1, 53 - 1)) &gt;= (OFFSET($A$1, 69 - 1, 7 - 1)), "1","0")</f>
        <v>0</v>
      </c>
      <c r="BD1479">
        <f ca="1" xml:space="preserve"> IF( AND( OFFSET($A$1, 1479 - 1, 54 - 1) = "1", OFFSET($A$1, 1479 - 1, 55 - 1) = "1" ), 1, IF( AND( OFFSET($A$1, 1479 - 1, 54 - 1) = "1", OFFSET($A$1, 1479 - 1, 55 - 1) = "0" ), 2, IF( AND( OFFSET($A$1, 1479 - 1, 54 - 1) = "0", OFFSET($A$1, 1479 - 1, 55 - 1) = "1" ), 3, 4 ) ) )</f>
        <v>4</v>
      </c>
    </row>
    <row r="1480" spans="53:56" x14ac:dyDescent="0.35">
      <c r="BA1480" s="3">
        <v>0.19944099792494707</v>
      </c>
      <c r="BB1480" s="3" t="str">
        <f>"0"</f>
        <v>0</v>
      </c>
      <c r="BC1480" t="str">
        <f ca="1">IF((OFFSET($A$1, 1480 - 1, 53 - 1)) &gt;= (OFFSET($A$1, 69 - 1, 7 - 1)), "1","0")</f>
        <v>0</v>
      </c>
      <c r="BD1480">
        <f ca="1" xml:space="preserve"> IF( AND( OFFSET($A$1, 1480 - 1, 54 - 1) = "1", OFFSET($A$1, 1480 - 1, 55 - 1) = "1" ), 1, IF( AND( OFFSET($A$1, 1480 - 1, 54 - 1) = "1", OFFSET($A$1, 1480 - 1, 55 - 1) = "0" ), 2, IF( AND( OFFSET($A$1, 1480 - 1, 54 - 1) = "0", OFFSET($A$1, 1480 - 1, 55 - 1) = "1" ), 3, 4 ) ) )</f>
        <v>4</v>
      </c>
    </row>
    <row r="1481" spans="53:56" x14ac:dyDescent="0.35">
      <c r="BA1481" s="3">
        <v>0.19912155989244476</v>
      </c>
      <c r="BB1481" s="3" t="str">
        <f>"0"</f>
        <v>0</v>
      </c>
      <c r="BC1481" t="str">
        <f ca="1">IF((OFFSET($A$1, 1481 - 1, 53 - 1)) &gt;= (OFFSET($A$1, 69 - 1, 7 - 1)), "1","0")</f>
        <v>0</v>
      </c>
      <c r="BD1481">
        <f ca="1" xml:space="preserve"> IF( AND( OFFSET($A$1, 1481 - 1, 54 - 1) = "1", OFFSET($A$1, 1481 - 1, 55 - 1) = "1" ), 1, IF( AND( OFFSET($A$1, 1481 - 1, 54 - 1) = "1", OFFSET($A$1, 1481 - 1, 55 - 1) = "0" ), 2, IF( AND( OFFSET($A$1, 1481 - 1, 54 - 1) = "0", OFFSET($A$1, 1481 - 1, 55 - 1) = "1" ), 3, 4 ) ) )</f>
        <v>4</v>
      </c>
    </row>
    <row r="1482" spans="53:56" x14ac:dyDescent="0.35">
      <c r="BA1482" s="3">
        <v>0.19881858076901798</v>
      </c>
      <c r="BB1482" s="3" t="str">
        <f>"0"</f>
        <v>0</v>
      </c>
      <c r="BC1482" t="str">
        <f ca="1">IF((OFFSET($A$1, 1482 - 1, 53 - 1)) &gt;= (OFFSET($A$1, 69 - 1, 7 - 1)), "1","0")</f>
        <v>0</v>
      </c>
      <c r="BD1482">
        <f ca="1" xml:space="preserve"> IF( AND( OFFSET($A$1, 1482 - 1, 54 - 1) = "1", OFFSET($A$1, 1482 - 1, 55 - 1) = "1" ), 1, IF( AND( OFFSET($A$1, 1482 - 1, 54 - 1) = "1", OFFSET($A$1, 1482 - 1, 55 - 1) = "0" ), 2, IF( AND( OFFSET($A$1, 1482 - 1, 54 - 1) = "0", OFFSET($A$1, 1482 - 1, 55 - 1) = "1" ), 3, 4 ) ) )</f>
        <v>4</v>
      </c>
    </row>
    <row r="1483" spans="53:56" x14ac:dyDescent="0.35">
      <c r="BA1483" s="3">
        <v>0.19853209479011183</v>
      </c>
      <c r="BB1483" s="3" t="str">
        <f>"0"</f>
        <v>0</v>
      </c>
      <c r="BC1483" t="str">
        <f ca="1">IF((OFFSET($A$1, 1483 - 1, 53 - 1)) &gt;= (OFFSET($A$1, 69 - 1, 7 - 1)), "1","0")</f>
        <v>0</v>
      </c>
      <c r="BD1483">
        <f ca="1" xml:space="preserve"> IF( AND( OFFSET($A$1, 1483 - 1, 54 - 1) = "1", OFFSET($A$1, 1483 - 1, 55 - 1) = "1" ), 1, IF( AND( OFFSET($A$1, 1483 - 1, 54 - 1) = "1", OFFSET($A$1, 1483 - 1, 55 - 1) = "0" ), 2, IF( AND( OFFSET($A$1, 1483 - 1, 54 - 1) = "0", OFFSET($A$1, 1483 - 1, 55 - 1) = "1" ), 3, 4 ) ) )</f>
        <v>4</v>
      </c>
    </row>
    <row r="1484" spans="53:56" x14ac:dyDescent="0.35">
      <c r="BA1484" s="3">
        <v>0.19826213399638981</v>
      </c>
      <c r="BB1484" s="3" t="str">
        <f>"0"</f>
        <v>0</v>
      </c>
      <c r="BC1484" t="str">
        <f ca="1">IF((OFFSET($A$1, 1484 - 1, 53 - 1)) &gt;= (OFFSET($A$1, 69 - 1, 7 - 1)), "1","0")</f>
        <v>0</v>
      </c>
      <c r="BD1484">
        <f ca="1" xml:space="preserve"> IF( AND( OFFSET($A$1, 1484 - 1, 54 - 1) = "1", OFFSET($A$1, 1484 - 1, 55 - 1) = "1" ), 1, IF( AND( OFFSET($A$1, 1484 - 1, 54 - 1) = "1", OFFSET($A$1, 1484 - 1, 55 - 1) = "0" ), 2, IF( AND( OFFSET($A$1, 1484 - 1, 54 - 1) = "0", OFFSET($A$1, 1484 - 1, 55 - 1) = "1" ), 3, 4 ) ) )</f>
        <v>4</v>
      </c>
    </row>
    <row r="1485" spans="53:56" x14ac:dyDescent="0.35">
      <c r="BA1485" s="3">
        <v>0.19800872828526336</v>
      </c>
      <c r="BB1485" s="3" t="str">
        <f>"0"</f>
        <v>0</v>
      </c>
      <c r="BC1485" t="str">
        <f ca="1">IF((OFFSET($A$1, 1485 - 1, 53 - 1)) &gt;= (OFFSET($A$1, 69 - 1, 7 - 1)), "1","0")</f>
        <v>0</v>
      </c>
      <c r="BD1485">
        <f ca="1" xml:space="preserve"> IF( AND( OFFSET($A$1, 1485 - 1, 54 - 1) = "1", OFFSET($A$1, 1485 - 1, 55 - 1) = "1" ), 1, IF( AND( OFFSET($A$1, 1485 - 1, 54 - 1) = "1", OFFSET($A$1, 1485 - 1, 55 - 1) = "0" ), 2, IF( AND( OFFSET($A$1, 1485 - 1, 54 - 1) = "0", OFFSET($A$1, 1485 - 1, 55 - 1) = "1" ), 3, 4 ) ) )</f>
        <v>4</v>
      </c>
    </row>
    <row r="1486" spans="53:56" x14ac:dyDescent="0.35">
      <c r="BA1486" s="3">
        <v>0.19777190545976409</v>
      </c>
      <c r="BB1486" s="3" t="str">
        <f>"0"</f>
        <v>0</v>
      </c>
      <c r="BC1486" t="str">
        <f ca="1">IF((OFFSET($A$1, 1486 - 1, 53 - 1)) &gt;= (OFFSET($A$1, 69 - 1, 7 - 1)), "1","0")</f>
        <v>0</v>
      </c>
      <c r="BD1486">
        <f ca="1" xml:space="preserve"> IF( AND( OFFSET($A$1, 1486 - 1, 54 - 1) = "1", OFFSET($A$1, 1486 - 1, 55 - 1) = "1" ), 1, IF( AND( OFFSET($A$1, 1486 - 1, 54 - 1) = "1", OFFSET($A$1, 1486 - 1, 55 - 1) = "0" ), 2, IF( AND( OFFSET($A$1, 1486 - 1, 54 - 1) = "0", OFFSET($A$1, 1486 - 1, 55 - 1) = "1" ), 3, 4 ) ) )</f>
        <v>4</v>
      </c>
    </row>
    <row r="1487" spans="53:56" x14ac:dyDescent="0.35">
      <c r="BA1487" s="3">
        <v>0.19755169127469852</v>
      </c>
      <c r="BB1487" s="3" t="str">
        <f>"0"</f>
        <v>0</v>
      </c>
      <c r="BC1487" t="str">
        <f ca="1">IF((OFFSET($A$1, 1487 - 1, 53 - 1)) &gt;= (OFFSET($A$1, 69 - 1, 7 - 1)), "1","0")</f>
        <v>0</v>
      </c>
      <c r="BD1487">
        <f ca="1" xml:space="preserve"> IF( AND( OFFSET($A$1, 1487 - 1, 54 - 1) = "1", OFFSET($A$1, 1487 - 1, 55 - 1) = "1" ), 1, IF( AND( OFFSET($A$1, 1487 - 1, 54 - 1) = "1", OFFSET($A$1, 1487 - 1, 55 - 1) = "0" ), 2, IF( AND( OFFSET($A$1, 1487 - 1, 54 - 1) = "0", OFFSET($A$1, 1487 - 1, 55 - 1) = "1" ), 3, 4 ) ) )</f>
        <v>4</v>
      </c>
    </row>
    <row r="1488" spans="53:56" x14ac:dyDescent="0.35">
      <c r="BA1488" s="3">
        <v>0.19734810948002651</v>
      </c>
      <c r="BB1488" s="3" t="str">
        <f>"0"</f>
        <v>0</v>
      </c>
      <c r="BC1488" t="str">
        <f ca="1">IF((OFFSET($A$1, 1488 - 1, 53 - 1)) &gt;= (OFFSET($A$1, 69 - 1, 7 - 1)), "1","0")</f>
        <v>0</v>
      </c>
      <c r="BD1488">
        <f ca="1" xml:space="preserve"> IF( AND( OFFSET($A$1, 1488 - 1, 54 - 1) = "1", OFFSET($A$1, 1488 - 1, 55 - 1) = "1" ), 1, IF( AND( OFFSET($A$1, 1488 - 1, 54 - 1) = "1", OFFSET($A$1, 1488 - 1, 55 - 1) = "0" ), 2, IF( AND( OFFSET($A$1, 1488 - 1, 54 - 1) = "0", OFFSET($A$1, 1488 - 1, 55 - 1) = "1" ), 3, 4 ) ) )</f>
        <v>4</v>
      </c>
    </row>
    <row r="1489" spans="53:56" x14ac:dyDescent="0.35">
      <c r="BA1489" s="3">
        <v>0.19716118186140616</v>
      </c>
      <c r="BB1489" s="3" t="str">
        <f>"0"</f>
        <v>0</v>
      </c>
      <c r="BC1489" t="str">
        <f ca="1">IF((OFFSET($A$1, 1489 - 1, 53 - 1)) &gt;= (OFFSET($A$1, 69 - 1, 7 - 1)), "1","0")</f>
        <v>0</v>
      </c>
      <c r="BD1489">
        <f ca="1" xml:space="preserve"> IF( AND( OFFSET($A$1, 1489 - 1, 54 - 1) = "1", OFFSET($A$1, 1489 - 1, 55 - 1) = "1" ), 1, IF( AND( OFFSET($A$1, 1489 - 1, 54 - 1) = "1", OFFSET($A$1, 1489 - 1, 55 - 1) = "0" ), 2, IF( AND( OFFSET($A$1, 1489 - 1, 54 - 1) = "0", OFFSET($A$1, 1489 - 1, 55 - 1) = "1" ), 3, 4 ) ) )</f>
        <v>4</v>
      </c>
    </row>
    <row r="1490" spans="53:56" x14ac:dyDescent="0.35">
      <c r="BA1490" s="3">
        <v>0.1969909282778573</v>
      </c>
      <c r="BB1490" s="3" t="str">
        <f>"1"</f>
        <v>1</v>
      </c>
      <c r="BC1490" t="str">
        <f ca="1">IF((OFFSET($A$1, 1490 - 1, 53 - 1)) &gt;= (OFFSET($A$1, 69 - 1, 7 - 1)), "1","0")</f>
        <v>0</v>
      </c>
      <c r="BD1490">
        <f ca="1" xml:space="preserve"> IF( AND( OFFSET($A$1, 1490 - 1, 54 - 1) = "1", OFFSET($A$1, 1490 - 1, 55 - 1) = "1" ), 1, IF( AND( OFFSET($A$1, 1490 - 1, 54 - 1) = "1", OFFSET($A$1, 1490 - 1, 55 - 1) = "0" ), 2, IF( AND( OFFSET($A$1, 1490 - 1, 54 - 1) = "0", OFFSET($A$1, 1490 - 1, 55 - 1) = "1" ), 3, 4 ) ) )</f>
        <v>2</v>
      </c>
    </row>
    <row r="1491" spans="53:56" x14ac:dyDescent="0.35">
      <c r="BA1491" s="3">
        <v>0.43343664943101723</v>
      </c>
      <c r="BB1491" s="3" t="str">
        <f>"1"</f>
        <v>1</v>
      </c>
      <c r="BC1491" t="str">
        <f ca="1">IF((OFFSET($A$1, 1491 - 1, 53 - 1)) &gt;= (OFFSET($A$1, 69 - 1, 7 - 1)), "1","0")</f>
        <v>0</v>
      </c>
      <c r="BD1491">
        <f ca="1" xml:space="preserve"> IF( AND( OFFSET($A$1, 1491 - 1, 54 - 1) = "1", OFFSET($A$1, 1491 - 1, 55 - 1) = "1" ), 1, IF( AND( OFFSET($A$1, 1491 - 1, 54 - 1) = "1", OFFSET($A$1, 1491 - 1, 55 - 1) = "0" ), 2, IF( AND( OFFSET($A$1, 1491 - 1, 54 - 1) = "0", OFFSET($A$1, 1491 - 1, 55 - 1) = "1" ), 3, 4 ) ) )</f>
        <v>2</v>
      </c>
    </row>
    <row r="1492" spans="53:56" x14ac:dyDescent="0.35">
      <c r="BA1492" s="3">
        <v>0.43322402760381229</v>
      </c>
      <c r="BB1492" s="3" t="str">
        <f>"1"</f>
        <v>1</v>
      </c>
      <c r="BC1492" t="str">
        <f ca="1">IF((OFFSET($A$1, 1492 - 1, 53 - 1)) &gt;= (OFFSET($A$1, 69 - 1, 7 - 1)), "1","0")</f>
        <v>0</v>
      </c>
      <c r="BD1492">
        <f ca="1" xml:space="preserve"> IF( AND( OFFSET($A$1, 1492 - 1, 54 - 1) = "1", OFFSET($A$1, 1492 - 1, 55 - 1) = "1" ), 1, IF( AND( OFFSET($A$1, 1492 - 1, 54 - 1) = "1", OFFSET($A$1, 1492 - 1, 55 - 1) = "0" ), 2, IF( AND( OFFSET($A$1, 1492 - 1, 54 - 1) = "0", OFFSET($A$1, 1492 - 1, 55 - 1) = "1" ), 3, 4 ) ) )</f>
        <v>2</v>
      </c>
    </row>
    <row r="1493" spans="53:56" x14ac:dyDescent="0.35">
      <c r="BA1493" s="3">
        <v>0.43303731463017719</v>
      </c>
      <c r="BB1493" s="3" t="str">
        <f>"1"</f>
        <v>1</v>
      </c>
      <c r="BC1493" t="str">
        <f ca="1">IF((OFFSET($A$1, 1493 - 1, 53 - 1)) &gt;= (OFFSET($A$1, 69 - 1, 7 - 1)), "1","0")</f>
        <v>0</v>
      </c>
      <c r="BD1493">
        <f ca="1" xml:space="preserve"> IF( AND( OFFSET($A$1, 1493 - 1, 54 - 1) = "1", OFFSET($A$1, 1493 - 1, 55 - 1) = "1" ), 1, IF( AND( OFFSET($A$1, 1493 - 1, 54 - 1) = "1", OFFSET($A$1, 1493 - 1, 55 - 1) = "0" ), 2, IF( AND( OFFSET($A$1, 1493 - 1, 54 - 1) = "0", OFFSET($A$1, 1493 - 1, 55 - 1) = "1" ), 3, 4 ) ) )</f>
        <v>2</v>
      </c>
    </row>
    <row r="1494" spans="53:56" x14ac:dyDescent="0.35">
      <c r="BA1494" s="3">
        <v>0.43287655790848439</v>
      </c>
      <c r="BB1494" s="3" t="str">
        <f>"1"</f>
        <v>1</v>
      </c>
      <c r="BC1494" t="str">
        <f ca="1">IF((OFFSET($A$1, 1494 - 1, 53 - 1)) &gt;= (OFFSET($A$1, 69 - 1, 7 - 1)), "1","0")</f>
        <v>0</v>
      </c>
      <c r="BD1494">
        <f ca="1" xml:space="preserve"> IF( AND( OFFSET($A$1, 1494 - 1, 54 - 1) = "1", OFFSET($A$1, 1494 - 1, 55 - 1) = "1" ), 1, IF( AND( OFFSET($A$1, 1494 - 1, 54 - 1) = "1", OFFSET($A$1, 1494 - 1, 55 - 1) = "0" ), 2, IF( AND( OFFSET($A$1, 1494 - 1, 54 - 1) = "0", OFFSET($A$1, 1494 - 1, 55 - 1) = "1" ), 3, 4 ) ) )</f>
        <v>2</v>
      </c>
    </row>
    <row r="1495" spans="53:56" x14ac:dyDescent="0.35">
      <c r="BA1495" s="3">
        <v>0.43274179820533398</v>
      </c>
      <c r="BB1495" s="3" t="str">
        <f>"0"</f>
        <v>0</v>
      </c>
      <c r="BC1495" t="str">
        <f ca="1">IF((OFFSET($A$1, 1495 - 1, 53 - 1)) &gt;= (OFFSET($A$1, 69 - 1, 7 - 1)), "1","0")</f>
        <v>0</v>
      </c>
      <c r="BD1495">
        <f ca="1" xml:space="preserve"> IF( AND( OFFSET($A$1, 1495 - 1, 54 - 1) = "1", OFFSET($A$1, 1495 - 1, 55 - 1) = "1" ), 1, IF( AND( OFFSET($A$1, 1495 - 1, 54 - 1) = "1", OFFSET($A$1, 1495 - 1, 55 - 1) = "0" ), 2, IF( AND( OFFSET($A$1, 1495 - 1, 54 - 1) = "0", OFFSET($A$1, 1495 - 1, 55 - 1) = "1" ), 3, 4 ) ) )</f>
        <v>4</v>
      </c>
    </row>
    <row r="1496" spans="53:56" x14ac:dyDescent="0.35">
      <c r="BA1496" s="3">
        <v>0.19632043898579168</v>
      </c>
      <c r="BB1496" s="3" t="str">
        <f>"0"</f>
        <v>0</v>
      </c>
      <c r="BC1496" t="str">
        <f ca="1">IF((OFFSET($A$1, 1496 - 1, 53 - 1)) &gt;= (OFFSET($A$1, 69 - 1, 7 - 1)), "1","0")</f>
        <v>0</v>
      </c>
      <c r="BD1496">
        <f ca="1" xml:space="preserve"> IF( AND( OFFSET($A$1, 1496 - 1, 54 - 1) = "1", OFFSET($A$1, 1496 - 1, 55 - 1) = "1" ), 1, IF( AND( OFFSET($A$1, 1496 - 1, 54 - 1) = "1", OFFSET($A$1, 1496 - 1, 55 - 1) = "0" ), 2, IF( AND( OFFSET($A$1, 1496 - 1, 54 - 1) = "0", OFFSET($A$1, 1496 - 1, 55 - 1) = "1" ), 3, 4 ) ) )</f>
        <v>4</v>
      </c>
    </row>
    <row r="1497" spans="53:56" x14ac:dyDescent="0.35">
      <c r="BA1497" s="3">
        <v>0.19626730439988888</v>
      </c>
      <c r="BB1497" s="3" t="str">
        <f>"0"</f>
        <v>0</v>
      </c>
      <c r="BC1497" t="str">
        <f ca="1">IF((OFFSET($A$1, 1497 - 1, 53 - 1)) &gt;= (OFFSET($A$1, 69 - 1, 7 - 1)), "1","0")</f>
        <v>0</v>
      </c>
      <c r="BD1497">
        <f ca="1" xml:space="preserve"> IF( AND( OFFSET($A$1, 1497 - 1, 54 - 1) = "1", OFFSET($A$1, 1497 - 1, 55 - 1) = "1" ), 1, IF( AND( OFFSET($A$1, 1497 - 1, 54 - 1) = "1", OFFSET($A$1, 1497 - 1, 55 - 1) = "0" ), 2, IF( AND( OFFSET($A$1, 1497 - 1, 54 - 1) = "0", OFFSET($A$1, 1497 - 1, 55 - 1) = "1" ), 3, 4 ) ) )</f>
        <v>4</v>
      </c>
    </row>
    <row r="1498" spans="53:56" x14ac:dyDescent="0.35">
      <c r="BA1498" s="3">
        <v>0.1962309368970262</v>
      </c>
      <c r="BB1498" s="3" t="str">
        <f>"0"</f>
        <v>0</v>
      </c>
      <c r="BC1498" t="str">
        <f ca="1">IF((OFFSET($A$1, 1498 - 1, 53 - 1)) &gt;= (OFFSET($A$1, 69 - 1, 7 - 1)), "1","0")</f>
        <v>0</v>
      </c>
      <c r="BD1498">
        <f ca="1" xml:space="preserve"> IF( AND( OFFSET($A$1, 1498 - 1, 54 - 1) = "1", OFFSET($A$1, 1498 - 1, 55 - 1) = "1" ), 1, IF( AND( OFFSET($A$1, 1498 - 1, 54 - 1) = "1", OFFSET($A$1, 1498 - 1, 55 - 1) = "0" ), 2, IF( AND( OFFSET($A$1, 1498 - 1, 54 - 1) = "0", OFFSET($A$1, 1498 - 1, 55 - 1) = "1" ), 3, 4 ) ) )</f>
        <v>4</v>
      </c>
    </row>
    <row r="1499" spans="53:56" x14ac:dyDescent="0.35">
      <c r="BA1499" s="3">
        <v>0.19621134019559694</v>
      </c>
      <c r="BB1499" s="3" t="str">
        <f>"0"</f>
        <v>0</v>
      </c>
      <c r="BC1499" t="str">
        <f ca="1">IF((OFFSET($A$1, 1499 - 1, 53 - 1)) &gt;= (OFFSET($A$1, 69 - 1, 7 - 1)), "1","0")</f>
        <v>0</v>
      </c>
      <c r="BD1499">
        <f ca="1" xml:space="preserve"> IF( AND( OFFSET($A$1, 1499 - 1, 54 - 1) = "1", OFFSET($A$1, 1499 - 1, 55 - 1) = "1" ), 1, IF( AND( OFFSET($A$1, 1499 - 1, 54 - 1) = "1", OFFSET($A$1, 1499 - 1, 55 - 1) = "0" ), 2, IF( AND( OFFSET($A$1, 1499 - 1, 54 - 1) = "0", OFFSET($A$1, 1499 - 1, 55 - 1) = "1" ), 3, 4 ) ) )</f>
        <v>4</v>
      </c>
    </row>
    <row r="1500" spans="53:56" x14ac:dyDescent="0.35">
      <c r="BA1500" s="3">
        <v>0.19620851629707972</v>
      </c>
      <c r="BB1500" s="3" t="str">
        <f>"0"</f>
        <v>0</v>
      </c>
      <c r="BC1500" t="str">
        <f ca="1">IF((OFFSET($A$1, 1500 - 1, 53 - 1)) &gt;= (OFFSET($A$1, 69 - 1, 7 - 1)), "1","0")</f>
        <v>0</v>
      </c>
      <c r="BD1500">
        <f ca="1" xml:space="preserve"> IF( AND( OFFSET($A$1, 1500 - 1, 54 - 1) = "1", OFFSET($A$1, 1500 - 1, 55 - 1) = "1" ), 1, IF( AND( OFFSET($A$1, 1500 - 1, 54 - 1) = "1", OFFSET($A$1, 1500 - 1, 55 - 1) = "0" ), 2, IF( AND( OFFSET($A$1, 1500 - 1, 54 - 1) = "0", OFFSET($A$1, 1500 - 1, 55 - 1) = "1" ), 3, 4 ) ) )</f>
        <v>4</v>
      </c>
    </row>
    <row r="1501" spans="53:56" x14ac:dyDescent="0.35">
      <c r="BA1501" s="3">
        <v>0.19622246548976277</v>
      </c>
      <c r="BB1501" s="3" t="str">
        <f>"0"</f>
        <v>0</v>
      </c>
      <c r="BC1501" t="str">
        <f ca="1">IF((OFFSET($A$1, 1501 - 1, 53 - 1)) &gt;= (OFFSET($A$1, 69 - 1, 7 - 1)), "1","0")</f>
        <v>0</v>
      </c>
      <c r="BD1501">
        <f ca="1" xml:space="preserve"> IF( AND( OFFSET($A$1, 1501 - 1, 54 - 1) = "1", OFFSET($A$1, 1501 - 1, 55 - 1) = "1" ), 1, IF( AND( OFFSET($A$1, 1501 - 1, 54 - 1) = "1", OFFSET($A$1, 1501 - 1, 55 - 1) = "0" ), 2, IF( AND( OFFSET($A$1, 1501 - 1, 54 - 1) = "0", OFFSET($A$1, 1501 - 1, 55 - 1) = "1" ), 3, 4 ) ) )</f>
        <v>4</v>
      </c>
    </row>
    <row r="1502" spans="53:56" x14ac:dyDescent="0.35">
      <c r="BA1502" s="3">
        <v>0.19625318634928099</v>
      </c>
      <c r="BB1502" s="3" t="str">
        <f>"0"</f>
        <v>0</v>
      </c>
      <c r="BC1502" t="str">
        <f ca="1">IF((OFFSET($A$1, 1502 - 1, 53 - 1)) &gt;= (OFFSET($A$1, 69 - 1, 7 - 1)), "1","0")</f>
        <v>0</v>
      </c>
      <c r="BD1502">
        <f ca="1" xml:space="preserve"> IF( AND( OFFSET($A$1, 1502 - 1, 54 - 1) = "1", OFFSET($A$1, 1502 - 1, 55 - 1) = "1" ), 1, IF( AND( OFFSET($A$1, 1502 - 1, 54 - 1) = "1", OFFSET($A$1, 1502 - 1, 55 - 1) = "0" ), 2, IF( AND( OFFSET($A$1, 1502 - 1, 54 - 1) = "0", OFFSET($A$1, 1502 - 1, 55 - 1) = "1" ), 3, 4 ) ) )</f>
        <v>4</v>
      </c>
    </row>
    <row r="1503" spans="53:56" x14ac:dyDescent="0.35">
      <c r="BA1503" s="3">
        <v>0.19630067573596452</v>
      </c>
      <c r="BB1503" s="3" t="str">
        <f>"1"</f>
        <v>1</v>
      </c>
      <c r="BC1503" t="str">
        <f ca="1">IF((OFFSET($A$1, 1503 - 1, 53 - 1)) &gt;= (OFFSET($A$1, 69 - 1, 7 - 1)), "1","0")</f>
        <v>0</v>
      </c>
      <c r="BD1503">
        <f ca="1" xml:space="preserve"> IF( AND( OFFSET($A$1, 1503 - 1, 54 - 1) = "1", OFFSET($A$1, 1503 - 1, 55 - 1) = "1" ), 1, IF( AND( OFFSET($A$1, 1503 - 1, 54 - 1) = "1", OFFSET($A$1, 1503 - 1, 55 - 1) = "0" ), 2, IF( AND( OFFSET($A$1, 1503 - 1, 54 - 1) = "0", OFFSET($A$1, 1503 - 1, 55 - 1) = "1" ), 3, 4 ) ) )</f>
        <v>2</v>
      </c>
    </row>
    <row r="1504" spans="53:56" x14ac:dyDescent="0.35">
      <c r="BA1504" s="3">
        <v>0.43270227934382832</v>
      </c>
      <c r="BB1504" s="3" t="str">
        <f>"1"</f>
        <v>1</v>
      </c>
      <c r="BC1504" t="str">
        <f ca="1">IF((OFFSET($A$1, 1504 - 1, 53 - 1)) &gt;= (OFFSET($A$1, 69 - 1, 7 - 1)), "1","0")</f>
        <v>0</v>
      </c>
      <c r="BD1504">
        <f ca="1" xml:space="preserve"> IF( AND( OFFSET($A$1, 1504 - 1, 54 - 1) = "1", OFFSET($A$1, 1504 - 1, 55 - 1) = "1" ), 1, IF( AND( OFFSET($A$1, 1504 - 1, 54 - 1) = "1", OFFSET($A$1, 1504 - 1, 55 - 1) = "0" ), 2, IF( AND( OFFSET($A$1, 1504 - 1, 54 - 1) = "0", OFFSET($A$1, 1504 - 1, 55 - 1) = "1" ), 3, 4 ) ) )</f>
        <v>2</v>
      </c>
    </row>
    <row r="1505" spans="53:56" x14ac:dyDescent="0.35">
      <c r="BA1505" s="3">
        <v>0.43282827745914004</v>
      </c>
      <c r="BB1505" s="3" t="str">
        <f>"0"</f>
        <v>0</v>
      </c>
      <c r="BC1505" t="str">
        <f ca="1">IF((OFFSET($A$1, 1505 - 1, 53 - 1)) &gt;= (OFFSET($A$1, 69 - 1, 7 - 1)), "1","0")</f>
        <v>0</v>
      </c>
      <c r="BD1505">
        <f ca="1" xml:space="preserve"> IF( AND( OFFSET($A$1, 1505 - 1, 54 - 1) = "1", OFFSET($A$1, 1505 - 1, 55 - 1) = "1" ), 1, IF( AND( OFFSET($A$1, 1505 - 1, 54 - 1) = "1", OFFSET($A$1, 1505 - 1, 55 - 1) = "0" ), 2, IF( AND( OFFSET($A$1, 1505 - 1, 54 - 1) = "0", OFFSET($A$1, 1505 - 1, 55 - 1) = "1" ), 3, 4 ) ) )</f>
        <v>4</v>
      </c>
    </row>
    <row r="1506" spans="53:56" x14ac:dyDescent="0.35">
      <c r="BA1506" s="3">
        <v>0.19654369778792807</v>
      </c>
      <c r="BB1506" s="3" t="str">
        <f>"0"</f>
        <v>0</v>
      </c>
      <c r="BC1506" t="str">
        <f ca="1">IF((OFFSET($A$1, 1506 - 1, 53 - 1)) &gt;= (OFFSET($A$1, 69 - 1, 7 - 1)), "1","0")</f>
        <v>0</v>
      </c>
      <c r="BD1506">
        <f ca="1" xml:space="preserve"> IF( AND( OFFSET($A$1, 1506 - 1, 54 - 1) = "1", OFFSET($A$1, 1506 - 1, 55 - 1) = "1" ), 1, IF( AND( OFFSET($A$1, 1506 - 1, 54 - 1) = "1", OFFSET($A$1, 1506 - 1, 55 - 1) = "0" ), 2, IF( AND( OFFSET($A$1, 1506 - 1, 54 - 1) = "0", OFFSET($A$1, 1506 - 1, 55 - 1) = "1" ), 3, 4 ) ) )</f>
        <v>4</v>
      </c>
    </row>
    <row r="1507" spans="53:56" x14ac:dyDescent="0.35">
      <c r="BA1507" s="3">
        <v>0.19665819530952913</v>
      </c>
      <c r="BB1507" s="3" t="str">
        <f>"1"</f>
        <v>1</v>
      </c>
      <c r="BC1507" t="str">
        <f ca="1">IF((OFFSET($A$1, 1507 - 1, 53 - 1)) &gt;= (OFFSET($A$1, 69 - 1, 7 - 1)), "1","0")</f>
        <v>0</v>
      </c>
      <c r="BD1507">
        <f ca="1" xml:space="preserve"> IF( AND( OFFSET($A$1, 1507 - 1, 54 - 1) = "1", OFFSET($A$1, 1507 - 1, 55 - 1) = "1" ), 1, IF( AND( OFFSET($A$1, 1507 - 1, 54 - 1) = "1", OFFSET($A$1, 1507 - 1, 55 - 1) = "0" ), 2, IF( AND( OFFSET($A$1, 1507 - 1, 54 - 1) = "0", OFFSET($A$1, 1507 - 1, 55 - 1) = "1" ), 3, 4 ) ) )</f>
        <v>2</v>
      </c>
    </row>
    <row r="1508" spans="53:56" x14ac:dyDescent="0.35">
      <c r="BA1508" s="3">
        <v>0.43336216656011839</v>
      </c>
      <c r="BB1508" s="3" t="str">
        <f>"0"</f>
        <v>0</v>
      </c>
      <c r="BC1508" t="str">
        <f ca="1">IF((OFFSET($A$1, 1508 - 1, 53 - 1)) &gt;= (OFFSET($A$1, 69 - 1, 7 - 1)), "1","0")</f>
        <v>0</v>
      </c>
      <c r="BD1508">
        <f ca="1" xml:space="preserve"> IF( AND( OFFSET($A$1, 1508 - 1, 54 - 1) = "1", OFFSET($A$1, 1508 - 1, 55 - 1) = "1" ), 1, IF( AND( OFFSET($A$1, 1508 - 1, 54 - 1) = "1", OFFSET($A$1, 1508 - 1, 55 - 1) = "0" ), 2, IF( AND( OFFSET($A$1, 1508 - 1, 54 - 1) = "0", OFFSET($A$1, 1508 - 1, 55 - 1) = "1" ), 3, 4 ) ) )</f>
        <v>4</v>
      </c>
    </row>
    <row r="1509" spans="53:56" x14ac:dyDescent="0.35">
      <c r="BA1509" s="3">
        <v>0.19693735703979298</v>
      </c>
      <c r="BB1509" s="3" t="str">
        <f>"0"</f>
        <v>0</v>
      </c>
      <c r="BC1509" t="str">
        <f ca="1">IF((OFFSET($A$1, 1509 - 1, 53 - 1)) &gt;= (OFFSET($A$1, 69 - 1, 7 - 1)), "1","0")</f>
        <v>0</v>
      </c>
      <c r="BD1509">
        <f ca="1" xml:space="preserve"> IF( AND( OFFSET($A$1, 1509 - 1, 54 - 1) = "1", OFFSET($A$1, 1509 - 1, 55 - 1) = "1" ), 1, IF( AND( OFFSET($A$1, 1509 - 1, 54 - 1) = "1", OFFSET($A$1, 1509 - 1, 55 - 1) = "0" ), 2, IF( AND( OFFSET($A$1, 1509 - 1, 54 - 1) = "0", OFFSET($A$1, 1509 - 1, 55 - 1) = "1" ), 3, 4 ) ) )</f>
        <v>4</v>
      </c>
    </row>
    <row r="1510" spans="53:56" x14ac:dyDescent="0.35">
      <c r="BA1510" s="3">
        <v>0.19710199209634821</v>
      </c>
      <c r="BB1510" s="3" t="str">
        <f>"0"</f>
        <v>0</v>
      </c>
      <c r="BC1510" t="str">
        <f ca="1">IF((OFFSET($A$1, 1510 - 1, 53 - 1)) &gt;= (OFFSET($A$1, 69 - 1, 7 - 1)), "1","0")</f>
        <v>0</v>
      </c>
      <c r="BD1510">
        <f ca="1" xml:space="preserve"> IF( AND( OFFSET($A$1, 1510 - 1, 54 - 1) = "1", OFFSET($A$1, 1510 - 1, 55 - 1) = "1" ), 1, IF( AND( OFFSET($A$1, 1510 - 1, 54 - 1) = "1", OFFSET($A$1, 1510 - 1, 55 - 1) = "0" ), 2, IF( AND( OFFSET($A$1, 1510 - 1, 54 - 1) = "0", OFFSET($A$1, 1510 - 1, 55 - 1) = "1" ), 3, 4 ) ) )</f>
        <v>4</v>
      </c>
    </row>
    <row r="1511" spans="53:56" x14ac:dyDescent="0.35">
      <c r="BA1511" s="3">
        <v>0.19728330744738889</v>
      </c>
      <c r="BB1511" s="3" t="str">
        <f>"0"</f>
        <v>0</v>
      </c>
      <c r="BC1511" t="str">
        <f ca="1">IF((OFFSET($A$1, 1511 - 1, 53 - 1)) &gt;= (OFFSET($A$1, 69 - 1, 7 - 1)), "1","0")</f>
        <v>0</v>
      </c>
      <c r="BD1511">
        <f ca="1" xml:space="preserve"> IF( AND( OFFSET($A$1, 1511 - 1, 54 - 1) = "1", OFFSET($A$1, 1511 - 1, 55 - 1) = "1" ), 1, IF( AND( OFFSET($A$1, 1511 - 1, 54 - 1) = "1", OFFSET($A$1, 1511 - 1, 55 - 1) = "0" ), 2, IF( AND( OFFSET($A$1, 1511 - 1, 54 - 1) = "0", OFFSET($A$1, 1511 - 1, 55 - 1) = "1" ), 3, 4 ) ) )</f>
        <v>4</v>
      </c>
    </row>
    <row r="1512" spans="53:56" x14ac:dyDescent="0.35">
      <c r="BA1512" s="3">
        <v>0.19748128387465894</v>
      </c>
      <c r="BB1512" s="3" t="str">
        <f>"0"</f>
        <v>0</v>
      </c>
      <c r="BC1512" t="str">
        <f ca="1">IF((OFFSET($A$1, 1512 - 1, 53 - 1)) &gt;= (OFFSET($A$1, 69 - 1, 7 - 1)), "1","0")</f>
        <v>0</v>
      </c>
      <c r="BD1512">
        <f ca="1" xml:space="preserve"> IF( AND( OFFSET($A$1, 1512 - 1, 54 - 1) = "1", OFFSET($A$1, 1512 - 1, 55 - 1) = "1" ), 1, IF( AND( OFFSET($A$1, 1512 - 1, 54 - 1) = "1", OFFSET($A$1, 1512 - 1, 55 - 1) = "0" ), 2, IF( AND( OFFSET($A$1, 1512 - 1, 54 - 1) = "0", OFFSET($A$1, 1512 - 1, 55 - 1) = "1" ), 3, 4 ) ) )</f>
        <v>4</v>
      </c>
    </row>
    <row r="1513" spans="53:56" x14ac:dyDescent="0.35">
      <c r="BA1513" s="3">
        <v>0.19769590024528794</v>
      </c>
      <c r="BB1513" s="3" t="str">
        <f>"0"</f>
        <v>0</v>
      </c>
      <c r="BC1513" t="str">
        <f ca="1">IF((OFFSET($A$1, 1513 - 1, 53 - 1)) &gt;= (OFFSET($A$1, 69 - 1, 7 - 1)), "1","0")</f>
        <v>0</v>
      </c>
      <c r="BD1513">
        <f ca="1" xml:space="preserve"> IF( AND( OFFSET($A$1, 1513 - 1, 54 - 1) = "1", OFFSET($A$1, 1513 - 1, 55 - 1) = "1" ), 1, IF( AND( OFFSET($A$1, 1513 - 1, 54 - 1) = "1", OFFSET($A$1, 1513 - 1, 55 - 1) = "0" ), 2, IF( AND( OFFSET($A$1, 1513 - 1, 54 - 1) = "0", OFFSET($A$1, 1513 - 1, 55 - 1) = "1" ), 3, 4 ) ) )</f>
        <v>4</v>
      </c>
    </row>
    <row r="1514" spans="53:56" x14ac:dyDescent="0.35">
      <c r="BA1514" s="3">
        <v>0.19792713347511073</v>
      </c>
      <c r="BB1514" s="3" t="str">
        <f>"1"</f>
        <v>1</v>
      </c>
      <c r="BC1514" t="str">
        <f ca="1">IF((OFFSET($A$1, 1514 - 1, 53 - 1)) &gt;= (OFFSET($A$1, 69 - 1, 7 - 1)), "1","0")</f>
        <v>0</v>
      </c>
      <c r="BD1514">
        <f ca="1" xml:space="preserve"> IF( AND( OFFSET($A$1, 1514 - 1, 54 - 1) = "1", OFFSET($A$1, 1514 - 1, 55 - 1) = "1" ), 1, IF( AND( OFFSET($A$1, 1514 - 1, 54 - 1) = "1", OFFSET($A$1, 1514 - 1, 55 - 1) = "0" ), 2, IF( AND( OFFSET($A$1, 1514 - 1, 54 - 1) = "0", OFFSET($A$1, 1514 - 1, 55 - 1) = "1" ), 3, 4 ) ) )</f>
        <v>2</v>
      </c>
    </row>
    <row r="1515" spans="53:56" x14ac:dyDescent="0.35">
      <c r="BA1515" s="3">
        <v>0.43551021680022967</v>
      </c>
      <c r="BB1515" s="3" t="str">
        <f>"0"</f>
        <v>0</v>
      </c>
      <c r="BC1515" t="str">
        <f ca="1">IF((OFFSET($A$1, 1515 - 1, 53 - 1)) &gt;= (OFFSET($A$1, 69 - 1, 7 - 1)), "1","0")</f>
        <v>0</v>
      </c>
      <c r="BD1515">
        <f ca="1" xml:space="preserve"> IF( AND( OFFSET($A$1, 1515 - 1, 54 - 1) = "1", OFFSET($A$1, 1515 - 1, 55 - 1) = "1" ), 1, IF( AND( OFFSET($A$1, 1515 - 1, 54 - 1) = "1", OFFSET($A$1, 1515 - 1, 55 - 1) = "0" ), 2, IF( AND( OFFSET($A$1, 1515 - 1, 54 - 1) = "0", OFFSET($A$1, 1515 - 1, 55 - 1) = "1" ), 3, 4 ) ) )</f>
        <v>4</v>
      </c>
    </row>
    <row r="1516" spans="53:56" x14ac:dyDescent="0.35">
      <c r="BA1516" s="3">
        <v>0.19843934817886566</v>
      </c>
      <c r="BB1516" s="3" t="str">
        <f>"0"</f>
        <v>0</v>
      </c>
      <c r="BC1516" t="str">
        <f ca="1">IF((OFFSET($A$1, 1516 - 1, 53 - 1)) &gt;= (OFFSET($A$1, 69 - 1, 7 - 1)), "1","0")</f>
        <v>0</v>
      </c>
      <c r="BD1516">
        <f ca="1" xml:space="preserve"> IF( AND( OFFSET($A$1, 1516 - 1, 54 - 1) = "1", OFFSET($A$1, 1516 - 1, 55 - 1) = "1" ), 1, IF( AND( OFFSET($A$1, 1516 - 1, 54 - 1) = "1", OFFSET($A$1, 1516 - 1, 55 - 1) = "0" ), 2, IF( AND( OFFSET($A$1, 1516 - 1, 54 - 1) = "0", OFFSET($A$1, 1516 - 1, 55 - 1) = "1" ), 3, 4 ) ) )</f>
        <v>4</v>
      </c>
    </row>
    <row r="1517" spans="53:56" x14ac:dyDescent="0.35">
      <c r="BA1517" s="3">
        <v>0.19872027335757103</v>
      </c>
      <c r="BB1517" s="3" t="str">
        <f>"0"</f>
        <v>0</v>
      </c>
      <c r="BC1517" t="str">
        <f ca="1">IF((OFFSET($A$1, 1517 - 1, 53 - 1)) &gt;= (OFFSET($A$1, 69 - 1, 7 - 1)), "1","0")</f>
        <v>0</v>
      </c>
      <c r="BD1517">
        <f ca="1" xml:space="preserve"> IF( AND( OFFSET($A$1, 1517 - 1, 54 - 1) = "1", OFFSET($A$1, 1517 - 1, 55 - 1) = "1" ), 1, IF( AND( OFFSET($A$1, 1517 - 1, 54 - 1) = "1", OFFSET($A$1, 1517 - 1, 55 - 1) = "0" ), 2, IF( AND( OFFSET($A$1, 1517 - 1, 54 - 1) = "0", OFFSET($A$1, 1517 - 1, 55 - 1) = "1" ), 3, 4 ) ) )</f>
        <v>4</v>
      </c>
    </row>
    <row r="1518" spans="53:56" x14ac:dyDescent="0.35">
      <c r="BA1518" s="3">
        <v>0.19901770271182559</v>
      </c>
      <c r="BB1518" s="3" t="str">
        <f>"0"</f>
        <v>0</v>
      </c>
      <c r="BC1518" t="str">
        <f ca="1">IF((OFFSET($A$1, 1518 - 1, 53 - 1)) &gt;= (OFFSET($A$1, 69 - 1, 7 - 1)), "1","0")</f>
        <v>0</v>
      </c>
      <c r="BD1518">
        <f ca="1" xml:space="preserve"> IF( AND( OFFSET($A$1, 1518 - 1, 54 - 1) = "1", OFFSET($A$1, 1518 - 1, 55 - 1) = "1" ), 1, IF( AND( OFFSET($A$1, 1518 - 1, 54 - 1) = "1", OFFSET($A$1, 1518 - 1, 55 - 1) = "0" ), 2, IF( AND( OFFSET($A$1, 1518 - 1, 54 - 1) = "0", OFFSET($A$1, 1518 - 1, 55 - 1) = "1" ), 3, 4 ) ) )</f>
        <v>4</v>
      </c>
    </row>
    <row r="1519" spans="53:56" x14ac:dyDescent="0.35">
      <c r="BA1519" s="3">
        <v>0.199331602751115</v>
      </c>
      <c r="BB1519" s="3" t="str">
        <f>"0"</f>
        <v>0</v>
      </c>
      <c r="BC1519" t="str">
        <f ca="1">IF((OFFSET($A$1, 1519 - 1, 53 - 1)) &gt;= (OFFSET($A$1, 69 - 1, 7 - 1)), "1","0")</f>
        <v>0</v>
      </c>
      <c r="BD1519">
        <f ca="1" xml:space="preserve"> IF( AND( OFFSET($A$1, 1519 - 1, 54 - 1) = "1", OFFSET($A$1, 1519 - 1, 55 - 1) = "1" ), 1, IF( AND( OFFSET($A$1, 1519 - 1, 54 - 1) = "1", OFFSET($A$1, 1519 - 1, 55 - 1) = "0" ), 2, IF( AND( OFFSET($A$1, 1519 - 1, 54 - 1) = "0", OFFSET($A$1, 1519 - 1, 55 - 1) = "1" ), 3, 4 ) ) )</f>
        <v>4</v>
      </c>
    </row>
    <row r="1520" spans="53:56" x14ac:dyDescent="0.35">
      <c r="BA1520" s="3">
        <v>0.1996619377545345</v>
      </c>
      <c r="BB1520" s="3" t="str">
        <f>"0"</f>
        <v>0</v>
      </c>
      <c r="BC1520" t="str">
        <f ca="1">IF((OFFSET($A$1, 1520 - 1, 53 - 1)) &gt;= (OFFSET($A$1, 69 - 1, 7 - 1)), "1","0")</f>
        <v>0</v>
      </c>
      <c r="BD1520">
        <f ca="1" xml:space="preserve"> IF( AND( OFFSET($A$1, 1520 - 1, 54 - 1) = "1", OFFSET($A$1, 1520 - 1, 55 - 1) = "1" ), 1, IF( AND( OFFSET($A$1, 1520 - 1, 54 - 1) = "1", OFFSET($A$1, 1520 - 1, 55 - 1) = "0" ), 2, IF( AND( OFFSET($A$1, 1520 - 1, 54 - 1) = "0", OFFSET($A$1, 1520 - 1, 55 - 1) = "1" ), 3, 4 ) ) )</f>
        <v>4</v>
      </c>
    </row>
    <row r="1521" spans="53:56" x14ac:dyDescent="0.35">
      <c r="BA1521" s="3">
        <v>0.20000866971499501</v>
      </c>
      <c r="BB1521" s="3" t="str">
        <f>"0"</f>
        <v>0</v>
      </c>
      <c r="BC1521" t="str">
        <f ca="1">IF((OFFSET($A$1, 1521 - 1, 53 - 1)) &gt;= (OFFSET($A$1, 69 - 1, 7 - 1)), "1","0")</f>
        <v>0</v>
      </c>
      <c r="BD1521">
        <f ca="1" xml:space="preserve"> IF( AND( OFFSET($A$1, 1521 - 1, 54 - 1) = "1", OFFSET($A$1, 1521 - 1, 55 - 1) = "1" ), 1, IF( AND( OFFSET($A$1, 1521 - 1, 54 - 1) = "1", OFFSET($A$1, 1521 - 1, 55 - 1) = "0" ), 2, IF( AND( OFFSET($A$1, 1521 - 1, 54 - 1) = "0", OFFSET($A$1, 1521 - 1, 55 - 1) = "1" ), 3, 4 ) ) )</f>
        <v>4</v>
      </c>
    </row>
    <row r="1522" spans="53:56" x14ac:dyDescent="0.35">
      <c r="BA1522" s="3">
        <v>0.20037175828096385</v>
      </c>
      <c r="BB1522" s="3" t="str">
        <f>"0"</f>
        <v>0</v>
      </c>
      <c r="BC1522" t="str">
        <f ca="1">IF((OFFSET($A$1, 1522 - 1, 53 - 1)) &gt;= (OFFSET($A$1, 69 - 1, 7 - 1)), "1","0")</f>
        <v>0</v>
      </c>
      <c r="BD1522">
        <f ca="1" xml:space="preserve"> IF( AND( OFFSET($A$1, 1522 - 1, 54 - 1) = "1", OFFSET($A$1, 1522 - 1, 55 - 1) = "1" ), 1, IF( AND( OFFSET($A$1, 1522 - 1, 54 - 1) = "1", OFFSET($A$1, 1522 - 1, 55 - 1) = "0" ), 2, IF( AND( OFFSET($A$1, 1522 - 1, 54 - 1) = "0", OFFSET($A$1, 1522 - 1, 55 - 1) = "1" ), 3, 4 ) ) )</f>
        <v>4</v>
      </c>
    </row>
    <row r="1523" spans="53:56" x14ac:dyDescent="0.35">
      <c r="BA1523" s="3">
        <v>0.20075116069581542</v>
      </c>
      <c r="BB1523" s="3" t="str">
        <f>"0"</f>
        <v>0</v>
      </c>
      <c r="BC1523" t="str">
        <f ca="1">IF((OFFSET($A$1, 1523 - 1, 53 - 1)) &gt;= (OFFSET($A$1, 69 - 1, 7 - 1)), "1","0")</f>
        <v>0</v>
      </c>
      <c r="BD1523">
        <f ca="1" xml:space="preserve"> IF( AND( OFFSET($A$1, 1523 - 1, 54 - 1) = "1", OFFSET($A$1, 1523 - 1, 55 - 1) = "1" ), 1, IF( AND( OFFSET($A$1, 1523 - 1, 54 - 1) = "1", OFFSET($A$1, 1523 - 1, 55 - 1) = "0" ), 2, IF( AND( OFFSET($A$1, 1523 - 1, 54 - 1) = "0", OFFSET($A$1, 1523 - 1, 55 - 1) = "1" ), 3, 4 ) ) )</f>
        <v>4</v>
      </c>
    </row>
    <row r="1524" spans="53:56" x14ac:dyDescent="0.35">
      <c r="BA1524" s="3">
        <v>0.20114683173487768</v>
      </c>
      <c r="BB1524" s="3" t="str">
        <f>"0"</f>
        <v>0</v>
      </c>
      <c r="BC1524" t="str">
        <f ca="1">IF((OFFSET($A$1, 1524 - 1, 53 - 1)) &gt;= (OFFSET($A$1, 69 - 1, 7 - 1)), "1","0")</f>
        <v>0</v>
      </c>
      <c r="BD1524">
        <f ca="1" xml:space="preserve"> IF( AND( OFFSET($A$1, 1524 - 1, 54 - 1) = "1", OFFSET($A$1, 1524 - 1, 55 - 1) = "1" ), 1, IF( AND( OFFSET($A$1, 1524 - 1, 54 - 1) = "1", OFFSET($A$1, 1524 - 1, 55 - 1) = "0" ), 2, IF( AND( OFFSET($A$1, 1524 - 1, 54 - 1) = "0", OFFSET($A$1, 1524 - 1, 55 - 1) = "1" ), 3, 4 ) ) )</f>
        <v>4</v>
      </c>
    </row>
    <row r="1525" spans="53:56" x14ac:dyDescent="0.35">
      <c r="BA1525" s="3">
        <v>0.2015587236402599</v>
      </c>
      <c r="BB1525" s="3" t="str">
        <f>"0"</f>
        <v>0</v>
      </c>
      <c r="BC1525" t="str">
        <f ca="1">IF((OFFSET($A$1, 1525 - 1, 53 - 1)) &gt;= (OFFSET($A$1, 69 - 1, 7 - 1)), "1","0")</f>
        <v>0</v>
      </c>
      <c r="BD1525">
        <f ca="1" xml:space="preserve"> IF( AND( OFFSET($A$1, 1525 - 1, 54 - 1) = "1", OFFSET($A$1, 1525 - 1, 55 - 1) = "1" ), 1, IF( AND( OFFSET($A$1, 1525 - 1, 54 - 1) = "1", OFFSET($A$1, 1525 - 1, 55 - 1) = "0" ), 2, IF( AND( OFFSET($A$1, 1525 - 1, 54 - 1) = "0", OFFSET($A$1, 1525 - 1, 55 - 1) = "1" ), 3, 4 ) ) )</f>
        <v>4</v>
      </c>
    </row>
    <row r="1526" spans="53:56" x14ac:dyDescent="0.35">
      <c r="BA1526" s="3">
        <v>0.20198678605355216</v>
      </c>
      <c r="BB1526" s="3" t="str">
        <f>"0"</f>
        <v>0</v>
      </c>
      <c r="BC1526" t="str">
        <f ca="1">IF((OFFSET($A$1, 1526 - 1, 53 - 1)) &gt;= (OFFSET($A$1, 69 - 1, 7 - 1)), "1","0")</f>
        <v>0</v>
      </c>
      <c r="BD1526">
        <f ca="1" xml:space="preserve"> IF( AND( OFFSET($A$1, 1526 - 1, 54 - 1) = "1", OFFSET($A$1, 1526 - 1, 55 - 1) = "1" ), 1, IF( AND( OFFSET($A$1, 1526 - 1, 54 - 1) = "1", OFFSET($A$1, 1526 - 1, 55 - 1) = "0" ), 2, IF( AND( OFFSET($A$1, 1526 - 1, 54 - 1) = "0", OFFSET($A$1, 1526 - 1, 55 - 1) = "1" ), 3, 4 ) ) )</f>
        <v>4</v>
      </c>
    </row>
    <row r="1527" spans="53:56" x14ac:dyDescent="0.35">
      <c r="BA1527" s="3">
        <v>0.20243096594649482</v>
      </c>
      <c r="BB1527" s="3" t="str">
        <f>"0"</f>
        <v>0</v>
      </c>
      <c r="BC1527" t="str">
        <f ca="1">IF((OFFSET($A$1, 1527 - 1, 53 - 1)) &gt;= (OFFSET($A$1, 69 - 1, 7 - 1)), "1","0")</f>
        <v>0</v>
      </c>
      <c r="BD1527">
        <f ca="1" xml:space="preserve"> IF( AND( OFFSET($A$1, 1527 - 1, 54 - 1) = "1", OFFSET($A$1, 1527 - 1, 55 - 1) = "1" ), 1, IF( AND( OFFSET($A$1, 1527 - 1, 54 - 1) = "1", OFFSET($A$1, 1527 - 1, 55 - 1) = "0" ), 2, IF( AND( OFFSET($A$1, 1527 - 1, 54 - 1) = "0", OFFSET($A$1, 1527 - 1, 55 - 1) = "1" ), 3, 4 ) ) )</f>
        <v>4</v>
      </c>
    </row>
    <row r="1528" spans="53:56" x14ac:dyDescent="0.35">
      <c r="BA1528" s="3">
        <v>0.2028912075497154</v>
      </c>
      <c r="BB1528" s="3" t="str">
        <f>"1"</f>
        <v>1</v>
      </c>
      <c r="BC1528" t="str">
        <f ca="1">IF((OFFSET($A$1, 1528 - 1, 53 - 1)) &gt;= (OFFSET($A$1, 69 - 1, 7 - 1)), "1","0")</f>
        <v>0</v>
      </c>
      <c r="BD1528">
        <f ca="1" xml:space="preserve"> IF( AND( OFFSET($A$1, 1528 - 1, 54 - 1) = "1", OFFSET($A$1, 1528 - 1, 55 - 1) = "1" ), 1, IF( AND( OFFSET($A$1, 1528 - 1, 54 - 1) = "1", OFFSET($A$1, 1528 - 1, 55 - 1) = "0" ), 2, IF( AND( OFFSET($A$1, 1528 - 1, 54 - 1) = "0", OFFSET($A$1, 1528 - 1, 55 - 1) = "1" ), 3, 4 ) ) )</f>
        <v>2</v>
      </c>
    </row>
    <row r="1529" spans="53:56" x14ac:dyDescent="0.35">
      <c r="BA1529" s="3">
        <v>0.44348184162156623</v>
      </c>
      <c r="BB1529" s="3" t="str">
        <f>"1"</f>
        <v>1</v>
      </c>
      <c r="BC1529" t="str">
        <f ca="1">IF((OFFSET($A$1, 1529 - 1, 53 - 1)) &gt;= (OFFSET($A$1, 69 - 1, 7 - 1)), "1","0")</f>
        <v>0</v>
      </c>
      <c r="BD1529">
        <f ca="1" xml:space="preserve"> IF( AND( OFFSET($A$1, 1529 - 1, 54 - 1) = "1", OFFSET($A$1, 1529 - 1, 55 - 1) = "1" ), 1, IF( AND( OFFSET($A$1, 1529 - 1, 54 - 1) = "1", OFFSET($A$1, 1529 - 1, 55 - 1) = "0" ), 2, IF( AND( OFFSET($A$1, 1529 - 1, 54 - 1) = "0", OFFSET($A$1, 1529 - 1, 55 - 1) = "1" ), 3, 4 ) ) )</f>
        <v>2</v>
      </c>
    </row>
    <row r="1530" spans="53:56" x14ac:dyDescent="0.35">
      <c r="BA1530" s="3">
        <v>0.44423109479766604</v>
      </c>
      <c r="BB1530" s="3" t="str">
        <f>"1"</f>
        <v>1</v>
      </c>
      <c r="BC1530" t="str">
        <f ca="1">IF((OFFSET($A$1, 1530 - 1, 53 - 1)) &gt;= (OFFSET($A$1, 69 - 1, 7 - 1)), "1","0")</f>
        <v>0</v>
      </c>
      <c r="BD1530">
        <f ca="1" xml:space="preserve"> IF( AND( OFFSET($A$1, 1530 - 1, 54 - 1) = "1", OFFSET($A$1, 1530 - 1, 55 - 1) = "1" ), 1, IF( AND( OFFSET($A$1, 1530 - 1, 54 - 1) = "1", OFFSET($A$1, 1530 - 1, 55 - 1) = "0" ), 2, IF( AND( OFFSET($A$1, 1530 - 1, 54 - 1) = "0", OFFSET($A$1, 1530 - 1, 55 - 1) = "1" ), 3, 4 ) ) )</f>
        <v>2</v>
      </c>
    </row>
    <row r="1531" spans="53:56" x14ac:dyDescent="0.35">
      <c r="BA1531" s="3">
        <v>0.44500337290764203</v>
      </c>
      <c r="BB1531" s="3" t="str">
        <f>"1"</f>
        <v>1</v>
      </c>
      <c r="BC1531" t="str">
        <f ca="1">IF((OFFSET($A$1, 1531 - 1, 53 - 1)) &gt;= (OFFSET($A$1, 69 - 1, 7 - 1)), "1","0")</f>
        <v>0</v>
      </c>
      <c r="BD1531">
        <f ca="1" xml:space="preserve"> IF( AND( OFFSET($A$1, 1531 - 1, 54 - 1) = "1", OFFSET($A$1, 1531 - 1, 55 - 1) = "1" ), 1, IF( AND( OFFSET($A$1, 1531 - 1, 54 - 1) = "1", OFFSET($A$1, 1531 - 1, 55 - 1) = "0" ), 2, IF( AND( OFFSET($A$1, 1531 - 1, 54 - 1) = "0", OFFSET($A$1, 1531 - 1, 55 - 1) = "1" ), 3, 4 ) ) )</f>
        <v>2</v>
      </c>
    </row>
    <row r="1532" spans="53:56" x14ac:dyDescent="0.35">
      <c r="BA1532" s="3">
        <v>0.44579846732044959</v>
      </c>
      <c r="BB1532" s="3" t="str">
        <f>"0"</f>
        <v>0</v>
      </c>
      <c r="BC1532" t="str">
        <f ca="1">IF((OFFSET($A$1, 1532 - 1, 53 - 1)) &gt;= (OFFSET($A$1, 69 - 1, 7 - 1)), "1","0")</f>
        <v>0</v>
      </c>
      <c r="BD1532">
        <f ca="1" xml:space="preserve"> IF( AND( OFFSET($A$1, 1532 - 1, 54 - 1) = "1", OFFSET($A$1, 1532 - 1, 55 - 1) = "1" ), 1, IF( AND( OFFSET($A$1, 1532 - 1, 54 - 1) = "1", OFFSET($A$1, 1532 - 1, 55 - 1) = "0" ), 2, IF( AND( OFFSET($A$1, 1532 - 1, 54 - 1) = "0", OFFSET($A$1, 1532 - 1, 55 - 1) = "1" ), 3, 4 ) ) )</f>
        <v>4</v>
      </c>
    </row>
    <row r="1533" spans="53:56" x14ac:dyDescent="0.35">
      <c r="BA1533" s="3">
        <v>0.20543118806448801</v>
      </c>
      <c r="BB1533" s="3" t="str">
        <f>"0"</f>
        <v>0</v>
      </c>
      <c r="BC1533" t="str">
        <f ca="1">IF((OFFSET($A$1, 1533 - 1, 53 - 1)) &gt;= (OFFSET($A$1, 69 - 1, 7 - 1)), "1","0")</f>
        <v>0</v>
      </c>
      <c r="BD1533">
        <f ca="1" xml:space="preserve"> IF( AND( OFFSET($A$1, 1533 - 1, 54 - 1) = "1", OFFSET($A$1, 1533 - 1, 55 - 1) = "1" ), 1, IF( AND( OFFSET($A$1, 1533 - 1, 54 - 1) = "1", OFFSET($A$1, 1533 - 1, 55 - 1) = "0" ), 2, IF( AND( OFFSET($A$1, 1533 - 1, 54 - 1) = "0", OFFSET($A$1, 1533 - 1, 55 - 1) = "1" ), 3, 4 ) ) )</f>
        <v>4</v>
      </c>
    </row>
    <row r="1534" spans="53:56" x14ac:dyDescent="0.35">
      <c r="BA1534" s="3">
        <v>0.20598646585404243</v>
      </c>
      <c r="BB1534" s="3" t="str">
        <f>"0"</f>
        <v>0</v>
      </c>
      <c r="BC1534" t="str">
        <f ca="1">IF((OFFSET($A$1, 1534 - 1, 53 - 1)) &gt;= (OFFSET($A$1, 69 - 1, 7 - 1)), "1","0")</f>
        <v>0</v>
      </c>
      <c r="BD1534">
        <f ca="1" xml:space="preserve"> IF( AND( OFFSET($A$1, 1534 - 1, 54 - 1) = "1", OFFSET($A$1, 1534 - 1, 55 - 1) = "1" ), 1, IF( AND( OFFSET($A$1, 1534 - 1, 54 - 1) = "1", OFFSET($A$1, 1534 - 1, 55 - 1) = "0" ), 2, IF( AND( OFFSET($A$1, 1534 - 1, 54 - 1) = "0", OFFSET($A$1, 1534 - 1, 55 - 1) = "1" ), 3, 4 ) ) )</f>
        <v>4</v>
      </c>
    </row>
    <row r="1535" spans="53:56" x14ac:dyDescent="0.35">
      <c r="BA1535" s="3">
        <v>0.20655733187564679</v>
      </c>
      <c r="BB1535" s="3" t="str">
        <f>"0"</f>
        <v>0</v>
      </c>
      <c r="BC1535" t="str">
        <f ca="1">IF((OFFSET($A$1, 1535 - 1, 53 - 1)) &gt;= (OFFSET($A$1, 69 - 1, 7 - 1)), "1","0")</f>
        <v>0</v>
      </c>
      <c r="BD1535">
        <f ca="1" xml:space="preserve"> IF( AND( OFFSET($A$1, 1535 - 1, 54 - 1) = "1", OFFSET($A$1, 1535 - 1, 55 - 1) = "1" ), 1, IF( AND( OFFSET($A$1, 1535 - 1, 54 - 1) = "1", OFFSET($A$1, 1535 - 1, 55 - 1) = "0" ), 2, IF( AND( OFFSET($A$1, 1535 - 1, 54 - 1) = "0", OFFSET($A$1, 1535 - 1, 55 - 1) = "1" ), 3, 4 ) ) )</f>
        <v>4</v>
      </c>
    </row>
    <row r="1536" spans="53:56" x14ac:dyDescent="0.35">
      <c r="BA1536" s="3">
        <v>0.2071437056702341</v>
      </c>
      <c r="BB1536" s="3" t="str">
        <f>"0"</f>
        <v>0</v>
      </c>
      <c r="BC1536" t="str">
        <f ca="1">IF((OFFSET($A$1, 1536 - 1, 53 - 1)) &gt;= (OFFSET($A$1, 69 - 1, 7 - 1)), "1","0")</f>
        <v>0</v>
      </c>
      <c r="BD1536">
        <f ca="1" xml:space="preserve"> IF( AND( OFFSET($A$1, 1536 - 1, 54 - 1) = "1", OFFSET($A$1, 1536 - 1, 55 - 1) = "1" ), 1, IF( AND( OFFSET($A$1, 1536 - 1, 54 - 1) = "1", OFFSET($A$1, 1536 - 1, 55 - 1) = "0" ), 2, IF( AND( OFFSET($A$1, 1536 - 1, 54 - 1) = "0", OFFSET($A$1, 1536 - 1, 55 - 1) = "1" ), 3, 4 ) ) )</f>
        <v>4</v>
      </c>
    </row>
    <row r="1537" spans="53:56" x14ac:dyDescent="0.35">
      <c r="BA1537" s="3">
        <v>0.20774550332799285</v>
      </c>
      <c r="BB1537" s="3" t="str">
        <f>"0"</f>
        <v>0</v>
      </c>
      <c r="BC1537" t="str">
        <f ca="1">IF((OFFSET($A$1, 1537 - 1, 53 - 1)) &gt;= (OFFSET($A$1, 69 - 1, 7 - 1)), "1","0")</f>
        <v>0</v>
      </c>
      <c r="BD1537">
        <f ca="1" xml:space="preserve"> IF( AND( OFFSET($A$1, 1537 - 1, 54 - 1) = "1", OFFSET($A$1, 1537 - 1, 55 - 1) = "1" ), 1, IF( AND( OFFSET($A$1, 1537 - 1, 54 - 1) = "1", OFFSET($A$1, 1537 - 1, 55 - 1) = "0" ), 2, IF( AND( OFFSET($A$1, 1537 - 1, 54 - 1) = "0", OFFSET($A$1, 1537 - 1, 55 - 1) = "1" ), 3, 4 ) ) )</f>
        <v>4</v>
      </c>
    </row>
    <row r="1538" spans="53:56" x14ac:dyDescent="0.35">
      <c r="BA1538" s="3">
        <v>0.20836263740424216</v>
      </c>
      <c r="BB1538" s="3" t="str">
        <f>"0"</f>
        <v>0</v>
      </c>
      <c r="BC1538" t="str">
        <f ca="1">IF((OFFSET($A$1, 1538 - 1, 53 - 1)) &gt;= (OFFSET($A$1, 69 - 1, 7 - 1)), "1","0")</f>
        <v>0</v>
      </c>
      <c r="BD1538">
        <f ca="1" xml:space="preserve"> IF( AND( OFFSET($A$1, 1538 - 1, 54 - 1) = "1", OFFSET($A$1, 1538 - 1, 55 - 1) = "1" ), 1, IF( AND( OFFSET($A$1, 1538 - 1, 54 - 1) = "1", OFFSET($A$1, 1538 - 1, 55 - 1) = "0" ), 2, IF( AND( OFFSET($A$1, 1538 - 1, 54 - 1) = "0", OFFSET($A$1, 1538 - 1, 55 - 1) = "1" ), 3, 4 ) ) )</f>
        <v>4</v>
      </c>
    </row>
    <row r="1539" spans="53:56" x14ac:dyDescent="0.35">
      <c r="BA1539" s="3">
        <v>0.20899501683476085</v>
      </c>
      <c r="BB1539" s="3" t="str">
        <f>"0"</f>
        <v>0</v>
      </c>
      <c r="BC1539" t="str">
        <f ca="1">IF((OFFSET($A$1, 1539 - 1, 53 - 1)) &gt;= (OFFSET($A$1, 69 - 1, 7 - 1)), "1","0")</f>
        <v>0</v>
      </c>
      <c r="BD1539">
        <f ca="1" xml:space="preserve"> IF( AND( OFFSET($A$1, 1539 - 1, 54 - 1) = "1", OFFSET($A$1, 1539 - 1, 55 - 1) = "1" ), 1, IF( AND( OFFSET($A$1, 1539 - 1, 54 - 1) = "1", OFFSET($A$1, 1539 - 1, 55 - 1) = "0" ), 2, IF( AND( OFFSET($A$1, 1539 - 1, 54 - 1) = "0", OFFSET($A$1, 1539 - 1, 55 - 1) = "1" ), 3, 4 ) ) )</f>
        <v>4</v>
      </c>
    </row>
    <row r="1540" spans="53:56" x14ac:dyDescent="0.35">
      <c r="BA1540" s="3">
        <v>0.20964254685071515</v>
      </c>
      <c r="BB1540" s="3" t="str">
        <f>"0"</f>
        <v>0</v>
      </c>
      <c r="BC1540" t="str">
        <f ca="1">IF((OFFSET($A$1, 1540 - 1, 53 - 1)) &gt;= (OFFSET($A$1, 69 - 1, 7 - 1)), "1","0")</f>
        <v>0</v>
      </c>
      <c r="BD1540">
        <f ca="1" xml:space="preserve"> IF( AND( OFFSET($A$1, 1540 - 1, 54 - 1) = "1", OFFSET($A$1, 1540 - 1, 55 - 1) = "1" ), 1, IF( AND( OFFSET($A$1, 1540 - 1, 54 - 1) = "1", OFFSET($A$1, 1540 - 1, 55 - 1) = "0" ), 2, IF( AND( OFFSET($A$1, 1540 - 1, 54 - 1) = "0", OFFSET($A$1, 1540 - 1, 55 - 1) = "1" ), 3, 4 ) ) )</f>
        <v>4</v>
      </c>
    </row>
    <row r="1541" spans="53:56" x14ac:dyDescent="0.35">
      <c r="BA1541" s="3">
        <v>0.21030512889334799</v>
      </c>
      <c r="BB1541" s="3" t="str">
        <f>"0"</f>
        <v>0</v>
      </c>
      <c r="BC1541" t="str">
        <f ca="1">IF((OFFSET($A$1, 1541 - 1, 53 - 1)) &gt;= (OFFSET($A$1, 69 - 1, 7 - 1)), "1","0")</f>
        <v>0</v>
      </c>
      <c r="BD1541">
        <f ca="1" xml:space="preserve"> IF( AND( OFFSET($A$1, 1541 - 1, 54 - 1) = "1", OFFSET($A$1, 1541 - 1, 55 - 1) = "1" ), 1, IF( AND( OFFSET($A$1, 1541 - 1, 54 - 1) = "1", OFFSET($A$1, 1541 - 1, 55 - 1) = "0" ), 2, IF( AND( OFFSET($A$1, 1541 - 1, 54 - 1) = "0", OFFSET($A$1, 1541 - 1, 55 - 1) = "1" ), 3, 4 ) ) )</f>
        <v>4</v>
      </c>
    </row>
    <row r="1542" spans="53:56" x14ac:dyDescent="0.35">
      <c r="BA1542" s="3">
        <v>0.21098266052858067</v>
      </c>
      <c r="BB1542" s="3" t="str">
        <f>"0"</f>
        <v>0</v>
      </c>
      <c r="BC1542" t="str">
        <f ca="1">IF((OFFSET($A$1, 1542 - 1, 53 - 1)) &gt;= (OFFSET($A$1, 69 - 1, 7 - 1)), "1","0")</f>
        <v>0</v>
      </c>
      <c r="BD1542">
        <f ca="1" xml:space="preserve"> IF( AND( OFFSET($A$1, 1542 - 1, 54 - 1) = "1", OFFSET($A$1, 1542 - 1, 55 - 1) = "1" ), 1, IF( AND( OFFSET($A$1, 1542 - 1, 54 - 1) = "1", OFFSET($A$1, 1542 - 1, 55 - 1) = "0" ), 2, IF( AND( OFFSET($A$1, 1542 - 1, 54 - 1) = "0", OFFSET($A$1, 1542 - 1, 55 - 1) = "1" ), 3, 4 ) ) )</f>
        <v>4</v>
      </c>
    </row>
    <row r="1543" spans="53:56" x14ac:dyDescent="0.35">
      <c r="BA1543" s="3">
        <v>0.2116750353616913</v>
      </c>
      <c r="BB1543" s="3" t="str">
        <f>"0"</f>
        <v>0</v>
      </c>
      <c r="BC1543" t="str">
        <f ca="1">IF((OFFSET($A$1, 1543 - 1, 53 - 1)) &gt;= (OFFSET($A$1, 69 - 1, 7 - 1)), "1","0")</f>
        <v>0</v>
      </c>
      <c r="BD1543">
        <f ca="1" xml:space="preserve"> IF( AND( OFFSET($A$1, 1543 - 1, 54 - 1) = "1", OFFSET($A$1, 1543 - 1, 55 - 1) = "1" ), 1, IF( AND( OFFSET($A$1, 1543 - 1, 54 - 1) = "1", OFFSET($A$1, 1543 - 1, 55 - 1) = "0" ), 2, IF( AND( OFFSET($A$1, 1543 - 1, 54 - 1) = "0", OFFSET($A$1, 1543 - 1, 55 - 1) = "1" ), 3, 4 ) ) )</f>
        <v>4</v>
      </c>
    </row>
    <row r="1544" spans="53:56" x14ac:dyDescent="0.35">
      <c r="BA1544" s="3">
        <v>0.21238214295223515</v>
      </c>
      <c r="BB1544" s="3" t="str">
        <f>"0"</f>
        <v>0</v>
      </c>
      <c r="BC1544" t="str">
        <f ca="1">IF((OFFSET($A$1, 1544 - 1, 53 - 1)) &gt;= (OFFSET($A$1, 69 - 1, 7 - 1)), "1","0")</f>
        <v>0</v>
      </c>
      <c r="BD1544">
        <f ca="1" xml:space="preserve"> IF( AND( OFFSET($A$1, 1544 - 1, 54 - 1) = "1", OFFSET($A$1, 1544 - 1, 55 - 1) = "1" ), 1, IF( AND( OFFSET($A$1, 1544 - 1, 54 - 1) = "1", OFFSET($A$1, 1544 - 1, 55 - 1) = "0" ), 2, IF( AND( OFFSET($A$1, 1544 - 1, 54 - 1) = "0", OFFSET($A$1, 1544 - 1, 55 - 1) = "1" ), 3, 4 ) ) )</f>
        <v>4</v>
      </c>
    </row>
    <row r="1545" spans="53:56" x14ac:dyDescent="0.35">
      <c r="BA1545" s="3">
        <v>0.21310386872937345</v>
      </c>
      <c r="BB1545" s="3" t="str">
        <f>"0"</f>
        <v>0</v>
      </c>
      <c r="BC1545" t="str">
        <f ca="1">IF((OFFSET($A$1, 1545 - 1, 53 - 1)) &gt;= (OFFSET($A$1, 69 - 1, 7 - 1)), "1","0")</f>
        <v>0</v>
      </c>
      <c r="BD1545">
        <f ca="1" xml:space="preserve"> IF( AND( OFFSET($A$1, 1545 - 1, 54 - 1) = "1", OFFSET($A$1, 1545 - 1, 55 - 1) = "1" ), 1, IF( AND( OFFSET($A$1, 1545 - 1, 54 - 1) = "1", OFFSET($A$1, 1545 - 1, 55 - 1) = "0" ), 2, IF( AND( OFFSET($A$1, 1545 - 1, 54 - 1) = "0", OFFSET($A$1, 1545 - 1, 55 - 1) = "1" ), 3, 4 ) ) )</f>
        <v>4</v>
      </c>
    </row>
    <row r="1546" spans="53:56" x14ac:dyDescent="0.35">
      <c r="BA1546" s="3">
        <v>0.21384009390778305</v>
      </c>
      <c r="BB1546" s="3" t="str">
        <f>"0"</f>
        <v>0</v>
      </c>
      <c r="BC1546" t="str">
        <f ca="1">IF((OFFSET($A$1, 1546 - 1, 53 - 1)) &gt;= (OFFSET($A$1, 69 - 1, 7 - 1)), "1","0")</f>
        <v>0</v>
      </c>
      <c r="BD1546">
        <f ca="1" xml:space="preserve"> IF( AND( OFFSET($A$1, 1546 - 1, 54 - 1) = "1", OFFSET($A$1, 1546 - 1, 55 - 1) = "1" ), 1, IF( AND( OFFSET($A$1, 1546 - 1, 54 - 1) = "1", OFFSET($A$1, 1546 - 1, 55 - 1) = "0" ), 2, IF( AND( OFFSET($A$1, 1546 - 1, 54 - 1) = "0", OFFSET($A$1, 1546 - 1, 55 - 1) = "1" ), 3, 4 ) ) )</f>
        <v>4</v>
      </c>
    </row>
    <row r="1547" spans="53:56" x14ac:dyDescent="0.35">
      <c r="BA1547" s="3">
        <v>0.21459069540432033</v>
      </c>
      <c r="BB1547" s="3" t="str">
        <f>"0"</f>
        <v>0</v>
      </c>
      <c r="BC1547" t="str">
        <f ca="1">IF((OFFSET($A$1, 1547 - 1, 53 - 1)) &gt;= (OFFSET($A$1, 69 - 1, 7 - 1)), "1","0")</f>
        <v>0</v>
      </c>
      <c r="BD1547">
        <f ca="1" xml:space="preserve"> IF( AND( OFFSET($A$1, 1547 - 1, 54 - 1) = "1", OFFSET($A$1, 1547 - 1, 55 - 1) = "1" ), 1, IF( AND( OFFSET($A$1, 1547 - 1, 54 - 1) = "1", OFFSET($A$1, 1547 - 1, 55 - 1) = "0" ), 2, IF( AND( OFFSET($A$1, 1547 - 1, 54 - 1) = "0", OFFSET($A$1, 1547 - 1, 55 - 1) = "1" ), 3, 4 ) ) )</f>
        <v>4</v>
      </c>
    </row>
    <row r="1548" spans="53:56" x14ac:dyDescent="0.35">
      <c r="BA1548" s="3">
        <v>0.215355545755615</v>
      </c>
      <c r="BB1548" s="3" t="str">
        <f>"0"</f>
        <v>0</v>
      </c>
      <c r="BC1548" t="str">
        <f ca="1">IF((OFFSET($A$1, 1548 - 1, 53 - 1)) &gt;= (OFFSET($A$1, 69 - 1, 7 - 1)), "1","0")</f>
        <v>0</v>
      </c>
      <c r="BD1548">
        <f ca="1" xml:space="preserve"> IF( AND( OFFSET($A$1, 1548 - 1, 54 - 1) = "1", OFFSET($A$1, 1548 - 1, 55 - 1) = "1" ), 1, IF( AND( OFFSET($A$1, 1548 - 1, 54 - 1) = "1", OFFSET($A$1, 1548 - 1, 55 - 1) = "0" ), 2, IF( AND( OFFSET($A$1, 1548 - 1, 54 - 1) = "0", OFFSET($A$1, 1548 - 1, 55 - 1) = "1" ), 3, 4 ) ) )</f>
        <v>4</v>
      </c>
    </row>
    <row r="1549" spans="53:56" x14ac:dyDescent="0.35">
      <c r="BA1549" s="3">
        <v>0.21613451303677395</v>
      </c>
      <c r="BB1549" s="3" t="str">
        <f>"0"</f>
        <v>0</v>
      </c>
      <c r="BC1549" t="str">
        <f ca="1">IF((OFFSET($A$1, 1549 - 1, 53 - 1)) &gt;= (OFFSET($A$1, 69 - 1, 7 - 1)), "1","0")</f>
        <v>0</v>
      </c>
      <c r="BD1549">
        <f ca="1" xml:space="preserve"> IF( AND( OFFSET($A$1, 1549 - 1, 54 - 1) = "1", OFFSET($A$1, 1549 - 1, 55 - 1) = "1" ), 1, IF( AND( OFFSET($A$1, 1549 - 1, 54 - 1) = "1", OFFSET($A$1, 1549 - 1, 55 - 1) = "0" ), 2, IF( AND( OFFSET($A$1, 1549 - 1, 54 - 1) = "0", OFFSET($A$1, 1549 - 1, 55 - 1) = "1" ), 3, 4 ) ) )</f>
        <v>4</v>
      </c>
    </row>
    <row r="1550" spans="53:56" x14ac:dyDescent="0.35">
      <c r="BA1550" s="3">
        <v>0.21692746078137687</v>
      </c>
      <c r="BB1550" s="3" t="str">
        <f>"1"</f>
        <v>1</v>
      </c>
      <c r="BC1550" t="str">
        <f ca="1">IF((OFFSET($A$1, 1550 - 1, 53 - 1)) &gt;= (OFFSET($A$1, 69 - 1, 7 - 1)), "1","0")</f>
        <v>0</v>
      </c>
      <c r="BD1550">
        <f ca="1" xml:space="preserve"> IF( AND( OFFSET($A$1, 1550 - 1, 54 - 1) = "1", OFFSET($A$1, 1550 - 1, 55 - 1) = "1" ), 1, IF( AND( OFFSET($A$1, 1550 - 1, 54 - 1) = "1", OFFSET($A$1, 1550 - 1, 55 - 1) = "0" ), 2, IF( AND( OFFSET($A$1, 1550 - 1, 54 - 1) = "0", OFFSET($A$1, 1550 - 1, 55 - 1) = "1" ), 3, 4 ) ) )</f>
        <v>2</v>
      </c>
    </row>
    <row r="1551" spans="53:56" x14ac:dyDescent="0.35">
      <c r="BA1551" s="3">
        <v>0.46491199154526214</v>
      </c>
      <c r="BB1551" s="3" t="str">
        <f>"1"</f>
        <v>1</v>
      </c>
      <c r="BC1551" t="str">
        <f ca="1">IF((OFFSET($A$1, 1551 - 1, 53 - 1)) &gt;= (OFFSET($A$1, 69 - 1, 7 - 1)), "1","0")</f>
        <v>0</v>
      </c>
      <c r="BD1551">
        <f ca="1" xml:space="preserve"> IF( AND( OFFSET($A$1, 1551 - 1, 54 - 1) = "1", OFFSET($A$1, 1551 - 1, 55 - 1) = "1" ), 1, IF( AND( OFFSET($A$1, 1551 - 1, 54 - 1) = "1", OFFSET($A$1, 1551 - 1, 55 - 1) = "0" ), 2, IF( AND( OFFSET($A$1, 1551 - 1, 54 - 1) = "0", OFFSET($A$1, 1551 - 1, 55 - 1) = "1" ), 3, 4 ) ) )</f>
        <v>2</v>
      </c>
    </row>
    <row r="1552" spans="53:56" x14ac:dyDescent="0.35">
      <c r="BA1552" s="3">
        <v>0.46610891528679921</v>
      </c>
      <c r="BB1552" s="3" t="str">
        <f>"1"</f>
        <v>1</v>
      </c>
      <c r="BC1552" t="str">
        <f ca="1">IF((OFFSET($A$1, 1552 - 1, 53 - 1)) &gt;= (OFFSET($A$1, 69 - 1, 7 - 1)), "1","0")</f>
        <v>0</v>
      </c>
      <c r="BD1552">
        <f ca="1" xml:space="preserve"> IF( AND( OFFSET($A$1, 1552 - 1, 54 - 1) = "1", OFFSET($A$1, 1552 - 1, 55 - 1) = "1" ), 1, IF( AND( OFFSET($A$1, 1552 - 1, 54 - 1) = "1", OFFSET($A$1, 1552 - 1, 55 - 1) = "0" ), 2, IF( AND( OFFSET($A$1, 1552 - 1, 54 - 1) = "0", OFFSET($A$1, 1552 - 1, 55 - 1) = "1" ), 3, 4 ) ) )</f>
        <v>2</v>
      </c>
    </row>
    <row r="1553" spans="53:56" x14ac:dyDescent="0.35">
      <c r="BA1553" s="3">
        <v>0.46732268143934153</v>
      </c>
      <c r="BB1553" s="3" t="str">
        <f>"0"</f>
        <v>0</v>
      </c>
      <c r="BC1553" t="str">
        <f ca="1">IF((OFFSET($A$1, 1553 - 1, 53 - 1)) &gt;= (OFFSET($A$1, 69 - 1, 7 - 1)), "1","0")</f>
        <v>0</v>
      </c>
      <c r="BD1553">
        <f ca="1" xml:space="preserve"> IF( AND( OFFSET($A$1, 1553 - 1, 54 - 1) = "1", OFFSET($A$1, 1553 - 1, 55 - 1) = "1" ), 1, IF( AND( OFFSET($A$1, 1553 - 1, 54 - 1) = "1", OFFSET($A$1, 1553 - 1, 55 - 1) = "0" ), 2, IF( AND( OFFSET($A$1, 1553 - 1, 54 - 1) = "0", OFFSET($A$1, 1553 - 1, 55 - 1) = "1" ), 3, 4 ) ) )</f>
        <v>4</v>
      </c>
    </row>
    <row r="1554" spans="53:56" x14ac:dyDescent="0.35">
      <c r="BA1554" s="3">
        <v>0.22023616376245786</v>
      </c>
      <c r="BB1554" s="3" t="str">
        <f>"1"</f>
        <v>1</v>
      </c>
      <c r="BC1554" t="str">
        <f ca="1">IF((OFFSET($A$1, 1554 - 1, 53 - 1)) &gt;= (OFFSET($A$1, 69 - 1, 7 - 1)), "1","0")</f>
        <v>0</v>
      </c>
      <c r="BD1554">
        <f ca="1" xml:space="preserve"> IF( AND( OFFSET($A$1, 1554 - 1, 54 - 1) = "1", OFFSET($A$1, 1554 - 1, 55 - 1) = "1" ), 1, IF( AND( OFFSET($A$1, 1554 - 1, 54 - 1) = "1", OFFSET($A$1, 1554 - 1, 55 - 1) = "0" ), 2, IF( AND( OFFSET($A$1, 1554 - 1, 54 - 1) = "0", OFFSET($A$1, 1554 - 1, 55 - 1) = "1" ), 3, 4 ) ) )</f>
        <v>2</v>
      </c>
    </row>
    <row r="1555" spans="53:56" x14ac:dyDescent="0.35">
      <c r="BA1555" s="3">
        <v>0.46979930450933477</v>
      </c>
      <c r="BB1555" s="3" t="str">
        <f>"0"</f>
        <v>0</v>
      </c>
      <c r="BC1555" t="str">
        <f ca="1">IF((OFFSET($A$1, 1555 - 1, 53 - 1)) &gt;= (OFFSET($A$1, 69 - 1, 7 - 1)), "1","0")</f>
        <v>0</v>
      </c>
      <c r="BD1555">
        <f ca="1" xml:space="preserve"> IF( AND( OFFSET($A$1, 1555 - 1, 54 - 1) = "1", OFFSET($A$1, 1555 - 1, 55 - 1) = "1" ), 1, IF( AND( OFFSET($A$1, 1555 - 1, 54 - 1) = "1", OFFSET($A$1, 1555 - 1, 55 - 1) = "0" ), 2, IF( AND( OFFSET($A$1, 1555 - 1, 54 - 1) = "0", OFFSET($A$1, 1555 - 1, 55 - 1) = "1" ), 3, 4 ) ) )</f>
        <v>4</v>
      </c>
    </row>
    <row r="1556" spans="53:56" x14ac:dyDescent="0.35">
      <c r="BA1556" s="3">
        <v>0.22197050320975087</v>
      </c>
      <c r="BB1556" s="3" t="str">
        <f>"0"</f>
        <v>0</v>
      </c>
      <c r="BC1556" t="str">
        <f ca="1">IF((OFFSET($A$1, 1556 - 1, 53 - 1)) &gt;= (OFFSET($A$1, 69 - 1, 7 - 1)), "1","0")</f>
        <v>0</v>
      </c>
      <c r="BD1556">
        <f ca="1" xml:space="preserve"> IF( AND( OFFSET($A$1, 1556 - 1, 54 - 1) = "1", OFFSET($A$1, 1556 - 1, 55 - 1) = "1" ), 1, IF( AND( OFFSET($A$1, 1556 - 1, 54 - 1) = "1", OFFSET($A$1, 1556 - 1, 55 - 1) = "0" ), 2, IF( AND( OFFSET($A$1, 1556 - 1, 54 - 1) = "0", OFFSET($A$1, 1556 - 1, 55 - 1) = "1" ), 3, 4 ) ) )</f>
        <v>4</v>
      </c>
    </row>
    <row r="1557" spans="53:56" x14ac:dyDescent="0.35">
      <c r="BA1557" s="3">
        <v>0.22285709561564918</v>
      </c>
      <c r="BB1557" s="3" t="str">
        <f>"0"</f>
        <v>0</v>
      </c>
      <c r="BC1557" t="str">
        <f ca="1">IF((OFFSET($A$1, 1557 - 1, 53 - 1)) &gt;= (OFFSET($A$1, 69 - 1, 7 - 1)), "1","0")</f>
        <v>0</v>
      </c>
      <c r="BD1557">
        <f ca="1" xml:space="preserve"> IF( AND( OFFSET($A$1, 1557 - 1, 54 - 1) = "1", OFFSET($A$1, 1557 - 1, 55 - 1) = "1" ), 1, IF( AND( OFFSET($A$1, 1557 - 1, 54 - 1) = "1", OFFSET($A$1, 1557 - 1, 55 - 1) = "0" ), 2, IF( AND( OFFSET($A$1, 1557 - 1, 54 - 1) = "0", OFFSET($A$1, 1557 - 1, 55 - 1) = "1" ), 3, 4 ) ) )</f>
        <v>4</v>
      </c>
    </row>
    <row r="1558" spans="53:56" x14ac:dyDescent="0.35">
      <c r="BA1558" s="3">
        <v>0.22375640423005219</v>
      </c>
      <c r="BB1558" s="3" t="str">
        <f>"0"</f>
        <v>0</v>
      </c>
      <c r="BC1558" t="str">
        <f ca="1">IF((OFFSET($A$1, 1558 - 1, 53 - 1)) &gt;= (OFFSET($A$1, 69 - 1, 7 - 1)), "1","0")</f>
        <v>0</v>
      </c>
      <c r="BD1558">
        <f ca="1" xml:space="preserve"> IF( AND( OFFSET($A$1, 1558 - 1, 54 - 1) = "1", OFFSET($A$1, 1558 - 1, 55 - 1) = "1" ), 1, IF( AND( OFFSET($A$1, 1558 - 1, 54 - 1) = "1", OFFSET($A$1, 1558 - 1, 55 - 1) = "0" ), 2, IF( AND( OFFSET($A$1, 1558 - 1, 54 - 1) = "0", OFFSET($A$1, 1558 - 1, 55 - 1) = "1" ), 3, 4 ) ) )</f>
        <v>4</v>
      </c>
    </row>
    <row r="1559" spans="53:56" x14ac:dyDescent="0.35">
      <c r="BA1559" s="3">
        <v>0.22466824841708294</v>
      </c>
      <c r="BB1559" s="3" t="str">
        <f>"0"</f>
        <v>0</v>
      </c>
      <c r="BC1559" t="str">
        <f ca="1">IF((OFFSET($A$1, 1559 - 1, 53 - 1)) &gt;= (OFFSET($A$1, 69 - 1, 7 - 1)), "1","0")</f>
        <v>0</v>
      </c>
      <c r="BD1559">
        <f ca="1" xml:space="preserve"> IF( AND( OFFSET($A$1, 1559 - 1, 54 - 1) = "1", OFFSET($A$1, 1559 - 1, 55 - 1) = "1" ), 1, IF( AND( OFFSET($A$1, 1559 - 1, 54 - 1) = "1", OFFSET($A$1, 1559 - 1, 55 - 1) = "0" ), 2, IF( AND( OFFSET($A$1, 1559 - 1, 54 - 1) = "0", OFFSET($A$1, 1559 - 1, 55 - 1) = "1" ), 3, 4 ) ) )</f>
        <v>4</v>
      </c>
    </row>
    <row r="1560" spans="53:56" x14ac:dyDescent="0.35">
      <c r="BA1560" s="3">
        <v>0.22559244231109002</v>
      </c>
      <c r="BB1560" s="3" t="str">
        <f>"0"</f>
        <v>0</v>
      </c>
      <c r="BC1560" t="str">
        <f ca="1">IF((OFFSET($A$1, 1560 - 1, 53 - 1)) &gt;= (OFFSET($A$1, 69 - 1, 7 - 1)), "1","0")</f>
        <v>0</v>
      </c>
      <c r="BD1560">
        <f ca="1" xml:space="preserve"> IF( AND( OFFSET($A$1, 1560 - 1, 54 - 1) = "1", OFFSET($A$1, 1560 - 1, 55 - 1) = "1" ), 1, IF( AND( OFFSET($A$1, 1560 - 1, 54 - 1) = "1", OFFSET($A$1, 1560 - 1, 55 - 1) = "0" ), 2, IF( AND( OFFSET($A$1, 1560 - 1, 54 - 1) = "0", OFFSET($A$1, 1560 - 1, 55 - 1) = "1" ), 3, 4 ) ) )</f>
        <v>4</v>
      </c>
    </row>
    <row r="1561" spans="53:56" x14ac:dyDescent="0.35">
      <c r="BA1561" s="3">
        <v>0.22652879476312257</v>
      </c>
      <c r="BB1561" s="3" t="str">
        <f>"0"</f>
        <v>0</v>
      </c>
      <c r="BC1561" t="str">
        <f ca="1">IF((OFFSET($A$1, 1561 - 1, 53 - 1)) &gt;= (OFFSET($A$1, 69 - 1, 7 - 1)), "1","0")</f>
        <v>0</v>
      </c>
      <c r="BD1561">
        <f ca="1" xml:space="preserve"> IF( AND( OFFSET($A$1, 1561 - 1, 54 - 1) = "1", OFFSET($A$1, 1561 - 1, 55 - 1) = "1" ), 1, IF( AND( OFFSET($A$1, 1561 - 1, 54 - 1) = "1", OFFSET($A$1, 1561 - 1, 55 - 1) = "0" ), 2, IF( AND( OFFSET($A$1, 1561 - 1, 54 - 1) = "0", OFFSET($A$1, 1561 - 1, 55 - 1) = "1" ), 3, 4 ) ) )</f>
        <v>4</v>
      </c>
    </row>
    <row r="1562" spans="53:56" x14ac:dyDescent="0.35">
      <c r="BA1562" s="3">
        <v>0.22747710929092893</v>
      </c>
      <c r="BB1562" s="3" t="str">
        <f>"0"</f>
        <v>0</v>
      </c>
      <c r="BC1562" t="str">
        <f ca="1">IF((OFFSET($A$1, 1562 - 1, 53 - 1)) &gt;= (OFFSET($A$1, 69 - 1, 7 - 1)), "1","0")</f>
        <v>0</v>
      </c>
      <c r="BD1562">
        <f ca="1" xml:space="preserve"> IF( AND( OFFSET($A$1, 1562 - 1, 54 - 1) = "1", OFFSET($A$1, 1562 - 1, 55 - 1) = "1" ), 1, IF( AND( OFFSET($A$1, 1562 - 1, 54 - 1) = "1", OFFSET($A$1, 1562 - 1, 55 - 1) = "0" ), 2, IF( AND( OFFSET($A$1, 1562 - 1, 54 - 1) = "0", OFFSET($A$1, 1562 - 1, 55 - 1) = "1" ), 3, 4 ) ) )</f>
        <v>4</v>
      </c>
    </row>
    <row r="1563" spans="53:56" x14ac:dyDescent="0.35">
      <c r="BA1563" s="3">
        <v>0.2284371840326607</v>
      </c>
      <c r="BB1563" s="3" t="str">
        <f>"1"</f>
        <v>1</v>
      </c>
      <c r="BC1563" t="str">
        <f ca="1">IF((OFFSET($A$1, 1563 - 1, 53 - 1)) &gt;= (OFFSET($A$1, 69 - 1, 7 - 1)), "1","0")</f>
        <v>0</v>
      </c>
      <c r="BD1563">
        <f ca="1" xml:space="preserve"> IF( AND( OFFSET($A$1, 1563 - 1, 54 - 1) = "1", OFFSET($A$1, 1563 - 1, 55 - 1) = "1" ), 1, IF( AND( OFFSET($A$1, 1563 - 1, 54 - 1) = "1", OFFSET($A$1, 1563 - 1, 55 - 1) = "0" ), 2, IF( AND( OFFSET($A$1, 1563 - 1, 54 - 1) = "0", OFFSET($A$1, 1563 - 1, 55 - 1) = "1" ), 3, 4 ) ) )</f>
        <v>2</v>
      </c>
    </row>
    <row r="1564" spans="53:56" x14ac:dyDescent="0.35">
      <c r="BA1564" s="3">
        <v>0.48167914392456729</v>
      </c>
      <c r="BB1564" s="3" t="str">
        <f>"0"</f>
        <v>0</v>
      </c>
      <c r="BC1564" t="str">
        <f ca="1">IF((OFFSET($A$1, 1564 - 1, 53 - 1)) &gt;= (OFFSET($A$1, 69 - 1, 7 - 1)), "1","0")</f>
        <v>0</v>
      </c>
      <c r="BD1564">
        <f ca="1" xml:space="preserve"> IF( AND( OFFSET($A$1, 1564 - 1, 54 - 1) = "1", OFFSET($A$1, 1564 - 1, 55 - 1) = "1" ), 1, IF( AND( OFFSET($A$1, 1564 - 1, 54 - 1) = "1", OFFSET($A$1, 1564 - 1, 55 - 1) = "0" ), 2, IF( AND( OFFSET($A$1, 1564 - 1, 54 - 1) = "0", OFFSET($A$1, 1564 - 1, 55 - 1) = "1" ), 3, 4 ) ) )</f>
        <v>4</v>
      </c>
    </row>
    <row r="1565" spans="53:56" x14ac:dyDescent="0.35">
      <c r="BA1565" s="3">
        <v>0.23039177956211832</v>
      </c>
      <c r="BB1565" s="3" t="str">
        <f>"0"</f>
        <v>0</v>
      </c>
      <c r="BC1565" t="str">
        <f ca="1">IF((OFFSET($A$1, 1565 - 1, 53 - 1)) &gt;= (OFFSET($A$1, 69 - 1, 7 - 1)), "1","0")</f>
        <v>0</v>
      </c>
      <c r="BD1565">
        <f ca="1" xml:space="preserve"> IF( AND( OFFSET($A$1, 1565 - 1, 54 - 1) = "1", OFFSET($A$1, 1565 - 1, 55 - 1) = "1" ), 1, IF( AND( OFFSET($A$1, 1565 - 1, 54 - 1) = "1", OFFSET($A$1, 1565 - 1, 55 - 1) = "0" ), 2, IF( AND( OFFSET($A$1, 1565 - 1, 54 - 1) = "0", OFFSET($A$1, 1565 - 1, 55 - 1) = "1" ), 3, 4 ) ) )</f>
        <v>4</v>
      </c>
    </row>
    <row r="1566" spans="53:56" x14ac:dyDescent="0.35">
      <c r="BA1566" s="3">
        <v>0.23138586936692379</v>
      </c>
      <c r="BB1566" s="3" t="str">
        <f>"0"</f>
        <v>0</v>
      </c>
      <c r="BC1566" t="str">
        <f ca="1">IF((OFFSET($A$1, 1566 - 1, 53 - 1)) &gt;= (OFFSET($A$1, 69 - 1, 7 - 1)), "1","0")</f>
        <v>0</v>
      </c>
      <c r="BD1566">
        <f ca="1" xml:space="preserve"> IF( AND( OFFSET($A$1, 1566 - 1, 54 - 1) = "1", OFFSET($A$1, 1566 - 1, 55 - 1) = "1" ), 1, IF( AND( OFFSET($A$1, 1566 - 1, 54 - 1) = "1", OFFSET($A$1, 1566 - 1, 55 - 1) = "0" ), 2, IF( AND( OFFSET($A$1, 1566 - 1, 54 - 1) = "0", OFFSET($A$1, 1566 - 1, 55 - 1) = "1" ), 3, 4 ) ) )</f>
        <v>4</v>
      </c>
    </row>
    <row r="1567" spans="53:56" x14ac:dyDescent="0.35">
      <c r="BA1567" s="3">
        <v>0.23239085735596399</v>
      </c>
      <c r="BB1567" s="3" t="str">
        <f>"0"</f>
        <v>0</v>
      </c>
      <c r="BC1567" t="str">
        <f ca="1">IF((OFFSET($A$1, 1567 - 1, 53 - 1)) &gt;= (OFFSET($A$1, 69 - 1, 7 - 1)), "1","0")</f>
        <v>0</v>
      </c>
      <c r="BD1567">
        <f ca="1" xml:space="preserve"> IF( AND( OFFSET($A$1, 1567 - 1, 54 - 1) = "1", OFFSET($A$1, 1567 - 1, 55 - 1) = "1" ), 1, IF( AND( OFFSET($A$1, 1567 - 1, 54 - 1) = "1", OFFSET($A$1, 1567 - 1, 55 - 1) = "0" ), 2, IF( AND( OFFSET($A$1, 1567 - 1, 54 - 1) = "0", OFFSET($A$1, 1567 - 1, 55 - 1) = "1" ), 3, 4 ) ) )</f>
        <v>4</v>
      </c>
    </row>
    <row r="1568" spans="53:56" x14ac:dyDescent="0.35">
      <c r="BA1568" s="3">
        <v>0.2334065142169458</v>
      </c>
      <c r="BB1568" s="3" t="str">
        <f>"0"</f>
        <v>0</v>
      </c>
      <c r="BC1568" t="str">
        <f ca="1">IF((OFFSET($A$1, 1568 - 1, 53 - 1)) &gt;= (OFFSET($A$1, 69 - 1, 7 - 1)), "1","0")</f>
        <v>0</v>
      </c>
      <c r="BD1568">
        <f ca="1" xml:space="preserve"> IF( AND( OFFSET($A$1, 1568 - 1, 54 - 1) = "1", OFFSET($A$1, 1568 - 1, 55 - 1) = "1" ), 1, IF( AND( OFFSET($A$1, 1568 - 1, 54 - 1) = "1", OFFSET($A$1, 1568 - 1, 55 - 1) = "0" ), 2, IF( AND( OFFSET($A$1, 1568 - 1, 54 - 1) = "0", OFFSET($A$1, 1568 - 1, 55 - 1) = "1" ), 3, 4 ) ) )</f>
        <v>4</v>
      </c>
    </row>
    <row r="1569" spans="53:56" x14ac:dyDescent="0.35">
      <c r="BA1569" s="3">
        <v>0.23443260506775318</v>
      </c>
      <c r="BB1569" s="3" t="str">
        <f>"0"</f>
        <v>0</v>
      </c>
      <c r="BC1569" t="str">
        <f ca="1">IF((OFFSET($A$1, 1569 - 1, 53 - 1)) &gt;= (OFFSET($A$1, 69 - 1, 7 - 1)), "1","0")</f>
        <v>0</v>
      </c>
      <c r="BD1569">
        <f ca="1" xml:space="preserve"> IF( AND( OFFSET($A$1, 1569 - 1, 54 - 1) = "1", OFFSET($A$1, 1569 - 1, 55 - 1) = "1" ), 1, IF( AND( OFFSET($A$1, 1569 - 1, 54 - 1) = "1", OFFSET($A$1, 1569 - 1, 55 - 1) = "0" ), 2, IF( AND( OFFSET($A$1, 1569 - 1, 54 - 1) = "0", OFFSET($A$1, 1569 - 1, 55 - 1) = "1" ), 3, 4 ) ) )</f>
        <v>4</v>
      </c>
    </row>
    <row r="1570" spans="53:56" x14ac:dyDescent="0.35">
      <c r="BA1570" s="3">
        <v>0.23546888944086897</v>
      </c>
      <c r="BB1570" s="3" t="str">
        <f>"1"</f>
        <v>1</v>
      </c>
      <c r="BC1570" t="str">
        <f ca="1">IF((OFFSET($A$1, 1570 - 1, 53 - 1)) &gt;= (OFFSET($A$1, 69 - 1, 7 - 1)), "1","0")</f>
        <v>0</v>
      </c>
      <c r="BD1570">
        <f ca="1" xml:space="preserve"> IF( AND( OFFSET($A$1, 1570 - 1, 54 - 1) = "1", OFFSET($A$1, 1570 - 1, 55 - 1) = "1" ), 1, IF( AND( OFFSET($A$1, 1570 - 1, 54 - 1) = "1", OFFSET($A$1, 1570 - 1, 55 - 1) = "0" ), 2, IF( AND( OFFSET($A$1, 1570 - 1, 54 - 1) = "0", OFFSET($A$1, 1570 - 1, 55 - 1) = "1" ), 3, 4 ) ) )</f>
        <v>2</v>
      </c>
    </row>
    <row r="1571" spans="53:56" x14ac:dyDescent="0.35">
      <c r="BA1571" s="3">
        <v>0.49161452576467657</v>
      </c>
      <c r="BB1571" s="3" t="str">
        <f>"0"</f>
        <v>0</v>
      </c>
      <c r="BC1571" t="str">
        <f ca="1">IF((OFFSET($A$1, 1571 - 1, 53 - 1)) &gt;= (OFFSET($A$1, 69 - 1, 7 - 1)), "1","0")</f>
        <v>0</v>
      </c>
      <c r="BD1571">
        <f ca="1" xml:space="preserve"> IF( AND( OFFSET($A$1, 1571 - 1, 54 - 1) = "1", OFFSET($A$1, 1571 - 1, 55 - 1) = "1" ), 1, IF( AND( OFFSET($A$1, 1571 - 1, 54 - 1) = "1", OFFSET($A$1, 1571 - 1, 55 - 1) = "0" ), 2, IF( AND( OFFSET($A$1, 1571 - 1, 54 - 1) = "0", OFFSET($A$1, 1571 - 1, 55 - 1) = "1" ), 3, 4 ) ) )</f>
        <v>4</v>
      </c>
    </row>
    <row r="1572" spans="53:56" x14ac:dyDescent="0.35">
      <c r="BA1572" s="3">
        <v>0.23757104889879696</v>
      </c>
      <c r="BB1572" s="3" t="str">
        <f>"0"</f>
        <v>0</v>
      </c>
      <c r="BC1572" t="str">
        <f ca="1">IF((OFFSET($A$1, 1572 - 1, 53 - 1)) &gt;= (OFFSET($A$1, 69 - 1, 7 - 1)), "1","0")</f>
        <v>0</v>
      </c>
      <c r="BD1572">
        <f ca="1" xml:space="preserve"> IF( AND( OFFSET($A$1, 1572 - 1, 54 - 1) = "1", OFFSET($A$1, 1572 - 1, 55 - 1) = "1" ), 1, IF( AND( OFFSET($A$1, 1572 - 1, 54 - 1) = "1", OFFSET($A$1, 1572 - 1, 55 - 1) = "0" ), 2, IF( AND( OFFSET($A$1, 1572 - 1, 54 - 1) = "0", OFFSET($A$1, 1572 - 1, 55 - 1) = "1" ), 3, 4 ) ) )</f>
        <v>4</v>
      </c>
    </row>
    <row r="1573" spans="53:56" x14ac:dyDescent="0.35">
      <c r="BA1573" s="3">
        <v>0.23863641505252675</v>
      </c>
      <c r="BB1573" s="3" t="str">
        <f>"0"</f>
        <v>0</v>
      </c>
      <c r="BC1573" t="str">
        <f ca="1">IF((OFFSET($A$1, 1573 - 1, 53 - 1)) &gt;= (OFFSET($A$1, 69 - 1, 7 - 1)), "1","0")</f>
        <v>0</v>
      </c>
      <c r="BD1573">
        <f ca="1" xml:space="preserve"> IF( AND( OFFSET($A$1, 1573 - 1, 54 - 1) = "1", OFFSET($A$1, 1573 - 1, 55 - 1) = "1" ), 1, IF( AND( OFFSET($A$1, 1573 - 1, 54 - 1) = "1", OFFSET($A$1, 1573 - 1, 55 - 1) = "0" ), 2, IF( AND( OFFSET($A$1, 1573 - 1, 54 - 1) = "0", OFFSET($A$1, 1573 - 1, 55 - 1) = "1" ), 3, 4 ) ) )</f>
        <v>4</v>
      </c>
    </row>
    <row r="1574" spans="53:56" x14ac:dyDescent="0.35">
      <c r="BA1574" s="3">
        <v>0.23971095687162658</v>
      </c>
      <c r="BB1574" s="3" t="str">
        <f>"0"</f>
        <v>0</v>
      </c>
      <c r="BC1574" t="str">
        <f ca="1">IF((OFFSET($A$1, 1574 - 1, 53 - 1)) &gt;= (OFFSET($A$1, 69 - 1, 7 - 1)), "1","0")</f>
        <v>0</v>
      </c>
      <c r="BD1574">
        <f ca="1" xml:space="preserve"> IF( AND( OFFSET($A$1, 1574 - 1, 54 - 1) = "1", OFFSET($A$1, 1574 - 1, 55 - 1) = "1" ), 1, IF( AND( OFFSET($A$1, 1574 - 1, 54 - 1) = "1", OFFSET($A$1, 1574 - 1, 55 - 1) = "0" ), 2, IF( AND( OFFSET($A$1, 1574 - 1, 54 - 1) = "0", OFFSET($A$1, 1574 - 1, 55 - 1) = "1" ), 3, 4 ) ) )</f>
        <v>4</v>
      </c>
    </row>
    <row r="1575" spans="53:56" x14ac:dyDescent="0.35">
      <c r="BA1575" s="3">
        <v>0.24079440590845999</v>
      </c>
      <c r="BB1575" s="3" t="str">
        <f>"1"</f>
        <v>1</v>
      </c>
      <c r="BC1575" t="str">
        <f ca="1">IF((OFFSET($A$1, 1575 - 1, 53 - 1)) &gt;= (OFFSET($A$1, 69 - 1, 7 - 1)), "1","0")</f>
        <v>0</v>
      </c>
      <c r="BD1575">
        <f ca="1" xml:space="preserve"> IF( AND( OFFSET($A$1, 1575 - 1, 54 - 1) = "1", OFFSET($A$1, 1575 - 1, 55 - 1) = "1" ), 1, IF( AND( OFFSET($A$1, 1575 - 1, 54 - 1) = "1", OFFSET($A$1, 1575 - 1, 55 - 1) = "0" ), 2, IF( AND( OFFSET($A$1, 1575 - 1, 54 - 1) = "0", OFFSET($A$1, 1575 - 1, 55 - 1) = "1" ), 3, 4 ) ) )</f>
        <v>2</v>
      </c>
    </row>
    <row r="1576" spans="53:56" x14ac:dyDescent="0.35">
      <c r="BA1576" s="3">
        <v>0.49899289288862708</v>
      </c>
      <c r="BB1576" s="3" t="str">
        <f>"1"</f>
        <v>1</v>
      </c>
      <c r="BC1576" t="str">
        <f ca="1">IF((OFFSET($A$1, 1576 - 1, 53 - 1)) &gt;= (OFFSET($A$1, 69 - 1, 7 - 1)), "1","0")</f>
        <v>0</v>
      </c>
      <c r="BD1576">
        <f ca="1" xml:space="preserve"> IF( AND( OFFSET($A$1, 1576 - 1, 54 - 1) = "1", OFFSET($A$1, 1576 - 1, 55 - 1) = "1" ), 1, IF( AND( OFFSET($A$1, 1576 - 1, 54 - 1) = "1", OFFSET($A$1, 1576 - 1, 55 - 1) = "0" ), 2, IF( AND( OFFSET($A$1, 1576 - 1, 54 - 1) = "0", OFFSET($A$1, 1576 - 1, 55 - 1) = "1" ), 3, 4 ) ) )</f>
        <v>2</v>
      </c>
    </row>
    <row r="1577" spans="53:56" x14ac:dyDescent="0.35">
      <c r="BA1577" s="3">
        <v>0.50049080935171997</v>
      </c>
      <c r="BB1577" s="3" t="str">
        <f>"0"</f>
        <v>0</v>
      </c>
      <c r="BC1577" t="str">
        <f ca="1">IF((OFFSET($A$1, 1577 - 1, 53 - 1)) &gt;= (OFFSET($A$1, 69 - 1, 7 - 1)), "1","0")</f>
        <v>1</v>
      </c>
      <c r="BD1577">
        <f ca="1" xml:space="preserve"> IF( AND( OFFSET($A$1, 1577 - 1, 54 - 1) = "1", OFFSET($A$1, 1577 - 1, 55 - 1) = "1" ), 1, IF( AND( OFFSET($A$1, 1577 - 1, 54 - 1) = "1", OFFSET($A$1, 1577 - 1, 55 - 1) = "0" ), 2, IF( AND( OFFSET($A$1, 1577 - 1, 54 - 1) = "0", OFFSET($A$1, 1577 - 1, 55 - 1) = "1" ), 3, 4 ) ) )</f>
        <v>3</v>
      </c>
    </row>
    <row r="1578" spans="53:56" x14ac:dyDescent="0.35">
      <c r="BA1578" s="3">
        <v>0.24409542845769383</v>
      </c>
      <c r="BB1578" s="3" t="str">
        <f>"0"</f>
        <v>0</v>
      </c>
      <c r="BC1578" t="str">
        <f ca="1">IF((OFFSET($A$1, 1578 - 1, 53 - 1)) &gt;= (OFFSET($A$1, 69 - 1, 7 - 1)), "1","0")</f>
        <v>0</v>
      </c>
      <c r="BD1578">
        <f ca="1" xml:space="preserve"> IF( AND( OFFSET($A$1, 1578 - 1, 54 - 1) = "1", OFFSET($A$1, 1578 - 1, 55 - 1) = "1" ), 1, IF( AND( OFFSET($A$1, 1578 - 1, 54 - 1) = "1", OFFSET($A$1, 1578 - 1, 55 - 1) = "0" ), 2, IF( AND( OFFSET($A$1, 1578 - 1, 54 - 1) = "0", OFFSET($A$1, 1578 - 1, 55 - 1) = "1" ), 3, 4 ) ) )</f>
        <v>4</v>
      </c>
    </row>
    <row r="1579" spans="53:56" x14ac:dyDescent="0.35">
      <c r="BA1579" s="3">
        <v>0.2452117108841273</v>
      </c>
      <c r="BB1579" s="3" t="str">
        <f>"1"</f>
        <v>1</v>
      </c>
      <c r="BC1579" t="str">
        <f ca="1">IF((OFFSET($A$1, 1579 - 1, 53 - 1)) &gt;= (OFFSET($A$1, 69 - 1, 7 - 1)), "1","0")</f>
        <v>0</v>
      </c>
      <c r="BD1579">
        <f ca="1" xml:space="preserve"> IF( AND( OFFSET($A$1, 1579 - 1, 54 - 1) = "1", OFFSET($A$1, 1579 - 1, 55 - 1) = "1" ), 1, IF( AND( OFFSET($A$1, 1579 - 1, 54 - 1) = "1", OFFSET($A$1, 1579 - 1, 55 - 1) = "0" ), 2, IF( AND( OFFSET($A$1, 1579 - 1, 54 - 1) = "0", OFFSET($A$1, 1579 - 1, 55 - 1) = "1" ), 3, 4 ) ) )</f>
        <v>2</v>
      </c>
    </row>
    <row r="1580" spans="53:56" x14ac:dyDescent="0.35">
      <c r="BA1580" s="3">
        <v>0.50502061113197072</v>
      </c>
      <c r="BB1580" s="3" t="str">
        <f>"0"</f>
        <v>0</v>
      </c>
      <c r="BC1580" t="str">
        <f ca="1">IF((OFFSET($A$1, 1580 - 1, 53 - 1)) &gt;= (OFFSET($A$1, 69 - 1, 7 - 1)), "1","0")</f>
        <v>1</v>
      </c>
      <c r="BD1580">
        <f ca="1" xml:space="preserve"> IF( AND( OFFSET($A$1, 1580 - 1, 54 - 1) = "1", OFFSET($A$1, 1580 - 1, 55 - 1) = "1" ), 1, IF( AND( OFFSET($A$1, 1580 - 1, 54 - 1) = "1", OFFSET($A$1, 1580 - 1, 55 - 1) = "0" ), 2, IF( AND( OFFSET($A$1, 1580 - 1, 54 - 1) = "0", OFFSET($A$1, 1580 - 1, 55 - 1) = "1" ), 3, 4 ) ) )</f>
        <v>3</v>
      </c>
    </row>
    <row r="1581" spans="53:56" x14ac:dyDescent="0.35">
      <c r="BA1581" s="3">
        <v>0.24746642027808105</v>
      </c>
      <c r="BB1581" s="3" t="str">
        <f>"0"</f>
        <v>0</v>
      </c>
      <c r="BC1581" t="str">
        <f ca="1">IF((OFFSET($A$1, 1581 - 1, 53 - 1)) &gt;= (OFFSET($A$1, 69 - 1, 7 - 1)), "1","0")</f>
        <v>0</v>
      </c>
      <c r="BD1581">
        <f ca="1" xml:space="preserve"> IF( AND( OFFSET($A$1, 1581 - 1, 54 - 1) = "1", OFFSET($A$1, 1581 - 1, 55 - 1) = "1" ), 1, IF( AND( OFFSET($A$1, 1581 - 1, 54 - 1) = "1", OFFSET($A$1, 1581 - 1, 55 - 1) = "0" ), 2, IF( AND( OFFSET($A$1, 1581 - 1, 54 - 1) = "0", OFFSET($A$1, 1581 - 1, 55 - 1) = "1" ), 3, 4 ) ) )</f>
        <v>4</v>
      </c>
    </row>
    <row r="1582" spans="53:56" x14ac:dyDescent="0.35">
      <c r="BA1582" s="3">
        <v>0.2486042390854967</v>
      </c>
      <c r="BB1582" s="3" t="str">
        <f>"0"</f>
        <v>0</v>
      </c>
      <c r="BC1582" t="str">
        <f ca="1">IF((OFFSET($A$1, 1582 - 1, 53 - 1)) &gt;= (OFFSET($A$1, 69 - 1, 7 - 1)), "1","0")</f>
        <v>0</v>
      </c>
      <c r="BD1582">
        <f ca="1" xml:space="preserve"> IF( AND( OFFSET($A$1, 1582 - 1, 54 - 1) = "1", OFFSET($A$1, 1582 - 1, 55 - 1) = "1" ), 1, IF( AND( OFFSET($A$1, 1582 - 1, 54 - 1) = "1", OFFSET($A$1, 1582 - 1, 55 - 1) = "0" ), 2, IF( AND( OFFSET($A$1, 1582 - 1, 54 - 1) = "0", OFFSET($A$1, 1582 - 1, 55 - 1) = "1" ), 3, 4 ) ) )</f>
        <v>4</v>
      </c>
    </row>
    <row r="1583" spans="53:56" x14ac:dyDescent="0.35">
      <c r="BA1583" s="3">
        <v>0.24974861967578285</v>
      </c>
      <c r="BB1583" s="3" t="str">
        <f>"1"</f>
        <v>1</v>
      </c>
      <c r="BC1583" t="str">
        <f ca="1">IF((OFFSET($A$1, 1583 - 1, 53 - 1)) &gt;= (OFFSET($A$1, 69 - 1, 7 - 1)), "1","0")</f>
        <v>0</v>
      </c>
      <c r="BD1583">
        <f ca="1" xml:space="preserve"> IF( AND( OFFSET($A$1, 1583 - 1, 54 - 1) = "1", OFFSET($A$1, 1583 - 1, 55 - 1) = "1" ), 1, IF( AND( OFFSET($A$1, 1583 - 1, 54 - 1) = "1", OFFSET($A$1, 1583 - 1, 55 - 1) = "0" ), 2, IF( AND( OFFSET($A$1, 1583 - 1, 54 - 1) = "0", OFFSET($A$1, 1583 - 1, 55 - 1) = "1" ), 3, 4 ) ) )</f>
        <v>2</v>
      </c>
    </row>
    <row r="1584" spans="53:56" x14ac:dyDescent="0.35">
      <c r="BA1584" s="3">
        <v>0.51112668343643775</v>
      </c>
      <c r="BB1584" s="3" t="str">
        <f>"1"</f>
        <v>1</v>
      </c>
      <c r="BC1584" t="str">
        <f ca="1">IF((OFFSET($A$1, 1584 - 1, 53 - 1)) &gt;= (OFFSET($A$1, 69 - 1, 7 - 1)), "1","0")</f>
        <v>1</v>
      </c>
      <c r="BD1584">
        <f ca="1" xml:space="preserve"> IF( AND( OFFSET($A$1, 1584 - 1, 54 - 1) = "1", OFFSET($A$1, 1584 - 1, 55 - 1) = "1" ), 1, IF( AND( OFFSET($A$1, 1584 - 1, 54 - 1) = "1", OFFSET($A$1, 1584 - 1, 55 - 1) = "0" ), 2, IF( AND( OFFSET($A$1, 1584 - 1, 54 - 1) = "0", OFFSET($A$1, 1584 - 1, 55 - 1) = "1" ), 3, 4 ) ) )</f>
        <v>1</v>
      </c>
    </row>
    <row r="1585" spans="53:56" x14ac:dyDescent="0.35">
      <c r="BA1585" s="3">
        <v>0.51266184391316372</v>
      </c>
      <c r="BB1585" s="3" t="str">
        <f>"1"</f>
        <v>1</v>
      </c>
      <c r="BC1585" t="str">
        <f ca="1">IF((OFFSET($A$1, 1585 - 1, 53 - 1)) &gt;= (OFFSET($A$1, 69 - 1, 7 - 1)), "1","0")</f>
        <v>1</v>
      </c>
      <c r="BD1585">
        <f ca="1" xml:space="preserve"> IF( AND( OFFSET($A$1, 1585 - 1, 54 - 1) = "1", OFFSET($A$1, 1585 - 1, 55 - 1) = "1" ), 1, IF( AND( OFFSET($A$1, 1585 - 1, 54 - 1) = "1", OFFSET($A$1, 1585 - 1, 55 - 1) = "0" ), 2, IF( AND( OFFSET($A$1, 1585 - 1, 54 - 1) = "0", OFFSET($A$1, 1585 - 1, 55 - 1) = "1" ), 3, 4 ) ) )</f>
        <v>1</v>
      </c>
    </row>
    <row r="1586" spans="53:56" x14ac:dyDescent="0.35">
      <c r="BA1586" s="3">
        <v>0.51419949405798471</v>
      </c>
      <c r="BB1586" s="3" t="str">
        <f>"0"</f>
        <v>0</v>
      </c>
      <c r="BC1586" t="str">
        <f ca="1">IF((OFFSET($A$1, 1586 - 1, 53 - 1)) &gt;= (OFFSET($A$1, 69 - 1, 7 - 1)), "1","0")</f>
        <v>1</v>
      </c>
      <c r="BD1586">
        <f ca="1" xml:space="preserve"> IF( AND( OFFSET($A$1, 1586 - 1, 54 - 1) = "1", OFFSET($A$1, 1586 - 1, 55 - 1) = "1" ), 1, IF( AND( OFFSET($A$1, 1586 - 1, 54 - 1) = "1", OFFSET($A$1, 1586 - 1, 55 - 1) = "0" ), 2, IF( AND( OFFSET($A$1, 1586 - 1, 54 - 1) = "0", OFFSET($A$1, 1586 - 1, 55 - 1) = "1" ), 3, 4 ) ) )</f>
        <v>3</v>
      </c>
    </row>
    <row r="1587" spans="53:56" x14ac:dyDescent="0.35">
      <c r="BA1587" s="3">
        <v>0.25438533782792416</v>
      </c>
      <c r="BB1587" s="3" t="str">
        <f>"1"</f>
        <v>1</v>
      </c>
      <c r="BC1587" t="str">
        <f ca="1">IF((OFFSET($A$1, 1587 - 1, 53 - 1)) &gt;= (OFFSET($A$1, 69 - 1, 7 - 1)), "1","0")</f>
        <v>0</v>
      </c>
      <c r="BD1587">
        <f ca="1" xml:space="preserve"> IF( AND( OFFSET($A$1, 1587 - 1, 54 - 1) = "1", OFFSET($A$1, 1587 - 1, 55 - 1) = "1" ), 1, IF( AND( OFFSET($A$1, 1587 - 1, 54 - 1) = "1", OFFSET($A$1, 1587 - 1, 55 - 1) = "0" ), 2, IF( AND( OFFSET($A$1, 1587 - 1, 54 - 1) = "0", OFFSET($A$1, 1587 - 1, 55 - 1) = "1" ), 3, 4 ) ) )</f>
        <v>2</v>
      </c>
    </row>
    <row r="1588" spans="53:56" x14ac:dyDescent="0.35">
      <c r="BA1588" s="3">
        <v>0.5172803215183156</v>
      </c>
      <c r="BB1588" s="3" t="str">
        <f>"0"</f>
        <v>0</v>
      </c>
      <c r="BC1588" t="str">
        <f ca="1">IF((OFFSET($A$1, 1588 - 1, 53 - 1)) &gt;= (OFFSET($A$1, 69 - 1, 7 - 1)), "1","0")</f>
        <v>1</v>
      </c>
      <c r="BD1588">
        <f ca="1" xml:space="preserve"> IF( AND( OFFSET($A$1, 1588 - 1, 54 - 1) = "1", OFFSET($A$1, 1588 - 1, 55 - 1) = "1" ), 1, IF( AND( OFFSET($A$1, 1588 - 1, 54 - 1) = "1", OFFSET($A$1, 1588 - 1, 55 - 1) = "0" ), 2, IF( AND( OFFSET($A$1, 1588 - 1, 54 - 1) = "0", OFFSET($A$1, 1588 - 1, 55 - 1) = "1" ), 3, 4 ) ) )</f>
        <v>3</v>
      </c>
    </row>
    <row r="1589" spans="53:56" x14ac:dyDescent="0.35">
      <c r="BA1589" s="3">
        <v>0.25673457790905035</v>
      </c>
      <c r="BB1589" s="3" t="str">
        <f>"0"</f>
        <v>0</v>
      </c>
      <c r="BC1589" t="str">
        <f ca="1">IF((OFFSET($A$1, 1589 - 1, 53 - 1)) &gt;= (OFFSET($A$1, 69 - 1, 7 - 1)), "1","0")</f>
        <v>0</v>
      </c>
      <c r="BD1589">
        <f ca="1" xml:space="preserve"> IF( AND( OFFSET($A$1, 1589 - 1, 54 - 1) = "1", OFFSET($A$1, 1589 - 1, 55 - 1) = "1" ), 1, IF( AND( OFFSET($A$1, 1589 - 1, 54 - 1) = "1", OFFSET($A$1, 1589 - 1, 55 - 1) = "0" ), 2, IF( AND( OFFSET($A$1, 1589 - 1, 54 - 1) = "0", OFFSET($A$1, 1589 - 1, 55 - 1) = "1" ), 3, 4 ) ) )</f>
        <v>4</v>
      </c>
    </row>
    <row r="1590" spans="53:56" x14ac:dyDescent="0.35">
      <c r="BA1590" s="3">
        <v>0.25791572494198362</v>
      </c>
      <c r="BB1590" s="3" t="str">
        <f>"1"</f>
        <v>1</v>
      </c>
      <c r="BC1590" t="str">
        <f ca="1">IF((OFFSET($A$1, 1590 - 1, 53 - 1)) &gt;= (OFFSET($A$1, 69 - 1, 7 - 1)), "1","0")</f>
        <v>0</v>
      </c>
      <c r="BD1590">
        <f ca="1" xml:space="preserve"> IF( AND( OFFSET($A$1, 1590 - 1, 54 - 1) = "1", OFFSET($A$1, 1590 - 1, 55 - 1) = "1" ), 1, IF( AND( OFFSET($A$1, 1590 - 1, 54 - 1) = "1", OFFSET($A$1, 1590 - 1, 55 - 1) = "0" ), 2, IF( AND( OFFSET($A$1, 1590 - 1, 54 - 1) = "0", OFFSET($A$1, 1590 - 1, 55 - 1) = "1" ), 3, 4 ) ) )</f>
        <v>2</v>
      </c>
    </row>
    <row r="1591" spans="53:56" x14ac:dyDescent="0.35">
      <c r="BA1591" s="3">
        <v>0.52190808789433152</v>
      </c>
      <c r="BB1591" s="3" t="str">
        <f>"0"</f>
        <v>0</v>
      </c>
      <c r="BC1591" t="str">
        <f ca="1">IF((OFFSET($A$1, 1591 - 1, 53 - 1)) &gt;= (OFFSET($A$1, 69 - 1, 7 - 1)), "1","0")</f>
        <v>1</v>
      </c>
      <c r="BD1591">
        <f ca="1" xml:space="preserve"> IF( AND( OFFSET($A$1, 1591 - 1, 54 - 1) = "1", OFFSET($A$1, 1591 - 1, 55 - 1) = "1" ), 1, IF( AND( OFFSET($A$1, 1591 - 1, 54 - 1) = "1", OFFSET($A$1, 1591 - 1, 55 - 1) = "0" ), 2, IF( AND( OFFSET($A$1, 1591 - 1, 54 - 1) = "0", OFFSET($A$1, 1591 - 1, 55 - 1) = "1" ), 3, 4 ) ) )</f>
        <v>3</v>
      </c>
    </row>
    <row r="1592" spans="53:56" x14ac:dyDescent="0.35">
      <c r="BA1592" s="3">
        <v>0.26028931572312269</v>
      </c>
      <c r="BB1592" s="3" t="str">
        <f>"0"</f>
        <v>0</v>
      </c>
      <c r="BC1592" t="str">
        <f ca="1">IF((OFFSET($A$1, 1592 - 1, 53 - 1)) &gt;= (OFFSET($A$1, 69 - 1, 7 - 1)), "1","0")</f>
        <v>0</v>
      </c>
      <c r="BD1592">
        <f ca="1" xml:space="preserve"> IF( AND( OFFSET($A$1, 1592 - 1, 54 - 1) = "1", OFFSET($A$1, 1592 - 1, 55 - 1) = "1" ), 1, IF( AND( OFFSET($A$1, 1592 - 1, 54 - 1) = "1", OFFSET($A$1, 1592 - 1, 55 - 1) = "0" ), 2, IF( AND( OFFSET($A$1, 1592 - 1, 54 - 1) = "0", OFFSET($A$1, 1592 - 1, 55 - 1) = "1" ), 3, 4 ) ) )</f>
        <v>4</v>
      </c>
    </row>
    <row r="1593" spans="53:56" x14ac:dyDescent="0.35">
      <c r="BA1593" s="3">
        <v>0.26148104320290511</v>
      </c>
      <c r="BB1593" s="3" t="str">
        <f>"0"</f>
        <v>0</v>
      </c>
      <c r="BC1593" t="str">
        <f ca="1">IF((OFFSET($A$1, 1593 - 1, 53 - 1)) &gt;= (OFFSET($A$1, 69 - 1, 7 - 1)), "1","0")</f>
        <v>0</v>
      </c>
      <c r="BD1593">
        <f ca="1" xml:space="preserve"> IF( AND( OFFSET($A$1, 1593 - 1, 54 - 1) = "1", OFFSET($A$1, 1593 - 1, 55 - 1) = "1" ), 1, IF( AND( OFFSET($A$1, 1593 - 1, 54 - 1) = "1", OFFSET($A$1, 1593 - 1, 55 - 1) = "0" ), 2, IF( AND( OFFSET($A$1, 1593 - 1, 54 - 1) = "0", OFFSET($A$1, 1593 - 1, 55 - 1) = "1" ), 3, 4 ) ) )</f>
        <v>4</v>
      </c>
    </row>
    <row r="1594" spans="53:56" x14ac:dyDescent="0.35">
      <c r="BA1594" s="3">
        <v>0.2626755740938263</v>
      </c>
      <c r="BB1594" s="3" t="str">
        <f>"0"</f>
        <v>0</v>
      </c>
      <c r="BC1594" t="str">
        <f ca="1">IF((OFFSET($A$1, 1594 - 1, 53 - 1)) &gt;= (OFFSET($A$1, 69 - 1, 7 - 1)), "1","0")</f>
        <v>0</v>
      </c>
      <c r="BD1594">
        <f ca="1" xml:space="preserve"> IF( AND( OFFSET($A$1, 1594 - 1, 54 - 1) = "1", OFFSET($A$1, 1594 - 1, 55 - 1) = "1" ), 1, IF( AND( OFFSET($A$1, 1594 - 1, 54 - 1) = "1", OFFSET($A$1, 1594 - 1, 55 - 1) = "0" ), 2, IF( AND( OFFSET($A$1, 1594 - 1, 54 - 1) = "0", OFFSET($A$1, 1594 - 1, 55 - 1) = "1" ), 3, 4 ) ) )</f>
        <v>4</v>
      </c>
    </row>
    <row r="1595" spans="53:56" x14ac:dyDescent="0.35">
      <c r="BA1595" s="3">
        <v>0.2638725397537186</v>
      </c>
      <c r="BB1595" s="3" t="str">
        <f>"0"</f>
        <v>0</v>
      </c>
      <c r="BC1595" t="str">
        <f ca="1">IF((OFFSET($A$1, 1595 - 1, 53 - 1)) &gt;= (OFFSET($A$1, 69 - 1, 7 - 1)), "1","0")</f>
        <v>0</v>
      </c>
      <c r="BD1595">
        <f ca="1" xml:space="preserve"> IF( AND( OFFSET($A$1, 1595 - 1, 54 - 1) = "1", OFFSET($A$1, 1595 - 1, 55 - 1) = "1" ), 1, IF( AND( OFFSET($A$1, 1595 - 1, 54 - 1) = "1", OFFSET($A$1, 1595 - 1, 55 - 1) = "0" ), 2, IF( AND( OFFSET($A$1, 1595 - 1, 54 - 1) = "0", OFFSET($A$1, 1595 - 1, 55 - 1) = "1" ), 3, 4 ) ) )</f>
        <v>4</v>
      </c>
    </row>
    <row r="1596" spans="53:56" x14ac:dyDescent="0.35">
      <c r="BA1596" s="3">
        <v>0.26507156758077949</v>
      </c>
      <c r="BB1596" s="3" t="str">
        <f>"0"</f>
        <v>0</v>
      </c>
      <c r="BC1596" t="str">
        <f ca="1">IF((OFFSET($A$1, 1596 - 1, 53 - 1)) &gt;= (OFFSET($A$1, 69 - 1, 7 - 1)), "1","0")</f>
        <v>0</v>
      </c>
      <c r="BD1596">
        <f ca="1" xml:space="preserve"> IF( AND( OFFSET($A$1, 1596 - 1, 54 - 1) = "1", OFFSET($A$1, 1596 - 1, 55 - 1) = "1" ), 1, IF( AND( OFFSET($A$1, 1596 - 1, 54 - 1) = "1", OFFSET($A$1, 1596 - 1, 55 - 1) = "0" ), 2, IF( AND( OFFSET($A$1, 1596 - 1, 54 - 1) = "0", OFFSET($A$1, 1596 - 1, 55 - 1) = "1" ), 3, 4 ) ) )</f>
        <v>4</v>
      </c>
    </row>
    <row r="1597" spans="53:56" x14ac:dyDescent="0.35">
      <c r="BA1597" s="3">
        <v>0.26627228115784013</v>
      </c>
      <c r="BB1597" s="3" t="str">
        <f>"0"</f>
        <v>0</v>
      </c>
      <c r="BC1597" t="str">
        <f ca="1">IF((OFFSET($A$1, 1597 - 1, 53 - 1)) &gt;= (OFFSET($A$1, 69 - 1, 7 - 1)), "1","0")</f>
        <v>0</v>
      </c>
      <c r="BD1597">
        <f ca="1" xml:space="preserve"> IF( AND( OFFSET($A$1, 1597 - 1, 54 - 1) = "1", OFFSET($A$1, 1597 - 1, 55 - 1) = "1" ), 1, IF( AND( OFFSET($A$1, 1597 - 1, 54 - 1) = "1", OFFSET($A$1, 1597 - 1, 55 - 1) = "0" ), 2, IF( AND( OFFSET($A$1, 1597 - 1, 54 - 1) = "0", OFFSET($A$1, 1597 - 1, 55 - 1) = "1" ), 3, 4 ) ) )</f>
        <v>4</v>
      </c>
    </row>
    <row r="1598" spans="53:56" x14ac:dyDescent="0.35">
      <c r="BA1598" s="3">
        <v>0.26747430040222958</v>
      </c>
      <c r="BB1598" s="3" t="str">
        <f>"0"</f>
        <v>0</v>
      </c>
      <c r="BC1598" t="str">
        <f ca="1">IF((OFFSET($A$1, 1598 - 1, 53 - 1)) &gt;= (OFFSET($A$1, 69 - 1, 7 - 1)), "1","0")</f>
        <v>0</v>
      </c>
      <c r="BD1598">
        <f ca="1" xml:space="preserve"> IF( AND( OFFSET($A$1, 1598 - 1, 54 - 1) = "1", OFFSET($A$1, 1598 - 1, 55 - 1) = "1" ), 1, IF( AND( OFFSET($A$1, 1598 - 1, 54 - 1) = "1", OFFSET($A$1, 1598 - 1, 55 - 1) = "0" ), 2, IF( AND( OFFSET($A$1, 1598 - 1, 54 - 1) = "0", OFFSET($A$1, 1598 - 1, 55 - 1) = "1" ), 3, 4 ) ) )</f>
        <v>4</v>
      </c>
    </row>
    <row r="1599" spans="53:56" x14ac:dyDescent="0.35">
      <c r="BA1599" s="3">
        <v>0.26867724172111546</v>
      </c>
      <c r="BB1599" s="3" t="str">
        <f>"0"</f>
        <v>0</v>
      </c>
      <c r="BC1599" t="str">
        <f ca="1">IF((OFFSET($A$1, 1599 - 1, 53 - 1)) &gt;= (OFFSET($A$1, 69 - 1, 7 - 1)), "1","0")</f>
        <v>0</v>
      </c>
      <c r="BD1599">
        <f ca="1" xml:space="preserve"> IF( AND( OFFSET($A$1, 1599 - 1, 54 - 1) = "1", OFFSET($A$1, 1599 - 1, 55 - 1) = "1" ), 1, IF( AND( OFFSET($A$1, 1599 - 1, 54 - 1) = "1", OFFSET($A$1, 1599 - 1, 55 - 1) = "0" ), 2, IF( AND( OFFSET($A$1, 1599 - 1, 54 - 1) = "0", OFFSET($A$1, 1599 - 1, 55 - 1) = "1" ), 3, 4 ) ) )</f>
        <v>4</v>
      </c>
    </row>
    <row r="1600" spans="53:56" x14ac:dyDescent="0.35">
      <c r="BA1600" s="3">
        <v>0.26988071817217013</v>
      </c>
      <c r="BB1600" s="3" t="str">
        <f>"1"</f>
        <v>1</v>
      </c>
      <c r="BC1600" t="str">
        <f ca="1">IF((OFFSET($A$1, 1600 - 1, 53 - 1)) &gt;= (OFFSET($A$1, 69 - 1, 7 - 1)), "1","0")</f>
        <v>0</v>
      </c>
      <c r="BD1600">
        <f ca="1" xml:space="preserve"> IF( AND( OFFSET($A$1, 1600 - 1, 54 - 1) = "1", OFFSET($A$1, 1600 - 1, 55 - 1) = "1" ), 1, IF( AND( OFFSET($A$1, 1600 - 1, 54 - 1) = "1", OFFSET($A$1, 1600 - 1, 55 - 1) = "0" ), 2, IF( AND( OFFSET($A$1, 1600 - 1, 54 - 1) = "0", OFFSET($A$1, 1600 - 1, 55 - 1) = "1" ), 3, 4 ) ) )</f>
        <v>2</v>
      </c>
    </row>
    <row r="1601" spans="53:56" x14ac:dyDescent="0.35">
      <c r="BA1601" s="3">
        <v>0.53723297127159242</v>
      </c>
      <c r="BB1601" s="3" t="str">
        <f>"1"</f>
        <v>1</v>
      </c>
      <c r="BC1601" t="str">
        <f ca="1">IF((OFFSET($A$1, 1601 - 1, 53 - 1)) &gt;= (OFFSET($A$1, 69 - 1, 7 - 1)), "1","0")</f>
        <v>1</v>
      </c>
      <c r="BD1601">
        <f ca="1" xml:space="preserve"> IF( AND( OFFSET($A$1, 1601 - 1, 54 - 1) = "1", OFFSET($A$1, 1601 - 1, 55 - 1) = "1" ), 1, IF( AND( OFFSET($A$1, 1601 - 1, 54 - 1) = "1", OFFSET($A$1, 1601 - 1, 55 - 1) = "0" ), 2, IF( AND( OFFSET($A$1, 1601 - 1, 54 - 1) = "0", OFFSET($A$1, 1601 - 1, 55 - 1) = "1" ), 3, 4 ) ) )</f>
        <v>1</v>
      </c>
    </row>
    <row r="1602" spans="53:56" x14ac:dyDescent="0.35">
      <c r="BA1602" s="3">
        <v>0.53874458344470522</v>
      </c>
      <c r="BB1602" s="3" t="str">
        <f>"0"</f>
        <v>0</v>
      </c>
      <c r="BC1602" t="str">
        <f ca="1">IF((OFFSET($A$1, 1602 - 1, 53 - 1)) &gt;= (OFFSET($A$1, 69 - 1, 7 - 1)), "1","0")</f>
        <v>1</v>
      </c>
      <c r="BD1602">
        <f ca="1" xml:space="preserve"> IF( AND( OFFSET($A$1, 1602 - 1, 54 - 1) = "1", OFFSET($A$1, 1602 - 1, 55 - 1) = "1" ), 1, IF( AND( OFFSET($A$1, 1602 - 1, 54 - 1) = "1", OFFSET($A$1, 1602 - 1, 55 - 1) = "0" ), 2, IF( AND( OFFSET($A$1, 1602 - 1, 54 - 1) = "0", OFFSET($A$1, 1602 - 1, 55 - 1) = "1" ), 3, 4 ) ) )</f>
        <v>3</v>
      </c>
    </row>
    <row r="1603" spans="53:56" x14ac:dyDescent="0.35">
      <c r="BA1603" s="3">
        <v>0.27349044217053875</v>
      </c>
      <c r="BB1603" s="3" t="str">
        <f>"1"</f>
        <v>1</v>
      </c>
      <c r="BC1603" t="str">
        <f ca="1">IF((OFFSET($A$1, 1603 - 1, 53 - 1)) &gt;= (OFFSET($A$1, 69 - 1, 7 - 1)), "1","0")</f>
        <v>0</v>
      </c>
      <c r="BD1603">
        <f ca="1" xml:space="preserve"> IF( AND( OFFSET($A$1, 1603 - 1, 54 - 1) = "1", OFFSET($A$1, 1603 - 1, 55 - 1) = "1" ), 1, IF( AND( OFFSET($A$1, 1603 - 1, 54 - 1) = "1", OFFSET($A$1, 1603 - 1, 55 - 1) = "0" ), 2, IF( AND( OFFSET($A$1, 1603 - 1, 54 - 1) = "0", OFFSET($A$1, 1603 - 1, 55 - 1) = "1" ), 3, 4 ) ) )</f>
        <v>2</v>
      </c>
    </row>
    <row r="1604" spans="53:56" x14ac:dyDescent="0.35">
      <c r="BA1604" s="3">
        <v>0.54175027388290076</v>
      </c>
      <c r="BB1604" s="3" t="str">
        <f>"0"</f>
        <v>0</v>
      </c>
      <c r="BC1604" t="str">
        <f ca="1">IF((OFFSET($A$1, 1604 - 1, 53 - 1)) &gt;= (OFFSET($A$1, 69 - 1, 7 - 1)), "1","0")</f>
        <v>1</v>
      </c>
      <c r="BD1604">
        <f ca="1" xml:space="preserve"> IF( AND( OFFSET($A$1, 1604 - 1, 54 - 1) = "1", OFFSET($A$1, 1604 - 1, 55 - 1) = "1" ), 1, IF( AND( OFFSET($A$1, 1604 - 1, 54 - 1) = "1", OFFSET($A$1, 1604 - 1, 55 - 1) = "0" ), 2, IF( AND( OFFSET($A$1, 1604 - 1, 54 - 1) = "0", OFFSET($A$1, 1604 - 1, 55 - 1) = "1" ), 3, 4 ) ) )</f>
        <v>3</v>
      </c>
    </row>
    <row r="1605" spans="53:56" x14ac:dyDescent="0.35">
      <c r="BA1605" s="3">
        <v>0.2758923712770518</v>
      </c>
      <c r="BB1605" s="3" t="str">
        <f>"0"</f>
        <v>0</v>
      </c>
      <c r="BC1605" t="str">
        <f ca="1">IF((OFFSET($A$1, 1605 - 1, 53 - 1)) &gt;= (OFFSET($A$1, 69 - 1, 7 - 1)), "1","0")</f>
        <v>0</v>
      </c>
      <c r="BD1605">
        <f ca="1" xml:space="preserve"> IF( AND( OFFSET($A$1, 1605 - 1, 54 - 1) = "1", OFFSET($A$1, 1605 - 1, 55 - 1) = "1" ), 1, IF( AND( OFFSET($A$1, 1605 - 1, 54 - 1) = "1", OFFSET($A$1, 1605 - 1, 55 - 1) = "0" ), 2, IF( AND( OFFSET($A$1, 1605 - 1, 54 - 1) = "0", OFFSET($A$1, 1605 - 1, 55 - 1) = "1" ), 3, 4 ) ) )</f>
        <v>4</v>
      </c>
    </row>
    <row r="1606" spans="53:56" x14ac:dyDescent="0.35">
      <c r="BA1606" s="3">
        <v>0.27709076667637211</v>
      </c>
      <c r="BB1606" s="3" t="str">
        <f>"0"</f>
        <v>0</v>
      </c>
      <c r="BC1606" t="str">
        <f ca="1">IF((OFFSET($A$1, 1606 - 1, 53 - 1)) &gt;= (OFFSET($A$1, 69 - 1, 7 - 1)), "1","0")</f>
        <v>0</v>
      </c>
      <c r="BD1606">
        <f ca="1" xml:space="preserve"> IF( AND( OFFSET($A$1, 1606 - 1, 54 - 1) = "1", OFFSET($A$1, 1606 - 1, 55 - 1) = "1" ), 1, IF( AND( OFFSET($A$1, 1606 - 1, 54 - 1) = "1", OFFSET($A$1, 1606 - 1, 55 - 1) = "0" ), 2, IF( AND( OFFSET($A$1, 1606 - 1, 54 - 1) = "0", OFFSET($A$1, 1606 - 1, 55 - 1) = "1" ), 3, 4 ) ) )</f>
        <v>4</v>
      </c>
    </row>
    <row r="1607" spans="53:56" x14ac:dyDescent="0.35">
      <c r="BA1607" s="3">
        <v>0.2782869093682897</v>
      </c>
      <c r="BB1607" s="3" t="str">
        <f>"0"</f>
        <v>0</v>
      </c>
      <c r="BC1607" t="str">
        <f ca="1">IF((OFFSET($A$1, 1607 - 1, 53 - 1)) &gt;= (OFFSET($A$1, 69 - 1, 7 - 1)), "1","0")</f>
        <v>0</v>
      </c>
      <c r="BD1607">
        <f ca="1" xml:space="preserve"> IF( AND( OFFSET($A$1, 1607 - 1, 54 - 1) = "1", OFFSET($A$1, 1607 - 1, 55 - 1) = "1" ), 1, IF( AND( OFFSET($A$1, 1607 - 1, 54 - 1) = "1", OFFSET($A$1, 1607 - 1, 55 - 1) = "0" ), 2, IF( AND( OFFSET($A$1, 1607 - 1, 54 - 1) = "0", OFFSET($A$1, 1607 - 1, 55 - 1) = "1" ), 3, 4 ) ) )</f>
        <v>4</v>
      </c>
    </row>
    <row r="1608" spans="53:56" x14ac:dyDescent="0.35">
      <c r="BA1608" s="3">
        <v>0.27948039198486746</v>
      </c>
      <c r="BB1608" s="3" t="str">
        <f>"1"</f>
        <v>1</v>
      </c>
      <c r="BC1608" t="str">
        <f ca="1">IF((OFFSET($A$1, 1608 - 1, 53 - 1)) &gt;= (OFFSET($A$1, 69 - 1, 7 - 1)), "1","0")</f>
        <v>0</v>
      </c>
      <c r="BD1608">
        <f ca="1" xml:space="preserve"> IF( AND( OFFSET($A$1, 1608 - 1, 54 - 1) = "1", OFFSET($A$1, 1608 - 1, 55 - 1) = "1" ), 1, IF( AND( OFFSET($A$1, 1608 - 1, 54 - 1) = "1", OFFSET($A$1, 1608 - 1, 55 - 1) = "0" ), 2, IF( AND( OFFSET($A$1, 1608 - 1, 54 - 1) = "0", OFFSET($A$1, 1608 - 1, 55 - 1) = "1" ), 3, 4 ) ) )</f>
        <v>2</v>
      </c>
    </row>
    <row r="1609" spans="53:56" x14ac:dyDescent="0.35">
      <c r="BA1609" s="3">
        <v>0.54914073128851393</v>
      </c>
      <c r="BB1609" s="3" t="str">
        <f>"1"</f>
        <v>1</v>
      </c>
      <c r="BC1609" t="str">
        <f ca="1">IF((OFFSET($A$1, 1609 - 1, 53 - 1)) &gt;= (OFFSET($A$1, 69 - 1, 7 - 1)), "1","0")</f>
        <v>1</v>
      </c>
      <c r="BD1609">
        <f ca="1" xml:space="preserve"> IF( AND( OFFSET($A$1, 1609 - 1, 54 - 1) = "1", OFFSET($A$1, 1609 - 1, 55 - 1) = "1" ), 1, IF( AND( OFFSET($A$1, 1609 - 1, 54 - 1) = "1", OFFSET($A$1, 1609 - 1, 55 - 1) = "0" ), 2, IF( AND( OFFSET($A$1, 1609 - 1, 54 - 1) = "0", OFFSET($A$1, 1609 - 1, 55 - 1) = "1" ), 3, 4 ) ) )</f>
        <v>1</v>
      </c>
    </row>
    <row r="1610" spans="53:56" x14ac:dyDescent="0.35">
      <c r="BA1610" s="3">
        <v>0.55059398456707709</v>
      </c>
      <c r="BB1610" s="3" t="str">
        <f>"1"</f>
        <v>1</v>
      </c>
      <c r="BC1610" t="str">
        <f ca="1">IF((OFFSET($A$1, 1610 - 1, 53 - 1)) &gt;= (OFFSET($A$1, 69 - 1, 7 - 1)), "1","0")</f>
        <v>1</v>
      </c>
      <c r="BD1610">
        <f ca="1" xml:space="preserve"> IF( AND( OFFSET($A$1, 1610 - 1, 54 - 1) = "1", OFFSET($A$1, 1610 - 1, 55 - 1) = "1" ), 1, IF( AND( OFFSET($A$1, 1610 - 1, 54 - 1) = "1", OFFSET($A$1, 1610 - 1, 55 - 1) = "0" ), 2, IF( AND( OFFSET($A$1, 1610 - 1, 54 - 1) = "0", OFFSET($A$1, 1610 - 1, 55 - 1) = "1" ), 3, 4 ) ) )</f>
        <v>1</v>
      </c>
    </row>
    <row r="1611" spans="53:56" x14ac:dyDescent="0.35">
      <c r="BA1611" s="3">
        <v>0.55203792263599427</v>
      </c>
      <c r="BB1611" s="3" t="str">
        <f>"1"</f>
        <v>1</v>
      </c>
      <c r="BC1611" t="str">
        <f ca="1">IF((OFFSET($A$1, 1611 - 1, 53 - 1)) &gt;= (OFFSET($A$1, 69 - 1, 7 - 1)), "1","0")</f>
        <v>1</v>
      </c>
      <c r="BD1611">
        <f ca="1" xml:space="preserve"> IF( AND( OFFSET($A$1, 1611 - 1, 54 - 1) = "1", OFFSET($A$1, 1611 - 1, 55 - 1) = "1" ), 1, IF( AND( OFFSET($A$1, 1611 - 1, 54 - 1) = "1", OFFSET($A$1, 1611 - 1, 55 - 1) = "0" ), 2, IF( AND( OFFSET($A$1, 1611 - 1, 54 - 1) = "0", OFFSET($A$1, 1611 - 1, 55 - 1) = "1" ), 3, 4 ) ) )</f>
        <v>1</v>
      </c>
    </row>
    <row r="1612" spans="53:56" x14ac:dyDescent="0.35">
      <c r="BA1612" s="3">
        <v>0.55347210997197016</v>
      </c>
      <c r="BB1612" s="3" t="str">
        <f>"0"</f>
        <v>0</v>
      </c>
      <c r="BC1612" t="str">
        <f ca="1">IF((OFFSET($A$1, 1612 - 1, 53 - 1)) &gt;= (OFFSET($A$1, 69 - 1, 7 - 1)), "1","0")</f>
        <v>1</v>
      </c>
      <c r="BD1612">
        <f ca="1" xml:space="preserve"> IF( AND( OFFSET($A$1, 1612 - 1, 54 - 1) = "1", OFFSET($A$1, 1612 - 1, 55 - 1) = "1" ), 1, IF( AND( OFFSET($A$1, 1612 - 1, 54 - 1) = "1", OFFSET($A$1, 1612 - 1, 55 - 1) = "0" ), 2, IF( AND( OFFSET($A$1, 1612 - 1, 54 - 1) = "0", OFFSET($A$1, 1612 - 1, 55 - 1) = "1" ), 3, 4 ) ) )</f>
        <v>3</v>
      </c>
    </row>
    <row r="1613" spans="53:56" x14ac:dyDescent="0.35">
      <c r="BA1613" s="3">
        <v>0.28539353920646132</v>
      </c>
      <c r="BB1613" s="3" t="str">
        <f>"0"</f>
        <v>0</v>
      </c>
      <c r="BC1613" t="str">
        <f ca="1">IF((OFFSET($A$1, 1613 - 1, 53 - 1)) &gt;= (OFFSET($A$1, 69 - 1, 7 - 1)), "1","0")</f>
        <v>0</v>
      </c>
      <c r="BD1613">
        <f ca="1" xml:space="preserve"> IF( AND( OFFSET($A$1, 1613 - 1, 54 - 1) = "1", OFFSET($A$1, 1613 - 1, 55 - 1) = "1" ), 1, IF( AND( OFFSET($A$1, 1613 - 1, 54 - 1) = "1", OFFSET($A$1, 1613 - 1, 55 - 1) = "0" ), 2, IF( AND( OFFSET($A$1, 1613 - 1, 54 - 1) = "0", OFFSET($A$1, 1613 - 1, 55 - 1) = "1" ), 3, 4 ) ) )</f>
        <v>4</v>
      </c>
    </row>
    <row r="1614" spans="53:56" x14ac:dyDescent="0.35">
      <c r="BA1614" s="3">
        <v>0.28656242641350022</v>
      </c>
      <c r="BB1614" s="3" t="str">
        <f>"0"</f>
        <v>0</v>
      </c>
      <c r="BC1614" t="str">
        <f ca="1">IF((OFFSET($A$1, 1614 - 1, 53 - 1)) &gt;= (OFFSET($A$1, 69 - 1, 7 - 1)), "1","0")</f>
        <v>0</v>
      </c>
      <c r="BD1614">
        <f ca="1" xml:space="preserve"> IF( AND( OFFSET($A$1, 1614 - 1, 54 - 1) = "1", OFFSET($A$1, 1614 - 1, 55 - 1) = "1" ), 1, IF( AND( OFFSET($A$1, 1614 - 1, 54 - 1) = "1", OFFSET($A$1, 1614 - 1, 55 - 1) = "0" ), 2, IF( AND( OFFSET($A$1, 1614 - 1, 54 - 1) = "0", OFFSET($A$1, 1614 - 1, 55 - 1) = "1" ), 3, 4 ) ) )</f>
        <v>4</v>
      </c>
    </row>
    <row r="1615" spans="53:56" x14ac:dyDescent="0.35">
      <c r="BA1615" s="3">
        <v>0.28772576627030078</v>
      </c>
      <c r="BB1615" s="3" t="str">
        <f>"1"</f>
        <v>1</v>
      </c>
      <c r="BC1615" t="str">
        <f ca="1">IF((OFFSET($A$1, 1615 - 1, 53 - 1)) &gt;= (OFFSET($A$1, 69 - 1, 7 - 1)), "1","0")</f>
        <v>0</v>
      </c>
      <c r="BD1615">
        <f ca="1" xml:space="preserve"> IF( AND( OFFSET($A$1, 1615 - 1, 54 - 1) = "1", OFFSET($A$1, 1615 - 1, 55 - 1) = "1" ), 1, IF( AND( OFFSET($A$1, 1615 - 1, 54 - 1) = "1", OFFSET($A$1, 1615 - 1, 55 - 1) = "0" ), 2, IF( AND( OFFSET($A$1, 1615 - 1, 54 - 1) = "0", OFFSET($A$1, 1615 - 1, 55 - 1) = "1" ), 3, 4 ) ) )</f>
        <v>2</v>
      </c>
    </row>
    <row r="1616" spans="53:56" x14ac:dyDescent="0.35">
      <c r="BA1616" s="3">
        <v>0.55910280185533179</v>
      </c>
      <c r="BB1616" s="3" t="str">
        <f>"0"</f>
        <v>0</v>
      </c>
      <c r="BC1616" t="str">
        <f ca="1">IF((OFFSET($A$1, 1616 - 1, 53 - 1)) &gt;= (OFFSET($A$1, 69 - 1, 7 - 1)), "1","0")</f>
        <v>1</v>
      </c>
      <c r="BD1616">
        <f ca="1" xml:space="preserve"> IF( AND( OFFSET($A$1, 1616 - 1, 54 - 1) = "1", OFFSET($A$1, 1616 - 1, 55 - 1) = "1" ), 1, IF( AND( OFFSET($A$1, 1616 - 1, 54 - 1) = "1", OFFSET($A$1, 1616 - 1, 55 - 1) = "0" ), 2, IF( AND( OFFSET($A$1, 1616 - 1, 54 - 1) = "0", OFFSET($A$1, 1616 - 1, 55 - 1) = "1" ), 3, 4 ) ) )</f>
        <v>3</v>
      </c>
    </row>
    <row r="1617" spans="53:56" x14ac:dyDescent="0.35">
      <c r="BA1617" s="3">
        <v>0.29003414390270515</v>
      </c>
      <c r="BB1617" s="3" t="str">
        <f>"1"</f>
        <v>1</v>
      </c>
      <c r="BC1617" t="str">
        <f ca="1">IF((OFFSET($A$1, 1617 - 1, 53 - 1)) &gt;= (OFFSET($A$1, 69 - 1, 7 - 1)), "1","0")</f>
        <v>0</v>
      </c>
      <c r="BD1617">
        <f ca="1" xml:space="preserve"> IF( AND( OFFSET($A$1, 1617 - 1, 54 - 1) = "1", OFFSET($A$1, 1617 - 1, 55 - 1) = "1" ), 1, IF( AND( OFFSET($A$1, 1617 - 1, 54 - 1) = "1", OFFSET($A$1, 1617 - 1, 55 - 1) = "0" ), 2, IF( AND( OFFSET($A$1, 1617 - 1, 54 - 1) = "0", OFFSET($A$1, 1617 - 1, 55 - 1) = "1" ), 3, 4 ) ) )</f>
        <v>2</v>
      </c>
    </row>
    <row r="1618" spans="53:56" x14ac:dyDescent="0.35">
      <c r="BA1618" s="3">
        <v>0.56184866391440291</v>
      </c>
      <c r="BB1618" s="3" t="str">
        <f>"0"</f>
        <v>0</v>
      </c>
      <c r="BC1618" t="str">
        <f ca="1">IF((OFFSET($A$1, 1618 - 1, 53 - 1)) &gt;= (OFFSET($A$1, 69 - 1, 7 - 1)), "1","0")</f>
        <v>1</v>
      </c>
      <c r="BD1618">
        <f ca="1" xml:space="preserve"> IF( AND( OFFSET($A$1, 1618 - 1, 54 - 1) = "1", OFFSET($A$1, 1618 - 1, 55 - 1) = "1" ), 1, IF( AND( OFFSET($A$1, 1618 - 1, 54 - 1) = "1", OFFSET($A$1, 1618 - 1, 55 - 1) = "0" ), 2, IF( AND( OFFSET($A$1, 1618 - 1, 54 - 1) = "0", OFFSET($A$1, 1618 - 1, 55 - 1) = "1" ), 3, 4 ) ) )</f>
        <v>3</v>
      </c>
    </row>
    <row r="1619" spans="53:56" x14ac:dyDescent="0.35">
      <c r="BA1619" s="3">
        <v>0.2923153535872493</v>
      </c>
      <c r="BB1619" s="3" t="str">
        <f>"0"</f>
        <v>0</v>
      </c>
      <c r="BC1619" t="str">
        <f ca="1">IF((OFFSET($A$1, 1619 - 1, 53 - 1)) &gt;= (OFFSET($A$1, 69 - 1, 7 - 1)), "1","0")</f>
        <v>0</v>
      </c>
      <c r="BD1619">
        <f ca="1" xml:space="preserve"> IF( AND( OFFSET($A$1, 1619 - 1, 54 - 1) = "1", OFFSET($A$1, 1619 - 1, 55 - 1) = "1" ), 1, IF( AND( OFFSET($A$1, 1619 - 1, 54 - 1) = "1", OFFSET($A$1, 1619 - 1, 55 - 1) = "0" ), 2, IF( AND( OFFSET($A$1, 1619 - 1, 54 - 1) = "0", OFFSET($A$1, 1619 - 1, 55 - 1) = "1" ), 3, 4 ) ) )</f>
        <v>4</v>
      </c>
    </row>
    <row r="1620" spans="53:56" x14ac:dyDescent="0.35">
      <c r="BA1620" s="3">
        <v>0.2934447352665831</v>
      </c>
      <c r="BB1620" s="3" t="str">
        <f>"0"</f>
        <v>0</v>
      </c>
      <c r="BC1620" t="str">
        <f ca="1">IF((OFFSET($A$1, 1620 - 1, 53 - 1)) &gt;= (OFFSET($A$1, 69 - 1, 7 - 1)), "1","0")</f>
        <v>0</v>
      </c>
      <c r="BD1620">
        <f ca="1" xml:space="preserve"> IF( AND( OFFSET($A$1, 1620 - 1, 54 - 1) = "1", OFFSET($A$1, 1620 - 1, 55 - 1) = "1" ), 1, IF( AND( OFFSET($A$1, 1620 - 1, 54 - 1) = "1", OFFSET($A$1, 1620 - 1, 55 - 1) = "0" ), 2, IF( AND( OFFSET($A$1, 1620 - 1, 54 - 1) = "0", OFFSET($A$1, 1620 - 1, 55 - 1) = "1" ), 3, 4 ) ) )</f>
        <v>4</v>
      </c>
    </row>
    <row r="1621" spans="53:56" x14ac:dyDescent="0.35">
      <c r="BA1621" s="3">
        <v>0.29456608430939651</v>
      </c>
      <c r="BB1621" s="3" t="str">
        <f>"0"</f>
        <v>0</v>
      </c>
      <c r="BC1621" t="str">
        <f ca="1">IF((OFFSET($A$1, 1621 - 1, 53 - 1)) &gt;= (OFFSET($A$1, 69 - 1, 7 - 1)), "1","0")</f>
        <v>0</v>
      </c>
      <c r="BD1621">
        <f ca="1" xml:space="preserve"> IF( AND( OFFSET($A$1, 1621 - 1, 54 - 1) = "1", OFFSET($A$1, 1621 - 1, 55 - 1) = "1" ), 1, IF( AND( OFFSET($A$1, 1621 - 1, 54 - 1) = "1", OFFSET($A$1, 1621 - 1, 55 - 1) = "0" ), 2, IF( AND( OFFSET($A$1, 1621 - 1, 54 - 1) = "0", OFFSET($A$1, 1621 - 1, 55 - 1) = "1" ), 3, 4 ) ) )</f>
        <v>4</v>
      </c>
    </row>
    <row r="1622" spans="53:56" x14ac:dyDescent="0.35">
      <c r="BA1622" s="3">
        <v>0.29567898919741248</v>
      </c>
      <c r="BB1622" s="3" t="str">
        <f>"1"</f>
        <v>1</v>
      </c>
      <c r="BC1622" t="str">
        <f ca="1">IF((OFFSET($A$1, 1622 - 1, 53 - 1)) &gt;= (OFFSET($A$1, 69 - 1, 7 - 1)), "1","0")</f>
        <v>0</v>
      </c>
      <c r="BD1622">
        <f ca="1" xml:space="preserve"> IF( AND( OFFSET($A$1, 1622 - 1, 54 - 1) = "1", OFFSET($A$1, 1622 - 1, 55 - 1) = "1" ), 1, IF( AND( OFFSET($A$1, 1622 - 1, 54 - 1) = "1", OFFSET($A$1, 1622 - 1, 55 - 1) = "0" ), 2, IF( AND( OFFSET($A$1, 1622 - 1, 54 - 1) = "0", OFFSET($A$1, 1622 - 1, 55 - 1) = "1" ), 3, 4 ) ) )</f>
        <v>2</v>
      </c>
    </row>
    <row r="1623" spans="53:56" x14ac:dyDescent="0.35">
      <c r="BA1623" s="3">
        <v>0.56848484780921515</v>
      </c>
      <c r="BB1623" s="3" t="str">
        <f>"1"</f>
        <v>1</v>
      </c>
      <c r="BC1623" t="str">
        <f ca="1">IF((OFFSET($A$1, 1623 - 1, 53 - 1)) &gt;= (OFFSET($A$1, 69 - 1, 7 - 1)), "1","0")</f>
        <v>1</v>
      </c>
      <c r="BD1623">
        <f ca="1" xml:space="preserve"> IF( AND( OFFSET($A$1, 1623 - 1, 54 - 1) = "1", OFFSET($A$1, 1623 - 1, 55 - 1) = "1" ), 1, IF( AND( OFFSET($A$1, 1623 - 1, 54 - 1) = "1", OFFSET($A$1, 1623 - 1, 55 - 1) = "0" ), 2, IF( AND( OFFSET($A$1, 1623 - 1, 54 - 1) = "0", OFFSET($A$1, 1623 - 1, 55 - 1) = "1" ), 3, 4 ) ) )</f>
        <v>1</v>
      </c>
    </row>
    <row r="1624" spans="53:56" x14ac:dyDescent="0.35">
      <c r="BA1624" s="3">
        <v>0.56976983238882906</v>
      </c>
      <c r="BB1624" s="3" t="str">
        <f>"0"</f>
        <v>0</v>
      </c>
      <c r="BC1624" t="str">
        <f ca="1">IF((OFFSET($A$1, 1624 - 1, 53 - 1)) &gt;= (OFFSET($A$1, 69 - 1, 7 - 1)), "1","0")</f>
        <v>1</v>
      </c>
      <c r="BD1624">
        <f ca="1" xml:space="preserve"> IF( AND( OFFSET($A$1, 1624 - 1, 54 - 1) = "1", OFFSET($A$1, 1624 - 1, 55 - 1) = "1" ), 1, IF( AND( OFFSET($A$1, 1624 - 1, 54 - 1) = "1", OFFSET($A$1, 1624 - 1, 55 - 1) = "0" ), 2, IF( AND( OFFSET($A$1, 1624 - 1, 54 - 1) = "0", OFFSET($A$1, 1624 - 1, 55 - 1) = "1" ), 3, 4 ) ) )</f>
        <v>3</v>
      </c>
    </row>
    <row r="1625" spans="53:56" x14ac:dyDescent="0.35">
      <c r="BA1625" s="3">
        <v>0.29896294573527321</v>
      </c>
      <c r="BB1625" s="3" t="str">
        <f>"0"</f>
        <v>0</v>
      </c>
      <c r="BC1625" t="str">
        <f ca="1">IF((OFFSET($A$1, 1625 - 1, 53 - 1)) &gt;= (OFFSET($A$1, 69 - 1, 7 - 1)), "1","0")</f>
        <v>0</v>
      </c>
      <c r="BD1625">
        <f ca="1" xml:space="preserve"> IF( AND( OFFSET($A$1, 1625 - 1, 54 - 1) = "1", OFFSET($A$1, 1625 - 1, 55 - 1) = "1" ), 1, IF( AND( OFFSET($A$1, 1625 - 1, 54 - 1) = "1", OFFSET($A$1, 1625 - 1, 55 - 1) = "0" ), 2, IF( AND( OFFSET($A$1, 1625 - 1, 54 - 1) = "0", OFFSET($A$1, 1625 - 1, 55 - 1) = "1" ), 3, 4 ) ) )</f>
        <v>4</v>
      </c>
    </row>
    <row r="1626" spans="53:56" x14ac:dyDescent="0.35">
      <c r="BA1626" s="3">
        <v>0.30003798972502327</v>
      </c>
      <c r="BB1626" s="3" t="str">
        <f>"0"</f>
        <v>0</v>
      </c>
      <c r="BC1626" t="str">
        <f ca="1">IF((OFFSET($A$1, 1626 - 1, 53 - 1)) &gt;= (OFFSET($A$1, 69 - 1, 7 - 1)), "1","0")</f>
        <v>0</v>
      </c>
      <c r="BD1626">
        <f ca="1" xml:space="preserve"> IF( AND( OFFSET($A$1, 1626 - 1, 54 - 1) = "1", OFFSET($A$1, 1626 - 1, 55 - 1) = "1" ), 1, IF( AND( OFFSET($A$1, 1626 - 1, 54 - 1) = "1", OFFSET($A$1, 1626 - 1, 55 - 1) = "0" ), 2, IF( AND( OFFSET($A$1, 1626 - 1, 54 - 1) = "0", OFFSET($A$1, 1626 - 1, 55 - 1) = "1" ), 3, 4 ) ) )</f>
        <v>4</v>
      </c>
    </row>
    <row r="1627" spans="53:56" x14ac:dyDescent="0.35">
      <c r="BA1627" s="3">
        <v>0.3011025571317486</v>
      </c>
      <c r="BB1627" s="3" t="str">
        <f>"0"</f>
        <v>0</v>
      </c>
      <c r="BC1627" t="str">
        <f ca="1">IF((OFFSET($A$1, 1627 - 1, 53 - 1)) &gt;= (OFFSET($A$1, 69 - 1, 7 - 1)), "1","0")</f>
        <v>0</v>
      </c>
      <c r="BD1627">
        <f ca="1" xml:space="preserve"> IF( AND( OFFSET($A$1, 1627 - 1, 54 - 1) = "1", OFFSET($A$1, 1627 - 1, 55 - 1) = "1" ), 1, IF( AND( OFFSET($A$1, 1627 - 1, 54 - 1) = "1", OFFSET($A$1, 1627 - 1, 55 - 1) = "0" ), 2, IF( AND( OFFSET($A$1, 1627 - 1, 54 - 1) = "0", OFFSET($A$1, 1627 - 1, 55 - 1) = "1" ), 3, 4 ) ) )</f>
        <v>4</v>
      </c>
    </row>
    <row r="1628" spans="53:56" x14ac:dyDescent="0.35">
      <c r="BA1628" s="3">
        <v>0.30215624808755376</v>
      </c>
      <c r="BB1628" s="3" t="str">
        <f>"1"</f>
        <v>1</v>
      </c>
      <c r="BC1628" t="str">
        <f ca="1">IF((OFFSET($A$1, 1628 - 1, 53 - 1)) &gt;= (OFFSET($A$1, 69 - 1, 7 - 1)), "1","0")</f>
        <v>0</v>
      </c>
      <c r="BD1628">
        <f ca="1" xml:space="preserve"> IF( AND( OFFSET($A$1, 1628 - 1, 54 - 1) = "1", OFFSET($A$1, 1628 - 1, 55 - 1) = "1" ), 1, IF( AND( OFFSET($A$1, 1628 - 1, 54 - 1) = "1", OFFSET($A$1, 1628 - 1, 55 - 1) = "0" ), 2, IF( AND( OFFSET($A$1, 1628 - 1, 54 - 1) = "0", OFFSET($A$1, 1628 - 1, 55 - 1) = "1" ), 3, 4 ) ) )</f>
        <v>2</v>
      </c>
    </row>
    <row r="1629" spans="53:56" x14ac:dyDescent="0.35">
      <c r="BA1629" s="3">
        <v>0.57596332676653117</v>
      </c>
      <c r="BB1629" s="3" t="str">
        <f>"1"</f>
        <v>1</v>
      </c>
      <c r="BC1629" t="str">
        <f ca="1">IF((OFFSET($A$1, 1629 - 1, 53 - 1)) &gt;= (OFFSET($A$1, 69 - 1, 7 - 1)), "1","0")</f>
        <v>1</v>
      </c>
      <c r="BD1629">
        <f ca="1" xml:space="preserve"> IF( AND( OFFSET($A$1, 1629 - 1, 54 - 1) = "1", OFFSET($A$1, 1629 - 1, 55 - 1) = "1" ), 1, IF( AND( OFFSET($A$1, 1629 - 1, 54 - 1) = "1", OFFSET($A$1, 1629 - 1, 55 - 1) = "0" ), 2, IF( AND( OFFSET($A$1, 1629 - 1, 54 - 1) = "0", OFFSET($A$1, 1629 - 1, 55 - 1) = "1" ), 3, 4 ) ) )</f>
        <v>1</v>
      </c>
    </row>
    <row r="1630" spans="53:56" x14ac:dyDescent="0.35">
      <c r="BA1630" s="3">
        <v>0.57715330111430674</v>
      </c>
      <c r="BB1630" s="3" t="str">
        <f>"0"</f>
        <v>0</v>
      </c>
      <c r="BC1630" t="str">
        <f ca="1">IF((OFFSET($A$1, 1630 - 1, 53 - 1)) &gt;= (OFFSET($A$1, 69 - 1, 7 - 1)), "1","0")</f>
        <v>1</v>
      </c>
      <c r="BD1630">
        <f ca="1" xml:space="preserve"> IF( AND( OFFSET($A$1, 1630 - 1, 54 - 1) = "1", OFFSET($A$1, 1630 - 1, 55 - 1) = "1" ), 1, IF( AND( OFFSET($A$1, 1630 - 1, 54 - 1) = "1", OFFSET($A$1, 1630 - 1, 55 - 1) = "0" ), 2, IF( AND( OFFSET($A$1, 1630 - 1, 54 - 1) = "0", OFFSET($A$1, 1630 - 1, 55 - 1) = "1" ), 3, 4 ) ) )</f>
        <v>3</v>
      </c>
    </row>
    <row r="1631" spans="53:56" x14ac:dyDescent="0.35">
      <c r="BA1631" s="3">
        <v>0.30524810586368617</v>
      </c>
      <c r="BB1631" s="3" t="str">
        <f>"1"</f>
        <v>1</v>
      </c>
      <c r="BC1631" t="str">
        <f ca="1">IF((OFFSET($A$1, 1631 - 1, 53 - 1)) &gt;= (OFFSET($A$1, 69 - 1, 7 - 1)), "1","0")</f>
        <v>0</v>
      </c>
      <c r="BD1631">
        <f ca="1" xml:space="preserve"> IF( AND( OFFSET($A$1, 1631 - 1, 54 - 1) = "1", OFFSET($A$1, 1631 - 1, 55 - 1) = "1" ), 1, IF( AND( OFFSET($A$1, 1631 - 1, 54 - 1) = "1", OFFSET($A$1, 1631 - 1, 55 - 1) = "0" ), 2, IF( AND( OFFSET($A$1, 1631 - 1, 54 - 1) = "0", OFFSET($A$1, 1631 - 1, 55 - 1) = "1" ), 3, 4 ) ) )</f>
        <v>2</v>
      </c>
    </row>
    <row r="1632" spans="53:56" x14ac:dyDescent="0.35">
      <c r="BA1632" s="3">
        <v>0.5794818512247405</v>
      </c>
      <c r="BB1632" s="3" t="str">
        <f>"1"</f>
        <v>1</v>
      </c>
      <c r="BC1632" t="str">
        <f ca="1">IF((OFFSET($A$1, 1632 - 1, 53 - 1)) &gt;= (OFFSET($A$1, 69 - 1, 7 - 1)), "1","0")</f>
        <v>1</v>
      </c>
      <c r="BD1632">
        <f ca="1" xml:space="preserve"> IF( AND( OFFSET($A$1, 1632 - 1, 54 - 1) = "1", OFFSET($A$1, 1632 - 1, 55 - 1) = "1" ), 1, IF( AND( OFFSET($A$1, 1632 - 1, 54 - 1) = "1", OFFSET($A$1, 1632 - 1, 55 - 1) = "0" ), 2, IF( AND( OFFSET($A$1, 1632 - 1, 54 - 1) = "0", OFFSET($A$1, 1632 - 1, 55 - 1) = "1" ), 3, 4 ) ) )</f>
        <v>1</v>
      </c>
    </row>
    <row r="1633" spans="53:56" x14ac:dyDescent="0.35">
      <c r="BA1633" s="3">
        <v>0.58061978726323515</v>
      </c>
      <c r="BB1633" s="3" t="str">
        <f>"1"</f>
        <v>1</v>
      </c>
      <c r="BC1633" t="str">
        <f ca="1">IF((OFFSET($A$1, 1633 - 1, 53 - 1)) &gt;= (OFFSET($A$1, 69 - 1, 7 - 1)), "1","0")</f>
        <v>1</v>
      </c>
      <c r="BD1633">
        <f ca="1" xml:space="preserve"> IF( AND( OFFSET($A$1, 1633 - 1, 54 - 1) = "1", OFFSET($A$1, 1633 - 1, 55 - 1) = "1" ), 1, IF( AND( OFFSET($A$1, 1633 - 1, 54 - 1) = "1", OFFSET($A$1, 1633 - 1, 55 - 1) = "0" ), 2, IF( AND( OFFSET($A$1, 1633 - 1, 54 - 1) = "0", OFFSET($A$1, 1633 - 1, 55 - 1) = "1" ), 3, 4 ) ) )</f>
        <v>1</v>
      </c>
    </row>
    <row r="1634" spans="53:56" x14ac:dyDescent="0.35">
      <c r="BA1634" s="3">
        <v>0.58173974828877739</v>
      </c>
      <c r="BB1634" s="3" t="str">
        <f>"1"</f>
        <v>1</v>
      </c>
      <c r="BC1634" t="str">
        <f ca="1">IF((OFFSET($A$1, 1634 - 1, 53 - 1)) &gt;= (OFFSET($A$1, 69 - 1, 7 - 1)), "1","0")</f>
        <v>1</v>
      </c>
      <c r="BD1634">
        <f ca="1" xml:space="preserve"> IF( AND( OFFSET($A$1, 1634 - 1, 54 - 1) = "1", OFFSET($A$1, 1634 - 1, 55 - 1) = "1" ), 1, IF( AND( OFFSET($A$1, 1634 - 1, 54 - 1) = "1", OFFSET($A$1, 1634 - 1, 55 - 1) = "0" ), 2, IF( AND( OFFSET($A$1, 1634 - 1, 54 - 1) = "0", OFFSET($A$1, 1634 - 1, 55 - 1) = "1" ), 3, 4 ) ) )</f>
        <v>1</v>
      </c>
    </row>
    <row r="1635" spans="53:56" x14ac:dyDescent="0.35">
      <c r="BA1635" s="3">
        <v>0.58284143071448768</v>
      </c>
      <c r="BB1635" s="3" t="str">
        <f>"0"</f>
        <v>0</v>
      </c>
      <c r="BC1635" t="str">
        <f ca="1">IF((OFFSET($A$1, 1635 - 1, 53 - 1)) &gt;= (OFFSET($A$1, 69 - 1, 7 - 1)), "1","0")</f>
        <v>1</v>
      </c>
      <c r="BD1635">
        <f ca="1" xml:space="preserve"> IF( AND( OFFSET($A$1, 1635 - 1, 54 - 1) = "1", OFFSET($A$1, 1635 - 1, 55 - 1) = "1" ), 1, IF( AND( OFFSET($A$1, 1635 - 1, 54 - 1) = "1", OFFSET($A$1, 1635 - 1, 55 - 1) = "0" ), 2, IF( AND( OFFSET($A$1, 1635 - 1, 54 - 1) = "0", OFFSET($A$1, 1635 - 1, 55 - 1) = "1" ), 3, 4 ) ) )</f>
        <v>3</v>
      </c>
    </row>
    <row r="1636" spans="53:56" x14ac:dyDescent="0.35">
      <c r="BA1636" s="3">
        <v>0.31014724246236586</v>
      </c>
      <c r="BB1636" s="3" t="str">
        <f>"0"</f>
        <v>0</v>
      </c>
      <c r="BC1636" t="str">
        <f ca="1">IF((OFFSET($A$1, 1636 - 1, 53 - 1)) &gt;= (OFFSET($A$1, 69 - 1, 7 - 1)), "1","0")</f>
        <v>0</v>
      </c>
      <c r="BD1636">
        <f ca="1" xml:space="preserve"> IF( AND( OFFSET($A$1, 1636 - 1, 54 - 1) = "1", OFFSET($A$1, 1636 - 1, 55 - 1) = "1" ), 1, IF( AND( OFFSET($A$1, 1636 - 1, 54 - 1) = "1", OFFSET($A$1, 1636 - 1, 55 - 1) = "0" ), 2, IF( AND( OFFSET($A$1, 1636 - 1, 54 - 1) = "0", OFFSET($A$1, 1636 - 1, 55 - 1) = "1" ), 3, 4 ) ) )</f>
        <v>4</v>
      </c>
    </row>
    <row r="1637" spans="53:56" x14ac:dyDescent="0.35">
      <c r="BA1637" s="3">
        <v>0.31108557445900015</v>
      </c>
      <c r="BB1637" s="3" t="str">
        <f>"0"</f>
        <v>0</v>
      </c>
      <c r="BC1637" t="str">
        <f ca="1">IF((OFFSET($A$1, 1637 - 1, 53 - 1)) &gt;= (OFFSET($A$1, 69 - 1, 7 - 1)), "1","0")</f>
        <v>0</v>
      </c>
      <c r="BD1637">
        <f ca="1" xml:space="preserve"> IF( AND( OFFSET($A$1, 1637 - 1, 54 - 1) = "1", OFFSET($A$1, 1637 - 1, 55 - 1) = "1" ), 1, IF( AND( OFFSET($A$1, 1637 - 1, 54 - 1) = "1", OFFSET($A$1, 1637 - 1, 55 - 1) = "0" ), 2, IF( AND( OFFSET($A$1, 1637 - 1, 54 - 1) = "0", OFFSET($A$1, 1637 - 1, 55 - 1) = "1" ), 3, 4 ) ) )</f>
        <v>4</v>
      </c>
    </row>
    <row r="1638" spans="53:56" x14ac:dyDescent="0.35">
      <c r="BA1638" s="3">
        <v>0.31200921760609174</v>
      </c>
      <c r="BB1638" s="3" t="str">
        <f>"1"</f>
        <v>1</v>
      </c>
      <c r="BC1638" t="str">
        <f ca="1">IF((OFFSET($A$1, 1638 - 1, 53 - 1)) &gt;= (OFFSET($A$1, 69 - 1, 7 - 1)), "1","0")</f>
        <v>0</v>
      </c>
      <c r="BD1638">
        <f ca="1" xml:space="preserve"> IF( AND( OFFSET($A$1, 1638 - 1, 54 - 1) = "1", OFFSET($A$1, 1638 - 1, 55 - 1) = "1" ), 1, IF( AND( OFFSET($A$1, 1638 - 1, 54 - 1) = "1", OFFSET($A$1, 1638 - 1, 55 - 1) = "0" ), 2, IF( AND( OFFSET($A$1, 1638 - 1, 54 - 1) = "0", OFFSET($A$1, 1638 - 1, 55 - 1) = "1" ), 3, 4 ) ) )</f>
        <v>2</v>
      </c>
    </row>
    <row r="1639" spans="53:56" x14ac:dyDescent="0.35">
      <c r="BA1639" s="3">
        <v>0.58705953302724423</v>
      </c>
      <c r="BB1639" s="3" t="str">
        <f>"1"</f>
        <v>1</v>
      </c>
      <c r="BC1639" t="str">
        <f ca="1">IF((OFFSET($A$1, 1639 - 1, 53 - 1)) &gt;= (OFFSET($A$1, 69 - 1, 7 - 1)), "1","0")</f>
        <v>1</v>
      </c>
      <c r="BD1639">
        <f ca="1" xml:space="preserve"> IF( AND( OFFSET($A$1, 1639 - 1, 54 - 1) = "1", OFFSET($A$1, 1639 - 1, 55 - 1) = "1" ), 1, IF( AND( OFFSET($A$1, 1639 - 1, 54 - 1) = "1", OFFSET($A$1, 1639 - 1, 55 - 1) = "0" ), 2, IF( AND( OFFSET($A$1, 1639 - 1, 54 - 1) = "0", OFFSET($A$1, 1639 - 1, 55 - 1) = "1" ), 3, 4 ) ) )</f>
        <v>1</v>
      </c>
    </row>
    <row r="1640" spans="53:56" x14ac:dyDescent="0.35">
      <c r="BA1640" s="3">
        <v>0.58806549927400087</v>
      </c>
      <c r="BB1640" s="3" t="str">
        <f>"0"</f>
        <v>0</v>
      </c>
      <c r="BC1640" t="str">
        <f ca="1">IF((OFFSET($A$1, 1640 - 1, 53 - 1)) &gt;= (OFFSET($A$1, 69 - 1, 7 - 1)), "1","0")</f>
        <v>1</v>
      </c>
      <c r="BD1640">
        <f ca="1" xml:space="preserve"> IF( AND( OFFSET($A$1, 1640 - 1, 54 - 1) = "1", OFFSET($A$1, 1640 - 1, 55 - 1) = "1" ), 1, IF( AND( OFFSET($A$1, 1640 - 1, 54 - 1) = "1", OFFSET($A$1, 1640 - 1, 55 - 1) = "0" ), 2, IF( AND( OFFSET($A$1, 1640 - 1, 54 - 1) = "0", OFFSET($A$1, 1640 - 1, 55 - 1) = "1" ), 3, 4 ) ) )</f>
        <v>3</v>
      </c>
    </row>
    <row r="1641" spans="53:56" x14ac:dyDescent="0.35">
      <c r="BA1641" s="3">
        <v>0.31468846021983454</v>
      </c>
      <c r="BB1641" s="3" t="str">
        <f>"0"</f>
        <v>0</v>
      </c>
      <c r="BC1641" t="str">
        <f ca="1">IF((OFFSET($A$1, 1641 - 1, 53 - 1)) &gt;= (OFFSET($A$1, 69 - 1, 7 - 1)), "1","0")</f>
        <v>0</v>
      </c>
      <c r="BD1641">
        <f ca="1" xml:space="preserve"> IF( AND( OFFSET($A$1, 1641 - 1, 54 - 1) = "1", OFFSET($A$1, 1641 - 1, 55 - 1) = "1" ), 1, IF( AND( OFFSET($A$1, 1641 - 1, 54 - 1) = "1", OFFSET($A$1, 1641 - 1, 55 - 1) = "0" ), 2, IF( AND( OFFSET($A$1, 1641 - 1, 54 - 1) = "0", OFFSET($A$1, 1641 - 1, 55 - 1) = "1" ), 3, 4 ) ) )</f>
        <v>4</v>
      </c>
    </row>
    <row r="1642" spans="53:56" x14ac:dyDescent="0.35">
      <c r="BA1642" s="3">
        <v>0.31554982030464446</v>
      </c>
      <c r="BB1642" s="3" t="str">
        <f>"0"</f>
        <v>0</v>
      </c>
      <c r="BC1642" t="str">
        <f ca="1">IF((OFFSET($A$1, 1642 - 1, 53 - 1)) &gt;= (OFFSET($A$1, 69 - 1, 7 - 1)), "1","0")</f>
        <v>0</v>
      </c>
      <c r="BD1642">
        <f ca="1" xml:space="preserve"> IF( AND( OFFSET($A$1, 1642 - 1, 54 - 1) = "1", OFFSET($A$1, 1642 - 1, 55 - 1) = "1" ), 1, IF( AND( OFFSET($A$1, 1642 - 1, 54 - 1) = "1", OFFSET($A$1, 1642 - 1, 55 - 1) = "0" ), 2, IF( AND( OFFSET($A$1, 1642 - 1, 54 - 1) = "0", OFFSET($A$1, 1642 - 1, 55 - 1) = "1" ), 3, 4 ) ) )</f>
        <v>4</v>
      </c>
    </row>
    <row r="1643" spans="53:56" x14ac:dyDescent="0.35">
      <c r="BA1643" s="3">
        <v>0.31639475444260606</v>
      </c>
      <c r="BB1643" s="3" t="str">
        <f>"0"</f>
        <v>0</v>
      </c>
      <c r="BC1643" t="str">
        <f ca="1">IF((OFFSET($A$1, 1643 - 1, 53 - 1)) &gt;= (OFFSET($A$1, 69 - 1, 7 - 1)), "1","0")</f>
        <v>0</v>
      </c>
      <c r="BD1643">
        <f ca="1" xml:space="preserve"> IF( AND( OFFSET($A$1, 1643 - 1, 54 - 1) = "1", OFFSET($A$1, 1643 - 1, 55 - 1) = "1" ), 1, IF( AND( OFFSET($A$1, 1643 - 1, 54 - 1) = "1", OFFSET($A$1, 1643 - 1, 55 - 1) = "0" ), 2, IF( AND( OFFSET($A$1, 1643 - 1, 54 - 1) = "0", OFFSET($A$1, 1643 - 1, 55 - 1) = "1" ), 3, 4 ) ) )</f>
        <v>4</v>
      </c>
    </row>
    <row r="1644" spans="53:56" x14ac:dyDescent="0.35">
      <c r="BA1644" s="3">
        <v>0.31722293191344719</v>
      </c>
      <c r="BB1644" s="3" t="str">
        <f>"1"</f>
        <v>1</v>
      </c>
      <c r="BC1644" t="str">
        <f ca="1">IF((OFFSET($A$1, 1644 - 1, 53 - 1)) &gt;= (OFFSET($A$1, 69 - 1, 7 - 1)), "1","0")</f>
        <v>0</v>
      </c>
      <c r="BD1644">
        <f ca="1" xml:space="preserve"> IF( AND( OFFSET($A$1, 1644 - 1, 54 - 1) = "1", OFFSET($A$1, 1644 - 1, 55 - 1) = "1" ), 1, IF( AND( OFFSET($A$1, 1644 - 1, 54 - 1) = "1", OFFSET($A$1, 1644 - 1, 55 - 1) = "0" ), 2, IF( AND( OFFSET($A$1, 1644 - 1, 54 - 1) = "0", OFFSET($A$1, 1644 - 1, 55 - 1) = "1" ), 3, 4 ) ) )</f>
        <v>2</v>
      </c>
    </row>
    <row r="1645" spans="53:56" x14ac:dyDescent="0.35">
      <c r="BA1645" s="3">
        <v>0.59279086242262979</v>
      </c>
      <c r="BB1645" s="3" t="str">
        <f>"0"</f>
        <v>0</v>
      </c>
      <c r="BC1645" t="str">
        <f ca="1">IF((OFFSET($A$1, 1645 - 1, 53 - 1)) &gt;= (OFFSET($A$1, 69 - 1, 7 - 1)), "1","0")</f>
        <v>1</v>
      </c>
      <c r="BD1645">
        <f ca="1" xml:space="preserve"> IF( AND( OFFSET($A$1, 1645 - 1, 54 - 1) = "1", OFFSET($A$1, 1645 - 1, 55 - 1) = "1" ), 1, IF( AND( OFFSET($A$1, 1645 - 1, 54 - 1) = "1", OFFSET($A$1, 1645 - 1, 55 - 1) = "0" ), 2, IF( AND( OFFSET($A$1, 1645 - 1, 54 - 1) = "0", OFFSET($A$1, 1645 - 1, 55 - 1) = "1" ), 3, 4 ) ) )</f>
        <v>3</v>
      </c>
    </row>
    <row r="1646" spans="53:56" x14ac:dyDescent="0.35">
      <c r="BA1646" s="3">
        <v>0.31882772412228194</v>
      </c>
      <c r="BB1646" s="3" t="str">
        <f>"0"</f>
        <v>0</v>
      </c>
      <c r="BC1646" t="str">
        <f ca="1">IF((OFFSET($A$1, 1646 - 1, 53 - 1)) &gt;= (OFFSET($A$1, 69 - 1, 7 - 1)), "1","0")</f>
        <v>0</v>
      </c>
      <c r="BD1646">
        <f ca="1" xml:space="preserve"> IF( AND( OFFSET($A$1, 1646 - 1, 54 - 1) = "1", OFFSET($A$1, 1646 - 1, 55 - 1) = "1" ), 1, IF( AND( OFFSET($A$1, 1646 - 1, 54 - 1) = "1", OFFSET($A$1, 1646 - 1, 55 - 1) = "0" ), 2, IF( AND( OFFSET($A$1, 1646 - 1, 54 - 1) = "0", OFFSET($A$1, 1646 - 1, 55 - 1) = "1" ), 3, 4 ) ) )</f>
        <v>4</v>
      </c>
    </row>
    <row r="1647" spans="53:56" x14ac:dyDescent="0.35">
      <c r="BA1647" s="3">
        <v>0.31960370809265309</v>
      </c>
      <c r="BB1647" s="3" t="str">
        <f>"0"</f>
        <v>0</v>
      </c>
      <c r="BC1647" t="str">
        <f ca="1">IF((OFFSET($A$1, 1647 - 1, 53 - 1)) &gt;= (OFFSET($A$1, 69 - 1, 7 - 1)), "1","0")</f>
        <v>0</v>
      </c>
      <c r="BD1647">
        <f ca="1" xml:space="preserve"> IF( AND( OFFSET($A$1, 1647 - 1, 54 - 1) = "1", OFFSET($A$1, 1647 - 1, 55 - 1) = "1" ), 1, IF( AND( OFFSET($A$1, 1647 - 1, 54 - 1) = "1", OFFSET($A$1, 1647 - 1, 55 - 1) = "0" ), 2, IF( AND( OFFSET($A$1, 1647 - 1, 54 - 1) = "0", OFFSET($A$1, 1647 - 1, 55 - 1) = "1" ), 3, 4 ) ) )</f>
        <v>4</v>
      </c>
    </row>
    <row r="1648" spans="53:56" x14ac:dyDescent="0.35">
      <c r="BA1648" s="3">
        <v>0.32036167419993972</v>
      </c>
      <c r="BB1648" s="3" t="str">
        <f>"0"</f>
        <v>0</v>
      </c>
      <c r="BC1648" t="str">
        <f ca="1">IF((OFFSET($A$1, 1648 - 1, 53 - 1)) &gt;= (OFFSET($A$1, 69 - 1, 7 - 1)), "1","0")</f>
        <v>0</v>
      </c>
      <c r="BD1648">
        <f ca="1" xml:space="preserve"> IF( AND( OFFSET($A$1, 1648 - 1, 54 - 1) = "1", OFFSET($A$1, 1648 - 1, 55 - 1) = "1" ), 1, IF( AND( OFFSET($A$1, 1648 - 1, 54 - 1) = "1", OFFSET($A$1, 1648 - 1, 55 - 1) = "0" ), 2, IF( AND( OFFSET($A$1, 1648 - 1, 54 - 1) = "0", OFFSET($A$1, 1648 - 1, 55 - 1) = "1" ), 3, 4 ) ) )</f>
        <v>4</v>
      </c>
    </row>
    <row r="1649" spans="53:56" x14ac:dyDescent="0.35">
      <c r="BA1649" s="3">
        <v>0.32110132341446906</v>
      </c>
      <c r="BB1649" s="3" t="str">
        <f>"1"</f>
        <v>1</v>
      </c>
      <c r="BC1649" t="str">
        <f ca="1">IF((OFFSET($A$1, 1649 - 1, 53 - 1)) &gt;= (OFFSET($A$1, 69 - 1, 7 - 1)), "1","0")</f>
        <v>0</v>
      </c>
      <c r="BD1649">
        <f ca="1" xml:space="preserve"> IF( AND( OFFSET($A$1, 1649 - 1, 54 - 1) = "1", OFFSET($A$1, 1649 - 1, 55 - 1) = "1" ), 1, IF( AND( OFFSET($A$1, 1649 - 1, 54 - 1) = "1", OFFSET($A$1, 1649 - 1, 55 - 1) = "0" ), 2, IF( AND( OFFSET($A$1, 1649 - 1, 54 - 1) = "0", OFFSET($A$1, 1649 - 1, 55 - 1) = "1" ), 3, 4 ) ) )</f>
        <v>2</v>
      </c>
    </row>
    <row r="1650" spans="53:56" x14ac:dyDescent="0.35">
      <c r="BA1650" s="3">
        <v>0.5969870212492524</v>
      </c>
      <c r="BB1650" s="3" t="str">
        <f>"1"</f>
        <v>1</v>
      </c>
      <c r="BC1650" t="str">
        <f ca="1">IF((OFFSET($A$1, 1650 - 1, 53 - 1)) &gt;= (OFFSET($A$1, 69 - 1, 7 - 1)), "1","0")</f>
        <v>1</v>
      </c>
      <c r="BD1650">
        <f ca="1" xml:space="preserve"> IF( AND( OFFSET($A$1, 1650 - 1, 54 - 1) = "1", OFFSET($A$1, 1650 - 1, 55 - 1) = "1" ), 1, IF( AND( OFFSET($A$1, 1650 - 1, 54 - 1) = "1", OFFSET($A$1, 1650 - 1, 55 - 1) = "0" ), 2, IF( AND( OFFSET($A$1, 1650 - 1, 54 - 1) = "0", OFFSET($A$1, 1650 - 1, 55 - 1) = "1" ), 3, 4 ) ) )</f>
        <v>1</v>
      </c>
    </row>
    <row r="1651" spans="53:56" x14ac:dyDescent="0.35">
      <c r="BA1651" s="3">
        <v>0.59776035554410778</v>
      </c>
      <c r="BB1651" s="3" t="str">
        <f>"1"</f>
        <v>1</v>
      </c>
      <c r="BC1651" t="str">
        <f ca="1">IF((OFFSET($A$1, 1651 - 1, 53 - 1)) &gt;= (OFFSET($A$1, 69 - 1, 7 - 1)), "1","0")</f>
        <v>1</v>
      </c>
      <c r="BD1651">
        <f ca="1" xml:space="preserve"> IF( AND( OFFSET($A$1, 1651 - 1, 54 - 1) = "1", OFFSET($A$1, 1651 - 1, 55 - 1) = "1" ), 1, IF( AND( OFFSET($A$1, 1651 - 1, 54 - 1) = "1", OFFSET($A$1, 1651 - 1, 55 - 1) = "0" ), 2, IF( AND( OFFSET($A$1, 1651 - 1, 54 - 1) = "0", OFFSET($A$1, 1651 - 1, 55 - 1) = "1" ), 3, 4 ) ) )</f>
        <v>1</v>
      </c>
    </row>
    <row r="1652" spans="53:56" x14ac:dyDescent="0.35">
      <c r="BA1652" s="3">
        <v>0.59851126232183516</v>
      </c>
      <c r="BB1652" s="3" t="str">
        <f>"0"</f>
        <v>0</v>
      </c>
      <c r="BC1652" t="str">
        <f ca="1">IF((OFFSET($A$1, 1652 - 1, 53 - 1)) &gt;= (OFFSET($A$1, 69 - 1, 7 - 1)), "1","0")</f>
        <v>1</v>
      </c>
      <c r="BD1652">
        <f ca="1" xml:space="preserve"> IF( AND( OFFSET($A$1, 1652 - 1, 54 - 1) = "1", OFFSET($A$1, 1652 - 1, 55 - 1) = "1" ), 1, IF( AND( OFFSET($A$1, 1652 - 1, 54 - 1) = "1", OFFSET($A$1, 1652 - 1, 55 - 1) = "0" ), 2, IF( AND( OFFSET($A$1, 1652 - 1, 54 - 1) = "0", OFFSET($A$1, 1652 - 1, 55 - 1) = "1" ), 3, 4 ) ) )</f>
        <v>3</v>
      </c>
    </row>
    <row r="1653" spans="53:56" x14ac:dyDescent="0.35">
      <c r="BA1653" s="3">
        <v>0.32387101309279548</v>
      </c>
      <c r="BB1653" s="3" t="str">
        <f>"0"</f>
        <v>0</v>
      </c>
      <c r="BC1653" t="str">
        <f ca="1">IF((OFFSET($A$1, 1653 - 1, 53 - 1)) &gt;= (OFFSET($A$1, 69 - 1, 7 - 1)), "1","0")</f>
        <v>0</v>
      </c>
      <c r="BD1653">
        <f ca="1" xml:space="preserve"> IF( AND( OFFSET($A$1, 1653 - 1, 54 - 1) = "1", OFFSET($A$1, 1653 - 1, 55 - 1) = "1" ), 1, IF( AND( OFFSET($A$1, 1653 - 1, 54 - 1) = "1", OFFSET($A$1, 1653 - 1, 55 - 1) = "0" ), 2, IF( AND( OFFSET($A$1, 1653 - 1, 54 - 1) = "0", OFFSET($A$1, 1653 - 1, 55 - 1) = "1" ), 3, 4 ) ) )</f>
        <v>4</v>
      </c>
    </row>
    <row r="1654" spans="53:56" x14ac:dyDescent="0.35">
      <c r="BA1654" s="3">
        <v>0.32451483684186788</v>
      </c>
      <c r="BB1654" s="3" t="str">
        <f>"0"</f>
        <v>0</v>
      </c>
      <c r="BC1654" t="str">
        <f ca="1">IF((OFFSET($A$1, 1654 - 1, 53 - 1)) &gt;= (OFFSET($A$1, 69 - 1, 7 - 1)), "1","0")</f>
        <v>0</v>
      </c>
      <c r="BD1654">
        <f ca="1" xml:space="preserve"> IF( AND( OFFSET($A$1, 1654 - 1, 54 - 1) = "1", OFFSET($A$1, 1654 - 1, 55 - 1) = "1" ), 1, IF( AND( OFFSET($A$1, 1654 - 1, 54 - 1) = "1", OFFSET($A$1, 1654 - 1, 55 - 1) = "0" ), 2, IF( AND( OFFSET($A$1, 1654 - 1, 54 - 1) = "0", OFFSET($A$1, 1654 - 1, 55 - 1) = "1" ), 3, 4 ) ) )</f>
        <v>4</v>
      </c>
    </row>
    <row r="1655" spans="53:56" x14ac:dyDescent="0.35">
      <c r="BA1655" s="3">
        <v>0.32513869825056446</v>
      </c>
      <c r="BB1655" s="3" t="str">
        <f>"1"</f>
        <v>1</v>
      </c>
      <c r="BC1655" t="str">
        <f ca="1">IF((OFFSET($A$1, 1655 - 1, 53 - 1)) &gt;= (OFFSET($A$1, 69 - 1, 7 - 1)), "1","0")</f>
        <v>0</v>
      </c>
      <c r="BD1655">
        <f ca="1" xml:space="preserve"> IF( AND( OFFSET($A$1, 1655 - 1, 54 - 1) = "1", OFFSET($A$1, 1655 - 1, 55 - 1) = "1" ), 1, IF( AND( OFFSET($A$1, 1655 - 1, 54 - 1) = "1", OFFSET($A$1, 1655 - 1, 55 - 1) = "0" ), 2, IF( AND( OFFSET($A$1, 1655 - 1, 54 - 1) = "0", OFFSET($A$1, 1655 - 1, 55 - 1) = "1" ), 3, 4 ) ) )</f>
        <v>2</v>
      </c>
    </row>
    <row r="1656" spans="53:56" x14ac:dyDescent="0.35">
      <c r="BA1656" s="3">
        <v>0.6012870132417194</v>
      </c>
      <c r="BB1656" s="3" t="str">
        <f>"1"</f>
        <v>1</v>
      </c>
      <c r="BC1656" t="str">
        <f ca="1">IF((OFFSET($A$1, 1656 - 1, 53 - 1)) &gt;= (OFFSET($A$1, 69 - 1, 7 - 1)), "1","0")</f>
        <v>1</v>
      </c>
      <c r="BD1656">
        <f ca="1" xml:space="preserve"> IF( AND( OFFSET($A$1, 1656 - 1, 54 - 1) = "1", OFFSET($A$1, 1656 - 1, 55 - 1) = "1" ), 1, IF( AND( OFFSET($A$1, 1656 - 1, 54 - 1) = "1", OFFSET($A$1, 1656 - 1, 55 - 1) = "0" ), 2, IF( AND( OFFSET($A$1, 1656 - 1, 54 - 1) = "0", OFFSET($A$1, 1656 - 1, 55 - 1) = "1" ), 3, 4 ) ) )</f>
        <v>1</v>
      </c>
    </row>
    <row r="1657" spans="53:56" x14ac:dyDescent="0.35">
      <c r="BA1657" s="3">
        <v>0.60192313774582085</v>
      </c>
      <c r="BB1657" s="3" t="str">
        <f>"0"</f>
        <v>0</v>
      </c>
      <c r="BC1657" t="str">
        <f ca="1">IF((OFFSET($A$1, 1657 - 1, 53 - 1)) &gt;= (OFFSET($A$1, 69 - 1, 7 - 1)), "1","0")</f>
        <v>1</v>
      </c>
      <c r="BD1657">
        <f ca="1" xml:space="preserve"> IF( AND( OFFSET($A$1, 1657 - 1, 54 - 1) = "1", OFFSET($A$1, 1657 - 1, 55 - 1) = "1" ), 1, IF( AND( OFFSET($A$1, 1657 - 1, 54 - 1) = "1", OFFSET($A$1, 1657 - 1, 55 - 1) = "0" ), 2, IF( AND( OFFSET($A$1, 1657 - 1, 54 - 1) = "0", OFFSET($A$1, 1657 - 1, 55 - 1) = "1" ), 3, 4 ) ) )</f>
        <v>3</v>
      </c>
    </row>
    <row r="1658" spans="53:56" x14ac:dyDescent="0.35">
      <c r="BA1658" s="3">
        <v>0.32688806650852359</v>
      </c>
      <c r="BB1658" s="3" t="str">
        <f>"1"</f>
        <v>1</v>
      </c>
      <c r="BC1658" t="str">
        <f ca="1">IF((OFFSET($A$1, 1658 - 1, 53 - 1)) &gt;= (OFFSET($A$1, 69 - 1, 7 - 1)), "1","0")</f>
        <v>0</v>
      </c>
      <c r="BD1658">
        <f ca="1" xml:space="preserve"> IF( AND( OFFSET($A$1, 1658 - 1, 54 - 1) = "1", OFFSET($A$1, 1658 - 1, 55 - 1) = "1" ), 1, IF( AND( OFFSET($A$1, 1658 - 1, 54 - 1) = "1", OFFSET($A$1, 1658 - 1, 55 - 1) = "0" ), 2, IF( AND( OFFSET($A$1, 1658 - 1, 54 - 1) = "0", OFFSET($A$1, 1658 - 1, 55 - 1) = "1" ), 3, 4 ) ) )</f>
        <v>2</v>
      </c>
    </row>
    <row r="1659" spans="53:56" x14ac:dyDescent="0.35">
      <c r="BA1659" s="3">
        <v>0.60312491794882217</v>
      </c>
      <c r="BB1659" s="3" t="str">
        <f>"0"</f>
        <v>0</v>
      </c>
      <c r="BC1659" t="str">
        <f ca="1">IF((OFFSET($A$1, 1659 - 1, 53 - 1)) &gt;= (OFFSET($A$1, 69 - 1, 7 - 1)), "1","0")</f>
        <v>1</v>
      </c>
      <c r="BD1659">
        <f ca="1" xml:space="preserve"> IF( AND( OFFSET($A$1, 1659 - 1, 54 - 1) = "1", OFFSET($A$1, 1659 - 1, 55 - 1) = "1" ), 1, IF( AND( OFFSET($A$1, 1659 - 1, 54 - 1) = "1", OFFSET($A$1, 1659 - 1, 55 - 1) = "0" ), 2, IF( AND( OFFSET($A$1, 1659 - 1, 54 - 1) = "0", OFFSET($A$1, 1659 - 1, 55 - 1) = "1" ), 3, 4 ) ) )</f>
        <v>3</v>
      </c>
    </row>
    <row r="1660" spans="53:56" x14ac:dyDescent="0.35">
      <c r="BA1660" s="3">
        <v>0.32795016240619251</v>
      </c>
      <c r="BB1660" s="3" t="str">
        <f>"1"</f>
        <v>1</v>
      </c>
      <c r="BC1660" t="str">
        <f ca="1">IF((OFFSET($A$1, 1660 - 1, 53 - 1)) &gt;= (OFFSET($A$1, 69 - 1, 7 - 1)), "1","0")</f>
        <v>0</v>
      </c>
      <c r="BD1660">
        <f ca="1" xml:space="preserve"> IF( AND( OFFSET($A$1, 1660 - 1, 54 - 1) = "1", OFFSET($A$1, 1660 - 1, 55 - 1) = "1" ), 1, IF( AND( OFFSET($A$1, 1660 - 1, 54 - 1) = "1", OFFSET($A$1, 1660 - 1, 55 - 1) = "0" ), 2, IF( AND( OFFSET($A$1, 1660 - 1, 54 - 1) = "0", OFFSET($A$1, 1660 - 1, 55 - 1) = "1" ), 3, 4 ) ) )</f>
        <v>2</v>
      </c>
    </row>
    <row r="1661" spans="53:56" x14ac:dyDescent="0.35">
      <c r="BA1661" s="3">
        <v>0.6042317931204958</v>
      </c>
      <c r="BB1661" s="3" t="str">
        <f>"1"</f>
        <v>1</v>
      </c>
      <c r="BC1661" t="str">
        <f ca="1">IF((OFFSET($A$1, 1661 - 1, 53 - 1)) &gt;= (OFFSET($A$1, 69 - 1, 7 - 1)), "1","0")</f>
        <v>1</v>
      </c>
      <c r="BD1661">
        <f ca="1" xml:space="preserve"> IF( AND( OFFSET($A$1, 1661 - 1, 54 - 1) = "1", OFFSET($A$1, 1661 - 1, 55 - 1) = "1" ), 1, IF( AND( OFFSET($A$1, 1661 - 1, 54 - 1) = "1", OFFSET($A$1, 1661 - 1, 55 - 1) = "0" ), 2, IF( AND( OFFSET($A$1, 1661 - 1, 54 - 1) = "0", OFFSET($A$1, 1661 - 1, 55 - 1) = "1" ), 3, 4 ) ) )</f>
        <v>1</v>
      </c>
    </row>
    <row r="1662" spans="53:56" x14ac:dyDescent="0.35">
      <c r="BA1662" s="3">
        <v>0.6047493096461225</v>
      </c>
      <c r="BB1662" s="3" t="str">
        <f>"0"</f>
        <v>0</v>
      </c>
      <c r="BC1662" t="str">
        <f ca="1">IF((OFFSET($A$1, 1662 - 1, 53 - 1)) &gt;= (OFFSET($A$1, 69 - 1, 7 - 1)), "1","0")</f>
        <v>1</v>
      </c>
      <c r="BD1662">
        <f ca="1" xml:space="preserve"> IF( AND( OFFSET($A$1, 1662 - 1, 54 - 1) = "1", OFFSET($A$1, 1662 - 1, 55 - 1) = "1" ), 1, IF( AND( OFFSET($A$1, 1662 - 1, 54 - 1) = "1", OFFSET($A$1, 1662 - 1, 55 - 1) = "0" ), 2, IF( AND( OFFSET($A$1, 1662 - 1, 54 - 1) = "0", OFFSET($A$1, 1662 - 1, 55 - 1) = "1" ), 3, 4 ) ) )</f>
        <v>3</v>
      </c>
    </row>
    <row r="1663" spans="53:56" x14ac:dyDescent="0.35">
      <c r="BA1663" s="3">
        <v>0.32938284356731345</v>
      </c>
      <c r="BB1663" s="3" t="str">
        <f>"0"</f>
        <v>0</v>
      </c>
      <c r="BC1663" t="str">
        <f ca="1">IF((OFFSET($A$1, 1663 - 1, 53 - 1)) &gt;= (OFFSET($A$1, 69 - 1, 7 - 1)), "1","0")</f>
        <v>0</v>
      </c>
      <c r="BD1663">
        <f ca="1" xml:space="preserve"> IF( AND( OFFSET($A$1, 1663 - 1, 54 - 1) = "1", OFFSET($A$1, 1663 - 1, 55 - 1) = "1" ), 1, IF( AND( OFFSET($A$1, 1663 - 1, 54 - 1) = "1", OFFSET($A$1, 1663 - 1, 55 - 1) = "0" ), 2, IF( AND( OFFSET($A$1, 1663 - 1, 54 - 1) = "0", OFFSET($A$1, 1663 - 1, 55 - 1) = "1" ), 3, 4 ) ) )</f>
        <v>4</v>
      </c>
    </row>
    <row r="1664" spans="53:56" x14ac:dyDescent="0.35">
      <c r="BA1664" s="3">
        <v>0.32981684169563003</v>
      </c>
      <c r="BB1664" s="3" t="str">
        <f>"0"</f>
        <v>0</v>
      </c>
      <c r="BC1664" t="str">
        <f ca="1">IF((OFFSET($A$1, 1664 - 1, 53 - 1)) &gt;= (OFFSET($A$1, 69 - 1, 7 - 1)), "1","0")</f>
        <v>0</v>
      </c>
      <c r="BD1664">
        <f ca="1" xml:space="preserve"> IF( AND( OFFSET($A$1, 1664 - 1, 54 - 1) = "1", OFFSET($A$1, 1664 - 1, 55 - 1) = "1" ), 1, IF( AND( OFFSET($A$1, 1664 - 1, 54 - 1) = "1", OFFSET($A$1, 1664 - 1, 55 - 1) = "0" ), 2, IF( AND( OFFSET($A$1, 1664 - 1, 54 - 1) = "0", OFFSET($A$1, 1664 - 1, 55 - 1) = "1" ), 3, 4 ) ) )</f>
        <v>4</v>
      </c>
    </row>
    <row r="1665" spans="53:56" x14ac:dyDescent="0.35">
      <c r="BA1665" s="3">
        <v>0.33022876196053469</v>
      </c>
      <c r="BB1665" s="3" t="str">
        <f>"0"</f>
        <v>0</v>
      </c>
      <c r="BC1665" t="str">
        <f ca="1">IF((OFFSET($A$1, 1665 - 1, 53 - 1)) &gt;= (OFFSET($A$1, 69 - 1, 7 - 1)), "1","0")</f>
        <v>0</v>
      </c>
      <c r="BD1665">
        <f ca="1" xml:space="preserve"> IF( AND( OFFSET($A$1, 1665 - 1, 54 - 1) = "1", OFFSET($A$1, 1665 - 1, 55 - 1) = "1" ), 1, IF( AND( OFFSET($A$1, 1665 - 1, 54 - 1) = "1", OFFSET($A$1, 1665 - 1, 55 - 1) = "0" ), 2, IF( AND( OFFSET($A$1, 1665 - 1, 54 - 1) = "0", OFFSET($A$1, 1665 - 1, 55 - 1) = "1" ), 3, 4 ) ) )</f>
        <v>4</v>
      </c>
    </row>
    <row r="1666" spans="53:56" x14ac:dyDescent="0.35">
      <c r="BA1666" s="3">
        <v>0.33061843940279845</v>
      </c>
      <c r="BB1666" s="3" t="str">
        <f>"0"</f>
        <v>0</v>
      </c>
      <c r="BC1666" t="str">
        <f ca="1">IF((OFFSET($A$1, 1666 - 1, 53 - 1)) &gt;= (OFFSET($A$1, 69 - 1, 7 - 1)), "1","0")</f>
        <v>0</v>
      </c>
      <c r="BD1666">
        <f ca="1" xml:space="preserve"> IF( AND( OFFSET($A$1, 1666 - 1, 54 - 1) = "1", OFFSET($A$1, 1666 - 1, 55 - 1) = "1" ), 1, IF( AND( OFFSET($A$1, 1666 - 1, 54 - 1) = "1", OFFSET($A$1, 1666 - 1, 55 - 1) = "0" ), 2, IF( AND( OFFSET($A$1, 1666 - 1, 54 - 1) = "0", OFFSET($A$1, 1666 - 1, 55 - 1) = "1" ), 3, 4 ) ) )</f>
        <v>4</v>
      </c>
    </row>
    <row r="1667" spans="53:56" x14ac:dyDescent="0.35">
      <c r="BA1667" s="3">
        <v>0.3309857178989421</v>
      </c>
      <c r="BB1667" s="3" t="str">
        <f>"1"</f>
        <v>1</v>
      </c>
      <c r="BC1667" t="str">
        <f ca="1">IF((OFFSET($A$1, 1667 - 1, 53 - 1)) &gt;= (OFFSET($A$1, 69 - 1, 7 - 1)), "1","0")</f>
        <v>0</v>
      </c>
      <c r="BD1667">
        <f ca="1" xml:space="preserve"> IF( AND( OFFSET($A$1, 1667 - 1, 54 - 1) = "1", OFFSET($A$1, 1667 - 1, 55 - 1) = "1" ), 1, IF( AND( OFFSET($A$1, 1667 - 1, 54 - 1) = "1", OFFSET($A$1, 1667 - 1, 55 - 1) = "0" ), 2, IF( AND( OFFSET($A$1, 1667 - 1, 54 - 1) = "0", OFFSET($A$1, 1667 - 1, 55 - 1) = "1" ), 3, 4 ) ) )</f>
        <v>2</v>
      </c>
    </row>
    <row r="1668" spans="53:56" x14ac:dyDescent="0.35">
      <c r="BA1668" s="3">
        <v>0.60734421861827292</v>
      </c>
      <c r="BB1668" s="3" t="str">
        <f>"1"</f>
        <v>1</v>
      </c>
      <c r="BC1668" t="str">
        <f ca="1">IF((OFFSET($A$1, 1668 - 1, 53 - 1)) &gt;= (OFFSET($A$1, 69 - 1, 7 - 1)), "1","0")</f>
        <v>1</v>
      </c>
      <c r="BD1668">
        <f ca="1" xml:space="preserve"> IF( AND( OFFSET($A$1, 1668 - 1, 54 - 1) = "1", OFFSET($A$1, 1668 - 1, 55 - 1) = "1" ), 1, IF( AND( OFFSET($A$1, 1668 - 1, 54 - 1) = "1", OFFSET($A$1, 1668 - 1, 55 - 1) = "0" ), 2, IF( AND( OFFSET($A$1, 1668 - 1, 54 - 1) = "0", OFFSET($A$1, 1668 - 1, 55 - 1) = "1" ), 3, 4 ) ) )</f>
        <v>1</v>
      </c>
    </row>
    <row r="1669" spans="53:56" x14ac:dyDescent="0.35">
      <c r="BA1669" s="3">
        <v>0.60769073225511727</v>
      </c>
      <c r="BB1669" s="3" t="str">
        <f>"0"</f>
        <v>0</v>
      </c>
      <c r="BC1669" t="str">
        <f ca="1">IF((OFFSET($A$1, 1669 - 1, 53 - 1)) &gt;= (OFFSET($A$1, 69 - 1, 7 - 1)), "1","0")</f>
        <v>1</v>
      </c>
      <c r="BD1669">
        <f ca="1" xml:space="preserve"> IF( AND( OFFSET($A$1, 1669 - 1, 54 - 1) = "1", OFFSET($A$1, 1669 - 1, 55 - 1) = "1" ), 1, IF( AND( OFFSET($A$1, 1669 - 1, 54 - 1) = "1", OFFSET($A$1, 1669 - 1, 55 - 1) = "0" ), 2, IF( AND( OFFSET($A$1, 1669 - 1, 54 - 1) = "0", OFFSET($A$1, 1669 - 1, 55 - 1) = "1" ), 3, 4 ) ) )</f>
        <v>3</v>
      </c>
    </row>
    <row r="1670" spans="53:56" x14ac:dyDescent="0.35">
      <c r="BA1670" s="3">
        <v>0.33195173257368588</v>
      </c>
      <c r="BB1670" s="3" t="str">
        <f>"1"</f>
        <v>1</v>
      </c>
      <c r="BC1670" t="str">
        <f ca="1">IF((OFFSET($A$1, 1670 - 1, 53 - 1)) &gt;= (OFFSET($A$1, 69 - 1, 7 - 1)), "1","0")</f>
        <v>0</v>
      </c>
      <c r="BD1670">
        <f ca="1" xml:space="preserve"> IF( AND( OFFSET($A$1, 1670 - 1, 54 - 1) = "1", OFFSET($A$1, 1670 - 1, 55 - 1) = "1" ), 1, IF( AND( OFFSET($A$1, 1670 - 1, 54 - 1) = "1", OFFSET($A$1, 1670 - 1, 55 - 1) = "0" ), 2, IF( AND( OFFSET($A$1, 1670 - 1, 54 - 1) = "0", OFFSET($A$1, 1670 - 1, 55 - 1) = "1" ), 3, 4 ) ) )</f>
        <v>2</v>
      </c>
    </row>
    <row r="1671" spans="53:56" x14ac:dyDescent="0.35">
      <c r="BA1671" s="3">
        <v>0.60830929856292393</v>
      </c>
      <c r="BB1671" s="3" t="str">
        <f>"0"</f>
        <v>0</v>
      </c>
      <c r="BC1671" t="str">
        <f ca="1">IF((OFFSET($A$1, 1671 - 1, 53 - 1)) &gt;= (OFFSET($A$1, 69 - 1, 7 - 1)), "1","0")</f>
        <v>1</v>
      </c>
      <c r="BD1671">
        <f ca="1" xml:space="preserve"> IF( AND( OFFSET($A$1, 1671 - 1, 54 - 1) = "1", OFFSET($A$1, 1671 - 1, 55 - 1) = "1" ), 1, IF( AND( OFFSET($A$1, 1671 - 1, 54 - 1) = "1", OFFSET($A$1, 1671 - 1, 55 - 1) = "0" ), 2, IF( AND( OFFSET($A$1, 1671 - 1, 54 - 1) = "0", OFFSET($A$1, 1671 - 1, 55 - 1) = "1" ), 3, 4 ) ) )</f>
        <v>3</v>
      </c>
    </row>
    <row r="1672" spans="53:56" x14ac:dyDescent="0.35">
      <c r="BA1672" s="3">
        <v>0.33248128954386696</v>
      </c>
      <c r="BB1672" s="3" t="str">
        <f>"1"</f>
        <v>1</v>
      </c>
      <c r="BC1672" t="str">
        <f ca="1">IF((OFFSET($A$1, 1672 - 1, 53 - 1)) &gt;= (OFFSET($A$1, 69 - 1, 7 - 1)), "1","0")</f>
        <v>0</v>
      </c>
      <c r="BD1672">
        <f ca="1" xml:space="preserve"> IF( AND( OFFSET($A$1, 1672 - 1, 54 - 1) = "1", OFFSET($A$1, 1672 - 1, 55 - 1) = "1" ), 1, IF( AND( OFFSET($A$1, 1672 - 1, 54 - 1) = "1", OFFSET($A$1, 1672 - 1, 55 - 1) = "0" ), 2, IF( AND( OFFSET($A$1, 1672 - 1, 54 - 1) = "0", OFFSET($A$1, 1672 - 1, 55 - 1) = "1" ), 3, 4 ) ) )</f>
        <v>2</v>
      </c>
    </row>
    <row r="1673" spans="53:56" x14ac:dyDescent="0.35">
      <c r="BA1673" s="3">
        <v>0.60882812058855862</v>
      </c>
      <c r="BB1673" s="3" t="str">
        <f>"0"</f>
        <v>0</v>
      </c>
      <c r="BC1673" t="str">
        <f ca="1">IF((OFFSET($A$1, 1673 - 1, 53 - 1)) &gt;= (OFFSET($A$1, 69 - 1, 7 - 1)), "1","0")</f>
        <v>1</v>
      </c>
      <c r="BD1673">
        <f ca="1" xml:space="preserve"> IF( AND( OFFSET($A$1, 1673 - 1, 54 - 1) = "1", OFFSET($A$1, 1673 - 1, 55 - 1) = "1" ), 1, IF( AND( OFFSET($A$1, 1673 - 1, 54 - 1) = "1", OFFSET($A$1, 1673 - 1, 55 - 1) = "0" ), 2, IF( AND( OFFSET($A$1, 1673 - 1, 54 - 1) = "0", OFFSET($A$1, 1673 - 1, 55 - 1) = "1" ), 3, 4 ) ) )</f>
        <v>3</v>
      </c>
    </row>
    <row r="1674" spans="53:56" x14ac:dyDescent="0.35">
      <c r="BA1674" s="3">
        <v>0.3329182709479977</v>
      </c>
      <c r="BB1674" s="3" t="str">
        <f>"0"</f>
        <v>0</v>
      </c>
      <c r="BC1674" t="str">
        <f ca="1">IF((OFFSET($A$1, 1674 - 1, 53 - 1)) &gt;= (OFFSET($A$1, 69 - 1, 7 - 1)), "1","0")</f>
        <v>0</v>
      </c>
      <c r="BD1674">
        <f ca="1" xml:space="preserve"> IF( AND( OFFSET($A$1, 1674 - 1, 54 - 1) = "1", OFFSET($A$1, 1674 - 1, 55 - 1) = "1" ), 1, IF( AND( OFFSET($A$1, 1674 - 1, 54 - 1) = "1", OFFSET($A$1, 1674 - 1, 55 - 1) = "0" ), 2, IF( AND( OFFSET($A$1, 1674 - 1, 54 - 1) = "0", OFFSET($A$1, 1674 - 1, 55 - 1) = "1" ), 3, 4 ) ) )</f>
        <v>4</v>
      </c>
    </row>
    <row r="1675" spans="53:56" x14ac:dyDescent="0.35">
      <c r="BA1675" s="3">
        <v>0.33310182063480859</v>
      </c>
      <c r="BB1675" s="3" t="str">
        <f>"0"</f>
        <v>0</v>
      </c>
      <c r="BC1675" t="str">
        <f ca="1">IF((OFFSET($A$1, 1675 - 1, 53 - 1)) &gt;= (OFFSET($A$1, 69 - 1, 7 - 1)), "1","0")</f>
        <v>0</v>
      </c>
      <c r="BD1675">
        <f ca="1" xml:space="preserve"> IF( AND( OFFSET($A$1, 1675 - 1, 54 - 1) = "1", OFFSET($A$1, 1675 - 1, 55 - 1) = "1" ), 1, IF( AND( OFFSET($A$1, 1675 - 1, 54 - 1) = "1", OFFSET($A$1, 1675 - 1, 55 - 1) = "0" ), 2, IF( AND( OFFSET($A$1, 1675 - 1, 54 - 1) = "0", OFFSET($A$1, 1675 - 1, 55 - 1) = "1" ), 3, 4 ) ) )</f>
        <v>4</v>
      </c>
    </row>
    <row r="1676" spans="53:56" x14ac:dyDescent="0.35">
      <c r="BA1676" s="3">
        <v>0.33326197487530951</v>
      </c>
      <c r="BB1676" s="3" t="str">
        <f>"1"</f>
        <v>1</v>
      </c>
      <c r="BC1676" t="str">
        <f ca="1">IF((OFFSET($A$1, 1676 - 1, 53 - 1)) &gt;= (OFFSET($A$1, 69 - 1, 7 - 1)), "1","0")</f>
        <v>0</v>
      </c>
      <c r="BD1676">
        <f ca="1" xml:space="preserve"> IF( AND( OFFSET($A$1, 1676 - 1, 54 - 1) = "1", OFFSET($A$1, 1676 - 1, 55 - 1) = "1" ), 1, IF( AND( OFFSET($A$1, 1676 - 1, 54 - 1) = "1", OFFSET($A$1, 1676 - 1, 55 - 1) = "0" ), 2, IF( AND( OFFSET($A$1, 1676 - 1, 54 - 1) = "0", OFFSET($A$1, 1676 - 1, 55 - 1) = "1" ), 3, 4 ) ) )</f>
        <v>2</v>
      </c>
    </row>
    <row r="1677" spans="53:56" x14ac:dyDescent="0.35">
      <c r="BA1677" s="3">
        <v>0.60956472976981402</v>
      </c>
      <c r="BB1677" s="3" t="str">
        <f>"1"</f>
        <v>1</v>
      </c>
      <c r="BC1677" t="str">
        <f ca="1">IF((OFFSET($A$1, 1677 - 1, 53 - 1)) &gt;= (OFFSET($A$1, 69 - 1, 7 - 1)), "1","0")</f>
        <v>1</v>
      </c>
      <c r="BD1677">
        <f ca="1" xml:space="preserve"> IF( AND( OFFSET($A$1, 1677 - 1, 54 - 1) = "1", OFFSET($A$1, 1677 - 1, 55 - 1) = "1" ), 1, IF( AND( OFFSET($A$1, 1677 - 1, 54 - 1) = "1", OFFSET($A$1, 1677 - 1, 55 - 1) = "0" ), 2, IF( AND( OFFSET($A$1, 1677 - 1, 54 - 1) = "0", OFFSET($A$1, 1677 - 1, 55 - 1) = "1" ), 3, 4 ) ) )</f>
        <v>1</v>
      </c>
    </row>
    <row r="1678" spans="53:56" x14ac:dyDescent="0.35">
      <c r="BA1678" s="3">
        <v>0.60968591406875494</v>
      </c>
      <c r="BB1678" s="3" t="str">
        <f>"1"</f>
        <v>1</v>
      </c>
      <c r="BC1678" t="str">
        <f ca="1">IF((OFFSET($A$1, 1678 - 1, 53 - 1)) &gt;= (OFFSET($A$1, 69 - 1, 7 - 1)), "1","0")</f>
        <v>1</v>
      </c>
      <c r="BD1678">
        <f ca="1" xml:space="preserve"> IF( AND( OFFSET($A$1, 1678 - 1, 54 - 1) = "1", OFFSET($A$1, 1678 - 1, 55 - 1) = "1" ), 1, IF( AND( OFFSET($A$1, 1678 - 1, 54 - 1) = "1", OFFSET($A$1, 1678 - 1, 55 - 1) = "0" ), 2, IF( AND( OFFSET($A$1, 1678 - 1, 54 - 1) = "0", OFFSET($A$1, 1678 - 1, 55 - 1) = "1" ), 3, 4 ) ) )</f>
        <v>1</v>
      </c>
    </row>
    <row r="1679" spans="53:56" x14ac:dyDescent="0.35">
      <c r="BA1679" s="3">
        <v>0.6097818476896476</v>
      </c>
      <c r="BB1679" s="3" t="str">
        <f>"1"</f>
        <v>1</v>
      </c>
      <c r="BC1679" t="str">
        <f ca="1">IF((OFFSET($A$1, 1679 - 1, 53 - 1)) &gt;= (OFFSET($A$1, 69 - 1, 7 - 1)), "1","0")</f>
        <v>1</v>
      </c>
      <c r="BD1679">
        <f ca="1" xml:space="preserve"> IF( AND( OFFSET($A$1, 1679 - 1, 54 - 1) = "1", OFFSET($A$1, 1679 - 1, 55 - 1) = "1" ), 1, IF( AND( OFFSET($A$1, 1679 - 1, 54 - 1) = "1", OFFSET($A$1, 1679 - 1, 55 - 1) = "0" ), 2, IF( AND( OFFSET($A$1, 1679 - 1, 54 - 1) = "0", OFFSET($A$1, 1679 - 1, 55 - 1) = "1" ), 3, 4 ) ) )</f>
        <v>1</v>
      </c>
    </row>
    <row r="1680" spans="53:56" x14ac:dyDescent="0.35">
      <c r="BA1680" s="3">
        <v>0.60985250893918364</v>
      </c>
      <c r="BB1680" s="3" t="str">
        <f>"1"</f>
        <v>1</v>
      </c>
      <c r="BC1680" t="str">
        <f ca="1">IF((OFFSET($A$1, 1680 - 1, 53 - 1)) &gt;= (OFFSET($A$1, 69 - 1, 7 - 1)), "1","0")</f>
        <v>1</v>
      </c>
      <c r="BD1680">
        <f ca="1" xml:space="preserve"> IF( AND( OFFSET($A$1, 1680 - 1, 54 - 1) = "1", OFFSET($A$1, 1680 - 1, 55 - 1) = "1" ), 1, IF( AND( OFFSET($A$1, 1680 - 1, 54 - 1) = "1", OFFSET($A$1, 1680 - 1, 55 - 1) = "0" ), 2, IF( AND( OFFSET($A$1, 1680 - 1, 54 - 1) = "0", OFFSET($A$1, 1680 - 1, 55 - 1) = "1" ), 3, 4 ) ) )</f>
        <v>1</v>
      </c>
    </row>
    <row r="1681" spans="53:56" x14ac:dyDescent="0.35">
      <c r="BA1681" s="3">
        <v>0.60989788184967009</v>
      </c>
      <c r="BB1681" s="3" t="str">
        <f>"1"</f>
        <v>1</v>
      </c>
      <c r="BC1681" t="str">
        <f ca="1">IF((OFFSET($A$1, 1681 - 1, 53 - 1)) &gt;= (OFFSET($A$1, 69 - 1, 7 - 1)), "1","0")</f>
        <v>1</v>
      </c>
      <c r="BD1681">
        <f ca="1" xml:space="preserve"> IF( AND( OFFSET($A$1, 1681 - 1, 54 - 1) = "1", OFFSET($A$1, 1681 - 1, 55 - 1) = "1" ), 1, IF( AND( OFFSET($A$1, 1681 - 1, 54 - 1) = "1", OFFSET($A$1, 1681 - 1, 55 - 1) = "0" ), 2, IF( AND( OFFSET($A$1, 1681 - 1, 54 - 1) = "0", OFFSET($A$1, 1681 - 1, 55 - 1) = "1" ), 3, 4 ) ) )</f>
        <v>1</v>
      </c>
    </row>
    <row r="1682" spans="53:56" x14ac:dyDescent="0.35">
      <c r="BA1682" s="3">
        <v>0.60991795617279299</v>
      </c>
      <c r="BB1682" s="3" t="str">
        <f>"1"</f>
        <v>1</v>
      </c>
      <c r="BC1682" t="str">
        <f ca="1">IF((OFFSET($A$1, 1682 - 1, 53 - 1)) &gt;= (OFFSET($A$1, 69 - 1, 7 - 1)), "1","0")</f>
        <v>1</v>
      </c>
      <c r="BD1682">
        <f ca="1" xml:space="preserve"> IF( AND( OFFSET($A$1, 1682 - 1, 54 - 1) = "1", OFFSET($A$1, 1682 - 1, 55 - 1) = "1" ), 1, IF( AND( OFFSET($A$1, 1682 - 1, 54 - 1) = "1", OFFSET($A$1, 1682 - 1, 55 - 1) = "0" ), 2, IF( AND( OFFSET($A$1, 1682 - 1, 54 - 1) = "0", OFFSET($A$1, 1682 - 1, 55 - 1) = "1" ), 3, 4 ) ) )</f>
        <v>1</v>
      </c>
    </row>
    <row r="1683" spans="53:56" x14ac:dyDescent="0.35">
      <c r="BA1683" s="3">
        <v>0.60991272737560265</v>
      </c>
      <c r="BB1683" s="3" t="str">
        <f>"1"</f>
        <v>1</v>
      </c>
      <c r="BC1683" t="str">
        <f ca="1">IF((OFFSET($A$1, 1683 - 1, 53 - 1)) &gt;= (OFFSET($A$1, 69 - 1, 7 - 1)), "1","0")</f>
        <v>1</v>
      </c>
      <c r="BD1683">
        <f ca="1" xml:space="preserve"> IF( AND( OFFSET($A$1, 1683 - 1, 54 - 1) = "1", OFFSET($A$1, 1683 - 1, 55 - 1) = "1" ), 1, IF( AND( OFFSET($A$1, 1683 - 1, 54 - 1) = "1", OFFSET($A$1, 1683 - 1, 55 - 1) = "0" ), 2, IF( AND( OFFSET($A$1, 1683 - 1, 54 - 1) = "0", OFFSET($A$1, 1683 - 1, 55 - 1) = "1" ), 3, 4 ) ) )</f>
        <v>1</v>
      </c>
    </row>
    <row r="1684" spans="53:56" x14ac:dyDescent="0.35">
      <c r="BA1684" s="3">
        <v>0.60988219663873355</v>
      </c>
      <c r="BB1684" s="3" t="str">
        <f>"1"</f>
        <v>1</v>
      </c>
      <c r="BC1684" t="str">
        <f ca="1">IF((OFFSET($A$1, 1684 - 1, 53 - 1)) &gt;= (OFFSET($A$1, 69 - 1, 7 - 1)), "1","0")</f>
        <v>1</v>
      </c>
      <c r="BD1684">
        <f ca="1" xml:space="preserve"> IF( AND( OFFSET($A$1, 1684 - 1, 54 - 1) = "1", OFFSET($A$1, 1684 - 1, 55 - 1) = "1" ), 1, IF( AND( OFFSET($A$1, 1684 - 1, 54 - 1) = "1", OFFSET($A$1, 1684 - 1, 55 - 1) = "0" ), 2, IF( AND( OFFSET($A$1, 1684 - 1, 54 - 1) = "0", OFFSET($A$1, 1684 - 1, 55 - 1) = "1" ), 3, 4 ) ) )</f>
        <v>1</v>
      </c>
    </row>
    <row r="1685" spans="53:56" x14ac:dyDescent="0.35">
      <c r="BA1685" s="3">
        <v>0.60982637085686864</v>
      </c>
      <c r="BB1685" s="3" t="str">
        <f>"1"</f>
        <v>1</v>
      </c>
      <c r="BC1685" t="str">
        <f ca="1">IF((OFFSET($A$1, 1685 - 1, 53 - 1)) &gt;= (OFFSET($A$1, 69 - 1, 7 - 1)), "1","0")</f>
        <v>1</v>
      </c>
      <c r="BD1685">
        <f ca="1" xml:space="preserve"> IF( AND( OFFSET($A$1, 1685 - 1, 54 - 1) = "1", OFFSET($A$1, 1685 - 1, 55 - 1) = "1" ), 1, IF( AND( OFFSET($A$1, 1685 - 1, 54 - 1) = "1", OFFSET($A$1, 1685 - 1, 55 - 1) = "0" ), 2, IF( AND( OFFSET($A$1, 1685 - 1, 54 - 1) = "0", OFFSET($A$1, 1685 - 1, 55 - 1) = "1" ), 3, 4 ) ) )</f>
        <v>1</v>
      </c>
    </row>
    <row r="1686" spans="53:56" x14ac:dyDescent="0.35">
      <c r="BA1686" s="3">
        <v>0.6097452626414438</v>
      </c>
      <c r="BB1686" s="3" t="str">
        <f>"0"</f>
        <v>0</v>
      </c>
      <c r="BC1686" t="str">
        <f ca="1">IF((OFFSET($A$1, 1686 - 1, 53 - 1)) &gt;= (OFFSET($A$1, 69 - 1, 7 - 1)), "1","0")</f>
        <v>1</v>
      </c>
      <c r="BD1686">
        <f ca="1" xml:space="preserve"> IF( AND( OFFSET($A$1, 1686 - 1, 54 - 1) = "1", OFFSET($A$1, 1686 - 1, 55 - 1) = "1" ), 1, IF( AND( OFFSET($A$1, 1686 - 1, 54 - 1) = "1", OFFSET($A$1, 1686 - 1, 55 - 1) = "0" ), 2, IF( AND( OFFSET($A$1, 1686 - 1, 54 - 1) = "0", OFFSET($A$1, 1686 - 1, 55 - 1) = "1" ), 3, 4 ) ) )</f>
        <v>3</v>
      </c>
    </row>
    <row r="1687" spans="53:56" x14ac:dyDescent="0.35">
      <c r="BA1687" s="3">
        <v>0.33346792756924803</v>
      </c>
      <c r="BB1687" s="3" t="str">
        <f>"0"</f>
        <v>0</v>
      </c>
      <c r="BC1687" t="str">
        <f ca="1">IF((OFFSET($A$1, 1687 - 1, 53 - 1)) &gt;= (OFFSET($A$1, 69 - 1, 7 - 1)), "1","0")</f>
        <v>0</v>
      </c>
      <c r="BD1687">
        <f ca="1" xml:space="preserve"> IF( AND( OFFSET($A$1, 1687 - 1, 54 - 1) = "1", OFFSET($A$1, 1687 - 1, 55 - 1) = "1" ), 1, IF( AND( OFFSET($A$1, 1687 - 1, 54 - 1) = "1", OFFSET($A$1, 1687 - 1, 55 - 1) = "0" ), 2, IF( AND( OFFSET($A$1, 1687 - 1, 54 - 1) = "0", OFFSET($A$1, 1687 - 1, 55 - 1) = "1" ), 3, 4 ) ) )</f>
        <v>4</v>
      </c>
    </row>
    <row r="1688" spans="53:56" x14ac:dyDescent="0.35">
      <c r="BA1688" s="3">
        <v>0.3333450235045709</v>
      </c>
      <c r="BB1688" s="3" t="str">
        <f>"1"</f>
        <v>1</v>
      </c>
      <c r="BC1688" t="str">
        <f ca="1">IF((OFFSET($A$1, 1688 - 1, 53 - 1)) &gt;= (OFFSET($A$1, 69 - 1, 7 - 1)), "1","0")</f>
        <v>0</v>
      </c>
      <c r="BD1688">
        <f ca="1" xml:space="preserve"> IF( AND( OFFSET($A$1, 1688 - 1, 54 - 1) = "1", OFFSET($A$1, 1688 - 1, 55 - 1) = "1" ), 1, IF( AND( OFFSET($A$1, 1688 - 1, 54 - 1) = "1", OFFSET($A$1, 1688 - 1, 55 - 1) = "0" ), 2, IF( AND( OFFSET($A$1, 1688 - 1, 54 - 1) = "0", OFFSET($A$1, 1688 - 1, 55 - 1) = "1" ), 3, 4 ) ) )</f>
        <v>2</v>
      </c>
    </row>
    <row r="1689" spans="53:56" x14ac:dyDescent="0.35">
      <c r="BA1689" s="3">
        <v>0.6093504553785577</v>
      </c>
      <c r="BB1689" s="3" t="str">
        <f>"1"</f>
        <v>1</v>
      </c>
      <c r="BC1689" t="str">
        <f ca="1">IF((OFFSET($A$1, 1689 - 1, 53 - 1)) &gt;= (OFFSET($A$1, 69 - 1, 7 - 1)), "1","0")</f>
        <v>1</v>
      </c>
      <c r="BD1689">
        <f ca="1" xml:space="preserve"> IF( AND( OFFSET($A$1, 1689 - 1, 54 - 1) = "1", OFFSET($A$1, 1689 - 1, 55 - 1) = "1" ), 1, IF( AND( OFFSET($A$1, 1689 - 1, 54 - 1) = "1", OFFSET($A$1, 1689 - 1, 55 - 1) = "0" ), 2, IF( AND( OFFSET($A$1, 1689 - 1, 54 - 1) = "0", OFFSET($A$1, 1689 - 1, 55 - 1) = "1" ), 3, 4 ) ) )</f>
        <v>1</v>
      </c>
    </row>
    <row r="1690" spans="53:56" x14ac:dyDescent="0.35">
      <c r="BA1690" s="3">
        <v>0.60916845809727582</v>
      </c>
      <c r="BB1690" s="3" t="str">
        <f>"0"</f>
        <v>0</v>
      </c>
      <c r="BC1690" t="str">
        <f ca="1">IF((OFFSET($A$1, 1690 - 1, 53 - 1)) &gt;= (OFFSET($A$1, 69 - 1, 7 - 1)), "1","0")</f>
        <v>1</v>
      </c>
      <c r="BD1690">
        <f ca="1" xml:space="preserve"> IF( AND( OFFSET($A$1, 1690 - 1, 54 - 1) = "1", OFFSET($A$1, 1690 - 1, 55 - 1) = "1" ), 1, IF( AND( OFFSET($A$1, 1690 - 1, 54 - 1) = "1", OFFSET($A$1, 1690 - 1, 55 - 1) = "0" ), 2, IF( AND( OFFSET($A$1, 1690 - 1, 54 - 1) = "0", OFFSET($A$1, 1690 - 1, 55 - 1) = "1" ), 3, 4 ) ) )</f>
        <v>3</v>
      </c>
    </row>
    <row r="1691" spans="53:56" x14ac:dyDescent="0.35">
      <c r="BA1691" s="3">
        <v>0.33283559700913767</v>
      </c>
      <c r="BB1691" s="3" t="str">
        <f>"0"</f>
        <v>0</v>
      </c>
      <c r="BC1691" t="str">
        <f ca="1">IF((OFFSET($A$1, 1691 - 1, 53 - 1)) &gt;= (OFFSET($A$1, 69 - 1, 7 - 1)), "1","0")</f>
        <v>0</v>
      </c>
      <c r="BD1691">
        <f ca="1" xml:space="preserve"> IF( AND( OFFSET($A$1, 1691 - 1, 54 - 1) = "1", OFFSET($A$1, 1691 - 1, 55 - 1) = "1" ), 1, IF( AND( OFFSET($A$1, 1691 - 1, 54 - 1) = "1", OFFSET($A$1, 1691 - 1, 55 - 1) = "0" ), 2, IF( AND( OFFSET($A$1, 1691 - 1, 54 - 1) = "0", OFFSET($A$1, 1691 - 1, 55 - 1) = "1" ), 3, 4 ) ) )</f>
        <v>4</v>
      </c>
    </row>
    <row r="1692" spans="53:56" x14ac:dyDescent="0.35">
      <c r="BA1692" s="3">
        <v>0.33261911082635098</v>
      </c>
      <c r="BB1692" s="3" t="str">
        <f>"0"</f>
        <v>0</v>
      </c>
      <c r="BC1692" t="str">
        <f ca="1">IF((OFFSET($A$1, 1692 - 1, 53 - 1)) &gt;= (OFFSET($A$1, 69 - 1, 7 - 1)), "1","0")</f>
        <v>0</v>
      </c>
      <c r="BD1692">
        <f ca="1" xml:space="preserve"> IF( AND( OFFSET($A$1, 1692 - 1, 54 - 1) = "1", OFFSET($A$1, 1692 - 1, 55 - 1) = "1" ), 1, IF( AND( OFFSET($A$1, 1692 - 1, 54 - 1) = "1", OFFSET($A$1, 1692 - 1, 55 - 1) = "0" ), 2, IF( AND( OFFSET($A$1, 1692 - 1, 54 - 1) = "0", OFFSET($A$1, 1692 - 1, 55 - 1) = "1" ), 3, 4 ) ) )</f>
        <v>4</v>
      </c>
    </row>
    <row r="1693" spans="53:56" x14ac:dyDescent="0.35">
      <c r="BA1693" s="3">
        <v>0.33237942309150126</v>
      </c>
      <c r="BB1693" s="3" t="str">
        <f>"0"</f>
        <v>0</v>
      </c>
      <c r="BC1693" t="str">
        <f ca="1">IF((OFFSET($A$1, 1693 - 1, 53 - 1)) &gt;= (OFFSET($A$1, 69 - 1, 7 - 1)), "1","0")</f>
        <v>0</v>
      </c>
      <c r="BD1693">
        <f ca="1" xml:space="preserve"> IF( AND( OFFSET($A$1, 1693 - 1, 54 - 1) = "1", OFFSET($A$1, 1693 - 1, 55 - 1) = "1" ), 1, IF( AND( OFFSET($A$1, 1693 - 1, 54 - 1) = "1", OFFSET($A$1, 1693 - 1, 55 - 1) = "0" ), 2, IF( AND( OFFSET($A$1, 1693 - 1, 54 - 1) = "0", OFFSET($A$1, 1693 - 1, 55 - 1) = "1" ), 3, 4 ) ) )</f>
        <v>4</v>
      </c>
    </row>
    <row r="1694" spans="53:56" x14ac:dyDescent="0.35">
      <c r="BA1694" s="3">
        <v>0.33211663004774677</v>
      </c>
      <c r="BB1694" s="3" t="str">
        <f>"0"</f>
        <v>0</v>
      </c>
      <c r="BC1694" t="str">
        <f ca="1">IF((OFFSET($A$1, 1694 - 1, 53 - 1)) &gt;= (OFFSET($A$1, 69 - 1, 7 - 1)), "1","0")</f>
        <v>0</v>
      </c>
      <c r="BD1694">
        <f ca="1" xml:space="preserve"> IF( AND( OFFSET($A$1, 1694 - 1, 54 - 1) = "1", OFFSET($A$1, 1694 - 1, 55 - 1) = "1" ), 1, IF( AND( OFFSET($A$1, 1694 - 1, 54 - 1) = "1", OFFSET($A$1, 1694 - 1, 55 - 1) = "0" ), 2, IF( AND( OFFSET($A$1, 1694 - 1, 54 - 1) = "0", OFFSET($A$1, 1694 - 1, 55 - 1) = "1" ), 3, 4 ) ) )</f>
        <v>4</v>
      </c>
    </row>
    <row r="1695" spans="53:56" x14ac:dyDescent="0.35">
      <c r="BA1695" s="3">
        <v>0.33183083718914314</v>
      </c>
      <c r="BB1695" s="3" t="str">
        <f>"0"</f>
        <v>0</v>
      </c>
      <c r="BC1695" t="str">
        <f ca="1">IF((OFFSET($A$1, 1695 - 1, 53 - 1)) &gt;= (OFFSET($A$1, 69 - 1, 7 - 1)), "1","0")</f>
        <v>0</v>
      </c>
      <c r="BD1695">
        <f ca="1" xml:space="preserve"> IF( AND( OFFSET($A$1, 1695 - 1, 54 - 1) = "1", OFFSET($A$1, 1695 - 1, 55 - 1) = "1" ), 1, IF( AND( OFFSET($A$1, 1695 - 1, 54 - 1) = "1", OFFSET($A$1, 1695 - 1, 55 - 1) = "0" ), 2, IF( AND( OFFSET($A$1, 1695 - 1, 54 - 1) = "0", OFFSET($A$1, 1695 - 1, 55 - 1) = "1" ), 3, 4 ) ) )</f>
        <v>4</v>
      </c>
    </row>
    <row r="1696" spans="53:56" x14ac:dyDescent="0.35">
      <c r="BA1696" s="3">
        <v>0.33152215921042233</v>
      </c>
      <c r="BB1696" s="3" t="str">
        <f>"0"</f>
        <v>0</v>
      </c>
      <c r="BC1696" t="str">
        <f ca="1">IF((OFFSET($A$1, 1696 - 1, 53 - 1)) &gt;= (OFFSET($A$1, 69 - 1, 7 - 1)), "1","0")</f>
        <v>0</v>
      </c>
      <c r="BD1696">
        <f ca="1" xml:space="preserve"> IF( AND( OFFSET($A$1, 1696 - 1, 54 - 1) = "1", OFFSET($A$1, 1696 - 1, 55 - 1) = "1" ), 1, IF( AND( OFFSET($A$1, 1696 - 1, 54 - 1) = "1", OFFSET($A$1, 1696 - 1, 55 - 1) = "0" ), 2, IF( AND( OFFSET($A$1, 1696 - 1, 54 - 1) = "0", OFFSET($A$1, 1696 - 1, 55 - 1) = "1" ), 3, 4 ) ) )</f>
        <v>4</v>
      </c>
    </row>
    <row r="1697" spans="53:56" x14ac:dyDescent="0.35">
      <c r="BA1697" s="3">
        <v>0.33119071995221189</v>
      </c>
      <c r="BB1697" s="3" t="str">
        <f>"1"</f>
        <v>1</v>
      </c>
      <c r="BC1697" t="str">
        <f ca="1">IF((OFFSET($A$1, 1697 - 1, 53 - 1)) &gt;= (OFFSET($A$1, 69 - 1, 7 - 1)), "1","0")</f>
        <v>0</v>
      </c>
      <c r="BD1697">
        <f ca="1" xml:space="preserve"> IF( AND( OFFSET($A$1, 1697 - 1, 54 - 1) = "1", OFFSET($A$1, 1697 - 1, 55 - 1) = "1" ), 1, IF( AND( OFFSET($A$1, 1697 - 1, 54 - 1) = "1", OFFSET($A$1, 1697 - 1, 55 - 1) = "0" ), 2, IF( AND( OFFSET($A$1, 1697 - 1, 54 - 1) = "0", OFFSET($A$1, 1697 - 1, 55 - 1) = "1" ), 3, 4 ) ) )</f>
        <v>2</v>
      </c>
    </row>
    <row r="1698" spans="53:56" x14ac:dyDescent="0.35">
      <c r="BA1698" s="3">
        <v>0.60681236699385066</v>
      </c>
      <c r="BB1698" s="3" t="str">
        <f>"0"</f>
        <v>0</v>
      </c>
      <c r="BC1698" t="str">
        <f ca="1">IF((OFFSET($A$1, 1698 - 1, 53 - 1)) &gt;= (OFFSET($A$1, 69 - 1, 7 - 1)), "1","0")</f>
        <v>1</v>
      </c>
      <c r="BD1698">
        <f ca="1" xml:space="preserve"> IF( AND( OFFSET($A$1, 1698 - 1, 54 - 1) = "1", OFFSET($A$1, 1698 - 1, 55 - 1) = "1" ), 1, IF( AND( OFFSET($A$1, 1698 - 1, 54 - 1) = "1", OFFSET($A$1, 1698 - 1, 55 - 1) = "0" ), 2, IF( AND( OFFSET($A$1, 1698 - 1, 54 - 1) = "0", OFFSET($A$1, 1698 - 1, 55 - 1) = "1" ), 3, 4 ) ) )</f>
        <v>3</v>
      </c>
    </row>
    <row r="1699" spans="53:56" x14ac:dyDescent="0.35">
      <c r="BA1699" s="3">
        <v>0.33046009832857709</v>
      </c>
      <c r="BB1699" s="3" t="str">
        <f>"0"</f>
        <v>0</v>
      </c>
      <c r="BC1699" t="str">
        <f ca="1">IF((OFFSET($A$1, 1699 - 1, 53 - 1)) &gt;= (OFFSET($A$1, 69 - 1, 7 - 1)), "1","0")</f>
        <v>0</v>
      </c>
      <c r="BD1699">
        <f ca="1" xml:space="preserve"> IF( AND( OFFSET($A$1, 1699 - 1, 54 - 1) = "1", OFFSET($A$1, 1699 - 1, 55 - 1) = "1" ), 1, IF( AND( OFFSET($A$1, 1699 - 1, 54 - 1) = "1", OFFSET($A$1, 1699 - 1, 55 - 1) = "0" ), 2, IF( AND( OFFSET($A$1, 1699 - 1, 54 - 1) = "0", OFFSET($A$1, 1699 - 1, 55 - 1) = "1" ), 3, 4 ) ) )</f>
        <v>4</v>
      </c>
    </row>
    <row r="1700" spans="53:56" x14ac:dyDescent="0.35">
      <c r="BA1700" s="3">
        <v>0.33006120881669515</v>
      </c>
      <c r="BB1700" s="3" t="str">
        <f>"0"</f>
        <v>0</v>
      </c>
      <c r="BC1700" t="str">
        <f ca="1">IF((OFFSET($A$1, 1700 - 1, 53 - 1)) &gt;= (OFFSET($A$1, 69 - 1, 7 - 1)), "1","0")</f>
        <v>0</v>
      </c>
      <c r="BD1700">
        <f ca="1" xml:space="preserve"> IF( AND( OFFSET($A$1, 1700 - 1, 54 - 1) = "1", OFFSET($A$1, 1700 - 1, 55 - 1) = "1" ), 1, IF( AND( OFFSET($A$1, 1700 - 1, 54 - 1) = "1", OFFSET($A$1, 1700 - 1, 55 - 1) = "0" ), 2, IF( AND( OFFSET($A$1, 1700 - 1, 54 - 1) = "0", OFFSET($A$1, 1700 - 1, 55 - 1) = "1" ), 3, 4 ) ) )</f>
        <v>4</v>
      </c>
    </row>
    <row r="1701" spans="53:56" x14ac:dyDescent="0.35">
      <c r="BA1701" s="3">
        <v>0.32964014359066612</v>
      </c>
      <c r="BB1701" s="3" t="str">
        <f>"1"</f>
        <v>1</v>
      </c>
      <c r="BC1701" t="str">
        <f ca="1">IF((OFFSET($A$1, 1701 - 1, 53 - 1)) &gt;= (OFFSET($A$1, 69 - 1, 7 - 1)), "1","0")</f>
        <v>0</v>
      </c>
      <c r="BD1701">
        <f ca="1" xml:space="preserve"> IF( AND( OFFSET($A$1, 1701 - 1, 54 - 1) = "1", OFFSET($A$1, 1701 - 1, 55 - 1) = "1" ), 1, IF( AND( OFFSET($A$1, 1701 - 1, 54 - 1) = "1", OFFSET($A$1, 1701 - 1, 55 - 1) = "0" ), 2, IF( AND( OFFSET($A$1, 1701 - 1, 54 - 1) = "0", OFFSET($A$1, 1701 - 1, 55 - 1) = "1" ), 3, 4 ) ) )</f>
        <v>2</v>
      </c>
    </row>
    <row r="1702" spans="53:56" x14ac:dyDescent="0.35">
      <c r="BA1702" s="3">
        <v>0.60504172820586277</v>
      </c>
      <c r="BB1702" s="3" t="str">
        <f>"0"</f>
        <v>0</v>
      </c>
      <c r="BC1702" t="str">
        <f ca="1">IF((OFFSET($A$1, 1702 - 1, 53 - 1)) &gt;= (OFFSET($A$1, 69 - 1, 7 - 1)), "1","0")</f>
        <v>1</v>
      </c>
      <c r="BD1702">
        <f ca="1" xml:space="preserve"> IF( AND( OFFSET($A$1, 1702 - 1, 54 - 1) = "1", OFFSET($A$1, 1702 - 1, 55 - 1) = "1" ), 1, IF( AND( OFFSET($A$1, 1702 - 1, 54 - 1) = "1", OFFSET($A$1, 1702 - 1, 55 - 1) = "0" ), 2, IF( AND( OFFSET($A$1, 1702 - 1, 54 - 1) = "0", OFFSET($A$1, 1702 - 1, 55 - 1) = "1" ), 3, 4 ) ) )</f>
        <v>3</v>
      </c>
    </row>
    <row r="1703" spans="53:56" x14ac:dyDescent="0.35">
      <c r="BA1703" s="3">
        <v>0.32873216906734104</v>
      </c>
      <c r="BB1703" s="3" t="str">
        <f>"0"</f>
        <v>0</v>
      </c>
      <c r="BC1703" t="str">
        <f ca="1">IF((OFFSET($A$1, 1703 - 1, 53 - 1)) &gt;= (OFFSET($A$1, 69 - 1, 7 - 1)), "1","0")</f>
        <v>0</v>
      </c>
      <c r="BD1703">
        <f ca="1" xml:space="preserve"> IF( AND( OFFSET($A$1, 1703 - 1, 54 - 1) = "1", OFFSET($A$1, 1703 - 1, 55 - 1) = "1" ), 1, IF( AND( OFFSET($A$1, 1703 - 1, 54 - 1) = "1", OFFSET($A$1, 1703 - 1, 55 - 1) = "0" ), 2, IF( AND( OFFSET($A$1, 1703 - 1, 54 - 1) = "0", OFFSET($A$1, 1703 - 1, 55 - 1) = "1" ), 3, 4 ) ) )</f>
        <v>4</v>
      </c>
    </row>
    <row r="1704" spans="53:56" x14ac:dyDescent="0.35">
      <c r="BA1704" s="3">
        <v>0.32824562301985222</v>
      </c>
      <c r="BB1704" s="3" t="str">
        <f>"1"</f>
        <v>1</v>
      </c>
      <c r="BC1704" t="str">
        <f ca="1">IF((OFFSET($A$1, 1704 - 1, 53 - 1)) &gt;= (OFFSET($A$1, 69 - 1, 7 - 1)), "1","0")</f>
        <v>0</v>
      </c>
      <c r="BD1704">
        <f ca="1" xml:space="preserve"> IF( AND( OFFSET($A$1, 1704 - 1, 54 - 1) = "1", OFFSET($A$1, 1704 - 1, 55 - 1) = "1" ), 1, IF( AND( OFFSET($A$1, 1704 - 1, 54 - 1) = "1", OFFSET($A$1, 1704 - 1, 55 - 1) = "0" ), 2, IF( AND( OFFSET($A$1, 1704 - 1, 54 - 1) = "0", OFFSET($A$1, 1704 - 1, 55 - 1) = "1" ), 3, 4 ) ) )</f>
        <v>2</v>
      </c>
    </row>
    <row r="1705" spans="53:56" x14ac:dyDescent="0.35">
      <c r="BA1705" s="3">
        <v>0.60345951344993487</v>
      </c>
      <c r="BB1705" s="3" t="str">
        <f>"1"</f>
        <v>1</v>
      </c>
      <c r="BC1705" t="str">
        <f ca="1">IF((OFFSET($A$1, 1705 - 1, 53 - 1)) &gt;= (OFFSET($A$1, 69 - 1, 7 - 1)), "1","0")</f>
        <v>1</v>
      </c>
      <c r="BD1705">
        <f ca="1" xml:space="preserve"> IF( AND( OFFSET($A$1, 1705 - 1, 54 - 1) = "1", OFFSET($A$1, 1705 - 1, 55 - 1) = "1" ), 1, IF( AND( OFFSET($A$1, 1705 - 1, 54 - 1) = "1", OFFSET($A$1, 1705 - 1, 55 - 1) = "0" ), 2, IF( AND( OFFSET($A$1, 1705 - 1, 54 - 1) = "0", OFFSET($A$1, 1705 - 1, 55 - 1) = "1" ), 3, 4 ) ) )</f>
        <v>1</v>
      </c>
    </row>
    <row r="1706" spans="53:56" x14ac:dyDescent="0.35">
      <c r="BA1706" s="3">
        <v>0.60288432186825236</v>
      </c>
      <c r="BB1706" s="3" t="str">
        <f>"1"</f>
        <v>1</v>
      </c>
      <c r="BC1706" t="str">
        <f ca="1">IF((OFFSET($A$1, 1706 - 1, 53 - 1)) &gt;= (OFFSET($A$1, 69 - 1, 7 - 1)), "1","0")</f>
        <v>1</v>
      </c>
      <c r="BD1706">
        <f ca="1" xml:space="preserve"> IF( AND( OFFSET($A$1, 1706 - 1, 54 - 1) = "1", OFFSET($A$1, 1706 - 1, 55 - 1) = "1" ), 1, IF( AND( OFFSET($A$1, 1706 - 1, 54 - 1) = "1", OFFSET($A$1, 1706 - 1, 55 - 1) = "0" ), 2, IF( AND( OFFSET($A$1, 1706 - 1, 54 - 1) = "0", OFFSET($A$1, 1706 - 1, 55 - 1) = "1" ), 3, 4 ) ) )</f>
        <v>1</v>
      </c>
    </row>
    <row r="1707" spans="53:56" x14ac:dyDescent="0.35">
      <c r="BA1707" s="3">
        <v>0.60228545975505854</v>
      </c>
      <c r="BB1707" s="3" t="str">
        <f>"0"</f>
        <v>0</v>
      </c>
      <c r="BC1707" t="str">
        <f ca="1">IF((OFFSET($A$1, 1707 - 1, 53 - 1)) &gt;= (OFFSET($A$1, 69 - 1, 7 - 1)), "1","0")</f>
        <v>1</v>
      </c>
      <c r="BD1707">
        <f ca="1" xml:space="preserve"> IF( AND( OFFSET($A$1, 1707 - 1, 54 - 1) = "1", OFFSET($A$1, 1707 - 1, 55 - 1) = "1" ), 1, IF( AND( OFFSET($A$1, 1707 - 1, 54 - 1) = "1", OFFSET($A$1, 1707 - 1, 55 - 1) = "0" ), 2, IF( AND( OFFSET($A$1, 1707 - 1, 54 - 1) = "0", OFFSET($A$1, 1707 - 1, 55 - 1) = "1" ), 3, 4 ) ) )</f>
        <v>3</v>
      </c>
    </row>
    <row r="1708" spans="53:56" x14ac:dyDescent="0.35">
      <c r="BA1708" s="3">
        <v>0.32608701579108512</v>
      </c>
      <c r="BB1708" s="3" t="str">
        <f>"0"</f>
        <v>0</v>
      </c>
      <c r="BC1708" t="str">
        <f ca="1">IF((OFFSET($A$1, 1708 - 1, 53 - 1)) &gt;= (OFFSET($A$1, 69 - 1, 7 - 1)), "1","0")</f>
        <v>0</v>
      </c>
      <c r="BD1708">
        <f ca="1" xml:space="preserve"> IF( AND( OFFSET($A$1, 1708 - 1, 54 - 1) = "1", OFFSET($A$1, 1708 - 1, 55 - 1) = "1" ), 1, IF( AND( OFFSET($A$1, 1708 - 1, 54 - 1) = "1", OFFSET($A$1, 1708 - 1, 55 - 1) = "0" ), 2, IF( AND( OFFSET($A$1, 1708 - 1, 54 - 1) = "0", OFFSET($A$1, 1708 - 1, 55 - 1) = "1" ), 3, 4 ) ) )</f>
        <v>4</v>
      </c>
    </row>
    <row r="1709" spans="53:56" x14ac:dyDescent="0.35">
      <c r="BA1709" s="3">
        <v>0.32549533496343713</v>
      </c>
      <c r="BB1709" s="3" t="str">
        <f>"1"</f>
        <v>1</v>
      </c>
      <c r="BC1709" t="str">
        <f ca="1">IF((OFFSET($A$1, 1709 - 1, 53 - 1)) &gt;= (OFFSET($A$1, 69 - 1, 7 - 1)), "1","0")</f>
        <v>0</v>
      </c>
      <c r="BD1709">
        <f ca="1" xml:space="preserve"> IF( AND( OFFSET($A$1, 1709 - 1, 54 - 1) = "1", OFFSET($A$1, 1709 - 1, 55 - 1) = "1" ), 1, IF( AND( OFFSET($A$1, 1709 - 1, 54 - 1) = "1", OFFSET($A$1, 1709 - 1, 55 - 1) = "0" ), 2, IF( AND( OFFSET($A$1, 1709 - 1, 54 - 1) = "0", OFFSET($A$1, 1709 - 1, 55 - 1) = "1" ), 3, 4 ) ) )</f>
        <v>2</v>
      </c>
    </row>
    <row r="1710" spans="53:56" x14ac:dyDescent="0.35">
      <c r="BA1710" s="3">
        <v>0.60034831163316427</v>
      </c>
      <c r="BB1710" s="3" t="str">
        <f>"0"</f>
        <v>0</v>
      </c>
      <c r="BC1710" t="str">
        <f ca="1">IF((OFFSET($A$1, 1710 - 1, 53 - 1)) &gt;= (OFFSET($A$1, 69 - 1, 7 - 1)), "1","0")</f>
        <v>1</v>
      </c>
      <c r="BD1710">
        <f ca="1" xml:space="preserve"> IF( AND( OFFSET($A$1, 1710 - 1, 54 - 1) = "1", OFFSET($A$1, 1710 - 1, 55 - 1) = "1" ), 1, IF( AND( OFFSET($A$1, 1710 - 1, 54 - 1) = "1", OFFSET($A$1, 1710 - 1, 55 - 1) = "0" ), 2, IF( AND( OFFSET($A$1, 1710 - 1, 54 - 1) = "0", OFFSET($A$1, 1710 - 1, 55 - 1) = "1" ), 3, 4 ) ) )</f>
        <v>3</v>
      </c>
    </row>
    <row r="1711" spans="53:56" x14ac:dyDescent="0.35">
      <c r="BA1711" s="3">
        <v>0.32425115966300672</v>
      </c>
      <c r="BB1711" s="3" t="str">
        <f>"0"</f>
        <v>0</v>
      </c>
      <c r="BC1711" t="str">
        <f ca="1">IF((OFFSET($A$1, 1711 - 1, 53 - 1)) &gt;= (OFFSET($A$1, 69 - 1, 7 - 1)), "1","0")</f>
        <v>0</v>
      </c>
      <c r="BD1711">
        <f ca="1" xml:space="preserve"> IF( AND( OFFSET($A$1, 1711 - 1, 54 - 1) = "1", OFFSET($A$1, 1711 - 1, 55 - 1) = "1" ), 1, IF( AND( OFFSET($A$1, 1711 - 1, 54 - 1) = "1", OFFSET($A$1, 1711 - 1, 55 - 1) = "0" ), 2, IF( AND( OFFSET($A$1, 1711 - 1, 54 - 1) = "0", OFFSET($A$1, 1711 - 1, 55 - 1) = "1" ), 3, 4 ) ) )</f>
        <v>4</v>
      </c>
    </row>
    <row r="1712" spans="53:56" x14ac:dyDescent="0.35">
      <c r="BA1712" s="3">
        <v>0.32359916004166067</v>
      </c>
      <c r="BB1712" s="3" t="str">
        <f>"0"</f>
        <v>0</v>
      </c>
      <c r="BC1712" t="str">
        <f ca="1">IF((OFFSET($A$1, 1712 - 1, 53 - 1)) &gt;= (OFFSET($A$1, 69 - 1, 7 - 1)), "1","0")</f>
        <v>0</v>
      </c>
      <c r="BD1712">
        <f ca="1" xml:space="preserve"> IF( AND( OFFSET($A$1, 1712 - 1, 54 - 1) = "1", OFFSET($A$1, 1712 - 1, 55 - 1) = "1" ), 1, IF( AND( OFFSET($A$1, 1712 - 1, 54 - 1) = "1", OFFSET($A$1, 1712 - 1, 55 - 1) = "0" ), 2, IF( AND( OFFSET($A$1, 1712 - 1, 54 - 1) = "0", OFFSET($A$1, 1712 - 1, 55 - 1) = "1" ), 3, 4 ) ) )</f>
        <v>4</v>
      </c>
    </row>
    <row r="1713" spans="53:56" x14ac:dyDescent="0.35">
      <c r="BA1713" s="3">
        <v>0.32292756182393462</v>
      </c>
      <c r="BB1713" s="3" t="str">
        <f>"1"</f>
        <v>1</v>
      </c>
      <c r="BC1713" t="str">
        <f ca="1">IF((OFFSET($A$1, 1713 - 1, 53 - 1)) &gt;= (OFFSET($A$1, 69 - 1, 7 - 1)), "1","0")</f>
        <v>0</v>
      </c>
      <c r="BD1713">
        <f ca="1" xml:space="preserve"> IF( AND( OFFSET($A$1, 1713 - 1, 54 - 1) = "1", OFFSET($A$1, 1713 - 1, 55 - 1) = "1" ), 1, IF( AND( OFFSET($A$1, 1713 - 1, 54 - 1) = "1", OFFSET($A$1, 1713 - 1, 55 - 1) = "0" ), 2, IF( AND( OFFSET($A$1, 1713 - 1, 54 - 1) = "0", OFFSET($A$1, 1713 - 1, 55 - 1) = "1" ), 3, 4 ) ) )</f>
        <v>2</v>
      </c>
    </row>
    <row r="1714" spans="53:56" x14ac:dyDescent="0.35">
      <c r="BA1714" s="3">
        <v>0.59744345607674987</v>
      </c>
      <c r="BB1714" s="3" t="str">
        <f>"1"</f>
        <v>1</v>
      </c>
      <c r="BC1714" t="str">
        <f ca="1">IF((OFFSET($A$1, 1714 - 1, 53 - 1)) &gt;= (OFFSET($A$1, 69 - 1, 7 - 1)), "1","0")</f>
        <v>1</v>
      </c>
      <c r="BD1714">
        <f ca="1" xml:space="preserve"> IF( AND( OFFSET($A$1, 1714 - 1, 54 - 1) = "1", OFFSET($A$1, 1714 - 1, 55 - 1) = "1" ), 1, IF( AND( OFFSET($A$1, 1714 - 1, 54 - 1) = "1", OFFSET($A$1, 1714 - 1, 55 - 1) = "0" ), 2, IF( AND( OFFSET($A$1, 1714 - 1, 54 - 1) = "0", OFFSET($A$1, 1714 - 1, 55 - 1) = "1" ), 3, 4 ) ) )</f>
        <v>1</v>
      </c>
    </row>
    <row r="1715" spans="53:56" x14ac:dyDescent="0.35">
      <c r="BA1715" s="3">
        <v>0.59666090832801877</v>
      </c>
      <c r="BB1715" s="3" t="str">
        <f>"0"</f>
        <v>0</v>
      </c>
      <c r="BC1715" t="str">
        <f ca="1">IF((OFFSET($A$1, 1715 - 1, 53 - 1)) &gt;= (OFFSET($A$1, 69 - 1, 7 - 1)), "1","0")</f>
        <v>1</v>
      </c>
      <c r="BD1715">
        <f ca="1" xml:space="preserve"> IF( AND( OFFSET($A$1, 1715 - 1, 54 - 1) = "1", OFFSET($A$1, 1715 - 1, 55 - 1) = "1" ), 1, IF( AND( OFFSET($A$1, 1715 - 1, 54 - 1) = "1", OFFSET($A$1, 1715 - 1, 55 - 1) = "0" ), 2, IF( AND( OFFSET($A$1, 1715 - 1, 54 - 1) = "0", OFFSET($A$1, 1715 - 1, 55 - 1) = "1" ), 3, 4 ) ) )</f>
        <v>3</v>
      </c>
    </row>
    <row r="1716" spans="53:56" x14ac:dyDescent="0.35">
      <c r="BA1716" s="3">
        <v>0.32079787680285787</v>
      </c>
      <c r="BB1716" s="3" t="str">
        <f>"1"</f>
        <v>1</v>
      </c>
      <c r="BC1716" t="str">
        <f ca="1">IF((OFFSET($A$1, 1716 - 1, 53 - 1)) &gt;= (OFFSET($A$1, 69 - 1, 7 - 1)), "1","0")</f>
        <v>0</v>
      </c>
      <c r="BD1716">
        <f ca="1" xml:space="preserve"> IF( AND( OFFSET($A$1, 1716 - 1, 54 - 1) = "1", OFFSET($A$1, 1716 - 1, 55 - 1) = "1" ), 1, IF( AND( OFFSET($A$1, 1716 - 1, 54 - 1) = "1", OFFSET($A$1, 1716 - 1, 55 - 1) = "0" ), 2, IF( AND( OFFSET($A$1, 1716 - 1, 54 - 1) = "0", OFFSET($A$1, 1716 - 1, 55 - 1) = "1" ), 3, 4 ) ) )</f>
        <v>2</v>
      </c>
    </row>
    <row r="1717" spans="53:56" x14ac:dyDescent="0.35">
      <c r="BA1717" s="3">
        <v>0.59502954782183937</v>
      </c>
      <c r="BB1717" s="3" t="str">
        <f>"1"</f>
        <v>1</v>
      </c>
      <c r="BC1717" t="str">
        <f ca="1">IF((OFFSET($A$1, 1717 - 1, 53 - 1)) &gt;= (OFFSET($A$1, 69 - 1, 7 - 1)), "1","0")</f>
        <v>1</v>
      </c>
      <c r="BD1717">
        <f ca="1" xml:space="preserve"> IF( AND( OFFSET($A$1, 1717 - 1, 54 - 1) = "1", OFFSET($A$1, 1717 - 1, 55 - 1) = "1" ), 1, IF( AND( OFFSET($A$1, 1717 - 1, 54 - 1) = "1", OFFSET($A$1, 1717 - 1, 55 - 1) = "0" ), 2, IF( AND( OFFSET($A$1, 1717 - 1, 54 - 1) = "0", OFFSET($A$1, 1717 - 1, 55 - 1) = "1" ), 3, 4 ) ) )</f>
        <v>1</v>
      </c>
    </row>
    <row r="1718" spans="53:56" x14ac:dyDescent="0.35">
      <c r="BA1718" s="3">
        <v>0.5941811426999789</v>
      </c>
      <c r="BB1718" s="3" t="str">
        <f>"1"</f>
        <v>1</v>
      </c>
      <c r="BC1718" t="str">
        <f ca="1">IF((OFFSET($A$1, 1718 - 1, 53 - 1)) &gt;= (OFFSET($A$1, 69 - 1, 7 - 1)), "1","0")</f>
        <v>1</v>
      </c>
      <c r="BD1718">
        <f ca="1" xml:space="preserve"> IF( AND( OFFSET($A$1, 1718 - 1, 54 - 1) = "1", OFFSET($A$1, 1718 - 1, 55 - 1) = "1" ), 1, IF( AND( OFFSET($A$1, 1718 - 1, 54 - 1) = "1", OFFSET($A$1, 1718 - 1, 55 - 1) = "0" ), 2, IF( AND( OFFSET($A$1, 1718 - 1, 54 - 1) = "0", OFFSET($A$1, 1718 - 1, 55 - 1) = "1" ), 3, 4 ) ) )</f>
        <v>1</v>
      </c>
    </row>
    <row r="1719" spans="53:56" x14ac:dyDescent="0.35">
      <c r="BA1719" s="3">
        <v>0.59331120367612178</v>
      </c>
      <c r="BB1719" s="3" t="str">
        <f>"1"</f>
        <v>1</v>
      </c>
      <c r="BC1719" t="str">
        <f ca="1">IF((OFFSET($A$1, 1719 - 1, 53 - 1)) &gt;= (OFFSET($A$1, 69 - 1, 7 - 1)), "1","0")</f>
        <v>1</v>
      </c>
      <c r="BD1719">
        <f ca="1" xml:space="preserve"> IF( AND( OFFSET($A$1, 1719 - 1, 54 - 1) = "1", OFFSET($A$1, 1719 - 1, 55 - 1) = "1" ), 1, IF( AND( OFFSET($A$1, 1719 - 1, 54 - 1) = "1", OFFSET($A$1, 1719 - 1, 55 - 1) = "0" ), 2, IF( AND( OFFSET($A$1, 1719 - 1, 54 - 1) = "0", OFFSET($A$1, 1719 - 1, 55 - 1) = "1" ), 3, 4 ) ) )</f>
        <v>1</v>
      </c>
    </row>
    <row r="1720" spans="53:56" x14ac:dyDescent="0.35">
      <c r="BA1720" s="3">
        <v>0.5924199509804301</v>
      </c>
      <c r="BB1720" s="3" t="str">
        <f>"1"</f>
        <v>1</v>
      </c>
      <c r="BC1720" t="str">
        <f ca="1">IF((OFFSET($A$1, 1720 - 1, 53 - 1)) &gt;= (OFFSET($A$1, 69 - 1, 7 - 1)), "1","0")</f>
        <v>1</v>
      </c>
      <c r="BD1720">
        <f ca="1" xml:space="preserve"> IF( AND( OFFSET($A$1, 1720 - 1, 54 - 1) = "1", OFFSET($A$1, 1720 - 1, 55 - 1) = "1" ), 1, IF( AND( OFFSET($A$1, 1720 - 1, 54 - 1) = "1", OFFSET($A$1, 1720 - 1, 55 - 1) = "0" ), 2, IF( AND( OFFSET($A$1, 1720 - 1, 54 - 1) = "0", OFFSET($A$1, 1720 - 1, 55 - 1) = "1" ), 3, 4 ) ) )</f>
        <v>1</v>
      </c>
    </row>
    <row r="1721" spans="53:56" x14ac:dyDescent="0.35">
      <c r="BA1721" s="3">
        <v>0.59150761144328534</v>
      </c>
      <c r="BB1721" s="3" t="str">
        <f>"1"</f>
        <v>1</v>
      </c>
      <c r="BC1721" t="str">
        <f ca="1">IF((OFFSET($A$1, 1721 - 1, 53 - 1)) &gt;= (OFFSET($A$1, 69 - 1, 7 - 1)), "1","0")</f>
        <v>1</v>
      </c>
      <c r="BD1721">
        <f ca="1" xml:space="preserve"> IF( AND( OFFSET($A$1, 1721 - 1, 54 - 1) = "1", OFFSET($A$1, 1721 - 1, 55 - 1) = "1" ), 1, IF( AND( OFFSET($A$1, 1721 - 1, 54 - 1) = "1", OFFSET($A$1, 1721 - 1, 55 - 1) = "0" ), 2, IF( AND( OFFSET($A$1, 1721 - 1, 54 - 1) = "0", OFFSET($A$1, 1721 - 1, 55 - 1) = "1" ), 3, 4 ) ) )</f>
        <v>1</v>
      </c>
    </row>
    <row r="1722" spans="53:56" x14ac:dyDescent="0.35">
      <c r="BA1722" s="3">
        <v>0.5905744185108962</v>
      </c>
      <c r="BB1722" s="3" t="str">
        <f>"0"</f>
        <v>0</v>
      </c>
      <c r="BC1722" t="str">
        <f ca="1">IF((OFFSET($A$1, 1722 - 1, 53 - 1)) &gt;= (OFFSET($A$1, 69 - 1, 7 - 1)), "1","0")</f>
        <v>1</v>
      </c>
      <c r="BD1722">
        <f ca="1" xml:space="preserve"> IF( AND( OFFSET($A$1, 1722 - 1, 54 - 1) = "1", OFFSET($A$1, 1722 - 1, 55 - 1) = "1" ), 1, IF( AND( OFFSET($A$1, 1722 - 1, 54 - 1) = "1", OFFSET($A$1, 1722 - 1, 55 - 1) = "0" ), 2, IF( AND( OFFSET($A$1, 1722 - 1, 54 - 1) = "0", OFFSET($A$1, 1722 - 1, 55 - 1) = "1" ), 3, 4 ) ) )</f>
        <v>3</v>
      </c>
    </row>
    <row r="1723" spans="53:56" x14ac:dyDescent="0.35">
      <c r="BA1723" s="3">
        <v>0.31519580511831724</v>
      </c>
      <c r="BB1723" s="3" t="str">
        <f>"0"</f>
        <v>0</v>
      </c>
      <c r="BC1723" t="str">
        <f ca="1">IF((OFFSET($A$1, 1723 - 1, 53 - 1)) &gt;= (OFFSET($A$1, 69 - 1, 7 - 1)), "1","0")</f>
        <v>0</v>
      </c>
      <c r="BD1723">
        <f ca="1" xml:space="preserve"> IF( AND( OFFSET($A$1, 1723 - 1, 54 - 1) = "1", OFFSET($A$1, 1723 - 1, 55 - 1) = "1" ), 1, IF( AND( OFFSET($A$1, 1723 - 1, 54 - 1) = "1", OFFSET($A$1, 1723 - 1, 55 - 1) = "0" ), 2, IF( AND( OFFSET($A$1, 1723 - 1, 54 - 1) = "0", OFFSET($A$1, 1723 - 1, 55 - 1) = "1" ), 3, 4 ) ) )</f>
        <v>4</v>
      </c>
    </row>
    <row r="1724" spans="53:56" x14ac:dyDescent="0.35">
      <c r="BA1724" s="3">
        <v>0.31432775438649224</v>
      </c>
      <c r="BB1724" s="3" t="str">
        <f>"0"</f>
        <v>0</v>
      </c>
      <c r="BC1724" t="str">
        <f ca="1">IF((OFFSET($A$1, 1724 - 1, 53 - 1)) &gt;= (OFFSET($A$1, 69 - 1, 7 - 1)), "1","0")</f>
        <v>0</v>
      </c>
      <c r="BD1724">
        <f ca="1" xml:space="preserve"> IF( AND( OFFSET($A$1, 1724 - 1, 54 - 1) = "1", OFFSET($A$1, 1724 - 1, 55 - 1) = "1" ), 1, IF( AND( OFFSET($A$1, 1724 - 1, 54 - 1) = "1", OFFSET($A$1, 1724 - 1, 55 - 1) = "0" ), 2, IF( AND( OFFSET($A$1, 1724 - 1, 54 - 1) = "0", OFFSET($A$1, 1724 - 1, 55 - 1) = "1" ), 3, 4 ) ) )</f>
        <v>4</v>
      </c>
    </row>
    <row r="1725" spans="53:56" x14ac:dyDescent="0.35">
      <c r="BA1725" s="3">
        <v>0.31344375498341742</v>
      </c>
      <c r="BB1725" s="3" t="str">
        <f>"0"</f>
        <v>0</v>
      </c>
      <c r="BC1725" t="str">
        <f ca="1">IF((OFFSET($A$1, 1725 - 1, 53 - 1)) &gt;= (OFFSET($A$1, 69 - 1, 7 - 1)), "1","0")</f>
        <v>0</v>
      </c>
      <c r="BD1725">
        <f ca="1" xml:space="preserve"> IF( AND( OFFSET($A$1, 1725 - 1, 54 - 1) = "1", OFFSET($A$1, 1725 - 1, 55 - 1) = "1" ), 1, IF( AND( OFFSET($A$1, 1725 - 1, 54 - 1) = "1", OFFSET($A$1, 1725 - 1, 55 - 1) = "0" ), 2, IF( AND( OFFSET($A$1, 1725 - 1, 54 - 1) = "0", OFFSET($A$1, 1725 - 1, 55 - 1) = "1" ), 3, 4 ) ) )</f>
        <v>4</v>
      </c>
    </row>
    <row r="1726" spans="53:56" x14ac:dyDescent="0.35">
      <c r="BA1726" s="3">
        <v>0.31254415134849978</v>
      </c>
      <c r="BB1726" s="3" t="str">
        <f>"0"</f>
        <v>0</v>
      </c>
      <c r="BC1726" t="str">
        <f ca="1">IF((OFFSET($A$1, 1726 - 1, 53 - 1)) &gt;= (OFFSET($A$1, 69 - 1, 7 - 1)), "1","0")</f>
        <v>0</v>
      </c>
      <c r="BD1726">
        <f ca="1" xml:space="preserve"> IF( AND( OFFSET($A$1, 1726 - 1, 54 - 1) = "1", OFFSET($A$1, 1726 - 1, 55 - 1) = "1" ), 1, IF( AND( OFFSET($A$1, 1726 - 1, 54 - 1) = "1", OFFSET($A$1, 1726 - 1, 55 - 1) = "0" ), 2, IF( AND( OFFSET($A$1, 1726 - 1, 54 - 1) = "0", OFFSET($A$1, 1726 - 1, 55 - 1) = "1" ), 3, 4 ) ) )</f>
        <v>4</v>
      </c>
    </row>
    <row r="1727" spans="53:56" x14ac:dyDescent="0.35">
      <c r="BA1727" s="3">
        <v>0.3116292932865305</v>
      </c>
      <c r="BB1727" s="3" t="str">
        <f>"0"</f>
        <v>0</v>
      </c>
      <c r="BC1727" t="str">
        <f ca="1">IF((OFFSET($A$1, 1727 - 1, 53 - 1)) &gt;= (OFFSET($A$1, 69 - 1, 7 - 1)), "1","0")</f>
        <v>0</v>
      </c>
      <c r="BD1727">
        <f ca="1" xml:space="preserve"> IF( AND( OFFSET($A$1, 1727 - 1, 54 - 1) = "1", OFFSET($A$1, 1727 - 1, 55 - 1) = "1" ), 1, IF( AND( OFFSET($A$1, 1727 - 1, 54 - 1) = "1", OFFSET($A$1, 1727 - 1, 55 - 1) = "0" ), 2, IF( AND( OFFSET($A$1, 1727 - 1, 54 - 1) = "0", OFFSET($A$1, 1727 - 1, 55 - 1) = "1" ), 3, 4 ) ) )</f>
        <v>4</v>
      </c>
    </row>
    <row r="1728" spans="53:56" x14ac:dyDescent="0.35">
      <c r="BA1728" s="3">
        <v>0.31069953577515602</v>
      </c>
      <c r="BB1728" s="3" t="str">
        <f>"1"</f>
        <v>1</v>
      </c>
      <c r="BC1728" t="str">
        <f ca="1">IF((OFFSET($A$1, 1728 - 1, 53 - 1)) &gt;= (OFFSET($A$1, 69 - 1, 7 - 1)), "1","0")</f>
        <v>0</v>
      </c>
      <c r="BD1728">
        <f ca="1" xml:space="preserve"> IF( AND( OFFSET($A$1, 1728 - 1, 54 - 1) = "1", OFFSET($A$1, 1728 - 1, 55 - 1) = "1" ), 1, IF( AND( OFFSET($A$1, 1728 - 1, 54 - 1) = "1", OFFSET($A$1, 1728 - 1, 55 - 1) = "0" ), 2, IF( AND( OFFSET($A$1, 1728 - 1, 54 - 1) = "0", OFFSET($A$1, 1728 - 1, 55 - 1) = "1" ), 3, 4 ) ) )</f>
        <v>2</v>
      </c>
    </row>
    <row r="1729" spans="53:56" x14ac:dyDescent="0.35">
      <c r="BA1729" s="3">
        <v>0.58347917613510136</v>
      </c>
      <c r="BB1729" s="3" t="str">
        <f>"0"</f>
        <v>0</v>
      </c>
      <c r="BC1729" t="str">
        <f ca="1">IF((OFFSET($A$1, 1729 - 1, 53 - 1)) &gt;= (OFFSET($A$1, 69 - 1, 7 - 1)), "1","0")</f>
        <v>1</v>
      </c>
      <c r="BD1729">
        <f ca="1" xml:space="preserve"> IF( AND( OFFSET($A$1, 1729 - 1, 54 - 1) = "1", OFFSET($A$1, 1729 - 1, 55 - 1) = "1" ), 1, IF( AND( OFFSET($A$1, 1729 - 1, 54 - 1) = "1", OFFSET($A$1, 1729 - 1, 55 - 1) = "0" ), 2, IF( AND( OFFSET($A$1, 1729 - 1, 54 - 1) = "0", OFFSET($A$1, 1729 - 1, 55 - 1) = "1" ), 3, 4 ) ) )</f>
        <v>3</v>
      </c>
    </row>
    <row r="1730" spans="53:56" x14ac:dyDescent="0.35">
      <c r="BA1730" s="3">
        <v>0.30879676699978514</v>
      </c>
      <c r="BB1730" s="3" t="str">
        <f>"0"</f>
        <v>0</v>
      </c>
      <c r="BC1730" t="str">
        <f ca="1">IF((OFFSET($A$1, 1730 - 1, 53 - 1)) &gt;= (OFFSET($A$1, 69 - 1, 7 - 1)), "1","0")</f>
        <v>0</v>
      </c>
      <c r="BD1730">
        <f ca="1" xml:space="preserve"> IF( AND( OFFSET($A$1, 1730 - 1, 54 - 1) = "1", OFFSET($A$1, 1730 - 1, 55 - 1) = "1" ), 1, IF( AND( OFFSET($A$1, 1730 - 1, 54 - 1) = "1", OFFSET($A$1, 1730 - 1, 55 - 1) = "0" ), 2, IF( AND( OFFSET($A$1, 1730 - 1, 54 - 1) = "0", OFFSET($A$1, 1730 - 1, 55 - 1) = "1" ), 3, 4 ) ) )</f>
        <v>4</v>
      </c>
    </row>
    <row r="1731" spans="53:56" x14ac:dyDescent="0.35">
      <c r="BA1731" s="3">
        <v>0.30782448977499483</v>
      </c>
      <c r="BB1731" s="3" t="str">
        <f>"0"</f>
        <v>0</v>
      </c>
      <c r="BC1731" t="str">
        <f ca="1">IF((OFFSET($A$1, 1731 - 1, 53 - 1)) &gt;= (OFFSET($A$1, 69 - 1, 7 - 1)), "1","0")</f>
        <v>0</v>
      </c>
      <c r="BD1731">
        <f ca="1" xml:space="preserve"> IF( AND( OFFSET($A$1, 1731 - 1, 54 - 1) = "1", OFFSET($A$1, 1731 - 1, 55 - 1) = "1" ), 1, IF( AND( OFFSET($A$1, 1731 - 1, 54 - 1) = "1", OFFSET($A$1, 1731 - 1, 55 - 1) = "0" ), 2, IF( AND( OFFSET($A$1, 1731 - 1, 54 - 1) = "0", OFFSET($A$1, 1731 - 1, 55 - 1) = "1" ), 3, 4 ) ) )</f>
        <v>4</v>
      </c>
    </row>
    <row r="1732" spans="53:56" x14ac:dyDescent="0.35">
      <c r="BA1732" s="3">
        <v>0.30683878077122934</v>
      </c>
      <c r="BB1732" s="3" t="str">
        <f>"0"</f>
        <v>0</v>
      </c>
      <c r="BC1732" t="str">
        <f ca="1">IF((OFFSET($A$1, 1732 - 1, 53 - 1)) &gt;= (OFFSET($A$1, 69 - 1, 7 - 1)), "1","0")</f>
        <v>0</v>
      </c>
      <c r="BD1732">
        <f ca="1" xml:space="preserve"> IF( AND( OFFSET($A$1, 1732 - 1, 54 - 1) = "1", OFFSET($A$1, 1732 - 1, 55 - 1) = "1" ), 1, IF( AND( OFFSET($A$1, 1732 - 1, 54 - 1) = "1", OFFSET($A$1, 1732 - 1, 55 - 1) = "0" ), 2, IF( AND( OFFSET($A$1, 1732 - 1, 54 - 1) = "0", OFFSET($A$1, 1732 - 1, 55 - 1) = "1" ), 3, 4 ) ) )</f>
        <v>4</v>
      </c>
    </row>
    <row r="1733" spans="53:56" x14ac:dyDescent="0.35">
      <c r="BA1733" s="3">
        <v>0.30584001782643355</v>
      </c>
      <c r="BB1733" s="3" t="str">
        <f>"0"</f>
        <v>0</v>
      </c>
      <c r="BC1733" t="str">
        <f ca="1">IF((OFFSET($A$1, 1733 - 1, 53 - 1)) &gt;= (OFFSET($A$1, 69 - 1, 7 - 1)), "1","0")</f>
        <v>0</v>
      </c>
      <c r="BD1733">
        <f ca="1" xml:space="preserve"> IF( AND( OFFSET($A$1, 1733 - 1, 54 - 1) = "1", OFFSET($A$1, 1733 - 1, 55 - 1) = "1" ), 1, IF( AND( OFFSET($A$1, 1733 - 1, 54 - 1) = "1", OFFSET($A$1, 1733 - 1, 55 - 1) = "0" ), 2, IF( AND( OFFSET($A$1, 1733 - 1, 54 - 1) = "0", OFFSET($A$1, 1733 - 1, 55 - 1) = "1" ), 3, 4 ) ) )</f>
        <v>4</v>
      </c>
    </row>
    <row r="1734" spans="53:56" x14ac:dyDescent="0.35">
      <c r="BA1734" s="3">
        <v>0.30482858272874758</v>
      </c>
      <c r="BB1734" s="3" t="str">
        <f>"1"</f>
        <v>1</v>
      </c>
      <c r="BC1734" t="str">
        <f ca="1">IF((OFFSET($A$1, 1734 - 1, 53 - 1)) &gt;= (OFFSET($A$1, 69 - 1, 7 - 1)), "1","0")</f>
        <v>0</v>
      </c>
      <c r="BD1734">
        <f ca="1" xml:space="preserve"> IF( AND( OFFSET($A$1, 1734 - 1, 54 - 1) = "1", OFFSET($A$1, 1734 - 1, 55 - 1) = "1" ), 1, IF( AND( OFFSET($A$1, 1734 - 1, 54 - 1) = "1", OFFSET($A$1, 1734 - 1, 55 - 1) = "0" ), 2, IF( AND( OFFSET($A$1, 1734 - 1, 54 - 1) = "0", OFFSET($A$1, 1734 - 1, 55 - 1) = "1" ), 3, 4 ) ) )</f>
        <v>2</v>
      </c>
    </row>
    <row r="1735" spans="53:56" x14ac:dyDescent="0.35">
      <c r="BA1735" s="3">
        <v>0.57666354750322701</v>
      </c>
      <c r="BB1735" s="3" t="str">
        <f>"1"</f>
        <v>1</v>
      </c>
      <c r="BC1735" t="str">
        <f ca="1">IF((OFFSET($A$1, 1735 - 1, 53 - 1)) &gt;= (OFFSET($A$1, 69 - 1, 7 - 1)), "1","0")</f>
        <v>1</v>
      </c>
      <c r="BD1735">
        <f ca="1" xml:space="preserve"> IF( AND( OFFSET($A$1, 1735 - 1, 54 - 1) = "1", OFFSET($A$1, 1735 - 1, 55 - 1) = "1" ), 1, IF( AND( OFFSET($A$1, 1735 - 1, 54 - 1) = "1", OFFSET($A$1, 1735 - 1, 55 - 1) = "0" ), 2, IF( AND( OFFSET($A$1, 1735 - 1, 54 - 1) = "0", OFFSET($A$1, 1735 - 1, 55 - 1) = "1" ), 3, 4 ) ) )</f>
        <v>1</v>
      </c>
    </row>
    <row r="1736" spans="53:56" x14ac:dyDescent="0.35">
      <c r="BA1736" s="3">
        <v>0.57546663277153065</v>
      </c>
      <c r="BB1736" s="3" t="str">
        <f>"0"</f>
        <v>0</v>
      </c>
      <c r="BC1736" t="str">
        <f ca="1">IF((OFFSET($A$1, 1736 - 1, 53 - 1)) &gt;= (OFFSET($A$1, 69 - 1, 7 - 1)), "1","0")</f>
        <v>1</v>
      </c>
      <c r="BD1736">
        <f ca="1" xml:space="preserve"> IF( AND( OFFSET($A$1, 1736 - 1, 54 - 1) = "1", OFFSET($A$1, 1736 - 1, 55 - 1) = "1" ), 1, IF( AND( OFFSET($A$1, 1736 - 1, 54 - 1) = "1", OFFSET($A$1, 1736 - 1, 55 - 1) = "0" ), 2, IF( AND( OFFSET($A$1, 1736 - 1, 54 - 1) = "0", OFFSET($A$1, 1736 - 1, 55 - 1) = "1" ), 3, 4 ) ) )</f>
        <v>3</v>
      </c>
    </row>
    <row r="1737" spans="53:56" x14ac:dyDescent="0.35">
      <c r="BA1737" s="3">
        <v>0.30172211715259917</v>
      </c>
      <c r="BB1737" s="3" t="str">
        <f>"0"</f>
        <v>0</v>
      </c>
      <c r="BC1737" t="str">
        <f ca="1">IF((OFFSET($A$1, 1737 - 1, 53 - 1)) &gt;= (OFFSET($A$1, 69 - 1, 7 - 1)), "1","0")</f>
        <v>0</v>
      </c>
      <c r="BD1737">
        <f ca="1" xml:space="preserve"> IF( AND( OFFSET($A$1, 1737 - 1, 54 - 1) = "1", OFFSET($A$1, 1737 - 1, 55 - 1) = "1" ), 1, IF( AND( OFFSET($A$1, 1737 - 1, 54 - 1) = "1", OFFSET($A$1, 1737 - 1, 55 - 1) = "0" ), 2, IF( AND( OFFSET($A$1, 1737 - 1, 54 - 1) = "0", OFFSET($A$1, 1737 - 1, 55 - 1) = "1" ), 3, 4 ) ) )</f>
        <v>4</v>
      </c>
    </row>
    <row r="1738" spans="53:56" x14ac:dyDescent="0.35">
      <c r="BA1738" s="3">
        <v>0.30066388280793904</v>
      </c>
      <c r="BB1738" s="3" t="str">
        <f>"0"</f>
        <v>0</v>
      </c>
      <c r="BC1738" t="str">
        <f ca="1">IF((OFFSET($A$1, 1738 - 1, 53 - 1)) &gt;= (OFFSET($A$1, 69 - 1, 7 - 1)), "1","0")</f>
        <v>0</v>
      </c>
      <c r="BD1738">
        <f ca="1" xml:space="preserve"> IF( AND( OFFSET($A$1, 1738 - 1, 54 - 1) = "1", OFFSET($A$1, 1738 - 1, 55 - 1) = "1" ), 1, IF( AND( OFFSET($A$1, 1738 - 1, 54 - 1) = "1", OFFSET($A$1, 1738 - 1, 55 - 1) = "0" ), 2, IF( AND( OFFSET($A$1, 1738 - 1, 54 - 1) = "0", OFFSET($A$1, 1738 - 1, 55 - 1) = "1" ), 3, 4 ) ) )</f>
        <v>4</v>
      </c>
    </row>
    <row r="1739" spans="53:56" x14ac:dyDescent="0.35">
      <c r="BA1739" s="3">
        <v>0.29959493695363104</v>
      </c>
      <c r="BB1739" s="3" t="str">
        <f>"1"</f>
        <v>1</v>
      </c>
      <c r="BC1739" t="str">
        <f ca="1">IF((OFFSET($A$1, 1739 - 1, 53 - 1)) &gt;= (OFFSET($A$1, 69 - 1, 7 - 1)), "1","0")</f>
        <v>0</v>
      </c>
      <c r="BD1739">
        <f ca="1" xml:space="preserve"> IF( AND( OFFSET($A$1, 1739 - 1, 54 - 1) = "1", OFFSET($A$1, 1739 - 1, 55 - 1) = "1" ), 1, IF( AND( OFFSET($A$1, 1739 - 1, 54 - 1) = "1", OFFSET($A$1, 1739 - 1, 55 - 1) = "0" ), 2, IF( AND( OFFSET($A$1, 1739 - 1, 54 - 1) = "0", OFFSET($A$1, 1739 - 1, 55 - 1) = "1" ), 3, 4 ) ) )</f>
        <v>2</v>
      </c>
    </row>
    <row r="1740" spans="53:56" x14ac:dyDescent="0.35">
      <c r="BA1740" s="3">
        <v>0.57051681426155798</v>
      </c>
      <c r="BB1740" s="3" t="str">
        <f>"1"</f>
        <v>1</v>
      </c>
      <c r="BC1740" t="str">
        <f ca="1">IF((OFFSET($A$1, 1740 - 1, 53 - 1)) &gt;= (OFFSET($A$1, 69 - 1, 7 - 1)), "1","0")</f>
        <v>1</v>
      </c>
      <c r="BD1740">
        <f ca="1" xml:space="preserve"> IF( AND( OFFSET($A$1, 1740 - 1, 54 - 1) = "1", OFFSET($A$1, 1740 - 1, 55 - 1) = "1" ), 1, IF( AND( OFFSET($A$1, 1740 - 1, 54 - 1) = "1", OFFSET($A$1, 1740 - 1, 55 - 1) = "0" ), 2, IF( AND( OFFSET($A$1, 1740 - 1, 54 - 1) = "0", OFFSET($A$1, 1740 - 1, 55 - 1) = "1" ), 3, 4 ) ) )</f>
        <v>1</v>
      </c>
    </row>
    <row r="1741" spans="53:56" x14ac:dyDescent="0.35">
      <c r="BA1741" s="3">
        <v>0.569240559148664</v>
      </c>
      <c r="BB1741" s="3" t="str">
        <f>"1"</f>
        <v>1</v>
      </c>
      <c r="BC1741" t="str">
        <f ca="1">IF((OFFSET($A$1, 1741 - 1, 53 - 1)) &gt;= (OFFSET($A$1, 69 - 1, 7 - 1)), "1","0")</f>
        <v>1</v>
      </c>
      <c r="BD1741">
        <f ca="1" xml:space="preserve"> IF( AND( OFFSET($A$1, 1741 - 1, 54 - 1) = "1", OFFSET($A$1, 1741 - 1, 55 - 1) = "1" ), 1, IF( AND( OFFSET($A$1, 1741 - 1, 54 - 1) = "1", OFFSET($A$1, 1741 - 1, 55 - 1) = "0" ), 2, IF( AND( OFFSET($A$1, 1741 - 1, 54 - 1) = "0", OFFSET($A$1, 1741 - 1, 55 - 1) = "1" ), 3, 4 ) ) )</f>
        <v>1</v>
      </c>
    </row>
    <row r="1742" spans="53:56" x14ac:dyDescent="0.35">
      <c r="BA1742" s="3">
        <v>0.56794950120345999</v>
      </c>
      <c r="BB1742" s="3" t="str">
        <f>"0"</f>
        <v>0</v>
      </c>
      <c r="BC1742" t="str">
        <f ca="1">IF((OFFSET($A$1, 1742 - 1, 53 - 1)) &gt;= (OFFSET($A$1, 69 - 1, 7 - 1)), "1","0")</f>
        <v>1</v>
      </c>
      <c r="BD1742">
        <f ca="1" xml:space="preserve"> IF( AND( OFFSET($A$1, 1742 - 1, 54 - 1) = "1", OFFSET($A$1, 1742 - 1, 55 - 1) = "1" ), 1, IF( AND( OFFSET($A$1, 1742 - 1, 54 - 1) = "1", OFFSET($A$1, 1742 - 1, 55 - 1) = "0" ), 2, IF( AND( OFFSET($A$1, 1742 - 1, 54 - 1) = "0", OFFSET($A$1, 1742 - 1, 55 - 1) = "1" ), 3, 4 ) ) )</f>
        <v>3</v>
      </c>
    </row>
    <row r="1743" spans="53:56" x14ac:dyDescent="0.35">
      <c r="BA1743" s="3">
        <v>0.29522009191751575</v>
      </c>
      <c r="BB1743" s="3" t="str">
        <f>"1"</f>
        <v>1</v>
      </c>
      <c r="BC1743" t="str">
        <f ca="1">IF((OFFSET($A$1, 1743 - 1, 53 - 1)) &gt;= (OFFSET($A$1, 69 - 1, 7 - 1)), "1","0")</f>
        <v>0</v>
      </c>
      <c r="BD1743">
        <f ca="1" xml:space="preserve"> IF( AND( OFFSET($A$1, 1743 - 1, 54 - 1) = "1", OFFSET($A$1, 1743 - 1, 55 - 1) = "1" ), 1, IF( AND( OFFSET($A$1, 1743 - 1, 54 - 1) = "1", OFFSET($A$1, 1743 - 1, 55 - 1) = "0" ), 2, IF( AND( OFFSET($A$1, 1743 - 1, 54 - 1) = "0", OFFSET($A$1, 1743 - 1, 55 - 1) = "1" ), 3, 4 ) ) )</f>
        <v>2</v>
      </c>
    </row>
    <row r="1744" spans="53:56" x14ac:dyDescent="0.35">
      <c r="BA1744" s="3">
        <v>0.5653244598183681</v>
      </c>
      <c r="BB1744" s="3" t="str">
        <f>"0"</f>
        <v>0</v>
      </c>
      <c r="BC1744" t="str">
        <f ca="1">IF((OFFSET($A$1, 1744 - 1, 53 - 1)) &gt;= (OFFSET($A$1, 69 - 1, 7 - 1)), "1","0")</f>
        <v>1</v>
      </c>
      <c r="BD1744">
        <f ca="1" xml:space="preserve"> IF( AND( OFFSET($A$1, 1744 - 1, 54 - 1) = "1", OFFSET($A$1, 1744 - 1, 55 - 1) = "1" ), 1, IF( AND( OFFSET($A$1, 1744 - 1, 54 - 1) = "1", OFFSET($A$1, 1744 - 1, 55 - 1) = "0" ), 2, IF( AND( OFFSET($A$1, 1744 - 1, 54 - 1) = "0", OFFSET($A$1, 1744 - 1, 55 - 1) = "1" ), 3, 4 ) ) )</f>
        <v>3</v>
      </c>
    </row>
    <row r="1745" spans="53:56" x14ac:dyDescent="0.35">
      <c r="BA1745" s="3">
        <v>0.29297892859587082</v>
      </c>
      <c r="BB1745" s="3" t="str">
        <f>"0"</f>
        <v>0</v>
      </c>
      <c r="BC1745" t="str">
        <f ca="1">IF((OFFSET($A$1, 1745 - 1, 53 - 1)) &gt;= (OFFSET($A$1, 69 - 1, 7 - 1)), "1","0")</f>
        <v>0</v>
      </c>
      <c r="BD1745">
        <f ca="1" xml:space="preserve"> IF( AND( OFFSET($A$1, 1745 - 1, 54 - 1) = "1", OFFSET($A$1, 1745 - 1, 55 - 1) = "1" ), 1, IF( AND( OFFSET($A$1, 1745 - 1, 54 - 1) = "1", OFFSET($A$1, 1745 - 1, 55 - 1) = "0" ), 2, IF( AND( OFFSET($A$1, 1745 - 1, 54 - 1) = "0", OFFSET($A$1, 1745 - 1, 55 - 1) = "1" ), 3, 4 ) ) )</f>
        <v>4</v>
      </c>
    </row>
    <row r="1746" spans="53:56" x14ac:dyDescent="0.35">
      <c r="BA1746" s="3">
        <v>0.29184634760414879</v>
      </c>
      <c r="BB1746" s="3" t="str">
        <f>"0"</f>
        <v>0</v>
      </c>
      <c r="BC1746" t="str">
        <f ca="1">IF((OFFSET($A$1, 1746 - 1, 53 - 1)) &gt;= (OFFSET($A$1, 69 - 1, 7 - 1)), "1","0")</f>
        <v>0</v>
      </c>
      <c r="BD1746">
        <f ca="1" xml:space="preserve"> IF( AND( OFFSET($A$1, 1746 - 1, 54 - 1) = "1", OFFSET($A$1, 1746 - 1, 55 - 1) = "1" ), 1, IF( AND( OFFSET($A$1, 1746 - 1, 54 - 1) = "1", OFFSET($A$1, 1746 - 1, 55 - 1) = "0" ), 2, IF( AND( OFFSET($A$1, 1746 - 1, 54 - 1) = "0", OFFSET($A$1, 1746 - 1, 55 - 1) = "1" ), 3, 4 ) ) )</f>
        <v>4</v>
      </c>
    </row>
    <row r="1747" spans="53:56" x14ac:dyDescent="0.35">
      <c r="BA1747" s="3">
        <v>0.29070631747224379</v>
      </c>
      <c r="BB1747" s="3" t="str">
        <f>"0"</f>
        <v>0</v>
      </c>
      <c r="BC1747" t="str">
        <f ca="1">IF((OFFSET($A$1, 1747 - 1, 53 - 1)) &gt;= (OFFSET($A$1, 69 - 1, 7 - 1)), "1","0")</f>
        <v>0</v>
      </c>
      <c r="BD1747">
        <f ca="1" xml:space="preserve"> IF( AND( OFFSET($A$1, 1747 - 1, 54 - 1) = "1", OFFSET($A$1, 1747 - 1, 55 - 1) = "1" ), 1, IF( AND( OFFSET($A$1, 1747 - 1, 54 - 1) = "1", OFFSET($A$1, 1747 - 1, 55 - 1) = "0" ), 2, IF( AND( OFFSET($A$1, 1747 - 1, 54 - 1) = "0", OFFSET($A$1, 1747 - 1, 55 - 1) = "1" ), 3, 4 ) ) )</f>
        <v>4</v>
      </c>
    </row>
    <row r="1748" spans="53:56" x14ac:dyDescent="0.35">
      <c r="BA1748" s="3">
        <v>0.28955925210072747</v>
      </c>
      <c r="BB1748" s="3" t="str">
        <f>"0"</f>
        <v>0</v>
      </c>
      <c r="BC1748" t="str">
        <f ca="1">IF((OFFSET($A$1, 1748 - 1, 53 - 1)) &gt;= (OFFSET($A$1, 69 - 1, 7 - 1)), "1","0")</f>
        <v>0</v>
      </c>
      <c r="BD1748">
        <f ca="1" xml:space="preserve"> IF( AND( OFFSET($A$1, 1748 - 1, 54 - 1) = "1", OFFSET($A$1, 1748 - 1, 55 - 1) = "1" ), 1, IF( AND( OFFSET($A$1, 1748 - 1, 54 - 1) = "1", OFFSET($A$1, 1748 - 1, 55 - 1) = "0" ), 2, IF( AND( OFFSET($A$1, 1748 - 1, 54 - 1) = "0", OFFSET($A$1, 1748 - 1, 55 - 1) = "1" ), 3, 4 ) ) )</f>
        <v>4</v>
      </c>
    </row>
    <row r="1749" spans="53:56" x14ac:dyDescent="0.35">
      <c r="BA1749" s="3">
        <v>0.28840556599083855</v>
      </c>
      <c r="BB1749" s="3" t="str">
        <f>"1"</f>
        <v>1</v>
      </c>
      <c r="BC1749" t="str">
        <f ca="1">IF((OFFSET($A$1, 1749 - 1, 53 - 1)) &gt;= (OFFSET($A$1, 69 - 1, 7 - 1)), "1","0")</f>
        <v>0</v>
      </c>
      <c r="BD1749">
        <f ca="1" xml:space="preserve"> IF( AND( OFFSET($A$1, 1749 - 1, 54 - 1) = "1", OFFSET($A$1, 1749 - 1, 55 - 1) = "1" ), 1, IF( AND( OFFSET($A$1, 1749 - 1, 54 - 1) = "1", OFFSET($A$1, 1749 - 1, 55 - 1) = "0" ), 2, IF( AND( OFFSET($A$1, 1749 - 1, 54 - 1) = "0", OFFSET($A$1, 1749 - 1, 55 - 1) = "1" ), 3, 4 ) ) )</f>
        <v>2</v>
      </c>
    </row>
    <row r="1750" spans="53:56" x14ac:dyDescent="0.35">
      <c r="BA1750" s="3">
        <v>0.55713366656232943</v>
      </c>
      <c r="BB1750" s="3" t="str">
        <f>"1"</f>
        <v>1</v>
      </c>
      <c r="BC1750" t="str">
        <f ca="1">IF((OFFSET($A$1, 1750 - 1, 53 - 1)) &gt;= (OFFSET($A$1, 69 - 1, 7 - 1)), "1","0")</f>
        <v>1</v>
      </c>
      <c r="BD1750">
        <f ca="1" xml:space="preserve"> IF( AND( OFFSET($A$1, 1750 - 1, 54 - 1) = "1", OFFSET($A$1, 1750 - 1, 55 - 1) = "1" ), 1, IF( AND( OFFSET($A$1, 1750 - 1, 54 - 1) = "1", OFFSET($A$1, 1750 - 1, 55 - 1) = "0" ), 2, IF( AND( OFFSET($A$1, 1750 - 1, 54 - 1) = "0", OFFSET($A$1, 1750 - 1, 55 - 1) = "1" ), 3, 4 ) ) )</f>
        <v>1</v>
      </c>
    </row>
    <row r="1751" spans="53:56" x14ac:dyDescent="0.35">
      <c r="BA1751" s="3">
        <v>0.55572668966486094</v>
      </c>
      <c r="BB1751" s="3" t="str">
        <f>"1"</f>
        <v>1</v>
      </c>
      <c r="BC1751" t="str">
        <f ca="1">IF((OFFSET($A$1, 1751 - 1, 53 - 1)) &gt;= (OFFSET($A$1, 69 - 1, 7 - 1)), "1","0")</f>
        <v>1</v>
      </c>
      <c r="BD1751">
        <f ca="1" xml:space="preserve"> IF( AND( OFFSET($A$1, 1751 - 1, 54 - 1) = "1", OFFSET($A$1, 1751 - 1, 55 - 1) = "1" ), 1, IF( AND( OFFSET($A$1, 1751 - 1, 54 - 1) = "1", OFFSET($A$1, 1751 - 1, 55 - 1) = "0" ), 2, IF( AND( OFFSET($A$1, 1751 - 1, 54 - 1) = "0", OFFSET($A$1, 1751 - 1, 55 - 1) = "1" ), 3, 4 ) ) )</f>
        <v>1</v>
      </c>
    </row>
    <row r="1752" spans="53:56" x14ac:dyDescent="0.35">
      <c r="BA1752" s="3">
        <v>0.55430885666325269</v>
      </c>
      <c r="BB1752" s="3" t="str">
        <f>"0"</f>
        <v>0</v>
      </c>
      <c r="BC1752" t="str">
        <f ca="1">IF((OFFSET($A$1, 1752 - 1, 53 - 1)) &gt;= (OFFSET($A$1, 69 - 1, 7 - 1)), "1","0")</f>
        <v>1</v>
      </c>
      <c r="BD1752">
        <f ca="1" xml:space="preserve"> IF( AND( OFFSET($A$1, 1752 - 1, 54 - 1) = "1", OFFSET($A$1, 1752 - 1, 55 - 1) = "1" ), 1, IF( AND( OFFSET($A$1, 1752 - 1, 54 - 1) = "1", OFFSET($A$1, 1752 - 1, 55 - 1) = "0" ), 2, IF( AND( OFFSET($A$1, 1752 - 1, 54 - 1) = "0", OFFSET($A$1, 1752 - 1, 55 - 1) = "1" ), 3, 4 ) ) )</f>
        <v>3</v>
      </c>
    </row>
    <row r="1753" spans="53:56" x14ac:dyDescent="0.35">
      <c r="BA1753" s="3">
        <v>0.28373291263230921</v>
      </c>
      <c r="BB1753" s="3" t="str">
        <f>"0"</f>
        <v>0</v>
      </c>
      <c r="BC1753" t="str">
        <f ca="1">IF((OFFSET($A$1, 1753 - 1, 53 - 1)) &gt;= (OFFSET($A$1, 69 - 1, 7 - 1)), "1","0")</f>
        <v>0</v>
      </c>
      <c r="BD1753">
        <f ca="1" xml:space="preserve"> IF( AND( OFFSET($A$1, 1753 - 1, 54 - 1) = "1", OFFSET($A$1, 1753 - 1, 55 - 1) = "1" ), 1, IF( AND( OFFSET($A$1, 1753 - 1, 54 - 1) = "1", OFFSET($A$1, 1753 - 1, 55 - 1) = "0" ), 2, IF( AND( OFFSET($A$1, 1753 - 1, 54 - 1) = "0", OFFSET($A$1, 1753 - 1, 55 - 1) = "1" ), 3, 4 ) ) )</f>
        <v>4</v>
      </c>
    </row>
    <row r="1754" spans="53:56" x14ac:dyDescent="0.35">
      <c r="BA1754" s="3">
        <v>0.28255234567149135</v>
      </c>
      <c r="BB1754" s="3" t="str">
        <f>"0"</f>
        <v>0</v>
      </c>
      <c r="BC1754" t="str">
        <f ca="1">IF((OFFSET($A$1, 1754 - 1, 53 - 1)) &gt;= (OFFSET($A$1, 69 - 1, 7 - 1)), "1","0")</f>
        <v>0</v>
      </c>
      <c r="BD1754">
        <f ca="1" xml:space="preserve"> IF( AND( OFFSET($A$1, 1754 - 1, 54 - 1) = "1", OFFSET($A$1, 1754 - 1, 55 - 1) = "1" ), 1, IF( AND( OFFSET($A$1, 1754 - 1, 54 - 1) = "1", OFFSET($A$1, 1754 - 1, 55 - 1) = "0" ), 2, IF( AND( OFFSET($A$1, 1754 - 1, 54 - 1) = "0", OFFSET($A$1, 1754 - 1, 55 - 1) = "1" ), 3, 4 ) ) )</f>
        <v>4</v>
      </c>
    </row>
    <row r="1755" spans="53:56" x14ac:dyDescent="0.35">
      <c r="BA1755" s="3">
        <v>0.28136764506980588</v>
      </c>
      <c r="BB1755" s="3" t="str">
        <f>"0"</f>
        <v>0</v>
      </c>
      <c r="BC1755" t="str">
        <f ca="1">IF((OFFSET($A$1, 1755 - 1, 53 - 1)) &gt;= (OFFSET($A$1, 69 - 1, 7 - 1)), "1","0")</f>
        <v>0</v>
      </c>
      <c r="BD1755">
        <f ca="1" xml:space="preserve"> IF( AND( OFFSET($A$1, 1755 - 1, 54 - 1) = "1", OFFSET($A$1, 1755 - 1, 55 - 1) = "1" ), 1, IF( AND( OFFSET($A$1, 1755 - 1, 54 - 1) = "1", OFFSET($A$1, 1755 - 1, 55 - 1) = "0" ), 2, IF( AND( OFFSET($A$1, 1755 - 1, 54 - 1) = "0", OFFSET($A$1, 1755 - 1, 55 - 1) = "1" ), 3, 4 ) ) )</f>
        <v>4</v>
      </c>
    </row>
    <row r="1756" spans="53:56" x14ac:dyDescent="0.35">
      <c r="BA1756" s="3">
        <v>0.28017922330539702</v>
      </c>
      <c r="BB1756" s="3" t="str">
        <f>"0"</f>
        <v>0</v>
      </c>
      <c r="BC1756" t="str">
        <f ca="1">IF((OFFSET($A$1, 1756 - 1, 53 - 1)) &gt;= (OFFSET($A$1, 69 - 1, 7 - 1)), "1","0")</f>
        <v>0</v>
      </c>
      <c r="BD1756">
        <f ca="1" xml:space="preserve"> IF( AND( OFFSET($A$1, 1756 - 1, 54 - 1) = "1", OFFSET($A$1, 1756 - 1, 55 - 1) = "1" ), 1, IF( AND( OFFSET($A$1, 1756 - 1, 54 - 1) = "1", OFFSET($A$1, 1756 - 1, 55 - 1) = "0" ), 2, IF( AND( OFFSET($A$1, 1756 - 1, 54 - 1) = "0", OFFSET($A$1, 1756 - 1, 55 - 1) = "1" ), 3, 4 ) ) )</f>
        <v>4</v>
      </c>
    </row>
    <row r="1757" spans="53:56" x14ac:dyDescent="0.35">
      <c r="BA1757" s="3">
        <v>0.27898749170023662</v>
      </c>
      <c r="BB1757" s="3" t="str">
        <f>"0"</f>
        <v>0</v>
      </c>
      <c r="BC1757" t="str">
        <f ca="1">IF((OFFSET($A$1, 1757 - 1, 53 - 1)) &gt;= (OFFSET($A$1, 69 - 1, 7 - 1)), "1","0")</f>
        <v>0</v>
      </c>
      <c r="BD1757">
        <f ca="1" xml:space="preserve"> IF( AND( OFFSET($A$1, 1757 - 1, 54 - 1) = "1", OFFSET($A$1, 1757 - 1, 55 - 1) = "1" ), 1, IF( AND( OFFSET($A$1, 1757 - 1, 54 - 1) = "1", OFFSET($A$1, 1757 - 1, 55 - 1) = "0" ), 2, IF( AND( OFFSET($A$1, 1757 - 1, 54 - 1) = "0", OFFSET($A$1, 1757 - 1, 55 - 1) = "1" ), 3, 4 ) ) )</f>
        <v>4</v>
      </c>
    </row>
    <row r="1758" spans="53:56" x14ac:dyDescent="0.35">
      <c r="BA1758" s="3">
        <v>0.2777928602108064</v>
      </c>
      <c r="BB1758" s="3" t="str">
        <f>"0"</f>
        <v>0</v>
      </c>
      <c r="BC1758" t="str">
        <f ca="1">IF((OFFSET($A$1, 1758 - 1, 53 - 1)) &gt;= (OFFSET($A$1, 69 - 1, 7 - 1)), "1","0")</f>
        <v>0</v>
      </c>
      <c r="BD1758">
        <f ca="1" xml:space="preserve"> IF( AND( OFFSET($A$1, 1758 - 1, 54 - 1) = "1", OFFSET($A$1, 1758 - 1, 55 - 1) = "1" ), 1, IF( AND( OFFSET($A$1, 1758 - 1, 54 - 1) = "1", OFFSET($A$1, 1758 - 1, 55 - 1) = "0" ), 2, IF( AND( OFFSET($A$1, 1758 - 1, 54 - 1) = "0", OFFSET($A$1, 1758 - 1, 55 - 1) = "1" ), 3, 4 ) ) )</f>
        <v>4</v>
      </c>
    </row>
    <row r="1759" spans="53:56" x14ac:dyDescent="0.35">
      <c r="BA1759" s="3">
        <v>0.27659573722186542</v>
      </c>
      <c r="BB1759" s="3" t="str">
        <f>"0"</f>
        <v>0</v>
      </c>
      <c r="BC1759" t="str">
        <f ca="1">IF((OFFSET($A$1, 1759 - 1, 53 - 1)) &gt;= (OFFSET($A$1, 69 - 1, 7 - 1)), "1","0")</f>
        <v>0</v>
      </c>
      <c r="BD1759">
        <f ca="1" xml:space="preserve"> IF( AND( OFFSET($A$1, 1759 - 1, 54 - 1) = "1", OFFSET($A$1, 1759 - 1, 55 - 1) = "1" ), 1, IF( AND( OFFSET($A$1, 1759 - 1, 54 - 1) = "1", OFFSET($A$1, 1759 - 1, 55 - 1) = "0" ), 2, IF( AND( OFFSET($A$1, 1759 - 1, 54 - 1) = "0", OFFSET($A$1, 1759 - 1, 55 - 1) = "1" ), 3, 4 ) ) )</f>
        <v>4</v>
      </c>
    </row>
    <row r="1760" spans="53:56" x14ac:dyDescent="0.35">
      <c r="BA1760" s="3">
        <v>0.27539652934354442</v>
      </c>
      <c r="BB1760" s="3" t="str">
        <f>"0"</f>
        <v>0</v>
      </c>
      <c r="BC1760" t="str">
        <f ca="1">IF((OFFSET($A$1, 1760 - 1, 53 - 1)) &gt;= (OFFSET($A$1, 69 - 1, 7 - 1)), "1","0")</f>
        <v>0</v>
      </c>
      <c r="BD1760">
        <f ca="1" xml:space="preserve"> IF( AND( OFFSET($A$1, 1760 - 1, 54 - 1) = "1", OFFSET($A$1, 1760 - 1, 55 - 1) = "1" ), 1, IF( AND( OFFSET($A$1, 1760 - 1, 54 - 1) = "1", OFFSET($A$1, 1760 - 1, 55 - 1) = "0" ), 2, IF( AND( OFFSET($A$1, 1760 - 1, 54 - 1) = "0", OFFSET($A$1, 1760 - 1, 55 - 1) = "1" ), 3, 4 ) ) )</f>
        <v>4</v>
      </c>
    </row>
    <row r="1761" spans="53:56" x14ac:dyDescent="0.35">
      <c r="BA1761" s="3">
        <v>0.27419564121197582</v>
      </c>
      <c r="BB1761" s="3" t="str">
        <f>"0"</f>
        <v>0</v>
      </c>
      <c r="BC1761" t="str">
        <f ca="1">IF((OFFSET($A$1, 1761 - 1, 53 - 1)) &gt;= (OFFSET($A$1, 69 - 1, 7 - 1)), "1","0")</f>
        <v>0</v>
      </c>
      <c r="BD1761">
        <f ca="1" xml:space="preserve"> IF( AND( OFFSET($A$1, 1761 - 1, 54 - 1) = "1", OFFSET($A$1, 1761 - 1, 55 - 1) = "1" ), 1, IF( AND( OFFSET($A$1, 1761 - 1, 54 - 1) = "1", OFFSET($A$1, 1761 - 1, 55 - 1) = "0" ), 2, IF( AND( OFFSET($A$1, 1761 - 1, 54 - 1) = "0", OFFSET($A$1, 1761 - 1, 55 - 1) = "1" ), 3, 4 ) ) )</f>
        <v>4</v>
      </c>
    </row>
    <row r="1762" spans="53:56" x14ac:dyDescent="0.35">
      <c r="BA1762" s="3">
        <v>0.27299347529368906</v>
      </c>
      <c r="BB1762" s="3" t="str">
        <f>"1"</f>
        <v>1</v>
      </c>
      <c r="BC1762" t="str">
        <f ca="1">IF((OFFSET($A$1, 1762 - 1, 53 - 1)) &gt;= (OFFSET($A$1, 69 - 1, 7 - 1)), "1","0")</f>
        <v>0</v>
      </c>
      <c r="BD1762">
        <f ca="1" xml:space="preserve"> IF( AND( OFFSET($A$1, 1762 - 1, 54 - 1) = "1", OFFSET($A$1, 1762 - 1, 55 - 1) = "1" ), 1, IF( AND( OFFSET($A$1, 1762 - 1, 54 - 1) = "1", OFFSET($A$1, 1762 - 1, 55 - 1) = "0" ), 2, IF( AND( OFFSET($A$1, 1762 - 1, 54 - 1) = "0", OFFSET($A$1, 1762 - 1, 55 - 1) = "1" ), 3, 4 ) ) )</f>
        <v>2</v>
      </c>
    </row>
    <row r="1763" spans="53:56" x14ac:dyDescent="0.35">
      <c r="BA1763" s="3">
        <v>0.53812051926741122</v>
      </c>
      <c r="BB1763" s="3" t="str">
        <f>"1"</f>
        <v>1</v>
      </c>
      <c r="BC1763" t="str">
        <f ca="1">IF((OFFSET($A$1, 1763 - 1, 53 - 1)) &gt;= (OFFSET($A$1, 69 - 1, 7 - 1)), "1","0")</f>
        <v>1</v>
      </c>
      <c r="BD1763">
        <f ca="1" xml:space="preserve"> IF( AND( OFFSET($A$1, 1763 - 1, 54 - 1) = "1", OFFSET($A$1, 1763 - 1, 55 - 1) = "1" ), 1, IF( AND( OFFSET($A$1, 1763 - 1, 54 - 1) = "1", OFFSET($A$1, 1763 - 1, 55 - 1) = "0" ), 2, IF( AND( OFFSET($A$1, 1763 - 1, 54 - 1) = "0", OFFSET($A$1, 1763 - 1, 55 - 1) = "1" ), 3, 4 ) ) )</f>
        <v>1</v>
      </c>
    </row>
    <row r="1764" spans="53:56" x14ac:dyDescent="0.35">
      <c r="BA1764" s="3">
        <v>0.53660669226245761</v>
      </c>
      <c r="BB1764" s="3" t="str">
        <f>"0"</f>
        <v>0</v>
      </c>
      <c r="BC1764" t="str">
        <f ca="1">IF((OFFSET($A$1, 1764 - 1, 53 - 1)) &gt;= (OFFSET($A$1, 69 - 1, 7 - 1)), "1","0")</f>
        <v>1</v>
      </c>
      <c r="BD1764">
        <f ca="1" xml:space="preserve"> IF( AND( OFFSET($A$1, 1764 - 1, 54 - 1) = "1", OFFSET($A$1, 1764 - 1, 55 - 1) = "1" ), 1, IF( AND( OFFSET($A$1, 1764 - 1, 54 - 1) = "1", OFFSET($A$1, 1764 - 1, 55 - 1) = "0" ), 2, IF( AND( OFFSET($A$1, 1764 - 1, 54 - 1) = "0", OFFSET($A$1, 1764 - 1, 55 - 1) = "1" ), 3, 4 ) ) )</f>
        <v>3</v>
      </c>
    </row>
    <row r="1765" spans="53:56" x14ac:dyDescent="0.35">
      <c r="BA1765" s="3">
        <v>0.26938329894507806</v>
      </c>
      <c r="BB1765" s="3" t="str">
        <f>"0"</f>
        <v>0</v>
      </c>
      <c r="BC1765" t="str">
        <f ca="1">IF((OFFSET($A$1, 1765 - 1, 53 - 1)) &gt;= (OFFSET($A$1, 69 - 1, 7 - 1)), "1","0")</f>
        <v>0</v>
      </c>
      <c r="BD1765">
        <f ca="1" xml:space="preserve"> IF( AND( OFFSET($A$1, 1765 - 1, 54 - 1) = "1", OFFSET($A$1, 1765 - 1, 55 - 1) = "1" ), 1, IF( AND( OFFSET($A$1, 1765 - 1, 54 - 1) = "1", OFFSET($A$1, 1765 - 1, 55 - 1) = "0" ), 2, IF( AND( OFFSET($A$1, 1765 - 1, 54 - 1) = "0", OFFSET($A$1, 1765 - 1, 55 - 1) = "1" ), 3, 4 ) ) )</f>
        <v>4</v>
      </c>
    </row>
    <row r="1766" spans="53:56" x14ac:dyDescent="0.35">
      <c r="BA1766" s="3">
        <v>0.26817999653538926</v>
      </c>
      <c r="BB1766" s="3" t="str">
        <f>"0"</f>
        <v>0</v>
      </c>
      <c r="BC1766" t="str">
        <f ca="1">IF((OFFSET($A$1, 1766 - 1, 53 - 1)) &gt;= (OFFSET($A$1, 69 - 1, 7 - 1)), "1","0")</f>
        <v>0</v>
      </c>
      <c r="BD1766">
        <f ca="1" xml:space="preserve"> IF( AND( OFFSET($A$1, 1766 - 1, 54 - 1) = "1", OFFSET($A$1, 1766 - 1, 55 - 1) = "1" ), 1, IF( AND( OFFSET($A$1, 1766 - 1, 54 - 1) = "1", OFFSET($A$1, 1766 - 1, 55 - 1) = "0" ), 2, IF( AND( OFFSET($A$1, 1766 - 1, 54 - 1) = "0", OFFSET($A$1, 1766 - 1, 55 - 1) = "1" ), 3, 4 ) ) )</f>
        <v>4</v>
      </c>
    </row>
    <row r="1767" spans="53:56" x14ac:dyDescent="0.35">
      <c r="BA1767" s="3">
        <v>0.26697738957107292</v>
      </c>
      <c r="BB1767" s="3" t="str">
        <f>"0"</f>
        <v>0</v>
      </c>
      <c r="BC1767" t="str">
        <f ca="1">IF((OFFSET($A$1, 1767 - 1, 53 - 1)) &gt;= (OFFSET($A$1, 69 - 1, 7 - 1)), "1","0")</f>
        <v>0</v>
      </c>
      <c r="BD1767">
        <f ca="1" xml:space="preserve"> IF( AND( OFFSET($A$1, 1767 - 1, 54 - 1) = "1", OFFSET($A$1, 1767 - 1, 55 - 1) = "1" ), 1, IF( AND( OFFSET($A$1, 1767 - 1, 54 - 1) = "1", OFFSET($A$1, 1767 - 1, 55 - 1) = "0" ), 2, IF( AND( OFFSET($A$1, 1767 - 1, 54 - 1) = "0", OFFSET($A$1, 1767 - 1, 55 - 1) = "1" ), 3, 4 ) ) )</f>
        <v>4</v>
      </c>
    </row>
    <row r="1768" spans="53:56" x14ac:dyDescent="0.35">
      <c r="BA1768" s="3">
        <v>0.26577586362997474</v>
      </c>
      <c r="BB1768" s="3" t="str">
        <f>"0"</f>
        <v>0</v>
      </c>
      <c r="BC1768" t="str">
        <f ca="1">IF((OFFSET($A$1, 1768 - 1, 53 - 1)) &gt;= (OFFSET($A$1, 69 - 1, 7 - 1)), "1","0")</f>
        <v>0</v>
      </c>
      <c r="BD1768">
        <f ca="1" xml:space="preserve"> IF( AND( OFFSET($A$1, 1768 - 1, 54 - 1) = "1", OFFSET($A$1, 1768 - 1, 55 - 1) = "1" ), 1, IF( AND( OFFSET($A$1, 1768 - 1, 54 - 1) = "1", OFFSET($A$1, 1768 - 1, 55 - 1) = "0" ), 2, IF( AND( OFFSET($A$1, 1768 - 1, 54 - 1) = "0", OFFSET($A$1, 1768 - 1, 55 - 1) = "1" ), 3, 4 ) ) )</f>
        <v>4</v>
      </c>
    </row>
    <row r="1769" spans="53:56" x14ac:dyDescent="0.35">
      <c r="BA1769" s="3">
        <v>0.26457580087340721</v>
      </c>
      <c r="BB1769" s="3" t="str">
        <f>"1"</f>
        <v>1</v>
      </c>
      <c r="BC1769" t="str">
        <f ca="1">IF((OFFSET($A$1, 1769 - 1, 53 - 1)) &gt;= (OFFSET($A$1, 69 - 1, 7 - 1)), "1","0")</f>
        <v>0</v>
      </c>
      <c r="BD1769">
        <f ca="1" xml:space="preserve"> IF( AND( OFFSET($A$1, 1769 - 1, 54 - 1) = "1", OFFSET($A$1, 1769 - 1, 55 - 1) = "1" ), 1, IF( AND( OFFSET($A$1, 1769 - 1, 54 - 1) = "1", OFFSET($A$1, 1769 - 1, 55 - 1) = "0" ), 2, IF( AND( OFFSET($A$1, 1769 - 1, 54 - 1) = "0", OFFSET($A$1, 1769 - 1, 55 - 1) = "1" ), 3, 4 ) ) )</f>
        <v>2</v>
      </c>
    </row>
    <row r="1770" spans="53:56" x14ac:dyDescent="0.35">
      <c r="BA1770" s="3">
        <v>0.5274347579256311</v>
      </c>
      <c r="BB1770" s="3" t="str">
        <f>"0"</f>
        <v>0</v>
      </c>
      <c r="BC1770" t="str">
        <f ca="1">IF((OFFSET($A$1, 1770 - 1, 53 - 1)) &gt;= (OFFSET($A$1, 69 - 1, 7 - 1)), "1","0")</f>
        <v>1</v>
      </c>
      <c r="BD1770">
        <f ca="1" xml:space="preserve"> IF( AND( OFFSET($A$1, 1770 - 1, 54 - 1) = "1", OFFSET($A$1, 1770 - 1, 55 - 1) = "1" ), 1, IF( AND( OFFSET($A$1, 1770 - 1, 54 - 1) = "1", OFFSET($A$1, 1770 - 1, 55 - 1) = "0" ), 2, IF( AND( OFFSET($A$1, 1770 - 1, 54 - 1) = "0", OFFSET($A$1, 1770 - 1, 55 - 1) = "1" ), 3, 4 ) ) )</f>
        <v>3</v>
      </c>
    </row>
    <row r="1771" spans="53:56" x14ac:dyDescent="0.35">
      <c r="BA1771" s="3">
        <v>0.26218157553093713</v>
      </c>
      <c r="BB1771" s="3" t="str">
        <f>"1"</f>
        <v>1</v>
      </c>
      <c r="BC1771" t="str">
        <f ca="1">IF((OFFSET($A$1, 1771 - 1, 53 - 1)) &gt;= (OFFSET($A$1, 69 - 1, 7 - 1)), "1","0")</f>
        <v>0</v>
      </c>
      <c r="BD1771">
        <f ca="1" xml:space="preserve"> IF( AND( OFFSET($A$1, 1771 - 1, 54 - 1) = "1", OFFSET($A$1, 1771 - 1, 55 - 1) = "1" ), 1, IF( AND( OFFSET($A$1, 1771 - 1, 54 - 1) = "1", OFFSET($A$1, 1771 - 1, 55 - 1) = "0" ), 2, IF( AND( OFFSET($A$1, 1771 - 1, 54 - 1) = "0", OFFSET($A$1, 1771 - 1, 55 - 1) = "1" ), 3, 4 ) ) )</f>
        <v>2</v>
      </c>
    </row>
    <row r="1772" spans="53:56" x14ac:dyDescent="0.35">
      <c r="BA1772" s="3">
        <v>0.52435501716201449</v>
      </c>
      <c r="BB1772" s="3" t="str">
        <f>"1"</f>
        <v>1</v>
      </c>
      <c r="BC1772" t="str">
        <f ca="1">IF((OFFSET($A$1, 1772 - 1, 53 - 1)) &gt;= (OFFSET($A$1, 69 - 1, 7 - 1)), "1","0")</f>
        <v>1</v>
      </c>
      <c r="BD1772">
        <f ca="1" xml:space="preserve"> IF( AND( OFFSET($A$1, 1772 - 1, 54 - 1) = "1", OFFSET($A$1, 1772 - 1, 55 - 1) = "1" ), 1, IF( AND( OFFSET($A$1, 1772 - 1, 54 - 1) = "1", OFFSET($A$1, 1772 - 1, 55 - 1) = "0" ), 2, IF( AND( OFFSET($A$1, 1772 - 1, 54 - 1) = "0", OFFSET($A$1, 1772 - 1, 55 - 1) = "1" ), 3, 4 ) ) )</f>
        <v>1</v>
      </c>
    </row>
    <row r="1773" spans="53:56" x14ac:dyDescent="0.35">
      <c r="BA1773" s="3">
        <v>0.52281310975565742</v>
      </c>
      <c r="BB1773" s="3" t="str">
        <f>"1"</f>
        <v>1</v>
      </c>
      <c r="BC1773" t="str">
        <f ca="1">IF((OFFSET($A$1, 1773 - 1, 53 - 1)) &gt;= (OFFSET($A$1, 69 - 1, 7 - 1)), "1","0")</f>
        <v>1</v>
      </c>
      <c r="BD1773">
        <f ca="1" xml:space="preserve"> IF( AND( OFFSET($A$1, 1773 - 1, 54 - 1) = "1", OFFSET($A$1, 1773 - 1, 55 - 1) = "1" ), 1, IF( AND( OFFSET($A$1, 1773 - 1, 54 - 1) = "1", OFFSET($A$1, 1773 - 1, 55 - 1) = "0" ), 2, IF( AND( OFFSET($A$1, 1773 - 1, 54 - 1) = "0", OFFSET($A$1, 1773 - 1, 55 - 1) = "1" ), 3, 4 ) ) )</f>
        <v>1</v>
      </c>
    </row>
    <row r="1774" spans="53:56" x14ac:dyDescent="0.35">
      <c r="BA1774" s="3">
        <v>0.52127049081875187</v>
      </c>
      <c r="BB1774" s="3" t="str">
        <f>"1"</f>
        <v>1</v>
      </c>
      <c r="BC1774" t="str">
        <f ca="1">IF((OFFSET($A$1, 1774 - 1, 53 - 1)) &gt;= (OFFSET($A$1, 69 - 1, 7 - 1)), "1","0")</f>
        <v>1</v>
      </c>
      <c r="BD1774">
        <f ca="1" xml:space="preserve"> IF( AND( OFFSET($A$1, 1774 - 1, 54 - 1) = "1", OFFSET($A$1, 1774 - 1, 55 - 1) = "1" ), 1, IF( AND( OFFSET($A$1, 1774 - 1, 54 - 1) = "1", OFFSET($A$1, 1774 - 1, 55 - 1) = "0" ), 2, IF( AND( OFFSET($A$1, 1774 - 1, 54 - 1) = "0", OFFSET($A$1, 1774 - 1, 55 - 1) = "1" ), 3, 4 ) ) )</f>
        <v>1</v>
      </c>
    </row>
    <row r="1775" spans="53:56" x14ac:dyDescent="0.35">
      <c r="BA1775" s="3">
        <v>0.51972764609797806</v>
      </c>
      <c r="BB1775" s="3" t="str">
        <f>"0"</f>
        <v>0</v>
      </c>
      <c r="BC1775" t="str">
        <f ca="1">IF((OFFSET($A$1, 1775 - 1, 53 - 1)) &gt;= (OFFSET($A$1, 69 - 1, 7 - 1)), "1","0")</f>
        <v>1</v>
      </c>
      <c r="BD1775">
        <f ca="1" xml:space="preserve"> IF( AND( OFFSET($A$1, 1775 - 1, 54 - 1) = "1", OFFSET($A$1, 1775 - 1, 55 - 1) = "1" ), 1, IF( AND( OFFSET($A$1, 1775 - 1, 54 - 1) = "1", OFFSET($A$1, 1775 - 1, 55 - 1) = "0" ), 2, IF( AND( OFFSET($A$1, 1775 - 1, 54 - 1) = "0", OFFSET($A$1, 1775 - 1, 55 - 1) = "1" ), 3, 4 ) ) )</f>
        <v>3</v>
      </c>
    </row>
    <row r="1776" spans="53:56" x14ac:dyDescent="0.35">
      <c r="BA1776" s="3">
        <v>0.25624764413636097</v>
      </c>
      <c r="BB1776" s="3" t="str">
        <f>"0"</f>
        <v>0</v>
      </c>
      <c r="BC1776" t="str">
        <f ca="1">IF((OFFSET($A$1, 1776 - 1, 53 - 1)) &gt;= (OFFSET($A$1, 69 - 1, 7 - 1)), "1","0")</f>
        <v>0</v>
      </c>
      <c r="BD1776">
        <f ca="1" xml:space="preserve"> IF( AND( OFFSET($A$1, 1776 - 1, 54 - 1) = "1", OFFSET($A$1, 1776 - 1, 55 - 1) = "1" ), 1, IF( AND( OFFSET($A$1, 1776 - 1, 54 - 1) = "1", OFFSET($A$1, 1776 - 1, 55 - 1) = "0" ), 2, IF( AND( OFFSET($A$1, 1776 - 1, 54 - 1) = "0", OFFSET($A$1, 1776 - 1, 55 - 1) = "1" ), 3, 4 ) ) )</f>
        <v>4</v>
      </c>
    </row>
    <row r="1777" spans="53:56" x14ac:dyDescent="0.35">
      <c r="BA1777" s="3">
        <v>0.25507258492892748</v>
      </c>
      <c r="BB1777" s="3" t="str">
        <f>"0"</f>
        <v>0</v>
      </c>
      <c r="BC1777" t="str">
        <f ca="1">IF((OFFSET($A$1, 1777 - 1, 53 - 1)) &gt;= (OFFSET($A$1, 69 - 1, 7 - 1)), "1","0")</f>
        <v>0</v>
      </c>
      <c r="BD1777">
        <f ca="1" xml:space="preserve"> IF( AND( OFFSET($A$1, 1777 - 1, 54 - 1) = "1", OFFSET($A$1, 1777 - 1, 55 - 1) = "1" ), 1, IF( AND( OFFSET($A$1, 1777 - 1, 54 - 1) = "1", OFFSET($A$1, 1777 - 1, 55 - 1) = "0" ), 2, IF( AND( OFFSET($A$1, 1777 - 1, 54 - 1) = "0", OFFSET($A$1, 1777 - 1, 55 - 1) = "1" ), 3, 4 ) ) )</f>
        <v>4</v>
      </c>
    </row>
    <row r="1778" spans="53:56" x14ac:dyDescent="0.35">
      <c r="BA1778" s="3">
        <v>0.25390225030026614</v>
      </c>
      <c r="BB1778" s="3" t="str">
        <f>"1"</f>
        <v>1</v>
      </c>
      <c r="BC1778" t="str">
        <f ca="1">IF((OFFSET($A$1, 1778 - 1, 53 - 1)) &gt;= (OFFSET($A$1, 69 - 1, 7 - 1)), "1","0")</f>
        <v>0</v>
      </c>
      <c r="BD1778">
        <f ca="1" xml:space="preserve"> IF( AND( OFFSET($A$1, 1778 - 1, 54 - 1) = "1", OFFSET($A$1, 1778 - 1, 55 - 1) = "1" ), 1, IF( AND( OFFSET($A$1, 1778 - 1, 54 - 1) = "1", OFFSET($A$1, 1778 - 1, 55 - 1) = "0" ), 2, IF( AND( OFFSET($A$1, 1778 - 1, 54 - 1) = "0", OFFSET($A$1, 1778 - 1, 55 - 1) = "1" ), 3, 4 ) ) )</f>
        <v>2</v>
      </c>
    </row>
    <row r="1779" spans="53:56" x14ac:dyDescent="0.35">
      <c r="BA1779" s="3">
        <v>0.51356373489836804</v>
      </c>
      <c r="BB1779" s="3" t="str">
        <f>"1"</f>
        <v>1</v>
      </c>
      <c r="BC1779" t="str">
        <f ca="1">IF((OFFSET($A$1, 1779 - 1, 53 - 1)) &gt;= (OFFSET($A$1, 69 - 1, 7 - 1)), "1","0")</f>
        <v>1</v>
      </c>
      <c r="BD1779">
        <f ca="1" xml:space="preserve"> IF( AND( OFFSET($A$1, 1779 - 1, 54 - 1) = "1", OFFSET($A$1, 1779 - 1, 55 - 1) = "1" ), 1, IF( AND( OFFSET($A$1, 1779 - 1, 54 - 1) = "1", OFFSET($A$1, 1779 - 1, 55 - 1) = "0" ), 2, IF( AND( OFFSET($A$1, 1779 - 1, 54 - 1) = "0", OFFSET($A$1, 1779 - 1, 55 - 1) = "1" ), 3, 4 ) ) )</f>
        <v>1</v>
      </c>
    </row>
    <row r="1780" spans="53:56" x14ac:dyDescent="0.35">
      <c r="BA1780" s="3">
        <v>0.51202705489961986</v>
      </c>
      <c r="BB1780" s="3" t="str">
        <f>"1"</f>
        <v>1</v>
      </c>
      <c r="BC1780" t="str">
        <f ca="1">IF((OFFSET($A$1, 1780 - 1, 53 - 1)) &gt;= (OFFSET($A$1, 69 - 1, 7 - 1)), "1","0")</f>
        <v>1</v>
      </c>
      <c r="BD1780">
        <f ca="1" xml:space="preserve"> IF( AND( OFFSET($A$1, 1780 - 1, 54 - 1) = "1", OFFSET($A$1, 1780 - 1, 55 - 1) = "1" ), 1, IF( AND( OFFSET($A$1, 1780 - 1, 54 - 1) = "1", OFFSET($A$1, 1780 - 1, 55 - 1) = "0" ), 2, IF( AND( OFFSET($A$1, 1780 - 1, 54 - 1) = "0", OFFSET($A$1, 1780 - 1, 55 - 1) = "1" ), 3, 4 ) ) )</f>
        <v>1</v>
      </c>
    </row>
    <row r="1781" spans="53:56" x14ac:dyDescent="0.35">
      <c r="BA1781" s="3">
        <v>0.51049306491455415</v>
      </c>
      <c r="BB1781" s="3" t="str">
        <f>"0"</f>
        <v>0</v>
      </c>
      <c r="BC1781" t="str">
        <f ca="1">IF((OFFSET($A$1, 1781 - 1, 53 - 1)) &gt;= (OFFSET($A$1, 69 - 1, 7 - 1)), "1","0")</f>
        <v>1</v>
      </c>
      <c r="BD1781">
        <f ca="1" xml:space="preserve"> IF( AND( OFFSET($A$1, 1781 - 1, 54 - 1) = "1", OFFSET($A$1, 1781 - 1, 55 - 1) = "1" ), 1, IF( AND( OFFSET($A$1, 1781 - 1, 54 - 1) = "1", OFFSET($A$1, 1781 - 1, 55 - 1) = "0" ), 2, IF( AND( OFFSET($A$1, 1781 - 1, 54 - 1) = "0", OFFSET($A$1, 1781 - 1, 55 - 1) = "1" ), 3, 4 ) ) )</f>
        <v>3</v>
      </c>
    </row>
    <row r="1782" spans="53:56" x14ac:dyDescent="0.35">
      <c r="BA1782" s="3">
        <v>0.24927488851485535</v>
      </c>
      <c r="BB1782" s="3" t="str">
        <f>"0"</f>
        <v>0</v>
      </c>
      <c r="BC1782" t="str">
        <f ca="1">IF((OFFSET($A$1, 1782 - 1, 53 - 1)) &gt;= (OFFSET($A$1, 69 - 1, 7 - 1)), "1","0")</f>
        <v>0</v>
      </c>
      <c r="BD1782">
        <f ca="1" xml:space="preserve"> IF( AND( OFFSET($A$1, 1782 - 1, 54 - 1) = "1", OFFSET($A$1, 1782 - 1, 55 - 1) = "1" ), 1, IF( AND( OFFSET($A$1, 1782 - 1, 54 - 1) = "1", OFFSET($A$1, 1782 - 1, 55 - 1) = "0" ), 2, IF( AND( OFFSET($A$1, 1782 - 1, 54 - 1) = "0", OFFSET($A$1, 1782 - 1, 55 - 1) = "1" ), 3, 4 ) ) )</f>
        <v>4</v>
      </c>
    </row>
    <row r="1783" spans="53:56" x14ac:dyDescent="0.35">
      <c r="BA1783" s="3">
        <v>0.24813318164567555</v>
      </c>
      <c r="BB1783" s="3" t="str">
        <f>"0"</f>
        <v>0</v>
      </c>
      <c r="BC1783" t="str">
        <f ca="1">IF((OFFSET($A$1, 1783 - 1, 53 - 1)) &gt;= (OFFSET($A$1, 69 - 1, 7 - 1)), "1","0")</f>
        <v>0</v>
      </c>
      <c r="BD1783">
        <f ca="1" xml:space="preserve"> IF( AND( OFFSET($A$1, 1783 - 1, 54 - 1) = "1", OFFSET($A$1, 1783 - 1, 55 - 1) = "1" ), 1, IF( AND( OFFSET($A$1, 1783 - 1, 54 - 1) = "1", OFFSET($A$1, 1783 - 1, 55 - 1) = "0" ), 2, IF( AND( OFFSET($A$1, 1783 - 1, 54 - 1) = "0", OFFSET($A$1, 1783 - 1, 55 - 1) = "1" ), 3, 4 ) ) )</f>
        <v>4</v>
      </c>
    </row>
    <row r="1784" spans="53:56" x14ac:dyDescent="0.35">
      <c r="BA1784" s="3">
        <v>0.24699816615786183</v>
      </c>
      <c r="BB1784" s="3" t="str">
        <f>"0"</f>
        <v>0</v>
      </c>
      <c r="BC1784" t="str">
        <f ca="1">IF((OFFSET($A$1, 1784 - 1, 53 - 1)) &gt;= (OFFSET($A$1, 69 - 1, 7 - 1)), "1","0")</f>
        <v>0</v>
      </c>
      <c r="BD1784">
        <f ca="1" xml:space="preserve"> IF( AND( OFFSET($A$1, 1784 - 1, 54 - 1) = "1", OFFSET($A$1, 1784 - 1, 55 - 1) = "1" ), 1, IF( AND( OFFSET($A$1, 1784 - 1, 54 - 1) = "1", OFFSET($A$1, 1784 - 1, 55 - 1) = "0" ), 2, IF( AND( OFFSET($A$1, 1784 - 1, 54 - 1) = "0", OFFSET($A$1, 1784 - 1, 55 - 1) = "1" ), 3, 4 ) ) )</f>
        <v>4</v>
      </c>
    </row>
    <row r="1785" spans="53:56" x14ac:dyDescent="0.35">
      <c r="BA1785" s="3">
        <v>0.24587015191368947</v>
      </c>
      <c r="BB1785" s="3" t="str">
        <f>"1"</f>
        <v>1</v>
      </c>
      <c r="BC1785" t="str">
        <f ca="1">IF((OFFSET($A$1, 1785 - 1, 53 - 1)) &gt;= (OFFSET($A$1, 69 - 1, 7 - 1)), "1","0")</f>
        <v>0</v>
      </c>
      <c r="BD1785">
        <f ca="1" xml:space="preserve"> IF( AND( OFFSET($A$1, 1785 - 1, 54 - 1) = "1", OFFSET($A$1, 1785 - 1, 55 - 1) = "1" ), 1, IF( AND( OFFSET($A$1, 1785 - 1, 54 - 1) = "1", OFFSET($A$1, 1785 - 1, 55 - 1) = "0" ), 2, IF( AND( OFFSET($A$1, 1785 - 1, 54 - 1) = "0", OFFSET($A$1, 1785 - 1, 55 - 1) = "1" ), 3, 4 ) ) )</f>
        <v>2</v>
      </c>
    </row>
    <row r="1786" spans="53:56" x14ac:dyDescent="0.35">
      <c r="BA1786" s="3">
        <v>0.50288036408833481</v>
      </c>
      <c r="BB1786" s="3" t="str">
        <f>"0"</f>
        <v>0</v>
      </c>
      <c r="BC1786" t="str">
        <f ca="1">IF((OFFSET($A$1, 1786 - 1, 53 - 1)) &gt;= (OFFSET($A$1, 69 - 1, 7 - 1)), "1","0")</f>
        <v>1</v>
      </c>
      <c r="BD1786">
        <f ca="1" xml:space="preserve"> IF( AND( OFFSET($A$1, 1786 - 1, 54 - 1) = "1", OFFSET($A$1, 1786 - 1, 55 - 1) = "1" ), 1, IF( AND( OFFSET($A$1, 1786 - 1, 54 - 1) = "1", OFFSET($A$1, 1786 - 1, 55 - 1) = "0" ), 2, IF( AND( OFFSET($A$1, 1786 - 1, 54 - 1) = "0", OFFSET($A$1, 1786 - 1, 55 - 1) = "1" ), 3, 4 ) ) )</f>
        <v>3</v>
      </c>
    </row>
    <row r="1787" spans="53:56" x14ac:dyDescent="0.35">
      <c r="BA1787" s="3">
        <v>0.24363633998967232</v>
      </c>
      <c r="BB1787" s="3" t="str">
        <f>"0"</f>
        <v>0</v>
      </c>
      <c r="BC1787" t="str">
        <f ca="1">IF((OFFSET($A$1, 1787 - 1, 53 - 1)) &gt;= (OFFSET($A$1, 69 - 1, 7 - 1)), "1","0")</f>
        <v>0</v>
      </c>
      <c r="BD1787">
        <f ca="1" xml:space="preserve"> IF( AND( OFFSET($A$1, 1787 - 1, 54 - 1) = "1", OFFSET($A$1, 1787 - 1, 55 - 1) = "1" ), 1, IF( AND( OFFSET($A$1, 1787 - 1, 54 - 1) = "1", OFFSET($A$1, 1787 - 1, 55 - 1) = "0" ), 2, IF( AND( OFFSET($A$1, 1787 - 1, 54 - 1) = "0", OFFSET($A$1, 1787 - 1, 55 - 1) = "1" ), 3, 4 ) ) )</f>
        <v>4</v>
      </c>
    </row>
    <row r="1788" spans="53:56" x14ac:dyDescent="0.35">
      <c r="BA1788" s="3">
        <v>0.24253113525691264</v>
      </c>
      <c r="BB1788" s="3" t="str">
        <f>"1"</f>
        <v>1</v>
      </c>
      <c r="BC1788" t="str">
        <f ca="1">IF((OFFSET($A$1, 1788 - 1, 53 - 1)) &gt;= (OFFSET($A$1, 69 - 1, 7 - 1)), "1","0")</f>
        <v>0</v>
      </c>
      <c r="BD1788">
        <f ca="1" xml:space="preserve"> IF( AND( OFFSET($A$1, 1788 - 1, 54 - 1) = "1", OFFSET($A$1, 1788 - 1, 55 - 1) = "1" ), 1, IF( AND( OFFSET($A$1, 1788 - 1, 54 - 1) = "1", OFFSET($A$1, 1788 - 1, 55 - 1) = "0" ), 2, IF( AND( OFFSET($A$1, 1788 - 1, 54 - 1) = "0", OFFSET($A$1, 1788 - 1, 55 - 1) = "1" ), 3, 4 ) ) )</f>
        <v>2</v>
      </c>
    </row>
    <row r="1789" spans="53:56" x14ac:dyDescent="0.35">
      <c r="BA1789" s="3">
        <v>0.49837578330554816</v>
      </c>
      <c r="BB1789" s="3" t="str">
        <f>"0"</f>
        <v>0</v>
      </c>
      <c r="BC1789" t="str">
        <f ca="1">IF((OFFSET($A$1, 1789 - 1, 53 - 1)) &gt;= (OFFSET($A$1, 69 - 1, 7 - 1)), "1","0")</f>
        <v>0</v>
      </c>
      <c r="BD1789">
        <f ca="1" xml:space="preserve"> IF( AND( OFFSET($A$1, 1789 - 1, 54 - 1) = "1", OFFSET($A$1, 1789 - 1, 55 - 1) = "1" ), 1, IF( AND( OFFSET($A$1, 1789 - 1, 54 - 1) = "1", OFFSET($A$1, 1789 - 1, 55 - 1) = "0" ), 2, IF( AND( OFFSET($A$1, 1789 - 1, 54 - 1) = "0", OFFSET($A$1, 1789 - 1, 55 - 1) = "1" ), 3, 4 ) ) )</f>
        <v>4</v>
      </c>
    </row>
    <row r="1790" spans="53:56" x14ac:dyDescent="0.35">
      <c r="BA1790" s="3">
        <v>0.2403455697286426</v>
      </c>
      <c r="BB1790" s="3" t="str">
        <f>"0"</f>
        <v>0</v>
      </c>
      <c r="BC1790" t="str">
        <f ca="1">IF((OFFSET($A$1, 1790 - 1, 53 - 1)) &gt;= (OFFSET($A$1, 69 - 1, 7 - 1)), "1","0")</f>
        <v>0</v>
      </c>
      <c r="BD1790">
        <f ca="1" xml:space="preserve"> IF( AND( OFFSET($A$1, 1790 - 1, 54 - 1) = "1", OFFSET($A$1, 1790 - 1, 55 - 1) = "1" ), 1, IF( AND( OFFSET($A$1, 1790 - 1, 54 - 1) = "1", OFFSET($A$1, 1790 - 1, 55 - 1) = "0" ), 2, IF( AND( OFFSET($A$1, 1790 - 1, 54 - 1) = "0", OFFSET($A$1, 1790 - 1, 55 - 1) = "1" ), 3, 4 ) ) )</f>
        <v>4</v>
      </c>
    </row>
    <row r="1791" spans="53:56" x14ac:dyDescent="0.35">
      <c r="BA1791" s="3">
        <v>0.23926576901100158</v>
      </c>
      <c r="BB1791" s="3" t="str">
        <f>"0"</f>
        <v>0</v>
      </c>
      <c r="BC1791" t="str">
        <f ca="1">IF((OFFSET($A$1, 1791 - 1, 53 - 1)) &gt;= (OFFSET($A$1, 69 - 1, 7 - 1)), "1","0")</f>
        <v>0</v>
      </c>
      <c r="BD1791">
        <f ca="1" xml:space="preserve"> IF( AND( OFFSET($A$1, 1791 - 1, 54 - 1) = "1", OFFSET($A$1, 1791 - 1, 55 - 1) = "1" ), 1, IF( AND( OFFSET($A$1, 1791 - 1, 54 - 1) = "1", OFFSET($A$1, 1791 - 1, 55 - 1) = "0" ), 2, IF( AND( OFFSET($A$1, 1791 - 1, 54 - 1) = "0", OFFSET($A$1, 1791 - 1, 55 - 1) = "1" ), 3, 4 ) ) )</f>
        <v>4</v>
      </c>
    </row>
    <row r="1792" spans="53:56" x14ac:dyDescent="0.35">
      <c r="BA1792" s="3">
        <v>0.23819498713282053</v>
      </c>
      <c r="BB1792" s="3" t="str">
        <f>"0"</f>
        <v>0</v>
      </c>
      <c r="BC1792" t="str">
        <f ca="1">IF((OFFSET($A$1, 1792 - 1, 53 - 1)) &gt;= (OFFSET($A$1, 69 - 1, 7 - 1)), "1","0")</f>
        <v>0</v>
      </c>
      <c r="BD1792">
        <f ca="1" xml:space="preserve"> IF( AND( OFFSET($A$1, 1792 - 1, 54 - 1) = "1", OFFSET($A$1, 1792 - 1, 55 - 1) = "1" ), 1, IF( AND( OFFSET($A$1, 1792 - 1, 54 - 1) = "1", OFFSET($A$1, 1792 - 1, 55 - 1) = "0" ), 2, IF( AND( OFFSET($A$1, 1792 - 1, 54 - 1) = "0", OFFSET($A$1, 1792 - 1, 55 - 1) = "1" ), 3, 4 ) ) )</f>
        <v>4</v>
      </c>
    </row>
    <row r="1793" spans="53:56" x14ac:dyDescent="0.35">
      <c r="BA1793" s="3">
        <v>0.23713349023511149</v>
      </c>
      <c r="BB1793" s="3" t="str">
        <f>"0"</f>
        <v>0</v>
      </c>
      <c r="BC1793" t="str">
        <f ca="1">IF((OFFSET($A$1, 1793 - 1, 53 - 1)) &gt;= (OFFSET($A$1, 69 - 1, 7 - 1)), "1","0")</f>
        <v>0</v>
      </c>
      <c r="BD1793">
        <f ca="1" xml:space="preserve"> IF( AND( OFFSET($A$1, 1793 - 1, 54 - 1) = "1", OFFSET($A$1, 1793 - 1, 55 - 1) = "1" ), 1, IF( AND( OFFSET($A$1, 1793 - 1, 54 - 1) = "1", OFFSET($A$1, 1793 - 1, 55 - 1) = "0" ), 2, IF( AND( OFFSET($A$1, 1793 - 1, 54 - 1) = "0", OFFSET($A$1, 1793 - 1, 55 - 1) = "1" ), 3, 4 ) ) )</f>
        <v>4</v>
      </c>
    </row>
    <row r="1794" spans="53:56" x14ac:dyDescent="0.35">
      <c r="BA1794" s="3">
        <v>0.23608153886846331</v>
      </c>
      <c r="BB1794" s="3" t="str">
        <f>"0"</f>
        <v>0</v>
      </c>
      <c r="BC1794" t="str">
        <f ca="1">IF((OFFSET($A$1, 1794 - 1, 53 - 1)) &gt;= (OFFSET($A$1, 69 - 1, 7 - 1)), "1","0")</f>
        <v>0</v>
      </c>
      <c r="BD1794">
        <f ca="1" xml:space="preserve"> IF( AND( OFFSET($A$1, 1794 - 1, 54 - 1) = "1", OFFSET($A$1, 1794 - 1, 55 - 1) = "1" ), 1, IF( AND( OFFSET($A$1, 1794 - 1, 54 - 1) = "1", OFFSET($A$1, 1794 - 1, 55 - 1) = "0" ), 2, IF( AND( OFFSET($A$1, 1794 - 1, 54 - 1) = "0", OFFSET($A$1, 1794 - 1, 55 - 1) = "1" ), 3, 4 ) ) )</f>
        <v>4</v>
      </c>
    </row>
    <row r="1795" spans="53:56" x14ac:dyDescent="0.35">
      <c r="BA1795" s="3">
        <v>0.23503938798447685</v>
      </c>
      <c r="BB1795" s="3" t="str">
        <f>"0"</f>
        <v>0</v>
      </c>
      <c r="BC1795" t="str">
        <f ca="1">IF((OFFSET($A$1, 1795 - 1, 53 - 1)) &gt;= (OFFSET($A$1, 69 - 1, 7 - 1)), "1","0")</f>
        <v>0</v>
      </c>
      <c r="BD1795">
        <f ca="1" xml:space="preserve"> IF( AND( OFFSET($A$1, 1795 - 1, 54 - 1) = "1", OFFSET($A$1, 1795 - 1, 55 - 1) = "1" ), 1, IF( AND( OFFSET($A$1, 1795 - 1, 54 - 1) = "1", OFFSET($A$1, 1795 - 1, 55 - 1) = "0" ), 2, IF( AND( OFFSET($A$1, 1795 - 1, 54 - 1) = "0", OFFSET($A$1, 1795 - 1, 55 - 1) = "1" ), 3, 4 ) ) )</f>
        <v>4</v>
      </c>
    </row>
    <row r="1796" spans="53:56" x14ac:dyDescent="0.35">
      <c r="BA1796" s="3">
        <v>0.23400728693269776</v>
      </c>
      <c r="BB1796" s="3" t="str">
        <f>"0"</f>
        <v>0</v>
      </c>
      <c r="BC1796" t="str">
        <f ca="1">IF((OFFSET($A$1, 1796 - 1, 53 - 1)) &gt;= (OFFSET($A$1, 69 - 1, 7 - 1)), "1","0")</f>
        <v>0</v>
      </c>
      <c r="BD1796">
        <f ca="1" xml:space="preserve"> IF( AND( OFFSET($A$1, 1796 - 1, 54 - 1) = "1", OFFSET($A$1, 1796 - 1, 55 - 1) = "1" ), 1, IF( AND( OFFSET($A$1, 1796 - 1, 54 - 1) = "1", OFFSET($A$1, 1796 - 1, 55 - 1) = "0" ), 2, IF( AND( OFFSET($A$1, 1796 - 1, 54 - 1) = "0", OFFSET($A$1, 1796 - 1, 55 - 1) = "1" ), 3, 4 ) ) )</f>
        <v>4</v>
      </c>
    </row>
    <row r="1797" spans="53:56" x14ac:dyDescent="0.35">
      <c r="BA1797" s="3">
        <v>0.23298547946291828</v>
      </c>
      <c r="BB1797" s="3" t="str">
        <f>"1"</f>
        <v>1</v>
      </c>
      <c r="BC1797" t="str">
        <f ca="1">IF((OFFSET($A$1, 1797 - 1, 53 - 1)) &gt;= (OFFSET($A$1, 69 - 1, 7 - 1)), "1","0")</f>
        <v>0</v>
      </c>
      <c r="BD1797">
        <f ca="1" xml:space="preserve"> IF( AND( OFFSET($A$1, 1797 - 1, 54 - 1) = "1", OFFSET($A$1, 1797 - 1, 55 - 1) = "1" ), 1, IF( AND( OFFSET($A$1, 1797 - 1, 54 - 1) = "1", OFFSET($A$1, 1797 - 1, 55 - 1) = "0" ), 2, IF( AND( OFFSET($A$1, 1797 - 1, 54 - 1) = "0", OFFSET($A$1, 1797 - 1, 55 - 1) = "1" ), 3, 4 ) ) )</f>
        <v>2</v>
      </c>
    </row>
    <row r="1798" spans="53:56" x14ac:dyDescent="0.35">
      <c r="BA1798" s="3">
        <v>0.48528899375477141</v>
      </c>
      <c r="BB1798" s="3" t="str">
        <f>"1"</f>
        <v>1</v>
      </c>
      <c r="BC1798" t="str">
        <f ca="1">IF((OFFSET($A$1, 1798 - 1, 53 - 1)) &gt;= (OFFSET($A$1, 69 - 1, 7 - 1)), "1","0")</f>
        <v>0</v>
      </c>
      <c r="BD1798">
        <f ca="1" xml:space="preserve"> IF( AND( OFFSET($A$1, 1798 - 1, 54 - 1) = "1", OFFSET($A$1, 1798 - 1, 55 - 1) = "1" ), 1, IF( AND( OFFSET($A$1, 1798 - 1, 54 - 1) = "1", OFFSET($A$1, 1798 - 1, 55 - 1) = "0" ), 2, IF( AND( OFFSET($A$1, 1798 - 1, 54 - 1) = "0", OFFSET($A$1, 1798 - 1, 55 - 1) = "1" ), 3, 4 ) ) )</f>
        <v>2</v>
      </c>
    </row>
    <row r="1799" spans="53:56" x14ac:dyDescent="0.35">
      <c r="BA1799" s="3">
        <v>0.48388427723917199</v>
      </c>
      <c r="BB1799" s="3" t="str">
        <f>"0"</f>
        <v>0</v>
      </c>
      <c r="BC1799" t="str">
        <f ca="1">IF((OFFSET($A$1, 1799 - 1, 53 - 1)) &gt;= (OFFSET($A$1, 69 - 1, 7 - 1)), "1","0")</f>
        <v>0</v>
      </c>
      <c r="BD1799">
        <f ca="1" xml:space="preserve"> IF( AND( OFFSET($A$1, 1799 - 1, 54 - 1) = "1", OFFSET($A$1, 1799 - 1, 55 - 1) = "1" ), 1, IF( AND( OFFSET($A$1, 1799 - 1, 54 - 1) = "1", OFFSET($A$1, 1799 - 1, 55 - 1) = "0" ), 2, IF( AND( OFFSET($A$1, 1799 - 1, 54 - 1) = "0", OFFSET($A$1, 1799 - 1, 55 - 1) = "1" ), 3, 4 ) ) )</f>
        <v>4</v>
      </c>
    </row>
    <row r="1800" spans="53:56" x14ac:dyDescent="0.35">
      <c r="BA1800" s="3">
        <v>0.22998417224119455</v>
      </c>
      <c r="BB1800" s="3" t="str">
        <f>"0"</f>
        <v>0</v>
      </c>
      <c r="BC1800" t="str">
        <f ca="1">IF((OFFSET($A$1, 1800 - 1, 53 - 1)) &gt;= (OFFSET($A$1, 69 - 1, 7 - 1)), "1","0")</f>
        <v>0</v>
      </c>
      <c r="BD1800">
        <f ca="1" xml:space="preserve"> IF( AND( OFFSET($A$1, 1800 - 1, 54 - 1) = "1", OFFSET($A$1, 1800 - 1, 55 - 1) = "1" ), 1, IF( AND( OFFSET($A$1, 1800 - 1, 54 - 1) = "1", OFFSET($A$1, 1800 - 1, 55 - 1) = "0" ), 2, IF( AND( OFFSET($A$1, 1800 - 1, 54 - 1) = "0", OFFSET($A$1, 1800 - 1, 55 - 1) = "1" ), 3, 4 ) ) )</f>
        <v>4</v>
      </c>
    </row>
    <row r="1801" spans="53:56" x14ac:dyDescent="0.35">
      <c r="BA1801" s="3">
        <v>0.22900586497245323</v>
      </c>
      <c r="BB1801" s="3" t="str">
        <f>"0"</f>
        <v>0</v>
      </c>
      <c r="BC1801" t="str">
        <f ca="1">IF((OFFSET($A$1, 1801 - 1, 53 - 1)) &gt;= (OFFSET($A$1, 69 - 1, 7 - 1)), "1","0")</f>
        <v>0</v>
      </c>
      <c r="BD1801">
        <f ca="1" xml:space="preserve"> IF( AND( OFFSET($A$1, 1801 - 1, 54 - 1) = "1", OFFSET($A$1, 1801 - 1, 55 - 1) = "1" ), 1, IF( AND( OFFSET($A$1, 1801 - 1, 54 - 1) = "1", OFFSET($A$1, 1801 - 1, 55 - 1) = "0" ), 2, IF( AND( OFFSET($A$1, 1801 - 1, 54 - 1) = "0", OFFSET($A$1, 1801 - 1, 55 - 1) = "1" ), 3, 4 ) ) )</f>
        <v>4</v>
      </c>
    </row>
    <row r="1802" spans="53:56" x14ac:dyDescent="0.35">
      <c r="BA1802" s="3">
        <v>0.22803898647795429</v>
      </c>
      <c r="BB1802" s="3" t="str">
        <f>"0"</f>
        <v>0</v>
      </c>
      <c r="BC1802" t="str">
        <f ca="1">IF((OFFSET($A$1, 1802 - 1, 53 - 1)) &gt;= (OFFSET($A$1, 69 - 1, 7 - 1)), "1","0")</f>
        <v>0</v>
      </c>
      <c r="BD1802">
        <f ca="1" xml:space="preserve"> IF( AND( OFFSET($A$1, 1802 - 1, 54 - 1) = "1", OFFSET($A$1, 1802 - 1, 55 - 1) = "1" ), 1, IF( AND( OFFSET($A$1, 1802 - 1, 54 - 1) = "1", OFFSET($A$1, 1802 - 1, 55 - 1) = "0" ), 2, IF( AND( OFFSET($A$1, 1802 - 1, 54 - 1) = "0", OFFSET($A$1, 1802 - 1, 55 - 1) = "1" ), 3, 4 ) ) )</f>
        <v>4</v>
      </c>
    </row>
    <row r="1803" spans="53:56" x14ac:dyDescent="0.35">
      <c r="BA1803" s="3">
        <v>0.22708374724084415</v>
      </c>
      <c r="BB1803" s="3" t="str">
        <f>"1"</f>
        <v>1</v>
      </c>
      <c r="BC1803" t="str">
        <f ca="1">IF((OFFSET($A$1, 1803 - 1, 53 - 1)) &gt;= (OFFSET($A$1, 69 - 1, 7 - 1)), "1","0")</f>
        <v>0</v>
      </c>
      <c r="BD1803">
        <f ca="1" xml:space="preserve"> IF( AND( OFFSET($A$1, 1803 - 1, 54 - 1) = "1", OFFSET($A$1, 1803 - 1, 55 - 1) = "1" ), 1, IF( AND( OFFSET($A$1, 1803 - 1, 54 - 1) = "1", OFFSET($A$1, 1803 - 1, 55 - 1) = "0" ), 2, IF( AND( OFFSET($A$1, 1803 - 1, 54 - 1) = "0", OFFSET($A$1, 1803 - 1, 55 - 1) = "1" ), 3, 4 ) ) )</f>
        <v>2</v>
      </c>
    </row>
    <row r="1804" spans="53:56" x14ac:dyDescent="0.35">
      <c r="BA1804" s="3">
        <v>0.4770415165213725</v>
      </c>
      <c r="BB1804" s="3" t="str">
        <f>"0"</f>
        <v>0</v>
      </c>
      <c r="BC1804" t="str">
        <f ca="1">IF((OFFSET($A$1, 1804 - 1, 53 - 1)) &gt;= (OFFSET($A$1, 69 - 1, 7 - 1)), "1","0")</f>
        <v>0</v>
      </c>
      <c r="BD1804">
        <f ca="1" xml:space="preserve"> IF( AND( OFFSET($A$1, 1804 - 1, 54 - 1) = "1", OFFSET($A$1, 1804 - 1, 55 - 1) = "1" ), 1, IF( AND( OFFSET($A$1, 1804 - 1, 54 - 1) = "1", OFFSET($A$1, 1804 - 1, 55 - 1) = "0" ), 2, IF( AND( OFFSET($A$1, 1804 - 1, 54 - 1) = "0", OFFSET($A$1, 1804 - 1, 55 - 1) = "1" ), 3, 4 ) ) )</f>
        <v>4</v>
      </c>
    </row>
    <row r="1805" spans="53:56" x14ac:dyDescent="0.35">
      <c r="BA1805" s="3">
        <v>0.2252090012863607</v>
      </c>
      <c r="BB1805" s="3" t="str">
        <f>"1"</f>
        <v>1</v>
      </c>
      <c r="BC1805" t="str">
        <f ca="1">IF((OFFSET($A$1, 1805 - 1, 53 - 1)) &gt;= (OFFSET($A$1, 69 - 1, 7 - 1)), "1","0")</f>
        <v>0</v>
      </c>
      <c r="BD1805">
        <f ca="1" xml:space="preserve"> IF( AND( OFFSET($A$1, 1805 - 1, 54 - 1) = "1", OFFSET($A$1, 1805 - 1, 55 - 1) = "1" ), 1, IF( AND( OFFSET($A$1, 1805 - 1, 54 - 1) = "1", OFFSET($A$1, 1805 - 1, 55 - 1) = "0" ), 2, IF( AND( OFFSET($A$1, 1805 - 1, 54 - 1) = "0", OFFSET($A$1, 1805 - 1, 55 - 1) = "1" ), 3, 4 ) ) )</f>
        <v>2</v>
      </c>
    </row>
    <row r="1806" spans="53:56" x14ac:dyDescent="0.35">
      <c r="BA1806" s="3">
        <v>0.47439656660489093</v>
      </c>
      <c r="BB1806" s="3" t="str">
        <f>"1"</f>
        <v>1</v>
      </c>
      <c r="BC1806" t="str">
        <f ca="1">IF((OFFSET($A$1, 1806 - 1, 53 - 1)) &gt;= (OFFSET($A$1, 69 - 1, 7 - 1)), "1","0")</f>
        <v>0</v>
      </c>
      <c r="BD1806">
        <f ca="1" xml:space="preserve"> IF( AND( OFFSET($A$1, 1806 - 1, 54 - 1) = "1", OFFSET($A$1, 1806 - 1, 55 - 1) = "1" ), 1, IF( AND( OFFSET($A$1, 1806 - 1, 54 - 1) = "1", OFFSET($A$1, 1806 - 1, 55 - 1) = "0" ), 2, IF( AND( OFFSET($A$1, 1806 - 1, 54 - 1) = "0", OFFSET($A$1, 1806 - 1, 55 - 1) = "1" ), 3, 4 ) ) )</f>
        <v>2</v>
      </c>
    </row>
    <row r="1807" spans="53:56" x14ac:dyDescent="0.35">
      <c r="BA1807" s="3">
        <v>0.47309545740224346</v>
      </c>
      <c r="BB1807" s="3" t="str">
        <f>"1"</f>
        <v>1</v>
      </c>
      <c r="BC1807" t="str">
        <f ca="1">IF((OFFSET($A$1, 1807 - 1, 53 - 1)) &gt;= (OFFSET($A$1, 69 - 1, 7 - 1)), "1","0")</f>
        <v>0</v>
      </c>
      <c r="BD1807">
        <f ca="1" xml:space="preserve"> IF( AND( OFFSET($A$1, 1807 - 1, 54 - 1) = "1", OFFSET($A$1, 1807 - 1, 55 - 1) = "1" ), 1, IF( AND( OFFSET($A$1, 1807 - 1, 54 - 1) = "1", OFFSET($A$1, 1807 - 1, 55 - 1) = "0" ), 2, IF( AND( OFFSET($A$1, 1807 - 1, 54 - 1) = "0", OFFSET($A$1, 1807 - 1, 55 - 1) = "1" ), 3, 4 ) ) )</f>
        <v>2</v>
      </c>
    </row>
    <row r="1808" spans="53:56" x14ac:dyDescent="0.35">
      <c r="BA1808" s="3">
        <v>0.47180911511271117</v>
      </c>
      <c r="BB1808" s="3" t="str">
        <f>"1"</f>
        <v>1</v>
      </c>
      <c r="BC1808" t="str">
        <f ca="1">IF((OFFSET($A$1, 1808 - 1, 53 - 1)) &gt;= (OFFSET($A$1, 69 - 1, 7 - 1)), "1","0")</f>
        <v>0</v>
      </c>
      <c r="BD1808">
        <f ca="1" xml:space="preserve"> IF( AND( OFFSET($A$1, 1808 - 1, 54 - 1) = "1", OFFSET($A$1, 1808 - 1, 55 - 1) = "1" ), 1, IF( AND( OFFSET($A$1, 1808 - 1, 54 - 1) = "1", OFFSET($A$1, 1808 - 1, 55 - 1) = "0" ), 2, IF( AND( OFFSET($A$1, 1808 - 1, 54 - 1) = "0", OFFSET($A$1, 1808 - 1, 55 - 1) = "1" ), 3, 4 ) ) )</f>
        <v>2</v>
      </c>
    </row>
    <row r="1809" spans="53:56" x14ac:dyDescent="0.35">
      <c r="BA1809" s="3">
        <v>0.47053792491115976</v>
      </c>
      <c r="BB1809" s="3" t="str">
        <f>"1"</f>
        <v>1</v>
      </c>
      <c r="BC1809" t="str">
        <f ca="1">IF((OFFSET($A$1, 1809 - 1, 53 - 1)) &gt;= (OFFSET($A$1, 69 - 1, 7 - 1)), "1","0")</f>
        <v>0</v>
      </c>
      <c r="BD1809">
        <f ca="1" xml:space="preserve"> IF( AND( OFFSET($A$1, 1809 - 1, 54 - 1) = "1", OFFSET($A$1, 1809 - 1, 55 - 1) = "1" ), 1, IF( AND( OFFSET($A$1, 1809 - 1, 54 - 1) = "1", OFFSET($A$1, 1809 - 1, 55 - 1) = "0" ), 2, IF( AND( OFFSET($A$1, 1809 - 1, 54 - 1) = "0", OFFSET($A$1, 1809 - 1, 55 - 1) = "1" ), 3, 4 ) ) )</f>
        <v>2</v>
      </c>
    </row>
    <row r="1810" spans="53:56" x14ac:dyDescent="0.35">
      <c r="BA1810" s="3">
        <v>0.46928226613314195</v>
      </c>
      <c r="BB1810" s="3" t="str">
        <f>"1"</f>
        <v>1</v>
      </c>
      <c r="BC1810" t="str">
        <f ca="1">IF((OFFSET($A$1, 1810 - 1, 53 - 1)) &gt;= (OFFSET($A$1, 69 - 1, 7 - 1)), "1","0")</f>
        <v>0</v>
      </c>
      <c r="BD1810">
        <f ca="1" xml:space="preserve"> IF( AND( OFFSET($A$1, 1810 - 1, 54 - 1) = "1", OFFSET($A$1, 1810 - 1, 55 - 1) = "1" ), 1, IF( AND( OFFSET($A$1, 1810 - 1, 54 - 1) = "1", OFFSET($A$1, 1810 - 1, 55 - 1) = "0" ), 2, IF( AND( OFFSET($A$1, 1810 - 1, 54 - 1) = "0", OFFSET($A$1, 1810 - 1, 55 - 1) = "1" ), 3, 4 ) ) )</f>
        <v>2</v>
      </c>
    </row>
    <row r="1811" spans="53:56" x14ac:dyDescent="0.35">
      <c r="BA1811" s="3">
        <v>0.46804251217015441</v>
      </c>
      <c r="BB1811" s="3" t="str">
        <f>"1"</f>
        <v>1</v>
      </c>
      <c r="BC1811" t="str">
        <f ca="1">IF((OFFSET($A$1, 1811 - 1, 53 - 1)) &gt;= (OFFSET($A$1, 69 - 1, 7 - 1)), "1","0")</f>
        <v>0</v>
      </c>
      <c r="BD1811">
        <f ca="1" xml:space="preserve"> IF( AND( OFFSET($A$1, 1811 - 1, 54 - 1) = "1", OFFSET($A$1, 1811 - 1, 55 - 1) = "1" ), 1, IF( AND( OFFSET($A$1, 1811 - 1, 54 - 1) = "1", OFFSET($A$1, 1811 - 1, 55 - 1) = "0" ), 2, IF( AND( OFFSET($A$1, 1811 - 1, 54 - 1) = "0", OFFSET($A$1, 1811 - 1, 55 - 1) = "1" ), 3, 4 ) ) )</f>
        <v>2</v>
      </c>
    </row>
    <row r="1812" spans="53:56" x14ac:dyDescent="0.35">
      <c r="BA1812" s="3">
        <v>0.46681903037051475</v>
      </c>
      <c r="BB1812" s="3" t="str">
        <f>"0"</f>
        <v>0</v>
      </c>
      <c r="BC1812" t="str">
        <f ca="1">IF((OFFSET($A$1, 1812 - 1, 53 - 1)) &gt;= (OFFSET($A$1, 69 - 1, 7 - 1)), "1","0")</f>
        <v>0</v>
      </c>
      <c r="BD1812">
        <f ca="1" xml:space="preserve"> IF( AND( OFFSET($A$1, 1812 - 1, 54 - 1) = "1", OFFSET($A$1, 1812 - 1, 55 - 1) = "1" ), 1, IF( AND( OFFSET($A$1, 1812 - 1, 54 - 1) = "1", OFFSET($A$1, 1812 - 1, 55 - 1) = "0" ), 2, IF( AND( OFFSET($A$1, 1812 - 1, 54 - 1) = "0", OFFSET($A$1, 1812 - 1, 55 - 1) = "1" ), 3, 4 ) ) )</f>
        <v>4</v>
      </c>
    </row>
    <row r="1813" spans="53:56" x14ac:dyDescent="0.35">
      <c r="BA1813" s="3">
        <v>0.21821398521512564</v>
      </c>
      <c r="BB1813" s="3" t="str">
        <f>"0"</f>
        <v>0</v>
      </c>
      <c r="BC1813" t="str">
        <f ca="1">IF((OFFSET($A$1, 1813 - 1, 53 - 1)) &gt;= (OFFSET($A$1, 69 - 1, 7 - 1)), "1","0")</f>
        <v>0</v>
      </c>
      <c r="BD1813">
        <f ca="1" xml:space="preserve"> IF( AND( OFFSET($A$1, 1813 - 1, 54 - 1) = "1", OFFSET($A$1, 1813 - 1, 55 - 1) = "1" ), 1, IF( AND( OFFSET($A$1, 1813 - 1, 54 - 1) = "1", OFFSET($A$1, 1813 - 1, 55 - 1) = "0" ), 2, IF( AND( OFFSET($A$1, 1813 - 1, 54 - 1) = "0", OFFSET($A$1, 1813 - 1, 55 - 1) = "1" ), 3, 4 ) ) )</f>
        <v>4</v>
      </c>
    </row>
    <row r="1814" spans="53:56" x14ac:dyDescent="0.35">
      <c r="BA1814" s="3">
        <v>0.21739914588369277</v>
      </c>
      <c r="BB1814" s="3" t="str">
        <f>"0"</f>
        <v>0</v>
      </c>
      <c r="BC1814" t="str">
        <f ca="1">IF((OFFSET($A$1, 1814 - 1, 53 - 1)) &gt;= (OFFSET($A$1, 69 - 1, 7 - 1)), "1","0")</f>
        <v>0</v>
      </c>
      <c r="BD1814">
        <f ca="1" xml:space="preserve"> IF( AND( OFFSET($A$1, 1814 - 1, 54 - 1) = "1", OFFSET($A$1, 1814 - 1, 55 - 1) = "1" ), 1, IF( AND( OFFSET($A$1, 1814 - 1, 54 - 1) = "1", OFFSET($A$1, 1814 - 1, 55 - 1) = "0" ), 2, IF( AND( OFFSET($A$1, 1814 - 1, 54 - 1) = "0", OFFSET($A$1, 1814 - 1, 55 - 1) = "1" ), 3, 4 ) ) )</f>
        <v>4</v>
      </c>
    </row>
    <row r="1815" spans="53:56" x14ac:dyDescent="0.35">
      <c r="BA1815" s="3">
        <v>0.21659806097028345</v>
      </c>
      <c r="BB1815" s="3" t="str">
        <f>"0"</f>
        <v>0</v>
      </c>
      <c r="BC1815" t="str">
        <f ca="1">IF((OFFSET($A$1, 1815 - 1, 53 - 1)) &gt;= (OFFSET($A$1, 69 - 1, 7 - 1)), "1","0")</f>
        <v>0</v>
      </c>
      <c r="BD1815">
        <f ca="1" xml:space="preserve"> IF( AND( OFFSET($A$1, 1815 - 1, 54 - 1) = "1", OFFSET($A$1, 1815 - 1, 55 - 1) = "1" ), 1, IF( AND( OFFSET($A$1, 1815 - 1, 54 - 1) = "1", OFFSET($A$1, 1815 - 1, 55 - 1) = "0" ), 2, IF( AND( OFFSET($A$1, 1815 - 1, 54 - 1) = "0", OFFSET($A$1, 1815 - 1, 55 - 1) = "1" ), 3, 4 ) ) )</f>
        <v>4</v>
      </c>
    </row>
    <row r="1816" spans="53:56" x14ac:dyDescent="0.35">
      <c r="BA1816" s="3">
        <v>0.21581087430793242</v>
      </c>
      <c r="BB1816" s="3" t="str">
        <f>"0"</f>
        <v>0</v>
      </c>
      <c r="BC1816" t="str">
        <f ca="1">IF((OFFSET($A$1, 1816 - 1, 53 - 1)) &gt;= (OFFSET($A$1, 69 - 1, 7 - 1)), "1","0")</f>
        <v>0</v>
      </c>
      <c r="BD1816">
        <f ca="1" xml:space="preserve"> IF( AND( OFFSET($A$1, 1816 - 1, 54 - 1) = "1", OFFSET($A$1, 1816 - 1, 55 - 1) = "1" ), 1, IF( AND( OFFSET($A$1, 1816 - 1, 54 - 1) = "1", OFFSET($A$1, 1816 - 1, 55 - 1) = "0" ), 2, IF( AND( OFFSET($A$1, 1816 - 1, 54 - 1) = "0", OFFSET($A$1, 1816 - 1, 55 - 1) = "1" ), 3, 4 ) ) )</f>
        <v>4</v>
      </c>
    </row>
    <row r="1817" spans="53:56" x14ac:dyDescent="0.35">
      <c r="BA1817" s="3">
        <v>0.21503772506429686</v>
      </c>
      <c r="BB1817" s="3" t="str">
        <f>"0"</f>
        <v>0</v>
      </c>
      <c r="BC1817" t="str">
        <f ca="1">IF((OFFSET($A$1, 1817 - 1, 53 - 1)) &gt;= (OFFSET($A$1, 69 - 1, 7 - 1)), "1","0")</f>
        <v>0</v>
      </c>
      <c r="BD1817">
        <f ca="1" xml:space="preserve"> IF( AND( OFFSET($A$1, 1817 - 1, 54 - 1) = "1", OFFSET($A$1, 1817 - 1, 55 - 1) = "1" ), 1, IF( AND( OFFSET($A$1, 1817 - 1, 54 - 1) = "1", OFFSET($A$1, 1817 - 1, 55 - 1) = "0" ), 2, IF( AND( OFFSET($A$1, 1817 - 1, 54 - 1) = "0", OFFSET($A$1, 1817 - 1, 55 - 1) = "1" ), 3, 4 ) ) )</f>
        <v>4</v>
      </c>
    </row>
    <row r="1818" spans="53:56" x14ac:dyDescent="0.35">
      <c r="BA1818" s="3">
        <v>0.21427874781924136</v>
      </c>
      <c r="BB1818" s="3" t="str">
        <f>"0"</f>
        <v>0</v>
      </c>
      <c r="BC1818" t="str">
        <f ca="1">IF((OFFSET($A$1, 1818 - 1, 53 - 1)) &gt;= (OFFSET($A$1, 69 - 1, 7 - 1)), "1","0")</f>
        <v>0</v>
      </c>
      <c r="BD1818">
        <f ca="1" xml:space="preserve"> IF( AND( OFFSET($A$1, 1818 - 1, 54 - 1) = "1", OFFSET($A$1, 1818 - 1, 55 - 1) = "1" ), 1, IF( AND( OFFSET($A$1, 1818 - 1, 54 - 1) = "1", OFFSET($A$1, 1818 - 1, 55 - 1) = "0" ), 2, IF( AND( OFFSET($A$1, 1818 - 1, 54 - 1) = "0", OFFSET($A$1, 1818 - 1, 55 - 1) = "1" ), 3, 4 ) ) )</f>
        <v>4</v>
      </c>
    </row>
    <row r="1819" spans="53:56" x14ac:dyDescent="0.35">
      <c r="BA1819" s="3">
        <v>0.21353407264399857</v>
      </c>
      <c r="BB1819" s="3" t="str">
        <f>"0"</f>
        <v>0</v>
      </c>
      <c r="BC1819" t="str">
        <f ca="1">IF((OFFSET($A$1, 1819 - 1, 53 - 1)) &gt;= (OFFSET($A$1, 69 - 1, 7 - 1)), "1","0")</f>
        <v>0</v>
      </c>
      <c r="BD1819">
        <f ca="1" xml:space="preserve"> IF( AND( OFFSET($A$1, 1819 - 1, 54 - 1) = "1", OFFSET($A$1, 1819 - 1, 55 - 1) = "1" ), 1, IF( AND( OFFSET($A$1, 1819 - 1, 54 - 1) = "1", OFFSET($A$1, 1819 - 1, 55 - 1) = "0" ), 2, IF( AND( OFFSET($A$1, 1819 - 1, 54 - 1) = "0", OFFSET($A$1, 1819 - 1, 55 - 1) = "1" ), 3, 4 ) ) )</f>
        <v>4</v>
      </c>
    </row>
    <row r="1820" spans="53:56" x14ac:dyDescent="0.35">
      <c r="BA1820" s="3">
        <v>0.21280382518173085</v>
      </c>
      <c r="BB1820" s="3" t="str">
        <f>"0"</f>
        <v>0</v>
      </c>
      <c r="BC1820" t="str">
        <f ca="1">IF((OFFSET($A$1, 1820 - 1, 53 - 1)) &gt;= (OFFSET($A$1, 69 - 1, 7 - 1)), "1","0")</f>
        <v>0</v>
      </c>
      <c r="BD1820">
        <f ca="1" xml:space="preserve"> IF( AND( OFFSET($A$1, 1820 - 1, 54 - 1) = "1", OFFSET($A$1, 1820 - 1, 55 - 1) = "1" ), 1, IF( AND( OFFSET($A$1, 1820 - 1, 54 - 1) = "1", OFFSET($A$1, 1820 - 1, 55 - 1) = "0" ), 2, IF( AND( OFFSET($A$1, 1820 - 1, 54 - 1) = "0", OFFSET($A$1, 1820 - 1, 55 - 1) = "1" ), 3, 4 ) ) )</f>
        <v>4</v>
      </c>
    </row>
    <row r="1821" spans="53:56" x14ac:dyDescent="0.35">
      <c r="BA1821" s="3">
        <v>0.21208812672930752</v>
      </c>
      <c r="BB1821" s="3" t="str">
        <f>"0"</f>
        <v>0</v>
      </c>
      <c r="BC1821" t="str">
        <f ca="1">IF((OFFSET($A$1, 1821 - 1, 53 - 1)) &gt;= (OFFSET($A$1, 69 - 1, 7 - 1)), "1","0")</f>
        <v>0</v>
      </c>
      <c r="BD1821">
        <f ca="1" xml:space="preserve"> IF( AND( OFFSET($A$1, 1821 - 1, 54 - 1) = "1", OFFSET($A$1, 1821 - 1, 55 - 1) = "1" ), 1, IF( AND( OFFSET($A$1, 1821 - 1, 54 - 1) = "1", OFFSET($A$1, 1821 - 1, 55 - 1) = "0" ), 2, IF( AND( OFFSET($A$1, 1821 - 1, 54 - 1) = "0", OFFSET($A$1, 1821 - 1, 55 - 1) = "1" ), 3, 4 ) ) )</f>
        <v>4</v>
      </c>
    </row>
    <row r="1822" spans="53:56" x14ac:dyDescent="0.35">
      <c r="BA1822" s="3">
        <v>0.21138709432011552</v>
      </c>
      <c r="BB1822" s="3" t="str">
        <f>"0"</f>
        <v>0</v>
      </c>
      <c r="BC1822" t="str">
        <f ca="1">IF((OFFSET($A$1, 1822 - 1, 53 - 1)) &gt;= (OFFSET($A$1, 69 - 1, 7 - 1)), "1","0")</f>
        <v>0</v>
      </c>
      <c r="BD1822">
        <f ca="1" xml:space="preserve"> IF( AND( OFFSET($A$1, 1822 - 1, 54 - 1) = "1", OFFSET($A$1, 1822 - 1, 55 - 1) = "1" ), 1, IF( AND( OFFSET($A$1, 1822 - 1, 54 - 1) = "1", OFFSET($A$1, 1822 - 1, 55 - 1) = "0" ), 2, IF( AND( OFFSET($A$1, 1822 - 1, 54 - 1) = "0", OFFSET($A$1, 1822 - 1, 55 - 1) = "1" ), 3, 4 ) ) )</f>
        <v>4</v>
      </c>
    </row>
    <row r="1823" spans="53:56" x14ac:dyDescent="0.35">
      <c r="BA1823" s="3">
        <v>0.21070084080772977</v>
      </c>
      <c r="BB1823" s="3" t="str">
        <f>"1"</f>
        <v>1</v>
      </c>
      <c r="BC1823" t="str">
        <f ca="1">IF((OFFSET($A$1, 1823 - 1, 53 - 1)) &gt;= (OFFSET($A$1, 69 - 1, 7 - 1)), "1","0")</f>
        <v>0</v>
      </c>
      <c r="BD1823">
        <f ca="1" xml:space="preserve"> IF( AND( OFFSET($A$1, 1823 - 1, 54 - 1) = "1", OFFSET($A$1, 1823 - 1, 55 - 1) = "1" ), 1, IF( AND( OFFSET($A$1, 1823 - 1, 54 - 1) = "1", OFFSET($A$1, 1823 - 1, 55 - 1) = "0" ), 2, IF( AND( OFFSET($A$1, 1823 - 1, 54 - 1) = "0", OFFSET($A$1, 1823 - 1, 55 - 1) = "1" ), 3, 4 ) ) )</f>
        <v>2</v>
      </c>
    </row>
    <row r="1824" spans="53:56" x14ac:dyDescent="0.35">
      <c r="BA1824" s="3">
        <v>0.45353157833170399</v>
      </c>
      <c r="BB1824" s="3" t="str">
        <f>"1"</f>
        <v>1</v>
      </c>
      <c r="BC1824" t="str">
        <f ca="1">IF((OFFSET($A$1, 1824 - 1, 53 - 1)) &gt;= (OFFSET($A$1, 69 - 1, 7 - 1)), "1","0")</f>
        <v>0</v>
      </c>
      <c r="BD1824">
        <f ca="1" xml:space="preserve"> IF( AND( OFFSET($A$1, 1824 - 1, 54 - 1) = "1", OFFSET($A$1, 1824 - 1, 55 - 1) = "1" ), 1, IF( AND( OFFSET($A$1, 1824 - 1, 54 - 1) = "1", OFFSET($A$1, 1824 - 1, 55 - 1) = "0" ), 2, IF( AND( OFFSET($A$1, 1824 - 1, 54 - 1) = "0", OFFSET($A$1, 1824 - 1, 55 - 1) = "1" ), 3, 4 ) ) )</f>
        <v>2</v>
      </c>
    </row>
    <row r="1825" spans="53:56" x14ac:dyDescent="0.35">
      <c r="BA1825" s="3">
        <v>0.45255016707370249</v>
      </c>
      <c r="BB1825" s="3" t="str">
        <f>"1"</f>
        <v>1</v>
      </c>
      <c r="BC1825" t="str">
        <f ca="1">IF((OFFSET($A$1, 1825 - 1, 53 - 1)) &gt;= (OFFSET($A$1, 69 - 1, 7 - 1)), "1","0")</f>
        <v>0</v>
      </c>
      <c r="BD1825">
        <f ca="1" xml:space="preserve"> IF( AND( OFFSET($A$1, 1825 - 1, 54 - 1) = "1", OFFSET($A$1, 1825 - 1, 55 - 1) = "1" ), 1, IF( AND( OFFSET($A$1, 1825 - 1, 54 - 1) = "1", OFFSET($A$1, 1825 - 1, 55 - 1) = "0" ), 2, IF( AND( OFFSET($A$1, 1825 - 1, 54 - 1) = "0", OFFSET($A$1, 1825 - 1, 55 - 1) = "1" ), 3, 4 ) ) )</f>
        <v>2</v>
      </c>
    </row>
    <row r="1826" spans="53:56" x14ac:dyDescent="0.35">
      <c r="BA1826" s="3">
        <v>0.4515894936855413</v>
      </c>
      <c r="BB1826" s="3" t="str">
        <f>"0"</f>
        <v>0</v>
      </c>
      <c r="BC1826" t="str">
        <f ca="1">IF((OFFSET($A$1, 1826 - 1, 53 - 1)) &gt;= (OFFSET($A$1, 69 - 1, 7 - 1)), "1","0")</f>
        <v>0</v>
      </c>
      <c r="BD1826">
        <f ca="1" xml:space="preserve"> IF( AND( OFFSET($A$1, 1826 - 1, 54 - 1) = "1", OFFSET($A$1, 1826 - 1, 55 - 1) = "1" ), 1, IF( AND( OFFSET($A$1, 1826 - 1, 54 - 1) = "1", OFFSET($A$1, 1826 - 1, 55 - 1) = "0" ), 2, IF( AND( OFFSET($A$1, 1826 - 1, 54 - 1) = "0", OFFSET($A$1, 1826 - 1, 55 - 1) = "1" ), 3, 4 ) ) )</f>
        <v>4</v>
      </c>
    </row>
    <row r="1827" spans="53:56" x14ac:dyDescent="0.35">
      <c r="BA1827" s="3">
        <v>0.20810573124088694</v>
      </c>
      <c r="BB1827" s="3" t="str">
        <f>"0"</f>
        <v>0</v>
      </c>
      <c r="BC1827" t="str">
        <f ca="1">IF((OFFSET($A$1, 1827 - 1, 53 - 1)) &gt;= (OFFSET($A$1, 69 - 1, 7 - 1)), "1","0")</f>
        <v>0</v>
      </c>
      <c r="BD1827">
        <f ca="1" xml:space="preserve"> IF( AND( OFFSET($A$1, 1827 - 1, 54 - 1) = "1", OFFSET($A$1, 1827 - 1, 55 - 1) = "1" ), 1, IF( AND( OFFSET($A$1, 1827 - 1, 54 - 1) = "1", OFFSET($A$1, 1827 - 1, 55 - 1) = "0" ), 2, IF( AND( OFFSET($A$1, 1827 - 1, 54 - 1) = "0", OFFSET($A$1, 1827 - 1, 55 - 1) = "1" ), 3, 4 ) ) )</f>
        <v>4</v>
      </c>
    </row>
    <row r="1828" spans="53:56" x14ac:dyDescent="0.35">
      <c r="BA1828" s="3">
        <v>0.20749492465109756</v>
      </c>
      <c r="BB1828" s="3" t="str">
        <f>"0"</f>
        <v>0</v>
      </c>
      <c r="BC1828" t="str">
        <f ca="1">IF((OFFSET($A$1, 1828 - 1, 53 - 1)) &gt;= (OFFSET($A$1, 69 - 1, 7 - 1)), "1","0")</f>
        <v>0</v>
      </c>
      <c r="BD1828">
        <f ca="1" xml:space="preserve"> IF( AND( OFFSET($A$1, 1828 - 1, 54 - 1) = "1", OFFSET($A$1, 1828 - 1, 55 - 1) = "1" ), 1, IF( AND( OFFSET($A$1, 1828 - 1, 54 - 1) = "1", OFFSET($A$1, 1828 - 1, 55 - 1) = "0" ), 2, IF( AND( OFFSET($A$1, 1828 - 1, 54 - 1) = "0", OFFSET($A$1, 1828 - 1, 55 - 1) = "1" ), 3, 4 ) ) )</f>
        <v>4</v>
      </c>
    </row>
    <row r="1829" spans="53:56" x14ac:dyDescent="0.35">
      <c r="BA1829" s="3">
        <v>0.20689949105339983</v>
      </c>
      <c r="BB1829" s="3" t="str">
        <f>"0"</f>
        <v>0</v>
      </c>
      <c r="BC1829" t="str">
        <f ca="1">IF((OFFSET($A$1, 1829 - 1, 53 - 1)) &gt;= (OFFSET($A$1, 69 - 1, 7 - 1)), "1","0")</f>
        <v>0</v>
      </c>
      <c r="BD1829">
        <f ca="1" xml:space="preserve"> IF( AND( OFFSET($A$1, 1829 - 1, 54 - 1) = "1", OFFSET($A$1, 1829 - 1, 55 - 1) = "1" ), 1, IF( AND( OFFSET($A$1, 1829 - 1, 54 - 1) = "1", OFFSET($A$1, 1829 - 1, 55 - 1) = "0" ), 2, IF( AND( OFFSET($A$1, 1829 - 1, 54 - 1) = "0", OFFSET($A$1, 1829 - 1, 55 - 1) = "1" ), 3, 4 ) ) )</f>
        <v>4</v>
      </c>
    </row>
    <row r="1830" spans="53:56" x14ac:dyDescent="0.35">
      <c r="BA1830" s="3">
        <v>0.20631951642132651</v>
      </c>
      <c r="BB1830" s="3" t="str">
        <f>"0"</f>
        <v>0</v>
      </c>
      <c r="BC1830" t="str">
        <f ca="1">IF((OFFSET($A$1, 1830 - 1, 53 - 1)) &gt;= (OFFSET($A$1, 69 - 1, 7 - 1)), "1","0")</f>
        <v>0</v>
      </c>
      <c r="BD1830">
        <f ca="1" xml:space="preserve"> IF( AND( OFFSET($A$1, 1830 - 1, 54 - 1) = "1", OFFSET($A$1, 1830 - 1, 55 - 1) = "1" ), 1, IF( AND( OFFSET($A$1, 1830 - 1, 54 - 1) = "1", OFFSET($A$1, 1830 - 1, 55 - 1) = "0" ), 2, IF( AND( OFFSET($A$1, 1830 - 1, 54 - 1) = "0", OFFSET($A$1, 1830 - 1, 55 - 1) = "1" ), 3, 4 ) ) )</f>
        <v>4</v>
      </c>
    </row>
    <row r="1831" spans="53:56" x14ac:dyDescent="0.35">
      <c r="BA1831" s="3">
        <v>0.2057550832283836</v>
      </c>
      <c r="BB1831" s="3" t="str">
        <f>"1"</f>
        <v>1</v>
      </c>
      <c r="BC1831" t="str">
        <f ca="1">IF((OFFSET($A$1, 1831 - 1, 53 - 1)) &gt;= (OFFSET($A$1, 69 - 1, 7 - 1)), "1","0")</f>
        <v>0</v>
      </c>
      <c r="BD1831">
        <f ca="1" xml:space="preserve"> IF( AND( OFFSET($A$1, 1831 - 1, 54 - 1) = "1", OFFSET($A$1, 1831 - 1, 55 - 1) = "1" ), 1, IF( AND( OFFSET($A$1, 1831 - 1, 54 - 1) = "1", OFFSET($A$1, 1831 - 1, 55 - 1) = "0" ), 2, IF( AND( OFFSET($A$1, 1831 - 1, 54 - 1) = "0", OFFSET($A$1, 1831 - 1, 55 - 1) = "1" ), 3, 4 ) ) )</f>
        <v>2</v>
      </c>
    </row>
    <row r="1832" spans="53:56" x14ac:dyDescent="0.35">
      <c r="BA1832" s="3">
        <v>0.44627549494637275</v>
      </c>
      <c r="BB1832" s="3" t="str">
        <f>"1"</f>
        <v>1</v>
      </c>
      <c r="BC1832" t="str">
        <f ca="1">IF((OFFSET($A$1, 1832 - 1, 53 - 1)) &gt;= (OFFSET($A$1, 69 - 1, 7 - 1)), "1","0")</f>
        <v>0</v>
      </c>
      <c r="BD1832">
        <f ca="1" xml:space="preserve"> IF( AND( OFFSET($A$1, 1832 - 1, 54 - 1) = "1", OFFSET($A$1, 1832 - 1, 55 - 1) = "1" ), 1, IF( AND( OFFSET($A$1, 1832 - 1, 54 - 1) = "1", OFFSET($A$1, 1832 - 1, 55 - 1) = "0" ), 2, IF( AND( OFFSET($A$1, 1832 - 1, 54 - 1) = "0", OFFSET($A$1, 1832 - 1, 55 - 1) = "1" ), 3, 4 ) ) )</f>
        <v>2</v>
      </c>
    </row>
    <row r="1833" spans="53:56" x14ac:dyDescent="0.35">
      <c r="BA1833" s="3">
        <v>0.44546711378903364</v>
      </c>
      <c r="BB1833" s="3" t="str">
        <f>"1"</f>
        <v>1</v>
      </c>
      <c r="BC1833" t="str">
        <f ca="1">IF((OFFSET($A$1, 1833 - 1, 53 - 1)) &gt;= (OFFSET($A$1, 69 - 1, 7 - 1)), "1","0")</f>
        <v>0</v>
      </c>
      <c r="BD1833">
        <f ca="1" xml:space="preserve"> IF( AND( OFFSET($A$1, 1833 - 1, 54 - 1) = "1", OFFSET($A$1, 1833 - 1, 55 - 1) = "1" ), 1, IF( AND( OFFSET($A$1, 1833 - 1, 54 - 1) = "1", OFFSET($A$1, 1833 - 1, 55 - 1) = "0" ), 2, IF( AND( OFFSET($A$1, 1833 - 1, 54 - 1) = "0", OFFSET($A$1, 1833 - 1, 55 - 1) = "1" ), 3, 4 ) ) )</f>
        <v>2</v>
      </c>
    </row>
    <row r="1834" spans="53:56" x14ac:dyDescent="0.35">
      <c r="BA1834" s="3">
        <v>0.44468142328015253</v>
      </c>
      <c r="BB1834" s="3" t="str">
        <f>"0"</f>
        <v>0</v>
      </c>
      <c r="BC1834" t="str">
        <f ca="1">IF((OFFSET($A$1, 1834 - 1, 53 - 1)) &gt;= (OFFSET($A$1, 69 - 1, 7 - 1)), "1","0")</f>
        <v>0</v>
      </c>
      <c r="BD1834">
        <f ca="1" xml:space="preserve"> IF( AND( OFFSET($A$1, 1834 - 1, 54 - 1) = "1", OFFSET($A$1, 1834 - 1, 55 - 1) = "1" ), 1, IF( AND( OFFSET($A$1, 1834 - 1, 54 - 1) = "1", OFFSET($A$1, 1834 - 1, 55 - 1) = "0" ), 2, IF( AND( OFFSET($A$1, 1834 - 1, 54 - 1) = "0", OFFSET($A$1, 1834 - 1, 55 - 1) = "1" ), 3, 4 ) ) )</f>
        <v>4</v>
      </c>
    </row>
    <row r="1835" spans="53:56" x14ac:dyDescent="0.35">
      <c r="BA1835" s="3">
        <v>0.20365429649078526</v>
      </c>
      <c r="BB1835" s="3" t="str">
        <f>"1"</f>
        <v>1</v>
      </c>
      <c r="BC1835" t="str">
        <f ca="1">IF((OFFSET($A$1, 1835 - 1, 53 - 1)) &gt;= (OFFSET($A$1, 69 - 1, 7 - 1)), "1","0")</f>
        <v>0</v>
      </c>
      <c r="BD1835">
        <f ca="1" xml:space="preserve"> IF( AND( OFFSET($A$1, 1835 - 1, 54 - 1) = "1", OFFSET($A$1, 1835 - 1, 55 - 1) = "1" ), 1, IF( AND( OFFSET($A$1, 1835 - 1, 54 - 1) = "1", OFFSET($A$1, 1835 - 1, 55 - 1) = "0" ), 2, IF( AND( OFFSET($A$1, 1835 - 1, 54 - 1) = "0", OFFSET($A$1, 1835 - 1, 55 - 1) = "1" ), 3, 4 ) ) )</f>
        <v>2</v>
      </c>
    </row>
    <row r="1836" spans="53:56" x14ac:dyDescent="0.35">
      <c r="BA1836" s="3">
        <v>0.44317895812922958</v>
      </c>
      <c r="BB1836" s="3" t="str">
        <f>"1"</f>
        <v>1</v>
      </c>
      <c r="BC1836" t="str">
        <f ca="1">IF((OFFSET($A$1, 1836 - 1, 53 - 1)) &gt;= (OFFSET($A$1, 69 - 1, 7 - 1)), "1","0")</f>
        <v>0</v>
      </c>
      <c r="BD1836">
        <f ca="1" xml:space="preserve"> IF( AND( OFFSET($A$1, 1836 - 1, 54 - 1) = "1", OFFSET($A$1, 1836 - 1, 55 - 1) = "1" ), 1, IF( AND( OFFSET($A$1, 1836 - 1, 54 - 1) = "1", OFFSET($A$1, 1836 - 1, 55 - 1) = "0" ), 2, IF( AND( OFFSET($A$1, 1836 - 1, 54 - 1) = "0", OFFSET($A$1, 1836 - 1, 55 - 1) = "1" ), 3, 4 ) ) )</f>
        <v>2</v>
      </c>
    </row>
    <row r="1837" spans="53:56" x14ac:dyDescent="0.35">
      <c r="BA1837" s="3">
        <v>0.44246258801484656</v>
      </c>
      <c r="BB1837" s="3" t="str">
        <f>"0"</f>
        <v>0</v>
      </c>
      <c r="BC1837" t="str">
        <f ca="1">IF((OFFSET($A$1, 1837 - 1, 53 - 1)) &gt;= (OFFSET($A$1, 69 - 1, 7 - 1)), "1","0")</f>
        <v>0</v>
      </c>
      <c r="BD1837">
        <f ca="1" xml:space="preserve"> IF( AND( OFFSET($A$1, 1837 - 1, 54 - 1) = "1", OFFSET($A$1, 1837 - 1, 55 - 1) = "1" ), 1, IF( AND( OFFSET($A$1, 1837 - 1, 54 - 1) = "1", OFFSET($A$1, 1837 - 1, 55 - 1) = "0" ), 2, IF( AND( OFFSET($A$1, 1837 - 1, 54 - 1) = "0", OFFSET($A$1, 1837 - 1, 55 - 1) = "1" ), 3, 4 ) ) )</f>
        <v>4</v>
      </c>
    </row>
    <row r="1838" spans="53:56" x14ac:dyDescent="0.35">
      <c r="BA1838" s="3">
        <v>0.20224544228950275</v>
      </c>
      <c r="BB1838" s="3" t="str">
        <f>"0"</f>
        <v>0</v>
      </c>
      <c r="BC1838" t="str">
        <f ca="1">IF((OFFSET($A$1, 1838 - 1, 53 - 1)) &gt;= (OFFSET($A$1, 69 - 1, 7 - 1)), "1","0")</f>
        <v>0</v>
      </c>
      <c r="BD1838">
        <f ca="1" xml:space="preserve"> IF( AND( OFFSET($A$1, 1838 - 1, 54 - 1) = "1", OFFSET($A$1, 1838 - 1, 55 - 1) = "1" ), 1, IF( AND( OFFSET($A$1, 1838 - 1, 54 - 1) = "1", OFFSET($A$1, 1838 - 1, 55 - 1) = "0" ), 2, IF( AND( OFFSET($A$1, 1838 - 1, 54 - 1) = "0", OFFSET($A$1, 1838 - 1, 55 - 1) = "1" ), 3, 4 ) ) )</f>
        <v>4</v>
      </c>
    </row>
    <row r="1839" spans="53:56" x14ac:dyDescent="0.35">
      <c r="BA1839" s="3">
        <v>0.2018079169129233</v>
      </c>
      <c r="BB1839" s="3" t="str">
        <f>"0"</f>
        <v>0</v>
      </c>
      <c r="BC1839" t="str">
        <f ca="1">IF((OFFSET($A$1, 1839 - 1, 53 - 1)) &gt;= (OFFSET($A$1, 69 - 1, 7 - 1)), "1","0")</f>
        <v>0</v>
      </c>
      <c r="BD1839">
        <f ca="1" xml:space="preserve"> IF( AND( OFFSET($A$1, 1839 - 1, 54 - 1) = "1", OFFSET($A$1, 1839 - 1, 55 - 1) = "1" ), 1, IF( AND( OFFSET($A$1, 1839 - 1, 54 - 1) = "1", OFFSET($A$1, 1839 - 1, 55 - 1) = "0" ), 2, IF( AND( OFFSET($A$1, 1839 - 1, 54 - 1) = "0", OFFSET($A$1, 1839 - 1, 55 - 1) = "1" ), 3, 4 ) ) )</f>
        <v>4</v>
      </c>
    </row>
    <row r="1840" spans="53:56" x14ac:dyDescent="0.35">
      <c r="BA1840" s="3">
        <v>0.2013865312600224</v>
      </c>
      <c r="BB1840" s="3" t="str">
        <f>"0"</f>
        <v>0</v>
      </c>
      <c r="BC1840" t="str">
        <f ca="1">IF((OFFSET($A$1, 1840 - 1, 53 - 1)) &gt;= (OFFSET($A$1, 69 - 1, 7 - 1)), "1","0")</f>
        <v>0</v>
      </c>
      <c r="BD1840">
        <f ca="1" xml:space="preserve"> IF( AND( OFFSET($A$1, 1840 - 1, 54 - 1) = "1", OFFSET($A$1, 1840 - 1, 55 - 1) = "1" ), 1, IF( AND( OFFSET($A$1, 1840 - 1, 54 - 1) = "1", OFFSET($A$1, 1840 - 1, 55 - 1) = "0" ), 2, IF( AND( OFFSET($A$1, 1840 - 1, 54 - 1) = "0", OFFSET($A$1, 1840 - 1, 55 - 1) = "1" ), 3, 4 ) ) )</f>
        <v>4</v>
      </c>
    </row>
    <row r="1841" spans="53:56" x14ac:dyDescent="0.35">
      <c r="BA1841" s="3">
        <v>0.20098133724711792</v>
      </c>
      <c r="BB1841" s="3" t="str">
        <f>"0"</f>
        <v>0</v>
      </c>
      <c r="BC1841" t="str">
        <f ca="1">IF((OFFSET($A$1, 1841 - 1, 53 - 1)) &gt;= (OFFSET($A$1, 69 - 1, 7 - 1)), "1","0")</f>
        <v>0</v>
      </c>
      <c r="BD1841">
        <f ca="1" xml:space="preserve"> IF( AND( OFFSET($A$1, 1841 - 1, 54 - 1) = "1", OFFSET($A$1, 1841 - 1, 55 - 1) = "1" ), 1, IF( AND( OFFSET($A$1, 1841 - 1, 54 - 1) = "1", OFFSET($A$1, 1841 - 1, 55 - 1) = "0" ), 2, IF( AND( OFFSET($A$1, 1841 - 1, 54 - 1) = "0", OFFSET($A$1, 1841 - 1, 55 - 1) = "1" ), 3, 4 ) ) )</f>
        <v>4</v>
      </c>
    </row>
    <row r="1842" spans="53:56" x14ac:dyDescent="0.35">
      <c r="BA1842" s="3">
        <v>0.2005923841495707</v>
      </c>
      <c r="BB1842" s="3" t="str">
        <f>"1"</f>
        <v>1</v>
      </c>
      <c r="BC1842" t="str">
        <f ca="1">IF((OFFSET($A$1, 1842 - 1, 53 - 1)) &gt;= (OFFSET($A$1, 69 - 1, 7 - 1)), "1","0")</f>
        <v>0</v>
      </c>
      <c r="BD1842">
        <f ca="1" xml:space="preserve"> IF( AND( OFFSET($A$1, 1842 - 1, 54 - 1) = "1", OFFSET($A$1, 1842 - 1, 55 - 1) = "1" ), 1, IF( AND( OFFSET($A$1, 1842 - 1, 54 - 1) = "1", OFFSET($A$1, 1842 - 1, 55 - 1) = "0" ), 2, IF( AND( OFFSET($A$1, 1842 - 1, 54 - 1) = "0", OFFSET($A$1, 1842 - 1, 55 - 1) = "1" ), 3, 4 ) ) )</f>
        <v>2</v>
      </c>
    </row>
    <row r="1843" spans="53:56" x14ac:dyDescent="0.35">
      <c r="BA1843" s="3">
        <v>0.43866408896045628</v>
      </c>
      <c r="BB1843" s="3" t="str">
        <f>"1"</f>
        <v>1</v>
      </c>
      <c r="BC1843" t="str">
        <f ca="1">IF((OFFSET($A$1, 1843 - 1, 53 - 1)) &gt;= (OFFSET($A$1, 69 - 1, 7 - 1)), "1","0")</f>
        <v>0</v>
      </c>
      <c r="BD1843">
        <f ca="1" xml:space="preserve"> IF( AND( OFFSET($A$1, 1843 - 1, 54 - 1) = "1", OFFSET($A$1, 1843 - 1, 55 - 1) = "1" ), 1, IF( AND( OFFSET($A$1, 1843 - 1, 54 - 1) = "1", OFFSET($A$1, 1843 - 1, 55 - 1) = "0" ), 2, IF( AND( OFFSET($A$1, 1843 - 1, 54 - 1) = "0", OFFSET($A$1, 1843 - 1, 55 - 1) = "1" ), 3, 4 ) ) )</f>
        <v>2</v>
      </c>
    </row>
    <row r="1844" spans="53:56" x14ac:dyDescent="0.35">
      <c r="BA1844" s="3">
        <v>0.43811585653165902</v>
      </c>
      <c r="BB1844" s="3" t="str">
        <f>"0"</f>
        <v>0</v>
      </c>
      <c r="BC1844" t="str">
        <f ca="1">IF((OFFSET($A$1, 1844 - 1, 53 - 1)) &gt;= (OFFSET($A$1, 69 - 1, 7 - 1)), "1","0")</f>
        <v>0</v>
      </c>
      <c r="BD1844">
        <f ca="1" xml:space="preserve"> IF( AND( OFFSET($A$1, 1844 - 1, 54 - 1) = "1", OFFSET($A$1, 1844 - 1, 55 - 1) = "1" ), 1, IF( AND( OFFSET($A$1, 1844 - 1, 54 - 1) = "1", OFFSET($A$1, 1844 - 1, 55 - 1) = "0" ), 2, IF( AND( OFFSET($A$1, 1844 - 1, 54 - 1) = "0", OFFSET($A$1, 1844 - 1, 55 - 1) = "1" ), 3, 4 ) ) )</f>
        <v>4</v>
      </c>
    </row>
    <row r="1845" spans="53:56" x14ac:dyDescent="0.35">
      <c r="BA1845" s="3">
        <v>0.19952342491231964</v>
      </c>
      <c r="BB1845" s="3" t="str">
        <f>"0"</f>
        <v>0</v>
      </c>
      <c r="BC1845" t="str">
        <f ca="1">IF((OFFSET($A$1, 1845 - 1, 53 - 1)) &gt;= (OFFSET($A$1, 69 - 1, 7 - 1)), "1","0")</f>
        <v>0</v>
      </c>
      <c r="BD1845">
        <f ca="1" xml:space="preserve"> IF( AND( OFFSET($A$1, 1845 - 1, 54 - 1) = "1", OFFSET($A$1, 1845 - 1, 55 - 1) = "1" ), 1, IF( AND( OFFSET($A$1, 1845 - 1, 54 - 1) = "1", OFFSET($A$1, 1845 - 1, 55 - 1) = "0" ), 2, IF( AND( OFFSET($A$1, 1845 - 1, 54 - 1) = "0", OFFSET($A$1, 1845 - 1, 55 - 1) = "1" ), 3, 4 ) ) )</f>
        <v>4</v>
      </c>
    </row>
    <row r="1846" spans="53:56" x14ac:dyDescent="0.35">
      <c r="BA1846" s="3">
        <v>0.19919987776415399</v>
      </c>
      <c r="BB1846" s="3" t="str">
        <f>"0"</f>
        <v>0</v>
      </c>
      <c r="BC1846" t="str">
        <f ca="1">IF((OFFSET($A$1, 1846 - 1, 53 - 1)) &gt;= (OFFSET($A$1, 69 - 1, 7 - 1)), "1","0")</f>
        <v>0</v>
      </c>
      <c r="BD1846">
        <f ca="1" xml:space="preserve"> IF( AND( OFFSET($A$1, 1846 - 1, 54 - 1) = "1", OFFSET($A$1, 1846 - 1, 55 - 1) = "1" ), 1, IF( AND( OFFSET($A$1, 1846 - 1, 54 - 1) = "1", OFFSET($A$1, 1846 - 1, 55 - 1) = "0" ), 2, IF( AND( OFFSET($A$1, 1846 - 1, 54 - 1) = "0", OFFSET($A$1, 1846 - 1, 55 - 1) = "1" ), 3, 4 ) ) )</f>
        <v>4</v>
      </c>
    </row>
    <row r="1847" spans="53:56" x14ac:dyDescent="0.35">
      <c r="BA1847" s="3">
        <v>0.19889278061698232</v>
      </c>
      <c r="BB1847" s="3" t="str">
        <f>"0"</f>
        <v>0</v>
      </c>
      <c r="BC1847" t="str">
        <f ca="1">IF((OFFSET($A$1, 1847 - 1, 53 - 1)) &gt;= (OFFSET($A$1, 69 - 1, 7 - 1)), "1","0")</f>
        <v>0</v>
      </c>
      <c r="BD1847">
        <f ca="1" xml:space="preserve"> IF( AND( OFFSET($A$1, 1847 - 1, 54 - 1) = "1", OFFSET($A$1, 1847 - 1, 55 - 1) = "1" ), 1, IF( AND( OFFSET($A$1, 1847 - 1, 54 - 1) = "1", OFFSET($A$1, 1847 - 1, 55 - 1) = "0" ), 2, IF( AND( OFFSET($A$1, 1847 - 1, 54 - 1) = "0", OFFSET($A$1, 1847 - 1, 55 - 1) = "1" ), 3, 4 ) ) )</f>
        <v>4</v>
      </c>
    </row>
    <row r="1848" spans="53:56" x14ac:dyDescent="0.35">
      <c r="BA1848" s="3">
        <v>0.19860216826330085</v>
      </c>
      <c r="BB1848" s="3" t="str">
        <f>"0"</f>
        <v>0</v>
      </c>
      <c r="BC1848" t="str">
        <f ca="1">IF((OFFSET($A$1, 1848 - 1, 53 - 1)) &gt;= (OFFSET($A$1, 69 - 1, 7 - 1)), "1","0")</f>
        <v>0</v>
      </c>
      <c r="BD1848">
        <f ca="1" xml:space="preserve"> IF( AND( OFFSET($A$1, 1848 - 1, 54 - 1) = "1", OFFSET($A$1, 1848 - 1, 55 - 1) = "1" ), 1, IF( AND( OFFSET($A$1, 1848 - 1, 54 - 1) = "1", OFFSET($A$1, 1848 - 1, 55 - 1) = "0" ), 2, IF( AND( OFFSET($A$1, 1848 - 1, 54 - 1) = "0", OFFSET($A$1, 1848 - 1, 55 - 1) = "1" ), 3, 4 ) ) )</f>
        <v>4</v>
      </c>
    </row>
    <row r="1849" spans="53:56" x14ac:dyDescent="0.35">
      <c r="BA1849" s="3">
        <v>0.19832807328753563</v>
      </c>
      <c r="BB1849" s="3" t="str">
        <f>"0"</f>
        <v>0</v>
      </c>
      <c r="BC1849" t="str">
        <f ca="1">IF((OFFSET($A$1, 1849 - 1, 53 - 1)) &gt;= (OFFSET($A$1, 69 - 1, 7 - 1)), "1","0")</f>
        <v>0</v>
      </c>
      <c r="BD1849">
        <f ca="1" xml:space="preserve"> IF( AND( OFFSET($A$1, 1849 - 1, 54 - 1) = "1", OFFSET($A$1, 1849 - 1, 55 - 1) = "1" ), 1, IF( AND( OFFSET($A$1, 1849 - 1, 54 - 1) = "1", OFFSET($A$1, 1849 - 1, 55 - 1) = "0" ), 2, IF( AND( OFFSET($A$1, 1849 - 1, 54 - 1) = "0", OFFSET($A$1, 1849 - 1, 55 - 1) = "1" ), 3, 4 ) ) )</f>
        <v>4</v>
      </c>
    </row>
    <row r="1850" spans="53:56" x14ac:dyDescent="0.35">
      <c r="BA1850" s="3">
        <v>0.19807052611822432</v>
      </c>
      <c r="BB1850" s="3" t="str">
        <f>"0"</f>
        <v>0</v>
      </c>
      <c r="BC1850" t="str">
        <f ca="1">IF((OFFSET($A$1, 1850 - 1, 53 - 1)) &gt;= (OFFSET($A$1, 69 - 1, 7 - 1)), "1","0")</f>
        <v>0</v>
      </c>
      <c r="BD1850">
        <f ca="1" xml:space="preserve"> IF( AND( OFFSET($A$1, 1850 - 1, 54 - 1) = "1", OFFSET($A$1, 1850 - 1, 55 - 1) = "1" ), 1, IF( AND( OFFSET($A$1, 1850 - 1, 54 - 1) = "1", OFFSET($A$1, 1850 - 1, 55 - 1) = "0" ), 2, IF( AND( OFFSET($A$1, 1850 - 1, 54 - 1) = "0", OFFSET($A$1, 1850 - 1, 55 - 1) = "1" ), 3, 4 ) ) )</f>
        <v>4</v>
      </c>
    </row>
    <row r="1851" spans="53:56" x14ac:dyDescent="0.35">
      <c r="BA1851" s="3">
        <v>0.19782955507755917</v>
      </c>
      <c r="BB1851" s="3" t="str">
        <f>"0"</f>
        <v>0</v>
      </c>
      <c r="BC1851" t="str">
        <f ca="1">IF((OFFSET($A$1, 1851 - 1, 53 - 1)) &gt;= (OFFSET($A$1, 69 - 1, 7 - 1)), "1","0")</f>
        <v>0</v>
      </c>
      <c r="BD1851">
        <f ca="1" xml:space="preserve"> IF( AND( OFFSET($A$1, 1851 - 1, 54 - 1) = "1", OFFSET($A$1, 1851 - 1, 55 - 1) = "1" ), 1, IF( AND( OFFSET($A$1, 1851 - 1, 54 - 1) = "1", OFFSET($A$1, 1851 - 1, 55 - 1) = "0" ), 2, IF( AND( OFFSET($A$1, 1851 - 1, 54 - 1) = "0", OFFSET($A$1, 1851 - 1, 55 - 1) = "1" ), 3, 4 ) ) )</f>
        <v>4</v>
      </c>
    </row>
    <row r="1852" spans="53:56" x14ac:dyDescent="0.35">
      <c r="BA1852" s="3">
        <v>0.197605186428227</v>
      </c>
      <c r="BB1852" s="3" t="str">
        <f>"0"</f>
        <v>0</v>
      </c>
      <c r="BC1852" t="str">
        <f ca="1">IF((OFFSET($A$1, 1852 - 1, 53 - 1)) &gt;= (OFFSET($A$1, 69 - 1, 7 - 1)), "1","0")</f>
        <v>0</v>
      </c>
      <c r="BD1852">
        <f ca="1" xml:space="preserve"> IF( AND( OFFSET($A$1, 1852 - 1, 54 - 1) = "1", OFFSET($A$1, 1852 - 1, 55 - 1) = "1" ), 1, IF( AND( OFFSET($A$1, 1852 - 1, 54 - 1) = "1", OFFSET($A$1, 1852 - 1, 55 - 1) = "0" ), 2, IF( AND( OFFSET($A$1, 1852 - 1, 54 - 1) = "0", OFFSET($A$1, 1852 - 1, 55 - 1) = "1" ), 3, 4 ) ) )</f>
        <v>4</v>
      </c>
    </row>
    <row r="1853" spans="53:56" x14ac:dyDescent="0.35">
      <c r="BA1853" s="3">
        <v>0.19739744441748658</v>
      </c>
      <c r="BB1853" s="3" t="str">
        <f>"0"</f>
        <v>0</v>
      </c>
      <c r="BC1853" t="str">
        <f ca="1">IF((OFFSET($A$1, 1853 - 1, 53 - 1)) &gt;= (OFFSET($A$1, 69 - 1, 7 - 1)), "1","0")</f>
        <v>0</v>
      </c>
      <c r="BD1853">
        <f ca="1" xml:space="preserve"> IF( AND( OFFSET($A$1, 1853 - 1, 54 - 1) = "1", OFFSET($A$1, 1853 - 1, 55 - 1) = "1" ), 1, IF( AND( OFFSET($A$1, 1853 - 1, 54 - 1) = "1", OFFSET($A$1, 1853 - 1, 55 - 1) = "0" ), 2, IF( AND( OFFSET($A$1, 1853 - 1, 54 - 1) = "0", OFFSET($A$1, 1853 - 1, 55 - 1) = "1" ), 3, 4 ) ) )</f>
        <v>4</v>
      </c>
    </row>
    <row r="1854" spans="53:56" x14ac:dyDescent="0.35">
      <c r="BA1854" s="3">
        <v>0.19720635131842715</v>
      </c>
      <c r="BB1854" s="3" t="str">
        <f>"1"</f>
        <v>1</v>
      </c>
      <c r="BC1854" t="str">
        <f ca="1">IF((OFFSET($A$1, 1854 - 1, 53 - 1)) &gt;= (OFFSET($A$1, 69 - 1, 7 - 1)), "1","0")</f>
        <v>0</v>
      </c>
      <c r="BD1854">
        <f ca="1" xml:space="preserve"> IF( AND( OFFSET($A$1, 1854 - 1, 54 - 1) = "1", OFFSET($A$1, 1854 - 1, 55 - 1) = "1" ), 1, IF( AND( OFFSET($A$1, 1854 - 1, 54 - 1) = "1", OFFSET($A$1, 1854 - 1, 55 - 1) = "0" ), 2, IF( AND( OFFSET($A$1, 1854 - 1, 54 - 1) = "0", OFFSET($A$1, 1854 - 1, 55 - 1) = "1" ), 3, 4 ) ) )</f>
        <v>2</v>
      </c>
    </row>
    <row r="1855" spans="53:56" x14ac:dyDescent="0.35">
      <c r="BA1855" s="3">
        <v>0.43373877808032013</v>
      </c>
      <c r="BB1855" s="3" t="str">
        <f>"0"</f>
        <v>0</v>
      </c>
      <c r="BC1855" t="str">
        <f ca="1">IF((OFFSET($A$1, 1855 - 1, 53 - 1)) &gt;= (OFFSET($A$1, 69 - 1, 7 - 1)), "1","0")</f>
        <v>0</v>
      </c>
      <c r="BD1855">
        <f ca="1" xml:space="preserve"> IF( AND( OFFSET($A$1, 1855 - 1, 54 - 1) = "1", OFFSET($A$1, 1855 - 1, 55 - 1) = "1" ), 1, IF( AND( OFFSET($A$1, 1855 - 1, 54 - 1) = "1", OFFSET($A$1, 1855 - 1, 55 - 1) = "0" ), 2, IF( AND( OFFSET($A$1, 1855 - 1, 54 - 1) = "0", OFFSET($A$1, 1855 - 1, 55 - 1) = "1" ), 3, 4 ) ) )</f>
        <v>4</v>
      </c>
    </row>
    <row r="1856" spans="53:56" x14ac:dyDescent="0.35">
      <c r="BA1856" s="3">
        <v>0.19687419130427167</v>
      </c>
      <c r="BB1856" s="3" t="str">
        <f>"1"</f>
        <v>1</v>
      </c>
      <c r="BC1856" t="str">
        <f ca="1">IF((OFFSET($A$1, 1856 - 1, 53 - 1)) &gt;= (OFFSET($A$1, 69 - 1, 7 - 1)), "1","0")</f>
        <v>0</v>
      </c>
      <c r="BD1856">
        <f ca="1" xml:space="preserve"> IF( AND( OFFSET($A$1, 1856 - 1, 54 - 1) = "1", OFFSET($A$1, 1856 - 1, 55 - 1) = "1" ), 1, IF( AND( OFFSET($A$1, 1856 - 1, 54 - 1) = "1", OFFSET($A$1, 1856 - 1, 55 - 1) = "0" ), 2, IF( AND( OFFSET($A$1, 1856 - 1, 54 - 1) = "0", OFFSET($A$1, 1856 - 1, 55 - 1) = "1" ), 3, 4 ) ) )</f>
        <v>2</v>
      </c>
    </row>
    <row r="1857" spans="53:56" x14ac:dyDescent="0.35">
      <c r="BA1857" s="3">
        <v>0.4332747561029453</v>
      </c>
      <c r="BB1857" s="3" t="str">
        <f>"1"</f>
        <v>1</v>
      </c>
      <c r="BC1857" t="str">
        <f ca="1">IF((OFFSET($A$1, 1857 - 1, 53 - 1)) &gt;= (OFFSET($A$1, 69 - 1, 7 - 1)), "1","0")</f>
        <v>0</v>
      </c>
      <c r="BD1857">
        <f ca="1" xml:space="preserve"> IF( AND( OFFSET($A$1, 1857 - 1, 54 - 1) = "1", OFFSET($A$1, 1857 - 1, 55 - 1) = "1" ), 1, IF( AND( OFFSET($A$1, 1857 - 1, 54 - 1) = "1", OFFSET($A$1, 1857 - 1, 55 - 1) = "0" ), 2, IF( AND( OFFSET($A$1, 1857 - 1, 54 - 1) = "0", OFFSET($A$1, 1857 - 1, 55 - 1) = "1" ), 3, 4 ) ) )</f>
        <v>2</v>
      </c>
    </row>
    <row r="1858" spans="53:56" x14ac:dyDescent="0.35">
      <c r="BA1858" s="3">
        <v>0.43308156121305702</v>
      </c>
      <c r="BB1858" s="3" t="str">
        <f>"0"</f>
        <v>0</v>
      </c>
      <c r="BC1858" t="str">
        <f ca="1">IF((OFFSET($A$1, 1858 - 1, 53 - 1)) &gt;= (OFFSET($A$1, 69 - 1, 7 - 1)), "1","0")</f>
        <v>0</v>
      </c>
      <c r="BD1858">
        <f ca="1" xml:space="preserve"> IF( AND( OFFSET($A$1, 1858 - 1, 54 - 1) = "1", OFFSET($A$1, 1858 - 1, 55 - 1) = "1" ), 1, IF( AND( OFFSET($A$1, 1858 - 1, 54 - 1) = "1", OFFSET($A$1, 1858 - 1, 55 - 1) = "0" ), 2, IF( AND( OFFSET($A$1, 1858 - 1, 54 - 1) = "0", OFFSET($A$1, 1858 - 1, 55 - 1) = "1" ), 3, 4 ) ) )</f>
        <v>4</v>
      </c>
    </row>
    <row r="1859" spans="53:56" x14ac:dyDescent="0.35">
      <c r="BA1859" s="3">
        <v>0.19650126545483204</v>
      </c>
      <c r="BB1859" s="3" t="str">
        <f>"0"</f>
        <v>0</v>
      </c>
      <c r="BC1859" t="str">
        <f ca="1">IF((OFFSET($A$1, 1859 - 1, 53 - 1)) &gt;= (OFFSET($A$1, 69 - 1, 7 - 1)), "1","0")</f>
        <v>0</v>
      </c>
      <c r="BD1859">
        <f ca="1" xml:space="preserve"> IF( AND( OFFSET($A$1, 1859 - 1, 54 - 1) = "1", OFFSET($A$1, 1859 - 1, 55 - 1) = "1" ), 1, IF( AND( OFFSET($A$1, 1859 - 1, 54 - 1) = "1", OFFSET($A$1, 1859 - 1, 55 - 1) = "0" ), 2, IF( AND( OFFSET($A$1, 1859 - 1, 54 - 1) = "0", OFFSET($A$1, 1859 - 1, 55 - 1) = "1" ), 3, 4 ) ) )</f>
        <v>4</v>
      </c>
    </row>
    <row r="1860" spans="53:56" x14ac:dyDescent="0.35">
      <c r="BA1860" s="3">
        <v>0.19641042747290258</v>
      </c>
      <c r="BB1860" s="3" t="str">
        <f>"1"</f>
        <v>1</v>
      </c>
      <c r="BC1860" t="str">
        <f ca="1">IF((OFFSET($A$1, 1860 - 1, 53 - 1)) &gt;= (OFFSET($A$1, 69 - 1, 7 - 1)), "1","0")</f>
        <v>0</v>
      </c>
      <c r="BD1860">
        <f ca="1" xml:space="preserve"> IF( AND( OFFSET($A$1, 1860 - 1, 54 - 1) = "1", OFFSET($A$1, 1860 - 1, 55 - 1) = "1" ), 1, IF( AND( OFFSET($A$1, 1860 - 1, 54 - 1) = "1", OFFSET($A$1, 1860 - 1, 55 - 1) = "0" ), 2, IF( AND( OFFSET($A$1, 1860 - 1, 54 - 1) = "0", OFFSET($A$1, 1860 - 1, 55 - 1) = "1" ), 3, 4 ) ) )</f>
        <v>2</v>
      </c>
    </row>
    <row r="1861" spans="53:56" x14ac:dyDescent="0.35">
      <c r="BA1861" s="3">
        <v>0.43265780975965679</v>
      </c>
      <c r="BB1861" s="3" t="str">
        <f>"1"</f>
        <v>1</v>
      </c>
      <c r="BC1861" t="str">
        <f ca="1">IF((OFFSET($A$1, 1861 - 1, 53 - 1)) &gt;= (OFFSET($A$1, 69 - 1, 7 - 1)), "1","0")</f>
        <v>0</v>
      </c>
      <c r="BD1861">
        <f ca="1" xml:space="preserve"> IF( AND( OFFSET($A$1, 1861 - 1, 54 - 1) = "1", OFFSET($A$1, 1861 - 1, 55 - 1) = "1" ), 1, IF( AND( OFFSET($A$1, 1861 - 1, 54 - 1) = "1", OFFSET($A$1, 1861 - 1, 55 - 1) = "0" ), 2, IF( AND( OFFSET($A$1, 1861 - 1, 54 - 1) = "0", OFFSET($A$1, 1861 - 1, 55 - 1) = "1" ), 3, 4 ) ) )</f>
        <v>2</v>
      </c>
    </row>
    <row r="1862" spans="53:56" x14ac:dyDescent="0.35">
      <c r="BA1862" s="3">
        <v>0.43256862301686161</v>
      </c>
      <c r="BB1862" s="3" t="str">
        <f>"1"</f>
        <v>1</v>
      </c>
      <c r="BC1862" t="str">
        <f ca="1">IF((OFFSET($A$1, 1862 - 1, 53 - 1)) &gt;= (OFFSET($A$1, 69 - 1, 7 - 1)), "1","0")</f>
        <v>0</v>
      </c>
      <c r="BD1862">
        <f ca="1" xml:space="preserve"> IF( AND( OFFSET($A$1, 1862 - 1, 54 - 1) = "1", OFFSET($A$1, 1862 - 1, 55 - 1) = "1" ), 1, IF( AND( OFFSET($A$1, 1862 - 1, 54 - 1) = "1", OFFSET($A$1, 1862 - 1, 55 - 1) = "0" ), 2, IF( AND( OFFSET($A$1, 1862 - 1, 54 - 1) = "0", OFFSET($A$1, 1862 - 1, 55 - 1) = "1" ), 3, 4 ) ) )</f>
        <v>2</v>
      </c>
    </row>
    <row r="1863" spans="53:56" x14ac:dyDescent="0.35">
      <c r="BA1863" s="3">
        <v>0.43250551127204218</v>
      </c>
      <c r="BB1863" s="3" t="str">
        <f>"0"</f>
        <v>0</v>
      </c>
      <c r="BC1863" t="str">
        <f ca="1">IF((OFFSET($A$1, 1863 - 1, 53 - 1)) &gt;= (OFFSET($A$1, 69 - 1, 7 - 1)), "1","0")</f>
        <v>0</v>
      </c>
      <c r="BD1863">
        <f ca="1" xml:space="preserve"> IF( AND( OFFSET($A$1, 1863 - 1, 54 - 1) = "1", OFFSET($A$1, 1863 - 1, 55 - 1) = "1" ), 1, IF( AND( OFFSET($A$1, 1863 - 1, 54 - 1) = "1", OFFSET($A$1, 1863 - 1, 55 - 1) = "0" ), 2, IF( AND( OFFSET($A$1, 1863 - 1, 54 - 1) = "0", OFFSET($A$1, 1863 - 1, 55 - 1) = "1" ), 3, 4 ) ) )</f>
        <v>4</v>
      </c>
    </row>
    <row r="1864" spans="53:56" x14ac:dyDescent="0.35">
      <c r="BA1864" s="3">
        <v>0.19621466696956844</v>
      </c>
      <c r="BB1864" s="3" t="str">
        <f>"0"</f>
        <v>0</v>
      </c>
      <c r="BC1864" t="str">
        <f ca="1">IF((OFFSET($A$1, 1864 - 1, 53 - 1)) &gt;= (OFFSET($A$1, 69 - 1, 7 - 1)), "1","0")</f>
        <v>0</v>
      </c>
      <c r="BD1864">
        <f ca="1" xml:space="preserve"> IF( AND( OFFSET($A$1, 1864 - 1, 54 - 1) = "1", OFFSET($A$1, 1864 - 1, 55 - 1) = "1" ), 1, IF( AND( OFFSET($A$1, 1864 - 1, 54 - 1) = "1", OFFSET($A$1, 1864 - 1, 55 - 1) = "0" ), 2, IF( AND( OFFSET($A$1, 1864 - 1, 54 - 1) = "0", OFFSET($A$1, 1864 - 1, 55 - 1) = "1" ), 3, 4 ) ) )</f>
        <v>4</v>
      </c>
    </row>
    <row r="1865" spans="53:56" x14ac:dyDescent="0.35">
      <c r="BA1865" s="3">
        <v>0.19620764977640839</v>
      </c>
      <c r="BB1865" s="3" t="str">
        <f>"0"</f>
        <v>0</v>
      </c>
      <c r="BC1865" t="str">
        <f ca="1">IF((OFFSET($A$1, 1865 - 1, 53 - 1)) &gt;= (OFFSET($A$1, 69 - 1, 7 - 1)), "1","0")</f>
        <v>0</v>
      </c>
      <c r="BD1865">
        <f ca="1" xml:space="preserve"> IF( AND( OFFSET($A$1, 1865 - 1, 54 - 1) = "1", OFFSET($A$1, 1865 - 1, 55 - 1) = "1" ), 1, IF( AND( OFFSET($A$1, 1865 - 1, 54 - 1) = "1", OFFSET($A$1, 1865 - 1, 55 - 1) = "0" ), 2, IF( AND( OFFSET($A$1, 1865 - 1, 54 - 1) = "0", OFFSET($A$1, 1865 - 1, 55 - 1) = "1" ), 3, 4 ) ) )</f>
        <v>4</v>
      </c>
    </row>
    <row r="1866" spans="53:56" x14ac:dyDescent="0.35">
      <c r="BA1866" s="3">
        <v>0.19621740576290433</v>
      </c>
      <c r="BB1866" s="3" t="str">
        <f>"1"</f>
        <v>1</v>
      </c>
      <c r="BC1866" t="str">
        <f ca="1">IF((OFFSET($A$1, 1866 - 1, 53 - 1)) &gt;= (OFFSET($A$1, 69 - 1, 7 - 1)), "1","0")</f>
        <v>0</v>
      </c>
      <c r="BD1866">
        <f ca="1" xml:space="preserve"> IF( AND( OFFSET($A$1, 1866 - 1, 54 - 1) = "1", OFFSET($A$1, 1866 - 1, 55 - 1) = "1" ), 1, IF( AND( OFFSET($A$1, 1866 - 1, 54 - 1) = "1", OFFSET($A$1, 1866 - 1, 55 - 1) = "0" ), 2, IF( AND( OFFSET($A$1, 1866 - 1, 54 - 1) = "0", OFFSET($A$1, 1866 - 1, 55 - 1) = "1" ), 3, 4 ) ) )</f>
        <v>2</v>
      </c>
    </row>
    <row r="1867" spans="53:56" x14ac:dyDescent="0.35">
      <c r="BA1867" s="3">
        <v>0.43251403452684933</v>
      </c>
      <c r="BB1867" s="3" t="str">
        <f>"1"</f>
        <v>1</v>
      </c>
      <c r="BC1867" t="str">
        <f ca="1">IF((OFFSET($A$1, 1867 - 1, 53 - 1)) &gt;= (OFFSET($A$1, 69 - 1, 7 - 1)), "1","0")</f>
        <v>0</v>
      </c>
      <c r="BD1867">
        <f ca="1" xml:space="preserve"> IF( AND( OFFSET($A$1, 1867 - 1, 54 - 1) = "1", OFFSET($A$1, 1867 - 1, 55 - 1) = "1" ), 1, IF( AND( OFFSET($A$1, 1867 - 1, 54 - 1) = "1", OFFSET($A$1, 1867 - 1, 55 - 1) = "0" ), 2, IF( AND( OFFSET($A$1, 1867 - 1, 54 - 1) = "0", OFFSET($A$1, 1867 - 1, 55 - 1) = "1" ), 3, 4 ) ) )</f>
        <v>2</v>
      </c>
    </row>
    <row r="1868" spans="53:56" x14ac:dyDescent="0.35">
      <c r="BA1868" s="3">
        <v>0.43258140520464067</v>
      </c>
      <c r="BB1868" s="3" t="str">
        <f>"0"</f>
        <v>0</v>
      </c>
      <c r="BC1868" t="str">
        <f ca="1">IF((OFFSET($A$1, 1868 - 1, 53 - 1)) &gt;= (OFFSET($A$1, 69 - 1, 7 - 1)), "1","0")</f>
        <v>0</v>
      </c>
      <c r="BD1868">
        <f ca="1" xml:space="preserve"> IF( AND( OFFSET($A$1, 1868 - 1, 54 - 1) = "1", OFFSET($A$1, 1868 - 1, 55 - 1) = "1" ), 1, IF( AND( OFFSET($A$1, 1868 - 1, 54 - 1) = "1", OFFSET($A$1, 1868 - 1, 55 - 1) = "0" ), 2, IF( AND( OFFSET($A$1, 1868 - 1, 54 - 1) = "0", OFFSET($A$1, 1868 - 1, 55 - 1) = "1" ), 3, 4 ) ) )</f>
        <v>4</v>
      </c>
    </row>
    <row r="1869" spans="53:56" x14ac:dyDescent="0.35">
      <c r="BA1869" s="3">
        <v>0.19634729426279396</v>
      </c>
      <c r="BB1869" s="3" t="str">
        <f>"0"</f>
        <v>0</v>
      </c>
      <c r="BC1869" t="str">
        <f ca="1">IF((OFFSET($A$1, 1869 - 1, 53 - 1)) &gt;= (OFFSET($A$1, 69 - 1, 7 - 1)), "1","0")</f>
        <v>0</v>
      </c>
      <c r="BD1869">
        <f ca="1" xml:space="preserve"> IF( AND( OFFSET($A$1, 1869 - 1, 54 - 1) = "1", OFFSET($A$1, 1869 - 1, 55 - 1) = "1" ), 1, IF( AND( OFFSET($A$1, 1869 - 1, 54 - 1) = "1", OFFSET($A$1, 1869 - 1, 55 - 1) = "0" ), 2, IF( AND( OFFSET($A$1, 1869 - 1, 54 - 1) = "0", OFFSET($A$1, 1869 - 1, 55 - 1) = "1" ), 3, 4 ) ) )</f>
        <v>4</v>
      </c>
    </row>
    <row r="1870" spans="53:56" x14ac:dyDescent="0.35">
      <c r="BA1870" s="3">
        <v>0.19642411583532035</v>
      </c>
      <c r="BB1870" s="3" t="str">
        <f>"1"</f>
        <v>1</v>
      </c>
      <c r="BC1870" t="str">
        <f ca="1">IF((OFFSET($A$1, 1870 - 1, 53 - 1)) &gt;= (OFFSET($A$1, 69 - 1, 7 - 1)), "1","0")</f>
        <v>0</v>
      </c>
      <c r="BD1870">
        <f ca="1" xml:space="preserve"> IF( AND( OFFSET($A$1, 1870 - 1, 54 - 1) = "1", OFFSET($A$1, 1870 - 1, 55 - 1) = "1" ), 1, IF( AND( OFFSET($A$1, 1870 - 1, 54 - 1) = "1", OFFSET($A$1, 1870 - 1, 55 - 1) = "0" ), 2, IF( AND( OFFSET($A$1, 1870 - 1, 54 - 1) = "0", OFFSET($A$1, 1870 - 1, 55 - 1) = "1" ), 3, 4 ) ) )</f>
        <v>2</v>
      </c>
    </row>
    <row r="1871" spans="53:56" x14ac:dyDescent="0.35">
      <c r="BA1871" s="3">
        <v>0.43293984661300083</v>
      </c>
      <c r="BB1871" s="3" t="str">
        <f>"0"</f>
        <v>0</v>
      </c>
      <c r="BC1871" t="str">
        <f ca="1">IF((OFFSET($A$1, 1871 - 1, 53 - 1)) &gt;= (OFFSET($A$1, 69 - 1, 7 - 1)), "1","0")</f>
        <v>0</v>
      </c>
      <c r="BD1871">
        <f ca="1" xml:space="preserve"> IF( AND( OFFSET($A$1, 1871 - 1, 54 - 1) = "1", OFFSET($A$1, 1871 - 1, 55 - 1) = "1" ), 1, IF( AND( OFFSET($A$1, 1871 - 1, 54 - 1) = "1", OFFSET($A$1, 1871 - 1, 55 - 1) = "0" ), 2, IF( AND( OFFSET($A$1, 1871 - 1, 54 - 1) = "0", OFFSET($A$1, 1871 - 1, 55 - 1) = "1" ), 3, 4 ) ) )</f>
        <v>4</v>
      </c>
    </row>
    <row r="1872" spans="53:56" x14ac:dyDescent="0.35">
      <c r="BA1872" s="3">
        <v>0.19662800229902588</v>
      </c>
      <c r="BB1872" s="3" t="str">
        <f>"0"</f>
        <v>0</v>
      </c>
      <c r="BC1872" t="str">
        <f ca="1">IF((OFFSET($A$1, 1872 - 1, 53 - 1)) &gt;= (OFFSET($A$1, 69 - 1, 7 - 1)), "1","0")</f>
        <v>0</v>
      </c>
      <c r="BD1872">
        <f ca="1" xml:space="preserve"> IF( AND( OFFSET($A$1, 1872 - 1, 54 - 1) = "1", OFFSET($A$1, 1872 - 1, 55 - 1) = "1" ), 1, IF( AND( OFFSET($A$1, 1872 - 1, 54 - 1) = "1", OFFSET($A$1, 1872 - 1, 55 - 1) = "0" ), 2, IF( AND( OFFSET($A$1, 1872 - 1, 54 - 1) = "0", OFFSET($A$1, 1872 - 1, 55 - 1) = "1" ), 3, 4 ) ) )</f>
        <v>4</v>
      </c>
    </row>
    <row r="1873" spans="53:56" x14ac:dyDescent="0.35">
      <c r="BA1873" s="3">
        <v>0.19675504611906439</v>
      </c>
      <c r="BB1873" s="3" t="str">
        <f>"1"</f>
        <v>1</v>
      </c>
      <c r="BC1873" t="str">
        <f ca="1">IF((OFFSET($A$1, 1873 - 1, 53 - 1)) &gt;= (OFFSET($A$1, 69 - 1, 7 - 1)), "1","0")</f>
        <v>0</v>
      </c>
      <c r="BD1873">
        <f ca="1" xml:space="preserve"> IF( AND( OFFSET($A$1, 1873 - 1, 54 - 1) = "1", OFFSET($A$1, 1873 - 1, 55 - 1) = "1" ), 1, IF( AND( OFFSET($A$1, 1873 - 1, 54 - 1) = "1", OFFSET($A$1, 1873 - 1, 55 - 1) = "0" ), 2, IF( AND( OFFSET($A$1, 1873 - 1, 54 - 1) = "0", OFFSET($A$1, 1873 - 1, 55 - 1) = "1" ), 3, 4 ) ) )</f>
        <v>2</v>
      </c>
    </row>
    <row r="1874" spans="53:56" x14ac:dyDescent="0.35">
      <c r="BA1874" s="3">
        <v>0.43353207702478386</v>
      </c>
      <c r="BB1874" s="3" t="str">
        <f>"1"</f>
        <v>1</v>
      </c>
      <c r="BC1874" t="str">
        <f ca="1">IF((OFFSET($A$1, 1874 - 1, 53 - 1)) &gt;= (OFFSET($A$1, 69 - 1, 7 - 1)), "1","0")</f>
        <v>0</v>
      </c>
      <c r="BD1874">
        <f ca="1" xml:space="preserve"> IF( AND( OFFSET($A$1, 1874 - 1, 54 - 1) = "1", OFFSET($A$1, 1874 - 1, 55 - 1) = "1" ), 1, IF( AND( OFFSET($A$1, 1874 - 1, 54 - 1) = "1", OFFSET($A$1, 1874 - 1, 55 - 1) = "0" ), 2, IF( AND( OFFSET($A$1, 1874 - 1, 54 - 1) = "0", OFFSET($A$1, 1874 - 1, 55 - 1) = "1" ), 3, 4 ) ) )</f>
        <v>2</v>
      </c>
    </row>
    <row r="1875" spans="53:56" x14ac:dyDescent="0.35">
      <c r="BA1875" s="3">
        <v>0.43378122173866285</v>
      </c>
      <c r="BB1875" s="3" t="str">
        <f>"0"</f>
        <v>0</v>
      </c>
      <c r="BC1875" t="str">
        <f ca="1">IF((OFFSET($A$1, 1875 - 1, 53 - 1)) &gt;= (OFFSET($A$1, 69 - 1, 7 - 1)), "1","0")</f>
        <v>0</v>
      </c>
      <c r="BD1875">
        <f ca="1" xml:space="preserve"> IF( AND( OFFSET($A$1, 1875 - 1, 54 - 1) = "1", OFFSET($A$1, 1875 - 1, 55 - 1) = "1" ), 1, IF( AND( OFFSET($A$1, 1875 - 1, 54 - 1) = "1", OFFSET($A$1, 1875 - 1, 55 - 1) = "0" ), 2, IF( AND( OFFSET($A$1, 1875 - 1, 54 - 1) = "0", OFFSET($A$1, 1875 - 1, 55 - 1) = "1" ), 3, 4 ) ) )</f>
        <v>4</v>
      </c>
    </row>
    <row r="1876" spans="53:56" x14ac:dyDescent="0.35">
      <c r="BA1876" s="3">
        <v>0.19723641585056853</v>
      </c>
      <c r="BB1876" s="3" t="str">
        <f>"0"</f>
        <v>0</v>
      </c>
      <c r="BC1876" t="str">
        <f ca="1">IF((OFFSET($A$1, 1876 - 1, 53 - 1)) &gt;= (OFFSET($A$1, 69 - 1, 7 - 1)), "1","0")</f>
        <v>0</v>
      </c>
      <c r="BD1876">
        <f ca="1" xml:space="preserve"> IF( AND( OFFSET($A$1, 1876 - 1, 54 - 1) = "1", OFFSET($A$1, 1876 - 1, 55 - 1) = "1" ), 1, IF( AND( OFFSET($A$1, 1876 - 1, 54 - 1) = "1", OFFSET($A$1, 1876 - 1, 55 - 1) = "0" ), 2, IF( AND( OFFSET($A$1, 1876 - 1, 54 - 1) = "0", OFFSET($A$1, 1876 - 1, 55 - 1) = "1" ), 3, 4 ) ) )</f>
        <v>4</v>
      </c>
    </row>
    <row r="1877" spans="53:56" x14ac:dyDescent="0.35">
      <c r="BA1877" s="3">
        <v>0.19743022891459377</v>
      </c>
      <c r="BB1877" s="3" t="str">
        <f>"0"</f>
        <v>0</v>
      </c>
      <c r="BC1877" t="str">
        <f ca="1">IF((OFFSET($A$1, 1877 - 1, 53 - 1)) &gt;= (OFFSET($A$1, 69 - 1, 7 - 1)), "1","0")</f>
        <v>0</v>
      </c>
      <c r="BD1877">
        <f ca="1" xml:space="preserve"> IF( AND( OFFSET($A$1, 1877 - 1, 54 - 1) = "1", OFFSET($A$1, 1877 - 1, 55 - 1) = "1" ), 1, IF( AND( OFFSET($A$1, 1877 - 1, 54 - 1) = "1", OFFSET($A$1, 1877 - 1, 55 - 1) = "0" ), 2, IF( AND( OFFSET($A$1, 1877 - 1, 54 - 1) = "0", OFFSET($A$1, 1877 - 1, 55 - 1) = "1" ), 3, 4 ) ) )</f>
        <v>4</v>
      </c>
    </row>
    <row r="1878" spans="53:56" x14ac:dyDescent="0.35">
      <c r="BA1878" s="3">
        <v>0.19764068738664689</v>
      </c>
      <c r="BB1878" s="3" t="str">
        <f>"0"</f>
        <v>0</v>
      </c>
      <c r="BC1878" t="str">
        <f ca="1">IF((OFFSET($A$1, 1878 - 1, 53 - 1)) &gt;= (OFFSET($A$1, 69 - 1, 7 - 1)), "1","0")</f>
        <v>0</v>
      </c>
      <c r="BD1878">
        <f ca="1" xml:space="preserve"> IF( AND( OFFSET($A$1, 1878 - 1, 54 - 1) = "1", OFFSET($A$1, 1878 - 1, 55 - 1) = "1" ), 1, IF( AND( OFFSET($A$1, 1878 - 1, 54 - 1) = "1", OFFSET($A$1, 1878 - 1, 55 - 1) = "0" ), 2, IF( AND( OFFSET($A$1, 1878 - 1, 54 - 1) = "0", OFFSET($A$1, 1878 - 1, 55 - 1) = "1" ), 3, 4 ) ) )</f>
        <v>4</v>
      </c>
    </row>
    <row r="1879" spans="53:56" x14ac:dyDescent="0.35">
      <c r="BA1879" s="3">
        <v>0.19786776867398431</v>
      </c>
      <c r="BB1879" s="3" t="str">
        <f>"0"</f>
        <v>0</v>
      </c>
      <c r="BC1879" t="str">
        <f ca="1">IF((OFFSET($A$1, 1879 - 1, 53 - 1)) &gt;= (OFFSET($A$1, 69 - 1, 7 - 1)), "1","0")</f>
        <v>0</v>
      </c>
      <c r="BD1879">
        <f ca="1" xml:space="preserve"> IF( AND( OFFSET($A$1, 1879 - 1, 54 - 1) = "1", OFFSET($A$1, 1879 - 1, 55 - 1) = "1" ), 1, IF( AND( OFFSET($A$1, 1879 - 1, 54 - 1) = "1", OFFSET($A$1, 1879 - 1, 55 - 1) = "0" ), 2, IF( AND( OFFSET($A$1, 1879 - 1, 54 - 1) = "0", OFFSET($A$1, 1879 - 1, 55 - 1) = "1" ), 3, 4 ) ) )</f>
        <v>4</v>
      </c>
    </row>
    <row r="1880" spans="53:56" x14ac:dyDescent="0.35">
      <c r="BA1880" s="3">
        <v>0.19811144820315119</v>
      </c>
      <c r="BB1880" s="3" t="str">
        <f>"0"</f>
        <v>0</v>
      </c>
      <c r="BC1880" t="str">
        <f ca="1">IF((OFFSET($A$1, 1880 - 1, 53 - 1)) &gt;= (OFFSET($A$1, 69 - 1, 7 - 1)), "1","0")</f>
        <v>0</v>
      </c>
      <c r="BD1880">
        <f ca="1" xml:space="preserve"> IF( AND( OFFSET($A$1, 1880 - 1, 54 - 1) = "1", OFFSET($A$1, 1880 - 1, 55 - 1) = "1" ), 1, IF( AND( OFFSET($A$1, 1880 - 1, 54 - 1) = "1", OFFSET($A$1, 1880 - 1, 55 - 1) = "0" ), 2, IF( AND( OFFSET($A$1, 1880 - 1, 54 - 1) = "0", OFFSET($A$1, 1880 - 1, 55 - 1) = "1" ), 3, 4 ) ) )</f>
        <v>4</v>
      </c>
    </row>
    <row r="1881" spans="53:56" x14ac:dyDescent="0.35">
      <c r="BA1881" s="3">
        <v>0.19837169937825838</v>
      </c>
      <c r="BB1881" s="3" t="str">
        <f>"0"</f>
        <v>0</v>
      </c>
      <c r="BC1881" t="str">
        <f ca="1">IF((OFFSET($A$1, 1881 - 1, 53 - 1)) &gt;= (OFFSET($A$1, 69 - 1, 7 - 1)), "1","0")</f>
        <v>0</v>
      </c>
      <c r="BD1881">
        <f ca="1" xml:space="preserve"> IF( AND( OFFSET($A$1, 1881 - 1, 54 - 1) = "1", OFFSET($A$1, 1881 - 1, 55 - 1) = "1" ), 1, IF( AND( OFFSET($A$1, 1881 - 1, 54 - 1) = "1", OFFSET($A$1, 1881 - 1, 55 - 1) = "0" ), 2, IF( AND( OFFSET($A$1, 1881 - 1, 54 - 1) = "0", OFFSET($A$1, 1881 - 1, 55 - 1) = "1" ), 3, 4 ) ) )</f>
        <v>4</v>
      </c>
    </row>
    <row r="1882" spans="53:56" x14ac:dyDescent="0.35">
      <c r="BA1882" s="3">
        <v>0.19864849353644998</v>
      </c>
      <c r="BB1882" s="3" t="str">
        <f>"0"</f>
        <v>0</v>
      </c>
      <c r="BC1882" t="str">
        <f ca="1">IF((OFFSET($A$1, 1882 - 1, 53 - 1)) &gt;= (OFFSET($A$1, 69 - 1, 7 - 1)), "1","0")</f>
        <v>0</v>
      </c>
      <c r="BD1882">
        <f ca="1" xml:space="preserve"> IF( AND( OFFSET($A$1, 1882 - 1, 54 - 1) = "1", OFFSET($A$1, 1882 - 1, 55 - 1) = "1" ), 1, IF( AND( OFFSET($A$1, 1882 - 1, 54 - 1) = "1", OFFSET($A$1, 1882 - 1, 55 - 1) = "0" ), 2, IF( AND( OFFSET($A$1, 1882 - 1, 54 - 1) = "0", OFFSET($A$1, 1882 - 1, 55 - 1) = "1" ), 3, 4 ) ) )</f>
        <v>4</v>
      </c>
    </row>
    <row r="1883" spans="53:56" x14ac:dyDescent="0.35">
      <c r="BA1883" s="3">
        <v>0.19894179990061822</v>
      </c>
      <c r="BB1883" s="3" t="str">
        <f>"0"</f>
        <v>0</v>
      </c>
      <c r="BC1883" t="str">
        <f ca="1">IF((OFFSET($A$1, 1883 - 1, 53 - 1)) &gt;= (OFFSET($A$1, 69 - 1, 7 - 1)), "1","0")</f>
        <v>0</v>
      </c>
      <c r="BD1883">
        <f ca="1" xml:space="preserve"> IF( AND( OFFSET($A$1, 1883 - 1, 54 - 1) = "1", OFFSET($A$1, 1883 - 1, 55 - 1) = "1" ), 1, IF( AND( OFFSET($A$1, 1883 - 1, 54 - 1) = "1", OFFSET($A$1, 1883 - 1, 55 - 1) = "0" ), 2, IF( AND( OFFSET($A$1, 1883 - 1, 54 - 1) = "0", OFFSET($A$1, 1883 - 1, 55 - 1) = "1" ), 3, 4 ) ) )</f>
        <v>4</v>
      </c>
    </row>
    <row r="1884" spans="53:56" x14ac:dyDescent="0.35">
      <c r="BA1884" s="3">
        <v>0.19925158552942501</v>
      </c>
      <c r="BB1884" s="3" t="str">
        <f>"0"</f>
        <v>0</v>
      </c>
      <c r="BC1884" t="str">
        <f ca="1">IF((OFFSET($A$1, 1884 - 1, 53 - 1)) &gt;= (OFFSET($A$1, 69 - 1, 7 - 1)), "1","0")</f>
        <v>0</v>
      </c>
      <c r="BD1884">
        <f ca="1" xml:space="preserve"> IF( AND( OFFSET($A$1, 1884 - 1, 54 - 1) = "1", OFFSET($A$1, 1884 - 1, 55 - 1) = "1" ), 1, IF( AND( OFFSET($A$1, 1884 - 1, 54 - 1) = "1", OFFSET($A$1, 1884 - 1, 55 - 1) = "0" ), 2, IF( AND( OFFSET($A$1, 1884 - 1, 54 - 1) = "0", OFFSET($A$1, 1884 - 1, 55 - 1) = "1" ), 3, 4 ) ) )</f>
        <v>4</v>
      </c>
    </row>
    <row r="1885" spans="53:56" x14ac:dyDescent="0.35">
      <c r="BA1885" s="3">
        <v>0.1995778152646954</v>
      </c>
      <c r="BB1885" s="3" t="str">
        <f>"0"</f>
        <v>0</v>
      </c>
      <c r="BC1885" t="str">
        <f ca="1">IF((OFFSET($A$1, 1885 - 1, 53 - 1)) &gt;= (OFFSET($A$1, 69 - 1, 7 - 1)), "1","0")</f>
        <v>0</v>
      </c>
      <c r="BD1885">
        <f ca="1" xml:space="preserve"> IF( AND( OFFSET($A$1, 1885 - 1, 54 - 1) = "1", OFFSET($A$1, 1885 - 1, 55 - 1) = "1" ), 1, IF( AND( OFFSET($A$1, 1885 - 1, 54 - 1) = "1", OFFSET($A$1, 1885 - 1, 55 - 1) = "0" ), 2, IF( AND( OFFSET($A$1, 1885 - 1, 54 - 1) = "0", OFFSET($A$1, 1885 - 1, 55 - 1) = "1" ), 3, 4 ) ) )</f>
        <v>4</v>
      </c>
    </row>
    <row r="1886" spans="53:56" x14ac:dyDescent="0.35">
      <c r="BA1886" s="3">
        <v>0.19992045167625386</v>
      </c>
      <c r="BB1886" s="3" t="str">
        <f>"0"</f>
        <v>0</v>
      </c>
      <c r="BC1886" t="str">
        <f ca="1">IF((OFFSET($A$1, 1886 - 1, 53 - 1)) &gt;= (OFFSET($A$1, 69 - 1, 7 - 1)), "1","0")</f>
        <v>0</v>
      </c>
      <c r="BD1886">
        <f ca="1" xml:space="preserve"> IF( AND( OFFSET($A$1, 1886 - 1, 54 - 1) = "1", OFFSET($A$1, 1886 - 1, 55 - 1) = "1" ), 1, IF( AND( OFFSET($A$1, 1886 - 1, 54 - 1) = "1", OFFSET($A$1, 1886 - 1, 55 - 1) = "0" ), 2, IF( AND( OFFSET($A$1, 1886 - 1, 54 - 1) = "0", OFFSET($A$1, 1886 - 1, 55 - 1) = "1" ), 3, 4 ) ) )</f>
        <v>4</v>
      </c>
    </row>
    <row r="1887" spans="53:56" x14ac:dyDescent="0.35">
      <c r="BA1887" s="3">
        <v>0.20027945500427177</v>
      </c>
      <c r="BB1887" s="3" t="str">
        <f>"0"</f>
        <v>0</v>
      </c>
      <c r="BC1887" t="str">
        <f ca="1">IF((OFFSET($A$1, 1887 - 1, 53 - 1)) &gt;= (OFFSET($A$1, 69 - 1, 7 - 1)), "1","0")</f>
        <v>0</v>
      </c>
      <c r="BD1887">
        <f ca="1" xml:space="preserve"> IF( AND( OFFSET($A$1, 1887 - 1, 54 - 1) = "1", OFFSET($A$1, 1887 - 1, 55 - 1) = "1" ), 1, IF( AND( OFFSET($A$1, 1887 - 1, 54 - 1) = "1", OFFSET($A$1, 1887 - 1, 55 - 1) = "0" ), 2, IF( AND( OFFSET($A$1, 1887 - 1, 54 - 1) = "0", OFFSET($A$1, 1887 - 1, 55 - 1) = "1" ), 3, 4 ) ) )</f>
        <v>4</v>
      </c>
    </row>
    <row r="1888" spans="53:56" x14ac:dyDescent="0.35">
      <c r="BA1888" s="3">
        <v>0.20065478309921053</v>
      </c>
      <c r="BB1888" s="3" t="str">
        <f>"0"</f>
        <v>0</v>
      </c>
      <c r="BC1888" t="str">
        <f ca="1">IF((OFFSET($A$1, 1888 - 1, 53 - 1)) &gt;= (OFFSET($A$1, 69 - 1, 7 - 1)), "1","0")</f>
        <v>0</v>
      </c>
      <c r="BD1888">
        <f ca="1" xml:space="preserve"> IF( AND( OFFSET($A$1, 1888 - 1, 54 - 1) = "1", OFFSET($A$1, 1888 - 1, 55 - 1) = "1" ), 1, IF( AND( OFFSET($A$1, 1888 - 1, 54 - 1) = "1", OFFSET($A$1, 1888 - 1, 55 - 1) = "0" ), 2, IF( AND( OFFSET($A$1, 1888 - 1, 54 - 1) = "0", OFFSET($A$1, 1888 - 1, 55 - 1) = "1" ), 3, 4 ) ) )</f>
        <v>4</v>
      </c>
    </row>
    <row r="1889" spans="53:56" x14ac:dyDescent="0.35">
      <c r="BA1889" s="3">
        <v>0.20104639135943447</v>
      </c>
      <c r="BB1889" s="3" t="str">
        <f>"0"</f>
        <v>0</v>
      </c>
      <c r="BC1889" t="str">
        <f ca="1">IF((OFFSET($A$1, 1889 - 1, 53 - 1)) &gt;= (OFFSET($A$1, 69 - 1, 7 - 1)), "1","0")</f>
        <v>0</v>
      </c>
      <c r="BD1889">
        <f ca="1" xml:space="preserve"> IF( AND( OFFSET($A$1, 1889 - 1, 54 - 1) = "1", OFFSET($A$1, 1889 - 1, 55 - 1) = "1" ), 1, IF( AND( OFFSET($A$1, 1889 - 1, 54 - 1) = "1", OFFSET($A$1, 1889 - 1, 55 - 1) = "0" ), 2, IF( AND( OFFSET($A$1, 1889 - 1, 54 - 1) = "0", OFFSET($A$1, 1889 - 1, 55 - 1) = "1" ), 3, 4 ) ) )</f>
        <v>4</v>
      </c>
    </row>
    <row r="1890" spans="53:56" x14ac:dyDescent="0.35">
      <c r="BA1890" s="3">
        <v>0.20145423266658527</v>
      </c>
      <c r="BB1890" s="3" t="str">
        <f>"0"</f>
        <v>0</v>
      </c>
      <c r="BC1890" t="str">
        <f ca="1">IF((OFFSET($A$1, 1890 - 1, 53 - 1)) &gt;= (OFFSET($A$1, 69 - 1, 7 - 1)), "1","0")</f>
        <v>0</v>
      </c>
      <c r="BD1890">
        <f ca="1" xml:space="preserve"> IF( AND( OFFSET($A$1, 1890 - 1, 54 - 1) = "1", OFFSET($A$1, 1890 - 1, 55 - 1) = "1" ), 1, IF( AND( OFFSET($A$1, 1890 - 1, 54 - 1) = "1", OFFSET($A$1, 1890 - 1, 55 - 1) = "0" ), 2, IF( AND( OFFSET($A$1, 1890 - 1, 54 - 1) = "0", OFFSET($A$1, 1890 - 1, 55 - 1) = "1" ), 3, 4 ) ) )</f>
        <v>4</v>
      </c>
    </row>
    <row r="1891" spans="53:56" x14ac:dyDescent="0.35">
      <c r="BA1891" s="3">
        <v>0.20187825731880504</v>
      </c>
      <c r="BB1891" s="3" t="str">
        <f>"1"</f>
        <v>1</v>
      </c>
      <c r="BC1891" t="str">
        <f ca="1">IF((OFFSET($A$1, 1891 - 1, 53 - 1)) &gt;= (OFFSET($A$1, 69 - 1, 7 - 1)), "1","0")</f>
        <v>0</v>
      </c>
      <c r="BD1891">
        <f ca="1" xml:space="preserve"> IF( AND( OFFSET($A$1, 1891 - 1, 54 - 1) = "1", OFFSET($A$1, 1891 - 1, 55 - 1) = "1" ), 1, IF( AND( OFFSET($A$1, 1891 - 1, 54 - 1) = "1", OFFSET($A$1, 1891 - 1, 55 - 1) = "0" ), 2, IF( AND( OFFSET($A$1, 1891 - 1, 54 - 1) = "0", OFFSET($A$1, 1891 - 1, 55 - 1) = "1" ), 3, 4 ) ) )</f>
        <v>2</v>
      </c>
    </row>
    <row r="1892" spans="53:56" x14ac:dyDescent="0.35">
      <c r="BA1892" s="3">
        <v>0.44188124014439145</v>
      </c>
      <c r="BB1892" s="3" t="str">
        <f>"1"</f>
        <v>1</v>
      </c>
      <c r="BC1892" t="str">
        <f ca="1">IF((OFFSET($A$1, 1892 - 1, 53 - 1)) &gt;= (OFFSET($A$1, 69 - 1, 7 - 1)), "1","0")</f>
        <v>0</v>
      </c>
      <c r="BD1892">
        <f ca="1" xml:space="preserve"> IF( AND( OFFSET($A$1, 1892 - 1, 54 - 1) = "1", OFFSET($A$1, 1892 - 1, 55 - 1) = "1" ), 1, IF( AND( OFFSET($A$1, 1892 - 1, 54 - 1) = "1", OFFSET($A$1, 1892 - 1, 55 - 1) = "0" ), 2, IF( AND( OFFSET($A$1, 1892 - 1, 54 - 1) = "0", OFFSET($A$1, 1892 - 1, 55 - 1) = "1" ), 3, 4 ) ) )</f>
        <v>2</v>
      </c>
    </row>
    <row r="1893" spans="53:56" x14ac:dyDescent="0.35">
      <c r="BA1893" s="3">
        <v>0.44257796051567044</v>
      </c>
      <c r="BB1893" s="3" t="str">
        <f>"1"</f>
        <v>1</v>
      </c>
      <c r="BC1893" t="str">
        <f ca="1">IF((OFFSET($A$1, 1893 - 1, 53 - 1)) &gt;= (OFFSET($A$1, 69 - 1, 7 - 1)), "1","0")</f>
        <v>0</v>
      </c>
      <c r="BD1893">
        <f ca="1" xml:space="preserve"> IF( AND( OFFSET($A$1, 1893 - 1, 54 - 1) = "1", OFFSET($A$1, 1893 - 1, 55 - 1) = "1" ), 1, IF( AND( OFFSET($A$1, 1893 - 1, 54 - 1) = "1", OFFSET($A$1, 1893 - 1, 55 - 1) = "0" ), 2, IF( AND( OFFSET($A$1, 1893 - 1, 54 - 1) = "0", OFFSET($A$1, 1893 - 1, 55 - 1) = "1" ), 3, 4 ) ) )</f>
        <v>2</v>
      </c>
    </row>
    <row r="1894" spans="53:56" x14ac:dyDescent="0.35">
      <c r="BA1894" s="3">
        <v>0.44329814975844134</v>
      </c>
      <c r="BB1894" s="3" t="str">
        <f>"1"</f>
        <v>1</v>
      </c>
      <c r="BC1894" t="str">
        <f ca="1">IF((OFFSET($A$1, 1894 - 1, 53 - 1)) &gt;= (OFFSET($A$1, 69 - 1, 7 - 1)), "1","0")</f>
        <v>0</v>
      </c>
      <c r="BD1894">
        <f ca="1" xml:space="preserve"> IF( AND( OFFSET($A$1, 1894 - 1, 54 - 1) = "1", OFFSET($A$1, 1894 - 1, 55 - 1) = "1" ), 1, IF( AND( OFFSET($A$1, 1894 - 1, 54 - 1) = "1", OFFSET($A$1, 1894 - 1, 55 - 1) = "0" ), 2, IF( AND( OFFSET($A$1, 1894 - 1, 54 - 1) = "0", OFFSET($A$1, 1894 - 1, 55 - 1) = "1" ), 3, 4 ) ) )</f>
        <v>2</v>
      </c>
    </row>
    <row r="1895" spans="53:56" x14ac:dyDescent="0.35">
      <c r="BA1895" s="3">
        <v>0.44404161491968874</v>
      </c>
      <c r="BB1895" s="3" t="str">
        <f>"0"</f>
        <v>0</v>
      </c>
      <c r="BC1895" t="str">
        <f ca="1">IF((OFFSET($A$1, 1895 - 1, 53 - 1)) &gt;= (OFFSET($A$1, 69 - 1, 7 - 1)), "1","0")</f>
        <v>0</v>
      </c>
      <c r="BD1895">
        <f ca="1" xml:space="preserve"> IF( AND( OFFSET($A$1, 1895 - 1, 54 - 1) = "1", OFFSET($A$1, 1895 - 1, 55 - 1) = "1" ), 1, IF( AND( OFFSET($A$1, 1895 - 1, 54 - 1) = "1", OFFSET($A$1, 1895 - 1, 55 - 1) = "0" ), 2, IF( AND( OFFSET($A$1, 1895 - 1, 54 - 1) = "0", OFFSET($A$1, 1895 - 1, 55 - 1) = "1" ), 3, 4 ) ) )</f>
        <v>4</v>
      </c>
    </row>
    <row r="1896" spans="53:56" x14ac:dyDescent="0.35">
      <c r="BA1896" s="3">
        <v>0.20423920151241265</v>
      </c>
      <c r="BB1896" s="3" t="str">
        <f>"1"</f>
        <v>1</v>
      </c>
      <c r="BC1896" t="str">
        <f ca="1">IF((OFFSET($A$1, 1896 - 1, 53 - 1)) &gt;= (OFFSET($A$1, 69 - 1, 7 - 1)), "1","0")</f>
        <v>0</v>
      </c>
      <c r="BD1896">
        <f ca="1" xml:space="preserve"> IF( AND( OFFSET($A$1, 1896 - 1, 54 - 1) = "1", OFFSET($A$1, 1896 - 1, 55 - 1) = "1" ), 1, IF( AND( OFFSET($A$1, 1896 - 1, 54 - 1) = "1", OFFSET($A$1, 1896 - 1, 55 - 1) = "0" ), 2, IF( AND( OFFSET($A$1, 1896 - 1, 54 - 1) = "0", OFFSET($A$1, 1896 - 1, 55 - 1) = "1" ), 3, 4 ) ) )</f>
        <v>2</v>
      </c>
    </row>
    <row r="1897" spans="53:56" x14ac:dyDescent="0.35">
      <c r="BA1897" s="3">
        <v>0.44559756636066283</v>
      </c>
      <c r="BB1897" s="3" t="str">
        <f>"0"</f>
        <v>0</v>
      </c>
      <c r="BC1897" t="str">
        <f ca="1">IF((OFFSET($A$1, 1897 - 1, 53 - 1)) &gt;= (OFFSET($A$1, 69 - 1, 7 - 1)), "1","0")</f>
        <v>0</v>
      </c>
      <c r="BD1897">
        <f ca="1" xml:space="preserve"> IF( AND( OFFSET($A$1, 1897 - 1, 54 - 1) = "1", OFFSET($A$1, 1897 - 1, 55 - 1) = "1" ), 1, IF( AND( OFFSET($A$1, 1897 - 1, 54 - 1) = "1", OFFSET($A$1, 1897 - 1, 55 - 1) = "0" ), 2, IF( AND( OFFSET($A$1, 1897 - 1, 54 - 1) = "0", OFFSET($A$1, 1897 - 1, 55 - 1) = "1" ), 3, 4 ) ) )</f>
        <v>4</v>
      </c>
    </row>
    <row r="1898" spans="53:56" x14ac:dyDescent="0.35">
      <c r="BA1898" s="3">
        <v>0.20529481338535244</v>
      </c>
      <c r="BB1898" s="3" t="str">
        <f>"0"</f>
        <v>0</v>
      </c>
      <c r="BC1898" t="str">
        <f ca="1">IF((OFFSET($A$1, 1898 - 1, 53 - 1)) &gt;= (OFFSET($A$1, 69 - 1, 7 - 1)), "1","0")</f>
        <v>0</v>
      </c>
      <c r="BD1898">
        <f ca="1" xml:space="preserve"> IF( AND( OFFSET($A$1, 1898 - 1, 54 - 1) = "1", OFFSET($A$1, 1898 - 1, 55 - 1) = "1" ), 1, IF( AND( OFFSET($A$1, 1898 - 1, 54 - 1) = "1", OFFSET($A$1, 1898 - 1, 55 - 1) = "0" ), 2, IF( AND( OFFSET($A$1, 1898 - 1, 54 - 1) = "0", OFFSET($A$1, 1898 - 1, 55 - 1) = "1" ), 3, 4 ) ) )</f>
        <v>4</v>
      </c>
    </row>
    <row r="1899" spans="53:56" x14ac:dyDescent="0.35">
      <c r="BA1899" s="3">
        <v>0.20584618194159396</v>
      </c>
      <c r="BB1899" s="3" t="str">
        <f>"0"</f>
        <v>0</v>
      </c>
      <c r="BC1899" t="str">
        <f ca="1">IF((OFFSET($A$1, 1899 - 1, 53 - 1)) &gt;= (OFFSET($A$1, 69 - 1, 7 - 1)), "1","0")</f>
        <v>0</v>
      </c>
      <c r="BD1899">
        <f ca="1" xml:space="preserve"> IF( AND( OFFSET($A$1, 1899 - 1, 54 - 1) = "1", OFFSET($A$1, 1899 - 1, 55 - 1) = "1" ), 1, IF( AND( OFFSET($A$1, 1899 - 1, 54 - 1) = "1", OFFSET($A$1, 1899 - 1, 55 - 1) = "0" ), 2, IF( AND( OFFSET($A$1, 1899 - 1, 54 - 1) = "0", OFFSET($A$1, 1899 - 1, 55 - 1) = "1" ), 3, 4 ) ) )</f>
        <v>4</v>
      </c>
    </row>
    <row r="1900" spans="53:56" x14ac:dyDescent="0.35">
      <c r="BA1900" s="3">
        <v>0.20641315831526796</v>
      </c>
      <c r="BB1900" s="3" t="str">
        <f>"0"</f>
        <v>0</v>
      </c>
      <c r="BC1900" t="str">
        <f ca="1">IF((OFFSET($A$1, 1900 - 1, 53 - 1)) &gt;= (OFFSET($A$1, 69 - 1, 7 - 1)), "1","0")</f>
        <v>0</v>
      </c>
      <c r="BD1900">
        <f ca="1" xml:space="preserve"> IF( AND( OFFSET($A$1, 1900 - 1, 54 - 1) = "1", OFFSET($A$1, 1900 - 1, 55 - 1) = "1" ), 1, IF( AND( OFFSET($A$1, 1900 - 1, 54 - 1) = "1", OFFSET($A$1, 1900 - 1, 55 - 1) = "0" ), 2, IF( AND( OFFSET($A$1, 1900 - 1, 54 - 1) = "0", OFFSET($A$1, 1900 - 1, 55 - 1) = "1" ), 3, 4 ) ) )</f>
        <v>4</v>
      </c>
    </row>
    <row r="1901" spans="53:56" x14ac:dyDescent="0.35">
      <c r="BA1901" s="3">
        <v>0.20699566289692672</v>
      </c>
      <c r="BB1901" s="3" t="str">
        <f>"0"</f>
        <v>0</v>
      </c>
      <c r="BC1901" t="str">
        <f ca="1">IF((OFFSET($A$1, 1901 - 1, 53 - 1)) &gt;= (OFFSET($A$1, 69 - 1, 7 - 1)), "1","0")</f>
        <v>0</v>
      </c>
      <c r="BD1901">
        <f ca="1" xml:space="preserve"> IF( AND( OFFSET($A$1, 1901 - 1, 54 - 1) = "1", OFFSET($A$1, 1901 - 1, 55 - 1) = "1" ), 1, IF( AND( OFFSET($A$1, 1901 - 1, 54 - 1) = "1", OFFSET($A$1, 1901 - 1, 55 - 1) = "0" ), 2, IF( AND( OFFSET($A$1, 1901 - 1, 54 - 1) = "0", OFFSET($A$1, 1901 - 1, 55 - 1) = "1" ), 3, 4 ) ) )</f>
        <v>4</v>
      </c>
    </row>
    <row r="1902" spans="53:56" x14ac:dyDescent="0.35">
      <c r="BA1902" s="3">
        <v>0.20759361264730719</v>
      </c>
      <c r="BB1902" s="3" t="str">
        <f>"1"</f>
        <v>1</v>
      </c>
      <c r="BC1902" t="str">
        <f ca="1">IF((OFFSET($A$1, 1902 - 1, 53 - 1)) &gt;= (OFFSET($A$1, 69 - 1, 7 - 1)), "1","0")</f>
        <v>0</v>
      </c>
      <c r="BD1902">
        <f ca="1" xml:space="preserve"> IF( AND( OFFSET($A$1, 1902 - 1, 54 - 1) = "1", OFFSET($A$1, 1902 - 1, 55 - 1) = "1" ), 1, IF( AND( OFFSET($A$1, 1902 - 1, 54 - 1) = "1", OFFSET($A$1, 1902 - 1, 55 - 1) = "0" ), 2, IF( AND( OFFSET($A$1, 1902 - 1, 54 - 1) = "0", OFFSET($A$1, 1902 - 1, 55 - 1) = "1" ), 3, 4 ) ) )</f>
        <v>2</v>
      </c>
    </row>
    <row r="1903" spans="53:56" x14ac:dyDescent="0.35">
      <c r="BA1903" s="3">
        <v>0.4508018145532024</v>
      </c>
      <c r="BB1903" s="3" t="str">
        <f>"0"</f>
        <v>0</v>
      </c>
      <c r="BC1903" t="str">
        <f ca="1">IF((OFFSET($A$1, 1903 - 1, 53 - 1)) &gt;= (OFFSET($A$1, 69 - 1, 7 - 1)), "1","0")</f>
        <v>0</v>
      </c>
      <c r="BD1903">
        <f ca="1" xml:space="preserve"> IF( AND( OFFSET($A$1, 1903 - 1, 54 - 1) = "1", OFFSET($A$1, 1903 - 1, 55 - 1) = "1" ), 1, IF( AND( OFFSET($A$1, 1903 - 1, 54 - 1) = "1", OFFSET($A$1, 1903 - 1, 55 - 1) = "0" ), 2, IF( AND( OFFSET($A$1, 1903 - 1, 54 - 1) = "0", OFFSET($A$1, 1903 - 1, 55 - 1) = "1" ), 3, 4 ) ) )</f>
        <v>4</v>
      </c>
    </row>
    <row r="1904" spans="53:56" x14ac:dyDescent="0.35">
      <c r="BA1904" s="3">
        <v>0.20883549784372626</v>
      </c>
      <c r="BB1904" s="3" t="str">
        <f>"0"</f>
        <v>0</v>
      </c>
      <c r="BC1904" t="str">
        <f ca="1">IF((OFFSET($A$1, 1904 - 1, 53 - 1)) &gt;= (OFFSET($A$1, 69 - 1, 7 - 1)), "1","0")</f>
        <v>0</v>
      </c>
      <c r="BD1904">
        <f ca="1" xml:space="preserve"> IF( AND( OFFSET($A$1, 1904 - 1, 54 - 1) = "1", OFFSET($A$1, 1904 - 1, 55 - 1) = "1" ), 1, IF( AND( OFFSET($A$1, 1904 - 1, 54 - 1) = "1", OFFSET($A$1, 1904 - 1, 55 - 1) = "0" ), 2, IF( AND( OFFSET($A$1, 1904 - 1, 54 - 1) = "0", OFFSET($A$1, 1904 - 1, 55 - 1) = "1" ), 3, 4 ) ) )</f>
        <v>4</v>
      </c>
    </row>
    <row r="1905" spans="53:56" x14ac:dyDescent="0.35">
      <c r="BA1905" s="3">
        <v>0.20947924930370193</v>
      </c>
      <c r="BB1905" s="3" t="str">
        <f>"0"</f>
        <v>0</v>
      </c>
      <c r="BC1905" t="str">
        <f ca="1">IF((OFFSET($A$1, 1905 - 1, 53 - 1)) &gt;= (OFFSET($A$1, 69 - 1, 7 - 1)), "1","0")</f>
        <v>0</v>
      </c>
      <c r="BD1905">
        <f ca="1" xml:space="preserve"> IF( AND( OFFSET($A$1, 1905 - 1, 54 - 1) = "1", OFFSET($A$1, 1905 - 1, 55 - 1) = "1" ), 1, IF( AND( OFFSET($A$1, 1905 - 1, 54 - 1) = "1", OFFSET($A$1, 1905 - 1, 55 - 1) = "0" ), 2, IF( AND( OFFSET($A$1, 1905 - 1, 54 - 1) = "0", OFFSET($A$1, 1905 - 1, 55 - 1) = "1" ), 3, 4 ) ) )</f>
        <v>4</v>
      </c>
    </row>
    <row r="1906" spans="53:56" x14ac:dyDescent="0.35">
      <c r="BA1906" s="3">
        <v>0.21013807779002106</v>
      </c>
      <c r="BB1906" s="3" t="str">
        <f>"0"</f>
        <v>0</v>
      </c>
      <c r="BC1906" t="str">
        <f ca="1">IF((OFFSET($A$1, 1906 - 1, 53 - 1)) &gt;= (OFFSET($A$1, 69 - 1, 7 - 1)), "1","0")</f>
        <v>0</v>
      </c>
      <c r="BD1906">
        <f ca="1" xml:space="preserve"> IF( AND( OFFSET($A$1, 1906 - 1, 54 - 1) = "1", OFFSET($A$1, 1906 - 1, 55 - 1) = "1" ), 1, IF( AND( OFFSET($A$1, 1906 - 1, 54 - 1) = "1", OFFSET($A$1, 1906 - 1, 55 - 1) = "0" ), 2, IF( AND( OFFSET($A$1, 1906 - 1, 54 - 1) = "0", OFFSET($A$1, 1906 - 1, 55 - 1) = "1" ), 3, 4 ) ) )</f>
        <v>4</v>
      </c>
    </row>
    <row r="1907" spans="53:56" x14ac:dyDescent="0.35">
      <c r="BA1907" s="3">
        <v>0.21081188184544</v>
      </c>
      <c r="BB1907" s="3" t="str">
        <f>"0"</f>
        <v>0</v>
      </c>
      <c r="BC1907" t="str">
        <f ca="1">IF((OFFSET($A$1, 1907 - 1, 53 - 1)) &gt;= (OFFSET($A$1, 69 - 1, 7 - 1)), "1","0")</f>
        <v>0</v>
      </c>
      <c r="BD1907">
        <f ca="1" xml:space="preserve"> IF( AND( OFFSET($A$1, 1907 - 1, 54 - 1) = "1", OFFSET($A$1, 1907 - 1, 55 - 1) = "1" ), 1, IF( AND( OFFSET($A$1, 1907 - 1, 54 - 1) = "1", OFFSET($A$1, 1907 - 1, 55 - 1) = "0" ), 2, IF( AND( OFFSET($A$1, 1907 - 1, 54 - 1) = "0", OFFSET($A$1, 1907 - 1, 55 - 1) = "1" ), 3, 4 ) ) )</f>
        <v>4</v>
      </c>
    </row>
    <row r="1908" spans="53:56" x14ac:dyDescent="0.35">
      <c r="BA1908" s="3">
        <v>0.21150055607338603</v>
      </c>
      <c r="BB1908" s="3" t="str">
        <f>"0"</f>
        <v>0</v>
      </c>
      <c r="BC1908" t="str">
        <f ca="1">IF((OFFSET($A$1, 1908 - 1, 53 - 1)) &gt;= (OFFSET($A$1, 69 - 1, 7 - 1)), "1","0")</f>
        <v>0</v>
      </c>
      <c r="BD1908">
        <f ca="1" xml:space="preserve"> IF( AND( OFFSET($A$1, 1908 - 1, 54 - 1) = "1", OFFSET($A$1, 1908 - 1, 55 - 1) = "1" ), 1, IF( AND( OFFSET($A$1, 1908 - 1, 54 - 1) = "1", OFFSET($A$1, 1908 - 1, 55 - 1) = "0" ), 2, IF( AND( OFFSET($A$1, 1908 - 1, 54 - 1) = "0", OFFSET($A$1, 1908 - 1, 55 - 1) = "1" ), 3, 4 ) ) )</f>
        <v>4</v>
      </c>
    </row>
    <row r="1909" spans="53:56" x14ac:dyDescent="0.35">
      <c r="BA1909" s="3">
        <v>0.2122039910528018</v>
      </c>
      <c r="BB1909" s="3" t="str">
        <f>"0"</f>
        <v>0</v>
      </c>
      <c r="BC1909" t="str">
        <f ca="1">IF((OFFSET($A$1, 1909 - 1, 53 - 1)) &gt;= (OFFSET($A$1, 69 - 1, 7 - 1)), "1","0")</f>
        <v>0</v>
      </c>
      <c r="BD1909">
        <f ca="1" xml:space="preserve"> IF( AND( OFFSET($A$1, 1909 - 1, 54 - 1) = "1", OFFSET($A$1, 1909 - 1, 55 - 1) = "1" ), 1, IF( AND( OFFSET($A$1, 1909 - 1, 54 - 1) = "1", OFFSET($A$1, 1909 - 1, 55 - 1) = "0" ), 2, IF( AND( OFFSET($A$1, 1909 - 1, 54 - 1) = "0", OFFSET($A$1, 1909 - 1, 55 - 1) = "1" ), 3, 4 ) ) )</f>
        <v>4</v>
      </c>
    </row>
    <row r="1910" spans="53:56" x14ac:dyDescent="0.35">
      <c r="BA1910" s="3">
        <v>0.2129220732533566</v>
      </c>
      <c r="BB1910" s="3" t="str">
        <f>"0"</f>
        <v>0</v>
      </c>
      <c r="BC1910" t="str">
        <f ca="1">IF((OFFSET($A$1, 1910 - 1, 53 - 1)) &gt;= (OFFSET($A$1, 69 - 1, 7 - 1)), "1","0")</f>
        <v>0</v>
      </c>
      <c r="BD1910">
        <f ca="1" xml:space="preserve"> IF( AND( OFFSET($A$1, 1910 - 1, 54 - 1) = "1", OFFSET($A$1, 1910 - 1, 55 - 1) = "1" ), 1, IF( AND( OFFSET($A$1, 1910 - 1, 54 - 1) = "1", OFFSET($A$1, 1910 - 1, 55 - 1) = "0" ), 2, IF( AND( OFFSET($A$1, 1910 - 1, 54 - 1) = "0", OFFSET($A$1, 1910 - 1, 55 - 1) = "1" ), 3, 4 ) ) )</f>
        <v>4</v>
      </c>
    </row>
    <row r="1911" spans="53:56" x14ac:dyDescent="0.35">
      <c r="BA1911" s="3">
        <v>0.21365468495119377</v>
      </c>
      <c r="BB1911" s="3" t="str">
        <f>"1"</f>
        <v>1</v>
      </c>
      <c r="BC1911" t="str">
        <f ca="1">IF((OFFSET($A$1, 1911 - 1, 53 - 1)) &gt;= (OFFSET($A$1, 69 - 1, 7 - 1)), "1","0")</f>
        <v>0</v>
      </c>
      <c r="BD1911">
        <f ca="1" xml:space="preserve"> IF( AND( OFFSET($A$1, 1911 - 1, 54 - 1) = "1", OFFSET($A$1, 1911 - 1, 55 - 1) = "1" ), 1, IF( AND( OFFSET($A$1, 1911 - 1, 54 - 1) = "1", OFFSET($A$1, 1911 - 1, 55 - 1) = "0" ), 2, IF( AND( OFFSET($A$1, 1911 - 1, 54 - 1) = "0", OFFSET($A$1, 1911 - 1, 55 - 1) = "1" ), 3, 4 ) ) )</f>
        <v>2</v>
      </c>
    </row>
    <row r="1912" spans="53:56" x14ac:dyDescent="0.35">
      <c r="BA1912" s="3">
        <v>0.46002100808436075</v>
      </c>
      <c r="BB1912" s="3" t="str">
        <f>"0"</f>
        <v>0</v>
      </c>
      <c r="BC1912" t="str">
        <f ca="1">IF((OFFSET($A$1, 1912 - 1, 53 - 1)) &gt;= (OFFSET($A$1, 69 - 1, 7 - 1)), "1","0")</f>
        <v>0</v>
      </c>
      <c r="BD1912">
        <f ca="1" xml:space="preserve"> IF( AND( OFFSET($A$1, 1912 - 1, 54 - 1) = "1", OFFSET($A$1, 1912 - 1, 55 - 1) = "1" ), 1, IF( AND( OFFSET($A$1, 1912 - 1, 54 - 1) = "1", OFFSET($A$1, 1912 - 1, 55 - 1) = "0" ), 2, IF( AND( OFFSET($A$1, 1912 - 1, 54 - 1) = "0", OFFSET($A$1, 1912 - 1, 55 - 1) = "1" ), 3, 4 ) ) )</f>
        <v>4</v>
      </c>
    </row>
    <row r="1913" spans="53:56" x14ac:dyDescent="0.35">
      <c r="BA1913" s="3">
        <v>0.21516300447529663</v>
      </c>
      <c r="BB1913" s="3" t="str">
        <f>"0"</f>
        <v>0</v>
      </c>
      <c r="BC1913" t="str">
        <f ca="1">IF((OFFSET($A$1, 1913 - 1, 53 - 1)) &gt;= (OFFSET($A$1, 69 - 1, 7 - 1)), "1","0")</f>
        <v>0</v>
      </c>
      <c r="BD1913">
        <f ca="1" xml:space="preserve"> IF( AND( OFFSET($A$1, 1913 - 1, 54 - 1) = "1", OFFSET($A$1, 1913 - 1, 55 - 1) = "1" ), 1, IF( AND( OFFSET($A$1, 1913 - 1, 54 - 1) = "1", OFFSET($A$1, 1913 - 1, 55 - 1) = "0" ), 2, IF( AND( OFFSET($A$1, 1913 - 1, 54 - 1) = "0", OFFSET($A$1, 1913 - 1, 55 - 1) = "1" ), 3, 4 ) ) )</f>
        <v>4</v>
      </c>
    </row>
    <row r="1914" spans="53:56" x14ac:dyDescent="0.35">
      <c r="BA1914" s="3">
        <v>0.21593845513895912</v>
      </c>
      <c r="BB1914" s="3" t="str">
        <f>"1"</f>
        <v>1</v>
      </c>
      <c r="BC1914" t="str">
        <f ca="1">IF((OFFSET($A$1, 1914 - 1, 53 - 1)) &gt;= (OFFSET($A$1, 69 - 1, 7 - 1)), "1","0")</f>
        <v>0</v>
      </c>
      <c r="BD1914">
        <f ca="1" xml:space="preserve"> IF( AND( OFFSET($A$1, 1914 - 1, 54 - 1) = "1", OFFSET($A$1, 1914 - 1, 55 - 1) = "1" ), 1, IF( AND( OFFSET($A$1, 1914 - 1, 54 - 1) = "1", OFFSET($A$1, 1914 - 1, 55 - 1) = "0" ), 2, IF( AND( OFFSET($A$1, 1914 - 1, 54 - 1) = "0", OFFSET($A$1, 1914 - 1, 55 - 1) = "1" ), 3, 4 ) ) )</f>
        <v>2</v>
      </c>
    </row>
    <row r="1915" spans="53:56" x14ac:dyDescent="0.35">
      <c r="BA1915" s="3">
        <v>0.46344005608242284</v>
      </c>
      <c r="BB1915" s="3" t="str">
        <f>"0"</f>
        <v>0</v>
      </c>
      <c r="BC1915" t="str">
        <f ca="1">IF((OFFSET($A$1, 1915 - 1, 53 - 1)) &gt;= (OFFSET($A$1, 69 - 1, 7 - 1)), "1","0")</f>
        <v>0</v>
      </c>
      <c r="BD1915">
        <f ca="1" xml:space="preserve"> IF( AND( OFFSET($A$1, 1915 - 1, 54 - 1) = "1", OFFSET($A$1, 1915 - 1, 55 - 1) = "1" ), 1, IF( AND( OFFSET($A$1, 1915 - 1, 54 - 1) = "1", OFFSET($A$1, 1915 - 1, 55 - 1) = "0" ), 2, IF( AND( OFFSET($A$1, 1915 - 1, 54 - 1) = "0", OFFSET($A$1, 1915 - 1, 55 - 1) = "1" ), 3, 4 ) ) )</f>
        <v>4</v>
      </c>
    </row>
    <row r="1916" spans="53:56" x14ac:dyDescent="0.35">
      <c r="BA1916" s="3">
        <v>0.21753126157250954</v>
      </c>
      <c r="BB1916" s="3" t="str">
        <f>"0"</f>
        <v>0</v>
      </c>
      <c r="BC1916" t="str">
        <f ca="1">IF((OFFSET($A$1, 1916 - 1, 53 - 1)) &gt;= (OFFSET($A$1, 69 - 1, 7 - 1)), "1","0")</f>
        <v>0</v>
      </c>
      <c r="BD1916">
        <f ca="1" xml:space="preserve"> IF( AND( OFFSET($A$1, 1916 - 1, 54 - 1) = "1", OFFSET($A$1, 1916 - 1, 55 - 1) = "1" ), 1, IF( AND( OFFSET($A$1, 1916 - 1, 54 - 1) = "1", OFFSET($A$1, 1916 - 1, 55 - 1) = "0" ), 2, IF( AND( OFFSET($A$1, 1916 - 1, 54 - 1) = "0", OFFSET($A$1, 1916 - 1, 55 - 1) = "1" ), 3, 4 ) ) )</f>
        <v>4</v>
      </c>
    </row>
    <row r="1917" spans="53:56" x14ac:dyDescent="0.35">
      <c r="BA1917" s="3">
        <v>0.21834833281613464</v>
      </c>
      <c r="BB1917" s="3" t="str">
        <f>"0"</f>
        <v>0</v>
      </c>
      <c r="BC1917" t="str">
        <f ca="1">IF((OFFSET($A$1, 1917 - 1, 53 - 1)) &gt;= (OFFSET($A$1, 69 - 1, 7 - 1)), "1","0")</f>
        <v>0</v>
      </c>
      <c r="BD1917">
        <f ca="1" xml:space="preserve"> IF( AND( OFFSET($A$1, 1917 - 1, 54 - 1) = "1", OFFSET($A$1, 1917 - 1, 55 - 1) = "1" ), 1, IF( AND( OFFSET($A$1, 1917 - 1, 54 - 1) = "1", OFFSET($A$1, 1917 - 1, 55 - 1) = "0" ), 2, IF( AND( OFFSET($A$1, 1917 - 1, 54 - 1) = "0", OFFSET($A$1, 1917 - 1, 55 - 1) = "1" ), 3, 4 ) ) )</f>
        <v>4</v>
      </c>
    </row>
    <row r="1918" spans="53:56" x14ac:dyDescent="0.35">
      <c r="BA1918" s="3">
        <v>0.21917898518817472</v>
      </c>
      <c r="BB1918" s="3" t="str">
        <f>"0"</f>
        <v>0</v>
      </c>
      <c r="BC1918" t="str">
        <f ca="1">IF((OFFSET($A$1, 1918 - 1, 53 - 1)) &gt;= (OFFSET($A$1, 69 - 1, 7 - 1)), "1","0")</f>
        <v>0</v>
      </c>
      <c r="BD1918">
        <f ca="1" xml:space="preserve"> IF( AND( OFFSET($A$1, 1918 - 1, 54 - 1) = "1", OFFSET($A$1, 1918 - 1, 55 - 1) = "1" ), 1, IF( AND( OFFSET($A$1, 1918 - 1, 54 - 1) = "1", OFFSET($A$1, 1918 - 1, 55 - 1) = "0" ), 2, IF( AND( OFFSET($A$1, 1918 - 1, 54 - 1) = "0", OFFSET($A$1, 1918 - 1, 55 - 1) = "1" ), 3, 4 ) ) )</f>
        <v>4</v>
      </c>
    </row>
    <row r="1919" spans="53:56" x14ac:dyDescent="0.35">
      <c r="BA1919" s="3">
        <v>0.22002306450625703</v>
      </c>
      <c r="BB1919" s="3" t="str">
        <f>"0"</f>
        <v>0</v>
      </c>
      <c r="BC1919" t="str">
        <f ca="1">IF((OFFSET($A$1, 1919 - 1, 53 - 1)) &gt;= (OFFSET($A$1, 69 - 1, 7 - 1)), "1","0")</f>
        <v>0</v>
      </c>
      <c r="BD1919">
        <f ca="1" xml:space="preserve"> IF( AND( OFFSET($A$1, 1919 - 1, 54 - 1) = "1", OFFSET($A$1, 1919 - 1, 55 - 1) = "1" ), 1, IF( AND( OFFSET($A$1, 1919 - 1, 54 - 1) = "1", OFFSET($A$1, 1919 - 1, 55 - 1) = "0" ), 2, IF( AND( OFFSET($A$1, 1919 - 1, 54 - 1) = "0", OFFSET($A$1, 1919 - 1, 55 - 1) = "1" ), 3, 4 ) ) )</f>
        <v>4</v>
      </c>
    </row>
    <row r="1920" spans="53:56" x14ac:dyDescent="0.35">
      <c r="BA1920" s="3">
        <v>0.22088041168974343</v>
      </c>
      <c r="BB1920" s="3" t="str">
        <f>"1"</f>
        <v>1</v>
      </c>
      <c r="BC1920" t="str">
        <f ca="1">IF((OFFSET($A$1, 1920 - 1, 53 - 1)) &gt;= (OFFSET($A$1, 69 - 1, 7 - 1)), "1","0")</f>
        <v>0</v>
      </c>
      <c r="BD1920">
        <f ca="1" xml:space="preserve"> IF( AND( OFFSET($A$1, 1920 - 1, 54 - 1) = "1", OFFSET($A$1, 1920 - 1, 55 - 1) = "1" ), 1, IF( AND( OFFSET($A$1, 1920 - 1, 54 - 1) = "1", OFFSET($A$1, 1920 - 1, 55 - 1) = "0" ), 2, IF( AND( OFFSET($A$1, 1920 - 1, 54 - 1) = "0", OFFSET($A$1, 1920 - 1, 55 - 1) = "1" ), 3, 4 ) ) )</f>
        <v>2</v>
      </c>
    </row>
    <row r="1921" spans="53:56" x14ac:dyDescent="0.35">
      <c r="BA1921" s="3">
        <v>0.47074444076105232</v>
      </c>
      <c r="BB1921" s="3" t="str">
        <f>"1"</f>
        <v>1</v>
      </c>
      <c r="BC1921" t="str">
        <f ca="1">IF((OFFSET($A$1, 1921 - 1, 53 - 1)) &gt;= (OFFSET($A$1, 69 - 1, 7 - 1)), "1","0")</f>
        <v>0</v>
      </c>
      <c r="BD1921">
        <f ca="1" xml:space="preserve"> IF( AND( OFFSET($A$1, 1921 - 1, 54 - 1) = "1", OFFSET($A$1, 1921 - 1, 55 - 1) = "1" ), 1, IF( AND( OFFSET($A$1, 1921 - 1, 54 - 1) = "1", OFFSET($A$1, 1921 - 1, 55 - 1) = "0" ), 2, IF( AND( OFFSET($A$1, 1921 - 1, 54 - 1) = "0", OFFSET($A$1, 1921 - 1, 55 - 1) = "1" ), 3, 4 ) ) )</f>
        <v>2</v>
      </c>
    </row>
    <row r="1922" spans="53:56" x14ac:dyDescent="0.35">
      <c r="BA1922" s="3">
        <v>0.47201813114696684</v>
      </c>
      <c r="BB1922" s="3" t="str">
        <f>"0"</f>
        <v>0</v>
      </c>
      <c r="BC1922" t="str">
        <f ca="1">IF((OFFSET($A$1, 1922 - 1, 53 - 1)) &gt;= (OFFSET($A$1, 69 - 1, 7 - 1)), "1","0")</f>
        <v>0</v>
      </c>
      <c r="BD1922">
        <f ca="1" xml:space="preserve"> IF( AND( OFFSET($A$1, 1922 - 1, 54 - 1) = "1", OFFSET($A$1, 1922 - 1, 55 - 1) = "1" ), 1, IF( AND( OFFSET($A$1, 1922 - 1, 54 - 1) = "1", OFFSET($A$1, 1922 - 1, 55 - 1) = "0" ), 2, IF( AND( OFFSET($A$1, 1922 - 1, 54 - 1) = "0", OFFSET($A$1, 1922 - 1, 55 - 1) = "1" ), 3, 4 ) ) )</f>
        <v>4</v>
      </c>
    </row>
    <row r="1923" spans="53:56" x14ac:dyDescent="0.35">
      <c r="BA1923" s="3">
        <v>0.22353039472147837</v>
      </c>
      <c r="BB1923" s="3" t="str">
        <f>"0"</f>
        <v>0</v>
      </c>
      <c r="BC1923" t="str">
        <f ca="1">IF((OFFSET($A$1, 1923 - 1, 53 - 1)) &gt;= (OFFSET($A$1, 69 - 1, 7 - 1)), "1","0")</f>
        <v>0</v>
      </c>
      <c r="BD1923">
        <f ca="1" xml:space="preserve"> IF( AND( OFFSET($A$1, 1923 - 1, 54 - 1) = "1", OFFSET($A$1, 1923 - 1, 55 - 1) = "1" ), 1, IF( AND( OFFSET($A$1, 1923 - 1, 54 - 1) = "1", OFFSET($A$1, 1923 - 1, 55 - 1) = "0" ), 2, IF( AND( OFFSET($A$1, 1923 - 1, 54 - 1) = "0", OFFSET($A$1, 1923 - 1, 55 - 1) = "1" ), 3, 4 ) ) )</f>
        <v>4</v>
      </c>
    </row>
    <row r="1924" spans="53:56" x14ac:dyDescent="0.35">
      <c r="BA1924" s="3">
        <v>0.22443912223502788</v>
      </c>
      <c r="BB1924" s="3" t="str">
        <f>"0"</f>
        <v>0</v>
      </c>
      <c r="BC1924" t="str">
        <f ca="1">IF((OFFSET($A$1, 1924 - 1, 53 - 1)) &gt;= (OFFSET($A$1, 69 - 1, 7 - 1)), "1","0")</f>
        <v>0</v>
      </c>
      <c r="BD1924">
        <f ca="1" xml:space="preserve"> IF( AND( OFFSET($A$1, 1924 - 1, 54 - 1) = "1", OFFSET($A$1, 1924 - 1, 55 - 1) = "1" ), 1, IF( AND( OFFSET($A$1, 1924 - 1, 54 - 1) = "1", OFFSET($A$1, 1924 - 1, 55 - 1) = "0" ), 2, IF( AND( OFFSET($A$1, 1924 - 1, 54 - 1) = "0", OFFSET($A$1, 1924 - 1, 55 - 1) = "1" ), 3, 4 ) ) )</f>
        <v>4</v>
      </c>
    </row>
    <row r="1925" spans="53:56" x14ac:dyDescent="0.35">
      <c r="BA1925" s="3">
        <v>0.22536024641524402</v>
      </c>
      <c r="BB1925" s="3" t="str">
        <f>"0"</f>
        <v>0</v>
      </c>
      <c r="BC1925" t="str">
        <f ca="1">IF((OFFSET($A$1, 1925 - 1, 53 - 1)) &gt;= (OFFSET($A$1, 69 - 1, 7 - 1)), "1","0")</f>
        <v>0</v>
      </c>
      <c r="BD1925">
        <f ca="1" xml:space="preserve"> IF( AND( OFFSET($A$1, 1925 - 1, 54 - 1) = "1", OFFSET($A$1, 1925 - 1, 55 - 1) = "1" ), 1, IF( AND( OFFSET($A$1, 1925 - 1, 54 - 1) = "1", OFFSET($A$1, 1925 - 1, 55 - 1) = "0" ), 2, IF( AND( OFFSET($A$1, 1925 - 1, 54 - 1) = "0", OFFSET($A$1, 1925 - 1, 55 - 1) = "1" ), 3, 4 ) ) )</f>
        <v>4</v>
      </c>
    </row>
    <row r="1926" spans="53:56" x14ac:dyDescent="0.35">
      <c r="BA1926" s="3">
        <v>0.226293577438829</v>
      </c>
      <c r="BB1926" s="3" t="str">
        <f>"0"</f>
        <v>0</v>
      </c>
      <c r="BC1926" t="str">
        <f ca="1">IF((OFFSET($A$1, 1926 - 1, 53 - 1)) &gt;= (OFFSET($A$1, 69 - 1, 7 - 1)), "1","0")</f>
        <v>0</v>
      </c>
      <c r="BD1926">
        <f ca="1" xml:space="preserve"> IF( AND( OFFSET($A$1, 1926 - 1, 54 - 1) = "1", OFFSET($A$1, 1926 - 1, 55 - 1) = "1" ), 1, IF( AND( OFFSET($A$1, 1926 - 1, 54 - 1) = "1", OFFSET($A$1, 1926 - 1, 55 - 1) = "0" ), 2, IF( AND( OFFSET($A$1, 1926 - 1, 54 - 1) = "0", OFFSET($A$1, 1926 - 1, 55 - 1) = "1" ), 3, 4 ) ) )</f>
        <v>4</v>
      </c>
    </row>
    <row r="1927" spans="53:56" x14ac:dyDescent="0.35">
      <c r="BA1927" s="3">
        <v>0.22723892016134417</v>
      </c>
      <c r="BB1927" s="3" t="str">
        <f>"0"</f>
        <v>0</v>
      </c>
      <c r="BC1927" t="str">
        <f ca="1">IF((OFFSET($A$1, 1927 - 1, 53 - 1)) &gt;= (OFFSET($A$1, 69 - 1, 7 - 1)), "1","0")</f>
        <v>0</v>
      </c>
      <c r="BD1927">
        <f ca="1" xml:space="preserve"> IF( AND( OFFSET($A$1, 1927 - 1, 54 - 1) = "1", OFFSET($A$1, 1927 - 1, 55 - 1) = "1" ), 1, IF( AND( OFFSET($A$1, 1927 - 1, 54 - 1) = "1", OFFSET($A$1, 1927 - 1, 55 - 1) = "0" ), 2, IF( AND( OFFSET($A$1, 1927 - 1, 54 - 1) = "0", OFFSET($A$1, 1927 - 1, 55 - 1) = "1" ), 3, 4 ) ) )</f>
        <v>4</v>
      </c>
    </row>
    <row r="1928" spans="53:56" x14ac:dyDescent="0.35">
      <c r="BA1928" s="3">
        <v>0.22819607406997183</v>
      </c>
      <c r="BB1928" s="3" t="str">
        <f>"1"</f>
        <v>1</v>
      </c>
      <c r="BC1928" t="str">
        <f ca="1">IF((OFFSET($A$1, 1928 - 1, 53 - 1)) &gt;= (OFFSET($A$1, 69 - 1, 7 - 1)), "1","0")</f>
        <v>0</v>
      </c>
      <c r="BD1928">
        <f ca="1" xml:space="preserve"> IF( AND( OFFSET($A$1, 1928 - 1, 54 - 1) = "1", OFFSET($A$1, 1928 - 1, 55 - 1) = "1" ), 1, IF( AND( OFFSET($A$1, 1928 - 1, 54 - 1) = "1", OFFSET($A$1, 1928 - 1, 55 - 1) = "0" ), 2, IF( AND( OFFSET($A$1, 1928 - 1, 54 - 1) = "0", OFFSET($A$1, 1928 - 1, 55 - 1) = "1" ), 3, 4 ) ) )</f>
        <v>2</v>
      </c>
    </row>
    <row r="1929" spans="53:56" x14ac:dyDescent="0.35">
      <c r="BA1929" s="3">
        <v>0.48133445675480563</v>
      </c>
      <c r="BB1929" s="3" t="str">
        <f>"0"</f>
        <v>0</v>
      </c>
      <c r="BC1929" t="str">
        <f ca="1">IF((OFFSET($A$1, 1929 - 1, 53 - 1)) &gt;= (OFFSET($A$1, 69 - 1, 7 - 1)), "1","0")</f>
        <v>0</v>
      </c>
      <c r="BD1929">
        <f ca="1" xml:space="preserve"> IF( AND( OFFSET($A$1, 1929 - 1, 54 - 1) = "1", OFFSET($A$1, 1929 - 1, 55 - 1) = "1" ), 1, IF( AND( OFFSET($A$1, 1929 - 1, 54 - 1) = "1", OFFSET($A$1, 1929 - 1, 55 - 1) = "0" ), 2, IF( AND( OFFSET($A$1, 1929 - 1, 54 - 1) = "0", OFFSET($A$1, 1929 - 1, 55 - 1) = "1" ), 3, 4 ) ) )</f>
        <v>4</v>
      </c>
    </row>
    <row r="1930" spans="53:56" x14ac:dyDescent="0.35">
      <c r="BA1930" s="3">
        <v>0.23014498629601476</v>
      </c>
      <c r="BB1930" s="3" t="str">
        <f>"0"</f>
        <v>0</v>
      </c>
      <c r="BC1930" t="str">
        <f ca="1">IF((OFFSET($A$1, 1930 - 1, 53 - 1)) &gt;= (OFFSET($A$1, 69 - 1, 7 - 1)), "1","0")</f>
        <v>0</v>
      </c>
      <c r="BD1930">
        <f ca="1" xml:space="preserve"> IF( AND( OFFSET($A$1, 1930 - 1, 54 - 1) = "1", OFFSET($A$1, 1930 - 1, 55 - 1) = "1" ), 1, IF( AND( OFFSET($A$1, 1930 - 1, 54 - 1) = "1", OFFSET($A$1, 1930 - 1, 55 - 1) = "0" ), 2, IF( AND( OFFSET($A$1, 1930 - 1, 54 - 1) = "0", OFFSET($A$1, 1930 - 1, 55 - 1) = "1" ), 3, 4 ) ) )</f>
        <v>4</v>
      </c>
    </row>
    <row r="1931" spans="53:56" x14ac:dyDescent="0.35">
      <c r="BA1931" s="3">
        <v>0.23113631637555065</v>
      </c>
      <c r="BB1931" s="3" t="str">
        <f>"1"</f>
        <v>1</v>
      </c>
      <c r="BC1931" t="str">
        <f ca="1">IF((OFFSET($A$1, 1931 - 1, 53 - 1)) &gt;= (OFFSET($A$1, 69 - 1, 7 - 1)), "1","0")</f>
        <v>0</v>
      </c>
      <c r="BD1931">
        <f ca="1" xml:space="preserve"> IF( AND( OFFSET($A$1, 1931 - 1, 54 - 1) = "1", OFFSET($A$1, 1931 - 1, 55 - 1) = "1" ), 1, IF( AND( OFFSET($A$1, 1931 - 1, 54 - 1) = "1", OFFSET($A$1, 1931 - 1, 55 - 1) = "0" ), 2, IF( AND( OFFSET($A$1, 1931 - 1, 54 - 1) = "0", OFFSET($A$1, 1931 - 1, 55 - 1) = "1" ), 3, 4 ) ) )</f>
        <v>2</v>
      </c>
    </row>
    <row r="1932" spans="53:56" x14ac:dyDescent="0.35">
      <c r="BA1932" s="3">
        <v>0.48551942520433133</v>
      </c>
      <c r="BB1932" s="3" t="str">
        <f>"1"</f>
        <v>1</v>
      </c>
      <c r="BC1932" t="str">
        <f ca="1">IF((OFFSET($A$1, 1932 - 1, 53 - 1)) &gt;= (OFFSET($A$1, 69 - 1, 7 - 1)), "1","0")</f>
        <v>0</v>
      </c>
      <c r="BD1932">
        <f ca="1" xml:space="preserve"> IF( AND( OFFSET($A$1, 1932 - 1, 54 - 1) = "1", OFFSET($A$1, 1932 - 1, 55 - 1) = "1" ), 1, IF( AND( OFFSET($A$1, 1932 - 1, 54 - 1) = "1", OFFSET($A$1, 1932 - 1, 55 - 1) = "0" ), 2, IF( AND( OFFSET($A$1, 1932 - 1, 54 - 1) = "0", OFFSET($A$1, 1932 - 1, 55 - 1) = "1" ), 3, 4 ) ) )</f>
        <v>2</v>
      </c>
    </row>
    <row r="1933" spans="53:56" x14ac:dyDescent="0.35">
      <c r="BA1933" s="3">
        <v>0.48693696355709687</v>
      </c>
      <c r="BB1933" s="3" t="str">
        <f>"0"</f>
        <v>0</v>
      </c>
      <c r="BC1933" t="str">
        <f ca="1">IF((OFFSET($A$1, 1933 - 1, 53 - 1)) &gt;= (OFFSET($A$1, 69 - 1, 7 - 1)), "1","0")</f>
        <v>0</v>
      </c>
      <c r="BD1933">
        <f ca="1" xml:space="preserve"> IF( AND( OFFSET($A$1, 1933 - 1, 54 - 1) = "1", OFFSET($A$1, 1933 - 1, 55 - 1) = "1" ), 1, IF( AND( OFFSET($A$1, 1933 - 1, 54 - 1) = "1", OFFSET($A$1, 1933 - 1, 55 - 1) = "0" ), 2, IF( AND( OFFSET($A$1, 1933 - 1, 54 - 1) = "0", OFFSET($A$1, 1933 - 1, 55 - 1) = "1" ), 3, 4 ) ) )</f>
        <v>4</v>
      </c>
    </row>
    <row r="1934" spans="53:56" x14ac:dyDescent="0.35">
      <c r="BA1934" s="3">
        <v>0.23417511722350148</v>
      </c>
      <c r="BB1934" s="3" t="str">
        <f>"0"</f>
        <v>0</v>
      </c>
      <c r="BC1934" t="str">
        <f ca="1">IF((OFFSET($A$1, 1934 - 1, 53 - 1)) &gt;= (OFFSET($A$1, 69 - 1, 7 - 1)), "1","0")</f>
        <v>0</v>
      </c>
      <c r="BD1934">
        <f ca="1" xml:space="preserve"> IF( AND( OFFSET($A$1, 1934 - 1, 54 - 1) = "1", OFFSET($A$1, 1934 - 1, 55 - 1) = "1" ), 1, IF( AND( OFFSET($A$1, 1934 - 1, 54 - 1) = "1", OFFSET($A$1, 1934 - 1, 55 - 1) = "0" ), 2, IF( AND( OFFSET($A$1, 1934 - 1, 54 - 1) = "0", OFFSET($A$1, 1934 - 1, 55 - 1) = "1" ), 3, 4 ) ) )</f>
        <v>4</v>
      </c>
    </row>
    <row r="1935" spans="53:56" x14ac:dyDescent="0.35">
      <c r="BA1935" s="3">
        <v>0.23520887606576615</v>
      </c>
      <c r="BB1935" s="3" t="str">
        <f>"0"</f>
        <v>0</v>
      </c>
      <c r="BC1935" t="str">
        <f ca="1">IF((OFFSET($A$1, 1935 - 1, 53 - 1)) &gt;= (OFFSET($A$1, 69 - 1, 7 - 1)), "1","0")</f>
        <v>0</v>
      </c>
      <c r="BD1935">
        <f ca="1" xml:space="preserve"> IF( AND( OFFSET($A$1, 1935 - 1, 54 - 1) = "1", OFFSET($A$1, 1935 - 1, 55 - 1) = "1" ), 1, IF( AND( OFFSET($A$1, 1935 - 1, 54 - 1) = "1", OFFSET($A$1, 1935 - 1, 55 - 1) = "0" ), 2, IF( AND( OFFSET($A$1, 1935 - 1, 54 - 1) = "0", OFFSET($A$1, 1935 - 1, 55 - 1) = "1" ), 3, 4 ) ) )</f>
        <v>4</v>
      </c>
    </row>
    <row r="1936" spans="53:56" x14ac:dyDescent="0.35">
      <c r="BA1936" s="3">
        <v>0.2362526444077423</v>
      </c>
      <c r="BB1936" s="3" t="str">
        <f>"0"</f>
        <v>0</v>
      </c>
      <c r="BC1936" t="str">
        <f ca="1">IF((OFFSET($A$1, 1936 - 1, 53 - 1)) &gt;= (OFFSET($A$1, 69 - 1, 7 - 1)), "1","0")</f>
        <v>0</v>
      </c>
      <c r="BD1936">
        <f ca="1" xml:space="preserve"> IF( AND( OFFSET($A$1, 1936 - 1, 54 - 1) = "1", OFFSET($A$1, 1936 - 1, 55 - 1) = "1" ), 1, IF( AND( OFFSET($A$1, 1936 - 1, 54 - 1) = "1", OFFSET($A$1, 1936 - 1, 55 - 1) = "0" ), 2, IF( AND( OFFSET($A$1, 1936 - 1, 54 - 1) = "0", OFFSET($A$1, 1936 - 1, 55 - 1) = "1" ), 3, 4 ) ) )</f>
        <v>4</v>
      </c>
    </row>
    <row r="1937" spans="53:56" x14ac:dyDescent="0.35">
      <c r="BA1937" s="3">
        <v>0.23730617198516568</v>
      </c>
      <c r="BB1937" s="3" t="str">
        <f>"0"</f>
        <v>0</v>
      </c>
      <c r="BC1937" t="str">
        <f ca="1">IF((OFFSET($A$1, 1937 - 1, 53 - 1)) &gt;= (OFFSET($A$1, 69 - 1, 7 - 1)), "1","0")</f>
        <v>0</v>
      </c>
      <c r="BD1937">
        <f ca="1" xml:space="preserve"> IF( AND( OFFSET($A$1, 1937 - 1, 54 - 1) = "1", OFFSET($A$1, 1937 - 1, 55 - 1) = "1" ), 1, IF( AND( OFFSET($A$1, 1937 - 1, 54 - 1) = "1", OFFSET($A$1, 1937 - 1, 55 - 1) = "0" ), 2, IF( AND( OFFSET($A$1, 1937 - 1, 54 - 1) = "0", OFFSET($A$1, 1937 - 1, 55 - 1) = "1" ), 3, 4 ) ) )</f>
        <v>4</v>
      </c>
    </row>
    <row r="1938" spans="53:56" x14ac:dyDescent="0.35">
      <c r="BA1938" s="3">
        <v>0.23836920293184941</v>
      </c>
      <c r="BB1938" s="3" t="str">
        <f>"0"</f>
        <v>0</v>
      </c>
      <c r="BC1938" t="str">
        <f ca="1">IF((OFFSET($A$1, 1938 - 1, 53 - 1)) &gt;= (OFFSET($A$1, 69 - 1, 7 - 1)), "1","0")</f>
        <v>0</v>
      </c>
      <c r="BD1938">
        <f ca="1" xml:space="preserve"> IF( AND( OFFSET($A$1, 1938 - 1, 54 - 1) = "1", OFFSET($A$1, 1938 - 1, 55 - 1) = "1" ), 1, IF( AND( OFFSET($A$1, 1938 - 1, 54 - 1) = "1", OFFSET($A$1, 1938 - 1, 55 - 1) = "0" ), 2, IF( AND( OFFSET($A$1, 1938 - 1, 54 - 1) = "0", OFFSET($A$1, 1938 - 1, 55 - 1) = "1" ), 3, 4 ) ) )</f>
        <v>4</v>
      </c>
    </row>
    <row r="1939" spans="53:56" x14ac:dyDescent="0.35">
      <c r="BA1939" s="3">
        <v>0.23944147578363745</v>
      </c>
      <c r="BB1939" s="3" t="str">
        <f>"0"</f>
        <v>0</v>
      </c>
      <c r="BC1939" t="str">
        <f ca="1">IF((OFFSET($A$1, 1939 - 1, 53 - 1)) &gt;= (OFFSET($A$1, 69 - 1, 7 - 1)), "1","0")</f>
        <v>0</v>
      </c>
      <c r="BD1939">
        <f ca="1" xml:space="preserve"> IF( AND( OFFSET($A$1, 1939 - 1, 54 - 1) = "1", OFFSET($A$1, 1939 - 1, 55 - 1) = "1" ), 1, IF( AND( OFFSET($A$1, 1939 - 1, 54 - 1) = "1", OFFSET($A$1, 1939 - 1, 55 - 1) = "0" ), 2, IF( AND( OFFSET($A$1, 1939 - 1, 54 - 1) = "0", OFFSET($A$1, 1939 - 1, 55 - 1) = "1" ), 3, 4 ) ) )</f>
        <v>4</v>
      </c>
    </row>
    <row r="1940" spans="53:56" x14ac:dyDescent="0.35">
      <c r="BA1940" s="3">
        <v>0.2405227234878789</v>
      </c>
      <c r="BB1940" s="3" t="str">
        <f>"0"</f>
        <v>0</v>
      </c>
      <c r="BC1940" t="str">
        <f ca="1">IF((OFFSET($A$1, 1940 - 1, 53 - 1)) &gt;= (OFFSET($A$1, 69 - 1, 7 - 1)), "1","0")</f>
        <v>0</v>
      </c>
      <c r="BD1940">
        <f ca="1" xml:space="preserve"> IF( AND( OFFSET($A$1, 1940 - 1, 54 - 1) = "1", OFFSET($A$1, 1940 - 1, 55 - 1) = "1" ), 1, IF( AND( OFFSET($A$1, 1940 - 1, 54 - 1) = "1", OFFSET($A$1, 1940 - 1, 55 - 1) = "0" ), 2, IF( AND( OFFSET($A$1, 1940 - 1, 54 - 1) = "0", OFFSET($A$1, 1940 - 1, 55 - 1) = "1" ), 3, 4 ) ) )</f>
        <v>4</v>
      </c>
    </row>
    <row r="1941" spans="53:56" x14ac:dyDescent="0.35">
      <c r="BA1941" s="3">
        <v>0.24161267341853168</v>
      </c>
      <c r="BB1941" s="3" t="str">
        <f>"0"</f>
        <v>0</v>
      </c>
      <c r="BC1941" t="str">
        <f ca="1">IF((OFFSET($A$1, 1941 - 1, 53 - 1)) &gt;= (OFFSET($A$1, 69 - 1, 7 - 1)), "1","0")</f>
        <v>0</v>
      </c>
      <c r="BD1941">
        <f ca="1" xml:space="preserve"> IF( AND( OFFSET($A$1, 1941 - 1, 54 - 1) = "1", OFFSET($A$1, 1941 - 1, 55 - 1) = "1" ), 1, IF( AND( OFFSET($A$1, 1941 - 1, 54 - 1) = "1", OFFSET($A$1, 1941 - 1, 55 - 1) = "0" ), 2, IF( AND( OFFSET($A$1, 1941 - 1, 54 - 1) = "0", OFFSET($A$1, 1941 - 1, 55 - 1) = "1" ), 3, 4 ) ) )</f>
        <v>4</v>
      </c>
    </row>
    <row r="1942" spans="53:56" x14ac:dyDescent="0.35">
      <c r="BA1942" s="3">
        <v>0.24271104739699545</v>
      </c>
      <c r="BB1942" s="3" t="str">
        <f>"0"</f>
        <v>0</v>
      </c>
      <c r="BC1942" t="str">
        <f ca="1">IF((OFFSET($A$1, 1942 - 1, 53 - 1)) &gt;= (OFFSET($A$1, 69 - 1, 7 - 1)), "1","0")</f>
        <v>0</v>
      </c>
      <c r="BD1942">
        <f ca="1" xml:space="preserve"> IF( AND( OFFSET($A$1, 1942 - 1, 54 - 1) = "1", OFFSET($A$1, 1942 - 1, 55 - 1) = "1" ), 1, IF( AND( OFFSET($A$1, 1942 - 1, 54 - 1) = "1", OFFSET($A$1, 1942 - 1, 55 - 1) = "0" ), 2, IF( AND( OFFSET($A$1, 1942 - 1, 54 - 1) = "0", OFFSET($A$1, 1942 - 1, 55 - 1) = "1" ), 3, 4 ) ) )</f>
        <v>4</v>
      </c>
    </row>
    <row r="1943" spans="53:56" x14ac:dyDescent="0.35">
      <c r="BA1943" s="3">
        <v>0.24381756171878799</v>
      </c>
      <c r="BB1943" s="3" t="str">
        <f>"0"</f>
        <v>0</v>
      </c>
      <c r="BC1943" t="str">
        <f ca="1">IF((OFFSET($A$1, 1943 - 1, 53 - 1)) &gt;= (OFFSET($A$1, 69 - 1, 7 - 1)), "1","0")</f>
        <v>0</v>
      </c>
      <c r="BD1943">
        <f ca="1" xml:space="preserve"> IF( AND( OFFSET($A$1, 1943 - 1, 54 - 1) = "1", OFFSET($A$1, 1943 - 1, 55 - 1) = "1" ), 1, IF( AND( OFFSET($A$1, 1943 - 1, 54 - 1) = "1", OFFSET($A$1, 1943 - 1, 55 - 1) = "0" ), 2, IF( AND( OFFSET($A$1, 1943 - 1, 54 - 1) = "0", OFFSET($A$1, 1943 - 1, 55 - 1) = "1" ), 3, 4 ) ) )</f>
        <v>4</v>
      </c>
    </row>
    <row r="1944" spans="53:56" x14ac:dyDescent="0.35">
      <c r="BA1944" s="3">
        <v>0.24493192718613965</v>
      </c>
      <c r="BB1944" s="3" t="str">
        <f>"0"</f>
        <v>0</v>
      </c>
      <c r="BC1944" t="str">
        <f ca="1">IF((OFFSET($A$1, 1944 - 1, 53 - 1)) &gt;= (OFFSET($A$1, 69 - 1, 7 - 1)), "1","0")</f>
        <v>0</v>
      </c>
      <c r="BD1944">
        <f ca="1" xml:space="preserve"> IF( AND( OFFSET($A$1, 1944 - 1, 54 - 1) = "1", OFFSET($A$1, 1944 - 1, 55 - 1) = "1" ), 1, IF( AND( OFFSET($A$1, 1944 - 1, 54 - 1) = "1", OFFSET($A$1, 1944 - 1, 55 - 1) = "0" ), 2, IF( AND( OFFSET($A$1, 1944 - 1, 54 - 1) = "0", OFFSET($A$1, 1944 - 1, 55 - 1) = "1" ), 3, 4 ) ) )</f>
        <v>4</v>
      </c>
    </row>
    <row r="1945" spans="53:56" x14ac:dyDescent="0.35">
      <c r="BA1945" s="3">
        <v>0.24605384914659015</v>
      </c>
      <c r="BB1945" s="3" t="str">
        <f>"0"</f>
        <v>0</v>
      </c>
      <c r="BC1945" t="str">
        <f ca="1">IF((OFFSET($A$1, 1945 - 1, 53 - 1)) &gt;= (OFFSET($A$1, 69 - 1, 7 - 1)), "1","0")</f>
        <v>0</v>
      </c>
      <c r="BD1945">
        <f ca="1" xml:space="preserve"> IF( AND( OFFSET($A$1, 1945 - 1, 54 - 1) = "1", OFFSET($A$1, 1945 - 1, 55 - 1) = "1" ), 1, IF( AND( OFFSET($A$1, 1945 - 1, 54 - 1) = "1", OFFSET($A$1, 1945 - 1, 55 - 1) = "0" ), 2, IF( AND( OFFSET($A$1, 1945 - 1, 54 - 1) = "0", OFFSET($A$1, 1945 - 1, 55 - 1) = "1" ), 3, 4 ) ) )</f>
        <v>4</v>
      </c>
    </row>
    <row r="1946" spans="53:56" x14ac:dyDescent="0.35">
      <c r="BA1946" s="3">
        <v>0.24718302753766366</v>
      </c>
      <c r="BB1946" s="3" t="str">
        <f>"1"</f>
        <v>1</v>
      </c>
      <c r="BC1946" t="str">
        <f ca="1">IF((OFFSET($A$1, 1946 - 1, 53 - 1)) &gt;= (OFFSET($A$1, 69 - 1, 7 - 1)), "1","0")</f>
        <v>0</v>
      </c>
      <c r="BD1946">
        <f ca="1" xml:space="preserve"> IF( AND( OFFSET($A$1, 1946 - 1, 54 - 1) = "1", OFFSET($A$1, 1946 - 1, 55 - 1) = "1" ), 1, IF( AND( OFFSET($A$1, 1946 - 1, 54 - 1) = "1", OFFSET($A$1, 1946 - 1, 55 - 1) = "0" ), 2, IF( AND( OFFSET($A$1, 1946 - 1, 54 - 1) = "0", OFFSET($A$1, 1946 - 1, 55 - 1) = "1" ), 3, 4 ) ) )</f>
        <v>2</v>
      </c>
    </row>
    <row r="1947" spans="53:56" x14ac:dyDescent="0.35">
      <c r="BA1947" s="3">
        <v>0.50768418303135621</v>
      </c>
      <c r="BB1947" s="3" t="str">
        <f>"0"</f>
        <v>0</v>
      </c>
      <c r="BC1947" t="str">
        <f ca="1">IF((OFFSET($A$1, 1947 - 1, 53 - 1)) &gt;= (OFFSET($A$1, 69 - 1, 7 - 1)), "1","0")</f>
        <v>1</v>
      </c>
      <c r="BD1947">
        <f ca="1" xml:space="preserve"> IF( AND( OFFSET($A$1, 1947 - 1, 54 - 1) = "1", OFFSET($A$1, 1947 - 1, 55 - 1) = "1" ), 1, IF( AND( OFFSET($A$1, 1947 - 1, 54 - 1) = "1", OFFSET($A$1, 1947 - 1, 55 - 1) = "0" ), 2, IF( AND( OFFSET($A$1, 1947 - 1, 54 - 1) = "0", OFFSET($A$1, 1947 - 1, 55 - 1) = "1" ), 3, 4 ) ) )</f>
        <v>3</v>
      </c>
    </row>
    <row r="1948" spans="53:56" x14ac:dyDescent="0.35">
      <c r="BA1948" s="3">
        <v>0.24946192662273292</v>
      </c>
      <c r="BB1948" s="3" t="str">
        <f>"1"</f>
        <v>1</v>
      </c>
      <c r="BC1948" t="str">
        <f ca="1">IF((OFFSET($A$1, 1948 - 1, 53 - 1)) &gt;= (OFFSET($A$1, 69 - 1, 7 - 1)), "1","0")</f>
        <v>0</v>
      </c>
      <c r="BD1948">
        <f ca="1" xml:space="preserve"> IF( AND( OFFSET($A$1, 1948 - 1, 54 - 1) = "1", OFFSET($A$1, 1948 - 1, 55 - 1) = "1" ), 1, IF( AND( OFFSET($A$1, 1948 - 1, 54 - 1) = "1", OFFSET($A$1, 1948 - 1, 55 - 1) = "0" ), 2, IF( AND( OFFSET($A$1, 1948 - 1, 54 - 1) = "0", OFFSET($A$1, 1948 - 1, 55 - 1) = "1" ), 3, 4 ) ) )</f>
        <v>2</v>
      </c>
    </row>
    <row r="1949" spans="53:56" x14ac:dyDescent="0.35">
      <c r="BA1949" s="3">
        <v>0.51074333912551928</v>
      </c>
      <c r="BB1949" s="3" t="str">
        <f>"0"</f>
        <v>0</v>
      </c>
      <c r="BC1949" t="str">
        <f ca="1">IF((OFFSET($A$1, 1949 - 1, 53 - 1)) &gt;= (OFFSET($A$1, 69 - 1, 7 - 1)), "1","0")</f>
        <v>1</v>
      </c>
      <c r="BD1949">
        <f ca="1" xml:space="preserve"> IF( AND( OFFSET($A$1, 1949 - 1, 54 - 1) = "1", OFFSET($A$1, 1949 - 1, 55 - 1) = "1" ), 1, IF( AND( OFFSET($A$1, 1949 - 1, 54 - 1) = "1", OFFSET($A$1, 1949 - 1, 55 - 1) = "0" ), 2, IF( AND( OFFSET($A$1, 1949 - 1, 54 - 1) = "0", OFFSET($A$1, 1949 - 1, 55 - 1) = "1" ), 3, 4 ) ) )</f>
        <v>3</v>
      </c>
    </row>
    <row r="1950" spans="53:56" x14ac:dyDescent="0.35">
      <c r="BA1950" s="3">
        <v>0.25176611782691433</v>
      </c>
      <c r="BB1950" s="3" t="str">
        <f>"0"</f>
        <v>0</v>
      </c>
      <c r="BC1950" t="str">
        <f ca="1">IF((OFFSET($A$1, 1950 - 1, 53 - 1)) &gt;= (OFFSET($A$1, 69 - 1, 7 - 1)), "1","0")</f>
        <v>0</v>
      </c>
      <c r="BD1950">
        <f ca="1" xml:space="preserve"> IF( AND( OFFSET($A$1, 1950 - 1, 54 - 1) = "1", OFFSET($A$1, 1950 - 1, 55 - 1) = "1" ), 1, IF( AND( OFFSET($A$1, 1950 - 1, 54 - 1) = "1", OFFSET($A$1, 1950 - 1, 55 - 1) = "0" ), 2, IF( AND( OFFSET($A$1, 1950 - 1, 54 - 1) = "0", OFFSET($A$1, 1950 - 1, 55 - 1) = "1" ), 3, 4 ) ) )</f>
        <v>4</v>
      </c>
    </row>
    <row r="1951" spans="53:56" x14ac:dyDescent="0.35">
      <c r="BA1951" s="3">
        <v>0.25292689198747853</v>
      </c>
      <c r="BB1951" s="3" t="str">
        <f>"0"</f>
        <v>0</v>
      </c>
      <c r="BC1951" t="str">
        <f ca="1">IF((OFFSET($A$1, 1951 - 1, 53 - 1)) &gt;= (OFFSET($A$1, 69 - 1, 7 - 1)), "1","0")</f>
        <v>0</v>
      </c>
      <c r="BD1951">
        <f ca="1" xml:space="preserve"> IF( AND( OFFSET($A$1, 1951 - 1, 54 - 1) = "1", OFFSET($A$1, 1951 - 1, 55 - 1) = "1" ), 1, IF( AND( OFFSET($A$1, 1951 - 1, 54 - 1) = "1", OFFSET($A$1, 1951 - 1, 55 - 1) = "0" ), 2, IF( AND( OFFSET($A$1, 1951 - 1, 54 - 1) = "0", OFFSET($A$1, 1951 - 1, 55 - 1) = "1" ), 3, 4 ) ) )</f>
        <v>4</v>
      </c>
    </row>
    <row r="1952" spans="53:56" x14ac:dyDescent="0.35">
      <c r="BA1952" s="3">
        <v>0.25409301187375705</v>
      </c>
      <c r="BB1952" s="3" t="str">
        <f>"0"</f>
        <v>0</v>
      </c>
      <c r="BC1952" t="str">
        <f ca="1">IF((OFFSET($A$1, 1952 - 1, 53 - 1)) &gt;= (OFFSET($A$1, 69 - 1, 7 - 1)), "1","0")</f>
        <v>0</v>
      </c>
      <c r="BD1952">
        <f ca="1" xml:space="preserve"> IF( AND( OFFSET($A$1, 1952 - 1, 54 - 1) = "1", OFFSET($A$1, 1952 - 1, 55 - 1) = "1" ), 1, IF( AND( OFFSET($A$1, 1952 - 1, 54 - 1) = "1", OFFSET($A$1, 1952 - 1, 55 - 1) = "0" ), 2, IF( AND( OFFSET($A$1, 1952 - 1, 54 - 1) = "0", OFFSET($A$1, 1952 - 1, 55 - 1) = "1" ), 3, 4 ) ) )</f>
        <v>4</v>
      </c>
    </row>
    <row r="1953" spans="53:56" x14ac:dyDescent="0.35">
      <c r="BA1953" s="3">
        <v>0.25526414132446634</v>
      </c>
      <c r="BB1953" s="3" t="str">
        <f>"1"</f>
        <v>1</v>
      </c>
      <c r="BC1953" t="str">
        <f ca="1">IF((OFFSET($A$1, 1953 - 1, 53 - 1)) &gt;= (OFFSET($A$1, 69 - 1, 7 - 1)), "1","0")</f>
        <v>0</v>
      </c>
      <c r="BD1953">
        <f ca="1" xml:space="preserve"> IF( AND( OFFSET($A$1, 1953 - 1, 54 - 1) = "1", OFFSET($A$1, 1953 - 1, 55 - 1) = "1" ), 1, IF( AND( OFFSET($A$1, 1953 - 1, 54 - 1) = "1", OFFSET($A$1, 1953 - 1, 55 - 1) = "0" ), 2, IF( AND( OFFSET($A$1, 1953 - 1, 54 - 1) = "0", OFFSET($A$1, 1953 - 1, 55 - 1) = "1" ), 3, 4 ) ) )</f>
        <v>2</v>
      </c>
    </row>
    <row r="1954" spans="53:56" x14ac:dyDescent="0.35">
      <c r="BA1954" s="3">
        <v>0.51843690520624142</v>
      </c>
      <c r="BB1954" s="3" t="str">
        <f>"0"</f>
        <v>0</v>
      </c>
      <c r="BC1954" t="str">
        <f ca="1">IF((OFFSET($A$1, 1954 - 1, 53 - 1)) &gt;= (OFFSET($A$1, 69 - 1, 7 - 1)), "1","0")</f>
        <v>1</v>
      </c>
      <c r="BD1954">
        <f ca="1" xml:space="preserve"> IF( AND( OFFSET($A$1, 1954 - 1, 54 - 1) = "1", OFFSET($A$1, 1954 - 1, 55 - 1) = "1" ), 1, IF( AND( OFFSET($A$1, 1954 - 1, 54 - 1) = "1", OFFSET($A$1, 1954 - 1, 55 - 1) = "0" ), 2, IF( AND( OFFSET($A$1, 1954 - 1, 54 - 1) = "0", OFFSET($A$1, 1954 - 1, 55 - 1) = "1" ), 3, 4 ) ) )</f>
        <v>3</v>
      </c>
    </row>
    <row r="1955" spans="53:56" x14ac:dyDescent="0.35">
      <c r="BA1955" s="3">
        <v>0.25762006023078843</v>
      </c>
      <c r="BB1955" s="3" t="str">
        <f>"0"</f>
        <v>0</v>
      </c>
      <c r="BC1955" t="str">
        <f ca="1">IF((OFFSET($A$1, 1955 - 1, 53 - 1)) &gt;= (OFFSET($A$1, 69 - 1, 7 - 1)), "1","0")</f>
        <v>0</v>
      </c>
      <c r="BD1955">
        <f ca="1" xml:space="preserve"> IF( AND( OFFSET($A$1, 1955 - 1, 54 - 1) = "1", OFFSET($A$1, 1955 - 1, 55 - 1) = "1" ), 1, IF( AND( OFFSET($A$1, 1955 - 1, 54 - 1) = "1", OFFSET($A$1, 1955 - 1, 55 - 1) = "0" ), 2, IF( AND( OFFSET($A$1, 1955 - 1, 54 - 1) = "0", OFFSET($A$1, 1955 - 1, 55 - 1) = "1" ), 3, 4 ) ) )</f>
        <v>4</v>
      </c>
    </row>
    <row r="1956" spans="53:56" x14ac:dyDescent="0.35">
      <c r="BA1956" s="3">
        <v>0.25880415362926834</v>
      </c>
      <c r="BB1956" s="3" t="str">
        <f>"0"</f>
        <v>0</v>
      </c>
      <c r="BC1956" t="str">
        <f ca="1">IF((OFFSET($A$1, 1956 - 1, 53 - 1)) &gt;= (OFFSET($A$1, 69 - 1, 7 - 1)), "1","0")</f>
        <v>0</v>
      </c>
      <c r="BD1956">
        <f ca="1" xml:space="preserve"> IF( AND( OFFSET($A$1, 1956 - 1, 54 - 1) = "1", OFFSET($A$1, 1956 - 1, 55 - 1) = "1" ), 1, IF( AND( OFFSET($A$1, 1956 - 1, 54 - 1) = "1", OFFSET($A$1, 1956 - 1, 55 - 1) = "0" ), 2, IF( AND( OFFSET($A$1, 1956 - 1, 54 - 1) = "0", OFFSET($A$1, 1956 - 1, 55 - 1) = "1" ), 3, 4 ) ) )</f>
        <v>4</v>
      </c>
    </row>
    <row r="1957" spans="53:56" x14ac:dyDescent="0.35">
      <c r="BA1957" s="3">
        <v>0.25999186469813307</v>
      </c>
      <c r="BB1957" s="3" t="str">
        <f>"0"</f>
        <v>0</v>
      </c>
      <c r="BC1957" t="str">
        <f ca="1">IF((OFFSET($A$1, 1957 - 1, 53 - 1)) &gt;= (OFFSET($A$1, 69 - 1, 7 - 1)), "1","0")</f>
        <v>0</v>
      </c>
      <c r="BD1957">
        <f ca="1" xml:space="preserve"> IF( AND( OFFSET($A$1, 1957 - 1, 54 - 1) = "1", OFFSET($A$1, 1957 - 1, 55 - 1) = "1" ), 1, IF( AND( OFFSET($A$1, 1957 - 1, 54 - 1) = "1", OFFSET($A$1, 1957 - 1, 55 - 1) = "0" ), 2, IF( AND( OFFSET($A$1, 1957 - 1, 54 - 1) = "0", OFFSET($A$1, 1957 - 1, 55 - 1) = "1" ), 3, 4 ) ) )</f>
        <v>4</v>
      </c>
    </row>
    <row r="1958" spans="53:56" x14ac:dyDescent="0.35">
      <c r="BA1958" s="3">
        <v>0.26118283420208749</v>
      </c>
      <c r="BB1958" s="3" t="str">
        <f>"0"</f>
        <v>0</v>
      </c>
      <c r="BC1958" t="str">
        <f ca="1">IF((OFFSET($A$1, 1958 - 1, 53 - 1)) &gt;= (OFFSET($A$1, 69 - 1, 7 - 1)), "1","0")</f>
        <v>0</v>
      </c>
      <c r="BD1958">
        <f ca="1" xml:space="preserve"> IF( AND( OFFSET($A$1, 1958 - 1, 54 - 1) = "1", OFFSET($A$1, 1958 - 1, 55 - 1) = "1" ), 1, IF( AND( OFFSET($A$1, 1958 - 1, 54 - 1) = "1", OFFSET($A$1, 1958 - 1, 55 - 1) = "0" ), 2, IF( AND( OFFSET($A$1, 1958 - 1, 54 - 1) = "0", OFFSET($A$1, 1958 - 1, 55 - 1) = "1" ), 3, 4 ) ) )</f>
        <v>4</v>
      </c>
    </row>
    <row r="1959" spans="53:56" x14ac:dyDescent="0.35">
      <c r="BA1959" s="3">
        <v>0.26237669864266461</v>
      </c>
      <c r="BB1959" s="3" t="str">
        <f>"1"</f>
        <v>1</v>
      </c>
      <c r="BC1959" t="str">
        <f ca="1">IF((OFFSET($A$1, 1959 - 1, 53 - 1)) &gt;= (OFFSET($A$1, 69 - 1, 7 - 1)), "1","0")</f>
        <v>0</v>
      </c>
      <c r="BD1959">
        <f ca="1" xml:space="preserve"> IF( AND( OFFSET($A$1, 1959 - 1, 54 - 1) = "1", OFFSET($A$1, 1959 - 1, 55 - 1) = "1" ), 1, IF( AND( OFFSET($A$1, 1959 - 1, 54 - 1) = "1", OFFSET($A$1, 1959 - 1, 55 - 1) = "0" ), 2, IF( AND( OFFSET($A$1, 1959 - 1, 54 - 1) = "0", OFFSET($A$1, 1959 - 1, 55 - 1) = "1" ), 3, 4 ) ) )</f>
        <v>2</v>
      </c>
    </row>
    <row r="1960" spans="53:56" x14ac:dyDescent="0.35">
      <c r="BA1960" s="3">
        <v>0.52768586637498094</v>
      </c>
      <c r="BB1960" s="3" t="str">
        <f>"0"</f>
        <v>0</v>
      </c>
      <c r="BC1960" t="str">
        <f ca="1">IF((OFFSET($A$1, 1960 - 1, 53 - 1)) &gt;= (OFFSET($A$1, 69 - 1, 7 - 1)), "1","0")</f>
        <v>1</v>
      </c>
      <c r="BD1960">
        <f ca="1" xml:space="preserve"> IF( AND( OFFSET($A$1, 1960 - 1, 54 - 1) = "1", OFFSET($A$1, 1960 - 1, 55 - 1) = "1" ), 1, IF( AND( OFFSET($A$1, 1960 - 1, 54 - 1) = "1", OFFSET($A$1, 1960 - 1, 55 - 1) = "0" ), 2, IF( AND( OFFSET($A$1, 1960 - 1, 54 - 1) = "0", OFFSET($A$1, 1960 - 1, 55 - 1) = "1" ), 3, 4 ) ) )</f>
        <v>3</v>
      </c>
    </row>
    <row r="1961" spans="53:56" x14ac:dyDescent="0.35">
      <c r="BA1961" s="3">
        <v>0.26477163781734109</v>
      </c>
      <c r="BB1961" s="3" t="str">
        <f>"0"</f>
        <v>0</v>
      </c>
      <c r="BC1961" t="str">
        <f ca="1">IF((OFFSET($A$1, 1961 - 1, 53 - 1)) &gt;= (OFFSET($A$1, 69 - 1, 7 - 1)), "1","0")</f>
        <v>0</v>
      </c>
      <c r="BD1961">
        <f ca="1" xml:space="preserve"> IF( AND( OFFSET($A$1, 1961 - 1, 54 - 1) = "1", OFFSET($A$1, 1961 - 1, 55 - 1) = "1" ), 1, IF( AND( OFFSET($A$1, 1961 - 1, 54 - 1) = "1", OFFSET($A$1, 1961 - 1, 55 - 1) = "0" ), 2, IF( AND( OFFSET($A$1, 1961 - 1, 54 - 1) = "0", OFFSET($A$1, 1961 - 1, 55 - 1) = "1" ), 3, 4 ) ) )</f>
        <v>4</v>
      </c>
    </row>
    <row r="1962" spans="53:56" x14ac:dyDescent="0.35">
      <c r="BA1962" s="3">
        <v>0.26597196544908158</v>
      </c>
      <c r="BB1962" s="3" t="str">
        <f>"0"</f>
        <v>0</v>
      </c>
      <c r="BC1962" t="str">
        <f ca="1">IF((OFFSET($A$1, 1962 - 1, 53 - 1)) &gt;= (OFFSET($A$1, 69 - 1, 7 - 1)), "1","0")</f>
        <v>0</v>
      </c>
      <c r="BD1962">
        <f ca="1" xml:space="preserve"> IF( AND( OFFSET($A$1, 1962 - 1, 54 - 1) = "1", OFFSET($A$1, 1962 - 1, 55 - 1) = "1" ), 1, IF( AND( OFFSET($A$1, 1962 - 1, 54 - 1) = "1", OFFSET($A$1, 1962 - 1, 55 - 1) = "0" ), 2, IF( AND( OFFSET($A$1, 1962 - 1, 54 - 1) = "0", OFFSET($A$1, 1962 - 1, 55 - 1) = "1" ), 3, 4 ) ) )</f>
        <v>4</v>
      </c>
    </row>
    <row r="1963" spans="53:56" x14ac:dyDescent="0.35">
      <c r="BA1963" s="3">
        <v>0.26717369410405678</v>
      </c>
      <c r="BB1963" s="3" t="str">
        <f>"0"</f>
        <v>0</v>
      </c>
      <c r="BC1963" t="str">
        <f ca="1">IF((OFFSET($A$1, 1963 - 1, 53 - 1)) &gt;= (OFFSET($A$1, 69 - 1, 7 - 1)), "1","0")</f>
        <v>0</v>
      </c>
      <c r="BD1963">
        <f ca="1" xml:space="preserve"> IF( AND( OFFSET($A$1, 1963 - 1, 54 - 1) = "1", OFFSET($A$1, 1963 - 1, 55 - 1) = "1" ), 1, IF( AND( OFFSET($A$1, 1963 - 1, 54 - 1) = "1", OFFSET($A$1, 1963 - 1, 55 - 1) = "0" ), 2, IF( AND( OFFSET($A$1, 1963 - 1, 54 - 1) = "0", OFFSET($A$1, 1963 - 1, 55 - 1) = "1" ), 3, 4 ) ) )</f>
        <v>4</v>
      </c>
    </row>
    <row r="1964" spans="53:56" x14ac:dyDescent="0.35">
      <c r="BA1964" s="3">
        <v>0.26837644105211722</v>
      </c>
      <c r="BB1964" s="3" t="str">
        <f>"0"</f>
        <v>0</v>
      </c>
      <c r="BC1964" t="str">
        <f ca="1">IF((OFFSET($A$1, 1964 - 1, 53 - 1)) &gt;= (OFFSET($A$1, 69 - 1, 7 - 1)), "1","0")</f>
        <v>0</v>
      </c>
      <c r="BD1964">
        <f ca="1" xml:space="preserve"> IF( AND( OFFSET($A$1, 1964 - 1, 54 - 1) = "1", OFFSET($A$1, 1964 - 1, 55 - 1) = "1" ), 1, IF( AND( OFFSET($A$1, 1964 - 1, 54 - 1) = "1", OFFSET($A$1, 1964 - 1, 55 - 1) = "0" ), 2, IF( AND( OFFSET($A$1, 1964 - 1, 54 - 1) = "0", OFFSET($A$1, 1964 - 1, 55 - 1) = "1" ), 3, 4 ) ) )</f>
        <v>4</v>
      </c>
    </row>
    <row r="1965" spans="53:56" x14ac:dyDescent="0.35">
      <c r="BA1965" s="3">
        <v>0.26957982017296001</v>
      </c>
      <c r="BB1965" s="3" t="str">
        <f>"0"</f>
        <v>0</v>
      </c>
      <c r="BC1965" t="str">
        <f ca="1">IF((OFFSET($A$1, 1965 - 1, 53 - 1)) &gt;= (OFFSET($A$1, 69 - 1, 7 - 1)), "1","0")</f>
        <v>0</v>
      </c>
      <c r="BD1965">
        <f ca="1" xml:space="preserve"> IF( AND( OFFSET($A$1, 1965 - 1, 54 - 1) = "1", OFFSET($A$1, 1965 - 1, 55 - 1) = "1" ), 1, IF( AND( OFFSET($A$1, 1965 - 1, 54 - 1) = "1", OFFSET($A$1, 1965 - 1, 55 - 1) = "0" ), 2, IF( AND( OFFSET($A$1, 1965 - 1, 54 - 1) = "0", OFFSET($A$1, 1965 - 1, 55 - 1) = "1" ), 3, 4 ) ) )</f>
        <v>4</v>
      </c>
    </row>
    <row r="1966" spans="53:56" x14ac:dyDescent="0.35">
      <c r="BA1966" s="3">
        <v>0.27078344212070132</v>
      </c>
      <c r="BB1966" s="3" t="str">
        <f>"0"</f>
        <v>0</v>
      </c>
      <c r="BC1966" t="str">
        <f ca="1">IF((OFFSET($A$1, 1966 - 1, 53 - 1)) &gt;= (OFFSET($A$1, 69 - 1, 7 - 1)), "1","0")</f>
        <v>0</v>
      </c>
      <c r="BD1966">
        <f ca="1" xml:space="preserve"> IF( AND( OFFSET($A$1, 1966 - 1, 54 - 1) = "1", OFFSET($A$1, 1966 - 1, 55 - 1) = "1" ), 1, IF( AND( OFFSET($A$1, 1966 - 1, 54 - 1) = "1", OFFSET($A$1, 1966 - 1, 55 - 1) = "0" ), 2, IF( AND( OFFSET($A$1, 1966 - 1, 54 - 1) = "0", OFFSET($A$1, 1966 - 1, 55 - 1) = "1" ), 3, 4 ) ) )</f>
        <v>4</v>
      </c>
    </row>
    <row r="1967" spans="53:56" x14ac:dyDescent="0.35">
      <c r="BA1967" s="3">
        <v>0.27198691449350526</v>
      </c>
      <c r="BB1967" s="3" t="str">
        <f>"0"</f>
        <v>0</v>
      </c>
      <c r="BC1967" t="str">
        <f ca="1">IF((OFFSET($A$1, 1967 - 1, 53 - 1)) &gt;= (OFFSET($A$1, 69 - 1, 7 - 1)), "1","0")</f>
        <v>0</v>
      </c>
      <c r="BD1967">
        <f ca="1" xml:space="preserve"> IF( AND( OFFSET($A$1, 1967 - 1, 54 - 1) = "1", OFFSET($A$1, 1967 - 1, 55 - 1) = "1" ), 1, IF( AND( OFFSET($A$1, 1967 - 1, 54 - 1) = "1", OFFSET($A$1, 1967 - 1, 55 - 1) = "0" ), 2, IF( AND( OFFSET($A$1, 1967 - 1, 54 - 1) = "0", OFFSET($A$1, 1967 - 1, 55 - 1) = "1" ), 3, 4 ) ) )</f>
        <v>4</v>
      </c>
    </row>
    <row r="1968" spans="53:56" x14ac:dyDescent="0.35">
      <c r="BA1968" s="3">
        <v>0.27318984200812368</v>
      </c>
      <c r="BB1968" s="3" t="str">
        <f>"0"</f>
        <v>0</v>
      </c>
      <c r="BC1968" t="str">
        <f ca="1">IF((OFFSET($A$1, 1968 - 1, 53 - 1)) &gt;= (OFFSET($A$1, 69 - 1, 7 - 1)), "1","0")</f>
        <v>0</v>
      </c>
      <c r="BD1968">
        <f ca="1" xml:space="preserve"> IF( AND( OFFSET($A$1, 1968 - 1, 54 - 1) = "1", OFFSET($A$1, 1968 - 1, 55 - 1) = "1" ), 1, IF( AND( OFFSET($A$1, 1968 - 1, 54 - 1) = "1", OFFSET($A$1, 1968 - 1, 55 - 1) = "0" ), 2, IF( AND( OFFSET($A$1, 1968 - 1, 54 - 1) = "0", OFFSET($A$1, 1968 - 1, 55 - 1) = "1" ), 3, 4 ) ) )</f>
        <v>4</v>
      </c>
    </row>
    <row r="1969" spans="53:56" x14ac:dyDescent="0.35">
      <c r="BA1969" s="3">
        <v>0.27439182667914686</v>
      </c>
      <c r="BB1969" s="3" t="str">
        <f>"0"</f>
        <v>0</v>
      </c>
      <c r="BC1969" t="str">
        <f ca="1">IF((OFFSET($A$1, 1969 - 1, 53 - 1)) &gt;= (OFFSET($A$1, 69 - 1, 7 - 1)), "1","0")</f>
        <v>0</v>
      </c>
      <c r="BD1969">
        <f ca="1" xml:space="preserve"> IF( AND( OFFSET($A$1, 1969 - 1, 54 - 1) = "1", OFFSET($A$1, 1969 - 1, 55 - 1) = "1" ), 1, IF( AND( OFFSET($A$1, 1969 - 1, 54 - 1) = "1", OFFSET($A$1, 1969 - 1, 55 - 1) = "0" ), 2, IF( AND( OFFSET($A$1, 1969 - 1, 54 - 1) = "0", OFFSET($A$1, 1969 - 1, 55 - 1) = "1" ), 3, 4 ) ) )</f>
        <v>4</v>
      </c>
    </row>
    <row r="1970" spans="53:56" x14ac:dyDescent="0.35">
      <c r="BA1970" s="3">
        <v>0.27559246800280107</v>
      </c>
      <c r="BB1970" s="3" t="str">
        <f>"0"</f>
        <v>0</v>
      </c>
      <c r="BC1970" t="str">
        <f ca="1">IF((OFFSET($A$1, 1970 - 1, 53 - 1)) &gt;= (OFFSET($A$1, 69 - 1, 7 - 1)), "1","0")</f>
        <v>0</v>
      </c>
      <c r="BD1970">
        <f ca="1" xml:space="preserve"> IF( AND( OFFSET($A$1, 1970 - 1, 54 - 1) = "1", OFFSET($A$1, 1970 - 1, 55 - 1) = "1" ), 1, IF( AND( OFFSET($A$1, 1970 - 1, 54 - 1) = "1", OFFSET($A$1, 1970 - 1, 55 - 1) = "0" ), 2, IF( AND( OFFSET($A$1, 1970 - 1, 54 - 1) = "0", OFFSET($A$1, 1970 - 1, 55 - 1) = "1" ), 3, 4 ) ) )</f>
        <v>4</v>
      </c>
    </row>
    <row r="1971" spans="53:56" x14ac:dyDescent="0.35">
      <c r="BA1971" s="3">
        <v>0.27679136314509462</v>
      </c>
      <c r="BB1971" s="3" t="str">
        <f>"1"</f>
        <v>1</v>
      </c>
      <c r="BC1971" t="str">
        <f ca="1">IF((OFFSET($A$1, 1971 - 1, 53 - 1)) &gt;= (OFFSET($A$1, 69 - 1, 7 - 1)), "1","0")</f>
        <v>0</v>
      </c>
      <c r="BD1971">
        <f ca="1" xml:space="preserve"> IF( AND( OFFSET($A$1, 1971 - 1, 54 - 1) = "1", OFFSET($A$1, 1971 - 1, 55 - 1) = "1" ), 1, IF( AND( OFFSET($A$1, 1971 - 1, 54 - 1) = "1", OFFSET($A$1, 1971 - 1, 55 - 1) = "0" ), 2, IF( AND( OFFSET($A$1, 1971 - 1, 54 - 1) = "0", OFFSET($A$1, 1971 - 1, 55 - 1) = "1" ), 3, 4 ) ) )</f>
        <v>2</v>
      </c>
    </row>
    <row r="1972" spans="53:56" x14ac:dyDescent="0.35">
      <c r="BA1972" s="3">
        <v>0.54583913771402692</v>
      </c>
      <c r="BB1972" s="3" t="str">
        <f>"1"</f>
        <v>1</v>
      </c>
      <c r="BC1972" t="str">
        <f ca="1">IF((OFFSET($A$1, 1972 - 1, 53 - 1)) &gt;= (OFFSET($A$1, 69 - 1, 7 - 1)), "1","0")</f>
        <v>1</v>
      </c>
      <c r="BD1972">
        <f ca="1" xml:space="preserve"> IF( AND( OFFSET($A$1, 1972 - 1, 54 - 1) = "1", OFFSET($A$1, 1972 - 1, 55 - 1) = "1" ), 1, IF( AND( OFFSET($A$1, 1972 - 1, 54 - 1) = "1", OFFSET($A$1, 1972 - 1, 55 - 1) = "0" ), 2, IF( AND( OFFSET($A$1, 1972 - 1, 54 - 1) = "0", OFFSET($A$1, 1972 - 1, 55 - 1) = "1" ), 3, 4 ) ) )</f>
        <v>1</v>
      </c>
    </row>
    <row r="1973" spans="53:56" x14ac:dyDescent="0.35">
      <c r="BA1973" s="3">
        <v>0.54731173566616109</v>
      </c>
      <c r="BB1973" s="3" t="str">
        <f>"1"</f>
        <v>1</v>
      </c>
      <c r="BC1973" t="str">
        <f ca="1">IF((OFFSET($A$1, 1973 - 1, 53 - 1)) &gt;= (OFFSET($A$1, 69 - 1, 7 - 1)), "1","0")</f>
        <v>1</v>
      </c>
      <c r="BD1973">
        <f ca="1" xml:space="preserve"> IF( AND( OFFSET($A$1, 1973 - 1, 54 - 1) = "1", OFFSET($A$1, 1973 - 1, 55 - 1) = "1" ), 1, IF( AND( OFFSET($A$1, 1973 - 1, 54 - 1) = "1", OFFSET($A$1, 1973 - 1, 55 - 1) = "0" ), 2, IF( AND( OFFSET($A$1, 1973 - 1, 54 - 1) = "0", OFFSET($A$1, 1973 - 1, 55 - 1) = "1" ), 3, 4 ) ) )</f>
        <v>1</v>
      </c>
    </row>
    <row r="1974" spans="53:56" x14ac:dyDescent="0.35">
      <c r="BA1974" s="3">
        <v>0.54877601391993858</v>
      </c>
      <c r="BB1974" s="3" t="str">
        <f>"1"</f>
        <v>1</v>
      </c>
      <c r="BC1974" t="str">
        <f ca="1">IF((OFFSET($A$1, 1974 - 1, 53 - 1)) &gt;= (OFFSET($A$1, 69 - 1, 7 - 1)), "1","0")</f>
        <v>1</v>
      </c>
      <c r="BD1974">
        <f ca="1" xml:space="preserve"> IF( AND( OFFSET($A$1, 1974 - 1, 54 - 1) = "1", OFFSET($A$1, 1974 - 1, 55 - 1) = "1" ), 1, IF( AND( OFFSET($A$1, 1974 - 1, 54 - 1) = "1", OFFSET($A$1, 1974 - 1, 55 - 1) = "0" ), 2, IF( AND( OFFSET($A$1, 1974 - 1, 54 - 1) = "0", OFFSET($A$1, 1974 - 1, 55 - 1) = "1" ), 3, 4 ) ) )</f>
        <v>1</v>
      </c>
    </row>
    <row r="1975" spans="53:56" x14ac:dyDescent="0.35">
      <c r="BA1975" s="3">
        <v>0.55023152743930648</v>
      </c>
      <c r="BB1975" s="3" t="str">
        <f>"1"</f>
        <v>1</v>
      </c>
      <c r="BC1975" t="str">
        <f ca="1">IF((OFFSET($A$1, 1975 - 1, 53 - 1)) &gt;= (OFFSET($A$1, 69 - 1, 7 - 1)), "1","0")</f>
        <v>1</v>
      </c>
      <c r="BD1975">
        <f ca="1" xml:space="preserve"> IF( AND( OFFSET($A$1, 1975 - 1, 54 - 1) = "1", OFFSET($A$1, 1975 - 1, 55 - 1) = "1" ), 1, IF( AND( OFFSET($A$1, 1975 - 1, 54 - 1) = "1", OFFSET($A$1, 1975 - 1, 55 - 1) = "0" ), 2, IF( AND( OFFSET($A$1, 1975 - 1, 54 - 1) = "0", OFFSET($A$1, 1975 - 1, 55 - 1) = "1" ), 3, 4 ) ) )</f>
        <v>1</v>
      </c>
    </row>
    <row r="1976" spans="53:56" x14ac:dyDescent="0.35">
      <c r="BA1976" s="3">
        <v>0.55167783531287684</v>
      </c>
      <c r="BB1976" s="3" t="str">
        <f>"1"</f>
        <v>1</v>
      </c>
      <c r="BC1976" t="str">
        <f ca="1">IF((OFFSET($A$1, 1976 - 1, 53 - 1)) &gt;= (OFFSET($A$1, 69 - 1, 7 - 1)), "1","0")</f>
        <v>1</v>
      </c>
      <c r="BD1976">
        <f ca="1" xml:space="preserve"> IF( AND( OFFSET($A$1, 1976 - 1, 54 - 1) = "1", OFFSET($A$1, 1976 - 1, 55 - 1) = "1" ), 1, IF( AND( OFFSET($A$1, 1976 - 1, 54 - 1) = "1", OFFSET($A$1, 1976 - 1, 55 - 1) = "0" ), 2, IF( AND( OFFSET($A$1, 1976 - 1, 54 - 1) = "0", OFFSET($A$1, 1976 - 1, 55 - 1) = "1" ), 3, 4 ) ) )</f>
        <v>1</v>
      </c>
    </row>
    <row r="1977" spans="53:56" x14ac:dyDescent="0.35">
      <c r="BA1977" s="3">
        <v>0.55311450091952374</v>
      </c>
      <c r="BB1977" s="3" t="str">
        <f>"0"</f>
        <v>0</v>
      </c>
      <c r="BC1977" t="str">
        <f ca="1">IF((OFFSET($A$1, 1977 - 1, 53 - 1)) &gt;= (OFFSET($A$1, 69 - 1, 7 - 1)), "1","0")</f>
        <v>1</v>
      </c>
      <c r="BD1977">
        <f ca="1" xml:space="preserve"> IF( AND( OFFSET($A$1, 1977 - 1, 54 - 1) = "1", OFFSET($A$1, 1977 - 1, 55 - 1) = "1" ), 1, IF( AND( OFFSET($A$1, 1977 - 1, 54 - 1) = "1", OFFSET($A$1, 1977 - 1, 55 - 1) = "0" ), 2, IF( AND( OFFSET($A$1, 1977 - 1, 54 - 1) = "0", OFFSET($A$1, 1977 - 1, 55 - 1) = "1" ), 3, 4 ) ) )</f>
        <v>3</v>
      </c>
    </row>
    <row r="1978" spans="53:56" x14ac:dyDescent="0.35">
      <c r="BA1978" s="3">
        <v>0.28510049924948477</v>
      </c>
      <c r="BB1978" s="3" t="str">
        <f>"0"</f>
        <v>0</v>
      </c>
      <c r="BC1978" t="str">
        <f ca="1">IF((OFFSET($A$1, 1978 - 1, 53 - 1)) &gt;= (OFFSET($A$1, 69 - 1, 7 - 1)), "1","0")</f>
        <v>0</v>
      </c>
      <c r="BD1978">
        <f ca="1" xml:space="preserve"> IF( AND( OFFSET($A$1, 1978 - 1, 54 - 1) = "1", OFFSET($A$1, 1978 - 1, 55 - 1) = "1" ), 1, IF( AND( OFFSET($A$1, 1978 - 1, 54 - 1) = "1", OFFSET($A$1, 1978 - 1, 55 - 1) = "0" ), 2, IF( AND( OFFSET($A$1, 1978 - 1, 54 - 1) = "0", OFFSET($A$1, 1978 - 1, 55 - 1) = "1" ), 3, 4 ) ) )</f>
        <v>4</v>
      </c>
    </row>
    <row r="1979" spans="53:56" x14ac:dyDescent="0.35">
      <c r="BA1979" s="3">
        <v>0.28627070846712183</v>
      </c>
      <c r="BB1979" s="3" t="str">
        <f>"1"</f>
        <v>1</v>
      </c>
      <c r="BC1979" t="str">
        <f ca="1">IF((OFFSET($A$1, 1979 - 1, 53 - 1)) &gt;= (OFFSET($A$1, 69 - 1, 7 - 1)), "1","0")</f>
        <v>0</v>
      </c>
      <c r="BD1979">
        <f ca="1" xml:space="preserve"> IF( AND( OFFSET($A$1, 1979 - 1, 54 - 1) = "1", OFFSET($A$1, 1979 - 1, 55 - 1) = "1" ), 1, IF( AND( OFFSET($A$1, 1979 - 1, 54 - 1) = "1", OFFSET($A$1, 1979 - 1, 55 - 1) = "0" ), 2, IF( AND( OFFSET($A$1, 1979 - 1, 54 - 1) = "0", OFFSET($A$1, 1979 - 1, 55 - 1) = "1" ), 3, 4 ) ) )</f>
        <v>2</v>
      </c>
    </row>
    <row r="1980" spans="53:56" x14ac:dyDescent="0.35">
      <c r="BA1980" s="3">
        <v>0.55736234561087239</v>
      </c>
      <c r="BB1980" s="3" t="str">
        <f>"0"</f>
        <v>0</v>
      </c>
      <c r="BC1980" t="str">
        <f ca="1">IF((OFFSET($A$1, 1980 - 1, 53 - 1)) &gt;= (OFFSET($A$1, 69 - 1, 7 - 1)), "1","0")</f>
        <v>1</v>
      </c>
      <c r="BD1980">
        <f ca="1" xml:space="preserve"> IF( AND( OFFSET($A$1, 1980 - 1, 54 - 1) = "1", OFFSET($A$1, 1980 - 1, 55 - 1) = "1" ), 1, IF( AND( OFFSET($A$1, 1980 - 1, 54 - 1) = "1", OFFSET($A$1, 1980 - 1, 55 - 1) = "0" ), 2, IF( AND( OFFSET($A$1, 1980 - 1, 54 - 1) = "0", OFFSET($A$1, 1980 - 1, 55 - 1) = "1" ), 3, 4 ) ) )</f>
        <v>3</v>
      </c>
    </row>
    <row r="1981" spans="53:56" x14ac:dyDescent="0.35">
      <c r="BA1981" s="3">
        <v>0.28859438105956653</v>
      </c>
      <c r="BB1981" s="3" t="str">
        <f>"0"</f>
        <v>0</v>
      </c>
      <c r="BC1981" t="str">
        <f ca="1">IF((OFFSET($A$1, 1981 - 1, 53 - 1)) &gt;= (OFFSET($A$1, 69 - 1, 7 - 1)), "1","0")</f>
        <v>0</v>
      </c>
      <c r="BD1981">
        <f ca="1" xml:space="preserve"> IF( AND( OFFSET($A$1, 1981 - 1, 54 - 1) = "1", OFFSET($A$1, 1981 - 1, 55 - 1) = "1" ), 1, IF( AND( OFFSET($A$1, 1981 - 1, 54 - 1) = "1", OFFSET($A$1, 1981 - 1, 55 - 1) = "0" ), 2, IF( AND( OFFSET($A$1, 1981 - 1, 54 - 1) = "0", OFFSET($A$1, 1981 - 1, 55 - 1) = "1" ), 3, 4 ) ) )</f>
        <v>4</v>
      </c>
    </row>
    <row r="1982" spans="53:56" x14ac:dyDescent="0.35">
      <c r="BA1982" s="3">
        <v>0.2897470144329769</v>
      </c>
      <c r="BB1982" s="3" t="str">
        <f>"0"</f>
        <v>0</v>
      </c>
      <c r="BC1982" t="str">
        <f ca="1">IF((OFFSET($A$1, 1982 - 1, 53 - 1)) &gt;= (OFFSET($A$1, 69 - 1, 7 - 1)), "1","0")</f>
        <v>0</v>
      </c>
      <c r="BD1982">
        <f ca="1" xml:space="preserve"> IF( AND( OFFSET($A$1, 1982 - 1, 54 - 1) = "1", OFFSET($A$1, 1982 - 1, 55 - 1) = "1" ), 1, IF( AND( OFFSET($A$1, 1982 - 1, 54 - 1) = "1", OFFSET($A$1, 1982 - 1, 55 - 1) = "0" ), 2, IF( AND( OFFSET($A$1, 1982 - 1, 54 - 1) = "0", OFFSET($A$1, 1982 - 1, 55 - 1) = "1" ), 3, 4 ) ) )</f>
        <v>4</v>
      </c>
    </row>
    <row r="1983" spans="53:56" x14ac:dyDescent="0.35">
      <c r="BA1983" s="3">
        <v>0.29089295935440046</v>
      </c>
      <c r="BB1983" s="3" t="str">
        <f>"0"</f>
        <v>0</v>
      </c>
      <c r="BC1983" t="str">
        <f ca="1">IF((OFFSET($A$1, 1983 - 1, 53 - 1)) &gt;= (OFFSET($A$1, 69 - 1, 7 - 1)), "1","0")</f>
        <v>0</v>
      </c>
      <c r="BD1983">
        <f ca="1" xml:space="preserve"> IF( AND( OFFSET($A$1, 1983 - 1, 54 - 1) = "1", OFFSET($A$1, 1983 - 1, 55 - 1) = "1" ), 1, IF( AND( OFFSET($A$1, 1983 - 1, 54 - 1) = "1", OFFSET($A$1, 1983 - 1, 55 - 1) = "0" ), 2, IF( AND( OFFSET($A$1, 1983 - 1, 54 - 1) = "0", OFFSET($A$1, 1983 - 1, 55 - 1) = "1" ), 3, 4 ) ) )</f>
        <v>4</v>
      </c>
    </row>
    <row r="1984" spans="53:56" x14ac:dyDescent="0.35">
      <c r="BA1984" s="3">
        <v>0.2920318014052613</v>
      </c>
      <c r="BB1984" s="3" t="str">
        <f>"0"</f>
        <v>0</v>
      </c>
      <c r="BC1984" t="str">
        <f ca="1">IF((OFFSET($A$1, 1984 - 1, 53 - 1)) &gt;= (OFFSET($A$1, 69 - 1, 7 - 1)), "1","0")</f>
        <v>0</v>
      </c>
      <c r="BD1984">
        <f ca="1" xml:space="preserve"> IF( AND( OFFSET($A$1, 1984 - 1, 54 - 1) = "1", OFFSET($A$1, 1984 - 1, 55 - 1) = "1" ), 1, IF( AND( OFFSET($A$1, 1984 - 1, 54 - 1) = "1", OFFSET($A$1, 1984 - 1, 55 - 1) = "0" ), 2, IF( AND( OFFSET($A$1, 1984 - 1, 54 - 1) = "0", OFFSET($A$1, 1984 - 1, 55 - 1) = "1" ), 3, 4 ) ) )</f>
        <v>4</v>
      </c>
    </row>
    <row r="1985" spans="53:56" x14ac:dyDescent="0.35">
      <c r="BA1985" s="3">
        <v>0.29316312680452977</v>
      </c>
      <c r="BB1985" s="3" t="str">
        <f>"0"</f>
        <v>0</v>
      </c>
      <c r="BC1985" t="str">
        <f ca="1">IF((OFFSET($A$1, 1985 - 1, 53 - 1)) &gt;= (OFFSET($A$1, 69 - 1, 7 - 1)), "1","0")</f>
        <v>0</v>
      </c>
      <c r="BD1985">
        <f ca="1" xml:space="preserve"> IF( AND( OFFSET($A$1, 1985 - 1, 54 - 1) = "1", OFFSET($A$1, 1985 - 1, 55 - 1) = "1" ), 1, IF( AND( OFFSET($A$1, 1985 - 1, 54 - 1) = "1", OFFSET($A$1, 1985 - 1, 55 - 1) = "0" ), 2, IF( AND( OFFSET($A$1, 1985 - 1, 54 - 1) = "0", OFFSET($A$1, 1985 - 1, 55 - 1) = "1" ), 3, 4 ) ) )</f>
        <v>4</v>
      </c>
    </row>
    <row r="1986" spans="53:56" x14ac:dyDescent="0.35">
      <c r="BA1986" s="3">
        <v>0.29428652263501942</v>
      </c>
      <c r="BB1986" s="3" t="str">
        <f>"0"</f>
        <v>0</v>
      </c>
      <c r="BC1986" t="str">
        <f ca="1">IF((OFFSET($A$1, 1986 - 1, 53 - 1)) &gt;= (OFFSET($A$1, 69 - 1, 7 - 1)), "1","0")</f>
        <v>0</v>
      </c>
      <c r="BD1986">
        <f ca="1" xml:space="preserve"> IF( AND( OFFSET($A$1, 1986 - 1, 54 - 1) = "1", OFFSET($A$1, 1986 - 1, 55 - 1) = "1" ), 1, IF( AND( OFFSET($A$1, 1986 - 1, 54 - 1) = "1", OFFSET($A$1, 1986 - 1, 55 - 1) = "0" ), 2, IF( AND( OFFSET($A$1, 1986 - 1, 54 - 1) = "0", OFFSET($A$1, 1986 - 1, 55 - 1) = "1" ), 3, 4 ) ) )</f>
        <v>4</v>
      </c>
    </row>
    <row r="1987" spans="53:56" x14ac:dyDescent="0.35">
      <c r="BA1987" s="3">
        <v>0.29540157707027465</v>
      </c>
      <c r="BB1987" s="3" t="str">
        <f>"1"</f>
        <v>1</v>
      </c>
      <c r="BC1987" t="str">
        <f ca="1">IF((OFFSET($A$1, 1987 - 1, 53 - 1)) &gt;= (OFFSET($A$1, 69 - 1, 7 - 1)), "1","0")</f>
        <v>0</v>
      </c>
      <c r="BD1987">
        <f ca="1" xml:space="preserve"> IF( AND( OFFSET($A$1, 1987 - 1, 54 - 1) = "1", OFFSET($A$1, 1987 - 1, 55 - 1) = "1" ), 1, IF( AND( OFFSET($A$1, 1987 - 1, 54 - 1) = "1", OFFSET($A$1, 1987 - 1, 55 - 1) = "0" ), 2, IF( AND( OFFSET($A$1, 1987 - 1, 54 - 1) = "0", OFFSET($A$1, 1987 - 1, 55 - 1) = "1" ), 3, 4 ) ) )</f>
        <v>2</v>
      </c>
    </row>
    <row r="1988" spans="53:56" x14ac:dyDescent="0.35">
      <c r="BA1988" s="3">
        <v>0.56816130800185072</v>
      </c>
      <c r="BB1988" s="3" t="str">
        <f>"1"</f>
        <v>1</v>
      </c>
      <c r="BC1988" t="str">
        <f ca="1">IF((OFFSET($A$1, 1988 - 1, 53 - 1)) &gt;= (OFFSET($A$1, 69 - 1, 7 - 1)), "1","0")</f>
        <v>1</v>
      </c>
      <c r="BD1988">
        <f ca="1" xml:space="preserve"> IF( AND( OFFSET($A$1, 1988 - 1, 54 - 1) = "1", OFFSET($A$1, 1988 - 1, 55 - 1) = "1" ), 1, IF( AND( OFFSET($A$1, 1988 - 1, 54 - 1) = "1", OFFSET($A$1, 1988 - 1, 55 - 1) = "0" ), 2, IF( AND( OFFSET($A$1, 1988 - 1, 54 - 1) = "0", OFFSET($A$1, 1988 - 1, 55 - 1) = "1" ), 3, 4 ) ) )</f>
        <v>1</v>
      </c>
    </row>
    <row r="1989" spans="53:56" x14ac:dyDescent="0.35">
      <c r="BA1989" s="3">
        <v>0.56944997392755592</v>
      </c>
      <c r="BB1989" s="3" t="str">
        <f>"1"</f>
        <v>1</v>
      </c>
      <c r="BC1989" t="str">
        <f ca="1">IF((OFFSET($A$1, 1989 - 1, 53 - 1)) &gt;= (OFFSET($A$1, 69 - 1, 7 - 1)), "1","0")</f>
        <v>1</v>
      </c>
      <c r="BD1989">
        <f ca="1" xml:space="preserve"> IF( AND( OFFSET($A$1, 1989 - 1, 54 - 1) = "1", OFFSET($A$1, 1989 - 1, 55 - 1) = "1" ), 1, IF( AND( OFFSET($A$1, 1989 - 1, 54 - 1) = "1", OFFSET($A$1, 1989 - 1, 55 - 1) = "0" ), 2, IF( AND( OFFSET($A$1, 1989 - 1, 54 - 1) = "0", OFFSET($A$1, 1989 - 1, 55 - 1) = "1" ), 3, 4 ) ) )</f>
        <v>1</v>
      </c>
    </row>
    <row r="1990" spans="53:56" x14ac:dyDescent="0.35">
      <c r="BA1990" s="3">
        <v>0.57072377729243617</v>
      </c>
      <c r="BB1990" s="3" t="str">
        <f>"1"</f>
        <v>1</v>
      </c>
      <c r="BC1990" t="str">
        <f ca="1">IF((OFFSET($A$1, 1990 - 1, 53 - 1)) &gt;= (OFFSET($A$1, 69 - 1, 7 - 1)), "1","0")</f>
        <v>1</v>
      </c>
      <c r="BD1990">
        <f ca="1" xml:space="preserve"> IF( AND( OFFSET($A$1, 1990 - 1, 54 - 1) = "1", OFFSET($A$1, 1990 - 1, 55 - 1) = "1" ), 1, IF( AND( OFFSET($A$1, 1990 - 1, 54 - 1) = "1", OFFSET($A$1, 1990 - 1, 55 - 1) = "0" ), 2, IF( AND( OFFSET($A$1, 1990 - 1, 54 - 1) = "0", OFFSET($A$1, 1990 - 1, 55 - 1) = "1" ), 3, 4 ) ) )</f>
        <v>1</v>
      </c>
    </row>
    <row r="1991" spans="53:56" x14ac:dyDescent="0.35">
      <c r="BA1991" s="3">
        <v>0.57198235581813439</v>
      </c>
      <c r="BB1991" s="3" t="str">
        <f>"0"</f>
        <v>0</v>
      </c>
      <c r="BC1991" t="str">
        <f ca="1">IF((OFFSET($A$1, 1991 - 1, 53 - 1)) &gt;= (OFFSET($A$1, 69 - 1, 7 - 1)), "1","0")</f>
        <v>1</v>
      </c>
      <c r="BD1991">
        <f ca="1" xml:space="preserve"> IF( AND( OFFSET($A$1, 1991 - 1, 54 - 1) = "1", OFFSET($A$1, 1991 - 1, 55 - 1) = "1" ), 1, IF( AND( OFFSET($A$1, 1991 - 1, 54 - 1) = "1", OFFSET($A$1, 1991 - 1, 55 - 1) = "0" ), 2, IF( AND( OFFSET($A$1, 1991 - 1, 54 - 1) = "0", OFFSET($A$1, 1991 - 1, 55 - 1) = "1" ), 3, 4 ) ) )</f>
        <v>3</v>
      </c>
    </row>
    <row r="1992" spans="53:56" x14ac:dyDescent="0.35">
      <c r="BA1992" s="3">
        <v>0.30083741937245045</v>
      </c>
      <c r="BB1992" s="3" t="str">
        <f>"1"</f>
        <v>1</v>
      </c>
      <c r="BC1992" t="str">
        <f ca="1">IF((OFFSET($A$1, 1992 - 1, 53 - 1)) &gt;= (OFFSET($A$1, 69 - 1, 7 - 1)), "1","0")</f>
        <v>0</v>
      </c>
      <c r="BD1992">
        <f ca="1" xml:space="preserve"> IF( AND( OFFSET($A$1, 1992 - 1, 54 - 1) = "1", OFFSET($A$1, 1992 - 1, 55 - 1) = "1" ), 1, IF( AND( OFFSET($A$1, 1992 - 1, 54 - 1) = "1", OFFSET($A$1, 1992 - 1, 55 - 1) = "0" ), 2, IF( AND( OFFSET($A$1, 1992 - 1, 54 - 1) = "0", OFFSET($A$1, 1992 - 1, 55 - 1) = "1" ), 3, 4 ) ) )</f>
        <v>2</v>
      </c>
    </row>
    <row r="1993" spans="53:56" x14ac:dyDescent="0.35">
      <c r="BA1993" s="3">
        <v>0.57445241979884987</v>
      </c>
      <c r="BB1993" s="3" t="str">
        <f>"0"</f>
        <v>0</v>
      </c>
      <c r="BC1993" t="str">
        <f ca="1">IF((OFFSET($A$1, 1993 - 1, 53 - 1)) &gt;= (OFFSET($A$1, 69 - 1, 7 - 1)), "1","0")</f>
        <v>1</v>
      </c>
      <c r="BD1993">
        <f ca="1" xml:space="preserve"> IF( AND( OFFSET($A$1, 1993 - 1, 54 - 1) = "1", OFFSET($A$1, 1993 - 1, 55 - 1) = "1" ), 1, IF( AND( OFFSET($A$1, 1993 - 1, 54 - 1) = "1", OFFSET($A$1, 1993 - 1, 55 - 1) = "0" ), 2, IF( AND( OFFSET($A$1, 1993 - 1, 54 - 1) = "0", OFFSET($A$1, 1993 - 1, 55 - 1) = "1" ), 3, 4 ) ) )</f>
        <v>3</v>
      </c>
    </row>
    <row r="1994" spans="53:56" x14ac:dyDescent="0.35">
      <c r="BA1994" s="3">
        <v>0.30293913962166813</v>
      </c>
      <c r="BB1994" s="3" t="str">
        <f>"1"</f>
        <v>1</v>
      </c>
      <c r="BC1994" t="str">
        <f ca="1">IF((OFFSET($A$1, 1994 - 1, 53 - 1)) &gt;= (OFFSET($A$1, 69 - 1, 7 - 1)), "1","0")</f>
        <v>0</v>
      </c>
      <c r="BD1994">
        <f ca="1" xml:space="preserve"> IF( AND( OFFSET($A$1, 1994 - 1, 54 - 1) = "1", OFFSET($A$1, 1994 - 1, 55 - 1) = "1" ), 1, IF( AND( OFFSET($A$1, 1994 - 1, 54 - 1) = "1", OFFSET($A$1, 1994 - 1, 55 - 1) = "0" ), 2, IF( AND( OFFSET($A$1, 1994 - 1, 54 - 1) = "0", OFFSET($A$1, 1994 - 1, 55 - 1) = "1" ), 3, 4 ) ) )</f>
        <v>2</v>
      </c>
    </row>
    <row r="1995" spans="53:56" x14ac:dyDescent="0.35">
      <c r="BA1995" s="3">
        <v>0.57685739087411603</v>
      </c>
      <c r="BB1995" s="3" t="str">
        <f>"1"</f>
        <v>1</v>
      </c>
      <c r="BC1995" t="str">
        <f ca="1">IF((OFFSET($A$1, 1995 - 1, 53 - 1)) &gt;= (OFFSET($A$1, 69 - 1, 7 - 1)), "1","0")</f>
        <v>1</v>
      </c>
      <c r="BD1995">
        <f ca="1" xml:space="preserve"> IF( AND( OFFSET($A$1, 1995 - 1, 54 - 1) = "1", OFFSET($A$1, 1995 - 1, 55 - 1) = "1" ), 1, IF( AND( OFFSET($A$1, 1995 - 1, 54 - 1) = "1", OFFSET($A$1, 1995 - 1, 55 - 1) = "0" ), 2, IF( AND( OFFSET($A$1, 1995 - 1, 54 - 1) = "0", OFFSET($A$1, 1995 - 1, 55 - 1) = "1" ), 3, 4 ) ) )</f>
        <v>1</v>
      </c>
    </row>
    <row r="1996" spans="53:56" x14ac:dyDescent="0.35">
      <c r="BA1996" s="3">
        <v>0.57803462689098939</v>
      </c>
      <c r="BB1996" s="3" t="str">
        <f>"0"</f>
        <v>0</v>
      </c>
      <c r="BC1996" t="str">
        <f ca="1">IF((OFFSET($A$1, 1996 - 1, 53 - 1)) &gt;= (OFFSET($A$1, 69 - 1, 7 - 1)), "1","0")</f>
        <v>1</v>
      </c>
      <c r="BD1996">
        <f ca="1" xml:space="preserve"> IF( AND( OFFSET($A$1, 1996 - 1, 54 - 1) = "1", OFFSET($A$1, 1996 - 1, 55 - 1) = "1" ), 1, IF( AND( OFFSET($A$1, 1996 - 1, 54 - 1) = "1", OFFSET($A$1, 1996 - 1, 55 - 1) = "0" ), 2, IF( AND( OFFSET($A$1, 1996 - 1, 54 - 1) = "0", OFFSET($A$1, 1996 - 1, 55 - 1) = "1" ), 3, 4 ) ) )</f>
        <v>3</v>
      </c>
    </row>
    <row r="1997" spans="53:56" x14ac:dyDescent="0.35">
      <c r="BA1997" s="3">
        <v>0.30600397708818361</v>
      </c>
      <c r="BB1997" s="3" t="str">
        <f>"1"</f>
        <v>1</v>
      </c>
      <c r="BC1997" t="str">
        <f ca="1">IF((OFFSET($A$1, 1997 - 1, 53 - 1)) &gt;= (OFFSET($A$1, 69 - 1, 7 - 1)), "1","0")</f>
        <v>0</v>
      </c>
      <c r="BD1997">
        <f ca="1" xml:space="preserve"> IF( AND( OFFSET($A$1, 1997 - 1, 54 - 1) = "1", OFFSET($A$1, 1997 - 1, 55 - 1) = "1" ), 1, IF( AND( OFFSET($A$1, 1997 - 1, 54 - 1) = "1", OFFSET($A$1, 1997 - 1, 55 - 1) = "0" ), 2, IF( AND( OFFSET($A$1, 1997 - 1, 54 - 1) = "0", OFFSET($A$1, 1997 - 1, 55 - 1) = "1" ), 3, 4 ) ) )</f>
        <v>2</v>
      </c>
    </row>
    <row r="1998" spans="53:56" x14ac:dyDescent="0.35">
      <c r="BA1998" s="3">
        <v>0.58033697640830217</v>
      </c>
      <c r="BB1998" s="3" t="str">
        <f>"1"</f>
        <v>1</v>
      </c>
      <c r="BC1998" t="str">
        <f ca="1">IF((OFFSET($A$1, 1998 - 1, 53 - 1)) &gt;= (OFFSET($A$1, 69 - 1, 7 - 1)), "1","0")</f>
        <v>1</v>
      </c>
      <c r="BD1998">
        <f ca="1" xml:space="preserve"> IF( AND( OFFSET($A$1, 1998 - 1, 54 - 1) = "1", OFFSET($A$1, 1998 - 1, 55 - 1) = "1" ), 1, IF( AND( OFFSET($A$1, 1998 - 1, 54 - 1) = "1", OFFSET($A$1, 1998 - 1, 55 - 1) = "0" ), 2, IF( AND( OFFSET($A$1, 1998 - 1, 54 - 1) = "0", OFFSET($A$1, 1998 - 1, 55 - 1) = "1" ), 3, 4 ) ) )</f>
        <v>1</v>
      </c>
    </row>
    <row r="1999" spans="53:56" x14ac:dyDescent="0.35">
      <c r="BA1999" s="3">
        <v>0.58146145990429554</v>
      </c>
      <c r="BB1999" s="3" t="str">
        <f>"1"</f>
        <v>1</v>
      </c>
      <c r="BC1999" t="str">
        <f ca="1">IF((OFFSET($A$1, 1999 - 1, 53 - 1)) &gt;= (OFFSET($A$1, 69 - 1, 7 - 1)), "1","0")</f>
        <v>1</v>
      </c>
      <c r="BD1999">
        <f ca="1" xml:space="preserve"> IF( AND( OFFSET($A$1, 1999 - 1, 54 - 1) = "1", OFFSET($A$1, 1999 - 1, 55 - 1) = "1" ), 1, IF( AND( OFFSET($A$1, 1999 - 1, 54 - 1) = "1", OFFSET($A$1, 1999 - 1, 55 - 1) = "0" ), 2, IF( AND( OFFSET($A$1, 1999 - 1, 54 - 1) = "0", OFFSET($A$1, 1999 - 1, 55 - 1) = "1" ), 3, 4 ) ) )</f>
        <v>1</v>
      </c>
    </row>
    <row r="2000" spans="53:56" x14ac:dyDescent="0.35">
      <c r="BA2000" s="3">
        <v>0.58256774008252166</v>
      </c>
      <c r="BB2000" s="3" t="str">
        <f>"1"</f>
        <v>1</v>
      </c>
      <c r="BC2000" t="str">
        <f ca="1">IF((OFFSET($A$1, 2000 - 1, 53 - 1)) &gt;= (OFFSET($A$1, 69 - 1, 7 - 1)), "1","0")</f>
        <v>1</v>
      </c>
      <c r="BD2000">
        <f ca="1" xml:space="preserve"> IF( AND( OFFSET($A$1, 2000 - 1, 54 - 1) = "1", OFFSET($A$1, 2000 - 1, 55 - 1) = "1" ), 1, IF( AND( OFFSET($A$1, 2000 - 1, 54 - 1) = "1", OFFSET($A$1, 2000 - 1, 55 - 1) = "0" ), 2, IF( AND( OFFSET($A$1, 2000 - 1, 54 - 1) = "0", OFFSET($A$1, 2000 - 1, 55 - 1) = "1" ), 3, 4 ) ) )</f>
        <v>1</v>
      </c>
    </row>
    <row r="2001" spans="53:56" x14ac:dyDescent="0.35">
      <c r="BA2001" s="3">
        <v>0.58365551827932582</v>
      </c>
      <c r="BB2001" s="3" t="str">
        <f>"1"</f>
        <v>1</v>
      </c>
      <c r="BC2001" t="str">
        <f ca="1">IF((OFFSET($A$1, 2001 - 1, 53 - 1)) &gt;= (OFFSET($A$1, 69 - 1, 7 - 1)), "1","0")</f>
        <v>1</v>
      </c>
      <c r="BD2001">
        <f ca="1" xml:space="preserve"> IF( AND( OFFSET($A$1, 2001 - 1, 54 - 1) = "1", OFFSET($A$1, 2001 - 1, 55 - 1) = "1" ), 1, IF( AND( OFFSET($A$1, 2001 - 1, 54 - 1) = "1", OFFSET($A$1, 2001 - 1, 55 - 1) = "0" ), 2, IF( AND( OFFSET($A$1, 2001 - 1, 54 - 1) = "0", OFFSET($A$1, 2001 - 1, 55 - 1) = "1" ), 3, 4 ) ) )</f>
        <v>1</v>
      </c>
    </row>
    <row r="2002" spans="53:56" x14ac:dyDescent="0.35">
      <c r="BA2002" s="3">
        <v>0.58472450241738605</v>
      </c>
      <c r="BB2002" s="3" t="str">
        <f>"0"</f>
        <v>0</v>
      </c>
      <c r="BC2002" t="str">
        <f ca="1">IF((OFFSET($A$1, 2002 - 1, 53 - 1)) &gt;= (OFFSET($A$1, 69 - 1, 7 - 1)), "1","0")</f>
        <v>1</v>
      </c>
      <c r="BD2002">
        <f ca="1" xml:space="preserve"> IF( AND( OFFSET($A$1, 2002 - 1, 54 - 1) = "1", OFFSET($A$1, 2002 - 1, 55 - 1) = "1" ), 1, IF( AND( OFFSET($A$1, 2002 - 1, 54 - 1) = "1", OFFSET($A$1, 2002 - 1, 55 - 1) = "0" ), 2, IF( AND( OFFSET($A$1, 2002 - 1, 54 - 1) = "0", OFFSET($A$1, 2002 - 1, 55 - 1) = "1" ), 3, 4 ) ) )</f>
        <v>3</v>
      </c>
    </row>
    <row r="2003" spans="53:56" x14ac:dyDescent="0.35">
      <c r="BA2003" s="3">
        <v>0.31177970355773654</v>
      </c>
      <c r="BB2003" s="3" t="str">
        <f>"0"</f>
        <v>0</v>
      </c>
      <c r="BC2003" t="str">
        <f ca="1">IF((OFFSET($A$1, 2003 - 1, 53 - 1)) &gt;= (OFFSET($A$1, 69 - 1, 7 - 1)), "1","0")</f>
        <v>0</v>
      </c>
      <c r="BD2003">
        <f ca="1" xml:space="preserve"> IF( AND( OFFSET($A$1, 2003 - 1, 54 - 1) = "1", OFFSET($A$1, 2003 - 1, 55 - 1) = "1" ), 1, IF( AND( OFFSET($A$1, 2003 - 1, 54 - 1) = "1", OFFSET($A$1, 2003 - 1, 55 - 1) = "0" ), 2, IF( AND( OFFSET($A$1, 2003 - 1, 54 - 1) = "0", OFFSET($A$1, 2003 - 1, 55 - 1) = "1" ), 3, 4 ) ) )</f>
        <v>4</v>
      </c>
    </row>
    <row r="2004" spans="53:56" x14ac:dyDescent="0.35">
      <c r="BA2004" s="3">
        <v>0.31269209490833355</v>
      </c>
      <c r="BB2004" s="3" t="str">
        <f>"0"</f>
        <v>0</v>
      </c>
      <c r="BC2004" t="str">
        <f ca="1">IF((OFFSET($A$1, 2004 - 1, 53 - 1)) &gt;= (OFFSET($A$1, 69 - 1, 7 - 1)), "1","0")</f>
        <v>0</v>
      </c>
      <c r="BD2004">
        <f ca="1" xml:space="preserve"> IF( AND( OFFSET($A$1, 2004 - 1, 54 - 1) = "1", OFFSET($A$1, 2004 - 1, 55 - 1) = "1" ), 1, IF( AND( OFFSET($A$1, 2004 - 1, 54 - 1) = "1", OFFSET($A$1, 2004 - 1, 55 - 1) = "0" ), 2, IF( AND( OFFSET($A$1, 2004 - 1, 54 - 1) = "0", OFFSET($A$1, 2004 - 1, 55 - 1) = "1" ), 3, 4 ) ) )</f>
        <v>4</v>
      </c>
    </row>
    <row r="2005" spans="53:56" x14ac:dyDescent="0.35">
      <c r="BA2005" s="3">
        <v>0.31358917435534112</v>
      </c>
      <c r="BB2005" s="3" t="str">
        <f>"0"</f>
        <v>0</v>
      </c>
      <c r="BC2005" t="str">
        <f ca="1">IF((OFFSET($A$1, 2005 - 1, 53 - 1)) &gt;= (OFFSET($A$1, 69 - 1, 7 - 1)), "1","0")</f>
        <v>0</v>
      </c>
      <c r="BD2005">
        <f ca="1" xml:space="preserve"> IF( AND( OFFSET($A$1, 2005 - 1, 54 - 1) = "1", OFFSET($A$1, 2005 - 1, 55 - 1) = "1" ), 1, IF( AND( OFFSET($A$1, 2005 - 1, 54 - 1) = "1", OFFSET($A$1, 2005 - 1, 55 - 1) = "0" ), 2, IF( AND( OFFSET($A$1, 2005 - 1, 54 - 1) = "0", OFFSET($A$1, 2005 - 1, 55 - 1) = "1" ), 3, 4 ) ) )</f>
        <v>4</v>
      </c>
    </row>
    <row r="2006" spans="53:56" x14ac:dyDescent="0.35">
      <c r="BA2006" s="3">
        <v>0.31447059295699864</v>
      </c>
      <c r="BB2006" s="3" t="str">
        <f>"0"</f>
        <v>0</v>
      </c>
      <c r="BC2006" t="str">
        <f ca="1">IF((OFFSET($A$1, 2006 - 1, 53 - 1)) &gt;= (OFFSET($A$1, 69 - 1, 7 - 1)), "1","0")</f>
        <v>0</v>
      </c>
      <c r="BD2006">
        <f ca="1" xml:space="preserve"> IF( AND( OFFSET($A$1, 2006 - 1, 54 - 1) = "1", OFFSET($A$1, 2006 - 1, 55 - 1) = "1" ), 1, IF( AND( OFFSET($A$1, 2006 - 1, 54 - 1) = "1", OFFSET($A$1, 2006 - 1, 55 - 1) = "0" ), 2, IF( AND( OFFSET($A$1, 2006 - 1, 54 - 1) = "0", OFFSET($A$1, 2006 - 1, 55 - 1) = "1" ), 3, 4 ) ) )</f>
        <v>4</v>
      </c>
    </row>
    <row r="2007" spans="53:56" x14ac:dyDescent="0.35">
      <c r="BA2007" s="3">
        <v>0.31533600716802912</v>
      </c>
      <c r="BB2007" s="3" t="str">
        <f>"0"</f>
        <v>0</v>
      </c>
      <c r="BC2007" t="str">
        <f ca="1">IF((OFFSET($A$1, 2007 - 1, 53 - 1)) &gt;= (OFFSET($A$1, 69 - 1, 7 - 1)), "1","0")</f>
        <v>0</v>
      </c>
      <c r="BD2007">
        <f ca="1" xml:space="preserve"> IF( AND( OFFSET($A$1, 2007 - 1, 54 - 1) = "1", OFFSET($A$1, 2007 - 1, 55 - 1) = "1" ), 1, IF( AND( OFFSET($A$1, 2007 - 1, 54 - 1) = "1", OFFSET($A$1, 2007 - 1, 55 - 1) = "0" ), 2, IF( AND( OFFSET($A$1, 2007 - 1, 54 - 1) = "0", OFFSET($A$1, 2007 - 1, 55 - 1) = "1" ), 3, 4 ) ) )</f>
        <v>4</v>
      </c>
    </row>
    <row r="2008" spans="53:56" x14ac:dyDescent="0.35">
      <c r="BA2008" s="3">
        <v>0.31618507902797871</v>
      </c>
      <c r="BB2008" s="3" t="str">
        <f>"0"</f>
        <v>0</v>
      </c>
      <c r="BC2008" t="str">
        <f ca="1">IF((OFFSET($A$1, 2008 - 1, 53 - 1)) &gt;= (OFFSET($A$1, 69 - 1, 7 - 1)), "1","0")</f>
        <v>0</v>
      </c>
      <c r="BD2008">
        <f ca="1" xml:space="preserve"> IF( AND( OFFSET($A$1, 2008 - 1, 54 - 1) = "1", OFFSET($A$1, 2008 - 1, 55 - 1) = "1" ), 1, IF( AND( OFFSET($A$1, 2008 - 1, 54 - 1) = "1", OFFSET($A$1, 2008 - 1, 55 - 1) = "0" ), 2, IF( AND( OFFSET($A$1, 2008 - 1, 54 - 1) = "0", OFFSET($A$1, 2008 - 1, 55 - 1) = "1" ), 3, 4 ) ) )</f>
        <v>4</v>
      </c>
    </row>
    <row r="2009" spans="53:56" x14ac:dyDescent="0.35">
      <c r="BA2009" s="3">
        <v>0.31701747634582184</v>
      </c>
      <c r="BB2009" s="3" t="str">
        <f>"1"</f>
        <v>1</v>
      </c>
      <c r="BC2009" t="str">
        <f ca="1">IF((OFFSET($A$1, 2009 - 1, 53 - 1)) &gt;= (OFFSET($A$1, 69 - 1, 7 - 1)), "1","0")</f>
        <v>0</v>
      </c>
      <c r="BD2009">
        <f ca="1" xml:space="preserve"> IF( AND( OFFSET($A$1, 2009 - 1, 54 - 1) = "1", OFFSET($A$1, 2009 - 1, 55 - 1) = "1" ), 1, IF( AND( OFFSET($A$1, 2009 - 1, 54 - 1) = "1", OFFSET($A$1, 2009 - 1, 55 - 1) = "0" ), 2, IF( AND( OFFSET($A$1, 2009 - 1, 54 - 1) = "0", OFFSET($A$1, 2009 - 1, 55 - 1) = "1" ), 3, 4 ) ) )</f>
        <v>2</v>
      </c>
    </row>
    <row r="2010" spans="53:56" x14ac:dyDescent="0.35">
      <c r="BA2010" s="3">
        <v>0.59256692613437489</v>
      </c>
      <c r="BB2010" s="3" t="str">
        <f>"1"</f>
        <v>1</v>
      </c>
      <c r="BC2010" t="str">
        <f ca="1">IF((OFFSET($A$1, 2010 - 1, 53 - 1)) &gt;= (OFFSET($A$1, 69 - 1, 7 - 1)), "1","0")</f>
        <v>1</v>
      </c>
      <c r="BD2010">
        <f ca="1" xml:space="preserve"> IF( AND( OFFSET($A$1, 2010 - 1, 54 - 1) = "1", OFFSET($A$1, 2010 - 1, 55 - 1) = "1" ), 1, IF( AND( OFFSET($A$1, 2010 - 1, 54 - 1) = "1", OFFSET($A$1, 2010 - 1, 55 - 1) = "0" ), 2, IF( AND( OFFSET($A$1, 2010 - 1, 54 - 1) = "0", OFFSET($A$1, 2010 - 1, 55 - 1) = "1" ), 3, 4 ) ) )</f>
        <v>1</v>
      </c>
    </row>
    <row r="2011" spans="53:56" x14ac:dyDescent="0.35">
      <c r="BA2011" s="3">
        <v>0.59345471393791638</v>
      </c>
      <c r="BB2011" s="3" t="str">
        <f>"1"</f>
        <v>1</v>
      </c>
      <c r="BC2011" t="str">
        <f ca="1">IF((OFFSET($A$1, 2011 - 1, 53 - 1)) &gt;= (OFFSET($A$1, 69 - 1, 7 - 1)), "1","0")</f>
        <v>1</v>
      </c>
      <c r="BD2011">
        <f ca="1" xml:space="preserve"> IF( AND( OFFSET($A$1, 2011 - 1, 54 - 1) = "1", OFFSET($A$1, 2011 - 1, 55 - 1) = "1" ), 1, IF( AND( OFFSET($A$1, 2011 - 1, 54 - 1) = "1", OFFSET($A$1, 2011 - 1, 55 - 1) = "0" ), 2, IF( AND( OFFSET($A$1, 2011 - 1, 54 - 1) = "0", OFFSET($A$1, 2011 - 1, 55 - 1) = "1" ), 3, 4 ) ) )</f>
        <v>1</v>
      </c>
    </row>
    <row r="2012" spans="53:56" x14ac:dyDescent="0.35">
      <c r="BA2012" s="3">
        <v>0.59432115165882482</v>
      </c>
      <c r="BB2012" s="3" t="str">
        <f>"0"</f>
        <v>0</v>
      </c>
      <c r="BC2012" t="str">
        <f ca="1">IF((OFFSET($A$1, 2012 - 1, 53 - 1)) &gt;= (OFFSET($A$1, 69 - 1, 7 - 1)), "1","0")</f>
        <v>1</v>
      </c>
      <c r="BD2012">
        <f ca="1" xml:space="preserve"> IF( AND( OFFSET($A$1, 2012 - 1, 54 - 1) = "1", OFFSET($A$1, 2012 - 1, 55 - 1) = "1" ), 1, IF( AND( OFFSET($A$1, 2012 - 1, 54 - 1) = "1", OFFSET($A$1, 2012 - 1, 55 - 1) = "0" ), 2, IF( AND( OFFSET($A$1, 2012 - 1, 54 - 1) = "0", OFFSET($A$1, 2012 - 1, 55 - 1) = "1" ), 3, 4 ) ) )</f>
        <v>3</v>
      </c>
    </row>
    <row r="2013" spans="53:56" x14ac:dyDescent="0.35">
      <c r="BA2013" s="3">
        <v>0.32017388831652061</v>
      </c>
      <c r="BB2013" s="3" t="str">
        <f>"0"</f>
        <v>0</v>
      </c>
      <c r="BC2013" t="str">
        <f ca="1">IF((OFFSET($A$1, 2013 - 1, 53 - 1)) &gt;= (OFFSET($A$1, 69 - 1, 7 - 1)), "1","0")</f>
        <v>0</v>
      </c>
      <c r="BD2013">
        <f ca="1" xml:space="preserve"> IF( AND( OFFSET($A$1, 2013 - 1, 54 - 1) = "1", OFFSET($A$1, 2013 - 1, 55 - 1) = "1" ), 1, IF( AND( OFFSET($A$1, 2013 - 1, 54 - 1) = "1", OFFSET($A$1, 2013 - 1, 55 - 1) = "0" ), 2, IF( AND( OFFSET($A$1, 2013 - 1, 54 - 1) = "0", OFFSET($A$1, 2013 - 1, 55 - 1) = "1" ), 3, 4 ) ) )</f>
        <v>4</v>
      </c>
    </row>
    <row r="2014" spans="53:56" x14ac:dyDescent="0.35">
      <c r="BA2014" s="3">
        <v>0.3209181444173137</v>
      </c>
      <c r="BB2014" s="3" t="str">
        <f>"0"</f>
        <v>0</v>
      </c>
      <c r="BC2014" t="str">
        <f ca="1">IF((OFFSET($A$1, 2014 - 1, 53 - 1)) &gt;= (OFFSET($A$1, 69 - 1, 7 - 1)), "1","0")</f>
        <v>0</v>
      </c>
      <c r="BD2014">
        <f ca="1" xml:space="preserve"> IF( AND( OFFSET($A$1, 2014 - 1, 54 - 1) = "1", OFFSET($A$1, 2014 - 1, 55 - 1) = "1" ), 1, IF( AND( OFFSET($A$1, 2014 - 1, 54 - 1) = "1", OFFSET($A$1, 2014 - 1, 55 - 1) = "0" ), 2, IF( AND( OFFSET($A$1, 2014 - 1, 54 - 1) = "0", OFFSET($A$1, 2014 - 1, 55 - 1) = "1" ), 3, 4 ) ) )</f>
        <v>4</v>
      </c>
    </row>
    <row r="2015" spans="53:56" x14ac:dyDescent="0.35">
      <c r="BA2015" s="3">
        <v>0.32164386382816501</v>
      </c>
      <c r="BB2015" s="3" t="str">
        <f>"0"</f>
        <v>0</v>
      </c>
      <c r="BC2015" t="str">
        <f ca="1">IF((OFFSET($A$1, 2015 - 1, 53 - 1)) &gt;= (OFFSET($A$1, 69 - 1, 7 - 1)), "1","0")</f>
        <v>0</v>
      </c>
      <c r="BD2015">
        <f ca="1" xml:space="preserve"> IF( AND( OFFSET($A$1, 2015 - 1, 54 - 1) = "1", OFFSET($A$1, 2015 - 1, 55 - 1) = "1" ), 1, IF( AND( OFFSET($A$1, 2015 - 1, 54 - 1) = "1", OFFSET($A$1, 2015 - 1, 55 - 1) = "0" ), 2, IF( AND( OFFSET($A$1, 2015 - 1, 54 - 1) = "0", OFFSET($A$1, 2015 - 1, 55 - 1) = "1" ), 3, 4 ) ) )</f>
        <v>4</v>
      </c>
    </row>
    <row r="2016" spans="53:56" x14ac:dyDescent="0.35">
      <c r="BA2016" s="3">
        <v>0.32235075957738163</v>
      </c>
      <c r="BB2016" s="3" t="str">
        <f>"0"</f>
        <v>0</v>
      </c>
      <c r="BC2016" t="str">
        <f ca="1">IF((OFFSET($A$1, 2016 - 1, 53 - 1)) &gt;= (OFFSET($A$1, 69 - 1, 7 - 1)), "1","0")</f>
        <v>0</v>
      </c>
      <c r="BD2016">
        <f ca="1" xml:space="preserve"> IF( AND( OFFSET($A$1, 2016 - 1, 54 - 1) = "1", OFFSET($A$1, 2016 - 1, 55 - 1) = "1" ), 1, IF( AND( OFFSET($A$1, 2016 - 1, 54 - 1) = "1", OFFSET($A$1, 2016 - 1, 55 - 1) = "0" ), 2, IF( AND( OFFSET($A$1, 2016 - 1, 54 - 1) = "0", OFFSET($A$1, 2016 - 1, 55 - 1) = "1" ), 3, 4 ) ) )</f>
        <v>4</v>
      </c>
    </row>
    <row r="2017" spans="53:56" x14ac:dyDescent="0.35">
      <c r="BA2017" s="3">
        <v>0.32303855179309487</v>
      </c>
      <c r="BB2017" s="3" t="str">
        <f>"1"</f>
        <v>1</v>
      </c>
      <c r="BC2017" t="str">
        <f ca="1">IF((OFFSET($A$1, 2017 - 1, 53 - 1)) &gt;= (OFFSET($A$1, 69 - 1, 7 - 1)), "1","0")</f>
        <v>0</v>
      </c>
      <c r="BD2017">
        <f ca="1" xml:space="preserve"> IF( AND( OFFSET($A$1, 2017 - 1, 54 - 1) = "1", OFFSET($A$1, 2017 - 1, 55 - 1) = "1" ), 1, IF( AND( OFFSET($A$1, 2017 - 1, 54 - 1) = "1", OFFSET($A$1, 2017 - 1, 55 - 1) = "0" ), 2, IF( AND( OFFSET($A$1, 2017 - 1, 54 - 1) = "0", OFFSET($A$1, 2017 - 1, 55 - 1) = "1" ), 3, 4 ) ) )</f>
        <v>2</v>
      </c>
    </row>
    <row r="2018" spans="53:56" x14ac:dyDescent="0.35">
      <c r="BA2018" s="3">
        <v>0.59905961288977005</v>
      </c>
      <c r="BB2018" s="3" t="str">
        <f>"1"</f>
        <v>1</v>
      </c>
      <c r="BC2018" t="str">
        <f ca="1">IF((OFFSET($A$1, 2018 - 1, 53 - 1)) &gt;= (OFFSET($A$1, 69 - 1, 7 - 1)), "1","0")</f>
        <v>1</v>
      </c>
      <c r="BD2018">
        <f ca="1" xml:space="preserve"> IF( AND( OFFSET($A$1, 2018 - 1, 54 - 1) = "1", OFFSET($A$1, 2018 - 1, 55 - 1) = "1" ), 1, IF( AND( OFFSET($A$1, 2018 - 1, 54 - 1) = "1", OFFSET($A$1, 2018 - 1, 55 - 1) = "0" ), 2, IF( AND( OFFSET($A$1, 2018 - 1, 54 - 1) = "0", OFFSET($A$1, 2018 - 1, 55 - 1) = "1" ), 3, 4 ) ) )</f>
        <v>1</v>
      </c>
    </row>
    <row r="2019" spans="53:56" x14ac:dyDescent="0.35">
      <c r="BA2019" s="3">
        <v>0.59977083053281322</v>
      </c>
      <c r="BB2019" s="3" t="str">
        <f>"1"</f>
        <v>1</v>
      </c>
      <c r="BC2019" t="str">
        <f ca="1">IF((OFFSET($A$1, 2019 - 1, 53 - 1)) &gt;= (OFFSET($A$1, 69 - 1, 7 - 1)), "1","0")</f>
        <v>1</v>
      </c>
      <c r="BD2019">
        <f ca="1" xml:space="preserve"> IF( AND( OFFSET($A$1, 2019 - 1, 54 - 1) = "1", OFFSET($A$1, 2019 - 1, 55 - 1) = "1" ), 1, IF( AND( OFFSET($A$1, 2019 - 1, 54 - 1) = "1", OFFSET($A$1, 2019 - 1, 55 - 1) = "0" ), 2, IF( AND( OFFSET($A$1, 2019 - 1, 54 - 1) = "0", OFFSET($A$1, 2019 - 1, 55 - 1) = "1" ), 3, 4 ) ) )</f>
        <v>1</v>
      </c>
    </row>
    <row r="2020" spans="53:56" x14ac:dyDescent="0.35">
      <c r="BA2020" s="3">
        <v>0.60045912774128141</v>
      </c>
      <c r="BB2020" s="3" t="str">
        <f>"0"</f>
        <v>0</v>
      </c>
      <c r="BC2020" t="str">
        <f ca="1">IF((OFFSET($A$1, 2020 - 1, 53 - 1)) &gt;= (OFFSET($A$1, 69 - 1, 7 - 1)), "1","0")</f>
        <v>1</v>
      </c>
      <c r="BD2020">
        <f ca="1" xml:space="preserve"> IF( AND( OFFSET($A$1, 2020 - 1, 54 - 1) = "1", OFFSET($A$1, 2020 - 1, 55 - 1) = "1" ), 1, IF( AND( OFFSET($A$1, 2020 - 1, 54 - 1) = "1", OFFSET($A$1, 2020 - 1, 55 - 1) = "0" ), 2, IF( AND( OFFSET($A$1, 2020 - 1, 54 - 1) = "0", OFFSET($A$1, 2020 - 1, 55 - 1) = "1" ), 3, 4 ) ) )</f>
        <v>3</v>
      </c>
    </row>
    <row r="2021" spans="53:56" x14ac:dyDescent="0.35">
      <c r="BA2021" s="3">
        <v>0.32559334447189198</v>
      </c>
      <c r="BB2021" s="3" t="str">
        <f>"1"</f>
        <v>1</v>
      </c>
      <c r="BC2021" t="str">
        <f ca="1">IF((OFFSET($A$1, 2021 - 1, 53 - 1)) &gt;= (OFFSET($A$1, 69 - 1, 7 - 1)), "1","0")</f>
        <v>0</v>
      </c>
      <c r="BD2021">
        <f ca="1" xml:space="preserve"> IF( AND( OFFSET($A$1, 2021 - 1, 54 - 1) = "1", OFFSET($A$1, 2021 - 1, 55 - 1) = "1" ), 1, IF( AND( OFFSET($A$1, 2021 - 1, 54 - 1) = "1", OFFSET($A$1, 2021 - 1, 55 - 1) = "0" ), 2, IF( AND( OFFSET($A$1, 2021 - 1, 54 - 1) = "0", OFFSET($A$1, 2021 - 1, 55 - 1) = "1" ), 3, 4 ) ) )</f>
        <v>2</v>
      </c>
    </row>
    <row r="2022" spans="53:56" x14ac:dyDescent="0.35">
      <c r="BA2022" s="3">
        <v>0.60176629831894779</v>
      </c>
      <c r="BB2022" s="3" t="str">
        <f>"1"</f>
        <v>1</v>
      </c>
      <c r="BC2022" t="str">
        <f ca="1">IF((OFFSET($A$1, 2022 - 1, 53 - 1)) &gt;= (OFFSET($A$1, 69 - 1, 7 - 1)), "1","0")</f>
        <v>1</v>
      </c>
      <c r="BD2022">
        <f ca="1" xml:space="preserve"> IF( AND( OFFSET($A$1, 2022 - 1, 54 - 1) = "1", OFFSET($A$1, 2022 - 1, 55 - 1) = "1" ), 1, IF( AND( OFFSET($A$1, 2022 - 1, 54 - 1) = "1", OFFSET($A$1, 2022 - 1, 55 - 1) = "0" ), 2, IF( AND( OFFSET($A$1, 2022 - 1, 54 - 1) = "0", OFFSET($A$1, 2022 - 1, 55 - 1) = "1" ), 3, 4 ) ) )</f>
        <v>1</v>
      </c>
    </row>
    <row r="2023" spans="53:56" x14ac:dyDescent="0.35">
      <c r="BA2023" s="3">
        <v>0.60238485628666183</v>
      </c>
      <c r="BB2023" s="3" t="str">
        <f>"1"</f>
        <v>1</v>
      </c>
      <c r="BC2023" t="str">
        <f ca="1">IF((OFFSET($A$1, 2023 - 1, 53 - 1)) &gt;= (OFFSET($A$1, 69 - 1, 7 - 1)), "1","0")</f>
        <v>1</v>
      </c>
      <c r="BD2023">
        <f ca="1" xml:space="preserve"> IF( AND( OFFSET($A$1, 2023 - 1, 54 - 1) = "1", OFFSET($A$1, 2023 - 1, 55 - 1) = "1" ), 1, IF( AND( OFFSET($A$1, 2023 - 1, 54 - 1) = "1", OFFSET($A$1, 2023 - 1, 55 - 1) = "0" ), 2, IF( AND( OFFSET($A$1, 2023 - 1, 54 - 1) = "0", OFFSET($A$1, 2023 - 1, 55 - 1) = "1" ), 3, 4 ) ) )</f>
        <v>1</v>
      </c>
    </row>
    <row r="2024" spans="53:56" x14ac:dyDescent="0.35">
      <c r="BA2024" s="3">
        <v>0.60297986295016914</v>
      </c>
      <c r="BB2024" s="3" t="str">
        <f>"0"</f>
        <v>0</v>
      </c>
      <c r="BC2024" t="str">
        <f ca="1">IF((OFFSET($A$1, 2024 - 1, 53 - 1)) &gt;= (OFFSET($A$1, 69 - 1, 7 - 1)), "1","0")</f>
        <v>1</v>
      </c>
      <c r="BD2024">
        <f ca="1" xml:space="preserve"> IF( AND( OFFSET($A$1, 2024 - 1, 54 - 1) = "1", OFFSET($A$1, 2024 - 1, 55 - 1) = "1" ), 1, IF( AND( OFFSET($A$1, 2024 - 1, 54 - 1) = "1", OFFSET($A$1, 2024 - 1, 55 - 1) = "0" ), 2, IF( AND( OFFSET($A$1, 2024 - 1, 54 - 1) = "0", OFFSET($A$1, 2024 - 1, 55 - 1) = "1" ), 3, 4 ) ) )</f>
        <v>3</v>
      </c>
    </row>
    <row r="2025" spans="53:56" x14ac:dyDescent="0.35">
      <c r="BA2025" s="3">
        <v>0.32782203269619559</v>
      </c>
      <c r="BB2025" s="3" t="str">
        <f>"1"</f>
        <v>1</v>
      </c>
      <c r="BC2025" t="str">
        <f ca="1">IF((OFFSET($A$1, 2025 - 1, 53 - 1)) &gt;= (OFFSET($A$1, 69 - 1, 7 - 1)), "1","0")</f>
        <v>0</v>
      </c>
      <c r="BD2025">
        <f ca="1" xml:space="preserve"> IF( AND( OFFSET($A$1, 2025 - 1, 54 - 1) = "1", OFFSET($A$1, 2025 - 1, 55 - 1) = "1" ), 1, IF( AND( OFFSET($A$1, 2025 - 1, 54 - 1) = "1", OFFSET($A$1, 2025 - 1, 55 - 1) = "0" ), 2, IF( AND( OFFSET($A$1, 2025 - 1, 54 - 1) = "0", OFFSET($A$1, 2025 - 1, 55 - 1) = "1" ), 3, 4 ) ) )</f>
        <v>2</v>
      </c>
    </row>
    <row r="2026" spans="53:56" x14ac:dyDescent="0.35">
      <c r="BA2026" s="3">
        <v>0.60409866064810747</v>
      </c>
      <c r="BB2026" s="3" t="str">
        <f>"0"</f>
        <v>0</v>
      </c>
      <c r="BC2026" t="str">
        <f ca="1">IF((OFFSET($A$1, 2026 - 1, 53 - 1)) &gt;= (OFFSET($A$1, 69 - 1, 7 - 1)), "1","0")</f>
        <v>1</v>
      </c>
      <c r="BD2026">
        <f ca="1" xml:space="preserve"> IF( AND( OFFSET($A$1, 2026 - 1, 54 - 1) = "1", OFFSET($A$1, 2026 - 1, 55 - 1) = "1" ), 1, IF( AND( OFFSET($A$1, 2026 - 1, 54 - 1) = "1", OFFSET($A$1, 2026 - 1, 55 - 1) = "0" ), 2, IF( AND( OFFSET($A$1, 2026 - 1, 54 - 1) = "0", OFFSET($A$1, 2026 - 1, 55 - 1) = "1" ), 3, 4 ) ) )</f>
        <v>3</v>
      </c>
    </row>
    <row r="2027" spans="53:56" x14ac:dyDescent="0.35">
      <c r="BA2027" s="3">
        <v>0.32880956438134262</v>
      </c>
      <c r="BB2027" s="3" t="str">
        <f>"0"</f>
        <v>0</v>
      </c>
      <c r="BC2027" t="str">
        <f ca="1">IF((OFFSET($A$1, 2027 - 1, 53 - 1)) &gt;= (OFFSET($A$1, 69 - 1, 7 - 1)), "1","0")</f>
        <v>0</v>
      </c>
      <c r="BD2027">
        <f ca="1" xml:space="preserve"> IF( AND( OFFSET($A$1, 2027 - 1, 54 - 1) = "1", OFFSET($A$1, 2027 - 1, 55 - 1) = "1" ), 1, IF( AND( OFFSET($A$1, 2027 - 1, 54 - 1) = "1", OFFSET($A$1, 2027 - 1, 55 - 1) = "0" ), 2, IF( AND( OFFSET($A$1, 2027 - 1, 54 - 1) = "0", OFFSET($A$1, 2027 - 1, 55 - 1) = "1" ), 3, 4 ) ) )</f>
        <v>4</v>
      </c>
    </row>
    <row r="2028" spans="53:56" x14ac:dyDescent="0.35">
      <c r="BA2028" s="3">
        <v>0.32927091453505825</v>
      </c>
      <c r="BB2028" s="3" t="str">
        <f>"0"</f>
        <v>0</v>
      </c>
      <c r="BC2028" t="str">
        <f ca="1">IF((OFFSET($A$1, 2028 - 1, 53 - 1)) &gt;= (OFFSET($A$1, 69 - 1, 7 - 1)), "1","0")</f>
        <v>0</v>
      </c>
      <c r="BD2028">
        <f ca="1" xml:space="preserve"> IF( AND( OFFSET($A$1, 2028 - 1, 54 - 1) = "1", OFFSET($A$1, 2028 - 1, 55 - 1) = "1" ), 1, IF( AND( OFFSET($A$1, 2028 - 1, 54 - 1) = "1", OFFSET($A$1, 2028 - 1, 55 - 1) = "0" ), 2, IF( AND( OFFSET($A$1, 2028 - 1, 54 - 1) = "0", OFFSET($A$1, 2028 - 1, 55 - 1) = "1" ), 3, 4 ) ) )</f>
        <v>4</v>
      </c>
    </row>
    <row r="2029" spans="53:56" x14ac:dyDescent="0.35">
      <c r="BA2029" s="3">
        <v>0.32971040532651197</v>
      </c>
      <c r="BB2029" s="3" t="str">
        <f>"0"</f>
        <v>0</v>
      </c>
      <c r="BC2029" t="str">
        <f ca="1">IF((OFFSET($A$1, 2029 - 1, 53 - 1)) &gt;= (OFFSET($A$1, 69 - 1, 7 - 1)), "1","0")</f>
        <v>0</v>
      </c>
      <c r="BD2029">
        <f ca="1" xml:space="preserve"> IF( AND( OFFSET($A$1, 2029 - 1, 54 - 1) = "1", OFFSET($A$1, 2029 - 1, 55 - 1) = "1" ), 1, IF( AND( OFFSET($A$1, 2029 - 1, 54 - 1) = "1", OFFSET($A$1, 2029 - 1, 55 - 1) = "0" ), 2, IF( AND( OFFSET($A$1, 2029 - 1, 54 - 1) = "0", OFFSET($A$1, 2029 - 1, 55 - 1) = "1" ), 3, 4 ) ) )</f>
        <v>4</v>
      </c>
    </row>
    <row r="2030" spans="53:56" x14ac:dyDescent="0.35">
      <c r="BA2030" s="3">
        <v>0.3301278608656098</v>
      </c>
      <c r="BB2030" s="3" t="str">
        <f>"0"</f>
        <v>0</v>
      </c>
      <c r="BC2030" t="str">
        <f ca="1">IF((OFFSET($A$1, 2030 - 1, 53 - 1)) &gt;= (OFFSET($A$1, 69 - 1, 7 - 1)), "1","0")</f>
        <v>0</v>
      </c>
      <c r="BD2030">
        <f ca="1" xml:space="preserve"> IF( AND( OFFSET($A$1, 2030 - 1, 54 - 1) = "1", OFFSET($A$1, 2030 - 1, 55 - 1) = "1" ), 1, IF( AND( OFFSET($A$1, 2030 - 1, 54 - 1) = "1", OFFSET($A$1, 2030 - 1, 55 - 1) = "0" ), 2, IF( AND( OFFSET($A$1, 2030 - 1, 54 - 1) = "0", OFFSET($A$1, 2030 - 1, 55 - 1) = "1" ), 3, 4 ) ) )</f>
        <v>4</v>
      </c>
    </row>
    <row r="2031" spans="53:56" x14ac:dyDescent="0.35">
      <c r="BA2031" s="3">
        <v>0.33052311399658929</v>
      </c>
      <c r="BB2031" s="3" t="str">
        <f>"0"</f>
        <v>0</v>
      </c>
      <c r="BC2031" t="str">
        <f ca="1">IF((OFFSET($A$1, 2031 - 1, 53 - 1)) &gt;= (OFFSET($A$1, 69 - 1, 7 - 1)), "1","0")</f>
        <v>0</v>
      </c>
      <c r="BD2031">
        <f ca="1" xml:space="preserve"> IF( AND( OFFSET($A$1, 2031 - 1, 54 - 1) = "1", OFFSET($A$1, 2031 - 1, 55 - 1) = "1" ), 1, IF( AND( OFFSET($A$1, 2031 - 1, 54 - 1) = "1", OFFSET($A$1, 2031 - 1, 55 - 1) = "0" ), 2, IF( AND( OFFSET($A$1, 2031 - 1, 54 - 1) = "0", OFFSET($A$1, 2031 - 1, 55 - 1) = "1" ), 3, 4 ) ) )</f>
        <v>4</v>
      </c>
    </row>
    <row r="2032" spans="53:56" x14ac:dyDescent="0.35">
      <c r="BA2032" s="3">
        <v>0.33089600637973671</v>
      </c>
      <c r="BB2032" s="3" t="str">
        <f>"0"</f>
        <v>0</v>
      </c>
      <c r="BC2032" t="str">
        <f ca="1">IF((OFFSET($A$1, 2032 - 1, 53 - 1)) &gt;= (OFFSET($A$1, 69 - 1, 7 - 1)), "1","0")</f>
        <v>0</v>
      </c>
      <c r="BD2032">
        <f ca="1" xml:space="preserve"> IF( AND( OFFSET($A$1, 2032 - 1, 54 - 1) = "1", OFFSET($A$1, 2032 - 1, 55 - 1) = "1" ), 1, IF( AND( OFFSET($A$1, 2032 - 1, 54 - 1) = "1", OFFSET($A$1, 2032 - 1, 55 - 1) = "0" ), 2, IF( AND( OFFSET($A$1, 2032 - 1, 54 - 1) = "0", OFFSET($A$1, 2032 - 1, 55 - 1) = "1" ), 3, 4 ) ) )</f>
        <v>4</v>
      </c>
    </row>
    <row r="2033" spans="53:56" x14ac:dyDescent="0.35">
      <c r="BA2033" s="3">
        <v>0.33124638856845134</v>
      </c>
      <c r="BB2033" s="3" t="str">
        <f>"1"</f>
        <v>1</v>
      </c>
      <c r="BC2033" t="str">
        <f ca="1">IF((OFFSET($A$1, 2033 - 1, 53 - 1)) &gt;= (OFFSET($A$1, 69 - 1, 7 - 1)), "1","0")</f>
        <v>0</v>
      </c>
      <c r="BD2033">
        <f ca="1" xml:space="preserve"> IF( AND( OFFSET($A$1, 2033 - 1, 54 - 1) = "1", OFFSET($A$1, 2033 - 1, 55 - 1) = "1" ), 1, IF( AND( OFFSET($A$1, 2033 - 1, 54 - 1) = "1", OFFSET($A$1, 2033 - 1, 55 - 1) = "0" ), 2, IF( AND( OFFSET($A$1, 2033 - 1, 54 - 1) = "0", OFFSET($A$1, 2033 - 1, 55 - 1) = "1" ), 3, 4 ) ) )</f>
        <v>2</v>
      </c>
    </row>
    <row r="2034" spans="53:56" x14ac:dyDescent="0.35">
      <c r="BA2034" s="3">
        <v>0.60760642542896215</v>
      </c>
      <c r="BB2034" s="3" t="str">
        <f>"1"</f>
        <v>1</v>
      </c>
      <c r="BC2034" t="str">
        <f ca="1">IF((OFFSET($A$1, 2034 - 1, 53 - 1)) &gt;= (OFFSET($A$1, 69 - 1, 7 - 1)), "1","0")</f>
        <v>1</v>
      </c>
      <c r="BD2034">
        <f ca="1" xml:space="preserve"> IF( AND( OFFSET($A$1, 2034 - 1, 54 - 1) = "1", OFFSET($A$1, 2034 - 1, 55 - 1) = "1" ), 1, IF( AND( OFFSET($A$1, 2034 - 1, 54 - 1) = "1", OFFSET($A$1, 2034 - 1, 55 - 1) = "0" ), 2, IF( AND( OFFSET($A$1, 2034 - 1, 54 - 1) = "0", OFFSET($A$1, 2034 - 1, 55 - 1) = "1" ), 3, 4 ) ) )</f>
        <v>1</v>
      </c>
    </row>
    <row r="2035" spans="53:56" x14ac:dyDescent="0.35">
      <c r="BA2035" s="3">
        <v>0.60793434944083202</v>
      </c>
      <c r="BB2035" s="3" t="str">
        <f>"1"</f>
        <v>1</v>
      </c>
      <c r="BC2035" t="str">
        <f ca="1">IF((OFFSET($A$1, 2035 - 1, 53 - 1)) &gt;= (OFFSET($A$1, 69 - 1, 7 - 1)), "1","0")</f>
        <v>1</v>
      </c>
      <c r="BD2035">
        <f ca="1" xml:space="preserve"> IF( AND( OFFSET($A$1, 2035 - 1, 54 - 1) = "1", OFFSET($A$1, 2035 - 1, 55 - 1) = "1" ), 1, IF( AND( OFFSET($A$1, 2035 - 1, 54 - 1) = "1", OFFSET($A$1, 2035 - 1, 55 - 1) = "0" ), 2, IF( AND( OFFSET($A$1, 2035 - 1, 54 - 1) = "0", OFFSET($A$1, 2035 - 1, 55 - 1) = "1" ), 3, 4 ) ) )</f>
        <v>1</v>
      </c>
    </row>
    <row r="2036" spans="53:56" x14ac:dyDescent="0.35">
      <c r="BA2036" s="3">
        <v>0.60823742180754325</v>
      </c>
      <c r="BB2036" s="3" t="str">
        <f>"0"</f>
        <v>0</v>
      </c>
      <c r="BC2036" t="str">
        <f ca="1">IF((OFFSET($A$1, 2036 - 1, 53 - 1)) &gt;= (OFFSET($A$1, 69 - 1, 7 - 1)), "1","0")</f>
        <v>1</v>
      </c>
      <c r="BD2036">
        <f ca="1" xml:space="preserve"> IF( AND( OFFSET($A$1, 2036 - 1, 54 - 1) = "1", OFFSET($A$1, 2036 - 1, 55 - 1) = "1" ), 1, IF( AND( OFFSET($A$1, 2036 - 1, 54 - 1) = "1", OFFSET($A$1, 2036 - 1, 55 - 1) = "0" ), 2, IF( AND( OFFSET($A$1, 2036 - 1, 54 - 1) = "0", OFFSET($A$1, 2036 - 1, 55 - 1) = "1" ), 3, 4 ) ) )</f>
        <v>3</v>
      </c>
    </row>
    <row r="2037" spans="53:56" x14ac:dyDescent="0.35">
      <c r="BA2037" s="3">
        <v>0.33242014163258521</v>
      </c>
      <c r="BB2037" s="3" t="str">
        <f>"0"</f>
        <v>0</v>
      </c>
      <c r="BC2037" t="str">
        <f ca="1">IF((OFFSET($A$1, 2037 - 1, 53 - 1)) &gt;= (OFFSET($A$1, 69 - 1, 7 - 1)), "1","0")</f>
        <v>0</v>
      </c>
      <c r="BD2037">
        <f ca="1" xml:space="preserve"> IF( AND( OFFSET($A$1, 2037 - 1, 54 - 1) = "1", OFFSET($A$1, 2037 - 1, 55 - 1) = "1" ), 1, IF( AND( OFFSET($A$1, 2037 - 1, 54 - 1) = "1", OFFSET($A$1, 2037 - 1, 55 - 1) = "0" ), 2, IF( AND( OFFSET($A$1, 2037 - 1, 54 - 1) = "0", OFFSET($A$1, 2037 - 1, 55 - 1) = "1" ), 3, 4 ) ) )</f>
        <v>4</v>
      </c>
    </row>
    <row r="2038" spans="53:56" x14ac:dyDescent="0.35">
      <c r="BA2038" s="3">
        <v>0.33265604722061604</v>
      </c>
      <c r="BB2038" s="3" t="str">
        <f>"0"</f>
        <v>0</v>
      </c>
      <c r="BC2038" t="str">
        <f ca="1">IF((OFFSET($A$1, 2038 - 1, 53 - 1)) &gt;= (OFFSET($A$1, 69 - 1, 7 - 1)), "1","0")</f>
        <v>0</v>
      </c>
      <c r="BD2038">
        <f ca="1" xml:space="preserve"> IF( AND( OFFSET($A$1, 2038 - 1, 54 - 1) = "1", OFFSET($A$1, 2038 - 1, 55 - 1) = "1" ), 1, IF( AND( OFFSET($A$1, 2038 - 1, 54 - 1) = "1", OFFSET($A$1, 2038 - 1, 55 - 1) = "0" ), 2, IF( AND( OFFSET($A$1, 2038 - 1, 54 - 1) = "0", OFFSET($A$1, 2038 - 1, 55 - 1) = "1" ), 3, 4 ) ) )</f>
        <v>4</v>
      </c>
    </row>
    <row r="2039" spans="53:56" x14ac:dyDescent="0.35">
      <c r="BA2039" s="3">
        <v>0.33286873642326331</v>
      </c>
      <c r="BB2039" s="3" t="str">
        <f>"0"</f>
        <v>0</v>
      </c>
      <c r="BC2039" t="str">
        <f ca="1">IF((OFFSET($A$1, 2039 - 1, 53 - 1)) &gt;= (OFFSET($A$1, 69 - 1, 7 - 1)), "1","0")</f>
        <v>0</v>
      </c>
      <c r="BD2039">
        <f ca="1" xml:space="preserve"> IF( AND( OFFSET($A$1, 2039 - 1, 54 - 1) = "1", OFFSET($A$1, 2039 - 1, 55 - 1) = "1" ), 1, IF( AND( OFFSET($A$1, 2039 - 1, 54 - 1) = "1", OFFSET($A$1, 2039 - 1, 55 - 1) = "0" ), 2, IF( AND( OFFSET($A$1, 2039 - 1, 54 - 1) = "0", OFFSET($A$1, 2039 - 1, 55 - 1) = "1" ), 3, 4 ) ) )</f>
        <v>4</v>
      </c>
    </row>
    <row r="2040" spans="53:56" x14ac:dyDescent="0.35">
      <c r="BA2040" s="3">
        <v>0.33305812381596861</v>
      </c>
      <c r="BB2040" s="3" t="str">
        <f>"0"</f>
        <v>0</v>
      </c>
      <c r="BC2040" t="str">
        <f ca="1">IF((OFFSET($A$1, 2040 - 1, 53 - 1)) &gt;= (OFFSET($A$1, 69 - 1, 7 - 1)), "1","0")</f>
        <v>0</v>
      </c>
      <c r="BD2040">
        <f ca="1" xml:space="preserve"> IF( AND( OFFSET($A$1, 2040 - 1, 54 - 1) = "1", OFFSET($A$1, 2040 - 1, 55 - 1) = "1" ), 1, IF( AND( OFFSET($A$1, 2040 - 1, 54 - 1) = "1", OFFSET($A$1, 2040 - 1, 55 - 1) = "0" ), 2, IF( AND( OFFSET($A$1, 2040 - 1, 54 - 1) = "0", OFFSET($A$1, 2040 - 1, 55 - 1) = "1" ), 3, 4 ) ) )</f>
        <v>4</v>
      </c>
    </row>
    <row r="2041" spans="53:56" x14ac:dyDescent="0.35">
      <c r="BA2041" s="3">
        <v>0.33322413331819023</v>
      </c>
      <c r="BB2041" s="3" t="str">
        <f>"0"</f>
        <v>0</v>
      </c>
      <c r="BC2041" t="str">
        <f ca="1">IF((OFFSET($A$1, 2041 - 1, 53 - 1)) &gt;= (OFFSET($A$1, 69 - 1, 7 - 1)), "1","0")</f>
        <v>0</v>
      </c>
      <c r="BD2041">
        <f ca="1" xml:space="preserve"> IF( AND( OFFSET($A$1, 2041 - 1, 54 - 1) = "1", OFFSET($A$1, 2041 - 1, 55 - 1) = "1" ), 1, IF( AND( OFFSET($A$1, 2041 - 1, 54 - 1) = "1", OFFSET($A$1, 2041 - 1, 55 - 1) = "0" ), 2, IF( AND( OFFSET($A$1, 2041 - 1, 54 - 1) = "0", OFFSET($A$1, 2041 - 1, 55 - 1) = "1" ), 3, 4 ) ) )</f>
        <v>4</v>
      </c>
    </row>
    <row r="2042" spans="53:56" x14ac:dyDescent="0.35">
      <c r="BA2042" s="3">
        <v>0.33336669822930748</v>
      </c>
      <c r="BB2042" s="3" t="str">
        <f>"0"</f>
        <v>0</v>
      </c>
      <c r="BC2042" t="str">
        <f ca="1">IF((OFFSET($A$1, 2042 - 1, 53 - 1)) &gt;= (OFFSET($A$1, 69 - 1, 7 - 1)), "1","0")</f>
        <v>0</v>
      </c>
      <c r="BD2042">
        <f ca="1" xml:space="preserve"> IF( AND( OFFSET($A$1, 2042 - 1, 54 - 1) = "1", OFFSET($A$1, 2042 - 1, 55 - 1) = "1" ), 1, IF( AND( OFFSET($A$1, 2042 - 1, 54 - 1) = "1", OFFSET($A$1, 2042 - 1, 55 - 1) = "0" ), 2, IF( AND( OFFSET($A$1, 2042 - 1, 54 - 1) = "0", OFFSET($A$1, 2042 - 1, 55 - 1) = "1" ), 3, 4 ) ) )</f>
        <v>4</v>
      </c>
    </row>
    <row r="2043" spans="53:56" x14ac:dyDescent="0.35">
      <c r="BA2043" s="3">
        <v>0.33348576126002755</v>
      </c>
      <c r="BB2043" s="3" t="str">
        <f>"1"</f>
        <v>1</v>
      </c>
      <c r="BC2043" t="str">
        <f ca="1">IF((OFFSET($A$1, 2043 - 1, 53 - 1)) &gt;= (OFFSET($A$1, 69 - 1, 7 - 1)), "1","0")</f>
        <v>0</v>
      </c>
      <c r="BD2043">
        <f ca="1" xml:space="preserve"> IF( AND( OFFSET($A$1, 2043 - 1, 54 - 1) = "1", OFFSET($A$1, 2043 - 1, 55 - 1) = "1" ), 1, IF( AND( OFFSET($A$1, 2043 - 1, 54 - 1) = "1", OFFSET($A$1, 2043 - 1, 55 - 1) = "0" ), 2, IF( AND( OFFSET($A$1, 2043 - 1, 54 - 1) = "0", OFFSET($A$1, 2043 - 1, 55 - 1) = "1" ), 3, 4 ) ) )</f>
        <v>2</v>
      </c>
    </row>
    <row r="2044" spans="53:56" x14ac:dyDescent="0.35">
      <c r="BA2044" s="3">
        <v>0.60976023281975122</v>
      </c>
      <c r="BB2044" s="3" t="str">
        <f>"1"</f>
        <v>1</v>
      </c>
      <c r="BC2044" t="str">
        <f ca="1">IF((OFFSET($A$1, 2044 - 1, 53 - 1)) &gt;= (OFFSET($A$1, 69 - 1, 7 - 1)), "1","0")</f>
        <v>1</v>
      </c>
      <c r="BD2044">
        <f ca="1" xml:space="preserve"> IF( AND( OFFSET($A$1, 2044 - 1, 54 - 1) = "1", OFFSET($A$1, 2044 - 1, 55 - 1) = "1" ), 1, IF( AND( OFFSET($A$1, 2044 - 1, 54 - 1) = "1", OFFSET($A$1, 2044 - 1, 55 - 1) = "0" ), 2, IF( AND( OFFSET($A$1, 2044 - 1, 54 - 1) = "0", OFFSET($A$1, 2044 - 1, 55 - 1) = "1" ), 3, 4 ) ) )</f>
        <v>1</v>
      </c>
    </row>
    <row r="2045" spans="53:56" x14ac:dyDescent="0.35">
      <c r="BA2045" s="3">
        <v>0.60983721388263101</v>
      </c>
      <c r="BB2045" s="3" t="str">
        <f>"0"</f>
        <v>0</v>
      </c>
      <c r="BC2045" t="str">
        <f ca="1">IF((OFFSET($A$1, 2045 - 1, 53 - 1)) &gt;= (OFFSET($A$1, 69 - 1, 7 - 1)), "1","0")</f>
        <v>1</v>
      </c>
      <c r="BD2045">
        <f ca="1" xml:space="preserve"> IF( AND( OFFSET($A$1, 2045 - 1, 54 - 1) = "1", OFFSET($A$1, 2045 - 1, 55 - 1) = "1" ), 1, IF( AND( OFFSET($A$1, 2045 - 1, 54 - 1) = "1", OFFSET($A$1, 2045 - 1, 55 - 1) = "0" ), 2, IF( AND( OFFSET($A$1, 2045 - 1, 54 - 1) = "0", OFFSET($A$1, 2045 - 1, 55 - 1) = "1" ), 3, 4 ) ) )</f>
        <v>3</v>
      </c>
    </row>
    <row r="2046" spans="53:56" x14ac:dyDescent="0.35">
      <c r="BA2046" s="3">
        <v>0.33370150788088382</v>
      </c>
      <c r="BB2046" s="3" t="str">
        <f>"0"</f>
        <v>0</v>
      </c>
      <c r="BC2046" t="str">
        <f ca="1">IF((OFFSET($A$1, 2046 - 1, 53 - 1)) &gt;= (OFFSET($A$1, 69 - 1, 7 - 1)), "1","0")</f>
        <v>0</v>
      </c>
      <c r="BD2046">
        <f ca="1" xml:space="preserve"> IF( AND( OFFSET($A$1, 2046 - 1, 54 - 1) = "1", OFFSET($A$1, 2046 - 1, 55 - 1) = "1" ), 1, IF( AND( OFFSET($A$1, 2046 - 1, 54 - 1) = "1", OFFSET($A$1, 2046 - 1, 55 - 1) = "0" ), 2, IF( AND( OFFSET($A$1, 2046 - 1, 54 - 1) = "0", OFFSET($A$1, 2046 - 1, 55 - 1) = "1" ), 3, 4 ) ) )</f>
        <v>4</v>
      </c>
    </row>
    <row r="2047" spans="53:56" x14ac:dyDescent="0.35">
      <c r="BA2047" s="3">
        <v>0.3337261795720971</v>
      </c>
      <c r="BB2047" s="3" t="str">
        <f>"1"</f>
        <v>1</v>
      </c>
      <c r="BC2047" t="str">
        <f ca="1">IF((OFFSET($A$1, 2047 - 1, 53 - 1)) &gt;= (OFFSET($A$1, 69 - 1, 7 - 1)), "1","0")</f>
        <v>0</v>
      </c>
      <c r="BD2047">
        <f ca="1" xml:space="preserve"> IF( AND( OFFSET($A$1, 2047 - 1, 54 - 1) = "1", OFFSET($A$1, 2047 - 1, 55 - 1) = "1" ), 1, IF( AND( OFFSET($A$1, 2047 - 1, 54 - 1) = "1", OFFSET($A$1, 2047 - 1, 55 - 1) = "0" ), 2, IF( AND( OFFSET($A$1, 2047 - 1, 54 - 1) = "0", OFFSET($A$1, 2047 - 1, 55 - 1) = "1" ), 3, 4 ) ) )</f>
        <v>2</v>
      </c>
    </row>
    <row r="2048" spans="53:56" x14ac:dyDescent="0.35">
      <c r="BA2048" s="3">
        <v>0.6099164067755044</v>
      </c>
      <c r="BB2048" s="3" t="str">
        <f>"0"</f>
        <v>0</v>
      </c>
      <c r="BC2048" t="str">
        <f ca="1">IF((OFFSET($A$1, 2048 - 1, 53 - 1)) &gt;= (OFFSET($A$1, 69 - 1, 7 - 1)), "1","0")</f>
        <v>1</v>
      </c>
      <c r="BD2048">
        <f ca="1" xml:space="preserve"> IF( AND( OFFSET($A$1, 2048 - 1, 54 - 1) = "1", OFFSET($A$1, 2048 - 1, 55 - 1) = "1" ), 1, IF( AND( OFFSET($A$1, 2048 - 1, 54 - 1) = "1", OFFSET($A$1, 2048 - 1, 55 - 1) = "0" ), 2, IF( AND( OFFSET($A$1, 2048 - 1, 54 - 1) = "0", OFFSET($A$1, 2048 - 1, 55 - 1) = "1" ), 3, 4 ) ) )</f>
        <v>3</v>
      </c>
    </row>
    <row r="2049" spans="53:56" x14ac:dyDescent="0.35">
      <c r="BA2049" s="3">
        <v>0.33370458342937553</v>
      </c>
      <c r="BB2049" s="3" t="str">
        <f>"1"</f>
        <v>1</v>
      </c>
      <c r="BC2049" t="str">
        <f ca="1">IF((OFFSET($A$1, 2049 - 1, 53 - 1)) &gt;= (OFFSET($A$1, 69 - 1, 7 - 1)), "1","0")</f>
        <v>0</v>
      </c>
      <c r="BD2049">
        <f ca="1" xml:space="preserve"> IF( AND( OFFSET($A$1, 2049 - 1, 54 - 1) = "1", OFFSET($A$1, 2049 - 1, 55 - 1) = "1" ), 1, IF( AND( OFFSET($A$1, 2049 - 1, 54 - 1) = "1", OFFSET($A$1, 2049 - 1, 55 - 1) = "0" ), 2, IF( AND( OFFSET($A$1, 2049 - 1, 54 - 1) = "0", OFFSET($A$1, 2049 - 1, 55 - 1) = "1" ), 3, 4 ) ) )</f>
        <v>2</v>
      </c>
    </row>
    <row r="2050" spans="53:56" x14ac:dyDescent="0.35">
      <c r="BA2050" s="3">
        <v>0.60984269812085234</v>
      </c>
      <c r="BB2050" s="3" t="str">
        <f>"0"</f>
        <v>0</v>
      </c>
      <c r="BC2050" t="str">
        <f ca="1">IF((OFFSET($A$1, 2050 - 1, 53 - 1)) &gt;= (OFFSET($A$1, 69 - 1, 7 - 1)), "1","0")</f>
        <v>1</v>
      </c>
      <c r="BD2050">
        <f ca="1" xml:space="preserve"> IF( AND( OFFSET($A$1, 2050 - 1, 54 - 1) = "1", OFFSET($A$1, 2050 - 1, 55 - 1) = "1" ), 1, IF( AND( OFFSET($A$1, 2050 - 1, 54 - 1) = "1", OFFSET($A$1, 2050 - 1, 55 - 1) = "0" ), 2, IF( AND( OFFSET($A$1, 2050 - 1, 54 - 1) = "0", OFFSET($A$1, 2050 - 1, 55 - 1) = "1" ), 3, 4 ) ) )</f>
        <v>3</v>
      </c>
    </row>
    <row r="2051" spans="53:56" x14ac:dyDescent="0.35">
      <c r="BA2051" s="3">
        <v>0.33358844603161042</v>
      </c>
      <c r="BB2051" s="3" t="str">
        <f>"1"</f>
        <v>1</v>
      </c>
      <c r="BC2051" t="str">
        <f ca="1">IF((OFFSET($A$1, 2051 - 1, 53 - 1)) &gt;= (OFFSET($A$1, 69 - 1, 7 - 1)), "1","0")</f>
        <v>0</v>
      </c>
      <c r="BD2051">
        <f ca="1" xml:space="preserve"> IF( AND( OFFSET($A$1, 2051 - 1, 54 - 1) = "1", OFFSET($A$1, 2051 - 1, 55 - 1) = "1" ), 1, IF( AND( OFFSET($A$1, 2051 - 1, 54 - 1) = "1", OFFSET($A$1, 2051 - 1, 55 - 1) = "0" ), 2, IF( AND( OFFSET($A$1, 2051 - 1, 54 - 1) = "0", OFFSET($A$1, 2051 - 1, 55 - 1) = "1" ), 3, 4 ) ) )</f>
        <v>2</v>
      </c>
    </row>
    <row r="2052" spans="53:56" x14ac:dyDescent="0.35">
      <c r="BA2052" s="3">
        <v>0.60966785069606089</v>
      </c>
      <c r="BB2052" s="3" t="str">
        <f>"1"</f>
        <v>1</v>
      </c>
      <c r="BC2052" t="str">
        <f ca="1">IF((OFFSET($A$1, 2052 - 1, 53 - 1)) &gt;= (OFFSET($A$1, 69 - 1, 7 - 1)), "1","0")</f>
        <v>1</v>
      </c>
      <c r="BD2052">
        <f ca="1" xml:space="preserve"> IF( AND( OFFSET($A$1, 2052 - 1, 54 - 1) = "1", OFFSET($A$1, 2052 - 1, 55 - 1) = "1" ), 1, IF( AND( OFFSET($A$1, 2052 - 1, 54 - 1) = "1", OFFSET($A$1, 2052 - 1, 55 - 1) = "0" ), 2, IF( AND( OFFSET($A$1, 2052 - 1, 54 - 1) = "0", OFFSET($A$1, 2052 - 1, 55 - 1) = "1" ), 3, 4 ) ) )</f>
        <v>1</v>
      </c>
    </row>
    <row r="2053" spans="53:56" x14ac:dyDescent="0.35">
      <c r="BA2053" s="3">
        <v>0.60954254578190892</v>
      </c>
      <c r="BB2053" s="3" t="str">
        <f>"0"</f>
        <v>0</v>
      </c>
      <c r="BC2053" t="str">
        <f ca="1">IF((OFFSET($A$1, 2053 - 1, 53 - 1)) &gt;= (OFFSET($A$1, 69 - 1, 7 - 1)), "1","0")</f>
        <v>1</v>
      </c>
      <c r="BD2053">
        <f ca="1" xml:space="preserve"> IF( AND( OFFSET($A$1, 2053 - 1, 54 - 1) = "1", OFFSET($A$1, 2053 - 1, 55 - 1) = "1" ), 1, IF( AND( OFFSET($A$1, 2053 - 1, 54 - 1) = "1", OFFSET($A$1, 2053 - 1, 55 - 1) = "0" ), 2, IF( AND( OFFSET($A$1, 2053 - 1, 54 - 1) = "0", OFFSET($A$1, 2053 - 1, 55 - 1) = "1" ), 3, 4 ) ) )</f>
        <v>3</v>
      </c>
    </row>
    <row r="2054" spans="53:56" x14ac:dyDescent="0.35">
      <c r="BA2054" s="3">
        <v>0.33323742500709669</v>
      </c>
      <c r="BB2054" s="3" t="str">
        <f>"1"</f>
        <v>1</v>
      </c>
      <c r="BC2054" t="str">
        <f ca="1">IF((OFFSET($A$1, 2054 - 1, 53 - 1)) &gt;= (OFFSET($A$1, 69 - 1, 7 - 1)), "1","0")</f>
        <v>0</v>
      </c>
      <c r="BD2054">
        <f ca="1" xml:space="preserve"> IF( AND( OFFSET($A$1, 2054 - 1, 54 - 1) = "1", OFFSET($A$1, 2054 - 1, 55 - 1) = "1" ), 1, IF( AND( OFFSET($A$1, 2054 - 1, 54 - 1) = "1", OFFSET($A$1, 2054 - 1, 55 - 1) = "0" ), 2, IF( AND( OFFSET($A$1, 2054 - 1, 54 - 1) = "0", OFFSET($A$1, 2054 - 1, 55 - 1) = "1" ), 3, 4 ) ) )</f>
        <v>2</v>
      </c>
    </row>
    <row r="2055" spans="53:56" x14ac:dyDescent="0.35">
      <c r="BA2055" s="3">
        <v>0.6092163153839808</v>
      </c>
      <c r="BB2055" s="3" t="str">
        <f>"1"</f>
        <v>1</v>
      </c>
      <c r="BC2055" t="str">
        <f ca="1">IF((OFFSET($A$1, 2055 - 1, 53 - 1)) &gt;= (OFFSET($A$1, 69 - 1, 7 - 1)), "1","0")</f>
        <v>1</v>
      </c>
      <c r="BD2055">
        <f ca="1" xml:space="preserve"> IF( AND( OFFSET($A$1, 2055 - 1, 54 - 1) = "1", OFFSET($A$1, 2055 - 1, 55 - 1) = "1" ), 1, IF( AND( OFFSET($A$1, 2055 - 1, 54 - 1) = "1", OFFSET($A$1, 2055 - 1, 55 - 1) = "0" ), 2, IF( AND( OFFSET($A$1, 2055 - 1, 54 - 1) = "0", OFFSET($A$1, 2055 - 1, 55 - 1) = "1" ), 3, 4 ) ) )</f>
        <v>1</v>
      </c>
    </row>
    <row r="2056" spans="53:56" x14ac:dyDescent="0.35">
      <c r="BA2056" s="3">
        <v>0.609015463882148</v>
      </c>
      <c r="BB2056" s="3" t="str">
        <f>"0"</f>
        <v>0</v>
      </c>
      <c r="BC2056" t="str">
        <f ca="1">IF((OFFSET($A$1, 2056 - 1, 53 - 1)) &gt;= (OFFSET($A$1, 69 - 1, 7 - 1)), "1","0")</f>
        <v>1</v>
      </c>
      <c r="BD2056">
        <f ca="1" xml:space="preserve"> IF( AND( OFFSET($A$1, 2056 - 1, 54 - 1) = "1", OFFSET($A$1, 2056 - 1, 55 - 1) = "1" ), 1, IF( AND( OFFSET($A$1, 2056 - 1, 54 - 1) = "1", OFFSET($A$1, 2056 - 1, 55 - 1) = "0" ), 2, IF( AND( OFFSET($A$1, 2056 - 1, 54 - 1) = "0", OFFSET($A$1, 2056 - 1, 55 - 1) = "1" ), 3, 4 ) ) )</f>
        <v>3</v>
      </c>
    </row>
    <row r="2057" spans="53:56" x14ac:dyDescent="0.35">
      <c r="BA2057" s="3">
        <v>0.33267541107311382</v>
      </c>
      <c r="BB2057" s="3" t="str">
        <f>"0"</f>
        <v>0</v>
      </c>
      <c r="BC2057" t="str">
        <f ca="1">IF((OFFSET($A$1, 2057 - 1, 53 - 1)) &gt;= (OFFSET($A$1, 69 - 1, 7 - 1)), "1","0")</f>
        <v>0</v>
      </c>
      <c r="BD2057">
        <f ca="1" xml:space="preserve"> IF( AND( OFFSET($A$1, 2057 - 1, 54 - 1) = "1", OFFSET($A$1, 2057 - 1, 55 - 1) = "1" ), 1, IF( AND( OFFSET($A$1, 2057 - 1, 54 - 1) = "1", OFFSET($A$1, 2057 - 1, 55 - 1) = "0" ), 2, IF( AND( OFFSET($A$1, 2057 - 1, 54 - 1) = "0", OFFSET($A$1, 2057 - 1, 55 - 1) = "1" ), 3, 4 ) ) )</f>
        <v>4</v>
      </c>
    </row>
    <row r="2058" spans="53:56" x14ac:dyDescent="0.35">
      <c r="BA2058" s="3">
        <v>0.3324415150658856</v>
      </c>
      <c r="BB2058" s="3" t="str">
        <f>"0"</f>
        <v>0</v>
      </c>
      <c r="BC2058" t="str">
        <f ca="1">IF((OFFSET($A$1, 2058 - 1, 53 - 1)) &gt;= (OFFSET($A$1, 69 - 1, 7 - 1)), "1","0")</f>
        <v>0</v>
      </c>
      <c r="BD2058">
        <f ca="1" xml:space="preserve"> IF( AND( OFFSET($A$1, 2058 - 1, 54 - 1) = "1", OFFSET($A$1, 2058 - 1, 55 - 1) = "1" ), 1, IF( AND( OFFSET($A$1, 2058 - 1, 54 - 1) = "1", OFFSET($A$1, 2058 - 1, 55 - 1) = "0" ), 2, IF( AND( OFFSET($A$1, 2058 - 1, 54 - 1) = "0", OFFSET($A$1, 2058 - 1, 55 - 1) = "1" ), 3, 4 ) ) )</f>
        <v>4</v>
      </c>
    </row>
    <row r="2059" spans="53:56" x14ac:dyDescent="0.35">
      <c r="BA2059" s="3">
        <v>0.33218448881982943</v>
      </c>
      <c r="BB2059" s="3" t="str">
        <f>"1"</f>
        <v>1</v>
      </c>
      <c r="BC2059" t="str">
        <f ca="1">IF((OFFSET($A$1, 2059 - 1, 53 - 1)) &gt;= (OFFSET($A$1, 69 - 1, 7 - 1)), "1","0")</f>
        <v>0</v>
      </c>
      <c r="BD2059">
        <f ca="1" xml:space="preserve"> IF( AND( OFFSET($A$1, 2059 - 1, 54 - 1) = "1", OFFSET($A$1, 2059 - 1, 55 - 1) = "1" ), 1, IF( AND( OFFSET($A$1, 2059 - 1, 54 - 1) = "1", OFFSET($A$1, 2059 - 1, 55 - 1) = "0" ), 2, IF( AND( OFFSET($A$1, 2059 - 1, 54 - 1) = "0", OFFSET($A$1, 2059 - 1, 55 - 1) = "1" ), 3, 4 ) ) )</f>
        <v>2</v>
      </c>
    </row>
    <row r="2060" spans="53:56" x14ac:dyDescent="0.35">
      <c r="BA2060" s="3">
        <v>0.60796161532908521</v>
      </c>
      <c r="BB2060" s="3" t="str">
        <f>"1"</f>
        <v>1</v>
      </c>
      <c r="BC2060" t="str">
        <f ca="1">IF((OFFSET($A$1, 2060 - 1, 53 - 1)) &gt;= (OFFSET($A$1, 69 - 1, 7 - 1)), "1","0")</f>
        <v>1</v>
      </c>
      <c r="BD2060">
        <f ca="1" xml:space="preserve"> IF( AND( OFFSET($A$1, 2060 - 1, 54 - 1) = "1", OFFSET($A$1, 2060 - 1, 55 - 1) = "1" ), 1, IF( AND( OFFSET($A$1, 2060 - 1, 54 - 1) = "1", OFFSET($A$1, 2060 - 1, 55 - 1) = "0" ), 2, IF( AND( OFFSET($A$1, 2060 - 1, 54 - 1) = "0", OFFSET($A$1, 2060 - 1, 55 - 1) = "1" ), 3, 4 ) ) )</f>
        <v>1</v>
      </c>
    </row>
    <row r="2061" spans="53:56" x14ac:dyDescent="0.35">
      <c r="BA2061" s="3">
        <v>0.60763584341857779</v>
      </c>
      <c r="BB2061" s="3" t="str">
        <f>"1"</f>
        <v>1</v>
      </c>
      <c r="BC2061" t="str">
        <f ca="1">IF((OFFSET($A$1, 2061 - 1, 53 - 1)) &gt;= (OFFSET($A$1, 69 - 1, 7 - 1)), "1","0")</f>
        <v>1</v>
      </c>
      <c r="BD2061">
        <f ca="1" xml:space="preserve"> IF( AND( OFFSET($A$1, 2061 - 1, 54 - 1) = "1", OFFSET($A$1, 2061 - 1, 55 - 1) = "1" ), 1, IF( AND( OFFSET($A$1, 2061 - 1, 54 - 1) = "1", OFFSET($A$1, 2061 - 1, 55 - 1) = "0" ), 2, IF( AND( OFFSET($A$1, 2061 - 1, 54 - 1) = "0", OFFSET($A$1, 2061 - 1, 55 - 1) = "1" ), 3, 4 ) ) )</f>
        <v>1</v>
      </c>
    </row>
    <row r="2062" spans="53:56" x14ac:dyDescent="0.35">
      <c r="BA2062" s="3">
        <v>0.60728528842184182</v>
      </c>
      <c r="BB2062" s="3" t="str">
        <f>"1"</f>
        <v>1</v>
      </c>
      <c r="BC2062" t="str">
        <f ca="1">IF((OFFSET($A$1, 2062 - 1, 53 - 1)) &gt;= (OFFSET($A$1, 69 - 1, 7 - 1)), "1","0")</f>
        <v>1</v>
      </c>
      <c r="BD2062">
        <f ca="1" xml:space="preserve"> IF( AND( OFFSET($A$1, 2062 - 1, 54 - 1) = "1", OFFSET($A$1, 2062 - 1, 55 - 1) = "1" ), 1, IF( AND( OFFSET($A$1, 2062 - 1, 54 - 1) = "1", OFFSET($A$1, 2062 - 1, 55 - 1) = "0" ), 2, IF( AND( OFFSET($A$1, 2062 - 1, 54 - 1) = "0", OFFSET($A$1, 2062 - 1, 55 - 1) = "1" ), 3, 4 ) ) )</f>
        <v>1</v>
      </c>
    </row>
    <row r="2063" spans="53:56" x14ac:dyDescent="0.35">
      <c r="BA2063" s="3">
        <v>0.60691003105668184</v>
      </c>
      <c r="BB2063" s="3" t="str">
        <f>"1"</f>
        <v>1</v>
      </c>
      <c r="BC2063" t="str">
        <f ca="1">IF((OFFSET($A$1, 2063 - 1, 53 - 1)) &gt;= (OFFSET($A$1, 69 - 1, 7 - 1)), "1","0")</f>
        <v>1</v>
      </c>
      <c r="BD2063">
        <f ca="1" xml:space="preserve"> IF( AND( OFFSET($A$1, 2063 - 1, 54 - 1) = "1", OFFSET($A$1, 2063 - 1, 55 - 1) = "1" ), 1, IF( AND( OFFSET($A$1, 2063 - 1, 54 - 1) = "1", OFFSET($A$1, 2063 - 1, 55 - 1) = "0" ), 2, IF( AND( OFFSET($A$1, 2063 - 1, 54 - 1) = "0", OFFSET($A$1, 2063 - 1, 55 - 1) = "1" ), 3, 4 ) ) )</f>
        <v>1</v>
      </c>
    </row>
    <row r="2064" spans="53:56" x14ac:dyDescent="0.35">
      <c r="BA2064" s="3">
        <v>0.60651015797287267</v>
      </c>
      <c r="BB2064" s="3" t="str">
        <f>"0"</f>
        <v>0</v>
      </c>
      <c r="BC2064" t="str">
        <f ca="1">IF((OFFSET($A$1, 2064 - 1, 53 - 1)) &gt;= (OFFSET($A$1, 69 - 1, 7 - 1)), "1","0")</f>
        <v>1</v>
      </c>
      <c r="BD2064">
        <f ca="1" xml:space="preserve"> IF( AND( OFFSET($A$1, 2064 - 1, 54 - 1) = "1", OFFSET($A$1, 2064 - 1, 55 - 1) = "1" ), 1, IF( AND( OFFSET($A$1, 2064 - 1, 54 - 1) = "1", OFFSET($A$1, 2064 - 1, 55 - 1) = "0" ), 2, IF( AND( OFFSET($A$1, 2064 - 1, 54 - 1) = "0", OFFSET($A$1, 2064 - 1, 55 - 1) = "1" ), 3, 4 ) ) )</f>
        <v>3</v>
      </c>
    </row>
    <row r="2065" spans="53:56" x14ac:dyDescent="0.35">
      <c r="BA2065" s="3">
        <v>0.33016301656051134</v>
      </c>
      <c r="BB2065" s="3" t="str">
        <f>"0"</f>
        <v>0</v>
      </c>
      <c r="BC2065" t="str">
        <f ca="1">IF((OFFSET($A$1, 2065 - 1, 53 - 1)) &gt;= (OFFSET($A$1, 69 - 1, 7 - 1)), "1","0")</f>
        <v>0</v>
      </c>
      <c r="BD2065">
        <f ca="1" xml:space="preserve"> IF( AND( OFFSET($A$1, 2065 - 1, 54 - 1) = "1", OFFSET($A$1, 2065 - 1, 55 - 1) = "1" ), 1, IF( AND( OFFSET($A$1, 2065 - 1, 54 - 1) = "1", OFFSET($A$1, 2065 - 1, 55 - 1) = "0" ), 2, IF( AND( OFFSET($A$1, 2065 - 1, 54 - 1) = "0", OFFSET($A$1, 2065 - 1, 55 - 1) = "1" ), 3, 4 ) ) )</f>
        <v>4</v>
      </c>
    </row>
    <row r="2066" spans="53:56" x14ac:dyDescent="0.35">
      <c r="BA2066" s="3">
        <v>0.32974747980042063</v>
      </c>
      <c r="BB2066" s="3" t="str">
        <f>"0"</f>
        <v>0</v>
      </c>
      <c r="BC2066" t="str">
        <f ca="1">IF((OFFSET($A$1, 2066 - 1, 53 - 1)) &gt;= (OFFSET($A$1, 69 - 1, 7 - 1)), "1","0")</f>
        <v>0</v>
      </c>
      <c r="BD2066">
        <f ca="1" xml:space="preserve"> IF( AND( OFFSET($A$1, 2066 - 1, 54 - 1) = "1", OFFSET($A$1, 2066 - 1, 55 - 1) = "1" ), 1, IF( AND( OFFSET($A$1, 2066 - 1, 54 - 1) = "1", OFFSET($A$1, 2066 - 1, 55 - 1) = "0" ), 2, IF( AND( OFFSET($A$1, 2066 - 1, 54 - 1) = "0", OFFSET($A$1, 2066 - 1, 55 - 1) = "1" ), 3, 4 ) ) )</f>
        <v>4</v>
      </c>
    </row>
    <row r="2067" spans="53:56" x14ac:dyDescent="0.35">
      <c r="BA2067" s="3">
        <v>0.32930989294607305</v>
      </c>
      <c r="BB2067" s="3" t="str">
        <f>"0"</f>
        <v>0</v>
      </c>
      <c r="BC2067" t="str">
        <f ca="1">IF((OFFSET($A$1, 2067 - 1, 53 - 1)) &gt;= (OFFSET($A$1, 69 - 1, 7 - 1)), "1","0")</f>
        <v>0</v>
      </c>
      <c r="BD2067">
        <f ca="1" xml:space="preserve"> IF( AND( OFFSET($A$1, 2067 - 1, 54 - 1) = "1", OFFSET($A$1, 2067 - 1, 55 - 1) = "1" ), 1, IF( AND( OFFSET($A$1, 2067 - 1, 54 - 1) = "1", OFFSET($A$1, 2067 - 1, 55 - 1) = "0" ), 2, IF( AND( OFFSET($A$1, 2067 - 1, 54 - 1) = "0", OFFSET($A$1, 2067 - 1, 55 - 1) = "1" ), 3, 4 ) ) )</f>
        <v>4</v>
      </c>
    </row>
    <row r="2068" spans="53:56" x14ac:dyDescent="0.35">
      <c r="BA2068" s="3">
        <v>0.32885043113352225</v>
      </c>
      <c r="BB2068" s="3" t="str">
        <f>"0"</f>
        <v>0</v>
      </c>
      <c r="BC2068" t="str">
        <f ca="1">IF((OFFSET($A$1, 2068 - 1, 53 - 1)) &gt;= (OFFSET($A$1, 69 - 1, 7 - 1)), "1","0")</f>
        <v>0</v>
      </c>
      <c r="BD2068">
        <f ca="1" xml:space="preserve"> IF( AND( OFFSET($A$1, 2068 - 1, 54 - 1) = "1", OFFSET($A$1, 2068 - 1, 55 - 1) = "1" ), 1, IF( AND( OFFSET($A$1, 2068 - 1, 54 - 1) = "1", OFFSET($A$1, 2068 - 1, 55 - 1) = "0" ), 2, IF( AND( OFFSET($A$1, 2068 - 1, 54 - 1) = "0", OFFSET($A$1, 2068 - 1, 55 - 1) = "1" ), 3, 4 ) ) )</f>
        <v>4</v>
      </c>
    </row>
    <row r="2069" spans="53:56" x14ac:dyDescent="0.35">
      <c r="BA2069" s="3">
        <v>0.32836927815444805</v>
      </c>
      <c r="BB2069" s="3" t="str">
        <f>"1"</f>
        <v>1</v>
      </c>
      <c r="BC2069" t="str">
        <f ca="1">IF((OFFSET($A$1, 2069 - 1, 53 - 1)) &gt;= (OFFSET($A$1, 69 - 1, 7 - 1)), "1","0")</f>
        <v>0</v>
      </c>
      <c r="BD2069">
        <f ca="1" xml:space="preserve"> IF( AND( OFFSET($A$1, 2069 - 1, 54 - 1) = "1", OFFSET($A$1, 2069 - 1, 55 - 1) = "1" ), 1, IF( AND( OFFSET($A$1, 2069 - 1, 54 - 1) = "1", OFFSET($A$1, 2069 - 1, 55 - 1) = "0" ), 2, IF( AND( OFFSET($A$1, 2069 - 1, 54 - 1) = "0", OFFSET($A$1, 2069 - 1, 55 - 1) = "1" ), 3, 4 ) ) )</f>
        <v>2</v>
      </c>
    </row>
    <row r="2070" spans="53:56" x14ac:dyDescent="0.35">
      <c r="BA2070" s="3">
        <v>0.60359959666012486</v>
      </c>
      <c r="BB2070" s="3" t="str">
        <f>"1"</f>
        <v>1</v>
      </c>
      <c r="BC2070" t="str">
        <f ca="1">IF((OFFSET($A$1, 2070 - 1, 53 - 1)) &gt;= (OFFSET($A$1, 69 - 1, 7 - 1)), "1","0")</f>
        <v>1</v>
      </c>
      <c r="BD2070">
        <f ca="1" xml:space="preserve"> IF( AND( OFFSET($A$1, 2070 - 1, 54 - 1) = "1", OFFSET($A$1, 2070 - 1, 55 - 1) = "1" ), 1, IF( AND( OFFSET($A$1, 2070 - 1, 54 - 1) = "1", OFFSET($A$1, 2070 - 1, 55 - 1) = "0" ), 2, IF( AND( OFFSET($A$1, 2070 - 1, 54 - 1) = "0", OFFSET($A$1, 2070 - 1, 55 - 1) = "1" ), 3, 4 ) ) )</f>
        <v>1</v>
      </c>
    </row>
    <row r="2071" spans="53:56" x14ac:dyDescent="0.35">
      <c r="BA2071" s="3">
        <v>0.60303034432497249</v>
      </c>
      <c r="BB2071" s="3" t="str">
        <f>"0"</f>
        <v>0</v>
      </c>
      <c r="BC2071" t="str">
        <f ca="1">IF((OFFSET($A$1, 2071 - 1, 53 - 1)) &gt;= (OFFSET($A$1, 69 - 1, 7 - 1)), "1","0")</f>
        <v>1</v>
      </c>
      <c r="BD2071">
        <f ca="1" xml:space="preserve"> IF( AND( OFFSET($A$1, 2071 - 1, 54 - 1) = "1", OFFSET($A$1, 2071 - 1, 55 - 1) = "1" ), 1, IF( AND( OFFSET($A$1, 2071 - 1, 54 - 1) = "1", OFFSET($A$1, 2071 - 1, 55 - 1) = "0" ), 2, IF( AND( OFFSET($A$1, 2071 - 1, 54 - 1) = "0", OFFSET($A$1, 2071 - 1, 55 - 1) = "1" ), 3, 4 ) ) )</f>
        <v>3</v>
      </c>
    </row>
    <row r="2072" spans="53:56" x14ac:dyDescent="0.35">
      <c r="BA2072" s="3">
        <v>0.32679763803282247</v>
      </c>
      <c r="BB2072" s="3" t="str">
        <f>"0"</f>
        <v>0</v>
      </c>
      <c r="BC2072" t="str">
        <f ca="1">IF((OFFSET($A$1, 2072 - 1, 53 - 1)) &gt;= (OFFSET($A$1, 69 - 1, 7 - 1)), "1","0")</f>
        <v>0</v>
      </c>
      <c r="BD2072">
        <f ca="1" xml:space="preserve"> IF( AND( OFFSET($A$1, 2072 - 1, 54 - 1) = "1", OFFSET($A$1, 2072 - 1, 55 - 1) = "1" ), 1, IF( AND( OFFSET($A$1, 2072 - 1, 54 - 1) = "1", OFFSET($A$1, 2072 - 1, 55 - 1) = "0" ), 2, IF( AND( OFFSET($A$1, 2072 - 1, 54 - 1) = "0", OFFSET($A$1, 2072 - 1, 55 - 1) = "1" ), 3, 4 ) ) )</f>
        <v>4</v>
      </c>
    </row>
    <row r="2073" spans="53:56" x14ac:dyDescent="0.35">
      <c r="BA2073" s="3">
        <v>0.32623172814582613</v>
      </c>
      <c r="BB2073" s="3" t="str">
        <f>"0"</f>
        <v>0</v>
      </c>
      <c r="BC2073" t="str">
        <f ca="1">IF((OFFSET($A$1, 2073 - 1, 53 - 1)) &gt;= (OFFSET($A$1, 69 - 1, 7 - 1)), "1","0")</f>
        <v>0</v>
      </c>
      <c r="BD2073">
        <f ca="1" xml:space="preserve"> IF( AND( OFFSET($A$1, 2073 - 1, 54 - 1) = "1", OFFSET($A$1, 2073 - 1, 55 - 1) = "1" ), 1, IF( AND( OFFSET($A$1, 2073 - 1, 54 - 1) = "1", OFFSET($A$1, 2073 - 1, 55 - 1) = "0" ), 2, IF( AND( OFFSET($A$1, 2073 - 1, 54 - 1) = "0", OFFSET($A$1, 2073 - 1, 55 - 1) = "1" ), 3, 4 ) ) )</f>
        <v>4</v>
      </c>
    </row>
    <row r="2074" spans="53:56" x14ac:dyDescent="0.35">
      <c r="BA2074" s="3">
        <v>0.3256451725483267</v>
      </c>
      <c r="BB2074" s="3" t="str">
        <f>"0"</f>
        <v>0</v>
      </c>
      <c r="BC2074" t="str">
        <f ca="1">IF((OFFSET($A$1, 2074 - 1, 53 - 1)) &gt;= (OFFSET($A$1, 69 - 1, 7 - 1)), "1","0")</f>
        <v>0</v>
      </c>
      <c r="BD2074">
        <f ca="1" xml:space="preserve"> IF( AND( OFFSET($A$1, 2074 - 1, 54 - 1) = "1", OFFSET($A$1, 2074 - 1, 55 - 1) = "1" ), 1, IF( AND( OFFSET($A$1, 2074 - 1, 54 - 1) = "1", OFFSET($A$1, 2074 - 1, 55 - 1) = "0" ), 2, IF( AND( OFFSET($A$1, 2074 - 1, 54 - 1) = "0", OFFSET($A$1, 2074 - 1, 55 - 1) = "1" ), 3, 4 ) ) )</f>
        <v>4</v>
      </c>
    </row>
    <row r="2075" spans="53:56" x14ac:dyDescent="0.35">
      <c r="BA2075" s="3">
        <v>0.3250382048980569</v>
      </c>
      <c r="BB2075" s="3" t="str">
        <f>"0"</f>
        <v>0</v>
      </c>
      <c r="BC2075" t="str">
        <f ca="1">IF((OFFSET($A$1, 2075 - 1, 53 - 1)) &gt;= (OFFSET($A$1, 69 - 1, 7 - 1)), "1","0")</f>
        <v>0</v>
      </c>
      <c r="BD2075">
        <f ca="1" xml:space="preserve"> IF( AND( OFFSET($A$1, 2075 - 1, 54 - 1) = "1", OFFSET($A$1, 2075 - 1, 55 - 1) = "1" ), 1, IF( AND( OFFSET($A$1, 2075 - 1, 54 - 1) = "1", OFFSET($A$1, 2075 - 1, 55 - 1) = "0" ), 2, IF( AND( OFFSET($A$1, 2075 - 1, 54 - 1) = "0", OFFSET($A$1, 2075 - 1, 55 - 1) = "1" ), 3, 4 ) ) )</f>
        <v>4</v>
      </c>
    </row>
    <row r="2076" spans="53:56" x14ac:dyDescent="0.35">
      <c r="BA2076" s="3">
        <v>0.32441106677538101</v>
      </c>
      <c r="BB2076" s="3" t="str">
        <f>"0"</f>
        <v>0</v>
      </c>
      <c r="BC2076" t="str">
        <f ca="1">IF((OFFSET($A$1, 2076 - 1, 53 - 1)) &gt;= (OFFSET($A$1, 69 - 1, 7 - 1)), "1","0")</f>
        <v>0</v>
      </c>
      <c r="BD2076">
        <f ca="1" xml:space="preserve"> IF( AND( OFFSET($A$1, 2076 - 1, 54 - 1) = "1", OFFSET($A$1, 2076 - 1, 55 - 1) = "1" ), 1, IF( AND( OFFSET($A$1, 2076 - 1, 54 - 1) = "1", OFFSET($A$1, 2076 - 1, 55 - 1) = "0" ), 2, IF( AND( OFFSET($A$1, 2076 - 1, 54 - 1) = "0", OFFSET($A$1, 2076 - 1, 55 - 1) = "1" ), 3, 4 ) ) )</f>
        <v>4</v>
      </c>
    </row>
    <row r="2077" spans="53:56" x14ac:dyDescent="0.35">
      <c r="BA2077" s="3">
        <v>0.32376400755985502</v>
      </c>
      <c r="BB2077" s="3" t="str">
        <f>"0"</f>
        <v>0</v>
      </c>
      <c r="BC2077" t="str">
        <f ca="1">IF((OFFSET($A$1, 2077 - 1, 53 - 1)) &gt;= (OFFSET($A$1, 69 - 1, 7 - 1)), "1","0")</f>
        <v>0</v>
      </c>
      <c r="BD2077">
        <f ca="1" xml:space="preserve"> IF( AND( OFFSET($A$1, 2077 - 1, 54 - 1) = "1", OFFSET($A$1, 2077 - 1, 55 - 1) = "1" ), 1, IF( AND( OFFSET($A$1, 2077 - 1, 54 - 1) = "1", OFFSET($A$1, 2077 - 1, 55 - 1) = "0" ), 2, IF( AND( OFFSET($A$1, 2077 - 1, 54 - 1) = "0", OFFSET($A$1, 2077 - 1, 55 - 1) = "1" ), 3, 4 ) ) )</f>
        <v>4</v>
      </c>
    </row>
    <row r="2078" spans="53:56" x14ac:dyDescent="0.35">
      <c r="BA2078" s="3">
        <v>0.32309728430212931</v>
      </c>
      <c r="BB2078" s="3" t="str">
        <f>"0"</f>
        <v>0</v>
      </c>
      <c r="BC2078" t="str">
        <f ca="1">IF((OFFSET($A$1, 2078 - 1, 53 - 1)) &gt;= (OFFSET($A$1, 69 - 1, 7 - 1)), "1","0")</f>
        <v>0</v>
      </c>
      <c r="BD2078">
        <f ca="1" xml:space="preserve"> IF( AND( OFFSET($A$1, 2078 - 1, 54 - 1) = "1", OFFSET($A$1, 2078 - 1, 55 - 1) = "1" ), 1, IF( AND( OFFSET($A$1, 2078 - 1, 54 - 1) = "1", OFFSET($A$1, 2078 - 1, 55 - 1) = "0" ), 2, IF( AND( OFFSET($A$1, 2078 - 1, 54 - 1) = "0", OFFSET($A$1, 2078 - 1, 55 - 1) = "1" ), 3, 4 ) ) )</f>
        <v>4</v>
      </c>
    </row>
    <row r="2079" spans="53:56" x14ac:dyDescent="0.35">
      <c r="BA2079" s="3">
        <v>0.32241116159122885</v>
      </c>
      <c r="BB2079" s="3" t="str">
        <f>"1"</f>
        <v>1</v>
      </c>
      <c r="BC2079" t="str">
        <f ca="1">IF((OFFSET($A$1, 2079 - 1, 53 - 1)) &gt;= (OFFSET($A$1, 69 - 1, 7 - 1)), "1","0")</f>
        <v>0</v>
      </c>
      <c r="BD2079">
        <f ca="1" xml:space="preserve"> IF( AND( OFFSET($A$1, 2079 - 1, 54 - 1) = "1", OFFSET($A$1, 2079 - 1, 55 - 1) = "1" ), 1, IF( AND( OFFSET($A$1, 2079 - 1, 54 - 1) = "1", OFFSET($A$1, 2079 - 1, 55 - 1) = "0" ), 2, IF( AND( OFFSET($A$1, 2079 - 1, 54 - 1) = "0", OFFSET($A$1, 2079 - 1, 55 - 1) = "1" ), 3, 4 ) ) )</f>
        <v>2</v>
      </c>
    </row>
    <row r="2080" spans="53:56" x14ac:dyDescent="0.35">
      <c r="BA2080" s="3">
        <v>0.59685863000448536</v>
      </c>
      <c r="BB2080" s="3" t="str">
        <f>"1"</f>
        <v>1</v>
      </c>
      <c r="BC2080" t="str">
        <f ca="1">IF((OFFSET($A$1, 2080 - 1, 53 - 1)) &gt;= (OFFSET($A$1, 69 - 1, 7 - 1)), "1","0")</f>
        <v>1</v>
      </c>
      <c r="BD2080">
        <f ca="1" xml:space="preserve"> IF( AND( OFFSET($A$1, 2080 - 1, 54 - 1) = "1", OFFSET($A$1, 2080 - 1, 55 - 1) = "1" ), 1, IF( AND( OFFSET($A$1, 2080 - 1, 54 - 1) = "1", OFFSET($A$1, 2080 - 1, 55 - 1) = "0" ), 2, IF( AND( OFFSET($A$1, 2080 - 1, 54 - 1) = "0", OFFSET($A$1, 2080 - 1, 55 - 1) = "1" ), 3, 4 ) ) )</f>
        <v>1</v>
      </c>
    </row>
    <row r="2081" spans="53:56" x14ac:dyDescent="0.35">
      <c r="BA2081" s="3">
        <v>0.59605944731984795</v>
      </c>
      <c r="BB2081" s="3" t="str">
        <f>"1"</f>
        <v>1</v>
      </c>
      <c r="BC2081" t="str">
        <f ca="1">IF((OFFSET($A$1, 2081 - 1, 53 - 1)) &gt;= (OFFSET($A$1, 69 - 1, 7 - 1)), "1","0")</f>
        <v>1</v>
      </c>
      <c r="BD2081">
        <f ca="1" xml:space="preserve"> IF( AND( OFFSET($A$1, 2081 - 1, 54 - 1) = "1", OFFSET($A$1, 2081 - 1, 55 - 1) = "1" ), 1, IF( AND( OFFSET($A$1, 2081 - 1, 54 - 1) = "1", OFFSET($A$1, 2081 - 1, 55 - 1) = "0" ), 2, IF( AND( OFFSET($A$1, 2081 - 1, 54 - 1) = "0", OFFSET($A$1, 2081 - 1, 55 - 1) = "1" ), 3, 4 ) ) )</f>
        <v>1</v>
      </c>
    </row>
    <row r="2082" spans="53:56" x14ac:dyDescent="0.35">
      <c r="BA2082" s="3">
        <v>0.59523825924888163</v>
      </c>
      <c r="BB2082" s="3" t="str">
        <f>"1"</f>
        <v>1</v>
      </c>
      <c r="BC2082" t="str">
        <f ca="1">IF((OFFSET($A$1, 2082 - 1, 53 - 1)) &gt;= (OFFSET($A$1, 69 - 1, 7 - 1)), "1","0")</f>
        <v>1</v>
      </c>
      <c r="BD2082">
        <f ca="1" xml:space="preserve"> IF( AND( OFFSET($A$1, 2082 - 1, 54 - 1) = "1", OFFSET($A$1, 2082 - 1, 55 - 1) = "1" ), 1, IF( AND( OFFSET($A$1, 2082 - 1, 54 - 1) = "1", OFFSET($A$1, 2082 - 1, 55 - 1) = "0" ), 2, IF( AND( OFFSET($A$1, 2082 - 1, 54 - 1) = "0", OFFSET($A$1, 2082 - 1, 55 - 1) = "1" ), 3, 4 ) ) )</f>
        <v>1</v>
      </c>
    </row>
    <row r="2083" spans="53:56" x14ac:dyDescent="0.35">
      <c r="BA2083" s="3">
        <v>0.59439527124172287</v>
      </c>
      <c r="BB2083" s="3" t="str">
        <f>"1"</f>
        <v>1</v>
      </c>
      <c r="BC2083" t="str">
        <f ca="1">IF((OFFSET($A$1, 2083 - 1, 53 - 1)) &gt;= (OFFSET($A$1, 69 - 1, 7 - 1)), "1","0")</f>
        <v>1</v>
      </c>
      <c r="BD2083">
        <f ca="1" xml:space="preserve"> IF( AND( OFFSET($A$1, 2083 - 1, 54 - 1) = "1", OFFSET($A$1, 2083 - 1, 55 - 1) = "1" ), 1, IF( AND( OFFSET($A$1, 2083 - 1, 54 - 1) = "1", OFFSET($A$1, 2083 - 1, 55 - 1) = "0" ), 2, IF( AND( OFFSET($A$1, 2083 - 1, 54 - 1) = "0", OFFSET($A$1, 2083 - 1, 55 - 1) = "1" ), 3, 4 ) ) )</f>
        <v>1</v>
      </c>
    </row>
    <row r="2084" spans="53:56" x14ac:dyDescent="0.35">
      <c r="BA2084" s="3">
        <v>0.59353069530422675</v>
      </c>
      <c r="BB2084" s="3" t="str">
        <f>"1"</f>
        <v>1</v>
      </c>
      <c r="BC2084" t="str">
        <f ca="1">IF((OFFSET($A$1, 2084 - 1, 53 - 1)) &gt;= (OFFSET($A$1, 69 - 1, 7 - 1)), "1","0")</f>
        <v>1</v>
      </c>
      <c r="BD2084">
        <f ca="1" xml:space="preserve"> IF( AND( OFFSET($A$1, 2084 - 1, 54 - 1) = "1", OFFSET($A$1, 2084 - 1, 55 - 1) = "1" ), 1, IF( AND( OFFSET($A$1, 2084 - 1, 54 - 1) = "1", OFFSET($A$1, 2084 - 1, 55 - 1) = "0" ), 2, IF( AND( OFFSET($A$1, 2084 - 1, 54 - 1) = "0", OFFSET($A$1, 2084 - 1, 55 - 1) = "1" ), 3, 4 ) ) )</f>
        <v>1</v>
      </c>
    </row>
    <row r="2085" spans="53:56" x14ac:dyDescent="0.35">
      <c r="BA2085" s="3">
        <v>0.59264475001925421</v>
      </c>
      <c r="BB2085" s="3" t="str">
        <f>"1"</f>
        <v>1</v>
      </c>
      <c r="BC2085" t="str">
        <f ca="1">IF((OFFSET($A$1, 2085 - 1, 53 - 1)) &gt;= (OFFSET($A$1, 69 - 1, 7 - 1)), "1","0")</f>
        <v>1</v>
      </c>
      <c r="BD2085">
        <f ca="1" xml:space="preserve"> IF( AND( OFFSET($A$1, 2085 - 1, 54 - 1) = "1", OFFSET($A$1, 2085 - 1, 55 - 1) = "1" ), 1, IF( AND( OFFSET($A$1, 2085 - 1, 54 - 1) = "1", OFFSET($A$1, 2085 - 1, 55 - 1) = "0" ), 2, IF( AND( OFFSET($A$1, 2085 - 1, 54 - 1) = "0", OFFSET($A$1, 2085 - 1, 55 - 1) = "1" ), 3, 4 ) ) )</f>
        <v>1</v>
      </c>
    </row>
    <row r="2086" spans="53:56" x14ac:dyDescent="0.35">
      <c r="BA2086" s="3">
        <v>0.59173766056556187</v>
      </c>
      <c r="BB2086" s="3" t="str">
        <f>"1"</f>
        <v>1</v>
      </c>
      <c r="BC2086" t="str">
        <f ca="1">IF((OFFSET($A$1, 2086 - 1, 53 - 1)) &gt;= (OFFSET($A$1, 69 - 1, 7 - 1)), "1","0")</f>
        <v>1</v>
      </c>
      <c r="BD2086">
        <f ca="1" xml:space="preserve"> IF( AND( OFFSET($A$1, 2086 - 1, 54 - 1) = "1", OFFSET($A$1, 2086 - 1, 55 - 1) = "1" ), 1, IF( AND( OFFSET($A$1, 2086 - 1, 54 - 1) = "1", OFFSET($A$1, 2086 - 1, 55 - 1) = "0" ), 2, IF( AND( OFFSET($A$1, 2086 - 1, 54 - 1) = "0", OFFSET($A$1, 2086 - 1, 55 - 1) = "1" ), 3, 4 ) ) )</f>
        <v>1</v>
      </c>
    </row>
    <row r="2087" spans="53:56" x14ac:dyDescent="0.35">
      <c r="BA2087" s="3">
        <v>0.59080965873409119</v>
      </c>
      <c r="BB2087" s="3" t="str">
        <f>"0"</f>
        <v>0</v>
      </c>
      <c r="BC2087" t="str">
        <f ca="1">IF((OFFSET($A$1, 2087 - 1, 53 - 1)) &gt;= (OFFSET($A$1, 69 - 1, 7 - 1)), "1","0")</f>
        <v>1</v>
      </c>
      <c r="BD2087">
        <f ca="1" xml:space="preserve"> IF( AND( OFFSET($A$1, 2087 - 1, 54 - 1) = "1", OFFSET($A$1, 2087 - 1, 55 - 1) = "1" ), 1, IF( AND( OFFSET($A$1, 2087 - 1, 54 - 1) = "1", OFFSET($A$1, 2087 - 1, 55 - 1) = "0" ), 2, IF( AND( OFFSET($A$1, 2087 - 1, 54 - 1) = "0", OFFSET($A$1, 2087 - 1, 55 - 1) = "1" ), 3, 4 ) ) )</f>
        <v>3</v>
      </c>
    </row>
    <row r="2088" spans="53:56" x14ac:dyDescent="0.35">
      <c r="BA2088" s="3">
        <v>0.31541028598359044</v>
      </c>
      <c r="BB2088" s="3" t="str">
        <f>"1"</f>
        <v>1</v>
      </c>
      <c r="BC2088" t="str">
        <f ca="1">IF((OFFSET($A$1, 2088 - 1, 53 - 1)) &gt;= (OFFSET($A$1, 69 - 1, 7 - 1)), "1","0")</f>
        <v>0</v>
      </c>
      <c r="BD2088">
        <f ca="1" xml:space="preserve"> IF( AND( OFFSET($A$1, 2088 - 1, 54 - 1) = "1", OFFSET($A$1, 2088 - 1, 55 - 1) = "1" ), 1, IF( AND( OFFSET($A$1, 2088 - 1, 54 - 1) = "1", OFFSET($A$1, 2088 - 1, 55 - 1) = "0" ), 2, IF( AND( OFFSET($A$1, 2088 - 1, 54 - 1) = "0", OFFSET($A$1, 2088 - 1, 55 - 1) = "1" ), 3, 4 ) ) )</f>
        <v>2</v>
      </c>
    </row>
    <row r="2089" spans="53:56" x14ac:dyDescent="0.35">
      <c r="BA2089" s="3">
        <v>0.58889187824040257</v>
      </c>
      <c r="BB2089" s="3" t="str">
        <f>"1"</f>
        <v>1</v>
      </c>
      <c r="BC2089" t="str">
        <f ca="1">IF((OFFSET($A$1, 2089 - 1, 53 - 1)) &gt;= (OFFSET($A$1, 69 - 1, 7 - 1)), "1","0")</f>
        <v>1</v>
      </c>
      <c r="BD2089">
        <f ca="1" xml:space="preserve"> IF( AND( OFFSET($A$1, 2089 - 1, 54 - 1) = "1", OFFSET($A$1, 2089 - 1, 55 - 1) = "1" ), 1, IF( AND( OFFSET($A$1, 2089 - 1, 54 - 1) = "1", OFFSET($A$1, 2089 - 1, 55 - 1) = "0" ), 2, IF( AND( OFFSET($A$1, 2089 - 1, 54 - 1) = "0", OFFSET($A$1, 2089 - 1, 55 - 1) = "1" ), 3, 4 ) ) )</f>
        <v>1</v>
      </c>
    </row>
    <row r="2090" spans="53:56" x14ac:dyDescent="0.35">
      <c r="BA2090" s="3">
        <v>0.58790259632710906</v>
      </c>
      <c r="BB2090" s="3" t="str">
        <f>"1"</f>
        <v>1</v>
      </c>
      <c r="BC2090" t="str">
        <f ca="1">IF((OFFSET($A$1, 2090 - 1, 53 - 1)) &gt;= (OFFSET($A$1, 69 - 1, 7 - 1)), "1","0")</f>
        <v>1</v>
      </c>
      <c r="BD2090">
        <f ca="1" xml:space="preserve"> IF( AND( OFFSET($A$1, 2090 - 1, 54 - 1) = "1", OFFSET($A$1, 2090 - 1, 55 - 1) = "1" ), 1, IF( AND( OFFSET($A$1, 2090 - 1, 54 - 1) = "1", OFFSET($A$1, 2090 - 1, 55 - 1) = "0" ), 2, IF( AND( OFFSET($A$1, 2090 - 1, 54 - 1) = "0", OFFSET($A$1, 2090 - 1, 55 - 1) = "1" ), 3, 4 ) ) )</f>
        <v>1</v>
      </c>
    </row>
    <row r="2091" spans="53:56" x14ac:dyDescent="0.35">
      <c r="BA2091" s="3">
        <v>0.58689339554501552</v>
      </c>
      <c r="BB2091" s="3" t="str">
        <f>"0"</f>
        <v>0</v>
      </c>
      <c r="BC2091" t="str">
        <f ca="1">IF((OFFSET($A$1, 2091 - 1, 53 - 1)) &gt;= (OFFSET($A$1, 69 - 1, 7 - 1)), "1","0")</f>
        <v>1</v>
      </c>
      <c r="BD2091">
        <f ca="1" xml:space="preserve"> IF( AND( OFFSET($A$1, 2091 - 1, 54 - 1) = "1", OFFSET($A$1, 2091 - 1, 55 - 1) = "1" ), 1, IF( AND( OFFSET($A$1, 2091 - 1, 54 - 1) = "1", OFFSET($A$1, 2091 - 1, 55 - 1) = "0" ), 2, IF( AND( OFFSET($A$1, 2091 - 1, 54 - 1) = "0", OFFSET($A$1, 2091 - 1, 55 - 1) = "1" ), 3, 4 ) ) )</f>
        <v>3</v>
      </c>
    </row>
    <row r="2092" spans="53:56" x14ac:dyDescent="0.35">
      <c r="BA2092" s="3">
        <v>0.31185941857829197</v>
      </c>
      <c r="BB2092" s="3" t="str">
        <f>"0"</f>
        <v>0</v>
      </c>
      <c r="BC2092" t="str">
        <f ca="1">IF((OFFSET($A$1, 2092 - 1, 53 - 1)) &gt;= (OFFSET($A$1, 69 - 1, 7 - 1)), "1","0")</f>
        <v>0</v>
      </c>
      <c r="BD2092">
        <f ca="1" xml:space="preserve"> IF( AND( OFFSET($A$1, 2092 - 1, 54 - 1) = "1", OFFSET($A$1, 2092 - 1, 55 - 1) = "1" ), 1, IF( AND( OFFSET($A$1, 2092 - 1, 54 - 1) = "1", OFFSET($A$1, 2092 - 1, 55 - 1) = "0" ), 2, IF( AND( OFFSET($A$1, 2092 - 1, 54 - 1) = "0", OFFSET($A$1, 2092 - 1, 55 - 1) = "1" ), 3, 4 ) ) )</f>
        <v>4</v>
      </c>
    </row>
    <row r="2093" spans="53:56" x14ac:dyDescent="0.35">
      <c r="BA2093" s="3">
        <v>0.31093335237456082</v>
      </c>
      <c r="BB2093" s="3" t="str">
        <f>"1"</f>
        <v>1</v>
      </c>
      <c r="BC2093" t="str">
        <f ca="1">IF((OFFSET($A$1, 2093 - 1, 53 - 1)) &gt;= (OFFSET($A$1, 69 - 1, 7 - 1)), "1","0")</f>
        <v>0</v>
      </c>
      <c r="BD2093">
        <f ca="1" xml:space="preserve"> IF( AND( OFFSET($A$1, 2093 - 1, 54 - 1) = "1", OFFSET($A$1, 2093 - 1, 55 - 1) = "1" ), 1, IF( AND( OFFSET($A$1, 2093 - 1, 54 - 1) = "1", OFFSET($A$1, 2093 - 1, 55 - 1) = "0" ), 2, IF( AND( OFFSET($A$1, 2093 - 1, 54 - 1) = "0", OFFSET($A$1, 2093 - 1, 55 - 1) = "1" ), 3, 4 ) ) )</f>
        <v>2</v>
      </c>
    </row>
    <row r="2094" spans="53:56" x14ac:dyDescent="0.35">
      <c r="BA2094" s="3">
        <v>0.58374896310822522</v>
      </c>
      <c r="BB2094" s="3" t="str">
        <f>"1"</f>
        <v>1</v>
      </c>
      <c r="BC2094" t="str">
        <f ca="1">IF((OFFSET($A$1, 2094 - 1, 53 - 1)) &gt;= (OFFSET($A$1, 69 - 1, 7 - 1)), "1","0")</f>
        <v>1</v>
      </c>
      <c r="BD2094">
        <f ca="1" xml:space="preserve"> IF( AND( OFFSET($A$1, 2094 - 1, 54 - 1) = "1", OFFSET($A$1, 2094 - 1, 55 - 1) = "1" ), 1, IF( AND( OFFSET($A$1, 2094 - 1, 54 - 1) = "1", OFFSET($A$1, 2094 - 1, 55 - 1) = "0" ), 2, IF( AND( OFFSET($A$1, 2094 - 1, 54 - 1) = "0", OFFSET($A$1, 2094 - 1, 55 - 1) = "1" ), 3, 4 ) ) )</f>
        <v>1</v>
      </c>
    </row>
    <row r="2095" spans="53:56" x14ac:dyDescent="0.35">
      <c r="BA2095" s="3">
        <v>0.58266280315905405</v>
      </c>
      <c r="BB2095" s="3" t="str">
        <f>"0"</f>
        <v>0</v>
      </c>
      <c r="BC2095" t="str">
        <f ca="1">IF((OFFSET($A$1, 2095 - 1, 53 - 1)) &gt;= (OFFSET($A$1, 69 - 1, 7 - 1)), "1","0")</f>
        <v>1</v>
      </c>
      <c r="BD2095">
        <f ca="1" xml:space="preserve"> IF( AND( OFFSET($A$1, 2095 - 1, 54 - 1) = "1", OFFSET($A$1, 2095 - 1, 55 - 1) = "1" ), 1, IF( AND( OFFSET($A$1, 2095 - 1, 54 - 1) = "1", OFFSET($A$1, 2095 - 1, 55 - 1) = "0" ), 2, IF( AND( OFFSET($A$1, 2095 - 1, 54 - 1) = "0", OFFSET($A$1, 2095 - 1, 55 - 1) = "1" ), 3, 4 ) ) )</f>
        <v>3</v>
      </c>
    </row>
    <row r="2096" spans="53:56" x14ac:dyDescent="0.35">
      <c r="BA2096" s="3">
        <v>0.30806883297994475</v>
      </c>
      <c r="BB2096" s="3" t="str">
        <f>"1"</f>
        <v>1</v>
      </c>
      <c r="BC2096" t="str">
        <f ca="1">IF((OFFSET($A$1, 2096 - 1, 53 - 1)) &gt;= (OFFSET($A$1, 69 - 1, 7 - 1)), "1","0")</f>
        <v>0</v>
      </c>
      <c r="BD2096">
        <f ca="1" xml:space="preserve"> IF( AND( OFFSET($A$1, 2096 - 1, 54 - 1) = "1", OFFSET($A$1, 2096 - 1, 55 - 1) = "1" ), 1, IF( AND( OFFSET($A$1, 2096 - 1, 54 - 1) = "1", OFFSET($A$1, 2096 - 1, 55 - 1) = "0" ), 2, IF( AND( OFFSET($A$1, 2096 - 1, 54 - 1) = "0", OFFSET($A$1, 2096 - 1, 55 - 1) = "1" ), 3, 4 ) ) )</f>
        <v>2</v>
      </c>
    </row>
    <row r="2097" spans="53:56" x14ac:dyDescent="0.35">
      <c r="BA2097" s="3">
        <v>0.5804351986444416</v>
      </c>
      <c r="BB2097" s="3" t="str">
        <f>"1"</f>
        <v>1</v>
      </c>
      <c r="BC2097" t="str">
        <f ca="1">IF((OFFSET($A$1, 2097 - 1, 53 - 1)) &gt;= (OFFSET($A$1, 69 - 1, 7 - 1)), "1","0")</f>
        <v>1</v>
      </c>
      <c r="BD2097">
        <f ca="1" xml:space="preserve"> IF( AND( OFFSET($A$1, 2097 - 1, 54 - 1) = "1", OFFSET($A$1, 2097 - 1, 55 - 1) = "1" ), 1, IF( AND( OFFSET($A$1, 2097 - 1, 54 - 1) = "1", OFFSET($A$1, 2097 - 1, 55 - 1) = "0" ), 2, IF( AND( OFFSET($A$1, 2097 - 1, 54 - 1) = "0", OFFSET($A$1, 2097 - 1, 55 - 1) = "1" ), 3, 4 ) ) )</f>
        <v>1</v>
      </c>
    </row>
    <row r="2098" spans="53:56" x14ac:dyDescent="0.35">
      <c r="BA2098" s="3">
        <v>0.57929435682909858</v>
      </c>
      <c r="BB2098" s="3" t="str">
        <f>"0"</f>
        <v>0</v>
      </c>
      <c r="BC2098" t="str">
        <f ca="1">IF((OFFSET($A$1, 2098 - 1, 53 - 1)) &gt;= (OFFSET($A$1, 69 - 1, 7 - 1)), "1","0")</f>
        <v>1</v>
      </c>
      <c r="BD2098">
        <f ca="1" xml:space="preserve"> IF( AND( OFFSET($A$1, 2098 - 1, 54 - 1) = "1", OFFSET($A$1, 2098 - 1, 55 - 1) = "1" ), 1, IF( AND( OFFSET($A$1, 2098 - 1, 54 - 1) = "1", OFFSET($A$1, 2098 - 1, 55 - 1) = "0" ), 2, IF( AND( OFFSET($A$1, 2098 - 1, 54 - 1) = "0", OFFSET($A$1, 2098 - 1, 55 - 1) = "1" ), 3, 4 ) ) )</f>
        <v>3</v>
      </c>
    </row>
    <row r="2099" spans="53:56" x14ac:dyDescent="0.35">
      <c r="BA2099" s="3">
        <v>0.30508260849595276</v>
      </c>
      <c r="BB2099" s="3" t="str">
        <f>"1"</f>
        <v>1</v>
      </c>
      <c r="BC2099" t="str">
        <f ca="1">IF((OFFSET($A$1, 2099 - 1, 53 - 1)) &gt;= (OFFSET($A$1, 69 - 1, 7 - 1)), "1","0")</f>
        <v>0</v>
      </c>
      <c r="BD2099">
        <f ca="1" xml:space="preserve"> IF( AND( OFFSET($A$1, 2099 - 1, 54 - 1) = "1", OFFSET($A$1, 2099 - 1, 55 - 1) = "1" ), 1, IF( AND( OFFSET($A$1, 2099 - 1, 54 - 1) = "1", OFFSET($A$1, 2099 - 1, 55 - 1) = "0" ), 2, IF( AND( OFFSET($A$1, 2099 - 1, 54 - 1) = "0", OFFSET($A$1, 2099 - 1, 55 - 1) = "1" ), 3, 4 ) ) )</f>
        <v>2</v>
      </c>
    </row>
    <row r="2100" spans="53:56" x14ac:dyDescent="0.35">
      <c r="BA2100" s="3">
        <v>0.57696014999639811</v>
      </c>
      <c r="BB2100" s="3" t="str">
        <f>"0"</f>
        <v>0</v>
      </c>
      <c r="BC2100" t="str">
        <f ca="1">IF((OFFSET($A$1, 2100 - 1, 53 - 1)) &gt;= (OFFSET($A$1, 69 - 1, 7 - 1)), "1","0")</f>
        <v>1</v>
      </c>
      <c r="BD2100">
        <f ca="1" xml:space="preserve"> IF( AND( OFFSET($A$1, 2100 - 1, 54 - 1) = "1", OFFSET($A$1, 2100 - 1, 55 - 1) = "1" ), 1, IF( AND( OFFSET($A$1, 2100 - 1, 54 - 1) = "1", OFFSET($A$1, 2100 - 1, 55 - 1) = "0" ), 2, IF( AND( OFFSET($A$1, 2100 - 1, 54 - 1) = "0", OFFSET($A$1, 2100 - 1, 55 - 1) = "1" ), 3, 4 ) ) )</f>
        <v>3</v>
      </c>
    </row>
    <row r="2101" spans="53:56" x14ac:dyDescent="0.35">
      <c r="BA2101" s="3">
        <v>0.30302924051800328</v>
      </c>
      <c r="BB2101" s="3" t="str">
        <f>"0"</f>
        <v>0</v>
      </c>
      <c r="BC2101" t="str">
        <f ca="1">IF((OFFSET($A$1, 2101 - 1, 53 - 1)) &gt;= (OFFSET($A$1, 69 - 1, 7 - 1)), "1","0")</f>
        <v>0</v>
      </c>
      <c r="BD2101">
        <f ca="1" xml:space="preserve"> IF( AND( OFFSET($A$1, 2101 - 1, 54 - 1) = "1", OFFSET($A$1, 2101 - 1, 55 - 1) = "1" ), 1, IF( AND( OFFSET($A$1, 2101 - 1, 54 - 1) = "1", OFFSET($A$1, 2101 - 1, 55 - 1) = "0" ), 2, IF( AND( OFFSET($A$1, 2101 - 1, 54 - 1) = "0", OFFSET($A$1, 2101 - 1, 55 - 1) = "1" ), 3, 4 ) ) )</f>
        <v>4</v>
      </c>
    </row>
    <row r="2102" spans="53:56" x14ac:dyDescent="0.35">
      <c r="BA2102" s="3">
        <v>0.30198495532927705</v>
      </c>
      <c r="BB2102" s="3" t="str">
        <f>"0"</f>
        <v>0</v>
      </c>
      <c r="BC2102" t="str">
        <f ca="1">IF((OFFSET($A$1, 2102 - 1, 53 - 1)) &gt;= (OFFSET($A$1, 69 - 1, 7 - 1)), "1","0")</f>
        <v>0</v>
      </c>
      <c r="BD2102">
        <f ca="1" xml:space="preserve"> IF( AND( OFFSET($A$1, 2102 - 1, 54 - 1) = "1", OFFSET($A$1, 2102 - 1, 55 - 1) = "1" ), 1, IF( AND( OFFSET($A$1, 2102 - 1, 54 - 1) = "1", OFFSET($A$1, 2102 - 1, 55 - 1) = "0" ), 2, IF( AND( OFFSET($A$1, 2102 - 1, 54 - 1) = "0", OFFSET($A$1, 2102 - 1, 55 - 1) = "1" ), 3, 4 ) ) )</f>
        <v>4</v>
      </c>
    </row>
    <row r="2103" spans="53:56" x14ac:dyDescent="0.35">
      <c r="BA2103" s="3">
        <v>0.30092946120325625</v>
      </c>
      <c r="BB2103" s="3" t="str">
        <f>"0"</f>
        <v>0</v>
      </c>
      <c r="BC2103" t="str">
        <f ca="1">IF((OFFSET($A$1, 2103 - 1, 53 - 1)) &gt;= (OFFSET($A$1, 69 - 1, 7 - 1)), "1","0")</f>
        <v>0</v>
      </c>
      <c r="BD2103">
        <f ca="1" xml:space="preserve"> IF( AND( OFFSET($A$1, 2103 - 1, 54 - 1) = "1", OFFSET($A$1, 2103 - 1, 55 - 1) = "1" ), 1, IF( AND( OFFSET($A$1, 2103 - 1, 54 - 1) = "1", OFFSET($A$1, 2103 - 1, 55 - 1) = "0" ), 2, IF( AND( OFFSET($A$1, 2103 - 1, 54 - 1) = "0", OFFSET($A$1, 2103 - 1, 55 - 1) = "1" ), 3, 4 ) ) )</f>
        <v>4</v>
      </c>
    </row>
    <row r="2104" spans="53:56" x14ac:dyDescent="0.35">
      <c r="BA2104" s="3">
        <v>0.29986315573829964</v>
      </c>
      <c r="BB2104" s="3" t="str">
        <f>"0"</f>
        <v>0</v>
      </c>
      <c r="BC2104" t="str">
        <f ca="1">IF((OFFSET($A$1, 2104 - 1, 53 - 1)) &gt;= (OFFSET($A$1, 69 - 1, 7 - 1)), "1","0")</f>
        <v>0</v>
      </c>
      <c r="BD2104">
        <f ca="1" xml:space="preserve"> IF( AND( OFFSET($A$1, 2104 - 1, 54 - 1) = "1", OFFSET($A$1, 2104 - 1, 55 - 1) = "1" ), 1, IF( AND( OFFSET($A$1, 2104 - 1, 54 - 1) = "1", OFFSET($A$1, 2104 - 1, 55 - 1) = "0" ), 2, IF( AND( OFFSET($A$1, 2104 - 1, 54 - 1) = "0", OFFSET($A$1, 2104 - 1, 55 - 1) = "1" ), 3, 4 ) ) )</f>
        <v>4</v>
      </c>
    </row>
    <row r="2105" spans="53:56" x14ac:dyDescent="0.35">
      <c r="BA2105" s="3">
        <v>0.29878643922694953</v>
      </c>
      <c r="BB2105" s="3" t="str">
        <f>"0"</f>
        <v>0</v>
      </c>
      <c r="BC2105" t="str">
        <f ca="1">IF((OFFSET($A$1, 2105 - 1, 53 - 1)) &gt;= (OFFSET($A$1, 69 - 1, 7 - 1)), "1","0")</f>
        <v>0</v>
      </c>
      <c r="BD2105">
        <f ca="1" xml:space="preserve"> IF( AND( OFFSET($A$1, 2105 - 1, 54 - 1) = "1", OFFSET($A$1, 2105 - 1, 55 - 1) = "1" ), 1, IF( AND( OFFSET($A$1, 2105 - 1, 54 - 1) = "1", OFFSET($A$1, 2105 - 1, 55 - 1) = "0" ), 2, IF( AND( OFFSET($A$1, 2105 - 1, 54 - 1) = "0", OFFSET($A$1, 2105 - 1, 55 - 1) = "1" ), 3, 4 ) ) )</f>
        <v>4</v>
      </c>
    </row>
    <row r="2106" spans="53:56" x14ac:dyDescent="0.35">
      <c r="BA2106" s="3">
        <v>0.29769971443185234</v>
      </c>
      <c r="BB2106" s="3" t="str">
        <f>"1"</f>
        <v>1</v>
      </c>
      <c r="BC2106" t="str">
        <f ca="1">IF((OFFSET($A$1, 2106 - 1, 53 - 1)) &gt;= (OFFSET($A$1, 69 - 1, 7 - 1)), "1","0")</f>
        <v>0</v>
      </c>
      <c r="BD2106">
        <f ca="1" xml:space="preserve"> IF( AND( OFFSET($A$1, 2106 - 1, 54 - 1) = "1", OFFSET($A$1, 2106 - 1, 55 - 1) = "1" ), 1, IF( AND( OFFSET($A$1, 2106 - 1, 54 - 1) = "1", OFFSET($A$1, 2106 - 1, 55 - 1) = "0" ), 2, IF( AND( OFFSET($A$1, 2106 - 1, 54 - 1) = "0", OFFSET($A$1, 2106 - 1, 55 - 1) = "1" ), 3, 4 ) ) )</f>
        <v>2</v>
      </c>
    </row>
    <row r="2107" spans="53:56" x14ac:dyDescent="0.35">
      <c r="BA2107" s="3">
        <v>0.56827363336260661</v>
      </c>
      <c r="BB2107" s="3" t="str">
        <f>"0"</f>
        <v>0</v>
      </c>
      <c r="BC2107" t="str">
        <f ca="1">IF((OFFSET($A$1, 2107 - 1, 53 - 1)) &gt;= (OFFSET($A$1, 69 - 1, 7 - 1)), "1","0")</f>
        <v>1</v>
      </c>
      <c r="BD2107">
        <f ca="1" xml:space="preserve"> IF( AND( OFFSET($A$1, 2107 - 1, 54 - 1) = "1", OFFSET($A$1, 2107 - 1, 55 - 1) = "1" ), 1, IF( AND( OFFSET($A$1, 2107 - 1, 54 - 1) = "1", OFFSET($A$1, 2107 - 1, 55 - 1) = "0" ), 2, IF( AND( OFFSET($A$1, 2107 - 1, 54 - 1) = "0", OFFSET($A$1, 2107 - 1, 55 - 1) = "1" ), 3, 4 ) ) )</f>
        <v>3</v>
      </c>
    </row>
    <row r="2108" spans="53:56" x14ac:dyDescent="0.35">
      <c r="BA2108" s="3">
        <v>0.29549786203952044</v>
      </c>
      <c r="BB2108" s="3" t="str">
        <f>"1"</f>
        <v>1</v>
      </c>
      <c r="BC2108" t="str">
        <f ca="1">IF((OFFSET($A$1, 2108 - 1, 53 - 1)) &gt;= (OFFSET($A$1, 69 - 1, 7 - 1)), "1","0")</f>
        <v>0</v>
      </c>
      <c r="BD2108">
        <f ca="1" xml:space="preserve"> IF( AND( OFFSET($A$1, 2108 - 1, 54 - 1) = "1", OFFSET($A$1, 2108 - 1, 55 - 1) = "1" ), 1, IF( AND( OFFSET($A$1, 2108 - 1, 54 - 1) = "1", OFFSET($A$1, 2108 - 1, 55 - 1) = "0" ), 2, IF( AND( OFFSET($A$1, 2108 - 1, 54 - 1) = "0", OFFSET($A$1, 2108 - 1, 55 - 1) = "1" ), 3, 4 ) ) )</f>
        <v>2</v>
      </c>
    </row>
    <row r="2109" spans="53:56" x14ac:dyDescent="0.35">
      <c r="BA2109" s="3">
        <v>0.56565564452228823</v>
      </c>
      <c r="BB2109" s="3" t="str">
        <f>"1"</f>
        <v>1</v>
      </c>
      <c r="BC2109" t="str">
        <f ca="1">IF((OFFSET($A$1, 2109 - 1, 53 - 1)) &gt;= (OFFSET($A$1, 69 - 1, 7 - 1)), "1","0")</f>
        <v>1</v>
      </c>
      <c r="BD2109">
        <f ca="1" xml:space="preserve"> IF( AND( OFFSET($A$1, 2109 - 1, 54 - 1) = "1", OFFSET($A$1, 2109 - 1, 55 - 1) = "1" ), 1, IF( AND( OFFSET($A$1, 2109 - 1, 54 - 1) = "1", OFFSET($A$1, 2109 - 1, 55 - 1) = "0" ), 2, IF( AND( OFFSET($A$1, 2109 - 1, 54 - 1) = "0", OFFSET($A$1, 2109 - 1, 55 - 1) = "1" ), 3, 4 ) ) )</f>
        <v>1</v>
      </c>
    </row>
    <row r="2110" spans="53:56" x14ac:dyDescent="0.35">
      <c r="BA2110" s="3">
        <v>0.56432580059095916</v>
      </c>
      <c r="BB2110" s="3" t="str">
        <f>"0"</f>
        <v>0</v>
      </c>
      <c r="BC2110" t="str">
        <f ca="1">IF((OFFSET($A$1, 2110 - 1, 53 - 1)) &gt;= (OFFSET($A$1, 69 - 1, 7 - 1)), "1","0")</f>
        <v>1</v>
      </c>
      <c r="BD2110">
        <f ca="1" xml:space="preserve"> IF( AND( OFFSET($A$1, 2110 - 1, 54 - 1) = "1", OFFSET($A$1, 2110 - 1, 55 - 1) = "1" ), 1, IF( AND( OFFSET($A$1, 2110 - 1, 54 - 1) = "1", OFFSET($A$1, 2110 - 1, 55 - 1) = "0" ), 2, IF( AND( OFFSET($A$1, 2110 - 1, 54 - 1) = "0", OFFSET($A$1, 2110 - 1, 55 - 1) = "1" ), 3, 4 ) ) )</f>
        <v>3</v>
      </c>
    </row>
    <row r="2111" spans="53:56" x14ac:dyDescent="0.35">
      <c r="BA2111" s="3">
        <v>0.29213020736053691</v>
      </c>
      <c r="BB2111" s="3" t="str">
        <f>"1"</f>
        <v>1</v>
      </c>
      <c r="BC2111" t="str">
        <f ca="1">IF((OFFSET($A$1, 2111 - 1, 53 - 1)) &gt;= (OFFSET($A$1, 69 - 1, 7 - 1)), "1","0")</f>
        <v>0</v>
      </c>
      <c r="BD2111">
        <f ca="1" xml:space="preserve"> IF( AND( OFFSET($A$1, 2111 - 1, 54 - 1) = "1", OFFSET($A$1, 2111 - 1, 55 - 1) = "1" ), 1, IF( AND( OFFSET($A$1, 2111 - 1, 54 - 1) = "1", OFFSET($A$1, 2111 - 1, 55 - 1) = "0" ), 2, IF( AND( OFFSET($A$1, 2111 - 1, 54 - 1) = "0", OFFSET($A$1, 2111 - 1, 55 - 1) = "1" ), 3, 4 ) ) )</f>
        <v>2</v>
      </c>
    </row>
    <row r="2112" spans="53:56" x14ac:dyDescent="0.35">
      <c r="BA2112" s="3">
        <v>0.56162634020772106</v>
      </c>
      <c r="BB2112" s="3" t="str">
        <f>"1"</f>
        <v>1</v>
      </c>
      <c r="BC2112" t="str">
        <f ca="1">IF((OFFSET($A$1, 2112 - 1, 53 - 1)) &gt;= (OFFSET($A$1, 69 - 1, 7 - 1)), "1","0")</f>
        <v>1</v>
      </c>
      <c r="BD2112">
        <f ca="1" xml:space="preserve"> IF( AND( OFFSET($A$1, 2112 - 1, 54 - 1) = "1", OFFSET($A$1, 2112 - 1, 55 - 1) = "1" ), 1, IF( AND( OFFSET($A$1, 2112 - 1, 54 - 1) = "1", OFFSET($A$1, 2112 - 1, 55 - 1) = "0" ), 2, IF( AND( OFFSET($A$1, 2112 - 1, 54 - 1) = "0", OFFSET($A$1, 2112 - 1, 55 - 1) = "1" ), 3, 4 ) ) )</f>
        <v>1</v>
      </c>
    </row>
    <row r="2113" spans="53:56" x14ac:dyDescent="0.35">
      <c r="BA2113" s="3">
        <v>0.56025751124081957</v>
      </c>
      <c r="BB2113" s="3" t="str">
        <f>"0"</f>
        <v>0</v>
      </c>
      <c r="BC2113" t="str">
        <f ca="1">IF((OFFSET($A$1, 2113 - 1, 53 - 1)) &gt;= (OFFSET($A$1, 69 - 1, 7 - 1)), "1","0")</f>
        <v>1</v>
      </c>
      <c r="BD2113">
        <f ca="1" xml:space="preserve"> IF( AND( OFFSET($A$1, 2113 - 1, 54 - 1) = "1", OFFSET($A$1, 2113 - 1, 55 - 1) = "1" ), 1, IF( AND( OFFSET($A$1, 2113 - 1, 54 - 1) = "1", OFFSET($A$1, 2113 - 1, 55 - 1) = "0" ), 2, IF( AND( OFFSET($A$1, 2113 - 1, 54 - 1) = "0", OFFSET($A$1, 2113 - 1, 55 - 1) = "1" ), 3, 4 ) ) )</f>
        <v>3</v>
      </c>
    </row>
    <row r="2114" spans="53:56" x14ac:dyDescent="0.35">
      <c r="BA2114" s="3">
        <v>0.28869458552827254</v>
      </c>
      <c r="BB2114" s="3" t="str">
        <f>"0"</f>
        <v>0</v>
      </c>
      <c r="BC2114" t="str">
        <f ca="1">IF((OFFSET($A$1, 2114 - 1, 53 - 1)) &gt;= (OFFSET($A$1, 69 - 1, 7 - 1)), "1","0")</f>
        <v>0</v>
      </c>
      <c r="BD2114">
        <f ca="1" xml:space="preserve"> IF( AND( OFFSET($A$1, 2114 - 1, 54 - 1) = "1", OFFSET($A$1, 2114 - 1, 55 - 1) = "1" ), 1, IF( AND( OFFSET($A$1, 2114 - 1, 54 - 1) = "1", OFFSET($A$1, 2114 - 1, 55 - 1) = "0" ), 2, IF( AND( OFFSET($A$1, 2114 - 1, 54 - 1) = "0", OFFSET($A$1, 2114 - 1, 55 - 1) = "1" ), 3, 4 ) ) )</f>
        <v>4</v>
      </c>
    </row>
    <row r="2115" spans="53:56" x14ac:dyDescent="0.35">
      <c r="BA2115" s="3">
        <v>0.28753620611528724</v>
      </c>
      <c r="BB2115" s="3" t="str">
        <f>"0"</f>
        <v>0</v>
      </c>
      <c r="BC2115" t="str">
        <f ca="1">IF((OFFSET($A$1, 2115 - 1, 53 - 1)) &gt;= (OFFSET($A$1, 69 - 1, 7 - 1)), "1","0")</f>
        <v>0</v>
      </c>
      <c r="BD2115">
        <f ca="1" xml:space="preserve"> IF( AND( OFFSET($A$1, 2115 - 1, 54 - 1) = "1", OFFSET($A$1, 2115 - 1, 55 - 1) = "1" ), 1, IF( AND( OFFSET($A$1, 2115 - 1, 54 - 1) = "1", OFFSET($A$1, 2115 - 1, 55 - 1) = "0" ), 2, IF( AND( OFFSET($A$1, 2115 - 1, 54 - 1) = "0", OFFSET($A$1, 2115 - 1, 55 - 1) = "1" ), 3, 4 ) ) )</f>
        <v>4</v>
      </c>
    </row>
    <row r="2116" spans="53:56" x14ac:dyDescent="0.35">
      <c r="BA2116" s="3">
        <v>0.28637193210941153</v>
      </c>
      <c r="BB2116" s="3" t="str">
        <f>"0"</f>
        <v>0</v>
      </c>
      <c r="BC2116" t="str">
        <f ca="1">IF((OFFSET($A$1, 2116 - 1, 53 - 1)) &gt;= (OFFSET($A$1, 69 - 1, 7 - 1)), "1","0")</f>
        <v>0</v>
      </c>
      <c r="BD2116">
        <f ca="1" xml:space="preserve"> IF( AND( OFFSET($A$1, 2116 - 1, 54 - 1) = "1", OFFSET($A$1, 2116 - 1, 55 - 1) = "1" ), 1, IF( AND( OFFSET($A$1, 2116 - 1, 54 - 1) = "1", OFFSET($A$1, 2116 - 1, 55 - 1) = "0" ), 2, IF( AND( OFFSET($A$1, 2116 - 1, 54 - 1) = "0", OFFSET($A$1, 2116 - 1, 55 - 1) = "1" ), 3, 4 ) ) )</f>
        <v>4</v>
      </c>
    </row>
    <row r="2117" spans="53:56" x14ac:dyDescent="0.35">
      <c r="BA2117" s="3">
        <v>0.28520217850553575</v>
      </c>
      <c r="BB2117" s="3" t="str">
        <f>"0"</f>
        <v>0</v>
      </c>
      <c r="BC2117" t="str">
        <f ca="1">IF((OFFSET($A$1, 2117 - 1, 53 - 1)) &gt;= (OFFSET($A$1, 69 - 1, 7 - 1)), "1","0")</f>
        <v>0</v>
      </c>
      <c r="BD2117">
        <f ca="1" xml:space="preserve"> IF( AND( OFFSET($A$1, 2117 - 1, 54 - 1) = "1", OFFSET($A$1, 2117 - 1, 55 - 1) = "1" ), 1, IF( AND( OFFSET($A$1, 2117 - 1, 54 - 1) = "1", OFFSET($A$1, 2117 - 1, 55 - 1) = "0" ), 2, IF( AND( OFFSET($A$1, 2117 - 1, 54 - 1) = "0", OFFSET($A$1, 2117 - 1, 55 - 1) = "1" ), 3, 4 ) ) )</f>
        <v>4</v>
      </c>
    </row>
    <row r="2118" spans="53:56" x14ac:dyDescent="0.35">
      <c r="BA2118" s="3">
        <v>0.28402736006090484</v>
      </c>
      <c r="BB2118" s="3" t="str">
        <f>"0"</f>
        <v>0</v>
      </c>
      <c r="BC2118" t="str">
        <f ca="1">IF((OFFSET($A$1, 2118 - 1, 53 - 1)) &gt;= (OFFSET($A$1, 69 - 1, 7 - 1)), "1","0")</f>
        <v>0</v>
      </c>
      <c r="BD2118">
        <f ca="1" xml:space="preserve"> IF( AND( OFFSET($A$1, 2118 - 1, 54 - 1) = "1", OFFSET($A$1, 2118 - 1, 55 - 1) = "1" ), 1, IF( AND( OFFSET($A$1, 2118 - 1, 54 - 1) = "1", OFFSET($A$1, 2118 - 1, 55 - 1) = "0" ), 2, IF( AND( OFFSET($A$1, 2118 - 1, 54 - 1) = "0", OFFSET($A$1, 2118 - 1, 55 - 1) = "1" ), 3, 4 ) ) )</f>
        <v>4</v>
      </c>
    </row>
    <row r="2119" spans="53:56" x14ac:dyDescent="0.35">
      <c r="BA2119" s="3">
        <v>0.28284789107534003</v>
      </c>
      <c r="BB2119" s="3" t="str">
        <f>"0"</f>
        <v>0</v>
      </c>
      <c r="BC2119" t="str">
        <f ca="1">IF((OFFSET($A$1, 2119 - 1, 53 - 1)) &gt;= (OFFSET($A$1, 69 - 1, 7 - 1)), "1","0")</f>
        <v>0</v>
      </c>
      <c r="BD2119">
        <f ca="1" xml:space="preserve"> IF( AND( OFFSET($A$1, 2119 - 1, 54 - 1) = "1", OFFSET($A$1, 2119 - 1, 55 - 1) = "1" ), 1, IF( AND( OFFSET($A$1, 2119 - 1, 54 - 1) = "1", OFFSET($A$1, 2119 - 1, 55 - 1) = "0" ), 2, IF( AND( OFFSET($A$1, 2119 - 1, 54 - 1) = "0", OFFSET($A$1, 2119 - 1, 55 - 1) = "1" ), 3, 4 ) ) )</f>
        <v>4</v>
      </c>
    </row>
    <row r="2120" spans="53:56" x14ac:dyDescent="0.35">
      <c r="BA2120" s="3">
        <v>0.28166418517352321</v>
      </c>
      <c r="BB2120" s="3" t="str">
        <f>"1"</f>
        <v>1</v>
      </c>
      <c r="BC2120" t="str">
        <f ca="1">IF((OFFSET($A$1, 2120 - 1, 53 - 1)) &gt;= (OFFSET($A$1, 69 - 1, 7 - 1)), "1","0")</f>
        <v>0</v>
      </c>
      <c r="BD2120">
        <f ca="1" xml:space="preserve"> IF( AND( OFFSET($A$1, 2120 - 1, 54 - 1) = "1", OFFSET($A$1, 2120 - 1, 55 - 1) = "1" ), 1, IF( AND( OFFSET($A$1, 2120 - 1, 54 - 1) = "1", OFFSET($A$1, 2120 - 1, 55 - 1) = "0" ), 2, IF( AND( OFFSET($A$1, 2120 - 1, 54 - 1) = "0", OFFSET($A$1, 2120 - 1, 55 - 1) = "1" ), 3, 4 ) ) )</f>
        <v>2</v>
      </c>
    </row>
    <row r="2121" spans="53:56" x14ac:dyDescent="0.35">
      <c r="BA2121" s="3">
        <v>0.54890258155035865</v>
      </c>
      <c r="BB2121" s="3" t="str">
        <f>"1"</f>
        <v>1</v>
      </c>
      <c r="BC2121" t="str">
        <f ca="1">IF((OFFSET($A$1, 2121 - 1, 53 - 1)) &gt;= (OFFSET($A$1, 69 - 1, 7 - 1)), "1","0")</f>
        <v>1</v>
      </c>
      <c r="BD2121">
        <f ca="1" xml:space="preserve"> IF( AND( OFFSET($A$1, 2121 - 1, 54 - 1) = "1", OFFSET($A$1, 2121 - 1, 55 - 1) = "1" ), 1, IF( AND( OFFSET($A$1, 2121 - 1, 54 - 1) = "1", OFFSET($A$1, 2121 - 1, 55 - 1) = "0" ), 2, IF( AND( OFFSET($A$1, 2121 - 1, 54 - 1) = "0", OFFSET($A$1, 2121 - 1, 55 - 1) = "1" ), 3, 4 ) ) )</f>
        <v>1</v>
      </c>
    </row>
    <row r="2122" spans="53:56" x14ac:dyDescent="0.35">
      <c r="BA2122" s="3">
        <v>0.54743904576233227</v>
      </c>
      <c r="BB2122" s="3" t="str">
        <f>"1"</f>
        <v>1</v>
      </c>
      <c r="BC2122" t="str">
        <f ca="1">IF((OFFSET($A$1, 2122 - 1, 53 - 1)) &gt;= (OFFSET($A$1, 69 - 1, 7 - 1)), "1","0")</f>
        <v>1</v>
      </c>
      <c r="BD2122">
        <f ca="1" xml:space="preserve"> IF( AND( OFFSET($A$1, 2122 - 1, 54 - 1) = "1", OFFSET($A$1, 2122 - 1, 55 - 1) = "1" ), 1, IF( AND( OFFSET($A$1, 2122 - 1, 54 - 1) = "1", OFFSET($A$1, 2122 - 1, 55 - 1) = "0" ), 2, IF( AND( OFFSET($A$1, 2122 - 1, 54 - 1) = "0", OFFSET($A$1, 2122 - 1, 55 - 1) = "1" ), 3, 4 ) ) )</f>
        <v>1</v>
      </c>
    </row>
    <row r="2123" spans="53:56" x14ac:dyDescent="0.35">
      <c r="BA2123" s="3">
        <v>0.54596715152579212</v>
      </c>
      <c r="BB2123" s="3" t="str">
        <f>"1"</f>
        <v>1</v>
      </c>
      <c r="BC2123" t="str">
        <f ca="1">IF((OFFSET($A$1, 2123 - 1, 53 - 1)) &gt;= (OFFSET($A$1, 69 - 1, 7 - 1)), "1","0")</f>
        <v>1</v>
      </c>
      <c r="BD2123">
        <f ca="1" xml:space="preserve"> IF( AND( OFFSET($A$1, 2123 - 1, 54 - 1) = "1", OFFSET($A$1, 2123 - 1, 55 - 1) = "1" ), 1, IF( AND( OFFSET($A$1, 2123 - 1, 54 - 1) = "1", OFFSET($A$1, 2123 - 1, 55 - 1) = "0" ), 2, IF( AND( OFFSET($A$1, 2123 - 1, 54 - 1) = "0", OFFSET($A$1, 2123 - 1, 55 - 1) = "1" ), 3, 4 ) ) )</f>
        <v>1</v>
      </c>
    </row>
    <row r="2124" spans="53:56" x14ac:dyDescent="0.35">
      <c r="BA2124" s="3">
        <v>0.54448734749479843</v>
      </c>
      <c r="BB2124" s="3" t="str">
        <f>"1"</f>
        <v>1</v>
      </c>
      <c r="BC2124" t="str">
        <f ca="1">IF((OFFSET($A$1, 2124 - 1, 53 - 1)) &gt;= (OFFSET($A$1, 69 - 1, 7 - 1)), "1","0")</f>
        <v>1</v>
      </c>
      <c r="BD2124">
        <f ca="1" xml:space="preserve"> IF( AND( OFFSET($A$1, 2124 - 1, 54 - 1) = "1", OFFSET($A$1, 2124 - 1, 55 - 1) = "1" ), 1, IF( AND( OFFSET($A$1, 2124 - 1, 54 - 1) = "1", OFFSET($A$1, 2124 - 1, 55 - 1) = "0" ), 2, IF( AND( OFFSET($A$1, 2124 - 1, 54 - 1) = "0", OFFSET($A$1, 2124 - 1, 55 - 1) = "1" ), 3, 4 ) ) )</f>
        <v>1</v>
      </c>
    </row>
    <row r="2125" spans="53:56" x14ac:dyDescent="0.35">
      <c r="BA2125" s="3">
        <v>0.54300008611723138</v>
      </c>
      <c r="BB2125" s="3" t="str">
        <f>"1"</f>
        <v>1</v>
      </c>
      <c r="BC2125" t="str">
        <f ca="1">IF((OFFSET($A$1, 2125 - 1, 53 - 1)) &gt;= (OFFSET($A$1, 69 - 1, 7 - 1)), "1","0")</f>
        <v>1</v>
      </c>
      <c r="BD2125">
        <f ca="1" xml:space="preserve"> IF( AND( OFFSET($A$1, 2125 - 1, 54 - 1) = "1", OFFSET($A$1, 2125 - 1, 55 - 1) = "1" ), 1, IF( AND( OFFSET($A$1, 2125 - 1, 54 - 1) = "1", OFFSET($A$1, 2125 - 1, 55 - 1) = "0" ), 2, IF( AND( OFFSET($A$1, 2125 - 1, 54 - 1) = "0", OFFSET($A$1, 2125 - 1, 55 - 1) = "1" ), 3, 4 ) ) )</f>
        <v>1</v>
      </c>
    </row>
    <row r="2126" spans="53:56" x14ac:dyDescent="0.35">
      <c r="BA2126" s="3">
        <v>0.54150582345486986</v>
      </c>
      <c r="BB2126" s="3" t="str">
        <f>"1"</f>
        <v>1</v>
      </c>
      <c r="BC2126" t="str">
        <f ca="1">IF((OFFSET($A$1, 2126 - 1, 53 - 1)) &gt;= (OFFSET($A$1, 69 - 1, 7 - 1)), "1","0")</f>
        <v>1</v>
      </c>
      <c r="BD2126">
        <f ca="1" xml:space="preserve"> IF( AND( OFFSET($A$1, 2126 - 1, 54 - 1) = "1", OFFSET($A$1, 2126 - 1, 55 - 1) = "1" ), 1, IF( AND( OFFSET($A$1, 2126 - 1, 54 - 1) = "1", OFFSET($A$1, 2126 - 1, 55 - 1) = "0" ), 2, IF( AND( OFFSET($A$1, 2126 - 1, 54 - 1) = "0", OFFSET($A$1, 2126 - 1, 55 - 1) = "1" ), 3, 4 ) ) )</f>
        <v>1</v>
      </c>
    </row>
    <row r="2127" spans="53:56" x14ac:dyDescent="0.35">
      <c r="BA2127" s="3">
        <v>0.5400050189988892</v>
      </c>
      <c r="BB2127" s="3" t="str">
        <f>"1"</f>
        <v>1</v>
      </c>
      <c r="BC2127" t="str">
        <f ca="1">IF((OFFSET($A$1, 2127 - 1, 53 - 1)) &gt;= (OFFSET($A$1, 69 - 1, 7 - 1)), "1","0")</f>
        <v>1</v>
      </c>
      <c r="BD2127">
        <f ca="1" xml:space="preserve"> IF( AND( OFFSET($A$1, 2127 - 1, 54 - 1) = "1", OFFSET($A$1, 2127 - 1, 55 - 1) = "1" ), 1, IF( AND( OFFSET($A$1, 2127 - 1, 54 - 1) = "1", OFFSET($A$1, 2127 - 1, 55 - 1) = "0" ), 2, IF( AND( OFFSET($A$1, 2127 - 1, 54 - 1) = "0", OFFSET($A$1, 2127 - 1, 55 - 1) = "1" ), 3, 4 ) ) )</f>
        <v>1</v>
      </c>
    </row>
    <row r="2128" spans="53:56" x14ac:dyDescent="0.35">
      <c r="BA2128" s="3">
        <v>0.53849813548098213</v>
      </c>
      <c r="BB2128" s="3" t="str">
        <f>"0"</f>
        <v>0</v>
      </c>
      <c r="BC2128" t="str">
        <f ca="1">IF((OFFSET($A$1, 2128 - 1, 53 - 1)) &gt;= (OFFSET($A$1, 69 - 1, 7 - 1)), "1","0")</f>
        <v>1</v>
      </c>
      <c r="BD2128">
        <f ca="1" xml:space="preserve"> IF( AND( OFFSET($A$1, 2128 - 1, 54 - 1) = "1", OFFSET($A$1, 2128 - 1, 55 - 1) = "1" ), 1, IF( AND( OFFSET($A$1, 2128 - 1, 54 - 1) = "1", OFFSET($A$1, 2128 - 1, 55 - 1) = "0" ), 2, IF( AND( OFFSET($A$1, 2128 - 1, 54 - 1) = "0", OFFSET($A$1, 2128 - 1, 55 - 1) = "1" ), 3, 4 ) ) )</f>
        <v>3</v>
      </c>
    </row>
    <row r="2129" spans="53:56" x14ac:dyDescent="0.35">
      <c r="BA2129" s="3">
        <v>0.27088781227194797</v>
      </c>
      <c r="BB2129" s="3" t="str">
        <f>"0"</f>
        <v>0</v>
      </c>
      <c r="BC2129" t="str">
        <f ca="1">IF((OFFSET($A$1, 2129 - 1, 53 - 1)) &gt;= (OFFSET($A$1, 69 - 1, 7 - 1)), "1","0")</f>
        <v>0</v>
      </c>
      <c r="BD2129">
        <f ca="1" xml:space="preserve"> IF( AND( OFFSET($A$1, 2129 - 1, 54 - 1) = "1", OFFSET($A$1, 2129 - 1, 55 - 1) = "1" ), 1, IF( AND( OFFSET($A$1, 2129 - 1, 54 - 1) = "1", OFFSET($A$1, 2129 - 1, 55 - 1) = "0" ), 2, IF( AND( OFFSET($A$1, 2129 - 1, 54 - 1) = "0", OFFSET($A$1, 2129 - 1, 55 - 1) = "1" ), 3, 4 ) ) )</f>
        <v>4</v>
      </c>
    </row>
    <row r="2130" spans="53:56" x14ac:dyDescent="0.35">
      <c r="BA2130" s="3">
        <v>0.26968418771383085</v>
      </c>
      <c r="BB2130" s="3" t="str">
        <f>"1"</f>
        <v>1</v>
      </c>
      <c r="BC2130" t="str">
        <f ca="1">IF((OFFSET($A$1, 2130 - 1, 53 - 1)) &gt;= (OFFSET($A$1, 69 - 1, 7 - 1)), "1","0")</f>
        <v>0</v>
      </c>
      <c r="BD2130">
        <f ca="1" xml:space="preserve"> IF( AND( OFFSET($A$1, 2130 - 1, 54 - 1) = "1", OFFSET($A$1, 2130 - 1, 55 - 1) = "1" ), 1, IF( AND( OFFSET($A$1, 2130 - 1, 54 - 1) = "1", OFFSET($A$1, 2130 - 1, 55 - 1) = "0" ), 2, IF( AND( OFFSET($A$1, 2130 - 1, 54 - 1) = "0", OFFSET($A$1, 2130 - 1, 55 - 1) = "1" ), 3, 4 ) ) )</f>
        <v>2</v>
      </c>
    </row>
    <row r="2131" spans="53:56" x14ac:dyDescent="0.35">
      <c r="BA2131" s="3">
        <v>0.5339456823988199</v>
      </c>
      <c r="BB2131" s="3" t="str">
        <f>"0"</f>
        <v>0</v>
      </c>
      <c r="BC2131" t="str">
        <f ca="1">IF((OFFSET($A$1, 2131 - 1, 53 - 1)) &gt;= (OFFSET($A$1, 69 - 1, 7 - 1)), "1","0")</f>
        <v>1</v>
      </c>
      <c r="BD2131">
        <f ca="1" xml:space="preserve"> IF( AND( OFFSET($A$1, 2131 - 1, 54 - 1) = "1", OFFSET($A$1, 2131 - 1, 55 - 1) = "1" ), 1, IF( AND( OFFSET($A$1, 2131 - 1, 54 - 1) = "1", OFFSET($A$1, 2131 - 1, 55 - 1) = "0" ), 2, IF( AND( OFFSET($A$1, 2131 - 1, 54 - 1) = "0", OFFSET($A$1, 2131 - 1, 55 - 1) = "1" ), 3, 4 ) ) )</f>
        <v>3</v>
      </c>
    </row>
    <row r="2132" spans="53:56" x14ac:dyDescent="0.35">
      <c r="BA2132" s="3">
        <v>0.26727795497071294</v>
      </c>
      <c r="BB2132" s="3" t="str">
        <f>"0"</f>
        <v>0</v>
      </c>
      <c r="BC2132" t="str">
        <f ca="1">IF((OFFSET($A$1, 2132 - 1, 53 - 1)) &gt;= (OFFSET($A$1, 69 - 1, 7 - 1)), "1","0")</f>
        <v>0</v>
      </c>
      <c r="BD2132">
        <f ca="1" xml:space="preserve"> IF( AND( OFFSET($A$1, 2132 - 1, 54 - 1) = "1", OFFSET($A$1, 2132 - 1, 55 - 1) = "1" ), 1, IF( AND( OFFSET($A$1, 2132 - 1, 54 - 1) = "1", OFFSET($A$1, 2132 - 1, 55 - 1) = "0" ), 2, IF( AND( OFFSET($A$1, 2132 - 1, 54 - 1) = "0", OFFSET($A$1, 2132 - 1, 55 - 1) = "1" ), 3, 4 ) ) )</f>
        <v>4</v>
      </c>
    </row>
    <row r="2133" spans="53:56" x14ac:dyDescent="0.35">
      <c r="BA2133" s="3">
        <v>0.2660761228099795</v>
      </c>
      <c r="BB2133" s="3" t="str">
        <f>"0"</f>
        <v>0</v>
      </c>
      <c r="BC2133" t="str">
        <f ca="1">IF((OFFSET($A$1, 2133 - 1, 53 - 1)) &gt;= (OFFSET($A$1, 69 - 1, 7 - 1)), "1","0")</f>
        <v>0</v>
      </c>
      <c r="BD2133">
        <f ca="1" xml:space="preserve"> IF( AND( OFFSET($A$1, 2133 - 1, 54 - 1) = "1", OFFSET($A$1, 2133 - 1, 55 - 1) = "1" ), 1, IF( AND( OFFSET($A$1, 2133 - 1, 54 - 1) = "1", OFFSET($A$1, 2133 - 1, 55 - 1) = "0" ), 2, IF( AND( OFFSET($A$1, 2133 - 1, 54 - 1) = "0", OFFSET($A$1, 2133 - 1, 55 - 1) = "1" ), 3, 4 ) ) )</f>
        <v>4</v>
      </c>
    </row>
    <row r="2134" spans="53:56" x14ac:dyDescent="0.35">
      <c r="BA2134" s="3">
        <v>0.26487565862250656</v>
      </c>
      <c r="BB2134" s="3" t="str">
        <f>"1"</f>
        <v>1</v>
      </c>
      <c r="BC2134" t="str">
        <f ca="1">IF((OFFSET($A$1, 2134 - 1, 53 - 1)) &gt;= (OFFSET($A$1, 69 - 1, 7 - 1)), "1","0")</f>
        <v>0</v>
      </c>
      <c r="BD2134">
        <f ca="1" xml:space="preserve"> IF( AND( OFFSET($A$1, 2134 - 1, 54 - 1) = "1", OFFSET($A$1, 2134 - 1, 55 - 1) = "1" ), 1, IF( AND( OFFSET($A$1, 2134 - 1, 54 - 1) = "1", OFFSET($A$1, 2134 - 1, 55 - 1) = "0" ), 2, IF( AND( OFFSET($A$1, 2134 - 1, 54 - 1) = "0", OFFSET($A$1, 2134 - 1, 55 - 1) = "1" ), 3, 4 ) ) )</f>
        <v>2</v>
      </c>
    </row>
    <row r="2135" spans="53:56" x14ac:dyDescent="0.35">
      <c r="BA2135" s="3">
        <v>0.52781919615107875</v>
      </c>
      <c r="BB2135" s="3" t="str">
        <f>"0"</f>
        <v>0</v>
      </c>
      <c r="BC2135" t="str">
        <f ca="1">IF((OFFSET($A$1, 2135 - 1, 53 - 1)) &gt;= (OFFSET($A$1, 69 - 1, 7 - 1)), "1","0")</f>
        <v>1</v>
      </c>
      <c r="BD2135">
        <f ca="1" xml:space="preserve"> IF( AND( OFFSET($A$1, 2135 - 1, 54 - 1) = "1", OFFSET($A$1, 2135 - 1, 55 - 1) = "1" ), 1, IF( AND( OFFSET($A$1, 2135 - 1, 54 - 1) = "1", OFFSET($A$1, 2135 - 1, 55 - 1) = "0" ), 2, IF( AND( OFFSET($A$1, 2135 - 1, 54 - 1) = "0", OFFSET($A$1, 2135 - 1, 55 - 1) = "1" ), 3, 4 ) ) )</f>
        <v>3</v>
      </c>
    </row>
    <row r="2136" spans="53:56" x14ac:dyDescent="0.35">
      <c r="BA2136" s="3">
        <v>0.26248034845545437</v>
      </c>
      <c r="BB2136" s="3" t="str">
        <f>"0"</f>
        <v>0</v>
      </c>
      <c r="BC2136" t="str">
        <f ca="1">IF((OFFSET($A$1, 2136 - 1, 53 - 1)) &gt;= (OFFSET($A$1, 69 - 1, 7 - 1)), "1","0")</f>
        <v>0</v>
      </c>
      <c r="BD2136">
        <f ca="1" xml:space="preserve"> IF( AND( OFFSET($A$1, 2136 - 1, 54 - 1) = "1", OFFSET($A$1, 2136 - 1, 55 - 1) = "1" ), 1, IF( AND( OFFSET($A$1, 2136 - 1, 54 - 1) = "1", OFFSET($A$1, 2136 - 1, 55 - 1) = "0" ), 2, IF( AND( OFFSET($A$1, 2136 - 1, 54 - 1) = "0", OFFSET($A$1, 2136 - 1, 55 - 1) = "1" ), 3, 4 ) ) )</f>
        <v>4</v>
      </c>
    </row>
    <row r="2137" spans="53:56" x14ac:dyDescent="0.35">
      <c r="BA2137" s="3">
        <v>0.26128625024509827</v>
      </c>
      <c r="BB2137" s="3" t="str">
        <f>"0"</f>
        <v>0</v>
      </c>
      <c r="BC2137" t="str">
        <f ca="1">IF((OFFSET($A$1, 2137 - 1, 53 - 1)) &gt;= (OFFSET($A$1, 69 - 1, 7 - 1)), "1","0")</f>
        <v>0</v>
      </c>
      <c r="BD2137">
        <f ca="1" xml:space="preserve"> IF( AND( OFFSET($A$1, 2137 - 1, 54 - 1) = "1", OFFSET($A$1, 2137 - 1, 55 - 1) = "1" ), 1, IF( AND( OFFSET($A$1, 2137 - 1, 54 - 1) = "1", OFFSET($A$1, 2137 - 1, 55 - 1) = "0" ), 2, IF( AND( OFFSET($A$1, 2137 - 1, 54 - 1) = "0", OFFSET($A$1, 2137 - 1, 55 - 1) = "1" ), 3, 4 ) ) )</f>
        <v>4</v>
      </c>
    </row>
    <row r="2138" spans="53:56" x14ac:dyDescent="0.35">
      <c r="BA2138" s="3">
        <v>0.2600950152541458</v>
      </c>
      <c r="BB2138" s="3" t="str">
        <f>"0"</f>
        <v>0</v>
      </c>
      <c r="BC2138" t="str">
        <f ca="1">IF((OFFSET($A$1, 2138 - 1, 53 - 1)) &gt;= (OFFSET($A$1, 69 - 1, 7 - 1)), "1","0")</f>
        <v>0</v>
      </c>
      <c r="BD2138">
        <f ca="1" xml:space="preserve"> IF( AND( OFFSET($A$1, 2138 - 1, 54 - 1) = "1", OFFSET($A$1, 2138 - 1, 55 - 1) = "1" ), 1, IF( AND( OFFSET($A$1, 2138 - 1, 54 - 1) = "1", OFFSET($A$1, 2138 - 1, 55 - 1) = "0" ), 2, IF( AND( OFFSET($A$1, 2138 - 1, 54 - 1) = "0", OFFSET($A$1, 2138 - 1, 55 - 1) = "1" ), 3, 4 ) ) )</f>
        <v>4</v>
      </c>
    </row>
    <row r="2139" spans="53:56" x14ac:dyDescent="0.35">
      <c r="BA2139" s="3">
        <v>0.25890700734464195</v>
      </c>
      <c r="BB2139" s="3" t="str">
        <f>"1"</f>
        <v>1</v>
      </c>
      <c r="BC2139" t="str">
        <f ca="1">IF((OFFSET($A$1, 2139 - 1, 53 - 1)) &gt;= (OFFSET($A$1, 69 - 1, 7 - 1)), "1","0")</f>
        <v>0</v>
      </c>
      <c r="BD2139">
        <f ca="1" xml:space="preserve"> IF( AND( OFFSET($A$1, 2139 - 1, 54 - 1) = "1", OFFSET($A$1, 2139 - 1, 55 - 1) = "1" ), 1, IF( AND( OFFSET($A$1, 2139 - 1, 54 - 1) = "1", OFFSET($A$1, 2139 - 1, 55 - 1) = "0" ), 2, IF( AND( OFFSET($A$1, 2139 - 1, 54 - 1) = "0", OFFSET($A$1, 2139 - 1, 55 - 1) = "1" ), 3, 4 ) ) )</f>
        <v>2</v>
      </c>
    </row>
    <row r="2140" spans="53:56" x14ac:dyDescent="0.35">
      <c r="BA2140" s="3">
        <v>0.52011335186258534</v>
      </c>
      <c r="BB2140" s="3" t="str">
        <f>"1"</f>
        <v>1</v>
      </c>
      <c r="BC2140" t="str">
        <f ca="1">IF((OFFSET($A$1, 2140 - 1, 53 - 1)) &gt;= (OFFSET($A$1, 69 - 1, 7 - 1)), "1","0")</f>
        <v>1</v>
      </c>
      <c r="BD2140">
        <f ca="1" xml:space="preserve"> IF( AND( OFFSET($A$1, 2140 - 1, 54 - 1) = "1", OFFSET($A$1, 2140 - 1, 55 - 1) = "1" ), 1, IF( AND( OFFSET($A$1, 2140 - 1, 54 - 1) = "1", OFFSET($A$1, 2140 - 1, 55 - 1) = "0" ), 2, IF( AND( OFFSET($A$1, 2140 - 1, 54 - 1) = "0", OFFSET($A$1, 2140 - 1, 55 - 1) = "1" ), 3, 4 ) ) )</f>
        <v>1</v>
      </c>
    </row>
    <row r="2141" spans="53:56" x14ac:dyDescent="0.35">
      <c r="BA2141" s="3">
        <v>0.51857065684669656</v>
      </c>
      <c r="BB2141" s="3" t="str">
        <f>"1"</f>
        <v>1</v>
      </c>
      <c r="BC2141" t="str">
        <f ca="1">IF((OFFSET($A$1, 2141 - 1, 53 - 1)) &gt;= (OFFSET($A$1, 69 - 1, 7 - 1)), "1","0")</f>
        <v>1</v>
      </c>
      <c r="BD2141">
        <f ca="1" xml:space="preserve"> IF( AND( OFFSET($A$1, 2141 - 1, 54 - 1) = "1", OFFSET($A$1, 2141 - 1, 55 - 1) = "1" ), 1, IF( AND( OFFSET($A$1, 2141 - 1, 54 - 1) = "1", OFFSET($A$1, 2141 - 1, 55 - 1) = "0" ), 2, IF( AND( OFFSET($A$1, 2141 - 1, 54 - 1) = "0", OFFSET($A$1, 2141 - 1, 55 - 1) = "1" ), 3, 4 ) ) )</f>
        <v>1</v>
      </c>
    </row>
    <row r="2142" spans="53:56" x14ac:dyDescent="0.35">
      <c r="BA2142" s="3">
        <v>0.51702858702090226</v>
      </c>
      <c r="BB2142" s="3" t="str">
        <f>"1"</f>
        <v>1</v>
      </c>
      <c r="BC2142" t="str">
        <f ca="1">IF((OFFSET($A$1, 2142 - 1, 53 - 1)) &gt;= (OFFSET($A$1, 69 - 1, 7 - 1)), "1","0")</f>
        <v>1</v>
      </c>
      <c r="BD2142">
        <f ca="1" xml:space="preserve"> IF( AND( OFFSET($A$1, 2142 - 1, 54 - 1) = "1", OFFSET($A$1, 2142 - 1, 55 - 1) = "1" ), 1, IF( AND( OFFSET($A$1, 2142 - 1, 54 - 1) = "1", OFFSET($A$1, 2142 - 1, 55 - 1) = "0" ), 2, IF( AND( OFFSET($A$1, 2142 - 1, 54 - 1) = "0", OFFSET($A$1, 2142 - 1, 55 - 1) = "1" ), 3, 4 ) ) )</f>
        <v>1</v>
      </c>
    </row>
    <row r="2143" spans="53:56" x14ac:dyDescent="0.35">
      <c r="BA2143" s="3">
        <v>0.51548762879395049</v>
      </c>
      <c r="BB2143" s="3" t="str">
        <f>"1"</f>
        <v>1</v>
      </c>
      <c r="BC2143" t="str">
        <f ca="1">IF((OFFSET($A$1, 2143 - 1, 53 - 1)) &gt;= (OFFSET($A$1, 69 - 1, 7 - 1)), "1","0")</f>
        <v>1</v>
      </c>
      <c r="BD2143">
        <f ca="1" xml:space="preserve"> IF( AND( OFFSET($A$1, 2143 - 1, 54 - 1) = "1", OFFSET($A$1, 2143 - 1, 55 - 1) = "1" ), 1, IF( AND( OFFSET($A$1, 2143 - 1, 54 - 1) = "1", OFFSET($A$1, 2143 - 1, 55 - 1) = "0" ), 2, IF( AND( OFFSET($A$1, 2143 - 1, 54 - 1) = "0", OFFSET($A$1, 2143 - 1, 55 - 1) = "1" ), 3, 4 ) ) )</f>
        <v>1</v>
      </c>
    </row>
    <row r="2144" spans="53:56" x14ac:dyDescent="0.35">
      <c r="BA2144" s="3">
        <v>0.51394826839364249</v>
      </c>
      <c r="BB2144" s="3" t="str">
        <f>"1"</f>
        <v>1</v>
      </c>
      <c r="BC2144" t="str">
        <f ca="1">IF((OFFSET($A$1, 2144 - 1, 53 - 1)) &gt;= (OFFSET($A$1, 69 - 1, 7 - 1)), "1","0")</f>
        <v>1</v>
      </c>
      <c r="BD2144">
        <f ca="1" xml:space="preserve"> IF( AND( OFFSET($A$1, 2144 - 1, 54 - 1) = "1", OFFSET($A$1, 2144 - 1, 55 - 1) = "1" ), 1, IF( AND( OFFSET($A$1, 2144 - 1, 54 - 1) = "1", OFFSET($A$1, 2144 - 1, 55 - 1) = "0" ), 2, IF( AND( OFFSET($A$1, 2144 - 1, 54 - 1) = "0", OFFSET($A$1, 2144 - 1, 55 - 1) = "1" ), 3, 4 ) ) )</f>
        <v>1</v>
      </c>
    </row>
    <row r="2145" spans="53:56" x14ac:dyDescent="0.35">
      <c r="BA2145" s="3">
        <v>0.51241099164197712</v>
      </c>
      <c r="BB2145" s="3" t="str">
        <f>"0"</f>
        <v>0</v>
      </c>
      <c r="BC2145" t="str">
        <f ca="1">IF((OFFSET($A$1, 2145 - 1, 53 - 1)) &gt;= (OFFSET($A$1, 69 - 1, 7 - 1)), "1","0")</f>
        <v>1</v>
      </c>
      <c r="BD2145">
        <f ca="1" xml:space="preserve"> IF( AND( OFFSET($A$1, 2145 - 1, 54 - 1) = "1", OFFSET($A$1, 2145 - 1, 55 - 1) = "1" ), 1, IF( AND( OFFSET($A$1, 2145 - 1, 54 - 1) = "1", OFFSET($A$1, 2145 - 1, 55 - 1) = "0" ), 2, IF( AND( OFFSET($A$1, 2145 - 1, 54 - 1) = "0", OFFSET($A$1, 2145 - 1, 55 - 1) = "1" ), 3, 4 ) ) )</f>
        <v>3</v>
      </c>
    </row>
    <row r="2146" spans="53:56" x14ac:dyDescent="0.35">
      <c r="BA2146" s="3">
        <v>0.25071095130853749</v>
      </c>
      <c r="BB2146" s="3" t="str">
        <f>"1"</f>
        <v>1</v>
      </c>
      <c r="BC2146" t="str">
        <f ca="1">IF((OFFSET($A$1, 2146 - 1, 53 - 1)) &gt;= (OFFSET($A$1, 69 - 1, 7 - 1)), "1","0")</f>
        <v>0</v>
      </c>
      <c r="BD2146">
        <f ca="1" xml:space="preserve"> IF( AND( OFFSET($A$1, 2146 - 1, 54 - 1) = "1", OFFSET($A$1, 2146 - 1, 55 - 1) = "1" ), 1, IF( AND( OFFSET($A$1, 2146 - 1, 54 - 1) = "1", OFFSET($A$1, 2146 - 1, 55 - 1) = "0" ), 2, IF( AND( OFFSET($A$1, 2146 - 1, 54 - 1) = "0", OFFSET($A$1, 2146 - 1, 55 - 1) = "1" ), 3, 4 ) ) )</f>
        <v>2</v>
      </c>
    </row>
    <row r="2147" spans="53:56" x14ac:dyDescent="0.35">
      <c r="BA2147" s="3">
        <v>0.50934462899788491</v>
      </c>
      <c r="BB2147" s="3" t="str">
        <f>"0"</f>
        <v>0</v>
      </c>
      <c r="BC2147" t="str">
        <f ca="1">IF((OFFSET($A$1, 2147 - 1, 53 - 1)) &gt;= (OFFSET($A$1, 69 - 1, 7 - 1)), "1","0")</f>
        <v>1</v>
      </c>
      <c r="BD2147">
        <f ca="1" xml:space="preserve"> IF( AND( OFFSET($A$1, 2147 - 1, 54 - 1) = "1", OFFSET($A$1, 2147 - 1, 55 - 1) = "1" ), 1, IF( AND( OFFSET($A$1, 2147 - 1, 54 - 1) = "1", OFFSET($A$1, 2147 - 1, 55 - 1) = "0" ), 2, IF( AND( OFFSET($A$1, 2147 - 1, 54 - 1) = "0", OFFSET($A$1, 2147 - 1, 55 - 1) = "1" ), 3, 4 ) ) )</f>
        <v>3</v>
      </c>
    </row>
    <row r="2148" spans="53:56" x14ac:dyDescent="0.35">
      <c r="BA2148" s="3">
        <v>0.24841799326581737</v>
      </c>
      <c r="BB2148" s="3" t="str">
        <f>"0"</f>
        <v>0</v>
      </c>
      <c r="BC2148" t="str">
        <f ca="1">IF((OFFSET($A$1, 2148 - 1, 53 - 1)) &gt;= (OFFSET($A$1, 69 - 1, 7 - 1)), "1","0")</f>
        <v>0</v>
      </c>
      <c r="BD2148">
        <f ca="1" xml:space="preserve"> IF( AND( OFFSET($A$1, 2148 - 1, 54 - 1) = "1", OFFSET($A$1, 2148 - 1, 55 - 1) = "1" ), 1, IF( AND( OFFSET($A$1, 2148 - 1, 54 - 1) = "1", OFFSET($A$1, 2148 - 1, 55 - 1) = "0" ), 2, IF( AND( OFFSET($A$1, 2148 - 1, 54 - 1) = "0", OFFSET($A$1, 2148 - 1, 55 - 1) = "1" ), 3, 4 ) ) )</f>
        <v>4</v>
      </c>
    </row>
    <row r="2149" spans="53:56" x14ac:dyDescent="0.35">
      <c r="BA2149" s="3">
        <v>0.24728127567689523</v>
      </c>
      <c r="BB2149" s="3" t="str">
        <f>"0"</f>
        <v>0</v>
      </c>
      <c r="BC2149" t="str">
        <f ca="1">IF((OFFSET($A$1, 2149 - 1, 53 - 1)) &gt;= (OFFSET($A$1, 69 - 1, 7 - 1)), "1","0")</f>
        <v>0</v>
      </c>
      <c r="BD2149">
        <f ca="1" xml:space="preserve"> IF( AND( OFFSET($A$1, 2149 - 1, 54 - 1) = "1", OFFSET($A$1, 2149 - 1, 55 - 1) = "1" ), 1, IF( AND( OFFSET($A$1, 2149 - 1, 54 - 1) = "1", OFFSET($A$1, 2149 - 1, 55 - 1) = "0" ), 2, IF( AND( OFFSET($A$1, 2149 - 1, 54 - 1) = "0", OFFSET($A$1, 2149 - 1, 55 - 1) = "1" ), 3, 4 ) ) )</f>
        <v>4</v>
      </c>
    </row>
    <row r="2150" spans="53:56" x14ac:dyDescent="0.35">
      <c r="BA2150" s="3">
        <v>0.24615148236171686</v>
      </c>
      <c r="BB2150" s="3" t="str">
        <f>"1"</f>
        <v>1</v>
      </c>
      <c r="BC2150" t="str">
        <f ca="1">IF((OFFSET($A$1, 2150 - 1, 53 - 1)) &gt;= (OFFSET($A$1, 69 - 1, 7 - 1)), "1","0")</f>
        <v>0</v>
      </c>
      <c r="BD2150">
        <f ca="1" xml:space="preserve"> IF( AND( OFFSET($A$1, 2150 - 1, 54 - 1) = "1", OFFSET($A$1, 2150 - 1, 55 - 1) = "1" ), 1, IF( AND( OFFSET($A$1, 2150 - 1, 54 - 1) = "1", OFFSET($A$1, 2150 - 1, 55 - 1) = "0" ), 2, IF( AND( OFFSET($A$1, 2150 - 1, 54 - 1) = "0", OFFSET($A$1, 2150 - 1, 55 - 1) = "1" ), 3, 4 ) ) )</f>
        <v>2</v>
      </c>
    </row>
    <row r="2151" spans="53:56" x14ac:dyDescent="0.35">
      <c r="BA2151" s="3">
        <v>0.50325818629767649</v>
      </c>
      <c r="BB2151" s="3" t="str">
        <f>"0"</f>
        <v>0</v>
      </c>
      <c r="BC2151" t="str">
        <f ca="1">IF((OFFSET($A$1, 2151 - 1, 53 - 1)) &gt;= (OFFSET($A$1, 69 - 1, 7 - 1)), "1","0")</f>
        <v>1</v>
      </c>
      <c r="BD2151">
        <f ca="1" xml:space="preserve"> IF( AND( OFFSET($A$1, 2151 - 1, 54 - 1) = "1", OFFSET($A$1, 2151 - 1, 55 - 1) = "1" ), 1, IF( AND( OFFSET($A$1, 2151 - 1, 54 - 1) = "1", OFFSET($A$1, 2151 - 1, 55 - 1) = "0" ), 2, IF( AND( OFFSET($A$1, 2151 - 1, 54 - 1) = "0", OFFSET($A$1, 2151 - 1, 55 - 1) = "1" ), 3, 4 ) ) )</f>
        <v>3</v>
      </c>
    </row>
    <row r="2152" spans="53:56" x14ac:dyDescent="0.35">
      <c r="BA2152" s="3">
        <v>0.24391388673331546</v>
      </c>
      <c r="BB2152" s="3" t="str">
        <f>"0"</f>
        <v>0</v>
      </c>
      <c r="BC2152" t="str">
        <f ca="1">IF((OFFSET($A$1, 2152 - 1, 53 - 1)) &gt;= (OFFSET($A$1, 69 - 1, 7 - 1)), "1","0")</f>
        <v>0</v>
      </c>
      <c r="BD2152">
        <f ca="1" xml:space="preserve"> IF( AND( OFFSET($A$1, 2152 - 1, 54 - 1) = "1", OFFSET($A$1, 2152 - 1, 55 - 1) = "1" ), 1, IF( AND( OFFSET($A$1, 2152 - 1, 54 - 1) = "1", OFFSET($A$1, 2152 - 1, 55 - 1) = "0" ), 2, IF( AND( OFFSET($A$1, 2152 - 1, 54 - 1) = "0", OFFSET($A$1, 2152 - 1, 55 - 1) = "1" ), 3, 4 ) ) )</f>
        <v>4</v>
      </c>
    </row>
    <row r="2153" spans="53:56" x14ac:dyDescent="0.35">
      <c r="BA2153" s="3">
        <v>0.24280668007283351</v>
      </c>
      <c r="BB2153" s="3" t="str">
        <f>"0"</f>
        <v>0</v>
      </c>
      <c r="BC2153" t="str">
        <f ca="1">IF((OFFSET($A$1, 2153 - 1, 53 - 1)) &gt;= (OFFSET($A$1, 69 - 1, 7 - 1)), "1","0")</f>
        <v>0</v>
      </c>
      <c r="BD2153">
        <f ca="1" xml:space="preserve"> IF( AND( OFFSET($A$1, 2153 - 1, 54 - 1) = "1", OFFSET($A$1, 2153 - 1, 55 - 1) = "1" ), 1, IF( AND( OFFSET($A$1, 2153 - 1, 54 - 1) = "1", OFFSET($A$1, 2153 - 1, 55 - 1) = "0" ), 2, IF( AND( OFFSET($A$1, 2153 - 1, 54 - 1) = "0", OFFSET($A$1, 2153 - 1, 55 - 1) = "1" ), 3, 4 ) ) )</f>
        <v>4</v>
      </c>
    </row>
    <row r="2154" spans="53:56" x14ac:dyDescent="0.35">
      <c r="BA2154" s="3">
        <v>0.24170758889503224</v>
      </c>
      <c r="BB2154" s="3" t="str">
        <f>"0"</f>
        <v>0</v>
      </c>
      <c r="BC2154" t="str">
        <f ca="1">IF((OFFSET($A$1, 2154 - 1, 53 - 1)) &gt;= (OFFSET($A$1, 69 - 1, 7 - 1)), "1","0")</f>
        <v>0</v>
      </c>
      <c r="BD2154">
        <f ca="1" xml:space="preserve"> IF( AND( OFFSET($A$1, 2154 - 1, 54 - 1) = "1", OFFSET($A$1, 2154 - 1, 55 - 1) = "1" ), 1, IF( AND( OFFSET($A$1, 2154 - 1, 54 - 1) = "1", OFFSET($A$1, 2154 - 1, 55 - 1) = "0" ), 2, IF( AND( OFFSET($A$1, 2154 - 1, 54 - 1) = "0", OFFSET($A$1, 2154 - 1, 55 - 1) = "1" ), 3, 4 ) ) )</f>
        <v>4</v>
      </c>
    </row>
    <row r="2155" spans="53:56" x14ac:dyDescent="0.35">
      <c r="BA2155" s="3">
        <v>0.2406168973821175</v>
      </c>
      <c r="BB2155" s="3" t="str">
        <f>"0"</f>
        <v>0</v>
      </c>
      <c r="BC2155" t="str">
        <f ca="1">IF((OFFSET($A$1, 2155 - 1, 53 - 1)) &gt;= (OFFSET($A$1, 69 - 1, 7 - 1)), "1","0")</f>
        <v>0</v>
      </c>
      <c r="BD2155">
        <f ca="1" xml:space="preserve"> IF( AND( OFFSET($A$1, 2155 - 1, 54 - 1) = "1", OFFSET($A$1, 2155 - 1, 55 - 1) = "1" ), 1, IF( AND( OFFSET($A$1, 2155 - 1, 54 - 1) = "1", OFFSET($A$1, 2155 - 1, 55 - 1) = "0" ), 2, IF( AND( OFFSET($A$1, 2155 - 1, 54 - 1) = "0", OFFSET($A$1, 2155 - 1, 55 - 1) = "1" ), 3, 4 ) ) )</f>
        <v>4</v>
      </c>
    </row>
    <row r="2156" spans="53:56" x14ac:dyDescent="0.35">
      <c r="BA2156" s="3">
        <v>0.23953488419300353</v>
      </c>
      <c r="BB2156" s="3" t="str">
        <f>"1"</f>
        <v>1</v>
      </c>
      <c r="BC2156" t="str">
        <f ca="1">IF((OFFSET($A$1, 2156 - 1, 53 - 1)) &gt;= (OFFSET($A$1, 69 - 1, 7 - 1)), "1","0")</f>
        <v>0</v>
      </c>
      <c r="BD2156">
        <f ca="1" xml:space="preserve"> IF( AND( OFFSET($A$1, 2156 - 1, 54 - 1) = "1", OFFSET($A$1, 2156 - 1, 55 - 1) = "1" ), 1, IF( AND( OFFSET($A$1, 2156 - 1, 54 - 1) = "1", OFFSET($A$1, 2156 - 1, 55 - 1) = "0" ), 2, IF( AND( OFFSET($A$1, 2156 - 1, 54 - 1) = "0", OFFSET($A$1, 2156 - 1, 55 - 1) = "1" ), 3, 4 ) ) )</f>
        <v>2</v>
      </c>
    </row>
    <row r="2157" spans="53:56" x14ac:dyDescent="0.35">
      <c r="BA2157" s="3">
        <v>0.49430150963709746</v>
      </c>
      <c r="BB2157" s="3" t="str">
        <f>"1"</f>
        <v>1</v>
      </c>
      <c r="BC2157" t="str">
        <f ca="1">IF((OFFSET($A$1, 2157 - 1, 53 - 1)) &gt;= (OFFSET($A$1, 69 - 1, 7 - 1)), "1","0")</f>
        <v>0</v>
      </c>
      <c r="BD2157">
        <f ca="1" xml:space="preserve"> IF( AND( OFFSET($A$1, 2157 - 1, 54 - 1) = "1", OFFSET($A$1, 2157 - 1, 55 - 1) = "1" ), 1, IF( AND( OFFSET($A$1, 2157 - 1, 54 - 1) = "1", OFFSET($A$1, 2157 - 1, 55 - 1) = "0" ), 2, IF( AND( OFFSET($A$1, 2157 - 1, 54 - 1) = "0", OFFSET($A$1, 2157 - 1, 55 - 1) = "1" ), 3, 4 ) ) )</f>
        <v>2</v>
      </c>
    </row>
    <row r="2158" spans="53:56" x14ac:dyDescent="0.35">
      <c r="BA2158" s="3">
        <v>0.49283494265133304</v>
      </c>
      <c r="BB2158" s="3" t="str">
        <f>"0"</f>
        <v>0</v>
      </c>
      <c r="BC2158" t="str">
        <f ca="1">IF((OFFSET($A$1, 2158 - 1, 53 - 1)) &gt;= (OFFSET($A$1, 69 - 1, 7 - 1)), "1","0")</f>
        <v>0</v>
      </c>
      <c r="BD2158">
        <f ca="1" xml:space="preserve"> IF( AND( OFFSET($A$1, 2158 - 1, 54 - 1) = "1", OFFSET($A$1, 2158 - 1, 55 - 1) = "1" ), 1, IF( AND( OFFSET($A$1, 2158 - 1, 54 - 1) = "1", OFFSET($A$1, 2158 - 1, 55 - 1) = "0" ), 2, IF( AND( OFFSET($A$1, 2158 - 1, 54 - 1) = "0", OFFSET($A$1, 2158 - 1, 55 - 1) = "1" ), 3, 4 ) ) )</f>
        <v>4</v>
      </c>
    </row>
    <row r="2159" spans="53:56" x14ac:dyDescent="0.35">
      <c r="BA2159" s="3">
        <v>0.23634361777818894</v>
      </c>
      <c r="BB2159" s="3" t="str">
        <f>"0"</f>
        <v>0</v>
      </c>
      <c r="BC2159" t="str">
        <f ca="1">IF((OFFSET($A$1, 2159 - 1, 53 - 1)) &gt;= (OFFSET($A$1, 69 - 1, 7 - 1)), "1","0")</f>
        <v>0</v>
      </c>
      <c r="BD2159">
        <f ca="1" xml:space="preserve"> IF( AND( OFFSET($A$1, 2159 - 1, 54 - 1) = "1", OFFSET($A$1, 2159 - 1, 55 - 1) = "1" ), 1, IF( AND( OFFSET($A$1, 2159 - 1, 54 - 1) = "1", OFFSET($A$1, 2159 - 1, 55 - 1) = "0" ), 2, IF( AND( OFFSET($A$1, 2159 - 1, 54 - 1) = "0", OFFSET($A$1, 2159 - 1, 55 - 1) = "1" ), 3, 4 ) ) )</f>
        <v>4</v>
      </c>
    </row>
    <row r="2160" spans="53:56" x14ac:dyDescent="0.35">
      <c r="BA2160" s="3">
        <v>0.2352989931781857</v>
      </c>
      <c r="BB2160" s="3" t="str">
        <f>"0"</f>
        <v>0</v>
      </c>
      <c r="BC2160" t="str">
        <f ca="1">IF((OFFSET($A$1, 2160 - 1, 53 - 1)) &gt;= (OFFSET($A$1, 69 - 1, 7 - 1)), "1","0")</f>
        <v>0</v>
      </c>
      <c r="BD2160">
        <f ca="1" xml:space="preserve"> IF( AND( OFFSET($A$1, 2160 - 1, 54 - 1) = "1", OFFSET($A$1, 2160 - 1, 55 - 1) = "1" ), 1, IF( AND( OFFSET($A$1, 2160 - 1, 54 - 1) = "1", OFFSET($A$1, 2160 - 1, 55 - 1) = "0" ), 2, IF( AND( OFFSET($A$1, 2160 - 1, 54 - 1) = "0", OFFSET($A$1, 2160 - 1, 55 - 1) = "1" ), 3, 4 ) ) )</f>
        <v>4</v>
      </c>
    </row>
    <row r="2161" spans="53:56" x14ac:dyDescent="0.35">
      <c r="BA2161" s="3">
        <v>0.23426435659816003</v>
      </c>
      <c r="BB2161" s="3" t="str">
        <f>"0"</f>
        <v>0</v>
      </c>
      <c r="BC2161" t="str">
        <f ca="1">IF((OFFSET($A$1, 2161 - 1, 53 - 1)) &gt;= (OFFSET($A$1, 69 - 1, 7 - 1)), "1","0")</f>
        <v>0</v>
      </c>
      <c r="BD2161">
        <f ca="1" xml:space="preserve"> IF( AND( OFFSET($A$1, 2161 - 1, 54 - 1) = "1", OFFSET($A$1, 2161 - 1, 55 - 1) = "1" ), 1, IF( AND( OFFSET($A$1, 2161 - 1, 54 - 1) = "1", OFFSET($A$1, 2161 - 1, 55 - 1) = "0" ), 2, IF( AND( OFFSET($A$1, 2161 - 1, 54 - 1) = "0", OFFSET($A$1, 2161 - 1, 55 - 1) = "1" ), 3, 4 ) ) )</f>
        <v>4</v>
      </c>
    </row>
    <row r="2162" spans="53:56" x14ac:dyDescent="0.35">
      <c r="BA2162" s="3">
        <v>0.23323995318733878</v>
      </c>
      <c r="BB2162" s="3" t="str">
        <f>"0"</f>
        <v>0</v>
      </c>
      <c r="BC2162" t="str">
        <f ca="1">IF((OFFSET($A$1, 2162 - 1, 53 - 1)) &gt;= (OFFSET($A$1, 69 - 1, 7 - 1)), "1","0")</f>
        <v>0</v>
      </c>
      <c r="BD2162">
        <f ca="1" xml:space="preserve"> IF( AND( OFFSET($A$1, 2162 - 1, 54 - 1) = "1", OFFSET($A$1, 2162 - 1, 55 - 1) = "1" ), 1, IF( AND( OFFSET($A$1, 2162 - 1, 54 - 1) = "1", OFFSET($A$1, 2162 - 1, 55 - 1) = "0" ), 2, IF( AND( OFFSET($A$1, 2162 - 1, 54 - 1) = "0", OFFSET($A$1, 2162 - 1, 55 - 1) = "1" ), 3, 4 ) ) )</f>
        <v>4</v>
      </c>
    </row>
    <row r="2163" spans="53:56" x14ac:dyDescent="0.35">
      <c r="BA2163" s="3">
        <v>0.2322260225003682</v>
      </c>
      <c r="BB2163" s="3" t="str">
        <f>"0"</f>
        <v>0</v>
      </c>
      <c r="BC2163" t="str">
        <f ca="1">IF((OFFSET($A$1, 2163 - 1, 53 - 1)) &gt;= (OFFSET($A$1, 69 - 1, 7 - 1)), "1","0")</f>
        <v>0</v>
      </c>
      <c r="BD2163">
        <f ca="1" xml:space="preserve"> IF( AND( OFFSET($A$1, 2163 - 1, 54 - 1) = "1", OFFSET($A$1, 2163 - 1, 55 - 1) = "1" ), 1, IF( AND( OFFSET($A$1, 2163 - 1, 54 - 1) = "1", OFFSET($A$1, 2163 - 1, 55 - 1) = "0" ), 2, IF( AND( OFFSET($A$1, 2163 - 1, 54 - 1) = "0", OFFSET($A$1, 2163 - 1, 55 - 1) = "1" ), 3, 4 ) ) )</f>
        <v>4</v>
      </c>
    </row>
    <row r="2164" spans="53:56" x14ac:dyDescent="0.35">
      <c r="BA2164" s="3">
        <v>0.23122279850869862</v>
      </c>
      <c r="BB2164" s="3" t="str">
        <f>"1"</f>
        <v>1</v>
      </c>
      <c r="BC2164" t="str">
        <f ca="1">IF((OFFSET($A$1, 2164 - 1, 53 - 1)) &gt;= (OFFSET($A$1, 69 - 1, 7 - 1)), "1","0")</f>
        <v>0</v>
      </c>
      <c r="BD2164">
        <f ca="1" xml:space="preserve"> IF( AND( OFFSET($A$1, 2164 - 1, 54 - 1) = "1", OFFSET($A$1, 2164 - 1, 55 - 1) = "1" ), 1, IF( AND( OFFSET($A$1, 2164 - 1, 54 - 1) = "1", OFFSET($A$1, 2164 - 1, 55 - 1) = "0" ), 2, IF( AND( OFFSET($A$1, 2164 - 1, 54 - 1) = "0", OFFSET($A$1, 2164 - 1, 55 - 1) = "1" ), 3, 4 ) ) )</f>
        <v>2</v>
      </c>
    </row>
    <row r="2165" spans="53:56" x14ac:dyDescent="0.35">
      <c r="BA2165" s="3">
        <v>0.48283825652669315</v>
      </c>
      <c r="BB2165" s="3" t="str">
        <f>"0"</f>
        <v>0</v>
      </c>
      <c r="BC2165" t="str">
        <f ca="1">IF((OFFSET($A$1, 2165 - 1, 53 - 1)) &gt;= (OFFSET($A$1, 69 - 1, 7 - 1)), "1","0")</f>
        <v>0</v>
      </c>
      <c r="BD2165">
        <f ca="1" xml:space="preserve"> IF( AND( OFFSET($A$1, 2165 - 1, 54 - 1) = "1", OFFSET($A$1, 2165 - 1, 55 - 1) = "1" ), 1, IF( AND( OFFSET($A$1, 2165 - 1, 54 - 1) = "1", OFFSET($A$1, 2165 - 1, 55 - 1) = "0" ), 2, IF( AND( OFFSET($A$1, 2165 - 1, 54 - 1) = "0", OFFSET($A$1, 2165 - 1, 55 - 1) = "1" ), 3, 4 ) ) )</f>
        <v>4</v>
      </c>
    </row>
    <row r="2166" spans="53:56" x14ac:dyDescent="0.35">
      <c r="BA2166" s="3">
        <v>0.22924937868422296</v>
      </c>
      <c r="BB2166" s="3" t="str">
        <f>"0"</f>
        <v>0</v>
      </c>
      <c r="BC2166" t="str">
        <f ca="1">IF((OFFSET($A$1, 2166 - 1, 53 - 1)) &gt;= (OFFSET($A$1, 69 - 1, 7 - 1)), "1","0")</f>
        <v>0</v>
      </c>
      <c r="BD2166">
        <f ca="1" xml:space="preserve"> IF( AND( OFFSET($A$1, 2166 - 1, 54 - 1) = "1", OFFSET($A$1, 2166 - 1, 55 - 1) = "1" ), 1, IF( AND( OFFSET($A$1, 2166 - 1, 54 - 1) = "1", OFFSET($A$1, 2166 - 1, 55 - 1) = "0" ), 2, IF( AND( OFFSET($A$1, 2166 - 1, 54 - 1) = "0", OFFSET($A$1, 2166 - 1, 55 - 1) = "1" ), 3, 4 ) ) )</f>
        <v>4</v>
      </c>
    </row>
    <row r="2167" spans="53:56" x14ac:dyDescent="0.35">
      <c r="BA2167" s="3">
        <v>0.22827962304985108</v>
      </c>
      <c r="BB2167" s="3" t="str">
        <f>"0"</f>
        <v>0</v>
      </c>
      <c r="BC2167" t="str">
        <f ca="1">IF((OFFSET($A$1, 2167 - 1, 53 - 1)) &gt;= (OFFSET($A$1, 69 - 1, 7 - 1)), "1","0")</f>
        <v>0</v>
      </c>
      <c r="BD2167">
        <f ca="1" xml:space="preserve"> IF( AND( OFFSET($A$1, 2167 - 1, 54 - 1) = "1", OFFSET($A$1, 2167 - 1, 55 - 1) = "1" ), 1, IF( AND( OFFSET($A$1, 2167 - 1, 54 - 1) = "1", OFFSET($A$1, 2167 - 1, 55 - 1) = "0" ), 2, IF( AND( OFFSET($A$1, 2167 - 1, 54 - 1) = "0", OFFSET($A$1, 2167 - 1, 55 - 1) = "1" ), 3, 4 ) ) )</f>
        <v>4</v>
      </c>
    </row>
    <row r="2168" spans="53:56" x14ac:dyDescent="0.35">
      <c r="BA2168" s="3">
        <v>0.22732145456402633</v>
      </c>
      <c r="BB2168" s="3" t="str">
        <f>"1"</f>
        <v>1</v>
      </c>
      <c r="BC2168" t="str">
        <f ca="1">IF((OFFSET($A$1, 2168 - 1, 53 - 1)) &gt;= (OFFSET($A$1, 69 - 1, 7 - 1)), "1","0")</f>
        <v>0</v>
      </c>
      <c r="BD2168">
        <f ca="1" xml:space="preserve"> IF( AND( OFFSET($A$1, 2168 - 1, 54 - 1) = "1", OFFSET($A$1, 2168 - 1, 55 - 1) = "1" ), 1, IF( AND( OFFSET($A$1, 2168 - 1, 54 - 1) = "1", OFFSET($A$1, 2168 - 1, 55 - 1) = "0" ), 2, IF( AND( OFFSET($A$1, 2168 - 1, 54 - 1) = "0", OFFSET($A$1, 2168 - 1, 55 - 1) = "1" ), 3, 4 ) ) )</f>
        <v>2</v>
      </c>
    </row>
    <row r="2169" spans="53:56" x14ac:dyDescent="0.35">
      <c r="BA2169" s="3">
        <v>0.47737602000176765</v>
      </c>
      <c r="BB2169" s="3" t="str">
        <f>"0"</f>
        <v>0</v>
      </c>
      <c r="BC2169" t="str">
        <f ca="1">IF((OFFSET($A$1, 2169 - 1, 53 - 1)) &gt;= (OFFSET($A$1, 69 - 1, 7 - 1)), "1","0")</f>
        <v>0</v>
      </c>
      <c r="BD2169">
        <f ca="1" xml:space="preserve"> IF( AND( OFFSET($A$1, 2169 - 1, 54 - 1) = "1", OFFSET($A$1, 2169 - 1, 55 - 1) = "1" ), 1, IF( AND( OFFSET($A$1, 2169 - 1, 54 - 1) = "1", OFFSET($A$1, 2169 - 1, 55 - 1) = "0" ), 2, IF( AND( OFFSET($A$1, 2169 - 1, 54 - 1) = "0", OFFSET($A$1, 2169 - 1, 55 - 1) = "1" ), 3, 4 ) ) )</f>
        <v>4</v>
      </c>
    </row>
    <row r="2170" spans="53:56" x14ac:dyDescent="0.35">
      <c r="BA2170" s="3">
        <v>0.22544069920582524</v>
      </c>
      <c r="BB2170" s="3" t="str">
        <f>"0"</f>
        <v>0</v>
      </c>
      <c r="BC2170" t="str">
        <f ca="1">IF((OFFSET($A$1, 2170 - 1, 53 - 1)) &gt;= (OFFSET($A$1, 69 - 1, 7 - 1)), "1","0")</f>
        <v>0</v>
      </c>
      <c r="BD2170">
        <f ca="1" xml:space="preserve"> IF( AND( OFFSET($A$1, 2170 - 1, 54 - 1) = "1", OFFSET($A$1, 2170 - 1, 55 - 1) = "1" ), 1, IF( AND( OFFSET($A$1, 2170 - 1, 54 - 1) = "1", OFFSET($A$1, 2170 - 1, 55 - 1) = "0" ), 2, IF( AND( OFFSET($A$1, 2170 - 1, 54 - 1) = "0", OFFSET($A$1, 2170 - 1, 55 - 1) = "1" ), 3, 4 ) ) )</f>
        <v>4</v>
      </c>
    </row>
    <row r="2171" spans="53:56" x14ac:dyDescent="0.35">
      <c r="BA2171" s="3">
        <v>0.22451850892202349</v>
      </c>
      <c r="BB2171" s="3" t="str">
        <f>"0"</f>
        <v>0</v>
      </c>
      <c r="BC2171" t="str">
        <f ca="1">IF((OFFSET($A$1, 2171 - 1, 53 - 1)) &gt;= (OFFSET($A$1, 69 - 1, 7 - 1)), "1","0")</f>
        <v>0</v>
      </c>
      <c r="BD2171">
        <f ca="1" xml:space="preserve"> IF( AND( OFFSET($A$1, 2171 - 1, 54 - 1) = "1", OFFSET($A$1, 2171 - 1, 55 - 1) = "1" ), 1, IF( AND( OFFSET($A$1, 2171 - 1, 54 - 1) = "1", OFFSET($A$1, 2171 - 1, 55 - 1) = "0" ), 2, IF( AND( OFFSET($A$1, 2171 - 1, 54 - 1) = "0", OFFSET($A$1, 2171 - 1, 55 - 1) = "1" ), 3, 4 ) ) )</f>
        <v>4</v>
      </c>
    </row>
    <row r="2172" spans="53:56" x14ac:dyDescent="0.35">
      <c r="BA2172" s="3">
        <v>0.22360869905388783</v>
      </c>
      <c r="BB2172" s="3" t="str">
        <f>"0"</f>
        <v>0</v>
      </c>
      <c r="BC2172" t="str">
        <f ca="1">IF((OFFSET($A$1, 2172 - 1, 53 - 1)) &gt;= (OFFSET($A$1, 69 - 1, 7 - 1)), "1","0")</f>
        <v>0</v>
      </c>
      <c r="BD2172">
        <f ca="1" xml:space="preserve"> IF( AND( OFFSET($A$1, 2172 - 1, 54 - 1) = "1", OFFSET($A$1, 2172 - 1, 55 - 1) = "1" ), 1, IF( AND( OFFSET($A$1, 2172 - 1, 54 - 1) = "1", OFFSET($A$1, 2172 - 1, 55 - 1) = "0" ), 2, IF( AND( OFFSET($A$1, 2172 - 1, 54 - 1) = "0", OFFSET($A$1, 2172 - 1, 55 - 1) = "1" ), 3, 4 ) ) )</f>
        <v>4</v>
      </c>
    </row>
    <row r="2173" spans="53:56" x14ac:dyDescent="0.35">
      <c r="BA2173" s="3">
        <v>0.22271145460937636</v>
      </c>
      <c r="BB2173" s="3" t="str">
        <f>"0"</f>
        <v>0</v>
      </c>
      <c r="BC2173" t="str">
        <f ca="1">IF((OFFSET($A$1, 2173 - 1, 53 - 1)) &gt;= (OFFSET($A$1, 69 - 1, 7 - 1)), "1","0")</f>
        <v>0</v>
      </c>
      <c r="BD2173">
        <f ca="1" xml:space="preserve"> IF( AND( OFFSET($A$1, 2173 - 1, 54 - 1) = "1", OFFSET($A$1, 2173 - 1, 55 - 1) = "1" ), 1, IF( AND( OFFSET($A$1, 2173 - 1, 54 - 1) = "1", OFFSET($A$1, 2173 - 1, 55 - 1) = "0" ), 2, IF( AND( OFFSET($A$1, 2173 - 1, 54 - 1) = "0", OFFSET($A$1, 2173 - 1, 55 - 1) = "1" ), 3, 4 ) ) )</f>
        <v>4</v>
      </c>
    </row>
    <row r="2174" spans="53:56" x14ac:dyDescent="0.35">
      <c r="BA2174" s="3">
        <v>0.22182695537573516</v>
      </c>
      <c r="BB2174" s="3" t="str">
        <f>"1"</f>
        <v>1</v>
      </c>
      <c r="BC2174" t="str">
        <f ca="1">IF((OFFSET($A$1, 2174 - 1, 53 - 1)) &gt;= (OFFSET($A$1, 69 - 1, 7 - 1)), "1","0")</f>
        <v>0</v>
      </c>
      <c r="BD2174">
        <f ca="1" xml:space="preserve"> IF( AND( OFFSET($A$1, 2174 - 1, 54 - 1) = "1", OFFSET($A$1, 2174 - 1, 55 - 1) = "1" ), 1, IF( AND( OFFSET($A$1, 2174 - 1, 54 - 1) = "1", OFFSET($A$1, 2174 - 1, 55 - 1) = "0" ), 2, IF( AND( OFFSET($A$1, 2174 - 1, 54 - 1) = "0", OFFSET($A$1, 2174 - 1, 55 - 1) = "1" ), 3, 4 ) ) )</f>
        <v>2</v>
      </c>
    </row>
    <row r="2175" spans="53:56" x14ac:dyDescent="0.35">
      <c r="BA2175" s="3">
        <v>0.46959470423430805</v>
      </c>
      <c r="BB2175" s="3" t="str">
        <f>"0"</f>
        <v>0</v>
      </c>
      <c r="BC2175" t="str">
        <f ca="1">IF((OFFSET($A$1, 2175 - 1, 53 - 1)) &gt;= (OFFSET($A$1, 69 - 1, 7 - 1)), "1","0")</f>
        <v>0</v>
      </c>
      <c r="BD2175">
        <f ca="1" xml:space="preserve"> IF( AND( OFFSET($A$1, 2175 - 1, 54 - 1) = "1", OFFSET($A$1, 2175 - 1, 55 - 1) = "1" ), 1, IF( AND( OFFSET($A$1, 2175 - 1, 54 - 1) = "1", OFFSET($A$1, 2175 - 1, 55 - 1) = "0" ), 2, IF( AND( OFFSET($A$1, 2175 - 1, 54 - 1) = "0", OFFSET($A$1, 2175 - 1, 55 - 1) = "1" ), 3, 4 ) ) )</f>
        <v>4</v>
      </c>
    </row>
    <row r="2176" spans="53:56" x14ac:dyDescent="0.35">
      <c r="BA2176" s="3">
        <v>0.22009688593397655</v>
      </c>
      <c r="BB2176" s="3" t="str">
        <f>"0"</f>
        <v>0</v>
      </c>
      <c r="BC2176" t="str">
        <f ca="1">IF((OFFSET($A$1, 2176 - 1, 53 - 1)) &gt;= (OFFSET($A$1, 69 - 1, 7 - 1)), "1","0")</f>
        <v>0</v>
      </c>
      <c r="BD2176">
        <f ca="1" xml:space="preserve"> IF( AND( OFFSET($A$1, 2176 - 1, 54 - 1) = "1", OFFSET($A$1, 2176 - 1, 55 - 1) = "1" ), 1, IF( AND( OFFSET($A$1, 2176 - 1, 54 - 1) = "1", OFFSET($A$1, 2176 - 1, 55 - 1) = "0" ), 2, IF( AND( OFFSET($A$1, 2176 - 1, 54 - 1) = "0", OFFSET($A$1, 2176 - 1, 55 - 1) = "1" ), 3, 4 ) ) )</f>
        <v>4</v>
      </c>
    </row>
    <row r="2177" spans="53:56" x14ac:dyDescent="0.35">
      <c r="BA2177" s="3">
        <v>0.21925164972878727</v>
      </c>
      <c r="BB2177" s="3" t="str">
        <f>"1"</f>
        <v>1</v>
      </c>
      <c r="BC2177" t="str">
        <f ca="1">IF((OFFSET($A$1, 2177 - 1, 53 - 1)) &gt;= (OFFSET($A$1, 69 - 1, 7 - 1)), "1","0")</f>
        <v>0</v>
      </c>
      <c r="BD2177">
        <f ca="1" xml:space="preserve"> IF( AND( OFFSET($A$1, 2177 - 1, 54 - 1) = "1", OFFSET($A$1, 2177 - 1, 55 - 1) = "1" ), 1, IF( AND( OFFSET($A$1, 2177 - 1, 54 - 1) = "1", OFFSET($A$1, 2177 - 1, 55 - 1) = "0" ), 2, IF( AND( OFFSET($A$1, 2177 - 1, 54 - 1) = "0", OFFSET($A$1, 2177 - 1, 55 - 1) = "1" ), 3, 4 ) ) )</f>
        <v>2</v>
      </c>
    </row>
    <row r="2178" spans="53:56" x14ac:dyDescent="0.35">
      <c r="BA2178" s="3">
        <v>0.46591231515257137</v>
      </c>
      <c r="BB2178" s="3" t="str">
        <f>"0"</f>
        <v>0</v>
      </c>
      <c r="BC2178" t="str">
        <f ca="1">IF((OFFSET($A$1, 2178 - 1, 53 - 1)) &gt;= (OFFSET($A$1, 69 - 1, 7 - 1)), "1","0")</f>
        <v>0</v>
      </c>
      <c r="BD2178">
        <f ca="1" xml:space="preserve"> IF( AND( OFFSET($A$1, 2178 - 1, 54 - 1) = "1", OFFSET($A$1, 2178 - 1, 55 - 1) = "1" ), 1, IF( AND( OFFSET($A$1, 2178 - 1, 54 - 1) = "1", OFFSET($A$1, 2178 - 1, 55 - 1) = "0" ), 2, IF( AND( OFFSET($A$1, 2178 - 1, 54 - 1) = "0", OFFSET($A$1, 2178 - 1, 55 - 1) = "1" ), 3, 4 ) ) )</f>
        <v>4</v>
      </c>
    </row>
    <row r="2179" spans="53:56" x14ac:dyDescent="0.35">
      <c r="BA2179" s="3">
        <v>0.21760157196194058</v>
      </c>
      <c r="BB2179" s="3" t="str">
        <f>"0"</f>
        <v>0</v>
      </c>
      <c r="BC2179" t="str">
        <f ca="1">IF((OFFSET($A$1, 2179 - 1, 53 - 1)) &gt;= (OFFSET($A$1, 69 - 1, 7 - 1)), "1","0")</f>
        <v>0</v>
      </c>
      <c r="BD2179">
        <f ca="1" xml:space="preserve"> IF( AND( OFFSET($A$1, 2179 - 1, 54 - 1) = "1", OFFSET($A$1, 2179 - 1, 55 - 1) = "1" ), 1, IF( AND( OFFSET($A$1, 2179 - 1, 54 - 1) = "1", OFFSET($A$1, 2179 - 1, 55 - 1) = "0" ), 2, IF( AND( OFFSET($A$1, 2179 - 1, 54 - 1) = "0", OFFSET($A$1, 2179 - 1, 55 - 1) = "1" ), 3, 4 ) ) )</f>
        <v>4</v>
      </c>
    </row>
    <row r="2180" spans="53:56" x14ac:dyDescent="0.35">
      <c r="BA2180" s="3">
        <v>0.21679703477575712</v>
      </c>
      <c r="BB2180" s="3" t="str">
        <f>"1"</f>
        <v>1</v>
      </c>
      <c r="BC2180" t="str">
        <f ca="1">IF((OFFSET($A$1, 2180 - 1, 53 - 1)) &gt;= (OFFSET($A$1, 69 - 1, 7 - 1)), "1","0")</f>
        <v>0</v>
      </c>
      <c r="BD2180">
        <f ca="1" xml:space="preserve"> IF( AND( OFFSET($A$1, 2180 - 1, 54 - 1) = "1", OFFSET($A$1, 2180 - 1, 55 - 1) = "1" ), 1, IF( AND( OFFSET($A$1, 2180 - 1, 54 - 1) = "1", OFFSET($A$1, 2180 - 1, 55 - 1) = "0" ), 2, IF( AND( OFFSET($A$1, 2180 - 1, 54 - 1) = "0", OFFSET($A$1, 2180 - 1, 55 - 1) = "1" ), 3, 4 ) ) )</f>
        <v>2</v>
      </c>
    </row>
    <row r="2181" spans="53:56" x14ac:dyDescent="0.35">
      <c r="BA2181" s="3">
        <v>0.46238199018283066</v>
      </c>
      <c r="BB2181" s="3" t="str">
        <f>"0"</f>
        <v>0</v>
      </c>
      <c r="BC2181" t="str">
        <f ca="1">IF((OFFSET($A$1, 2181 - 1, 53 - 1)) &gt;= (OFFSET($A$1, 69 - 1, 7 - 1)), "1","0")</f>
        <v>0</v>
      </c>
      <c r="BD2181">
        <f ca="1" xml:space="preserve"> IF( AND( OFFSET($A$1, 2181 - 1, 54 - 1) = "1", OFFSET($A$1, 2181 - 1, 55 - 1) = "1" ), 1, IF( AND( OFFSET($A$1, 2181 - 1, 54 - 1) = "1", OFFSET($A$1, 2181 - 1, 55 - 1) = "0" ), 2, IF( AND( OFFSET($A$1, 2181 - 1, 54 - 1) = "0", OFFSET($A$1, 2181 - 1, 55 - 1) = "1" ), 3, 4 ) ) )</f>
        <v>4</v>
      </c>
    </row>
    <row r="2182" spans="53:56" x14ac:dyDescent="0.35">
      <c r="BA2182" s="3">
        <v>0.21522968892969901</v>
      </c>
      <c r="BB2182" s="3" t="str">
        <f>"0"</f>
        <v>0</v>
      </c>
      <c r="BC2182" t="str">
        <f ca="1">IF((OFFSET($A$1, 2182 - 1, 53 - 1)) &gt;= (OFFSET($A$1, 69 - 1, 7 - 1)), "1","0")</f>
        <v>0</v>
      </c>
      <c r="BD2182">
        <f ca="1" xml:space="preserve"> IF( AND( OFFSET($A$1, 2182 - 1, 54 - 1) = "1", OFFSET($A$1, 2182 - 1, 55 - 1) = "1" ), 1, IF( AND( OFFSET($A$1, 2182 - 1, 54 - 1) = "1", OFFSET($A$1, 2182 - 1, 55 - 1) = "0" ), 2, IF( AND( OFFSET($A$1, 2182 - 1, 54 - 1) = "0", OFFSET($A$1, 2182 - 1, 55 - 1) = "1" ), 3, 4 ) ) )</f>
        <v>4</v>
      </c>
    </row>
    <row r="2183" spans="53:56" x14ac:dyDescent="0.35">
      <c r="BA2183" s="3">
        <v>0.21446715631606875</v>
      </c>
      <c r="BB2183" s="3" t="str">
        <f>"1"</f>
        <v>1</v>
      </c>
      <c r="BC2183" t="str">
        <f ca="1">IF((OFFSET($A$1, 2183 - 1, 53 - 1)) &gt;= (OFFSET($A$1, 69 - 1, 7 - 1)), "1","0")</f>
        <v>0</v>
      </c>
      <c r="BD2183">
        <f ca="1" xml:space="preserve"> IF( AND( OFFSET($A$1, 2183 - 1, 54 - 1) = "1", OFFSET($A$1, 2183 - 1, 55 - 1) = "1" ), 1, IF( AND( OFFSET($A$1, 2183 - 1, 54 - 1) = "1", OFFSET($A$1, 2183 - 1, 55 - 1) = "0" ), 2, IF( AND( OFFSET($A$1, 2183 - 1, 54 - 1) = "0", OFFSET($A$1, 2183 - 1, 55 - 1) = "1" ), 3, 4 ) ) )</f>
        <v>2</v>
      </c>
    </row>
    <row r="2184" spans="53:56" x14ac:dyDescent="0.35">
      <c r="BA2184" s="3">
        <v>0.45901301260411648</v>
      </c>
      <c r="BB2184" s="3" t="str">
        <f>"0"</f>
        <v>0</v>
      </c>
      <c r="BC2184" t="str">
        <f ca="1">IF((OFFSET($A$1, 2184 - 1, 53 - 1)) &gt;= (OFFSET($A$1, 69 - 1, 7 - 1)), "1","0")</f>
        <v>0</v>
      </c>
      <c r="BD2184">
        <f ca="1" xml:space="preserve"> IF( AND( OFFSET($A$1, 2184 - 1, 54 - 1) = "1", OFFSET($A$1, 2184 - 1, 55 - 1) = "1" ), 1, IF( AND( OFFSET($A$1, 2184 - 1, 54 - 1) = "1", OFFSET($A$1, 2184 - 1, 55 - 1) = "0" ), 2, IF( AND( OFFSET($A$1, 2184 - 1, 54 - 1) = "0", OFFSET($A$1, 2184 - 1, 55 - 1) = "1" ), 3, 4 ) ) )</f>
        <v>4</v>
      </c>
    </row>
    <row r="2185" spans="53:56" x14ac:dyDescent="0.35">
      <c r="BA2185" s="3">
        <v>0.21298502774228162</v>
      </c>
      <c r="BB2185" s="3" t="str">
        <f>"1"</f>
        <v>1</v>
      </c>
      <c r="BC2185" t="str">
        <f ca="1">IF((OFFSET($A$1, 2185 - 1, 53 - 1)) &gt;= (OFFSET($A$1, 69 - 1, 7 - 1)), "1","0")</f>
        <v>0</v>
      </c>
      <c r="BD2185">
        <f ca="1" xml:space="preserve"> IF( AND( OFFSET($A$1, 2185 - 1, 54 - 1) = "1", OFFSET($A$1, 2185 - 1, 55 - 1) = "1" ), 1, IF( AND( OFFSET($A$1, 2185 - 1, 54 - 1) = "1", OFFSET($A$1, 2185 - 1, 55 - 1) = "0" ), 2, IF( AND( OFFSET($A$1, 2185 - 1, 54 - 1) = "0", OFFSET($A$1, 2185 - 1, 55 - 1) = "1" ), 3, 4 ) ) )</f>
        <v>2</v>
      </c>
    </row>
    <row r="2186" spans="53:56" x14ac:dyDescent="0.35">
      <c r="BA2186" s="3">
        <v>0.45686101145494651</v>
      </c>
      <c r="BB2186" s="3" t="str">
        <f>"0"</f>
        <v>0</v>
      </c>
      <c r="BC2186" t="str">
        <f ca="1">IF((OFFSET($A$1, 2186 - 1, 53 - 1)) &gt;= (OFFSET($A$1, 69 - 1, 7 - 1)), "1","0")</f>
        <v>0</v>
      </c>
      <c r="BD2186">
        <f ca="1" xml:space="preserve"> IF( AND( OFFSET($A$1, 2186 - 1, 54 - 1) = "1", OFFSET($A$1, 2186 - 1, 55 - 1) = "1" ), 1, IF( AND( OFFSET($A$1, 2186 - 1, 54 - 1) = "1", OFFSET($A$1, 2186 - 1, 55 - 1) = "0" ), 2, IF( AND( OFFSET($A$1, 2186 - 1, 54 - 1) = "0", OFFSET($A$1, 2186 - 1, 55 - 1) = "1" ), 3, 4 ) ) )</f>
        <v>4</v>
      </c>
    </row>
    <row r="2187" spans="53:56" x14ac:dyDescent="0.35">
      <c r="BA2187" s="3">
        <v>0.21156097123853884</v>
      </c>
      <c r="BB2187" s="3" t="str">
        <f>"0"</f>
        <v>0</v>
      </c>
      <c r="BC2187" t="str">
        <f ca="1">IF((OFFSET($A$1, 2187 - 1, 53 - 1)) &gt;= (OFFSET($A$1, 69 - 1, 7 - 1)), "1","0")</f>
        <v>0</v>
      </c>
      <c r="BD2187">
        <f ca="1" xml:space="preserve"> IF( AND( OFFSET($A$1, 2187 - 1, 54 - 1) = "1", OFFSET($A$1, 2187 - 1, 55 - 1) = "1" ), 1, IF( AND( OFFSET($A$1, 2187 - 1, 54 - 1) = "1", OFFSET($A$1, 2187 - 1, 55 - 1) = "0" ), 2, IF( AND( OFFSET($A$1, 2187 - 1, 54 - 1) = "0", OFFSET($A$1, 2187 - 1, 55 - 1) = "1" ), 3, 4 ) ) )</f>
        <v>4</v>
      </c>
    </row>
    <row r="2188" spans="53:56" x14ac:dyDescent="0.35">
      <c r="BA2188" s="3">
        <v>0.2108710126473467</v>
      </c>
      <c r="BB2188" s="3" t="str">
        <f>"0"</f>
        <v>0</v>
      </c>
      <c r="BC2188" t="str">
        <f ca="1">IF((OFFSET($A$1, 2188 - 1, 53 - 1)) &gt;= (OFFSET($A$1, 69 - 1, 7 - 1)), "1","0")</f>
        <v>0</v>
      </c>
      <c r="BD2188">
        <f ca="1" xml:space="preserve"> IF( AND( OFFSET($A$1, 2188 - 1, 54 - 1) = "1", OFFSET($A$1, 2188 - 1, 55 - 1) = "1" ), 1, IF( AND( OFFSET($A$1, 2188 - 1, 54 - 1) = "1", OFFSET($A$1, 2188 - 1, 55 - 1) = "0" ), 2, IF( AND( OFFSET($A$1, 2188 - 1, 54 - 1) = "0", OFFSET($A$1, 2188 - 1, 55 - 1) = "1" ), 3, 4 ) ) )</f>
        <v>4</v>
      </c>
    </row>
    <row r="2189" spans="53:56" x14ac:dyDescent="0.35">
      <c r="BA2189" s="3">
        <v>0.21019591490086159</v>
      </c>
      <c r="BB2189" s="3" t="str">
        <f>"0"</f>
        <v>0</v>
      </c>
      <c r="BC2189" t="str">
        <f ca="1">IF((OFFSET($A$1, 2189 - 1, 53 - 1)) &gt;= (OFFSET($A$1, 69 - 1, 7 - 1)), "1","0")</f>
        <v>0</v>
      </c>
      <c r="BD2189">
        <f ca="1" xml:space="preserve"> IF( AND( OFFSET($A$1, 2189 - 1, 54 - 1) = "1", OFFSET($A$1, 2189 - 1, 55 - 1) = "1" ), 1, IF( AND( OFFSET($A$1, 2189 - 1, 54 - 1) = "1", OFFSET($A$1, 2189 - 1, 55 - 1) = "0" ), 2, IF( AND( OFFSET($A$1, 2189 - 1, 54 - 1) = "0", OFFSET($A$1, 2189 - 1, 55 - 1) = "1" ), 3, 4 ) ) )</f>
        <v>4</v>
      </c>
    </row>
    <row r="2190" spans="53:56" x14ac:dyDescent="0.35">
      <c r="BA2190" s="3">
        <v>0.20953578374127024</v>
      </c>
      <c r="BB2190" s="3" t="str">
        <f>"0"</f>
        <v>0</v>
      </c>
      <c r="BC2190" t="str">
        <f ca="1">IF((OFFSET($A$1, 2190 - 1, 53 - 1)) &gt;= (OFFSET($A$1, 69 - 1, 7 - 1)), "1","0")</f>
        <v>0</v>
      </c>
      <c r="BD2190">
        <f ca="1" xml:space="preserve"> IF( AND( OFFSET($A$1, 2190 - 1, 54 - 1) = "1", OFFSET($A$1, 2190 - 1, 55 - 1) = "1" ), 1, IF( AND( OFFSET($A$1, 2190 - 1, 54 - 1) = "1", OFFSET($A$1, 2190 - 1, 55 - 1) = "0" ), 2, IF( AND( OFFSET($A$1, 2190 - 1, 54 - 1) = "0", OFFSET($A$1, 2190 - 1, 55 - 1) = "1" ), 3, 4 ) ) )</f>
        <v>4</v>
      </c>
    </row>
    <row r="2191" spans="53:56" x14ac:dyDescent="0.35">
      <c r="BA2191" s="3">
        <v>0.20889072096403449</v>
      </c>
      <c r="BB2191" s="3" t="str">
        <f>"0"</f>
        <v>0</v>
      </c>
      <c r="BC2191" t="str">
        <f ca="1">IF((OFFSET($A$1, 2191 - 1, 53 - 1)) &gt;= (OFFSET($A$1, 69 - 1, 7 - 1)), "1","0")</f>
        <v>0</v>
      </c>
      <c r="BD2191">
        <f ca="1" xml:space="preserve"> IF( AND( OFFSET($A$1, 2191 - 1, 54 - 1) = "1", OFFSET($A$1, 2191 - 1, 55 - 1) = "1" ), 1, IF( AND( OFFSET($A$1, 2191 - 1, 54 - 1) = "1", OFFSET($A$1, 2191 - 1, 55 - 1) = "0" ), 2, IF( AND( OFFSET($A$1, 2191 - 1, 54 - 1) = "0", OFFSET($A$1, 2191 - 1, 55 - 1) = "1" ), 3, 4 ) ) )</f>
        <v>4</v>
      </c>
    </row>
    <row r="2192" spans="53:56" x14ac:dyDescent="0.35">
      <c r="BA2192" s="3">
        <v>0.20826082450323966</v>
      </c>
      <c r="BB2192" s="3" t="str">
        <f>"0"</f>
        <v>0</v>
      </c>
      <c r="BC2192" t="str">
        <f ca="1">IF((OFFSET($A$1, 2192 - 1, 53 - 1)) &gt;= (OFFSET($A$1, 69 - 1, 7 - 1)), "1","0")</f>
        <v>0</v>
      </c>
      <c r="BD2192">
        <f ca="1" xml:space="preserve"> IF( AND( OFFSET($A$1, 2192 - 1, 54 - 1) = "1", OFFSET($A$1, 2192 - 1, 55 - 1) = "1" ), 1, IF( AND( OFFSET($A$1, 2192 - 1, 54 - 1) = "1", OFFSET($A$1, 2192 - 1, 55 - 1) = "0" ), 2, IF( AND( OFFSET($A$1, 2192 - 1, 54 - 1) = "0", OFFSET($A$1, 2192 - 1, 55 - 1) = "1" ), 3, 4 ) ) )</f>
        <v>4</v>
      </c>
    </row>
    <row r="2193" spans="53:56" x14ac:dyDescent="0.35">
      <c r="BA2193" s="3">
        <v>0.2076461885169866</v>
      </c>
      <c r="BB2193" s="3" t="str">
        <f>"0"</f>
        <v>0</v>
      </c>
      <c r="BC2193" t="str">
        <f ca="1">IF((OFFSET($A$1, 2193 - 1, 53 - 1)) &gt;= (OFFSET($A$1, 69 - 1, 7 - 1)), "1","0")</f>
        <v>0</v>
      </c>
      <c r="BD2193">
        <f ca="1" xml:space="preserve"> IF( AND( OFFSET($A$1, 2193 - 1, 54 - 1) = "1", OFFSET($A$1, 2193 - 1, 55 - 1) = "1" ), 1, IF( AND( OFFSET($A$1, 2193 - 1, 54 - 1) = "1", OFFSET($A$1, 2193 - 1, 55 - 1) = "0" ), 2, IF( AND( OFFSET($A$1, 2193 - 1, 54 - 1) = "0", OFFSET($A$1, 2193 - 1, 55 - 1) = "1" ), 3, 4 ) ) )</f>
        <v>4</v>
      </c>
    </row>
    <row r="2194" spans="53:56" x14ac:dyDescent="0.35">
      <c r="BA2194" s="3">
        <v>0.20704690347267565</v>
      </c>
      <c r="BB2194" s="3" t="str">
        <f>"1"</f>
        <v>1</v>
      </c>
      <c r="BC2194" t="str">
        <f ca="1">IF((OFFSET($A$1, 2194 - 1, 53 - 1)) &gt;= (OFFSET($A$1, 69 - 1, 7 - 1)), "1","0")</f>
        <v>0</v>
      </c>
      <c r="BD2194">
        <f ca="1" xml:space="preserve"> IF( AND( OFFSET($A$1, 2194 - 1, 54 - 1) = "1", OFFSET($A$1, 2194 - 1, 55 - 1) = "1" ), 1, IF( AND( OFFSET($A$1, 2194 - 1, 54 - 1) = "1", OFFSET($A$1, 2194 - 1, 55 - 1) = "0" ), 2, IF( AND( OFFSET($A$1, 2194 - 1, 54 - 1) = "0", OFFSET($A$1, 2194 - 1, 55 - 1) = "1" ), 3, 4 ) ) )</f>
        <v>2</v>
      </c>
    </row>
    <row r="2195" spans="53:56" x14ac:dyDescent="0.35">
      <c r="BA2195" s="3">
        <v>0.44817616594151838</v>
      </c>
      <c r="BB2195" s="3" t="str">
        <f>"0"</f>
        <v>0</v>
      </c>
      <c r="BC2195" t="str">
        <f ca="1">IF((OFFSET($A$1, 2195 - 1, 53 - 1)) &gt;= (OFFSET($A$1, 69 - 1, 7 - 1)), "1","0")</f>
        <v>0</v>
      </c>
      <c r="BD2195">
        <f ca="1" xml:space="preserve"> IF( AND( OFFSET($A$1, 2195 - 1, 54 - 1) = "1", OFFSET($A$1, 2195 - 1, 55 - 1) = "1" ), 1, IF( AND( OFFSET($A$1, 2195 - 1, 54 - 1) = "1", OFFSET($A$1, 2195 - 1, 55 - 1) = "0" ), 2, IF( AND( OFFSET($A$1, 2195 - 1, 54 - 1) = "0", OFFSET($A$1, 2195 - 1, 55 - 1) = "1" ), 3, 4 ) ) )</f>
        <v>4</v>
      </c>
    </row>
    <row r="2196" spans="53:56" x14ac:dyDescent="0.35">
      <c r="BA2196" s="3">
        <v>0.20589473013565504</v>
      </c>
      <c r="BB2196" s="3" t="str">
        <f>"0"</f>
        <v>0</v>
      </c>
      <c r="BC2196" t="str">
        <f ca="1">IF((OFFSET($A$1, 2196 - 1, 53 - 1)) &gt;= (OFFSET($A$1, 69 - 1, 7 - 1)), "1","0")</f>
        <v>0</v>
      </c>
      <c r="BD2196">
        <f ca="1" xml:space="preserve"> IF( AND( OFFSET($A$1, 2196 - 1, 54 - 1) = "1", OFFSET($A$1, 2196 - 1, 55 - 1) = "1" ), 1, IF( AND( OFFSET($A$1, 2196 - 1, 54 - 1) = "1", OFFSET($A$1, 2196 - 1, 55 - 1) = "0" ), 2, IF( AND( OFFSET($A$1, 2196 - 1, 54 - 1) = "0", OFFSET($A$1, 2196 - 1, 55 - 1) = "1" ), 3, 4 ) ) )</f>
        <v>4</v>
      </c>
    </row>
    <row r="2197" spans="53:56" x14ac:dyDescent="0.35">
      <c r="BA2197" s="3">
        <v>0.20534200508712552</v>
      </c>
      <c r="BB2197" s="3" t="str">
        <f>"0"</f>
        <v>0</v>
      </c>
      <c r="BC2197" t="str">
        <f ca="1">IF((OFFSET($A$1, 2197 - 1, 53 - 1)) &gt;= (OFFSET($A$1, 69 - 1, 7 - 1)), "1","0")</f>
        <v>0</v>
      </c>
      <c r="BD2197">
        <f ca="1" xml:space="preserve"> IF( AND( OFFSET($A$1, 2197 - 1, 54 - 1) = "1", OFFSET($A$1, 2197 - 1, 55 - 1) = "1" ), 1, IF( AND( OFFSET($A$1, 2197 - 1, 54 - 1) = "1", OFFSET($A$1, 2197 - 1, 55 - 1) = "0" ), 2, IF( AND( OFFSET($A$1, 2197 - 1, 54 - 1) = "0", OFFSET($A$1, 2197 - 1, 55 - 1) = "1" ), 3, 4 ) ) )</f>
        <v>4</v>
      </c>
    </row>
    <row r="2198" spans="53:56" x14ac:dyDescent="0.35">
      <c r="BA2198" s="3">
        <v>0.20480495763622381</v>
      </c>
      <c r="BB2198" s="3" t="str">
        <f>"0"</f>
        <v>0</v>
      </c>
      <c r="BC2198" t="str">
        <f ca="1">IF((OFFSET($A$1, 2198 - 1, 53 - 1)) &gt;= (OFFSET($A$1, 69 - 1, 7 - 1)), "1","0")</f>
        <v>0</v>
      </c>
      <c r="BD2198">
        <f ca="1" xml:space="preserve"> IF( AND( OFFSET($A$1, 2198 - 1, 54 - 1) = "1", OFFSET($A$1, 2198 - 1, 55 - 1) = "1" ), 1, IF( AND( OFFSET($A$1, 2198 - 1, 54 - 1) = "1", OFFSET($A$1, 2198 - 1, 55 - 1) = "0" ), 2, IF( AND( OFFSET($A$1, 2198 - 1, 54 - 1) = "0", OFFSET($A$1, 2198 - 1, 55 - 1) = "1" ), 3, 4 ) ) )</f>
        <v>4</v>
      </c>
    </row>
    <row r="2199" spans="53:56" x14ac:dyDescent="0.35">
      <c r="BA2199" s="3">
        <v>0.20428366106141574</v>
      </c>
      <c r="BB2199" s="3" t="str">
        <f>"0"</f>
        <v>0</v>
      </c>
      <c r="BC2199" t="str">
        <f ca="1">IF((OFFSET($A$1, 2199 - 1, 53 - 1)) &gt;= (OFFSET($A$1, 69 - 1, 7 - 1)), "1","0")</f>
        <v>0</v>
      </c>
      <c r="BD2199">
        <f ca="1" xml:space="preserve"> IF( AND( OFFSET($A$1, 2199 - 1, 54 - 1) = "1", OFFSET($A$1, 2199 - 1, 55 - 1) = "1" ), 1, IF( AND( OFFSET($A$1, 2199 - 1, 54 - 1) = "1", OFFSET($A$1, 2199 - 1, 55 - 1) = "0" ), 2, IF( AND( OFFSET($A$1, 2199 - 1, 54 - 1) = "0", OFFSET($A$1, 2199 - 1, 55 - 1) = "1" ), 3, 4 ) ) )</f>
        <v>4</v>
      </c>
    </row>
    <row r="2200" spans="53:56" x14ac:dyDescent="0.35">
      <c r="BA2200" s="3">
        <v>0.20377818545128976</v>
      </c>
      <c r="BB2200" s="3" t="str">
        <f>"0"</f>
        <v>0</v>
      </c>
      <c r="BC2200" t="str">
        <f ca="1">IF((OFFSET($A$1, 2200 - 1, 53 - 1)) &gt;= (OFFSET($A$1, 69 - 1, 7 - 1)), "1","0")</f>
        <v>0</v>
      </c>
      <c r="BD2200">
        <f ca="1" xml:space="preserve"> IF( AND( OFFSET($A$1, 2200 - 1, 54 - 1) = "1", OFFSET($A$1, 2200 - 1, 55 - 1) = "1" ), 1, IF( AND( OFFSET($A$1, 2200 - 1, 54 - 1) = "1", OFFSET($A$1, 2200 - 1, 55 - 1) = "0" ), 2, IF( AND( OFFSET($A$1, 2200 - 1, 54 - 1) = "0", OFFSET($A$1, 2200 - 1, 55 - 1) = "1" ), 3, 4 ) ) )</f>
        <v>4</v>
      </c>
    </row>
    <row r="2201" spans="53:56" x14ac:dyDescent="0.35">
      <c r="BA2201" s="3">
        <v>0.20328859778487215</v>
      </c>
      <c r="BB2201" s="3" t="str">
        <f>"0"</f>
        <v>0</v>
      </c>
      <c r="BC2201" t="str">
        <f ca="1">IF((OFFSET($A$1, 2201 - 1, 53 - 1)) &gt;= (OFFSET($A$1, 69 - 1, 7 - 1)), "1","0")</f>
        <v>0</v>
      </c>
      <c r="BD2201">
        <f ca="1" xml:space="preserve"> IF( AND( OFFSET($A$1, 2201 - 1, 54 - 1) = "1", OFFSET($A$1, 2201 - 1, 55 - 1) = "1" ), 1, IF( AND( OFFSET($A$1, 2201 - 1, 54 - 1) = "1", OFFSET($A$1, 2201 - 1, 55 - 1) = "0" ), 2, IF( AND( OFFSET($A$1, 2201 - 1, 54 - 1) = "0", OFFSET($A$1, 2201 - 1, 55 - 1) = "1" ), 3, 4 ) ) )</f>
        <v>4</v>
      </c>
    </row>
    <row r="2202" spans="53:56" x14ac:dyDescent="0.35">
      <c r="BA2202" s="3">
        <v>0.20281496201067953</v>
      </c>
      <c r="BB2202" s="3" t="str">
        <f>"0"</f>
        <v>0</v>
      </c>
      <c r="BC2202" t="str">
        <f ca="1">IF((OFFSET($A$1, 2202 - 1, 53 - 1)) &gt;= (OFFSET($A$1, 69 - 1, 7 - 1)), "1","0")</f>
        <v>0</v>
      </c>
      <c r="BD2202">
        <f ca="1" xml:space="preserve"> IF( AND( OFFSET($A$1, 2202 - 1, 54 - 1) = "1", OFFSET($A$1, 2202 - 1, 55 - 1) = "1" ), 1, IF( AND( OFFSET($A$1, 2202 - 1, 54 - 1) = "1", OFFSET($A$1, 2202 - 1, 55 - 1) = "0" ), 2, IF( AND( OFFSET($A$1, 2202 - 1, 54 - 1) = "0", OFFSET($A$1, 2202 - 1, 55 - 1) = "1" ), 3, 4 ) ) )</f>
        <v>4</v>
      </c>
    </row>
    <row r="2203" spans="53:56" x14ac:dyDescent="0.35">
      <c r="BA2203" s="3">
        <v>0.20235733912438578</v>
      </c>
      <c r="BB2203" s="3" t="str">
        <f>"1"</f>
        <v>1</v>
      </c>
      <c r="BC2203" t="str">
        <f ca="1">IF((OFFSET($A$1, 2203 - 1, 53 - 1)) &gt;= (OFFSET($A$1, 69 - 1, 7 - 1)), "1","0")</f>
        <v>0</v>
      </c>
      <c r="BD2203">
        <f ca="1" xml:space="preserve"> IF( AND( OFFSET($A$1, 2203 - 1, 54 - 1) = "1", OFFSET($A$1, 2203 - 1, 55 - 1) = "1" ), 1, IF( AND( OFFSET($A$1, 2203 - 1, 54 - 1) = "1", OFFSET($A$1, 2203 - 1, 55 - 1) = "0" ), 2, IF( AND( OFFSET($A$1, 2203 - 1, 54 - 1) = "0", OFFSET($A$1, 2203 - 1, 55 - 1) = "1" ), 3, 4 ) ) )</f>
        <v>2</v>
      </c>
    </row>
    <row r="2204" spans="53:56" x14ac:dyDescent="0.35">
      <c r="BA2204" s="3">
        <v>0.44126559797758907</v>
      </c>
      <c r="BB2204" s="3" t="str">
        <f>"1"</f>
        <v>1</v>
      </c>
      <c r="BC2204" t="str">
        <f ca="1">IF((OFFSET($A$1, 2204 - 1, 53 - 1)) &gt;= (OFFSET($A$1, 69 - 1, 7 - 1)), "1","0")</f>
        <v>0</v>
      </c>
      <c r="BD2204">
        <f ca="1" xml:space="preserve"> IF( AND( OFFSET($A$1, 2204 - 1, 54 - 1) = "1", OFFSET($A$1, 2204 - 1, 55 - 1) = "1" ), 1, IF( AND( OFFSET($A$1, 2204 - 1, 54 - 1) = "1", OFFSET($A$1, 2204 - 1, 55 - 1) = "0" ), 2, IF( AND( OFFSET($A$1, 2204 - 1, 54 - 1) = "0", OFFSET($A$1, 2204 - 1, 55 - 1) = "1" ), 3, 4 ) ) )</f>
        <v>2</v>
      </c>
    </row>
    <row r="2205" spans="53:56" x14ac:dyDescent="0.35">
      <c r="BA2205" s="3">
        <v>0.4406142927387886</v>
      </c>
      <c r="BB2205" s="3" t="str">
        <f>"1"</f>
        <v>1</v>
      </c>
      <c r="BC2205" t="str">
        <f ca="1">IF((OFFSET($A$1, 2205 - 1, 53 - 1)) &gt;= (OFFSET($A$1, 69 - 1, 7 - 1)), "1","0")</f>
        <v>0</v>
      </c>
      <c r="BD2205">
        <f ca="1" xml:space="preserve"> IF( AND( OFFSET($A$1, 2205 - 1, 54 - 1) = "1", OFFSET($A$1, 2205 - 1, 55 - 1) = "1" ), 1, IF( AND( OFFSET($A$1, 2205 - 1, 54 - 1) = "1", OFFSET($A$1, 2205 - 1, 55 - 1) = "0" ), 2, IF( AND( OFFSET($A$1, 2205 - 1, 54 - 1) = "0", OFFSET($A$1, 2205 - 1, 55 - 1) = "1" ), 3, 4 ) ) )</f>
        <v>2</v>
      </c>
    </row>
    <row r="2206" spans="53:56" x14ac:dyDescent="0.35">
      <c r="BA2206" s="3">
        <v>0.4399869788985008</v>
      </c>
      <c r="BB2206" s="3" t="str">
        <f>"0"</f>
        <v>0</v>
      </c>
      <c r="BC2206" t="str">
        <f ca="1">IF((OFFSET($A$1, 2206 - 1, 53 - 1)) &gt;= (OFFSET($A$1, 69 - 1, 7 - 1)), "1","0")</f>
        <v>0</v>
      </c>
      <c r="BD2206">
        <f ca="1" xml:space="preserve"> IF( AND( OFFSET($A$1, 2206 - 1, 54 - 1) = "1", OFFSET($A$1, 2206 - 1, 55 - 1) = "1" ), 1, IF( AND( OFFSET($A$1, 2206 - 1, 54 - 1) = "1", OFFSET($A$1, 2206 - 1, 55 - 1) = "0" ), 2, IF( AND( OFFSET($A$1, 2206 - 1, 54 - 1) = "0", OFFSET($A$1, 2206 - 1, 55 - 1) = "1" ), 3, 4 ) ) )</f>
        <v>4</v>
      </c>
    </row>
    <row r="2207" spans="53:56" x14ac:dyDescent="0.35">
      <c r="BA2207" s="3">
        <v>0.20068809724074654</v>
      </c>
      <c r="BB2207" s="3" t="str">
        <f>"0"</f>
        <v>0</v>
      </c>
      <c r="BC2207" t="str">
        <f ca="1">IF((OFFSET($A$1, 2207 - 1, 53 - 1)) &gt;= (OFFSET($A$1, 69 - 1, 7 - 1)), "1","0")</f>
        <v>0</v>
      </c>
      <c r="BD2207">
        <f ca="1" xml:space="preserve"> IF( AND( OFFSET($A$1, 2207 - 1, 54 - 1) = "1", OFFSET($A$1, 2207 - 1, 55 - 1) = "1" ), 1, IF( AND( OFFSET($A$1, 2207 - 1, 54 - 1) = "1", OFFSET($A$1, 2207 - 1, 55 - 1) = "0" ), 2, IF( AND( OFFSET($A$1, 2207 - 1, 54 - 1) = "0", OFFSET($A$1, 2207 - 1, 55 - 1) = "1" ), 3, 4 ) ) )</f>
        <v>4</v>
      </c>
    </row>
    <row r="2208" spans="53:56" x14ac:dyDescent="0.35">
      <c r="BA2208" s="3">
        <v>0.20031135561666444</v>
      </c>
      <c r="BB2208" s="3" t="str">
        <f>"0"</f>
        <v>0</v>
      </c>
      <c r="BC2208" t="str">
        <f ca="1">IF((OFFSET($A$1, 2208 - 1, 53 - 1)) &gt;= (OFFSET($A$1, 69 - 1, 7 - 1)), "1","0")</f>
        <v>0</v>
      </c>
      <c r="BD2208">
        <f ca="1" xml:space="preserve"> IF( AND( OFFSET($A$1, 2208 - 1, 54 - 1) = "1", OFFSET($A$1, 2208 - 1, 55 - 1) = "1" ), 1, IF( AND( OFFSET($A$1, 2208 - 1, 54 - 1) = "1", OFFSET($A$1, 2208 - 1, 55 - 1) = "0" ), 2, IF( AND( OFFSET($A$1, 2208 - 1, 54 - 1) = "0", OFFSET($A$1, 2208 - 1, 55 - 1) = "1" ), 3, 4 ) ) )</f>
        <v>4</v>
      </c>
    </row>
    <row r="2209" spans="53:56" x14ac:dyDescent="0.35">
      <c r="BA2209" s="3">
        <v>0.1999509349899008</v>
      </c>
      <c r="BB2209" s="3" t="str">
        <f>"0"</f>
        <v>0</v>
      </c>
      <c r="BC2209" t="str">
        <f ca="1">IF((OFFSET($A$1, 2209 - 1, 53 - 1)) &gt;= (OFFSET($A$1, 69 - 1, 7 - 1)), "1","0")</f>
        <v>0</v>
      </c>
      <c r="BD2209">
        <f ca="1" xml:space="preserve"> IF( AND( OFFSET($A$1, 2209 - 1, 54 - 1) = "1", OFFSET($A$1, 2209 - 1, 55 - 1) = "1" ), 1, IF( AND( OFFSET($A$1, 2209 - 1, 54 - 1) = "1", OFFSET($A$1, 2209 - 1, 55 - 1) = "0" ), 2, IF( AND( OFFSET($A$1, 2209 - 1, 54 - 1) = "0", OFFSET($A$1, 2209 - 1, 55 - 1) = "1" ), 3, 4 ) ) )</f>
        <v>4</v>
      </c>
    </row>
    <row r="2210" spans="53:56" x14ac:dyDescent="0.35">
      <c r="BA2210" s="3">
        <v>0.19960687772012409</v>
      </c>
      <c r="BB2210" s="3" t="str">
        <f>"0"</f>
        <v>0</v>
      </c>
      <c r="BC2210" t="str">
        <f ca="1">IF((OFFSET($A$1, 2210 - 1, 53 - 1)) &gt;= (OFFSET($A$1, 69 - 1, 7 - 1)), "1","0")</f>
        <v>0</v>
      </c>
      <c r="BD2210">
        <f ca="1" xml:space="preserve"> IF( AND( OFFSET($A$1, 2210 - 1, 54 - 1) = "1", OFFSET($A$1, 2210 - 1, 55 - 1) = "1" ), 1, IF( AND( OFFSET($A$1, 2210 - 1, 54 - 1) = "1", OFFSET($A$1, 2210 - 1, 55 - 1) = "0" ), 2, IF( AND( OFFSET($A$1, 2210 - 1, 54 - 1) = "0", OFFSET($A$1, 2210 - 1, 55 - 1) = "1" ), 3, 4 ) ) )</f>
        <v>4</v>
      </c>
    </row>
    <row r="2211" spans="53:56" x14ac:dyDescent="0.35">
      <c r="BA2211" s="3">
        <v>0.19927922377197277</v>
      </c>
      <c r="BB2211" s="3" t="str">
        <f>"0"</f>
        <v>0</v>
      </c>
      <c r="BC2211" t="str">
        <f ca="1">IF((OFFSET($A$1, 2211 - 1, 53 - 1)) &gt;= (OFFSET($A$1, 69 - 1, 7 - 1)), "1","0")</f>
        <v>0</v>
      </c>
      <c r="BD2211">
        <f ca="1" xml:space="preserve"> IF( AND( OFFSET($A$1, 2211 - 1, 54 - 1) = "1", OFFSET($A$1, 2211 - 1, 55 - 1) = "1" ), 1, IF( AND( OFFSET($A$1, 2211 - 1, 54 - 1) = "1", OFFSET($A$1, 2211 - 1, 55 - 1) = "0" ), 2, IF( AND( OFFSET($A$1, 2211 - 1, 54 - 1) = "0", OFFSET($A$1, 2211 - 1, 55 - 1) = "1" ), 3, 4 ) ) )</f>
        <v>4</v>
      </c>
    </row>
    <row r="2212" spans="53:56" x14ac:dyDescent="0.35">
      <c r="BA2212" s="3">
        <v>0.19896801077531975</v>
      </c>
      <c r="BB2212" s="3" t="str">
        <f>"0"</f>
        <v>0</v>
      </c>
      <c r="BC2212" t="str">
        <f ca="1">IF((OFFSET($A$1, 2212 - 1, 53 - 1)) &gt;= (OFFSET($A$1, 69 - 1, 7 - 1)), "1","0")</f>
        <v>0</v>
      </c>
      <c r="BD2212">
        <f ca="1" xml:space="preserve"> IF( AND( OFFSET($A$1, 2212 - 1, 54 - 1) = "1", OFFSET($A$1, 2212 - 1, 55 - 1) = "1" ), 1, IF( AND( OFFSET($A$1, 2212 - 1, 54 - 1) = "1", OFFSET($A$1, 2212 - 1, 55 - 1) = "0" ), 2, IF( AND( OFFSET($A$1, 2212 - 1, 54 - 1) = "0", OFFSET($A$1, 2212 - 1, 55 - 1) = "1" ), 3, 4 ) ) )</f>
        <v>4</v>
      </c>
    </row>
    <row r="2213" spans="53:56" x14ac:dyDescent="0.35">
      <c r="BA2213" s="3">
        <v>0.19867327408313482</v>
      </c>
      <c r="BB2213" s="3" t="str">
        <f>"1"</f>
        <v>1</v>
      </c>
      <c r="BC2213" t="str">
        <f ca="1">IF((OFFSET($A$1, 2213 - 1, 53 - 1)) &gt;= (OFFSET($A$1, 69 - 1, 7 - 1)), "1","0")</f>
        <v>0</v>
      </c>
      <c r="BD2213">
        <f ca="1" xml:space="preserve"> IF( AND( OFFSET($A$1, 2213 - 1, 54 - 1) = "1", OFFSET($A$1, 2213 - 1, 55 - 1) = "1" ), 1, IF( AND( OFFSET($A$1, 2213 - 1, 54 - 1) = "1", OFFSET($A$1, 2213 - 1, 55 - 1) = "0" ), 2, IF( AND( OFFSET($A$1, 2213 - 1, 54 - 1) = "0", OFFSET($A$1, 2213 - 1, 55 - 1) = "1" ), 3, 4 ) ) )</f>
        <v>2</v>
      </c>
    </row>
    <row r="2214" spans="53:56" x14ac:dyDescent="0.35">
      <c r="BA2214" s="3">
        <v>0.43585060957523769</v>
      </c>
      <c r="BB2214" s="3" t="str">
        <f>"0"</f>
        <v>0</v>
      </c>
      <c r="BC2214" t="str">
        <f ca="1">IF((OFFSET($A$1, 2214 - 1, 53 - 1)) &gt;= (OFFSET($A$1, 69 - 1, 7 - 1)), "1","0")</f>
        <v>0</v>
      </c>
      <c r="BD2214">
        <f ca="1" xml:space="preserve"> IF( AND( OFFSET($A$1, 2214 - 1, 54 - 1) = "1", OFFSET($A$1, 2214 - 1, 55 - 1) = "1" ), 1, IF( AND( OFFSET($A$1, 2214 - 1, 54 - 1) = "1", OFFSET($A$1, 2214 - 1, 55 - 1) = "0" ), 2, IF( AND( OFFSET($A$1, 2214 - 1, 54 - 1) = "0", OFFSET($A$1, 2214 - 1, 55 - 1) = "1" ), 3, 4 ) ) )</f>
        <v>4</v>
      </c>
    </row>
    <row r="2215" spans="53:56" x14ac:dyDescent="0.35">
      <c r="BA2215" s="3">
        <v>0.19813335996928005</v>
      </c>
      <c r="BB2215" s="3" t="str">
        <f>"0"</f>
        <v>0</v>
      </c>
      <c r="BC2215" t="str">
        <f ca="1">IF((OFFSET($A$1, 2215 - 1, 53 - 1)) &gt;= (OFFSET($A$1, 69 - 1, 7 - 1)), "1","0")</f>
        <v>0</v>
      </c>
      <c r="BD2215">
        <f ca="1" xml:space="preserve"> IF( AND( OFFSET($A$1, 2215 - 1, 54 - 1) = "1", OFFSET($A$1, 2215 - 1, 55 - 1) = "1" ), 1, IF( AND( OFFSET($A$1, 2215 - 1, 54 - 1) = "1", OFFSET($A$1, 2215 - 1, 55 - 1) = "0" ), 2, IF( AND( OFFSET($A$1, 2215 - 1, 54 - 1) = "0", OFFSET($A$1, 2215 - 1, 55 - 1) = "1" ), 3, 4 ) ) )</f>
        <v>4</v>
      </c>
    </row>
    <row r="2216" spans="53:56" x14ac:dyDescent="0.35">
      <c r="BA2216" s="3">
        <v>0.19788824235465166</v>
      </c>
      <c r="BB2216" s="3" t="str">
        <f>"0"</f>
        <v>0</v>
      </c>
      <c r="BC2216" t="str">
        <f ca="1">IF((OFFSET($A$1, 2216 - 1, 53 - 1)) &gt;= (OFFSET($A$1, 69 - 1, 7 - 1)), "1","0")</f>
        <v>0</v>
      </c>
      <c r="BD2216">
        <f ca="1" xml:space="preserve"> IF( AND( OFFSET($A$1, 2216 - 1, 54 - 1) = "1", OFFSET($A$1, 2216 - 1, 55 - 1) = "1" ), 1, IF( AND( OFFSET($A$1, 2216 - 1, 54 - 1) = "1", OFFSET($A$1, 2216 - 1, 55 - 1) = "0" ), 2, IF( AND( OFFSET($A$1, 2216 - 1, 54 - 1) = "0", OFFSET($A$1, 2216 - 1, 55 - 1) = "1" ), 3, 4 ) ) )</f>
        <v>4</v>
      </c>
    </row>
    <row r="2217" spans="53:56" x14ac:dyDescent="0.35">
      <c r="BA2217" s="3">
        <v>0.19765972075630506</v>
      </c>
      <c r="BB2217" s="3" t="str">
        <f>"0"</f>
        <v>0</v>
      </c>
      <c r="BC2217" t="str">
        <f ca="1">IF((OFFSET($A$1, 2217 - 1, 53 - 1)) &gt;= (OFFSET($A$1, 69 - 1, 7 - 1)), "1","0")</f>
        <v>0</v>
      </c>
      <c r="BD2217">
        <f ca="1" xml:space="preserve"> IF( AND( OFFSET($A$1, 2217 - 1, 54 - 1) = "1", OFFSET($A$1, 2217 - 1, 55 - 1) = "1" ), 1, IF( AND( OFFSET($A$1, 2217 - 1, 54 - 1) = "1", OFFSET($A$1, 2217 - 1, 55 - 1) = "0" ), 2, IF( AND( OFFSET($A$1, 2217 - 1, 54 - 1) = "0", OFFSET($A$1, 2217 - 1, 55 - 1) = "1" ), 3, 4 ) ) )</f>
        <v>4</v>
      </c>
    </row>
    <row r="2218" spans="53:56" x14ac:dyDescent="0.35">
      <c r="BA2218" s="3">
        <v>0.19744781992137694</v>
      </c>
      <c r="BB2218" s="3" t="str">
        <f>"0"</f>
        <v>0</v>
      </c>
      <c r="BC2218" t="str">
        <f ca="1">IF((OFFSET($A$1, 2218 - 1, 53 - 1)) &gt;= (OFFSET($A$1, 69 - 1, 7 - 1)), "1","0")</f>
        <v>0</v>
      </c>
      <c r="BD2218">
        <f ca="1" xml:space="preserve"> IF( AND( OFFSET($A$1, 2218 - 1, 54 - 1) = "1", OFFSET($A$1, 2218 - 1, 55 - 1) = "1" ), 1, IF( AND( OFFSET($A$1, 2218 - 1, 54 - 1) = "1", OFFSET($A$1, 2218 - 1, 55 - 1) = "0" ), 2, IF( AND( OFFSET($A$1, 2218 - 1, 54 - 1) = "0", OFFSET($A$1, 2218 - 1, 55 - 1) = "1" ), 3, 4 ) ) )</f>
        <v>4</v>
      </c>
    </row>
    <row r="2219" spans="53:56" x14ac:dyDescent="0.35">
      <c r="BA2219" s="3">
        <v>0.19725256261278698</v>
      </c>
      <c r="BB2219" s="3" t="str">
        <f>"1"</f>
        <v>1</v>
      </c>
      <c r="BC2219" t="str">
        <f ca="1">IF((OFFSET($A$1, 2219 - 1, 53 - 1)) &gt;= (OFFSET($A$1, 69 - 1, 7 - 1)), "1","0")</f>
        <v>0</v>
      </c>
      <c r="BD2219">
        <f ca="1" xml:space="preserve"> IF( AND( OFFSET($A$1, 2219 - 1, 54 - 1) = "1", OFFSET($A$1, 2219 - 1, 55 - 1) = "1" ), 1, IF( AND( OFFSET($A$1, 2219 - 1, 54 - 1) = "1", OFFSET($A$1, 2219 - 1, 55 - 1) = "0" ), 2, IF( AND( OFFSET($A$1, 2219 - 1, 54 - 1) = "0", OFFSET($A$1, 2219 - 1, 55 - 1) = "1" ), 3, 4 ) ) )</f>
        <v>2</v>
      </c>
    </row>
    <row r="2220" spans="53:56" x14ac:dyDescent="0.35">
      <c r="BA2220" s="3">
        <v>0.43380404124066835</v>
      </c>
      <c r="BB2220" s="3" t="str">
        <f>"1"</f>
        <v>1</v>
      </c>
      <c r="BC2220" t="str">
        <f ca="1">IF((OFFSET($A$1, 2220 - 1, 53 - 1)) &gt;= (OFFSET($A$1, 69 - 1, 7 - 1)), "1","0")</f>
        <v>0</v>
      </c>
      <c r="BD2220">
        <f ca="1" xml:space="preserve"> IF( AND( OFFSET($A$1, 2220 - 1, 54 - 1) = "1", OFFSET($A$1, 2220 - 1, 55 - 1) = "1" ), 1, IF( AND( OFFSET($A$1, 2220 - 1, 54 - 1) = "1", OFFSET($A$1, 2220 - 1, 55 - 1) = "0" ), 2, IF( AND( OFFSET($A$1, 2220 - 1, 54 - 1) = "0", OFFSET($A$1, 2220 - 1, 55 - 1) = "1" ), 3, 4 ) ) )</f>
        <v>2</v>
      </c>
    </row>
    <row r="2221" spans="53:56" x14ac:dyDescent="0.35">
      <c r="BA2221" s="3">
        <v>0.43355265953691108</v>
      </c>
      <c r="BB2221" s="3" t="str">
        <f>"1"</f>
        <v>1</v>
      </c>
      <c r="BC2221" t="str">
        <f ca="1">IF((OFFSET($A$1, 2221 - 1, 53 - 1)) &gt;= (OFFSET($A$1, 69 - 1, 7 - 1)), "1","0")</f>
        <v>0</v>
      </c>
      <c r="BD2221">
        <f ca="1" xml:space="preserve"> IF( AND( OFFSET($A$1, 2221 - 1, 54 - 1) = "1", OFFSET($A$1, 2221 - 1, 55 - 1) = "1" ), 1, IF( AND( OFFSET($A$1, 2221 - 1, 54 - 1) = "1", OFFSET($A$1, 2221 - 1, 55 - 1) = "0" ), 2, IF( AND( OFFSET($A$1, 2221 - 1, 54 - 1) = "0", OFFSET($A$1, 2221 - 1, 55 - 1) = "1" ), 3, 4 ) ) )</f>
        <v>2</v>
      </c>
    </row>
    <row r="2222" spans="53:56" x14ac:dyDescent="0.35">
      <c r="BA2222" s="3">
        <v>0.43332710313243494</v>
      </c>
      <c r="BB2222" s="3" t="str">
        <f>"1"</f>
        <v>1</v>
      </c>
      <c r="BC2222" t="str">
        <f ca="1">IF((OFFSET($A$1, 2222 - 1, 53 - 1)) &gt;= (OFFSET($A$1, 69 - 1, 7 - 1)), "1","0")</f>
        <v>0</v>
      </c>
      <c r="BD2222">
        <f ca="1" xml:space="preserve"> IF( AND( OFFSET($A$1, 2222 - 1, 54 - 1) = "1", OFFSET($A$1, 2222 - 1, 55 - 1) = "1" ), 1, IF( AND( OFFSET($A$1, 2222 - 1, 54 - 1) = "1", OFFSET($A$1, 2222 - 1, 55 - 1) = "0" ), 2, IF( AND( OFFSET($A$1, 2222 - 1, 54 - 1) = "0", OFFSET($A$1, 2222 - 1, 55 - 1) = "1" ), 3, 4 ) ) )</f>
        <v>2</v>
      </c>
    </row>
    <row r="2223" spans="53:56" x14ac:dyDescent="0.35">
      <c r="BA2223" s="3">
        <v>0.43312742939235721</v>
      </c>
      <c r="BB2223" s="3" t="str">
        <f>"1"</f>
        <v>1</v>
      </c>
      <c r="BC2223" t="str">
        <f ca="1">IF((OFFSET($A$1, 2223 - 1, 53 - 1)) &gt;= (OFFSET($A$1, 69 - 1, 7 - 1)), "1","0")</f>
        <v>0</v>
      </c>
      <c r="BD2223">
        <f ca="1" xml:space="preserve"> IF( AND( OFFSET($A$1, 2223 - 1, 54 - 1) = "1", OFFSET($A$1, 2223 - 1, 55 - 1) = "1" ), 1, IF( AND( OFFSET($A$1, 2223 - 1, 54 - 1) = "1", OFFSET($A$1, 2223 - 1, 55 - 1) = "0" ), 2, IF( AND( OFFSET($A$1, 2223 - 1, 54 - 1) = "0", OFFSET($A$1, 2223 - 1, 55 - 1) = "1" ), 3, 4 ) ) )</f>
        <v>2</v>
      </c>
    </row>
    <row r="2224" spans="53:56" x14ac:dyDescent="0.35">
      <c r="BA2224" s="3">
        <v>0.43295368903460174</v>
      </c>
      <c r="BB2224" s="3" t="str">
        <f>"0"</f>
        <v>0</v>
      </c>
      <c r="BC2224" t="str">
        <f ca="1">IF((OFFSET($A$1, 2224 - 1, 53 - 1)) &gt;= (OFFSET($A$1, 69 - 1, 7 - 1)), "1","0")</f>
        <v>0</v>
      </c>
      <c r="BD2224">
        <f ca="1" xml:space="preserve"> IF( AND( OFFSET($A$1, 2224 - 1, 54 - 1) = "1", OFFSET($A$1, 2224 - 1, 55 - 1) = "1" ), 1, IF( AND( OFFSET($A$1, 2224 - 1, 54 - 1) = "1", OFFSET($A$1, 2224 - 1, 55 - 1) = "0" ), 2, IF( AND( OFFSET($A$1, 2224 - 1, 54 - 1) = "0", OFFSET($A$1, 2224 - 1, 55 - 1) = "1" ), 3, 4 ) ) )</f>
        <v>4</v>
      </c>
    </row>
    <row r="2225" spans="53:56" x14ac:dyDescent="0.35">
      <c r="BA2225" s="3">
        <v>0.19643156676672538</v>
      </c>
      <c r="BB2225" s="3" t="str">
        <f>"1"</f>
        <v>1</v>
      </c>
      <c r="BC2225" t="str">
        <f ca="1">IF((OFFSET($A$1, 2225 - 1, 53 - 1)) &gt;= (OFFSET($A$1, 69 - 1, 7 - 1)), "1","0")</f>
        <v>0</v>
      </c>
      <c r="BD2225">
        <f ca="1" xml:space="preserve"> IF( AND( OFFSET($A$1, 2225 - 1, 54 - 1) = "1", OFFSET($A$1, 2225 - 1, 55 - 1) = "1" ), 1, IF( AND( OFFSET($A$1, 2225 - 1, 54 - 1) = "1", OFFSET($A$1, 2225 - 1, 55 - 1) = "0" ), 2, IF( AND( OFFSET($A$1, 2225 - 1, 54 - 1) = "0", OFFSET($A$1, 2225 - 1, 55 - 1) = "1" ), 3, 4 ) ) )</f>
        <v>2</v>
      </c>
    </row>
    <row r="2226" spans="53:56" x14ac:dyDescent="0.35">
      <c r="BA2226" s="3">
        <v>0.43268417816406973</v>
      </c>
      <c r="BB2226" s="3" t="str">
        <f>"0"</f>
        <v>0</v>
      </c>
      <c r="BC2226" t="str">
        <f ca="1">IF((OFFSET($A$1, 2226 - 1, 53 - 1)) &gt;= (OFFSET($A$1, 69 - 1, 7 - 1)), "1","0")</f>
        <v>0</v>
      </c>
      <c r="BD2226">
        <f ca="1" xml:space="preserve"> IF( AND( OFFSET($A$1, 2226 - 1, 54 - 1) = "1", OFFSET($A$1, 2226 - 1, 55 - 1) = "1" ), 1, IF( AND( OFFSET($A$1, 2226 - 1, 54 - 1) = "1", OFFSET($A$1, 2226 - 1, 55 - 1) = "0" ), 2, IF( AND( OFFSET($A$1, 2226 - 1, 54 - 1) = "0", OFFSET($A$1, 2226 - 1, 55 - 1) = "1" ), 3, 4 ) ) )</f>
        <v>4</v>
      </c>
    </row>
    <row r="2227" spans="53:56" x14ac:dyDescent="0.35">
      <c r="BA2227" s="3">
        <v>0.19629177610709397</v>
      </c>
      <c r="BB2227" s="3" t="str">
        <f>"0"</f>
        <v>0</v>
      </c>
      <c r="BC2227" t="str">
        <f ca="1">IF((OFFSET($A$1, 2227 - 1, 53 - 1)) &gt;= (OFFSET($A$1, 69 - 1, 7 - 1)), "1","0")</f>
        <v>0</v>
      </c>
      <c r="BD2227">
        <f ca="1" xml:space="preserve"> IF( AND( OFFSET($A$1, 2227 - 1, 54 - 1) = "1", OFFSET($A$1, 2227 - 1, 55 - 1) = "1" ), 1, IF( AND( OFFSET($A$1, 2227 - 1, 54 - 1) = "1", OFFSET($A$1, 2227 - 1, 55 - 1) = "0" ), 2, IF( AND( OFFSET($A$1, 2227 - 1, 54 - 1) = "0", OFFSET($A$1, 2227 - 1, 55 - 1) = "1" ), 3, 4 ) ) )</f>
        <v>4</v>
      </c>
    </row>
    <row r="2228" spans="53:56" x14ac:dyDescent="0.35">
      <c r="BA2228" s="3">
        <v>0.19624702449037232</v>
      </c>
      <c r="BB2228" s="3" t="str">
        <f>"0"</f>
        <v>0</v>
      </c>
      <c r="BC2228" t="str">
        <f ca="1">IF((OFFSET($A$1, 2228 - 1, 53 - 1)) &gt;= (OFFSET($A$1, 69 - 1, 7 - 1)), "1","0")</f>
        <v>0</v>
      </c>
      <c r="BD2228">
        <f ca="1" xml:space="preserve"> IF( AND( OFFSET($A$1, 2228 - 1, 54 - 1) = "1", OFFSET($A$1, 2228 - 1, 55 - 1) = "1" ), 1, IF( AND( OFFSET($A$1, 2228 - 1, 54 - 1) = "1", OFFSET($A$1, 2228 - 1, 55 - 1) = "0" ), 2, IF( AND( OFFSET($A$1, 2228 - 1, 54 - 1) = "0", OFFSET($A$1, 2228 - 1, 55 - 1) = "1" ), 3, 4 ) ) )</f>
        <v>4</v>
      </c>
    </row>
    <row r="2229" spans="53:56" x14ac:dyDescent="0.35">
      <c r="BA2229" s="3">
        <v>0.19621904203085902</v>
      </c>
      <c r="BB2229" s="3" t="str">
        <f>"0"</f>
        <v>0</v>
      </c>
      <c r="BC2229" t="str">
        <f ca="1">IF((OFFSET($A$1, 2229 - 1, 53 - 1)) &gt;= (OFFSET($A$1, 69 - 1, 7 - 1)), "1","0")</f>
        <v>0</v>
      </c>
      <c r="BD2229">
        <f ca="1" xml:space="preserve"> IF( AND( OFFSET($A$1, 2229 - 1, 54 - 1) = "1", OFFSET($A$1, 2229 - 1, 55 - 1) = "1" ), 1, IF( AND( OFFSET($A$1, 2229 - 1, 54 - 1) = "1", OFFSET($A$1, 2229 - 1, 55 - 1) = "0" ), 2, IF( AND( OFFSET($A$1, 2229 - 1, 54 - 1) = "0", OFFSET($A$1, 2229 - 1, 55 - 1) = "1" ), 3, 4 ) ) )</f>
        <v>4</v>
      </c>
    </row>
    <row r="2230" spans="53:56" x14ac:dyDescent="0.35">
      <c r="BA2230" s="3">
        <v>0.19620783158782529</v>
      </c>
      <c r="BB2230" s="3" t="str">
        <f>"0"</f>
        <v>0</v>
      </c>
      <c r="BC2230" t="str">
        <f ca="1">IF((OFFSET($A$1, 2230 - 1, 53 - 1)) &gt;= (OFFSET($A$1, 69 - 1, 7 - 1)), "1","0")</f>
        <v>0</v>
      </c>
      <c r="BD2230">
        <f ca="1" xml:space="preserve"> IF( AND( OFFSET($A$1, 2230 - 1, 54 - 1) = "1", OFFSET($A$1, 2230 - 1, 55 - 1) = "1" ), 1, IF( AND( OFFSET($A$1, 2230 - 1, 54 - 1) = "1", OFFSET($A$1, 2230 - 1, 55 - 1) = "0" ), 2, IF( AND( OFFSET($A$1, 2230 - 1, 54 - 1) = "0", OFFSET($A$1, 2230 - 1, 55 - 1) = "1" ), 3, 4 ) ) )</f>
        <v>4</v>
      </c>
    </row>
    <row r="2231" spans="53:56" x14ac:dyDescent="0.35">
      <c r="BA2231" s="3">
        <v>0.19621339430588819</v>
      </c>
      <c r="BB2231" s="3" t="str">
        <f>"0"</f>
        <v>0</v>
      </c>
      <c r="BC2231" t="str">
        <f ca="1">IF((OFFSET($A$1, 2231 - 1, 53 - 1)) &gt;= (OFFSET($A$1, 69 - 1, 7 - 1)), "1","0")</f>
        <v>0</v>
      </c>
      <c r="BD2231">
        <f ca="1" xml:space="preserve"> IF( AND( OFFSET($A$1, 2231 - 1, 54 - 1) = "1", OFFSET($A$1, 2231 - 1, 55 - 1) = "1" ), 1, IF( AND( OFFSET($A$1, 2231 - 1, 54 - 1) = "1", OFFSET($A$1, 2231 - 1, 55 - 1) = "0" ), 2, IF( AND( OFFSET($A$1, 2231 - 1, 54 - 1) = "0", OFFSET($A$1, 2231 - 1, 55 - 1) = "1" ), 3, 4 ) ) )</f>
        <v>4</v>
      </c>
    </row>
    <row r="2232" spans="53:56" x14ac:dyDescent="0.35">
      <c r="BA2232" s="3">
        <v>0.19623572961714153</v>
      </c>
      <c r="BB2232" s="3" t="str">
        <f>"1"</f>
        <v>1</v>
      </c>
      <c r="BC2232" t="str">
        <f ca="1">IF((OFFSET($A$1, 2232 - 1, 53 - 1)) &gt;= (OFFSET($A$1, 69 - 1, 7 - 1)), "1","0")</f>
        <v>0</v>
      </c>
      <c r="BD2232">
        <f ca="1" xml:space="preserve"> IF( AND( OFFSET($A$1, 2232 - 1, 54 - 1) = "1", OFFSET($A$1, 2232 - 1, 55 - 1) = "1" ), 1, IF( AND( OFFSET($A$1, 2232 - 1, 54 - 1) = "1", OFFSET($A$1, 2232 - 1, 55 - 1) = "0" ), 2, IF( AND( OFFSET($A$1, 2232 - 1, 54 - 1) = "0", OFFSET($A$1, 2232 - 1, 55 - 1) = "1" ), 3, 4 ) ) )</f>
        <v>2</v>
      </c>
    </row>
    <row r="2233" spans="53:56" x14ac:dyDescent="0.35">
      <c r="BA2233" s="3">
        <v>0.43256211752872314</v>
      </c>
      <c r="BB2233" s="3" t="str">
        <f>"1"</f>
        <v>1</v>
      </c>
      <c r="BC2233" t="str">
        <f ca="1">IF((OFFSET($A$1, 2233 - 1, 53 - 1)) &gt;= (OFFSET($A$1, 69 - 1, 7 - 1)), "1","0")</f>
        <v>0</v>
      </c>
      <c r="BD2233">
        <f ca="1" xml:space="preserve"> IF( AND( OFFSET($A$1, 2233 - 1, 54 - 1) = "1", OFFSET($A$1, 2233 - 1, 55 - 1) = "1" ), 1, IF( AND( OFFSET($A$1, 2233 - 1, 54 - 1) = "1", OFFSET($A$1, 2233 - 1, 55 - 1) = "0" ), 2, IF( AND( OFFSET($A$1, 2233 - 1, 54 - 1) = "0", OFFSET($A$1, 2233 - 1, 55 - 1) = "1" ), 3, 4 ) ) )</f>
        <v>2</v>
      </c>
    </row>
    <row r="2234" spans="53:56" x14ac:dyDescent="0.35">
      <c r="BA2234" s="3">
        <v>0.43264904398846593</v>
      </c>
      <c r="BB2234" s="3" t="str">
        <f>"0"</f>
        <v>0</v>
      </c>
      <c r="BC2234" t="str">
        <f ca="1">IF((OFFSET($A$1, 2234 - 1, 53 - 1)) &gt;= (OFFSET($A$1, 69 - 1, 7 - 1)), "1","0")</f>
        <v>0</v>
      </c>
      <c r="BD2234">
        <f ca="1" xml:space="preserve"> IF( AND( OFFSET($A$1, 2234 - 1, 54 - 1) = "1", OFFSET($A$1, 2234 - 1, 55 - 1) = "1" ), 1, IF( AND( OFFSET($A$1, 2234 - 1, 54 - 1) = "1", OFFSET($A$1, 2234 - 1, 55 - 1) = "0" ), 2, IF( AND( OFFSET($A$1, 2234 - 1, 54 - 1) = "0", OFFSET($A$1, 2234 - 1, 55 - 1) = "1" ), 3, 4 ) ) )</f>
        <v>4</v>
      </c>
    </row>
    <row r="2235" spans="53:56" x14ac:dyDescent="0.35">
      <c r="BA2235" s="3">
        <v>0.19640333969862156</v>
      </c>
      <c r="BB2235" s="3" t="str">
        <f>"0"</f>
        <v>0</v>
      </c>
      <c r="BC2235" t="str">
        <f ca="1">IF((OFFSET($A$1, 2235 - 1, 53 - 1)) &gt;= (OFFSET($A$1, 69 - 1, 7 - 1)), "1","0")</f>
        <v>0</v>
      </c>
      <c r="BD2235">
        <f ca="1" xml:space="preserve"> IF( AND( OFFSET($A$1, 2235 - 1, 54 - 1) = "1", OFFSET($A$1, 2235 - 1, 55 - 1) = "1" ), 1, IF( AND( OFFSET($A$1, 2235 - 1, 54 - 1) = "1", OFFSET($A$1, 2235 - 1, 55 - 1) = "0" ), 2, IF( AND( OFFSET($A$1, 2235 - 1, 54 - 1) = "0", OFFSET($A$1, 2235 - 1, 55 - 1) = "1" ), 3, 4 ) ) )</f>
        <v>4</v>
      </c>
    </row>
    <row r="2236" spans="53:56" x14ac:dyDescent="0.35">
      <c r="BA2236" s="3">
        <v>0.19649272534920637</v>
      </c>
      <c r="BB2236" s="3" t="str">
        <f>"1"</f>
        <v>1</v>
      </c>
      <c r="BC2236" t="str">
        <f ca="1">IF((OFFSET($A$1, 2236 - 1, 53 - 1)) &gt;= (OFFSET($A$1, 69 - 1, 7 - 1)), "1","0")</f>
        <v>0</v>
      </c>
      <c r="BD2236">
        <f ca="1" xml:space="preserve"> IF( AND( OFFSET($A$1, 2236 - 1, 54 - 1) = "1", OFFSET($A$1, 2236 - 1, 55 - 1) = "1" ), 1, IF( AND( OFFSET($A$1, 2236 - 1, 54 - 1) = "1", OFFSET($A$1, 2236 - 1, 55 - 1) = "0" ), 2, IF( AND( OFFSET($A$1, 2236 - 1, 54 - 1) = "0", OFFSET($A$1, 2236 - 1, 55 - 1) = "1" ), 3, 4 ) ) )</f>
        <v>2</v>
      </c>
    </row>
    <row r="2237" spans="53:56" x14ac:dyDescent="0.35">
      <c r="BA2237" s="3">
        <v>0.43306603020048834</v>
      </c>
      <c r="BB2237" s="3" t="str">
        <f>"0"</f>
        <v>0</v>
      </c>
      <c r="BC2237" t="str">
        <f ca="1">IF((OFFSET($A$1, 2237 - 1, 53 - 1)) &gt;= (OFFSET($A$1, 69 - 1, 7 - 1)), "1","0")</f>
        <v>0</v>
      </c>
      <c r="BD2237">
        <f ca="1" xml:space="preserve"> IF( AND( OFFSET($A$1, 2237 - 1, 54 - 1) = "1", OFFSET($A$1, 2237 - 1, 55 - 1) = "1" ), 1, IF( AND( OFFSET($A$1, 2237 - 1, 54 - 1) = "1", OFFSET($A$1, 2237 - 1, 55 - 1) = "0" ), 2, IF( AND( OFFSET($A$1, 2237 - 1, 54 - 1) = "0", OFFSET($A$1, 2237 - 1, 55 - 1) = "1" ), 3, 4 ) ) )</f>
        <v>4</v>
      </c>
    </row>
    <row r="2238" spans="53:56" x14ac:dyDescent="0.35">
      <c r="BA2238" s="3">
        <v>0.19672171742596423</v>
      </c>
      <c r="BB2238" s="3" t="str">
        <f>"0"</f>
        <v>0</v>
      </c>
      <c r="BC2238" t="str">
        <f ca="1">IF((OFFSET($A$1, 2238 - 1, 53 - 1)) &gt;= (OFFSET($A$1, 69 - 1, 7 - 1)), "1","0")</f>
        <v>0</v>
      </c>
      <c r="BD2238">
        <f ca="1" xml:space="preserve"> IF( AND( OFFSET($A$1, 2238 - 1, 54 - 1) = "1", OFFSET($A$1, 2238 - 1, 55 - 1) = "1" ), 1, IF( AND( OFFSET($A$1, 2238 - 1, 54 - 1) = "1", OFFSET($A$1, 2238 - 1, 55 - 1) = "0" ), 2, IF( AND( OFFSET($A$1, 2238 - 1, 54 - 1) = "0", OFFSET($A$1, 2238 - 1, 55 - 1) = "1" ), 3, 4 ) ) )</f>
        <v>4</v>
      </c>
    </row>
    <row r="2239" spans="53:56" x14ac:dyDescent="0.35">
      <c r="BA2239" s="3">
        <v>0.1968613001124887</v>
      </c>
      <c r="BB2239" s="3" t="str">
        <f>"0"</f>
        <v>0</v>
      </c>
      <c r="BC2239" t="str">
        <f ca="1">IF((OFFSET($A$1, 2239 - 1, 53 - 1)) &gt;= (OFFSET($A$1, 69 - 1, 7 - 1)), "1","0")</f>
        <v>0</v>
      </c>
      <c r="BD2239">
        <f ca="1" xml:space="preserve"> IF( AND( OFFSET($A$1, 2239 - 1, 54 - 1) = "1", OFFSET($A$1, 2239 - 1, 55 - 1) = "1" ), 1, IF( AND( OFFSET($A$1, 2239 - 1, 54 - 1) = "1", OFFSET($A$1, 2239 - 1, 55 - 1) = "0" ), 2, IF( AND( OFFSET($A$1, 2239 - 1, 54 - 1) = "0", OFFSET($A$1, 2239 - 1, 55 - 1) = "1" ), 3, 4 ) ) )</f>
        <v>4</v>
      </c>
    </row>
    <row r="2240" spans="53:56" x14ac:dyDescent="0.35">
      <c r="BA2240" s="3">
        <v>0.19701758840396569</v>
      </c>
      <c r="BB2240" s="3" t="str">
        <f>"0"</f>
        <v>0</v>
      </c>
      <c r="BC2240" t="str">
        <f ca="1">IF((OFFSET($A$1, 2240 - 1, 53 - 1)) &gt;= (OFFSET($A$1, 69 - 1, 7 - 1)), "1","0")</f>
        <v>0</v>
      </c>
      <c r="BD2240">
        <f ca="1" xml:space="preserve"> IF( AND( OFFSET($A$1, 2240 - 1, 54 - 1) = "1", OFFSET($A$1, 2240 - 1, 55 - 1) = "1" ), 1, IF( AND( OFFSET($A$1, 2240 - 1, 54 - 1) = "1", OFFSET($A$1, 2240 - 1, 55 - 1) = "0" ), 2, IF( AND( OFFSET($A$1, 2240 - 1, 54 - 1) = "0", OFFSET($A$1, 2240 - 1, 55 - 1) = "1" ), 3, 4 ) ) )</f>
        <v>4</v>
      </c>
    </row>
    <row r="2241" spans="53:56" x14ac:dyDescent="0.35">
      <c r="BA2241" s="3">
        <v>0.197190565891735</v>
      </c>
      <c r="BB2241" s="3" t="str">
        <f>"0"</f>
        <v>0</v>
      </c>
      <c r="BC2241" t="str">
        <f ca="1">IF((OFFSET($A$1, 2241 - 1, 53 - 1)) &gt;= (OFFSET($A$1, 69 - 1, 7 - 1)), "1","0")</f>
        <v>0</v>
      </c>
      <c r="BD2241">
        <f ca="1" xml:space="preserve"> IF( AND( OFFSET($A$1, 2241 - 1, 54 - 1) = "1", OFFSET($A$1, 2241 - 1, 55 - 1) = "1" ), 1, IF( AND( OFFSET($A$1, 2241 - 1, 54 - 1) = "1", OFFSET($A$1, 2241 - 1, 55 - 1) = "0" ), 2, IF( AND( OFFSET($A$1, 2241 - 1, 54 - 1) = "0", OFFSET($A$1, 2241 - 1, 55 - 1) = "1" ), 3, 4 ) ) )</f>
        <v>4</v>
      </c>
    </row>
    <row r="2242" spans="53:56" x14ac:dyDescent="0.35">
      <c r="BA2242" s="3">
        <v>0.19738021430201036</v>
      </c>
      <c r="BB2242" s="3" t="str">
        <f>"1"</f>
        <v>1</v>
      </c>
      <c r="BC2242" t="str">
        <f ca="1">IF((OFFSET($A$1, 2242 - 1, 53 - 1)) &gt;= (OFFSET($A$1, 69 - 1, 7 - 1)), "1","0")</f>
        <v>0</v>
      </c>
      <c r="BD2242">
        <f ca="1" xml:space="preserve"> IF( AND( OFFSET($A$1, 2242 - 1, 54 - 1) = "1", OFFSET($A$1, 2242 - 1, 55 - 1) = "1" ), 1, IF( AND( OFFSET($A$1, 2242 - 1, 54 - 1) = "1", OFFSET($A$1, 2242 - 1, 55 - 1) = "0" ), 2, IF( AND( OFFSET($A$1, 2242 - 1, 54 - 1) = "0", OFFSET($A$1, 2242 - 1, 55 - 1) = "1" ), 3, 4 ) ) )</f>
        <v>2</v>
      </c>
    </row>
    <row r="2243" spans="53:56" x14ac:dyDescent="0.35">
      <c r="BA2243" s="3">
        <v>0.43459901659747441</v>
      </c>
      <c r="BB2243" s="3" t="str">
        <f>"0"</f>
        <v>0</v>
      </c>
      <c r="BC2243" t="str">
        <f ca="1">IF((OFFSET($A$1, 2243 - 1, 53 - 1)) &gt;= (OFFSET($A$1, 69 - 1, 7 - 1)), "1","0")</f>
        <v>0</v>
      </c>
      <c r="BD2243">
        <f ca="1" xml:space="preserve"> IF( AND( OFFSET($A$1, 2243 - 1, 54 - 1) = "1", OFFSET($A$1, 2243 - 1, 55 - 1) = "1" ), 1, IF( AND( OFFSET($A$1, 2243 - 1, 54 - 1) = "1", OFFSET($A$1, 2243 - 1, 55 - 1) = "0" ), 2, IF( AND( OFFSET($A$1, 2243 - 1, 54 - 1) = "0", OFFSET($A$1, 2243 - 1, 55 - 1) = "1" ), 3, 4 ) ) )</f>
        <v>4</v>
      </c>
    </row>
    <row r="2244" spans="53:56" x14ac:dyDescent="0.35">
      <c r="BA2244" s="3">
        <v>0.19780944127284564</v>
      </c>
      <c r="BB2244" s="3" t="str">
        <f>"0"</f>
        <v>0</v>
      </c>
      <c r="BC2244" t="str">
        <f ca="1">IF((OFFSET($A$1, 2244 - 1, 53 - 1)) &gt;= (OFFSET($A$1, 69 - 1, 7 - 1)), "1","0")</f>
        <v>0</v>
      </c>
      <c r="BD2244">
        <f ca="1" xml:space="preserve"> IF( AND( OFFSET($A$1, 2244 - 1, 54 - 1) = "1", OFFSET($A$1, 2244 - 1, 55 - 1) = "1" ), 1, IF( AND( OFFSET($A$1, 2244 - 1, 54 - 1) = "1", OFFSET($A$1, 2244 - 1, 55 - 1) = "0" ), 2, IF( AND( OFFSET($A$1, 2244 - 1, 54 - 1) = "0", OFFSET($A$1, 2244 - 1, 55 - 1) = "1" ), 3, 4 ) ) )</f>
        <v>4</v>
      </c>
    </row>
    <row r="2245" spans="53:56" x14ac:dyDescent="0.35">
      <c r="BA2245" s="3">
        <v>0.19804897365517876</v>
      </c>
      <c r="BB2245" s="3" t="str">
        <f>"0"</f>
        <v>0</v>
      </c>
      <c r="BC2245" t="str">
        <f ca="1">IF((OFFSET($A$1, 2245 - 1, 53 - 1)) &gt;= (OFFSET($A$1, 69 - 1, 7 - 1)), "1","0")</f>
        <v>0</v>
      </c>
      <c r="BD2245">
        <f ca="1" xml:space="preserve"> IF( AND( OFFSET($A$1, 2245 - 1, 54 - 1) = "1", OFFSET($A$1, 2245 - 1, 55 - 1) = "1" ), 1, IF( AND( OFFSET($A$1, 2245 - 1, 54 - 1) = "1", OFFSET($A$1, 2245 - 1, 55 - 1) = "0" ), 2, IF( AND( OFFSET($A$1, 2245 - 1, 54 - 1) = "0", OFFSET($A$1, 2245 - 1, 55 - 1) = "1" ), 3, 4 ) ) )</f>
        <v>4</v>
      </c>
    </row>
    <row r="2246" spans="53:56" x14ac:dyDescent="0.35">
      <c r="BA2246" s="3">
        <v>0.19830508452441567</v>
      </c>
      <c r="BB2246" s="3" t="str">
        <f>"0"</f>
        <v>0</v>
      </c>
      <c r="BC2246" t="str">
        <f ca="1">IF((OFFSET($A$1, 2246 - 1, 53 - 1)) &gt;= (OFFSET($A$1, 69 - 1, 7 - 1)), "1","0")</f>
        <v>0</v>
      </c>
      <c r="BD2246">
        <f ca="1" xml:space="preserve"> IF( AND( OFFSET($A$1, 2246 - 1, 54 - 1) = "1", OFFSET($A$1, 2246 - 1, 55 - 1) = "1" ), 1, IF( AND( OFFSET($A$1, 2246 - 1, 54 - 1) = "1", OFFSET($A$1, 2246 - 1, 55 - 1) = "0" ), 2, IF( AND( OFFSET($A$1, 2246 - 1, 54 - 1) = "0", OFFSET($A$1, 2246 - 1, 55 - 1) = "1" ), 3, 4 ) ) )</f>
        <v>4</v>
      </c>
    </row>
    <row r="2247" spans="53:56" x14ac:dyDescent="0.35">
      <c r="BA2247" s="3">
        <v>0.19857774573876841</v>
      </c>
      <c r="BB2247" s="3" t="str">
        <f>"0"</f>
        <v>0</v>
      </c>
      <c r="BC2247" t="str">
        <f ca="1">IF((OFFSET($A$1, 2247 - 1, 53 - 1)) &gt;= (OFFSET($A$1, 69 - 1, 7 - 1)), "1","0")</f>
        <v>0</v>
      </c>
      <c r="BD2247">
        <f ca="1" xml:space="preserve"> IF( AND( OFFSET($A$1, 2247 - 1, 54 - 1) = "1", OFFSET($A$1, 2247 - 1, 55 - 1) = "1" ), 1, IF( AND( OFFSET($A$1, 2247 - 1, 54 - 1) = "1", OFFSET($A$1, 2247 - 1, 55 - 1) = "0" ), 2, IF( AND( OFFSET($A$1, 2247 - 1, 54 - 1) = "0", OFFSET($A$1, 2247 - 1, 55 - 1) = "1" ), 3, 4 ) ) )</f>
        <v>4</v>
      </c>
    </row>
    <row r="2248" spans="53:56" x14ac:dyDescent="0.35">
      <c r="BA2248" s="3">
        <v>0.19886692705427356</v>
      </c>
      <c r="BB2248" s="3" t="str">
        <f>"1"</f>
        <v>1</v>
      </c>
      <c r="BC2248" t="str">
        <f ca="1">IF((OFFSET($A$1, 2248 - 1, 53 - 1)) &gt;= (OFFSET($A$1, 69 - 1, 7 - 1)), "1","0")</f>
        <v>0</v>
      </c>
      <c r="BD2248">
        <f ca="1" xml:space="preserve"> IF( AND( OFFSET($A$1, 2248 - 1, 54 - 1) = "1", OFFSET($A$1, 2248 - 1, 55 - 1) = "1" ), 1, IF( AND( OFFSET($A$1, 2248 - 1, 54 - 1) = "1", OFFSET($A$1, 2248 - 1, 55 - 1) = "0" ), 2, IF( AND( OFFSET($A$1, 2248 - 1, 54 - 1) = "0", OFFSET($A$1, 2248 - 1, 55 - 1) = "1" ), 3, 4 ) ) )</f>
        <v>2</v>
      </c>
    </row>
    <row r="2249" spans="53:56" x14ac:dyDescent="0.35">
      <c r="BA2249" s="3">
        <v>0.4370513926601407</v>
      </c>
      <c r="BB2249" s="3" t="str">
        <f>"1"</f>
        <v>1</v>
      </c>
      <c r="BC2249" t="str">
        <f ca="1">IF((OFFSET($A$1, 2249 - 1, 53 - 1)) &gt;= (OFFSET($A$1, 69 - 1, 7 - 1)), "1","0")</f>
        <v>0</v>
      </c>
      <c r="BD2249">
        <f ca="1" xml:space="preserve"> IF( AND( OFFSET($A$1, 2249 - 1, 54 - 1) = "1", OFFSET($A$1, 2249 - 1, 55 - 1) = "1" ), 1, IF( AND( OFFSET($A$1, 2249 - 1, 54 - 1) = "1", OFFSET($A$1, 2249 - 1, 55 - 1) = "0" ), 2, IF( AND( OFFSET($A$1, 2249 - 1, 54 - 1) = "0", OFFSET($A$1, 2249 - 1, 55 - 1) = "1" ), 3, 4 ) ) )</f>
        <v>2</v>
      </c>
    </row>
    <row r="2250" spans="53:56" x14ac:dyDescent="0.35">
      <c r="BA2250" s="3">
        <v>0.43754803611861764</v>
      </c>
      <c r="BB2250" s="3" t="str">
        <f>"0"</f>
        <v>0</v>
      </c>
      <c r="BC2250" t="str">
        <f ca="1">IF((OFFSET($A$1, 2250 - 1, 53 - 1)) &gt;= (OFFSET($A$1, 69 - 1, 7 - 1)), "1","0")</f>
        <v>0</v>
      </c>
      <c r="BD2250">
        <f ca="1" xml:space="preserve"> IF( AND( OFFSET($A$1, 2250 - 1, 54 - 1) = "1", OFFSET($A$1, 2250 - 1, 55 - 1) = "1" ), 1, IF( AND( OFFSET($A$1, 2250 - 1, 54 - 1) = "1", OFFSET($A$1, 2250 - 1, 55 - 1) = "0" ), 2, IF( AND( OFFSET($A$1, 2250 - 1, 54 - 1) = "0", OFFSET($A$1, 2250 - 1, 55 - 1) = "1" ), 3, 4 ) ) )</f>
        <v>4</v>
      </c>
    </row>
    <row r="2251" spans="53:56" x14ac:dyDescent="0.35">
      <c r="BA2251" s="3">
        <v>0.19983325658145829</v>
      </c>
      <c r="BB2251" s="3" t="str">
        <f>"0"</f>
        <v>0</v>
      </c>
      <c r="BC2251" t="str">
        <f ca="1">IF((OFFSET($A$1, 2251 - 1, 53 - 1)) &gt;= (OFFSET($A$1, 69 - 1, 7 - 1)), "1","0")</f>
        <v>0</v>
      </c>
      <c r="BD2251">
        <f ca="1" xml:space="preserve"> IF( AND( OFFSET($A$1, 2251 - 1, 54 - 1) = "1", OFFSET($A$1, 2251 - 1, 55 - 1) = "1" ), 1, IF( AND( OFFSET($A$1, 2251 - 1, 54 - 1) = "1", OFFSET($A$1, 2251 - 1, 55 - 1) = "0" ), 2, IF( AND( OFFSET($A$1, 2251 - 1, 54 - 1) = "0", OFFSET($A$1, 2251 - 1, 55 - 1) = "1" ), 3, 4 ) ) )</f>
        <v>4</v>
      </c>
    </row>
    <row r="2252" spans="53:56" x14ac:dyDescent="0.35">
      <c r="BA2252" s="3">
        <v>0.20018817203748401</v>
      </c>
      <c r="BB2252" s="3" t="str">
        <f>"0"</f>
        <v>0</v>
      </c>
      <c r="BC2252" t="str">
        <f ca="1">IF((OFFSET($A$1, 2252 - 1, 53 - 1)) &gt;= (OFFSET($A$1, 69 - 1, 7 - 1)), "1","0")</f>
        <v>0</v>
      </c>
      <c r="BD2252">
        <f ca="1" xml:space="preserve"> IF( AND( OFFSET($A$1, 2252 - 1, 54 - 1) = "1", OFFSET($A$1, 2252 - 1, 55 - 1) = "1" ), 1, IF( AND( OFFSET($A$1, 2252 - 1, 54 - 1) = "1", OFFSET($A$1, 2252 - 1, 55 - 1) = "0" ), 2, IF( AND( OFFSET($A$1, 2252 - 1, 54 - 1) = "0", OFFSET($A$1, 2252 - 1, 55 - 1) = "1" ), 3, 4 ) ) )</f>
        <v>4</v>
      </c>
    </row>
    <row r="2253" spans="53:56" x14ac:dyDescent="0.35">
      <c r="BA2253" s="3">
        <v>0.20055942302522334</v>
      </c>
      <c r="BB2253" s="3" t="str">
        <f>"0"</f>
        <v>0</v>
      </c>
      <c r="BC2253" t="str">
        <f ca="1">IF((OFFSET($A$1, 2253 - 1, 53 - 1)) &gt;= (OFFSET($A$1, 69 - 1, 7 - 1)), "1","0")</f>
        <v>0</v>
      </c>
      <c r="BD2253">
        <f ca="1" xml:space="preserve"> IF( AND( OFFSET($A$1, 2253 - 1, 54 - 1) = "1", OFFSET($A$1, 2253 - 1, 55 - 1) = "1" ), 1, IF( AND( OFFSET($A$1, 2253 - 1, 54 - 1) = "1", OFFSET($A$1, 2253 - 1, 55 - 1) = "0" ), 2, IF( AND( OFFSET($A$1, 2253 - 1, 54 - 1) = "0", OFFSET($A$1, 2253 - 1, 55 - 1) = "1" ), 3, 4 ) ) )</f>
        <v>4</v>
      </c>
    </row>
    <row r="2254" spans="53:56" x14ac:dyDescent="0.35">
      <c r="BA2254" s="3">
        <v>0.20094696556203748</v>
      </c>
      <c r="BB2254" s="3" t="str">
        <f>"0"</f>
        <v>0</v>
      </c>
      <c r="BC2254" t="str">
        <f ca="1">IF((OFFSET($A$1, 2254 - 1, 53 - 1)) &gt;= (OFFSET($A$1, 69 - 1, 7 - 1)), "1","0")</f>
        <v>0</v>
      </c>
      <c r="BD2254">
        <f ca="1" xml:space="preserve"> IF( AND( OFFSET($A$1, 2254 - 1, 54 - 1) = "1", OFFSET($A$1, 2254 - 1, 55 - 1) = "1" ), 1, IF( AND( OFFSET($A$1, 2254 - 1, 54 - 1) = "1", OFFSET($A$1, 2254 - 1, 55 - 1) = "0" ), 2, IF( AND( OFFSET($A$1, 2254 - 1, 54 - 1) = "0", OFFSET($A$1, 2254 - 1, 55 - 1) = "1" ), 3, 4 ) ) )</f>
        <v>4</v>
      </c>
    </row>
    <row r="2255" spans="53:56" x14ac:dyDescent="0.35">
      <c r="BA2255" s="3">
        <v>0.20135075316492695</v>
      </c>
      <c r="BB2255" s="3" t="str">
        <f>"0"</f>
        <v>0</v>
      </c>
      <c r="BC2255" t="str">
        <f ca="1">IF((OFFSET($A$1, 2255 - 1, 53 - 1)) &gt;= (OFFSET($A$1, 69 - 1, 7 - 1)), "1","0")</f>
        <v>0</v>
      </c>
      <c r="BD2255">
        <f ca="1" xml:space="preserve"> IF( AND( OFFSET($A$1, 2255 - 1, 54 - 1) = "1", OFFSET($A$1, 2255 - 1, 55 - 1) = "1" ), 1, IF( AND( OFFSET($A$1, 2255 - 1, 54 - 1) = "1", OFFSET($A$1, 2255 - 1, 55 - 1) = "0" ), 2, IF( AND( OFFSET($A$1, 2255 - 1, 54 - 1) = "0", OFFSET($A$1, 2255 - 1, 55 - 1) = "1" ), 3, 4 ) ) )</f>
        <v>4</v>
      </c>
    </row>
    <row r="2256" spans="53:56" x14ac:dyDescent="0.35">
      <c r="BA2256" s="3">
        <v>0.20177073678428298</v>
      </c>
      <c r="BB2256" s="3" t="str">
        <f>"0"</f>
        <v>0</v>
      </c>
      <c r="BC2256" t="str">
        <f ca="1">IF((OFFSET($A$1, 2256 - 1, 53 - 1)) &gt;= (OFFSET($A$1, 69 - 1, 7 - 1)), "1","0")</f>
        <v>0</v>
      </c>
      <c r="BD2256">
        <f ca="1" xml:space="preserve"> IF( AND( OFFSET($A$1, 2256 - 1, 54 - 1) = "1", OFFSET($A$1, 2256 - 1, 55 - 1) = "1" ), 1, IF( AND( OFFSET($A$1, 2256 - 1, 54 - 1) = "1", OFFSET($A$1, 2256 - 1, 55 - 1) = "0" ), 2, IF( AND( OFFSET($A$1, 2256 - 1, 54 - 1) = "0", OFFSET($A$1, 2256 - 1, 55 - 1) = "1" ), 3, 4 ) ) )</f>
        <v>4</v>
      </c>
    </row>
    <row r="2257" spans="53:56" x14ac:dyDescent="0.35">
      <c r="BA2257" s="3">
        <v>0.20220686473556035</v>
      </c>
      <c r="BB2257" s="3" t="str">
        <f>"0"</f>
        <v>0</v>
      </c>
      <c r="BC2257" t="str">
        <f ca="1">IF((OFFSET($A$1, 2257 - 1, 53 - 1)) &gt;= (OFFSET($A$1, 69 - 1, 7 - 1)), "1","0")</f>
        <v>0</v>
      </c>
      <c r="BD2257">
        <f ca="1" xml:space="preserve"> IF( AND( OFFSET($A$1, 2257 - 1, 54 - 1) = "1", OFFSET($A$1, 2257 - 1, 55 - 1) = "1" ), 1, IF( AND( OFFSET($A$1, 2257 - 1, 54 - 1) = "1", OFFSET($A$1, 2257 - 1, 55 - 1) = "0" ), 2, IF( AND( OFFSET($A$1, 2257 - 1, 54 - 1) = "0", OFFSET($A$1, 2257 - 1, 55 - 1) = "1" ), 3, 4 ) ) )</f>
        <v>4</v>
      </c>
    </row>
    <row r="2258" spans="53:56" x14ac:dyDescent="0.35">
      <c r="BA2258" s="3">
        <v>0.20265908262896751</v>
      </c>
      <c r="BB2258" s="3" t="str">
        <f>"0"</f>
        <v>0</v>
      </c>
      <c r="BC2258" t="str">
        <f ca="1">IF((OFFSET($A$1, 2258 - 1, 53 - 1)) &gt;= (OFFSET($A$1, 69 - 1, 7 - 1)), "1","0")</f>
        <v>0</v>
      </c>
      <c r="BD2258">
        <f ca="1" xml:space="preserve"> IF( AND( OFFSET($A$1, 2258 - 1, 54 - 1) = "1", OFFSET($A$1, 2258 - 1, 55 - 1) = "1" ), 1, IF( AND( OFFSET($A$1, 2258 - 1, 54 - 1) = "1", OFFSET($A$1, 2258 - 1, 55 - 1) = "0" ), 2, IF( AND( OFFSET($A$1, 2258 - 1, 54 - 1) = "0", OFFSET($A$1, 2258 - 1, 55 - 1) = "1" ), 3, 4 ) ) )</f>
        <v>4</v>
      </c>
    </row>
    <row r="2259" spans="53:56" x14ac:dyDescent="0.35">
      <c r="BA2259" s="3">
        <v>0.20312733329727664</v>
      </c>
      <c r="BB2259" s="3" t="str">
        <f>"0"</f>
        <v>0</v>
      </c>
      <c r="BC2259" t="str">
        <f ca="1">IF((OFFSET($A$1, 2259 - 1, 53 - 1)) &gt;= (OFFSET($A$1, 69 - 1, 7 - 1)), "1","0")</f>
        <v>0</v>
      </c>
      <c r="BD2259">
        <f ca="1" xml:space="preserve"> IF( AND( OFFSET($A$1, 2259 - 1, 54 - 1) = "1", OFFSET($A$1, 2259 - 1, 55 - 1) = "1" ), 1, IF( AND( OFFSET($A$1, 2259 - 1, 54 - 1) = "1", OFFSET($A$1, 2259 - 1, 55 - 1) = "0" ), 2, IF( AND( OFFSET($A$1, 2259 - 1, 54 - 1) = "0", OFFSET($A$1, 2259 - 1, 55 - 1) = "1" ), 3, 4 ) ) )</f>
        <v>4</v>
      </c>
    </row>
    <row r="2260" spans="53:56" x14ac:dyDescent="0.35">
      <c r="BA2260" s="3">
        <v>0.20361155672186151</v>
      </c>
      <c r="BB2260" s="3" t="str">
        <f>"0"</f>
        <v>0</v>
      </c>
      <c r="BC2260" t="str">
        <f ca="1">IF((OFFSET($A$1, 2260 - 1, 53 - 1)) &gt;= (OFFSET($A$1, 69 - 1, 7 - 1)), "1","0")</f>
        <v>0</v>
      </c>
      <c r="BD2260">
        <f ca="1" xml:space="preserve"> IF( AND( OFFSET($A$1, 2260 - 1, 54 - 1) = "1", OFFSET($A$1, 2260 - 1, 55 - 1) = "1" ), 1, IF( AND( OFFSET($A$1, 2260 - 1, 54 - 1) = "1", OFFSET($A$1, 2260 - 1, 55 - 1) = "0" ), 2, IF( AND( OFFSET($A$1, 2260 - 1, 54 - 1) = "0", OFFSET($A$1, 2260 - 1, 55 - 1) = "1" ), 3, 4 ) ) )</f>
        <v>4</v>
      </c>
    </row>
    <row r="2261" spans="53:56" x14ac:dyDescent="0.35">
      <c r="BA2261" s="3">
        <v>0.20411168995707085</v>
      </c>
      <c r="BB2261" s="3" t="str">
        <f>"0"</f>
        <v>0</v>
      </c>
      <c r="BC2261" t="str">
        <f ca="1">IF((OFFSET($A$1, 2261 - 1, 53 - 1)) &gt;= (OFFSET($A$1, 69 - 1, 7 - 1)), "1","0")</f>
        <v>0</v>
      </c>
      <c r="BD2261">
        <f ca="1" xml:space="preserve"> IF( AND( OFFSET($A$1, 2261 - 1, 54 - 1) = "1", OFFSET($A$1, 2261 - 1, 55 - 1) = "1" ), 1, IF( AND( OFFSET($A$1, 2261 - 1, 54 - 1) = "1", OFFSET($A$1, 2261 - 1, 55 - 1) = "0" ), 2, IF( AND( OFFSET($A$1, 2261 - 1, 54 - 1) = "0", OFFSET($A$1, 2261 - 1, 55 - 1) = "1" ), 3, 4 ) ) )</f>
        <v>4</v>
      </c>
    </row>
    <row r="2262" spans="53:56" x14ac:dyDescent="0.35">
      <c r="BA2262" s="3">
        <v>0.20462766705305663</v>
      </c>
      <c r="BB2262" s="3" t="str">
        <f>"0"</f>
        <v>0</v>
      </c>
      <c r="BC2262" t="str">
        <f ca="1">IF((OFFSET($A$1, 2262 - 1, 53 - 1)) &gt;= (OFFSET($A$1, 69 - 1, 7 - 1)), "1","0")</f>
        <v>0</v>
      </c>
      <c r="BD2262">
        <f ca="1" xml:space="preserve"> IF( AND( OFFSET($A$1, 2262 - 1, 54 - 1) = "1", OFFSET($A$1, 2262 - 1, 55 - 1) = "1" ), 1, IF( AND( OFFSET($A$1, 2262 - 1, 54 - 1) = "1", OFFSET($A$1, 2262 - 1, 55 - 1) = "0" ), 2, IF( AND( OFFSET($A$1, 2262 - 1, 54 - 1) = "0", OFFSET($A$1, 2262 - 1, 55 - 1) = "1" ), 3, 4 ) ) )</f>
        <v>4</v>
      </c>
    </row>
    <row r="2263" spans="53:56" x14ac:dyDescent="0.35">
      <c r="BA2263" s="3">
        <v>0.20515941897717363</v>
      </c>
      <c r="BB2263" s="3" t="str">
        <f>"0"</f>
        <v>0</v>
      </c>
      <c r="BC2263" t="str">
        <f ca="1">IF((OFFSET($A$1, 2263 - 1, 53 - 1)) &gt;= (OFFSET($A$1, 69 - 1, 7 - 1)), "1","0")</f>
        <v>0</v>
      </c>
      <c r="BD2263">
        <f ca="1" xml:space="preserve"> IF( AND( OFFSET($A$1, 2263 - 1, 54 - 1) = "1", OFFSET($A$1, 2263 - 1, 55 - 1) = "1" ), 1, IF( AND( OFFSET($A$1, 2263 - 1, 54 - 1) = "1", OFFSET($A$1, 2263 - 1, 55 - 1) = "0" ), 2, IF( AND( OFFSET($A$1, 2263 - 1, 54 - 1) = "0", OFFSET($A$1, 2263 - 1, 55 - 1) = "1" ), 3, 4 ) ) )</f>
        <v>4</v>
      </c>
    </row>
    <row r="2264" spans="53:56" x14ac:dyDescent="0.35">
      <c r="BA2264" s="3">
        <v>0.20570687353407538</v>
      </c>
      <c r="BB2264" s="3" t="str">
        <f>"1"</f>
        <v>1</v>
      </c>
      <c r="BC2264" t="str">
        <f ca="1">IF((OFFSET($A$1, 2264 - 1, 53 - 1)) &gt;= (OFFSET($A$1, 69 - 1, 7 - 1)), "1","0")</f>
        <v>0</v>
      </c>
      <c r="BD2264">
        <f ca="1" xml:space="preserve"> IF( AND( OFFSET($A$1, 2264 - 1, 54 - 1) = "1", OFFSET($A$1, 2264 - 1, 55 - 1) = "1" ), 1, IF( AND( OFFSET($A$1, 2264 - 1, 54 - 1) = "1", OFFSET($A$1, 2264 - 1, 55 - 1) = "0" ), 2, IF( AND( OFFSET($A$1, 2264 - 1, 54 - 1) = "0", OFFSET($A$1, 2264 - 1, 55 - 1) = "1" ), 3, 4 ) ) )</f>
        <v>2</v>
      </c>
    </row>
    <row r="2265" spans="53:56" x14ac:dyDescent="0.35">
      <c r="BA2265" s="3">
        <v>0.44788459257134494</v>
      </c>
      <c r="BB2265" s="3" t="str">
        <f>"1"</f>
        <v>1</v>
      </c>
      <c r="BC2265" t="str">
        <f ca="1">IF((OFFSET($A$1, 2265 - 1, 53 - 1)) &gt;= (OFFSET($A$1, 69 - 1, 7 - 1)), "1","0")</f>
        <v>0</v>
      </c>
      <c r="BD2265">
        <f ca="1" xml:space="preserve"> IF( AND( OFFSET($A$1, 2265 - 1, 54 - 1) = "1", OFFSET($A$1, 2265 - 1, 55 - 1) = "1" ), 1, IF( AND( OFFSET($A$1, 2265 - 1, 54 - 1) = "1", OFFSET($A$1, 2265 - 1, 55 - 1) = "0" ), 2, IF( AND( OFFSET($A$1, 2265 - 1, 54 - 1) = "0", OFFSET($A$1, 2265 - 1, 55 - 1) = "1" ), 3, 4 ) ) )</f>
        <v>2</v>
      </c>
    </row>
    <row r="2266" spans="53:56" x14ac:dyDescent="0.35">
      <c r="BA2266" s="3">
        <v>0.44875780032499074</v>
      </c>
      <c r="BB2266" s="3" t="str">
        <f>"0"</f>
        <v>0</v>
      </c>
      <c r="BC2266" t="str">
        <f ca="1">IF((OFFSET($A$1, 2266 - 1, 53 - 1)) &gt;= (OFFSET($A$1, 69 - 1, 7 - 1)), "1","0")</f>
        <v>0</v>
      </c>
      <c r="BD2266">
        <f ca="1" xml:space="preserve"> IF( AND( OFFSET($A$1, 2266 - 1, 54 - 1) = "1", OFFSET($A$1, 2266 - 1, 55 - 1) = "1" ), 1, IF( AND( OFFSET($A$1, 2266 - 1, 54 - 1) = "1", OFFSET($A$1, 2266 - 1, 55 - 1) = "0" ), 2, IF( AND( OFFSET($A$1, 2266 - 1, 54 - 1) = "0", OFFSET($A$1, 2266 - 1, 55 - 1) = "1" ), 3, 4 ) ) )</f>
        <v>4</v>
      </c>
    </row>
    <row r="2267" spans="53:56" x14ac:dyDescent="0.35">
      <c r="BA2267" s="3">
        <v>0.20744268189767104</v>
      </c>
      <c r="BB2267" s="3" t="str">
        <f>"1"</f>
        <v>1</v>
      </c>
      <c r="BC2267" t="str">
        <f ca="1">IF((OFFSET($A$1, 2267 - 1, 53 - 1)) &gt;= (OFFSET($A$1, 69 - 1, 7 - 1)), "1","0")</f>
        <v>0</v>
      </c>
      <c r="BD2267">
        <f ca="1" xml:space="preserve"> IF( AND( OFFSET($A$1, 2267 - 1, 54 - 1) = "1", OFFSET($A$1, 2267 - 1, 55 - 1) = "1" ), 1, IF( AND( OFFSET($A$1, 2267 - 1, 54 - 1) = "1", OFFSET($A$1, 2267 - 1, 55 - 1) = "0" ), 2, IF( AND( OFFSET($A$1, 2267 - 1, 54 - 1) = "0", OFFSET($A$1, 2267 - 1, 55 - 1) = "1" ), 3, 4 ) ) )</f>
        <v>2</v>
      </c>
    </row>
    <row r="2268" spans="53:56" x14ac:dyDescent="0.35">
      <c r="BA2268" s="3">
        <v>0.4505693421525237</v>
      </c>
      <c r="BB2268" s="3" t="str">
        <f>"1"</f>
        <v>1</v>
      </c>
      <c r="BC2268" t="str">
        <f ca="1">IF((OFFSET($A$1, 2268 - 1, 53 - 1)) &gt;= (OFFSET($A$1, 69 - 1, 7 - 1)), "1","0")</f>
        <v>0</v>
      </c>
      <c r="BD2268">
        <f ca="1" xml:space="preserve"> IF( AND( OFFSET($A$1, 2268 - 1, 54 - 1) = "1", OFFSET($A$1, 2268 - 1, 55 - 1) = "1" ), 1, IF( AND( OFFSET($A$1, 2268 - 1, 54 - 1) = "1", OFFSET($A$1, 2268 - 1, 55 - 1) = "0" ), 2, IF( AND( OFFSET($A$1, 2268 - 1, 54 - 1) = "0", OFFSET($A$1, 2268 - 1, 55 - 1) = "1" ), 3, 4 ) ) )</f>
        <v>2</v>
      </c>
    </row>
    <row r="2269" spans="53:56" x14ac:dyDescent="0.35">
      <c r="BA2269" s="3">
        <v>0.45150717526991252</v>
      </c>
      <c r="BB2269" s="3" t="str">
        <f>"0"</f>
        <v>0</v>
      </c>
      <c r="BC2269" t="str">
        <f ca="1">IF((OFFSET($A$1, 2269 - 1, 53 - 1)) &gt;= (OFFSET($A$1, 69 - 1, 7 - 1)), "1","0")</f>
        <v>0</v>
      </c>
      <c r="BD2269">
        <f ca="1" xml:space="preserve"> IF( AND( OFFSET($A$1, 2269 - 1, 54 - 1) = "1", OFFSET($A$1, 2269 - 1, 55 - 1) = "1" ), 1, IF( AND( OFFSET($A$1, 2269 - 1, 54 - 1) = "1", OFFSET($A$1, 2269 - 1, 55 - 1) = "0" ), 2, IF( AND( OFFSET($A$1, 2269 - 1, 54 - 1) = "0", OFFSET($A$1, 2269 - 1, 55 - 1) = "1" ), 3, 4 ) ) )</f>
        <v>4</v>
      </c>
    </row>
    <row r="2270" spans="53:56" x14ac:dyDescent="0.35">
      <c r="BA2270" s="3">
        <v>0.20931689408965348</v>
      </c>
      <c r="BB2270" s="3" t="str">
        <f>"0"</f>
        <v>0</v>
      </c>
      <c r="BC2270" t="str">
        <f ca="1">IF((OFFSET($A$1, 2270 - 1, 53 - 1)) &gt;= (OFFSET($A$1, 69 - 1, 7 - 1)), "1","0")</f>
        <v>0</v>
      </c>
      <c r="BD2270">
        <f ca="1" xml:space="preserve"> IF( AND( OFFSET($A$1, 2270 - 1, 54 - 1) = "1", OFFSET($A$1, 2270 - 1, 55 - 1) = "1" ), 1, IF( AND( OFFSET($A$1, 2270 - 1, 54 - 1) = "1", OFFSET($A$1, 2270 - 1, 55 - 1) = "0" ), 2, IF( AND( OFFSET($A$1, 2270 - 1, 54 - 1) = "0", OFFSET($A$1, 2270 - 1, 55 - 1) = "1" ), 3, 4 ) ) )</f>
        <v>4</v>
      </c>
    </row>
    <row r="2271" spans="53:56" x14ac:dyDescent="0.35">
      <c r="BA2271" s="3">
        <v>0.20997196267899823</v>
      </c>
      <c r="BB2271" s="3" t="str">
        <f>"0"</f>
        <v>0</v>
      </c>
      <c r="BC2271" t="str">
        <f ca="1">IF((OFFSET($A$1, 2271 - 1, 53 - 1)) &gt;= (OFFSET($A$1, 69 - 1, 7 - 1)), "1","0")</f>
        <v>0</v>
      </c>
      <c r="BD2271">
        <f ca="1" xml:space="preserve"> IF( AND( OFFSET($A$1, 2271 - 1, 54 - 1) = "1", OFFSET($A$1, 2271 - 1, 55 - 1) = "1" ), 1, IF( AND( OFFSET($A$1, 2271 - 1, 54 - 1) = "1", OFFSET($A$1, 2271 - 1, 55 - 1) = "0" ), 2, IF( AND( OFFSET($A$1, 2271 - 1, 54 - 1) = "0", OFFSET($A$1, 2271 - 1, 55 - 1) = "1" ), 3, 4 ) ) )</f>
        <v>4</v>
      </c>
    </row>
    <row r="2272" spans="53:56" x14ac:dyDescent="0.35">
      <c r="BA2272" s="3">
        <v>0.21064203256773342</v>
      </c>
      <c r="BB2272" s="3" t="str">
        <f>"0"</f>
        <v>0</v>
      </c>
      <c r="BC2272" t="str">
        <f ca="1">IF((OFFSET($A$1, 2272 - 1, 53 - 1)) &gt;= (OFFSET($A$1, 69 - 1, 7 - 1)), "1","0")</f>
        <v>0</v>
      </c>
      <c r="BD2272">
        <f ca="1" xml:space="preserve"> IF( AND( OFFSET($A$1, 2272 - 1, 54 - 1) = "1", OFFSET($A$1, 2272 - 1, 55 - 1) = "1" ), 1, IF( AND( OFFSET($A$1, 2272 - 1, 54 - 1) = "1", OFFSET($A$1, 2272 - 1, 55 - 1) = "0" ), 2, IF( AND( OFFSET($A$1, 2272 - 1, 54 - 1) = "0", OFFSET($A$1, 2272 - 1, 55 - 1) = "1" ), 3, 4 ) ) )</f>
        <v>4</v>
      </c>
    </row>
    <row r="2273" spans="53:56" x14ac:dyDescent="0.35">
      <c r="BA2273" s="3">
        <v>0.21132699935211272</v>
      </c>
      <c r="BB2273" s="3" t="str">
        <f>"0"</f>
        <v>0</v>
      </c>
      <c r="BC2273" t="str">
        <f ca="1">IF((OFFSET($A$1, 2273 - 1, 53 - 1)) &gt;= (OFFSET($A$1, 69 - 1, 7 - 1)), "1","0")</f>
        <v>0</v>
      </c>
      <c r="BD2273">
        <f ca="1" xml:space="preserve"> IF( AND( OFFSET($A$1, 2273 - 1, 54 - 1) = "1", OFFSET($A$1, 2273 - 1, 55 - 1) = "1" ), 1, IF( AND( OFFSET($A$1, 2273 - 1, 54 - 1) = "1", OFFSET($A$1, 2273 - 1, 55 - 1) = "0" ), 2, IF( AND( OFFSET($A$1, 2273 - 1, 54 - 1) = "0", OFFSET($A$1, 2273 - 1, 55 - 1) = "1" ), 3, 4 ) ) )</f>
        <v>4</v>
      </c>
    </row>
    <row r="2274" spans="53:56" x14ac:dyDescent="0.35">
      <c r="BA2274" s="3">
        <v>0.21202675462516665</v>
      </c>
      <c r="BB2274" s="3" t="str">
        <f>"0"</f>
        <v>0</v>
      </c>
      <c r="BC2274" t="str">
        <f ca="1">IF((OFFSET($A$1, 2274 - 1, 53 - 1)) &gt;= (OFFSET($A$1, 69 - 1, 7 - 1)), "1","0")</f>
        <v>0</v>
      </c>
      <c r="BD2274">
        <f ca="1" xml:space="preserve"> IF( AND( OFFSET($A$1, 2274 - 1, 54 - 1) = "1", OFFSET($A$1, 2274 - 1, 55 - 1) = "1" ), 1, IF( AND( OFFSET($A$1, 2274 - 1, 54 - 1) = "1", OFFSET($A$1, 2274 - 1, 55 - 1) = "0" ), 2, IF( AND( OFFSET($A$1, 2274 - 1, 54 - 1) = "0", OFFSET($A$1, 2274 - 1, 55 - 1) = "1" ), 3, 4 ) ) )</f>
        <v>4</v>
      </c>
    </row>
    <row r="2275" spans="53:56" x14ac:dyDescent="0.35">
      <c r="BA2275" s="3">
        <v>0.21274118589180493</v>
      </c>
      <c r="BB2275" s="3" t="str">
        <f>"0"</f>
        <v>0</v>
      </c>
      <c r="BC2275" t="str">
        <f ca="1">IF((OFFSET($A$1, 2275 - 1, 53 - 1)) &gt;= (OFFSET($A$1, 69 - 1, 7 - 1)), "1","0")</f>
        <v>0</v>
      </c>
      <c r="BD2275">
        <f ca="1" xml:space="preserve"> IF( AND( OFFSET($A$1, 2275 - 1, 54 - 1) = "1", OFFSET($A$1, 2275 - 1, 55 - 1) = "1" ), 1, IF( AND( OFFSET($A$1, 2275 - 1, 54 - 1) = "1", OFFSET($A$1, 2275 - 1, 55 - 1) = "0" ), 2, IF( AND( OFFSET($A$1, 2275 - 1, 54 - 1) = "0", OFFSET($A$1, 2275 - 1, 55 - 1) = "1" ), 3, 4 ) ) )</f>
        <v>4</v>
      </c>
    </row>
    <row r="2276" spans="53:56" x14ac:dyDescent="0.35">
      <c r="BA2276" s="3">
        <v>0.21347017648441502</v>
      </c>
      <c r="BB2276" s="3" t="str">
        <f>"0"</f>
        <v>0</v>
      </c>
      <c r="BC2276" t="str">
        <f ca="1">IF((OFFSET($A$1, 2276 - 1, 53 - 1)) &gt;= (OFFSET($A$1, 69 - 1, 7 - 1)), "1","0")</f>
        <v>0</v>
      </c>
      <c r="BD2276">
        <f ca="1" xml:space="preserve"> IF( AND( OFFSET($A$1, 2276 - 1, 54 - 1) = "1", OFFSET($A$1, 2276 - 1, 55 - 1) = "1" ), 1, IF( AND( OFFSET($A$1, 2276 - 1, 54 - 1) = "1", OFFSET($A$1, 2276 - 1, 55 - 1) = "0" ), 2, IF( AND( OFFSET($A$1, 2276 - 1, 54 - 1) = "0", OFFSET($A$1, 2276 - 1, 55 - 1) = "1" ), 3, 4 ) ) )</f>
        <v>4</v>
      </c>
    </row>
    <row r="2277" spans="53:56" x14ac:dyDescent="0.35">
      <c r="BA2277" s="3">
        <v>0.21421360547912635</v>
      </c>
      <c r="BB2277" s="3" t="str">
        <f>"0"</f>
        <v>0</v>
      </c>
      <c r="BC2277" t="str">
        <f ca="1">IF((OFFSET($A$1, 2277 - 1, 53 - 1)) &gt;= (OFFSET($A$1, 69 - 1, 7 - 1)), "1","0")</f>
        <v>0</v>
      </c>
      <c r="BD2277">
        <f ca="1" xml:space="preserve"> IF( AND( OFFSET($A$1, 2277 - 1, 54 - 1) = "1", OFFSET($A$1, 2277 - 1, 55 - 1) = "1" ), 1, IF( AND( OFFSET($A$1, 2277 - 1, 54 - 1) = "1", OFFSET($A$1, 2277 - 1, 55 - 1) = "0" ), 2, IF( AND( OFFSET($A$1, 2277 - 1, 54 - 1) = "0", OFFSET($A$1, 2277 - 1, 55 - 1) = "1" ), 3, 4 ) ) )</f>
        <v>4</v>
      </c>
    </row>
    <row r="2278" spans="53:56" x14ac:dyDescent="0.35">
      <c r="BA2278" s="3">
        <v>0.21497134761291734</v>
      </c>
      <c r="BB2278" s="3" t="str">
        <f>"0"</f>
        <v>0</v>
      </c>
      <c r="BC2278" t="str">
        <f ca="1">IF((OFFSET($A$1, 2278 - 1, 53 - 1)) &gt;= (OFFSET($A$1, 69 - 1, 7 - 1)), "1","0")</f>
        <v>0</v>
      </c>
      <c r="BD2278">
        <f ca="1" xml:space="preserve"> IF( AND( OFFSET($A$1, 2278 - 1, 54 - 1) = "1", OFFSET($A$1, 2278 - 1, 55 - 1) = "1" ), 1, IF( AND( OFFSET($A$1, 2278 - 1, 54 - 1) = "1", OFFSET($A$1, 2278 - 1, 55 - 1) = "0" ), 2, IF( AND( OFFSET($A$1, 2278 - 1, 54 - 1) = "0", OFFSET($A$1, 2278 - 1, 55 - 1) = "1" ), 3, 4 ) ) )</f>
        <v>4</v>
      </c>
    </row>
    <row r="2279" spans="53:56" x14ac:dyDescent="0.35">
      <c r="BA2279" s="3">
        <v>0.21574327320174261</v>
      </c>
      <c r="BB2279" s="3" t="str">
        <f>"0"</f>
        <v>0</v>
      </c>
      <c r="BC2279" t="str">
        <f ca="1">IF((OFFSET($A$1, 2279 - 1, 53 - 1)) &gt;= (OFFSET($A$1, 69 - 1, 7 - 1)), "1","0")</f>
        <v>0</v>
      </c>
      <c r="BD2279">
        <f ca="1" xml:space="preserve"> IF( AND( OFFSET($A$1, 2279 - 1, 54 - 1) = "1", OFFSET($A$1, 2279 - 1, 55 - 1) = "1" ), 1, IF( AND( OFFSET($A$1, 2279 - 1, 54 - 1) = "1", OFFSET($A$1, 2279 - 1, 55 - 1) = "0" ), 2, IF( AND( OFFSET($A$1, 2279 - 1, 54 - 1) = "0", OFFSET($A$1, 2279 - 1, 55 - 1) = "1" ), 3, 4 ) ) )</f>
        <v>4</v>
      </c>
    </row>
    <row r="2280" spans="53:56" x14ac:dyDescent="0.35">
      <c r="BA2280" s="3">
        <v>0.2165292480598579</v>
      </c>
      <c r="BB2280" s="3" t="str">
        <f>"0"</f>
        <v>0</v>
      </c>
      <c r="BC2280" t="str">
        <f ca="1">IF((OFFSET($A$1, 2280 - 1, 53 - 1)) &gt;= (OFFSET($A$1, 69 - 1, 7 - 1)), "1","0")</f>
        <v>0</v>
      </c>
      <c r="BD2280">
        <f ca="1" xml:space="preserve"> IF( AND( OFFSET($A$1, 2280 - 1, 54 - 1) = "1", OFFSET($A$1, 2280 - 1, 55 - 1) = "1" ), 1, IF( AND( OFFSET($A$1, 2280 - 1, 54 - 1) = "1", OFFSET($A$1, 2280 - 1, 55 - 1) = "0" ), 2, IF( AND( OFFSET($A$1, 2280 - 1, 54 - 1) = "0", OFFSET($A$1, 2280 - 1, 55 - 1) = "1" ), 3, 4 ) ) )</f>
        <v>4</v>
      </c>
    </row>
    <row r="2281" spans="53:56" x14ac:dyDescent="0.35">
      <c r="BA2281" s="3">
        <v>0.21732913342052967</v>
      </c>
      <c r="BB2281" s="3" t="str">
        <f>"0"</f>
        <v>0</v>
      </c>
      <c r="BC2281" t="str">
        <f ca="1">IF((OFFSET($A$1, 2281 - 1, 53 - 1)) &gt;= (OFFSET($A$1, 69 - 1, 7 - 1)), "1","0")</f>
        <v>0</v>
      </c>
      <c r="BD2281">
        <f ca="1" xml:space="preserve"> IF( AND( OFFSET($A$1, 2281 - 1, 54 - 1) = "1", OFFSET($A$1, 2281 - 1, 55 - 1) = "1" ), 1, IF( AND( OFFSET($A$1, 2281 - 1, 54 - 1) = "1", OFFSET($A$1, 2281 - 1, 55 - 1) = "0" ), 2, IF( AND( OFFSET($A$1, 2281 - 1, 54 - 1) = "0", OFFSET($A$1, 2281 - 1, 55 - 1) = "1" ), 3, 4 ) ) )</f>
        <v>4</v>
      </c>
    </row>
    <row r="2282" spans="53:56" x14ac:dyDescent="0.35">
      <c r="BA2282" s="3">
        <v>0.21814278585830854</v>
      </c>
      <c r="BB2282" s="3" t="str">
        <f>"0"</f>
        <v>0</v>
      </c>
      <c r="BC2282" t="str">
        <f ca="1">IF((OFFSET($A$1, 2282 - 1, 53 - 1)) &gt;= (OFFSET($A$1, 69 - 1, 7 - 1)), "1","0")</f>
        <v>0</v>
      </c>
      <c r="BD2282">
        <f ca="1" xml:space="preserve"> IF( AND( OFFSET($A$1, 2282 - 1, 54 - 1) = "1", OFFSET($A$1, 2282 - 1, 55 - 1) = "1" ), 1, IF( AND( OFFSET($A$1, 2282 - 1, 54 - 1) = "1", OFFSET($A$1, 2282 - 1, 55 - 1) = "0" ), 2, IF( AND( OFFSET($A$1, 2282 - 1, 54 - 1) = "0", OFFSET($A$1, 2282 - 1, 55 - 1) = "1" ), 3, 4 ) ) )</f>
        <v>4</v>
      </c>
    </row>
    <row r="2283" spans="53:56" x14ac:dyDescent="0.35">
      <c r="BA2283" s="3">
        <v>0.21897005721305457</v>
      </c>
      <c r="BB2283" s="3" t="str">
        <f>"1"</f>
        <v>1</v>
      </c>
      <c r="BC2283" t="str">
        <f ca="1">IF((OFFSET($A$1, 2283 - 1, 53 - 1)) &gt;= (OFFSET($A$1, 69 - 1, 7 - 1)), "1","0")</f>
        <v>0</v>
      </c>
      <c r="BD2283">
        <f ca="1" xml:space="preserve"> IF( AND( OFFSET($A$1, 2283 - 1, 54 - 1) = "1", OFFSET($A$1, 2283 - 1, 55 - 1) = "1" ), 1, IF( AND( OFFSET($A$1, 2283 - 1, 54 - 1) = "1", OFFSET($A$1, 2283 - 1, 55 - 1) = "0" ), 2, IF( AND( OFFSET($A$1, 2283 - 1, 54 - 1) = "0", OFFSET($A$1, 2283 - 1, 55 - 1) = "1" ), 3, 4 ) ) )</f>
        <v>2</v>
      </c>
    </row>
    <row r="2284" spans="53:56" x14ac:dyDescent="0.35">
      <c r="BA2284" s="3">
        <v>0.46793576892197597</v>
      </c>
      <c r="BB2284" s="3" t="str">
        <f>"1"</f>
        <v>1</v>
      </c>
      <c r="BC2284" t="str">
        <f ca="1">IF((OFFSET($A$1, 2284 - 1, 53 - 1)) &gt;= (OFFSET($A$1, 69 - 1, 7 - 1)), "1","0")</f>
        <v>0</v>
      </c>
      <c r="BD2284">
        <f ca="1" xml:space="preserve"> IF( AND( OFFSET($A$1, 2284 - 1, 54 - 1) = "1", OFFSET($A$1, 2284 - 1, 55 - 1) = "1" ), 1, IF( AND( OFFSET($A$1, 2284 - 1, 54 - 1) = "1", OFFSET($A$1, 2284 - 1, 55 - 1) = "0" ), 2, IF( AND( OFFSET($A$1, 2284 - 1, 54 - 1) = "0", OFFSET($A$1, 2284 - 1, 55 - 1) = "1" ), 3, 4 ) ) )</f>
        <v>2</v>
      </c>
    </row>
    <row r="2285" spans="53:56" x14ac:dyDescent="0.35">
      <c r="BA2285" s="3">
        <v>0.46917412631017447</v>
      </c>
      <c r="BB2285" s="3" t="str">
        <f>"0"</f>
        <v>0</v>
      </c>
      <c r="BC2285" t="str">
        <f ca="1">IF((OFFSET($A$1, 2285 - 1, 53 - 1)) &gt;= (OFFSET($A$1, 69 - 1, 7 - 1)), "1","0")</f>
        <v>0</v>
      </c>
      <c r="BD2285">
        <f ca="1" xml:space="preserve"> IF( AND( OFFSET($A$1, 2285 - 1, 54 - 1) = "1", OFFSET($A$1, 2285 - 1, 55 - 1) = "1" ), 1, IF( AND( OFFSET($A$1, 2285 - 1, 54 - 1) = "1", OFFSET($A$1, 2285 - 1, 55 - 1) = "0" ), 2, IF( AND( OFFSET($A$1, 2285 - 1, 54 - 1) = "0", OFFSET($A$1, 2285 - 1, 55 - 1) = "1" ), 3, 4 ) ) )</f>
        <v>4</v>
      </c>
    </row>
    <row r="2286" spans="53:56" x14ac:dyDescent="0.35">
      <c r="BA2286" s="3">
        <v>0.22153203061761476</v>
      </c>
      <c r="BB2286" s="3" t="str">
        <f>"0"</f>
        <v>0</v>
      </c>
      <c r="BC2286" t="str">
        <f ca="1">IF((OFFSET($A$1, 2286 - 1, 53 - 1)) &gt;= (OFFSET($A$1, 69 - 1, 7 - 1)), "1","0")</f>
        <v>0</v>
      </c>
      <c r="BD2286">
        <f ca="1" xml:space="preserve"> IF( AND( OFFSET($A$1, 2286 - 1, 54 - 1) = "1", OFFSET($A$1, 2286 - 1, 55 - 1) = "1" ), 1, IF( AND( OFFSET($A$1, 2286 - 1, 54 - 1) = "1", OFFSET($A$1, 2286 - 1, 55 - 1) = "0" ), 2, IF( AND( OFFSET($A$1, 2286 - 1, 54 - 1) = "0", OFFSET($A$1, 2286 - 1, 55 - 1) = "1" ), 3, 4 ) ) )</f>
        <v>4</v>
      </c>
    </row>
    <row r="2287" spans="53:56" x14ac:dyDescent="0.35">
      <c r="BA2287" s="3">
        <v>0.22241219879964991</v>
      </c>
      <c r="BB2287" s="3" t="str">
        <f>"0"</f>
        <v>0</v>
      </c>
      <c r="BC2287" t="str">
        <f ca="1">IF((OFFSET($A$1, 2287 - 1, 53 - 1)) &gt;= (OFFSET($A$1, 69 - 1, 7 - 1)), "1","0")</f>
        <v>0</v>
      </c>
      <c r="BD2287">
        <f ca="1" xml:space="preserve"> IF( AND( OFFSET($A$1, 2287 - 1, 54 - 1) = "1", OFFSET($A$1, 2287 - 1, 55 - 1) = "1" ), 1, IF( AND( OFFSET($A$1, 2287 - 1, 54 - 1) = "1", OFFSET($A$1, 2287 - 1, 55 - 1) = "0" ), 2, IF( AND( OFFSET($A$1, 2287 - 1, 54 - 1) = "0", OFFSET($A$1, 2287 - 1, 55 - 1) = "1" ), 3, 4 ) ) )</f>
        <v>4</v>
      </c>
    </row>
    <row r="2288" spans="53:56" x14ac:dyDescent="0.35">
      <c r="BA2288" s="3">
        <v>0.2233051715646078</v>
      </c>
      <c r="BB2288" s="3" t="str">
        <f>"1"</f>
        <v>1</v>
      </c>
      <c r="BC2288" t="str">
        <f ca="1">IF((OFFSET($A$1, 2288 - 1, 53 - 1)) &gt;= (OFFSET($A$1, 69 - 1, 7 - 1)), "1","0")</f>
        <v>0</v>
      </c>
      <c r="BD2288">
        <f ca="1" xml:space="preserve"> IF( AND( OFFSET($A$1, 2288 - 1, 54 - 1) = "1", OFFSET($A$1, 2288 - 1, 55 - 1) = "1" ), 1, IF( AND( OFFSET($A$1, 2288 - 1, 54 - 1) = "1", OFFSET($A$1, 2288 - 1, 55 - 1) = "0" ), 2, IF( AND( OFFSET($A$1, 2288 - 1, 54 - 1) = "0", OFFSET($A$1, 2288 - 1, 55 - 1) = "1" ), 3, 4 ) ) )</f>
        <v>2</v>
      </c>
    </row>
    <row r="2289" spans="53:56" x14ac:dyDescent="0.35">
      <c r="BA2289" s="3">
        <v>0.47428316659129238</v>
      </c>
      <c r="BB2289" s="3" t="str">
        <f>"1"</f>
        <v>1</v>
      </c>
      <c r="BC2289" t="str">
        <f ca="1">IF((OFFSET($A$1, 2289 - 1, 53 - 1)) &gt;= (OFFSET($A$1, 69 - 1, 7 - 1)), "1","0")</f>
        <v>0</v>
      </c>
      <c r="BD2289">
        <f ca="1" xml:space="preserve"> IF( AND( OFFSET($A$1, 2289 - 1, 54 - 1) = "1", OFFSET($A$1, 2289 - 1, 55 - 1) = "1" ), 1, IF( AND( OFFSET($A$1, 2289 - 1, 54 - 1) = "1", OFFSET($A$1, 2289 - 1, 55 - 1) = "0" ), 2, IF( AND( OFFSET($A$1, 2289 - 1, 54 - 1) = "0", OFFSET($A$1, 2289 - 1, 55 - 1) = "1" ), 3, 4 ) ) )</f>
        <v>2</v>
      </c>
    </row>
    <row r="2290" spans="53:56" x14ac:dyDescent="0.35">
      <c r="BA2290" s="3">
        <v>0.47559742081532713</v>
      </c>
      <c r="BB2290" s="3" t="str">
        <f>"0"</f>
        <v>0</v>
      </c>
      <c r="BC2290" t="str">
        <f ca="1">IF((OFFSET($A$1, 2290 - 1, 53 - 1)) &gt;= (OFFSET($A$1, 69 - 1, 7 - 1)), "1","0")</f>
        <v>0</v>
      </c>
      <c r="BD2290">
        <f ca="1" xml:space="preserve"> IF( AND( OFFSET($A$1, 2290 - 1, 54 - 1) = "1", OFFSET($A$1, 2290 - 1, 55 - 1) = "1" ), 1, IF( AND( OFFSET($A$1, 2290 - 1, 54 - 1) = "1", OFFSET($A$1, 2290 - 1, 55 - 1) = "0" ), 2, IF( AND( OFFSET($A$1, 2290 - 1, 54 - 1) = "0", OFFSET($A$1, 2290 - 1, 55 - 1) = "1" ), 3, 4 ) ) )</f>
        <v>4</v>
      </c>
    </row>
    <row r="2291" spans="53:56" x14ac:dyDescent="0.35">
      <c r="BA2291" s="3">
        <v>0.22605911087193351</v>
      </c>
      <c r="BB2291" s="3" t="str">
        <f>"0"</f>
        <v>0</v>
      </c>
      <c r="BC2291" t="str">
        <f ca="1">IF((OFFSET($A$1, 2291 - 1, 53 - 1)) &gt;= (OFFSET($A$1, 69 - 1, 7 - 1)), "1","0")</f>
        <v>0</v>
      </c>
      <c r="BD2291">
        <f ca="1" xml:space="preserve"> IF( AND( OFFSET($A$1, 2291 - 1, 54 - 1) = "1", OFFSET($A$1, 2291 - 1, 55 - 1) = "1" ), 1, IF( AND( OFFSET($A$1, 2291 - 1, 54 - 1) = "1", OFFSET($A$1, 2291 - 1, 55 - 1) = "0" ), 2, IF( AND( OFFSET($A$1, 2291 - 1, 54 - 1) = "0", OFFSET($A$1, 2291 - 1, 55 - 1) = "1" ), 3, 4 ) ) )</f>
        <v>4</v>
      </c>
    </row>
    <row r="2292" spans="53:56" x14ac:dyDescent="0.35">
      <c r="BA2292" s="3">
        <v>0.22700146925731868</v>
      </c>
      <c r="BB2292" s="3" t="str">
        <f>"0"</f>
        <v>0</v>
      </c>
      <c r="BC2292" t="str">
        <f ca="1">IF((OFFSET($A$1, 2292 - 1, 53 - 1)) &gt;= (OFFSET($A$1, 69 - 1, 7 - 1)), "1","0")</f>
        <v>0</v>
      </c>
      <c r="BD2292">
        <f ca="1" xml:space="preserve"> IF( AND( OFFSET($A$1, 2292 - 1, 54 - 1) = "1", OFFSET($A$1, 2292 - 1, 55 - 1) = "1" ), 1, IF( AND( OFFSET($A$1, 2292 - 1, 54 - 1) = "1", OFFSET($A$1, 2292 - 1, 55 - 1) = "0" ), 2, IF( AND( OFFSET($A$1, 2292 - 1, 54 - 1) = "0", OFFSET($A$1, 2292 - 1, 55 - 1) = "1" ), 3, 4 ) ) )</f>
        <v>4</v>
      </c>
    </row>
    <row r="2293" spans="53:56" x14ac:dyDescent="0.35">
      <c r="BA2293" s="3">
        <v>0.22795568946274697</v>
      </c>
      <c r="BB2293" s="3" t="str">
        <f>"0"</f>
        <v>0</v>
      </c>
      <c r="BC2293" t="str">
        <f ca="1">IF((OFFSET($A$1, 2293 - 1, 53 - 1)) &gt;= (OFFSET($A$1, 69 - 1, 7 - 1)), "1","0")</f>
        <v>0</v>
      </c>
      <c r="BD2293">
        <f ca="1" xml:space="preserve"> IF( AND( OFFSET($A$1, 2293 - 1, 54 - 1) = "1", OFFSET($A$1, 2293 - 1, 55 - 1) = "1" ), 1, IF( AND( OFFSET($A$1, 2293 - 1, 54 - 1) = "1", OFFSET($A$1, 2293 - 1, 55 - 1) = "0" ), 2, IF( AND( OFFSET($A$1, 2293 - 1, 54 - 1) = "0", OFFSET($A$1, 2293 - 1, 55 - 1) = "1" ), 3, 4 ) ) )</f>
        <v>4</v>
      </c>
    </row>
    <row r="2294" spans="53:56" x14ac:dyDescent="0.35">
      <c r="BA2294" s="3">
        <v>0.22892156692041868</v>
      </c>
      <c r="BB2294" s="3" t="str">
        <f>"0"</f>
        <v>0</v>
      </c>
      <c r="BC2294" t="str">
        <f ca="1">IF((OFFSET($A$1, 2294 - 1, 53 - 1)) &gt;= (OFFSET($A$1, 69 - 1, 7 - 1)), "1","0")</f>
        <v>0</v>
      </c>
      <c r="BD2294">
        <f ca="1" xml:space="preserve"> IF( AND( OFFSET($A$1, 2294 - 1, 54 - 1) = "1", OFFSET($A$1, 2294 - 1, 55 - 1) = "1" ), 1, IF( AND( OFFSET($A$1, 2294 - 1, 54 - 1) = "1", OFFSET($A$1, 2294 - 1, 55 - 1) = "0" ), 2, IF( AND( OFFSET($A$1, 2294 - 1, 54 - 1) = "0", OFFSET($A$1, 2294 - 1, 55 - 1) = "1" ), 3, 4 ) ) )</f>
        <v>4</v>
      </c>
    </row>
    <row r="2295" spans="53:56" x14ac:dyDescent="0.35">
      <c r="BA2295" s="3">
        <v>0.22989889162083066</v>
      </c>
      <c r="BB2295" s="3" t="str">
        <f>"0"</f>
        <v>0</v>
      </c>
      <c r="BC2295" t="str">
        <f ca="1">IF((OFFSET($A$1, 2295 - 1, 53 - 1)) &gt;= (OFFSET($A$1, 69 - 1, 7 - 1)), "1","0")</f>
        <v>0</v>
      </c>
      <c r="BD2295">
        <f ca="1" xml:space="preserve"> IF( AND( OFFSET($A$1, 2295 - 1, 54 - 1) = "1", OFFSET($A$1, 2295 - 1, 55 - 1) = "1" ), 1, IF( AND( OFFSET($A$1, 2295 - 1, 54 - 1) = "1", OFFSET($A$1, 2295 - 1, 55 - 1) = "0" ), 2, IF( AND( OFFSET($A$1, 2295 - 1, 54 - 1) = "0", OFFSET($A$1, 2295 - 1, 55 - 1) = "1" ), 3, 4 ) ) )</f>
        <v>4</v>
      </c>
    </row>
    <row r="2296" spans="53:56" x14ac:dyDescent="0.35">
      <c r="BA2296" s="3">
        <v>0.23088744807651809</v>
      </c>
      <c r="BB2296" s="3" t="str">
        <f>"1"</f>
        <v>1</v>
      </c>
      <c r="BC2296" t="str">
        <f ca="1">IF((OFFSET($A$1, 2296 - 1, 53 - 1)) &gt;= (OFFSET($A$1, 69 - 1, 7 - 1)), "1","0")</f>
        <v>0</v>
      </c>
      <c r="BD2296">
        <f ca="1" xml:space="preserve"> IF( AND( OFFSET($A$1, 2296 - 1, 54 - 1) = "1", OFFSET($A$1, 2296 - 1, 55 - 1) = "1" ), 1, IF( AND( OFFSET($A$1, 2296 - 1, 54 - 1) = "1", OFFSET($A$1, 2296 - 1, 55 - 1) = "0" ), 2, IF( AND( OFFSET($A$1, 2296 - 1, 54 - 1) = "0", OFFSET($A$1, 2296 - 1, 55 - 1) = "1" ), 3, 4 ) ) )</f>
        <v>2</v>
      </c>
    </row>
    <row r="2297" spans="53:56" x14ac:dyDescent="0.35">
      <c r="BA2297" s="3">
        <v>0.48516674029504692</v>
      </c>
      <c r="BB2297" s="3" t="str">
        <f>"1"</f>
        <v>1</v>
      </c>
      <c r="BC2297" t="str">
        <f ca="1">IF((OFFSET($A$1, 2297 - 1, 53 - 1)) &gt;= (OFFSET($A$1, 69 - 1, 7 - 1)), "1","0")</f>
        <v>0</v>
      </c>
      <c r="BD2297">
        <f ca="1" xml:space="preserve"> IF( AND( OFFSET($A$1, 2297 - 1, 54 - 1) = "1", OFFSET($A$1, 2297 - 1, 55 - 1) = "1" ), 1, IF( AND( OFFSET($A$1, 2297 - 1, 54 - 1) = "1", OFFSET($A$1, 2297 - 1, 55 - 1) = "0" ), 2, IF( AND( OFFSET($A$1, 2297 - 1, 54 - 1) = "0", OFFSET($A$1, 2297 - 1, 55 - 1) = "1" ), 3, 4 ) ) )</f>
        <v>2</v>
      </c>
    </row>
    <row r="2298" spans="53:56" x14ac:dyDescent="0.35">
      <c r="BA2298" s="3">
        <v>0.48658157281031672</v>
      </c>
      <c r="BB2298" s="3" t="str">
        <f>"1"</f>
        <v>1</v>
      </c>
      <c r="BC2298" t="str">
        <f ca="1">IF((OFFSET($A$1, 2298 - 1, 53 - 1)) &gt;= (OFFSET($A$1, 69 - 1, 7 - 1)), "1","0")</f>
        <v>0</v>
      </c>
      <c r="BD2298">
        <f ca="1" xml:space="preserve"> IF( AND( OFFSET($A$1, 2298 - 1, 54 - 1) = "1", OFFSET($A$1, 2298 - 1, 55 - 1) = "1" ), 1, IF( AND( OFFSET($A$1, 2298 - 1, 54 - 1) = "1", OFFSET($A$1, 2298 - 1, 55 - 1) = "0" ), 2, IF( AND( OFFSET($A$1, 2298 - 1, 54 - 1) = "0", OFFSET($A$1, 2298 - 1, 55 - 1) = "1" ), 3, 4 ) ) )</f>
        <v>2</v>
      </c>
    </row>
    <row r="2299" spans="53:56" x14ac:dyDescent="0.35">
      <c r="BA2299" s="3">
        <v>0.48800706441446301</v>
      </c>
      <c r="BB2299" s="3" t="str">
        <f>"0"</f>
        <v>0</v>
      </c>
      <c r="BC2299" t="str">
        <f ca="1">IF((OFFSET($A$1, 2299 - 1, 53 - 1)) &gt;= (OFFSET($A$1, 69 - 1, 7 - 1)), "1","0")</f>
        <v>0</v>
      </c>
      <c r="BD2299">
        <f ca="1" xml:space="preserve"> IF( AND( OFFSET($A$1, 2299 - 1, 54 - 1) = "1", OFFSET($A$1, 2299 - 1, 55 - 1) = "1" ), 1, IF( AND( OFFSET($A$1, 2299 - 1, 54 - 1) = "1", OFFSET($A$1, 2299 - 1, 55 - 1) = "0" ), 2, IF( AND( OFFSET($A$1, 2299 - 1, 54 - 1) = "0", OFFSET($A$1, 2299 - 1, 55 - 1) = "1" ), 3, 4 ) ) )</f>
        <v>4</v>
      </c>
    </row>
    <row r="2300" spans="53:56" x14ac:dyDescent="0.35">
      <c r="BA2300" s="3">
        <v>0.23494948831174503</v>
      </c>
      <c r="BB2300" s="3" t="str">
        <f>"0"</f>
        <v>0</v>
      </c>
      <c r="BC2300" t="str">
        <f ca="1">IF((OFFSET($A$1, 2300 - 1, 53 - 1)) &gt;= (OFFSET($A$1, 69 - 1, 7 - 1)), "1","0")</f>
        <v>0</v>
      </c>
      <c r="BD2300">
        <f ca="1" xml:space="preserve"> IF( AND( OFFSET($A$1, 2300 - 1, 54 - 1) = "1", OFFSET($A$1, 2300 - 1, 55 - 1) = "1" ), 1, IF( AND( OFFSET($A$1, 2300 - 1, 54 - 1) = "1", OFFSET($A$1, 2300 - 1, 55 - 1) = "0" ), 2, IF( AND( OFFSET($A$1, 2300 - 1, 54 - 1) = "0", OFFSET($A$1, 2300 - 1, 55 - 1) = "1" ), 3, 4 ) ) )</f>
        <v>4</v>
      </c>
    </row>
    <row r="2301" spans="53:56" x14ac:dyDescent="0.35">
      <c r="BA2301" s="3">
        <v>0.23599077752223344</v>
      </c>
      <c r="BB2301" s="3" t="str">
        <f>"0"</f>
        <v>0</v>
      </c>
      <c r="BC2301" t="str">
        <f ca="1">IF((OFFSET($A$1, 2301 - 1, 53 - 1)) &gt;= (OFFSET($A$1, 69 - 1, 7 - 1)), "1","0")</f>
        <v>0</v>
      </c>
      <c r="BD2301">
        <f ca="1" xml:space="preserve"> IF( AND( OFFSET($A$1, 2301 - 1, 54 - 1) = "1", OFFSET($A$1, 2301 - 1, 55 - 1) = "1" ), 1, IF( AND( OFFSET($A$1, 2301 - 1, 54 - 1) = "1", OFFSET($A$1, 2301 - 1, 55 - 1) = "0" ), 2, IF( AND( OFFSET($A$1, 2301 - 1, 54 - 1) = "0", OFFSET($A$1, 2301 - 1, 55 - 1) = "1" ), 3, 4 ) ) )</f>
        <v>4</v>
      </c>
    </row>
    <row r="2302" spans="53:56" x14ac:dyDescent="0.35">
      <c r="BA2302" s="3">
        <v>0.23704188905945087</v>
      </c>
      <c r="BB2302" s="3" t="str">
        <f>"1"</f>
        <v>1</v>
      </c>
      <c r="BC2302" t="str">
        <f ca="1">IF((OFFSET($A$1, 2302 - 1, 53 - 1)) &gt;= (OFFSET($A$1, 69 - 1, 7 - 1)), "1","0")</f>
        <v>0</v>
      </c>
      <c r="BD2302">
        <f ca="1" xml:space="preserve"> IF( AND( OFFSET($A$1, 2302 - 1, 54 - 1) = "1", OFFSET($A$1, 2302 - 1, 55 - 1) = "1" ), 1, IF( AND( OFFSET($A$1, 2302 - 1, 54 - 1) = "1", OFFSET($A$1, 2302 - 1, 55 - 1) = "0" ), 2, IF( AND( OFFSET($A$1, 2302 - 1, 54 - 1) = "0", OFFSET($A$1, 2302 - 1, 55 - 1) = "1" ), 3, 4 ) ) )</f>
        <v>2</v>
      </c>
    </row>
    <row r="2303" spans="53:56" x14ac:dyDescent="0.35">
      <c r="BA2303" s="3">
        <v>0.49380674972357369</v>
      </c>
      <c r="BB2303" s="3" t="str">
        <f>"1"</f>
        <v>1</v>
      </c>
      <c r="BC2303" t="str">
        <f ca="1">IF((OFFSET($A$1, 2303 - 1, 53 - 1)) &gt;= (OFFSET($A$1, 69 - 1, 7 - 1)), "1","0")</f>
        <v>0</v>
      </c>
      <c r="BD2303">
        <f ca="1" xml:space="preserve"> IF( AND( OFFSET($A$1, 2303 - 1, 54 - 1) = "1", OFFSET($A$1, 2303 - 1, 55 - 1) = "1" ), 1, IF( AND( OFFSET($A$1, 2303 - 1, 54 - 1) = "1", OFFSET($A$1, 2303 - 1, 55 - 1) = "0" ), 2, IF( AND( OFFSET($A$1, 2303 - 1, 54 - 1) = "0", OFFSET($A$1, 2303 - 1, 55 - 1) = "1" ), 3, 4 ) ) )</f>
        <v>2</v>
      </c>
    </row>
    <row r="2304" spans="53:56" x14ac:dyDescent="0.35">
      <c r="BA2304" s="3">
        <v>0.49527884817877854</v>
      </c>
      <c r="BB2304" s="3" t="str">
        <f>"1"</f>
        <v>1</v>
      </c>
      <c r="BC2304" t="str">
        <f ca="1">IF((OFFSET($A$1, 2304 - 1, 53 - 1)) &gt;= (OFFSET($A$1, 69 - 1, 7 - 1)), "1","0")</f>
        <v>0</v>
      </c>
      <c r="BD2304">
        <f ca="1" xml:space="preserve"> IF( AND( OFFSET($A$1, 2304 - 1, 54 - 1) = "1", OFFSET($A$1, 2304 - 1, 55 - 1) = "1" ), 1, IF( AND( OFFSET($A$1, 2304 - 1, 54 - 1) = "1", OFFSET($A$1, 2304 - 1, 55 - 1) = "0" ), 2, IF( AND( OFFSET($A$1, 2304 - 1, 54 - 1) = "0", OFFSET($A$1, 2304 - 1, 55 - 1) = "1" ), 3, 4 ) ) )</f>
        <v>2</v>
      </c>
    </row>
    <row r="2305" spans="53:56" x14ac:dyDescent="0.35">
      <c r="BA2305" s="3">
        <v>0.49675890362281083</v>
      </c>
      <c r="BB2305" s="3" t="str">
        <f>"0"</f>
        <v>0</v>
      </c>
      <c r="BC2305" t="str">
        <f ca="1">IF((OFFSET($A$1, 2305 - 1, 53 - 1)) &gt;= (OFFSET($A$1, 69 - 1, 7 - 1)), "1","0")</f>
        <v>0</v>
      </c>
      <c r="BD2305">
        <f ca="1" xml:space="preserve"> IF( AND( OFFSET($A$1, 2305 - 1, 54 - 1) = "1", OFFSET($A$1, 2305 - 1, 55 - 1) = "1" ), 1, IF( AND( OFFSET($A$1, 2305 - 1, 54 - 1) = "1", OFFSET($A$1, 2305 - 1, 55 - 1) = "0" ), 2, IF( AND( OFFSET($A$1, 2305 - 1, 54 - 1) = "0", OFFSET($A$1, 2305 - 1, 55 - 1) = "1" ), 3, 4 ) ) )</f>
        <v>4</v>
      </c>
    </row>
    <row r="2306" spans="53:56" x14ac:dyDescent="0.35">
      <c r="BA2306" s="3">
        <v>0.24133938522037227</v>
      </c>
      <c r="BB2306" s="3" t="str">
        <f>"1"</f>
        <v>1</v>
      </c>
      <c r="BC2306" t="str">
        <f ca="1">IF((OFFSET($A$1, 2306 - 1, 53 - 1)) &gt;= (OFFSET($A$1, 69 - 1, 7 - 1)), "1","0")</f>
        <v>0</v>
      </c>
      <c r="BD2306">
        <f ca="1" xml:space="preserve"> IF( AND( OFFSET($A$1, 2306 - 1, 54 - 1) = "1", OFFSET($A$1, 2306 - 1, 55 - 1) = "1" ), 1, IF( AND( OFFSET($A$1, 2306 - 1, 54 - 1) = "1", OFFSET($A$1, 2306 - 1, 55 - 1) = "0" ), 2, IF( AND( OFFSET($A$1, 2306 - 1, 54 - 1) = "0", OFFSET($A$1, 2306 - 1, 55 - 1) = "1" ), 3, 4 ) ) )</f>
        <v>2</v>
      </c>
    </row>
    <row r="2307" spans="53:56" x14ac:dyDescent="0.35">
      <c r="BA2307" s="3">
        <v>0.49974103115266733</v>
      </c>
      <c r="BB2307" s="3" t="str">
        <f>"0"</f>
        <v>0</v>
      </c>
      <c r="BC2307" t="str">
        <f ca="1">IF((OFFSET($A$1, 2307 - 1, 53 - 1)) &gt;= (OFFSET($A$1, 69 - 1, 7 - 1)), "1","0")</f>
        <v>0</v>
      </c>
      <c r="BD2307">
        <f ca="1" xml:space="preserve"> IF( AND( OFFSET($A$1, 2307 - 1, 54 - 1) = "1", OFFSET($A$1, 2307 - 1, 55 - 1) = "1" ), 1, IF( AND( OFFSET($A$1, 2307 - 1, 54 - 1) = "1", OFFSET($A$1, 2307 - 1, 55 - 1) = "0" ), 2, IF( AND( OFFSET($A$1, 2307 - 1, 54 - 1) = "0", OFFSET($A$1, 2307 - 1, 55 - 1) = "1" ), 3, 4 ) ) )</f>
        <v>4</v>
      </c>
    </row>
    <row r="2308" spans="53:56" x14ac:dyDescent="0.35">
      <c r="BA2308" s="3">
        <v>0.24354018570311806</v>
      </c>
      <c r="BB2308" s="3" t="str">
        <f>"0"</f>
        <v>0</v>
      </c>
      <c r="BC2308" t="str">
        <f ca="1">IF((OFFSET($A$1, 2308 - 1, 53 - 1)) &gt;= (OFFSET($A$1, 69 - 1, 7 - 1)), "1","0")</f>
        <v>0</v>
      </c>
      <c r="BD2308">
        <f ca="1" xml:space="preserve"> IF( AND( OFFSET($A$1, 2308 - 1, 54 - 1) = "1", OFFSET($A$1, 2308 - 1, 55 - 1) = "1" ), 1, IF( AND( OFFSET($A$1, 2308 - 1, 54 - 1) = "1", OFFSET($A$1, 2308 - 1, 55 - 1) = "0" ), 2, IF( AND( OFFSET($A$1, 2308 - 1, 54 - 1) = "0", OFFSET($A$1, 2308 - 1, 55 - 1) = "1" ), 3, 4 ) ) )</f>
        <v>4</v>
      </c>
    </row>
    <row r="2309" spans="53:56" x14ac:dyDescent="0.35">
      <c r="BA2309" s="3">
        <v>0.24465261579539047</v>
      </c>
      <c r="BB2309" s="3" t="str">
        <f>"0"</f>
        <v>0</v>
      </c>
      <c r="BC2309" t="str">
        <f ca="1">IF((OFFSET($A$1, 2309 - 1, 53 - 1)) &gt;= (OFFSET($A$1, 69 - 1, 7 - 1)), "1","0")</f>
        <v>0</v>
      </c>
      <c r="BD2309">
        <f ca="1" xml:space="preserve"> IF( AND( OFFSET($A$1, 2309 - 1, 54 - 1) = "1", OFFSET($A$1, 2309 - 1, 55 - 1) = "1" ), 1, IF( AND( OFFSET($A$1, 2309 - 1, 54 - 1) = "1", OFFSET($A$1, 2309 - 1, 55 - 1) = "0" ), 2, IF( AND( OFFSET($A$1, 2309 - 1, 54 - 1) = "0", OFFSET($A$1, 2309 - 1, 55 - 1) = "1" ), 3, 4 ) ) )</f>
        <v>4</v>
      </c>
    </row>
    <row r="2310" spans="53:56" x14ac:dyDescent="0.35">
      <c r="BA2310" s="3">
        <v>0.24577267655291551</v>
      </c>
      <c r="BB2310" s="3" t="str">
        <f>"0"</f>
        <v>0</v>
      </c>
      <c r="BC2310" t="str">
        <f ca="1">IF((OFFSET($A$1, 2310 - 1, 53 - 1)) &gt;= (OFFSET($A$1, 69 - 1, 7 - 1)), "1","0")</f>
        <v>0</v>
      </c>
      <c r="BD2310">
        <f ca="1" xml:space="preserve"> IF( AND( OFFSET($A$1, 2310 - 1, 54 - 1) = "1", OFFSET($A$1, 2310 - 1, 55 - 1) = "1" ), 1, IF( AND( OFFSET($A$1, 2310 - 1, 54 - 1) = "1", OFFSET($A$1, 2310 - 1, 55 - 1) = "0" ), 2, IF( AND( OFFSET($A$1, 2310 - 1, 54 - 1) = "0", OFFSET($A$1, 2310 - 1, 55 - 1) = "1" ), 3, 4 ) ) )</f>
        <v>4</v>
      </c>
    </row>
    <row r="2311" spans="53:56" x14ac:dyDescent="0.35">
      <c r="BA2311" s="3">
        <v>0.24690006926119837</v>
      </c>
      <c r="BB2311" s="3" t="str">
        <f>"1"</f>
        <v>1</v>
      </c>
      <c r="BC2311" t="str">
        <f ca="1">IF((OFFSET($A$1, 2311 - 1, 53 - 1)) &gt;= (OFFSET($A$1, 69 - 1, 7 - 1)), "1","0")</f>
        <v>0</v>
      </c>
      <c r="BD2311">
        <f ca="1" xml:space="preserve"> IF( AND( OFFSET($A$1, 2311 - 1, 54 - 1) = "1", OFFSET($A$1, 2311 - 1, 55 - 1) = "1" ), 1, IF( AND( OFFSET($A$1, 2311 - 1, 54 - 1) = "1", OFFSET($A$1, 2311 - 1, 55 - 1) = "0" ), 2, IF( AND( OFFSET($A$1, 2311 - 1, 54 - 1) = "0", OFFSET($A$1, 2311 - 1, 55 - 1) = "1" ), 3, 4 ) ) )</f>
        <v>2</v>
      </c>
    </row>
    <row r="2312" spans="53:56" x14ac:dyDescent="0.35">
      <c r="BA2312" s="3">
        <v>0.50730285141079212</v>
      </c>
      <c r="BB2312" s="3" t="str">
        <f>"1"</f>
        <v>1</v>
      </c>
      <c r="BC2312" t="str">
        <f ca="1">IF((OFFSET($A$1, 2312 - 1, 53 - 1)) &gt;= (OFFSET($A$1, 69 - 1, 7 - 1)), "1","0")</f>
        <v>1</v>
      </c>
      <c r="BD2312">
        <f ca="1" xml:space="preserve"> IF( AND( OFFSET($A$1, 2312 - 1, 54 - 1) = "1", OFFSET($A$1, 2312 - 1, 55 - 1) = "1" ), 1, IF( AND( OFFSET($A$1, 2312 - 1, 54 - 1) = "1", OFFSET($A$1, 2312 - 1, 55 - 1) = "0" ), 2, IF( AND( OFFSET($A$1, 2312 - 1, 54 - 1) = "0", OFFSET($A$1, 2312 - 1, 55 - 1) = "1" ), 3, 4 ) ) )</f>
        <v>1</v>
      </c>
    </row>
    <row r="2313" spans="53:56" x14ac:dyDescent="0.35">
      <c r="BA2313" s="3">
        <v>0.50882967039821669</v>
      </c>
      <c r="BB2313" s="3" t="str">
        <f>"1"</f>
        <v>1</v>
      </c>
      <c r="BC2313" t="str">
        <f ca="1">IF((OFFSET($A$1, 2313 - 1, 53 - 1)) &gt;= (OFFSET($A$1, 69 - 1, 7 - 1)), "1","0")</f>
        <v>1</v>
      </c>
      <c r="BD2313">
        <f ca="1" xml:space="preserve"> IF( AND( OFFSET($A$1, 2313 - 1, 54 - 1) = "1", OFFSET($A$1, 2313 - 1, 55 - 1) = "1" ), 1, IF( AND( OFFSET($A$1, 2313 - 1, 54 - 1) = "1", OFFSET($A$1, 2313 - 1, 55 - 1) = "0" ), 2, IF( AND( OFFSET($A$1, 2313 - 1, 54 - 1) = "0", OFFSET($A$1, 2313 - 1, 55 - 1) = "1" ), 3, 4 ) ) )</f>
        <v>1</v>
      </c>
    </row>
    <row r="2314" spans="53:56" x14ac:dyDescent="0.35">
      <c r="BA2314" s="3">
        <v>0.51036018826557583</v>
      </c>
      <c r="BB2314" s="3" t="str">
        <f>"1"</f>
        <v>1</v>
      </c>
      <c r="BC2314" t="str">
        <f ca="1">IF((OFFSET($A$1, 2314 - 1, 53 - 1)) &gt;= (OFFSET($A$1, 69 - 1, 7 - 1)), "1","0")</f>
        <v>1</v>
      </c>
      <c r="BD2314">
        <f ca="1" xml:space="preserve"> IF( AND( OFFSET($A$1, 2314 - 1, 54 - 1) = "1", OFFSET($A$1, 2314 - 1, 55 - 1) = "1" ), 1, IF( AND( OFFSET($A$1, 2314 - 1, 54 - 1) = "1", OFFSET($A$1, 2314 - 1, 55 - 1) = "0" ), 2, IF( AND( OFFSET($A$1, 2314 - 1, 54 - 1) = "0", OFFSET($A$1, 2314 - 1, 55 - 1) = "1" ), 3, 4 ) ) )</f>
        <v>1</v>
      </c>
    </row>
    <row r="2315" spans="53:56" x14ac:dyDescent="0.35">
      <c r="BA2315" s="3">
        <v>0.5118939221637272</v>
      </c>
      <c r="BB2315" s="3" t="str">
        <f>"1"</f>
        <v>1</v>
      </c>
      <c r="BC2315" t="str">
        <f ca="1">IF((OFFSET($A$1, 2315 - 1, 53 - 1)) &gt;= (OFFSET($A$1, 69 - 1, 7 - 1)), "1","0")</f>
        <v>1</v>
      </c>
      <c r="BD2315">
        <f ca="1" xml:space="preserve"> IF( AND( OFFSET($A$1, 2315 - 1, 54 - 1) = "1", OFFSET($A$1, 2315 - 1, 55 - 1) = "1" ), 1, IF( AND( OFFSET($A$1, 2315 - 1, 54 - 1) = "1", OFFSET($A$1, 2315 - 1, 55 - 1) = "0" ), 2, IF( AND( OFFSET($A$1, 2315 - 1, 54 - 1) = "0", OFFSET($A$1, 2315 - 1, 55 - 1) = "1" ), 3, 4 ) ) )</f>
        <v>1</v>
      </c>
    </row>
    <row r="2316" spans="53:56" x14ac:dyDescent="0.35">
      <c r="BA2316" s="3">
        <v>0.51343038809239772</v>
      </c>
      <c r="BB2316" s="3" t="str">
        <f>"0"</f>
        <v>0</v>
      </c>
      <c r="BC2316" t="str">
        <f ca="1">IF((OFFSET($A$1, 2316 - 1, 53 - 1)) &gt;= (OFFSET($A$1, 69 - 1, 7 - 1)), "1","0")</f>
        <v>1</v>
      </c>
      <c r="BD2316">
        <f ca="1" xml:space="preserve"> IF( AND( OFFSET($A$1, 2316 - 1, 54 - 1) = "1", OFFSET($A$1, 2316 - 1, 55 - 1) = "1" ), 1, IF( AND( OFFSET($A$1, 2316 - 1, 54 - 1) = "1", OFFSET($A$1, 2316 - 1, 55 - 1) = "0" ), 2, IF( AND( OFFSET($A$1, 2316 - 1, 54 - 1) = "0", OFFSET($A$1, 2316 - 1, 55 - 1) = "1" ), 3, 4 ) ) )</f>
        <v>3</v>
      </c>
    </row>
    <row r="2317" spans="53:56" x14ac:dyDescent="0.35">
      <c r="BA2317" s="3">
        <v>0.25380099904094855</v>
      </c>
      <c r="BB2317" s="3" t="str">
        <f>"0"</f>
        <v>0</v>
      </c>
      <c r="BC2317" t="str">
        <f ca="1">IF((OFFSET($A$1, 2317 - 1, 53 - 1)) &gt;= (OFFSET($A$1, 69 - 1, 7 - 1)), "1","0")</f>
        <v>0</v>
      </c>
      <c r="BD2317">
        <f ca="1" xml:space="preserve"> IF( AND( OFFSET($A$1, 2317 - 1, 54 - 1) = "1", OFFSET($A$1, 2317 - 1, 55 - 1) = "1" ), 1, IF( AND( OFFSET($A$1, 2317 - 1, 54 - 1) = "1", OFFSET($A$1, 2317 - 1, 55 - 1) = "0" ), 2, IF( AND( OFFSET($A$1, 2317 - 1, 54 - 1) = "0", OFFSET($A$1, 2317 - 1, 55 - 1) = "1" ), 3, 4 ) ) )</f>
        <v>4</v>
      </c>
    </row>
    <row r="2318" spans="53:56" x14ac:dyDescent="0.35">
      <c r="BA2318" s="3">
        <v>0.25497090788142163</v>
      </c>
      <c r="BB2318" s="3" t="str">
        <f>"1"</f>
        <v>1</v>
      </c>
      <c r="BC2318" t="str">
        <f ca="1">IF((OFFSET($A$1, 2318 - 1, 53 - 1)) &gt;= (OFFSET($A$1, 69 - 1, 7 - 1)), "1","0")</f>
        <v>0</v>
      </c>
      <c r="BD2318">
        <f ca="1" xml:space="preserve"> IF( AND( OFFSET($A$1, 2318 - 1, 54 - 1) = "1", OFFSET($A$1, 2318 - 1, 55 - 1) = "1" ), 1, IF( AND( OFFSET($A$1, 2318 - 1, 54 - 1) = "1", OFFSET($A$1, 2318 - 1, 55 - 1) = "0" ), 2, IF( AND( OFFSET($A$1, 2318 - 1, 54 - 1) = "0", OFFSET($A$1, 2318 - 1, 55 - 1) = "1" ), 3, 4 ) ) )</f>
        <v>2</v>
      </c>
    </row>
    <row r="2319" spans="53:56" x14ac:dyDescent="0.35">
      <c r="BA2319" s="3">
        <v>0.51805132546550303</v>
      </c>
      <c r="BB2319" s="3" t="str">
        <f>"1"</f>
        <v>1</v>
      </c>
      <c r="BC2319" t="str">
        <f ca="1">IF((OFFSET($A$1, 2319 - 1, 53 - 1)) &gt;= (OFFSET($A$1, 69 - 1, 7 - 1)), "1","0")</f>
        <v>1</v>
      </c>
      <c r="BD2319">
        <f ca="1" xml:space="preserve"> IF( AND( OFFSET($A$1, 2319 - 1, 54 - 1) = "1", OFFSET($A$1, 2319 - 1, 55 - 1) = "1" ), 1, IF( AND( OFFSET($A$1, 2319 - 1, 54 - 1) = "1", OFFSET($A$1, 2319 - 1, 55 - 1) = "0" ), 2, IF( AND( OFFSET($A$1, 2319 - 1, 54 - 1) = "0", OFFSET($A$1, 2319 - 1, 55 - 1) = "1" ), 3, 4 ) ) )</f>
        <v>1</v>
      </c>
    </row>
    <row r="2320" spans="53:56" x14ac:dyDescent="0.35">
      <c r="BA2320" s="3">
        <v>0.51959386428945553</v>
      </c>
      <c r="BB2320" s="3" t="str">
        <f>"1"</f>
        <v>1</v>
      </c>
      <c r="BC2320" t="str">
        <f ca="1">IF((OFFSET($A$1, 2320 - 1, 53 - 1)) &gt;= (OFFSET($A$1, 69 - 1, 7 - 1)), "1","0")</f>
        <v>1</v>
      </c>
      <c r="BD2320">
        <f ca="1" xml:space="preserve"> IF( AND( OFFSET($A$1, 2320 - 1, 54 - 1) = "1", OFFSET($A$1, 2320 - 1, 55 - 1) = "1" ), 1, IF( AND( OFFSET($A$1, 2320 - 1, 54 - 1) = "1", OFFSET($A$1, 2320 - 1, 55 - 1) = "0" ), 2, IF( AND( OFFSET($A$1, 2320 - 1, 54 - 1) = "0", OFFSET($A$1, 2320 - 1, 55 - 1) = "1" ), 3, 4 ) ) )</f>
        <v>1</v>
      </c>
    </row>
    <row r="2321" spans="53:56" x14ac:dyDescent="0.35">
      <c r="BA2321" s="3">
        <v>0.52113670568604609</v>
      </c>
      <c r="BB2321" s="3" t="str">
        <f>"0"</f>
        <v>0</v>
      </c>
      <c r="BC2321" t="str">
        <f ca="1">IF((OFFSET($A$1, 2321 - 1, 53 - 1)) &gt;= (OFFSET($A$1, 69 - 1, 7 - 1)), "1","0")</f>
        <v>1</v>
      </c>
      <c r="BD2321">
        <f ca="1" xml:space="preserve"> IF( AND( OFFSET($A$1, 2321 - 1, 54 - 1) = "1", OFFSET($A$1, 2321 - 1, 55 - 1) = "1" ), 1, IF( AND( OFFSET($A$1, 2321 - 1, 54 - 1) = "1", OFFSET($A$1, 2321 - 1, 55 - 1) = "0" ), 2, IF( AND( OFFSET($A$1, 2321 - 1, 54 - 1) = "0", OFFSET($A$1, 2321 - 1, 55 - 1) = "1" ), 3, 4 ) ) )</f>
        <v>3</v>
      </c>
    </row>
    <row r="2322" spans="53:56" x14ac:dyDescent="0.35">
      <c r="BA2322" s="3">
        <v>0.25969461734615662</v>
      </c>
      <c r="BB2322" s="3" t="str">
        <f>"1"</f>
        <v>1</v>
      </c>
      <c r="BC2322" t="str">
        <f ca="1">IF((OFFSET($A$1, 2322 - 1, 53 - 1)) &gt;= (OFFSET($A$1, 69 - 1, 7 - 1)), "1","0")</f>
        <v>0</v>
      </c>
      <c r="BD2322">
        <f ca="1" xml:space="preserve"> IF( AND( OFFSET($A$1, 2322 - 1, 54 - 1) = "1", OFFSET($A$1, 2322 - 1, 55 - 1) = "1" ), 1, IF( AND( OFFSET($A$1, 2322 - 1, 54 - 1) = "1", OFFSET($A$1, 2322 - 1, 55 - 1) = "0" ), 2, IF( AND( OFFSET($A$1, 2322 - 1, 54 - 1) = "0", OFFSET($A$1, 2322 - 1, 55 - 1) = "1" ), 3, 4 ) ) )</f>
        <v>2</v>
      </c>
    </row>
    <row r="2323" spans="53:56" x14ac:dyDescent="0.35">
      <c r="BA2323" s="3">
        <v>0.52422135176954066</v>
      </c>
      <c r="BB2323" s="3" t="str">
        <f>"0"</f>
        <v>0</v>
      </c>
      <c r="BC2323" t="str">
        <f ca="1">IF((OFFSET($A$1, 2323 - 1, 53 - 1)) &gt;= (OFFSET($A$1, 69 - 1, 7 - 1)), "1","0")</f>
        <v>1</v>
      </c>
      <c r="BD2323">
        <f ca="1" xml:space="preserve"> IF( AND( OFFSET($A$1, 2323 - 1, 54 - 1) = "1", OFFSET($A$1, 2323 - 1, 55 - 1) = "1" ), 1, IF( AND( OFFSET($A$1, 2323 - 1, 54 - 1) = "1", OFFSET($A$1, 2323 - 1, 55 - 1) = "0" ), 2, IF( AND( OFFSET($A$1, 2323 - 1, 54 - 1) = "0", OFFSET($A$1, 2323 - 1, 55 - 1) = "1" ), 3, 4 ) ) )</f>
        <v>3</v>
      </c>
    </row>
    <row r="2324" spans="53:56" x14ac:dyDescent="0.35">
      <c r="BA2324" s="3">
        <v>0.26207798116765318</v>
      </c>
      <c r="BB2324" s="3" t="str">
        <f>"0"</f>
        <v>0</v>
      </c>
      <c r="BC2324" t="str">
        <f ca="1">IF((OFFSET($A$1, 2324 - 1, 53 - 1)) &gt;= (OFFSET($A$1, 69 - 1, 7 - 1)), "1","0")</f>
        <v>0</v>
      </c>
      <c r="BD2324">
        <f ca="1" xml:space="preserve"> IF( AND( OFFSET($A$1, 2324 - 1, 54 - 1) = "1", OFFSET($A$1, 2324 - 1, 55 - 1) = "1" ), 1, IF( AND( OFFSET($A$1, 2324 - 1, 54 - 1) = "1", OFFSET($A$1, 2324 - 1, 55 - 1) = "0" ), 2, IF( AND( OFFSET($A$1, 2324 - 1, 54 - 1) = "0", OFFSET($A$1, 2324 - 1, 55 - 1) = "1" ), 3, 4 ) ) )</f>
        <v>4</v>
      </c>
    </row>
    <row r="2325" spans="53:56" x14ac:dyDescent="0.35">
      <c r="BA2325" s="3">
        <v>0.2632737757741222</v>
      </c>
      <c r="BB2325" s="3" t="str">
        <f>"0"</f>
        <v>0</v>
      </c>
      <c r="BC2325" t="str">
        <f ca="1">IF((OFFSET($A$1, 2325 - 1, 53 - 1)) &gt;= (OFFSET($A$1, 69 - 1, 7 - 1)), "1","0")</f>
        <v>0</v>
      </c>
      <c r="BD2325">
        <f ca="1" xml:space="preserve"> IF( AND( OFFSET($A$1, 2325 - 1, 54 - 1) = "1", OFFSET($A$1, 2325 - 1, 55 - 1) = "1" ), 1, IF( AND( OFFSET($A$1, 2325 - 1, 54 - 1) = "1", OFFSET($A$1, 2325 - 1, 55 - 1) = "0" ), 2, IF( AND( OFFSET($A$1, 2325 - 1, 54 - 1) = "0", OFFSET($A$1, 2325 - 1, 55 - 1) = "1" ), 3, 4 ) ) )</f>
        <v>4</v>
      </c>
    </row>
    <row r="2326" spans="53:56" x14ac:dyDescent="0.35">
      <c r="BA2326" s="3">
        <v>0.26447181933473213</v>
      </c>
      <c r="BB2326" s="3" t="str">
        <f>"0"</f>
        <v>0</v>
      </c>
      <c r="BC2326" t="str">
        <f ca="1">IF((OFFSET($A$1, 2326 - 1, 53 - 1)) &gt;= (OFFSET($A$1, 69 - 1, 7 - 1)), "1","0")</f>
        <v>0</v>
      </c>
      <c r="BD2326">
        <f ca="1" xml:space="preserve"> IF( AND( OFFSET($A$1, 2326 - 1, 54 - 1) = "1", OFFSET($A$1, 2326 - 1, 55 - 1) = "1" ), 1, IF( AND( OFFSET($A$1, 2326 - 1, 54 - 1) = "1", OFFSET($A$1, 2326 - 1, 55 - 1) = "0" ), 2, IF( AND( OFFSET($A$1, 2326 - 1, 54 - 1) = "0", OFFSET($A$1, 2326 - 1, 55 - 1) = "1" ), 3, 4 ) ) )</f>
        <v>4</v>
      </c>
    </row>
    <row r="2327" spans="53:56" x14ac:dyDescent="0.35">
      <c r="BA2327" s="3">
        <v>0.26567173732161081</v>
      </c>
      <c r="BB2327" s="3" t="str">
        <f>"1"</f>
        <v>1</v>
      </c>
      <c r="BC2327" t="str">
        <f ca="1">IF((OFFSET($A$1, 2327 - 1, 53 - 1)) &gt;= (OFFSET($A$1, 69 - 1, 7 - 1)), "1","0")</f>
        <v>0</v>
      </c>
      <c r="BD2327">
        <f ca="1" xml:space="preserve"> IF( AND( OFFSET($A$1, 2327 - 1, 54 - 1) = "1", OFFSET($A$1, 2327 - 1, 55 - 1) = "1" ), 1, IF( AND( OFFSET($A$1, 2327 - 1, 54 - 1) = "1", OFFSET($A$1, 2327 - 1, 55 - 1) = "0" ), 2, IF( AND( OFFSET($A$1, 2327 - 1, 54 - 1) = "0", OFFSET($A$1, 2327 - 1, 55 - 1) = "1" ), 3, 4 ) ) )</f>
        <v>2</v>
      </c>
    </row>
    <row r="2328" spans="53:56" x14ac:dyDescent="0.35">
      <c r="BA2328" s="3">
        <v>0.53190430652856646</v>
      </c>
      <c r="BB2328" s="3" t="str">
        <f>"0"</f>
        <v>0</v>
      </c>
      <c r="BC2328" t="str">
        <f ca="1">IF((OFFSET($A$1, 2328 - 1, 53 - 1)) &gt;= (OFFSET($A$1, 69 - 1, 7 - 1)), "1","0")</f>
        <v>1</v>
      </c>
      <c r="BD2328">
        <f ca="1" xml:space="preserve"> IF( AND( OFFSET($A$1, 2328 - 1, 54 - 1) = "1", OFFSET($A$1, 2328 - 1, 55 - 1) = "1" ), 1, IF( AND( OFFSET($A$1, 2328 - 1, 54 - 1) = "1", OFFSET($A$1, 2328 - 1, 55 - 1) = "0" ), 2, IF( AND( OFFSET($A$1, 2328 - 1, 54 - 1) = "0", OFFSET($A$1, 2328 - 1, 55 - 1) = "1" ), 3, 4 ) ) )</f>
        <v>3</v>
      </c>
    </row>
    <row r="2329" spans="53:56" x14ac:dyDescent="0.35">
      <c r="BA2329" s="3">
        <v>0.26807567990967079</v>
      </c>
      <c r="BB2329" s="3" t="str">
        <f>"0"</f>
        <v>0</v>
      </c>
      <c r="BC2329" t="str">
        <f ca="1">IF((OFFSET($A$1, 2329 - 1, 53 - 1)) &gt;= (OFFSET($A$1, 69 - 1, 7 - 1)), "1","0")</f>
        <v>0</v>
      </c>
      <c r="BD2329">
        <f ca="1" xml:space="preserve"> IF( AND( OFFSET($A$1, 2329 - 1, 54 - 1) = "1", OFFSET($A$1, 2329 - 1, 55 - 1) = "1" ), 1, IF( AND( OFFSET($A$1, 2329 - 1, 54 - 1) = "1", OFFSET($A$1, 2329 - 1, 55 - 1) = "0" ), 2, IF( AND( OFFSET($A$1, 2329 - 1, 54 - 1) = "0", OFFSET($A$1, 2329 - 1, 55 - 1) = "1" ), 3, 4 ) ) )</f>
        <v>4</v>
      </c>
    </row>
    <row r="2330" spans="53:56" x14ac:dyDescent="0.35">
      <c r="BA2330" s="3">
        <v>0.26927893736535652</v>
      </c>
      <c r="BB2330" s="3" t="str">
        <f>"0"</f>
        <v>0</v>
      </c>
      <c r="BC2330" t="str">
        <f ca="1">IF((OFFSET($A$1, 2330 - 1, 53 - 1)) &gt;= (OFFSET($A$1, 69 - 1, 7 - 1)), "1","0")</f>
        <v>0</v>
      </c>
      <c r="BD2330">
        <f ca="1" xml:space="preserve"> IF( AND( OFFSET($A$1, 2330 - 1, 54 - 1) = "1", OFFSET($A$1, 2330 - 1, 55 - 1) = "1" ), 1, IF( AND( OFFSET($A$1, 2330 - 1, 54 - 1) = "1", OFFSET($A$1, 2330 - 1, 55 - 1) = "0" ), 2, IF( AND( OFFSET($A$1, 2330 - 1, 54 - 1) = "0", OFFSET($A$1, 2330 - 1, 55 - 1) = "1" ), 3, 4 ) ) )</f>
        <v>4</v>
      </c>
    </row>
    <row r="2331" spans="53:56" x14ac:dyDescent="0.35">
      <c r="BA2331" s="3">
        <v>0.27048253527761751</v>
      </c>
      <c r="BB2331" s="3" t="str">
        <f>"0"</f>
        <v>0</v>
      </c>
      <c r="BC2331" t="str">
        <f ca="1">IF((OFFSET($A$1, 2331 - 1, 53 - 1)) &gt;= (OFFSET($A$1, 69 - 1, 7 - 1)), "1","0")</f>
        <v>0</v>
      </c>
      <c r="BD2331">
        <f ca="1" xml:space="preserve"> IF( AND( OFFSET($A$1, 2331 - 1, 54 - 1) = "1", OFFSET($A$1, 2331 - 1, 55 - 1) = "1" ), 1, IF( AND( OFFSET($A$1, 2331 - 1, 54 - 1) = "1", OFFSET($A$1, 2331 - 1, 55 - 1) = "0" ), 2, IF( AND( OFFSET($A$1, 2331 - 1, 54 - 1) = "0", OFFSET($A$1, 2331 - 1, 55 - 1) = "1" ), 3, 4 ) ) )</f>
        <v>4</v>
      </c>
    </row>
    <row r="2332" spans="53:56" x14ac:dyDescent="0.35">
      <c r="BA2332" s="3">
        <v>0.2716860819924331</v>
      </c>
      <c r="BB2332" s="3" t="str">
        <f>"0"</f>
        <v>0</v>
      </c>
      <c r="BC2332" t="str">
        <f ca="1">IF((OFFSET($A$1, 2332 - 1, 53 - 1)) &gt;= (OFFSET($A$1, 69 - 1, 7 - 1)), "1","0")</f>
        <v>0</v>
      </c>
      <c r="BD2332">
        <f ca="1" xml:space="preserve"> IF( AND( OFFSET($A$1, 2332 - 1, 54 - 1) = "1", OFFSET($A$1, 2332 - 1, 55 - 1) = "1" ), 1, IF( AND( OFFSET($A$1, 2332 - 1, 54 - 1) = "1", OFFSET($A$1, 2332 - 1, 55 - 1) = "0" ), 2, IF( AND( OFFSET($A$1, 2332 - 1, 54 - 1) = "0", OFFSET($A$1, 2332 - 1, 55 - 1) = "1" ), 3, 4 ) ) )</f>
        <v>4</v>
      </c>
    </row>
    <row r="2333" spans="53:56" x14ac:dyDescent="0.35">
      <c r="BA2333" s="3">
        <v>0.27288918293028336</v>
      </c>
      <c r="BB2333" s="3" t="str">
        <f>"0"</f>
        <v>0</v>
      </c>
      <c r="BC2333" t="str">
        <f ca="1">IF((OFFSET($A$1, 2333 - 1, 53 - 1)) &gt;= (OFFSET($A$1, 69 - 1, 7 - 1)), "1","0")</f>
        <v>0</v>
      </c>
      <c r="BD2333">
        <f ca="1" xml:space="preserve"> IF( AND( OFFSET($A$1, 2333 - 1, 54 - 1) = "1", OFFSET($A$1, 2333 - 1, 55 - 1) = "1" ), 1, IF( AND( OFFSET($A$1, 2333 - 1, 54 - 1) = "1", OFFSET($A$1, 2333 - 1, 55 - 1) = "0" ), 2, IF( AND( OFFSET($A$1, 2333 - 1, 54 - 1) = "0", OFFSET($A$1, 2333 - 1, 55 - 1) = "1" ), 3, 4 ) ) )</f>
        <v>4</v>
      </c>
    </row>
    <row r="2334" spans="53:56" x14ac:dyDescent="0.35">
      <c r="BA2334" s="3">
        <v>0.27409144076424313</v>
      </c>
      <c r="BB2334" s="3" t="str">
        <f>"1"</f>
        <v>1</v>
      </c>
      <c r="BC2334" t="str">
        <f ca="1">IF((OFFSET($A$1, 2334 - 1, 53 - 1)) &gt;= (OFFSET($A$1, 69 - 1, 7 - 1)), "1","0")</f>
        <v>0</v>
      </c>
      <c r="BD2334">
        <f ca="1" xml:space="preserve"> IF( AND( OFFSET($A$1, 2334 - 1, 54 - 1) = "1", OFFSET($A$1, 2334 - 1, 55 - 1) = "1" ), 1, IF( AND( OFFSET($A$1, 2334 - 1, 54 - 1) = "1", OFFSET($A$1, 2334 - 1, 55 - 1) = "0" ), 2, IF( AND( OFFSET($A$1, 2334 - 1, 54 - 1) = "0", OFFSET($A$1, 2334 - 1, 55 - 1) = "1" ), 3, 4 ) ) )</f>
        <v>2</v>
      </c>
    </row>
    <row r="2335" spans="53:56" x14ac:dyDescent="0.35">
      <c r="BA2335" s="3">
        <v>0.54249770515410434</v>
      </c>
      <c r="BB2335" s="3" t="str">
        <f>"1"</f>
        <v>1</v>
      </c>
      <c r="BC2335" t="str">
        <f ca="1">IF((OFFSET($A$1, 2335 - 1, 53 - 1)) &gt;= (OFFSET($A$1, 69 - 1, 7 - 1)), "1","0")</f>
        <v>1</v>
      </c>
      <c r="BD2335">
        <f ca="1" xml:space="preserve"> IF( AND( OFFSET($A$1, 2335 - 1, 54 - 1) = "1", OFFSET($A$1, 2335 - 1, 55 - 1) = "1" ), 1, IF( AND( OFFSET($A$1, 2335 - 1, 54 - 1) = "1", OFFSET($A$1, 2335 - 1, 55 - 1) = "0" ), 2, IF( AND( OFFSET($A$1, 2335 - 1, 54 - 1) = "0", OFFSET($A$1, 2335 - 1, 55 - 1) = "1" ), 3, 4 ) ) )</f>
        <v>1</v>
      </c>
    </row>
    <row r="2336" spans="53:56" x14ac:dyDescent="0.35">
      <c r="BA2336" s="3">
        <v>0.54398737506863115</v>
      </c>
      <c r="BB2336" s="3" t="str">
        <f>"0"</f>
        <v>0</v>
      </c>
      <c r="BC2336" t="str">
        <f ca="1">IF((OFFSET($A$1, 2336 - 1, 53 - 1)) &gt;= (OFFSET($A$1, 69 - 1, 7 - 1)), "1","0")</f>
        <v>1</v>
      </c>
      <c r="BD2336">
        <f ca="1" xml:space="preserve"> IF( AND( OFFSET($A$1, 2336 - 1, 54 - 1) = "1", OFFSET($A$1, 2336 - 1, 55 - 1) = "1" ), 1, IF( AND( OFFSET($A$1, 2336 - 1, 54 - 1) = "1", OFFSET($A$1, 2336 - 1, 55 - 1) = "0" ), 2, IF( AND( OFFSET($A$1, 2336 - 1, 54 - 1) = "0", OFFSET($A$1, 2336 - 1, 55 - 1) = "1" ), 3, 4 ) ) )</f>
        <v>3</v>
      </c>
    </row>
    <row r="2337" spans="53:56" x14ac:dyDescent="0.35">
      <c r="BA2337" s="3">
        <v>0.27768914502924397</v>
      </c>
      <c r="BB2337" s="3" t="str">
        <f>"0"</f>
        <v>0</v>
      </c>
      <c r="BC2337" t="str">
        <f ca="1">IF((OFFSET($A$1, 2337 - 1, 53 - 1)) &gt;= (OFFSET($A$1, 69 - 1, 7 - 1)), "1","0")</f>
        <v>0</v>
      </c>
      <c r="BD2337">
        <f ca="1" xml:space="preserve"> IF( AND( OFFSET($A$1, 2337 - 1, 54 - 1) = "1", OFFSET($A$1, 2337 - 1, 55 - 1) = "1" ), 1, IF( AND( OFFSET($A$1, 2337 - 1, 54 - 1) = "1", OFFSET($A$1, 2337 - 1, 55 - 1) = "0" ), 2, IF( AND( OFFSET($A$1, 2337 - 1, 54 - 1) = "0", OFFSET($A$1, 2337 - 1, 55 - 1) = "1" ), 3, 4 ) ) )</f>
        <v>4</v>
      </c>
    </row>
    <row r="2338" spans="53:56" x14ac:dyDescent="0.35">
      <c r="BA2338" s="3">
        <v>0.27888400871493235</v>
      </c>
      <c r="BB2338" s="3" t="str">
        <f>"0"</f>
        <v>0</v>
      </c>
      <c r="BC2338" t="str">
        <f ca="1">IF((OFFSET($A$1, 2338 - 1, 53 - 1)) &gt;= (OFFSET($A$1, 69 - 1, 7 - 1)), "1","0")</f>
        <v>0</v>
      </c>
      <c r="BD2338">
        <f ca="1" xml:space="preserve"> IF( AND( OFFSET($A$1, 2338 - 1, 54 - 1) = "1", OFFSET($A$1, 2338 - 1, 55 - 1) = "1" ), 1, IF( AND( OFFSET($A$1, 2338 - 1, 54 - 1) = "1", OFFSET($A$1, 2338 - 1, 55 - 1) = "0" ), 2, IF( AND( OFFSET($A$1, 2338 - 1, 54 - 1) = "0", OFFSET($A$1, 2338 - 1, 55 - 1) = "1" ), 3, 4 ) ) )</f>
        <v>4</v>
      </c>
    </row>
    <row r="2339" spans="53:56" x14ac:dyDescent="0.35">
      <c r="BA2339" s="3">
        <v>0.28007600799442489</v>
      </c>
      <c r="BB2339" s="3" t="str">
        <f>"0"</f>
        <v>0</v>
      </c>
      <c r="BC2339" t="str">
        <f ca="1">IF((OFFSET($A$1, 2339 - 1, 53 - 1)) &gt;= (OFFSET($A$1, 69 - 1, 7 - 1)), "1","0")</f>
        <v>0</v>
      </c>
      <c r="BD2339">
        <f ca="1" xml:space="preserve"> IF( AND( OFFSET($A$1, 2339 - 1, 54 - 1) = "1", OFFSET($A$1, 2339 - 1, 55 - 1) = "1" ), 1, IF( AND( OFFSET($A$1, 2339 - 1, 54 - 1) = "1", OFFSET($A$1, 2339 - 1, 55 - 1) = "0" ), 2, IF( AND( OFFSET($A$1, 2339 - 1, 54 - 1) = "0", OFFSET($A$1, 2339 - 1, 55 - 1) = "1" ), 3, 4 ) ) )</f>
        <v>4</v>
      </c>
    </row>
    <row r="2340" spans="53:56" x14ac:dyDescent="0.35">
      <c r="BA2340" s="3">
        <v>0.2812647330394128</v>
      </c>
      <c r="BB2340" s="3" t="str">
        <f>"0"</f>
        <v>0</v>
      </c>
      <c r="BC2340" t="str">
        <f ca="1">IF((OFFSET($A$1, 2340 - 1, 53 - 1)) &gt;= (OFFSET($A$1, 69 - 1, 7 - 1)), "1","0")</f>
        <v>0</v>
      </c>
      <c r="BD2340">
        <f ca="1" xml:space="preserve"> IF( AND( OFFSET($A$1, 2340 - 1, 54 - 1) = "1", OFFSET($A$1, 2340 - 1, 55 - 1) = "1" ), 1, IF( AND( OFFSET($A$1, 2340 - 1, 54 - 1) = "1", OFFSET($A$1, 2340 - 1, 55 - 1) = "0" ), 2, IF( AND( OFFSET($A$1, 2340 - 1, 54 - 1) = "0", OFFSET($A$1, 2340 - 1, 55 - 1) = "1" ), 3, 4 ) ) )</f>
        <v>4</v>
      </c>
    </row>
    <row r="2341" spans="53:56" x14ac:dyDescent="0.35">
      <c r="BA2341" s="3">
        <v>0.28244977263808591</v>
      </c>
      <c r="BB2341" s="3" t="str">
        <f>"1"</f>
        <v>1</v>
      </c>
      <c r="BC2341" t="str">
        <f ca="1">IF((OFFSET($A$1, 2341 - 1, 53 - 1)) &gt;= (OFFSET($A$1, 69 - 1, 7 - 1)), "1","0")</f>
        <v>0</v>
      </c>
      <c r="BD2341">
        <f ca="1" xml:space="preserve"> IF( AND( OFFSET($A$1, 2341 - 1, 54 - 1) = "1", OFFSET($A$1, 2341 - 1, 55 - 1) = "1" ), 1, IF( AND( OFFSET($A$1, 2341 - 1, 54 - 1) = "1", OFFSET($A$1, 2341 - 1, 55 - 1) = "0" ), 2, IF( AND( OFFSET($A$1, 2341 - 1, 54 - 1) = "0", OFFSET($A$1, 2341 - 1, 55 - 1) = "1" ), 3, 4 ) ) )</f>
        <v>2</v>
      </c>
    </row>
    <row r="2342" spans="53:56" x14ac:dyDescent="0.35">
      <c r="BA2342" s="3">
        <v>0.55275626219224638</v>
      </c>
      <c r="BB2342" s="3" t="str">
        <f>"1"</f>
        <v>1</v>
      </c>
      <c r="BC2342" t="str">
        <f ca="1">IF((OFFSET($A$1, 2342 - 1, 53 - 1)) &gt;= (OFFSET($A$1, 69 - 1, 7 - 1)), "1","0")</f>
        <v>1</v>
      </c>
      <c r="BD2342">
        <f ca="1" xml:space="preserve"> IF( AND( OFFSET($A$1, 2342 - 1, 54 - 1) = "1", OFFSET($A$1, 2342 - 1, 55 - 1) = "1" ), 1, IF( AND( OFFSET($A$1, 2342 - 1, 54 - 1) = "1", OFFSET($A$1, 2342 - 1, 55 - 1) = "0" ), 2, IF( AND( OFFSET($A$1, 2342 - 1, 54 - 1) = "0", OFFSET($A$1, 2342 - 1, 55 - 1) = "1" ), 3, 4 ) ) )</f>
        <v>1</v>
      </c>
    </row>
    <row r="2343" spans="53:56" x14ac:dyDescent="0.35">
      <c r="BA2343" s="3">
        <v>0.55418541223754392</v>
      </c>
      <c r="BB2343" s="3" t="str">
        <f>"0"</f>
        <v>0</v>
      </c>
      <c r="BC2343" t="str">
        <f ca="1">IF((OFFSET($A$1, 2343 - 1, 53 - 1)) &gt;= (OFFSET($A$1, 69 - 1, 7 - 1)), "1","0")</f>
        <v>1</v>
      </c>
      <c r="BD2343">
        <f ca="1" xml:space="preserve"> IF( AND( OFFSET($A$1, 2343 - 1, 54 - 1) = "1", OFFSET($A$1, 2343 - 1, 55 - 1) = "1" ), 1, IF( AND( OFFSET($A$1, 2343 - 1, 54 - 1) = "1", OFFSET($A$1, 2343 - 1, 55 - 1) = "0" ), 2, IF( AND( OFFSET($A$1, 2343 - 1, 54 - 1) = "0", OFFSET($A$1, 2343 - 1, 55 - 1) = "1" ), 3, 4 ) ) )</f>
        <v>3</v>
      </c>
    </row>
    <row r="2344" spans="53:56" x14ac:dyDescent="0.35">
      <c r="BA2344" s="3">
        <v>0.2859786502957527</v>
      </c>
      <c r="BB2344" s="3" t="str">
        <f>"0"</f>
        <v>0</v>
      </c>
      <c r="BC2344" t="str">
        <f ca="1">IF((OFFSET($A$1, 2344 - 1, 53 - 1)) &gt;= (OFFSET($A$1, 69 - 1, 7 - 1)), "1","0")</f>
        <v>0</v>
      </c>
      <c r="BD2344">
        <f ca="1" xml:space="preserve"> IF( AND( OFFSET($A$1, 2344 - 1, 54 - 1) = "1", OFFSET($A$1, 2344 - 1, 55 - 1) = "1" ), 1, IF( AND( OFFSET($A$1, 2344 - 1, 54 - 1) = "1", OFFSET($A$1, 2344 - 1, 55 - 1) = "0" ), 2, IF( AND( OFFSET($A$1, 2344 - 1, 54 - 1) = "0", OFFSET($A$1, 2344 - 1, 55 - 1) = "1" ), 3, 4 ) ) )</f>
        <v>4</v>
      </c>
    </row>
    <row r="2345" spans="53:56" x14ac:dyDescent="0.35">
      <c r="BA2345" s="3">
        <v>0.28714481569684092</v>
      </c>
      <c r="BB2345" s="3" t="str">
        <f>"1"</f>
        <v>1</v>
      </c>
      <c r="BC2345" t="str">
        <f ca="1">IF((OFFSET($A$1, 2345 - 1, 53 - 1)) &gt;= (OFFSET($A$1, 69 - 1, 7 - 1)), "1","0")</f>
        <v>0</v>
      </c>
      <c r="BD2345">
        <f ca="1" xml:space="preserve"> IF( AND( OFFSET($A$1, 2345 - 1, 54 - 1) = "1", OFFSET($A$1, 2345 - 1, 55 - 1) = "1" ), 1, IF( AND( OFFSET($A$1, 2345 - 1, 54 - 1) = "1", OFFSET($A$1, 2345 - 1, 55 - 1) = "0" ), 2, IF( AND( OFFSET($A$1, 2345 - 1, 54 - 1) = "0", OFFSET($A$1, 2345 - 1, 55 - 1) = "1" ), 3, 4 ) ) )</f>
        <v>2</v>
      </c>
    </row>
    <row r="2346" spans="53:56" x14ac:dyDescent="0.35">
      <c r="BA2346" s="3">
        <v>0.55840879788202991</v>
      </c>
      <c r="BB2346" s="3" t="str">
        <f>"1"</f>
        <v>1</v>
      </c>
      <c r="BC2346" t="str">
        <f ca="1">IF((OFFSET($A$1, 2346 - 1, 53 - 1)) &gt;= (OFFSET($A$1, 69 - 1, 7 - 1)), "1","0")</f>
        <v>1</v>
      </c>
      <c r="BD2346">
        <f ca="1" xml:space="preserve"> IF( AND( OFFSET($A$1, 2346 - 1, 54 - 1) = "1", OFFSET($A$1, 2346 - 1, 55 - 1) = "1" ), 1, IF( AND( OFFSET($A$1, 2346 - 1, 54 - 1) = "1", OFFSET($A$1, 2346 - 1, 55 - 1) = "0" ), 2, IF( AND( OFFSET($A$1, 2346 - 1, 54 - 1) = "0", OFFSET($A$1, 2346 - 1, 55 - 1) = "1" ), 3, 4 ) ) )</f>
        <v>1</v>
      </c>
    </row>
    <row r="2347" spans="53:56" x14ac:dyDescent="0.35">
      <c r="BA2347" s="3">
        <v>0.55979384124462639</v>
      </c>
      <c r="BB2347" s="3" t="str">
        <f>"0"</f>
        <v>0</v>
      </c>
      <c r="BC2347" t="str">
        <f ca="1">IF((OFFSET($A$1, 2347 - 1, 53 - 1)) &gt;= (OFFSET($A$1, 69 - 1, 7 - 1)), "1","0")</f>
        <v>1</v>
      </c>
      <c r="BD2347">
        <f ca="1" xml:space="preserve"> IF( AND( OFFSET($A$1, 2347 - 1, 54 - 1) = "1", OFFSET($A$1, 2347 - 1, 55 - 1) = "1" ), 1, IF( AND( OFFSET($A$1, 2347 - 1, 54 - 1) = "1", OFFSET($A$1, 2347 - 1, 55 - 1) = "0" ), 2, IF( AND( OFFSET($A$1, 2347 - 1, 54 - 1) = "0", OFFSET($A$1, 2347 - 1, 55 - 1) = "1" ), 3, 4 ) ) )</f>
        <v>3</v>
      </c>
    </row>
    <row r="2348" spans="53:56" x14ac:dyDescent="0.35">
      <c r="BA2348" s="3">
        <v>0.29060712283909235</v>
      </c>
      <c r="BB2348" s="3" t="str">
        <f>"0"</f>
        <v>0</v>
      </c>
      <c r="BC2348" t="str">
        <f ca="1">IF((OFFSET($A$1, 2348 - 1, 53 - 1)) &gt;= (OFFSET($A$1, 69 - 1, 7 - 1)), "1","0")</f>
        <v>0</v>
      </c>
      <c r="BD2348">
        <f ca="1" xml:space="preserve"> IF( AND( OFFSET($A$1, 2348 - 1, 54 - 1) = "1", OFFSET($A$1, 2348 - 1, 55 - 1) = "1" ), 1, IF( AND( OFFSET($A$1, 2348 - 1, 54 - 1) = "1", OFFSET($A$1, 2348 - 1, 55 - 1) = "0" ), 2, IF( AND( OFFSET($A$1, 2348 - 1, 54 - 1) = "0", OFFSET($A$1, 2348 - 1, 55 - 1) = "1" ), 3, 4 ) ) )</f>
        <v>4</v>
      </c>
    </row>
    <row r="2349" spans="53:56" x14ac:dyDescent="0.35">
      <c r="BA2349" s="3">
        <v>0.29174777942833174</v>
      </c>
      <c r="BB2349" s="3" t="str">
        <f>"0"</f>
        <v>0</v>
      </c>
      <c r="BC2349" t="str">
        <f ca="1">IF((OFFSET($A$1, 2349 - 1, 53 - 1)) &gt;= (OFFSET($A$1, 69 - 1, 7 - 1)), "1","0")</f>
        <v>0</v>
      </c>
      <c r="BD2349">
        <f ca="1" xml:space="preserve"> IF( AND( OFFSET($A$1, 2349 - 1, 54 - 1) = "1", OFFSET($A$1, 2349 - 1, 55 - 1) = "1" ), 1, IF( AND( OFFSET($A$1, 2349 - 1, 54 - 1) = "1", OFFSET($A$1, 2349 - 1, 55 - 1) = "0" ), 2, IF( AND( OFFSET($A$1, 2349 - 1, 54 - 1) = "0", OFFSET($A$1, 2349 - 1, 55 - 1) = "1" ), 3, 4 ) ) )</f>
        <v>4</v>
      </c>
    </row>
    <row r="2350" spans="53:56" x14ac:dyDescent="0.35">
      <c r="BA2350" s="3">
        <v>0.29288102273910188</v>
      </c>
      <c r="BB2350" s="3" t="str">
        <f>"0"</f>
        <v>0</v>
      </c>
      <c r="BC2350" t="str">
        <f ca="1">IF((OFFSET($A$1, 2350 - 1, 53 - 1)) &gt;= (OFFSET($A$1, 69 - 1, 7 - 1)), "1","0")</f>
        <v>0</v>
      </c>
      <c r="BD2350">
        <f ca="1" xml:space="preserve"> IF( AND( OFFSET($A$1, 2350 - 1, 54 - 1) = "1", OFFSET($A$1, 2350 - 1, 55 - 1) = "1" ), 1, IF( AND( OFFSET($A$1, 2350 - 1, 54 - 1) = "1", OFFSET($A$1, 2350 - 1, 55 - 1) = "0" ), 2, IF( AND( OFFSET($A$1, 2350 - 1, 54 - 1) = "0", OFFSET($A$1, 2350 - 1, 55 - 1) = "1" ), 3, 4 ) ) )</f>
        <v>4</v>
      </c>
    </row>
    <row r="2351" spans="53:56" x14ac:dyDescent="0.35">
      <c r="BA2351" s="3">
        <v>0.29400643961700462</v>
      </c>
      <c r="BB2351" s="3" t="str">
        <f>"0"</f>
        <v>0</v>
      </c>
      <c r="BC2351" t="str">
        <f ca="1">IF((OFFSET($A$1, 2351 - 1, 53 - 1)) &gt;= (OFFSET($A$1, 69 - 1, 7 - 1)), "1","0")</f>
        <v>0</v>
      </c>
      <c r="BD2351">
        <f ca="1" xml:space="preserve"> IF( AND( OFFSET($A$1, 2351 - 1, 54 - 1) = "1", OFFSET($A$1, 2351 - 1, 55 - 1) = "1" ), 1, IF( AND( OFFSET($A$1, 2351 - 1, 54 - 1) = "1", OFFSET($A$1, 2351 - 1, 55 - 1) = "0" ), 2, IF( AND( OFFSET($A$1, 2351 - 1, 54 - 1) = "0", OFFSET($A$1, 2351 - 1, 55 - 1) = "1" ), 3, 4 ) ) )</f>
        <v>4</v>
      </c>
    </row>
    <row r="2352" spans="53:56" x14ac:dyDescent="0.35">
      <c r="BA2352" s="3">
        <v>0.29512361794160841</v>
      </c>
      <c r="BB2352" s="3" t="str">
        <f>"0"</f>
        <v>0</v>
      </c>
      <c r="BC2352" t="str">
        <f ca="1">IF((OFFSET($A$1, 2352 - 1, 53 - 1)) &gt;= (OFFSET($A$1, 69 - 1, 7 - 1)), "1","0")</f>
        <v>0</v>
      </c>
      <c r="BD2352">
        <f ca="1" xml:space="preserve"> IF( AND( OFFSET($A$1, 2352 - 1, 54 - 1) = "1", OFFSET($A$1, 2352 - 1, 55 - 1) = "1" ), 1, IF( AND( OFFSET($A$1, 2352 - 1, 54 - 1) = "1", OFFSET($A$1, 2352 - 1, 55 - 1) = "0" ), 2, IF( AND( OFFSET($A$1, 2352 - 1, 54 - 1) = "0", OFFSET($A$1, 2352 - 1, 55 - 1) = "1" ), 3, 4 ) ) )</f>
        <v>4</v>
      </c>
    </row>
    <row r="2353" spans="53:56" x14ac:dyDescent="0.35">
      <c r="BA2353" s="3">
        <v>0.29623214685361127</v>
      </c>
      <c r="BB2353" s="3" t="str">
        <f>"0"</f>
        <v>0</v>
      </c>
      <c r="BC2353" t="str">
        <f ca="1">IF((OFFSET($A$1, 2353 - 1, 53 - 1)) &gt;= (OFFSET($A$1, 69 - 1, 7 - 1)), "1","0")</f>
        <v>0</v>
      </c>
      <c r="BD2353">
        <f ca="1" xml:space="preserve"> IF( AND( OFFSET($A$1, 2353 - 1, 54 - 1) = "1", OFFSET($A$1, 2353 - 1, 55 - 1) = "1" ), 1, IF( AND( OFFSET($A$1, 2353 - 1, 54 - 1) = "1", OFFSET($A$1, 2353 - 1, 55 - 1) = "0" ), 2, IF( AND( OFFSET($A$1, 2353 - 1, 54 - 1) = "0", OFFSET($A$1, 2353 - 1, 55 - 1) = "1" ), 3, 4 ) ) )</f>
        <v>4</v>
      </c>
    </row>
    <row r="2354" spans="53:56" x14ac:dyDescent="0.35">
      <c r="BA2354" s="3">
        <v>0.29733161698216082</v>
      </c>
      <c r="BB2354" s="3" t="str">
        <f>"0"</f>
        <v>0</v>
      </c>
      <c r="BC2354" t="str">
        <f ca="1">IF((OFFSET($A$1, 2354 - 1, 53 - 1)) &gt;= (OFFSET($A$1, 69 - 1, 7 - 1)), "1","0")</f>
        <v>0</v>
      </c>
      <c r="BD2354">
        <f ca="1" xml:space="preserve"> IF( AND( OFFSET($A$1, 2354 - 1, 54 - 1) = "1", OFFSET($A$1, 2354 - 1, 55 - 1) = "1" ), 1, IF( AND( OFFSET($A$1, 2354 - 1, 54 - 1) = "1", OFFSET($A$1, 2354 - 1, 55 - 1) = "0" ), 2, IF( AND( OFFSET($A$1, 2354 - 1, 54 - 1) = "0", OFFSET($A$1, 2354 - 1, 55 - 1) = "1" ), 3, 4 ) ) )</f>
        <v>4</v>
      </c>
    </row>
    <row r="2355" spans="53:56" x14ac:dyDescent="0.35">
      <c r="BA2355" s="3">
        <v>0.29842162067207351</v>
      </c>
      <c r="BB2355" s="3" t="str">
        <f>"1"</f>
        <v>1</v>
      </c>
      <c r="BC2355" t="str">
        <f ca="1">IF((OFFSET($A$1, 2355 - 1, 53 - 1)) &gt;= (OFFSET($A$1, 69 - 1, 7 - 1)), "1","0")</f>
        <v>0</v>
      </c>
      <c r="BD2355">
        <f ca="1" xml:space="preserve"> IF( AND( OFFSET($A$1, 2355 - 1, 54 - 1) = "1", OFFSET($A$1, 2355 - 1, 55 - 1) = "1" ), 1, IF( AND( OFFSET($A$1, 2355 - 1, 54 - 1) = "1", OFFSET($A$1, 2355 - 1, 55 - 1) = "0" ), 2, IF( AND( OFFSET($A$1, 2355 - 1, 54 - 1) = "0", OFFSET($A$1, 2355 - 1, 55 - 1) = "1" ), 3, 4 ) ) )</f>
        <v>2</v>
      </c>
    </row>
    <row r="2356" spans="53:56" x14ac:dyDescent="0.35">
      <c r="BA2356" s="3">
        <v>0.57166915809894703</v>
      </c>
      <c r="BB2356" s="3" t="str">
        <f>"0"</f>
        <v>0</v>
      </c>
      <c r="BC2356" t="str">
        <f ca="1">IF((OFFSET($A$1, 2356 - 1, 53 - 1)) &gt;= (OFFSET($A$1, 69 - 1, 7 - 1)), "1","0")</f>
        <v>1</v>
      </c>
      <c r="BD2356">
        <f ca="1" xml:space="preserve"> IF( AND( OFFSET($A$1, 2356 - 1, 54 - 1) = "1", OFFSET($A$1, 2356 - 1, 55 - 1) = "1" ), 1, IF( AND( OFFSET($A$1, 2356 - 1, 54 - 1) = "1", OFFSET($A$1, 2356 - 1, 55 - 1) = "0" ), 2, IF( AND( OFFSET($A$1, 2356 - 1, 54 - 1) = "0", OFFSET($A$1, 2356 - 1, 55 - 1) = "1" ), 3, 4 ) ) )</f>
        <v>3</v>
      </c>
    </row>
    <row r="2357" spans="53:56" x14ac:dyDescent="0.35">
      <c r="BA2357" s="3">
        <v>0.30057160805438998</v>
      </c>
      <c r="BB2357" s="3" t="str">
        <f>"0"</f>
        <v>0</v>
      </c>
      <c r="BC2357" t="str">
        <f ca="1">IF((OFFSET($A$1, 2357 - 1, 53 - 1)) &gt;= (OFFSET($A$1, 69 - 1, 7 - 1)), "1","0")</f>
        <v>0</v>
      </c>
      <c r="BD2357">
        <f ca="1" xml:space="preserve"> IF( AND( OFFSET($A$1, 2357 - 1, 54 - 1) = "1", OFFSET($A$1, 2357 - 1, 55 - 1) = "1" ), 1, IF( AND( OFFSET($A$1, 2357 - 1, 54 - 1) = "1", OFFSET($A$1, 2357 - 1, 55 - 1) = "0" ), 2, IF( AND( OFFSET($A$1, 2357 - 1, 54 - 1) = "0", OFFSET($A$1, 2357 - 1, 55 - 1) = "1" ), 3, 4 ) ) )</f>
        <v>4</v>
      </c>
    </row>
    <row r="2358" spans="53:56" x14ac:dyDescent="0.35">
      <c r="BA2358" s="3">
        <v>0.30163078705370805</v>
      </c>
      <c r="BB2358" s="3" t="str">
        <f>"0"</f>
        <v>0</v>
      </c>
      <c r="BC2358" t="str">
        <f ca="1">IF((OFFSET($A$1, 2358 - 1, 53 - 1)) &gt;= (OFFSET($A$1, 69 - 1, 7 - 1)), "1","0")</f>
        <v>0</v>
      </c>
      <c r="BD2358">
        <f ca="1" xml:space="preserve"> IF( AND( OFFSET($A$1, 2358 - 1, 54 - 1) = "1", OFFSET($A$1, 2358 - 1, 55 - 1) = "1" ), 1, IF( AND( OFFSET($A$1, 2358 - 1, 54 - 1) = "1", OFFSET($A$1, 2358 - 1, 55 - 1) = "0" ), 2, IF( AND( OFFSET($A$1, 2358 - 1, 54 - 1) = "0", OFFSET($A$1, 2358 - 1, 55 - 1) = "1" ), 3, 4 ) ) )</f>
        <v>4</v>
      </c>
    </row>
    <row r="2359" spans="53:56" x14ac:dyDescent="0.35">
      <c r="BA2359" s="3">
        <v>0.30267889067821158</v>
      </c>
      <c r="BB2359" s="3" t="str">
        <f>"1"</f>
        <v>1</v>
      </c>
      <c r="BC2359" t="str">
        <f ca="1">IF((OFFSET($A$1, 2359 - 1, 53 - 1)) &gt;= (OFFSET($A$1, 69 - 1, 7 - 1)), "1","0")</f>
        <v>0</v>
      </c>
      <c r="BD2359">
        <f ca="1" xml:space="preserve"> IF( AND( OFFSET($A$1, 2359 - 1, 54 - 1) = "1", OFFSET($A$1, 2359 - 1, 55 - 1) = "1" ), 1, IF( AND( OFFSET($A$1, 2359 - 1, 54 - 1) = "1", OFFSET($A$1, 2359 - 1, 55 - 1) = "0" ), 2, IF( AND( OFFSET($A$1, 2359 - 1, 54 - 1) = "0", OFFSET($A$1, 2359 - 1, 55 - 1) = "1" ), 3, 4 ) ) )</f>
        <v>2</v>
      </c>
    </row>
    <row r="2360" spans="53:56" x14ac:dyDescent="0.35">
      <c r="BA2360" s="3">
        <v>0.57656042164108157</v>
      </c>
      <c r="BB2360" s="3" t="str">
        <f>"0"</f>
        <v>0</v>
      </c>
      <c r="BC2360" t="str">
        <f ca="1">IF((OFFSET($A$1, 2360 - 1, 53 - 1)) &gt;= (OFFSET($A$1, 69 - 1, 7 - 1)), "1","0")</f>
        <v>1</v>
      </c>
      <c r="BD2360">
        <f ca="1" xml:space="preserve"> IF( AND( OFFSET($A$1, 2360 - 1, 54 - 1) = "1", OFFSET($A$1, 2360 - 1, 55 - 1) = "1" ), 1, IF( AND( OFFSET($A$1, 2360 - 1, 54 - 1) = "1", OFFSET($A$1, 2360 - 1, 55 - 1) = "0" ), 2, IF( AND( OFFSET($A$1, 2360 - 1, 54 - 1) = "0", OFFSET($A$1, 2360 - 1, 55 - 1) = "1" ), 3, 4 ) ) )</f>
        <v>3</v>
      </c>
    </row>
    <row r="2361" spans="53:56" x14ac:dyDescent="0.35">
      <c r="BA2361" s="3">
        <v>0.30474029211305181</v>
      </c>
      <c r="BB2361" s="3" t="str">
        <f>"0"</f>
        <v>0</v>
      </c>
      <c r="BC2361" t="str">
        <f ca="1">IF((OFFSET($A$1, 2361 - 1, 53 - 1)) &gt;= (OFFSET($A$1, 69 - 1, 7 - 1)), "1","0")</f>
        <v>0</v>
      </c>
      <c r="BD2361">
        <f ca="1" xml:space="preserve"> IF( AND( OFFSET($A$1, 2361 - 1, 54 - 1) = "1", OFFSET($A$1, 2361 - 1, 55 - 1) = "1" ), 1, IF( AND( OFFSET($A$1, 2361 - 1, 54 - 1) = "1", OFFSET($A$1, 2361 - 1, 55 - 1) = "0" ), 2, IF( AND( OFFSET($A$1, 2361 - 1, 54 - 1) = "0", OFFSET($A$1, 2361 - 1, 55 - 1) = "1" ), 3, 4 ) ) )</f>
        <v>4</v>
      </c>
    </row>
    <row r="2362" spans="53:56" x14ac:dyDescent="0.35">
      <c r="BA2362" s="3">
        <v>0.30575280795812704</v>
      </c>
      <c r="BB2362" s="3" t="str">
        <f>"0"</f>
        <v>0</v>
      </c>
      <c r="BC2362" t="str">
        <f ca="1">IF((OFFSET($A$1, 2362 - 1, 53 - 1)) &gt;= (OFFSET($A$1, 69 - 1, 7 - 1)), "1","0")</f>
        <v>0</v>
      </c>
      <c r="BD2362">
        <f ca="1" xml:space="preserve"> IF( AND( OFFSET($A$1, 2362 - 1, 54 - 1) = "1", OFFSET($A$1, 2362 - 1, 55 - 1) = "1" ), 1, IF( AND( OFFSET($A$1, 2362 - 1, 54 - 1) = "1", OFFSET($A$1, 2362 - 1, 55 - 1) = "0" ), 2, IF( AND( OFFSET($A$1, 2362 - 1, 54 - 1) = "0", OFFSET($A$1, 2362 - 1, 55 - 1) = "1" ), 3, 4 ) ) )</f>
        <v>4</v>
      </c>
    </row>
    <row r="2363" spans="53:56" x14ac:dyDescent="0.35">
      <c r="BA2363" s="3">
        <v>0.30675268493604491</v>
      </c>
      <c r="BB2363" s="3" t="str">
        <f>"0"</f>
        <v>0</v>
      </c>
      <c r="BC2363" t="str">
        <f ca="1">IF((OFFSET($A$1, 2363 - 1, 53 - 1)) &gt;= (OFFSET($A$1, 69 - 1, 7 - 1)), "1","0")</f>
        <v>0</v>
      </c>
      <c r="BD2363">
        <f ca="1" xml:space="preserve"> IF( AND( OFFSET($A$1, 2363 - 1, 54 - 1) = "1", OFFSET($A$1, 2363 - 1, 55 - 1) = "1" ), 1, IF( AND( OFFSET($A$1, 2363 - 1, 54 - 1) = "1", OFFSET($A$1, 2363 - 1, 55 - 1) = "0" ), 2, IF( AND( OFFSET($A$1, 2363 - 1, 54 - 1) = "0", OFFSET($A$1, 2363 - 1, 55 - 1) = "1" ), 3, 4 ) ) )</f>
        <v>4</v>
      </c>
    </row>
    <row r="2364" spans="53:56" x14ac:dyDescent="0.35">
      <c r="BA2364" s="3">
        <v>0.30773954092615013</v>
      </c>
      <c r="BB2364" s="3" t="str">
        <f>"0"</f>
        <v>0</v>
      </c>
      <c r="BC2364" t="str">
        <f ca="1">IF((OFFSET($A$1, 2364 - 1, 53 - 1)) &gt;= (OFFSET($A$1, 69 - 1, 7 - 1)), "1","0")</f>
        <v>0</v>
      </c>
      <c r="BD2364">
        <f ca="1" xml:space="preserve"> IF( AND( OFFSET($A$1, 2364 - 1, 54 - 1) = "1", OFFSET($A$1, 2364 - 1, 55 - 1) = "1" ), 1, IF( AND( OFFSET($A$1, 2364 - 1, 54 - 1) = "1", OFFSET($A$1, 2364 - 1, 55 - 1) = "0" ), 2, IF( AND( OFFSET($A$1, 2364 - 1, 54 - 1) = "0", OFFSET($A$1, 2364 - 1, 55 - 1) = "1" ), 3, 4 ) ) )</f>
        <v>4</v>
      </c>
    </row>
    <row r="2365" spans="53:56" x14ac:dyDescent="0.35">
      <c r="BA2365" s="3">
        <v>0.30871299773956717</v>
      </c>
      <c r="BB2365" s="3" t="str">
        <f>"0"</f>
        <v>0</v>
      </c>
      <c r="BC2365" t="str">
        <f ca="1">IF((OFFSET($A$1, 2365 - 1, 53 - 1)) &gt;= (OFFSET($A$1, 69 - 1, 7 - 1)), "1","0")</f>
        <v>0</v>
      </c>
      <c r="BD2365">
        <f ca="1" xml:space="preserve"> IF( AND( OFFSET($A$1, 2365 - 1, 54 - 1) = "1", OFFSET($A$1, 2365 - 1, 55 - 1) = "1" ), 1, IF( AND( OFFSET($A$1, 2365 - 1, 54 - 1) = "1", OFFSET($A$1, 2365 - 1, 55 - 1) = "0" ), 2, IF( AND( OFFSET($A$1, 2365 - 1, 54 - 1) = "0", OFFSET($A$1, 2365 - 1, 55 - 1) = "1" ), 3, 4 ) ) )</f>
        <v>4</v>
      </c>
    </row>
    <row r="2366" spans="53:56" x14ac:dyDescent="0.35">
      <c r="BA2366" s="3">
        <v>0.30967268133045067</v>
      </c>
      <c r="BB2366" s="3" t="str">
        <f>"1"</f>
        <v>1</v>
      </c>
      <c r="BC2366" t="str">
        <f ca="1">IF((OFFSET($A$1, 2366 - 1, 53 - 1)) &gt;= (OFFSET($A$1, 69 - 1, 7 - 1)), "1","0")</f>
        <v>0</v>
      </c>
      <c r="BD2366">
        <f ca="1" xml:space="preserve"> IF( AND( OFFSET($A$1, 2366 - 1, 54 - 1) = "1", OFFSET($A$1, 2366 - 1, 55 - 1) = "1" ), 1, IF( AND( OFFSET($A$1, 2366 - 1, 54 - 1) = "1", OFFSET($A$1, 2366 - 1, 55 - 1) = "0" ), 2, IF( AND( OFFSET($A$1, 2366 - 1, 54 - 1) = "0", OFFSET($A$1, 2366 - 1, 55 - 1) = "1" ), 3, 4 ) ) )</f>
        <v>2</v>
      </c>
    </row>
    <row r="2367" spans="53:56" x14ac:dyDescent="0.35">
      <c r="BA2367" s="3">
        <v>0.58445903405060973</v>
      </c>
      <c r="BB2367" s="3" t="str">
        <f>"0"</f>
        <v>0</v>
      </c>
      <c r="BC2367" t="str">
        <f ca="1">IF((OFFSET($A$1, 2367 - 1, 53 - 1)) &gt;= (OFFSET($A$1, 69 - 1, 7 - 1)), "1","0")</f>
        <v>1</v>
      </c>
      <c r="BD2367">
        <f ca="1" xml:space="preserve"> IF( AND( OFFSET($A$1, 2367 - 1, 54 - 1) = "1", OFFSET($A$1, 2367 - 1, 55 - 1) = "1" ), 1, IF( AND( OFFSET($A$1, 2367 - 1, 54 - 1) = "1", OFFSET($A$1, 2367 - 1, 55 - 1) = "0" ), 2, IF( AND( OFFSET($A$1, 2367 - 1, 54 - 1) = "0", OFFSET($A$1, 2367 - 1, 55 - 1) = "1" ), 3, 4 ) ) )</f>
        <v>3</v>
      </c>
    </row>
    <row r="2368" spans="53:56" x14ac:dyDescent="0.35">
      <c r="BA2368" s="3">
        <v>0.31154925462509009</v>
      </c>
      <c r="BB2368" s="3" t="str">
        <f>"1"</f>
        <v>1</v>
      </c>
      <c r="BC2368" t="str">
        <f ca="1">IF((OFFSET($A$1, 2368 - 1, 53 - 1)) &gt;= (OFFSET($A$1, 69 - 1, 7 - 1)), "1","0")</f>
        <v>0</v>
      </c>
      <c r="BD2368">
        <f ca="1" xml:space="preserve"> IF( AND( OFFSET($A$1, 2368 - 1, 54 - 1) = "1", OFFSET($A$1, 2368 - 1, 55 - 1) = "1" ), 1, IF( AND( OFFSET($A$1, 2368 - 1, 54 - 1) = "1", OFFSET($A$1, 2368 - 1, 55 - 1) = "0" ), 2, IF( AND( OFFSET($A$1, 2368 - 1, 54 - 1) = "0", OFFSET($A$1, 2368 - 1, 55 - 1) = "1" ), 3, 4 ) ) )</f>
        <v>2</v>
      </c>
    </row>
    <row r="2369" spans="53:56" x14ac:dyDescent="0.35">
      <c r="BA2369" s="3">
        <v>0.58654914654976342</v>
      </c>
      <c r="BB2369" s="3" t="str">
        <f>"0"</f>
        <v>0</v>
      </c>
      <c r="BC2369" t="str">
        <f ca="1">IF((OFFSET($A$1, 2369 - 1, 53 - 1)) &gt;= (OFFSET($A$1, 69 - 1, 7 - 1)), "1","0")</f>
        <v>1</v>
      </c>
      <c r="BD2369">
        <f ca="1" xml:space="preserve"> IF( AND( OFFSET($A$1, 2369 - 1, 54 - 1) = "1", OFFSET($A$1, 2369 - 1, 55 - 1) = "1" ), 1, IF( AND( OFFSET($A$1, 2369 - 1, 54 - 1) = "1", OFFSET($A$1, 2369 - 1, 55 - 1) = "0" ), 2, IF( AND( OFFSET($A$1, 2369 - 1, 54 - 1) = "0", OFFSET($A$1, 2369 - 1, 55 - 1) = "1" ), 3, 4 ) ) )</f>
        <v>3</v>
      </c>
    </row>
    <row r="2370" spans="53:56" x14ac:dyDescent="0.35">
      <c r="BA2370" s="3">
        <v>0.31336635915806454</v>
      </c>
      <c r="BB2370" s="3" t="str">
        <f>"0"</f>
        <v>0</v>
      </c>
      <c r="BC2370" t="str">
        <f ca="1">IF((OFFSET($A$1, 2370 - 1, 53 - 1)) &gt;= (OFFSET($A$1, 69 - 1, 7 - 1)), "1","0")</f>
        <v>0</v>
      </c>
      <c r="BD2370">
        <f ca="1" xml:space="preserve"> IF( AND( OFFSET($A$1, 2370 - 1, 54 - 1) = "1", OFFSET($A$1, 2370 - 1, 55 - 1) = "1" ), 1, IF( AND( OFFSET($A$1, 2370 - 1, 54 - 1) = "1", OFFSET($A$1, 2370 - 1, 55 - 1) = "0" ), 2, IF( AND( OFFSET($A$1, 2370 - 1, 54 - 1) = "0", OFFSET($A$1, 2370 - 1, 55 - 1) = "1" ), 3, 4 ) ) )</f>
        <v>4</v>
      </c>
    </row>
    <row r="2371" spans="53:56" x14ac:dyDescent="0.35">
      <c r="BA2371" s="3">
        <v>0.31425172539247637</v>
      </c>
      <c r="BB2371" s="3" t="str">
        <f>"0"</f>
        <v>0</v>
      </c>
      <c r="BC2371" t="str">
        <f ca="1">IF((OFFSET($A$1, 2371 - 1, 53 - 1)) &gt;= (OFFSET($A$1, 69 - 1, 7 - 1)), "1","0")</f>
        <v>0</v>
      </c>
      <c r="BD2371">
        <f ca="1" xml:space="preserve"> IF( AND( OFFSET($A$1, 2371 - 1, 54 - 1) = "1", OFFSET($A$1, 2371 - 1, 55 - 1) = "1" ), 1, IF( AND( OFFSET($A$1, 2371 - 1, 54 - 1) = "1", OFFSET($A$1, 2371 - 1, 55 - 1) = "0" ), 2, IF( AND( OFFSET($A$1, 2371 - 1, 54 - 1) = "0", OFFSET($A$1, 2371 - 1, 55 - 1) = "1" ), 3, 4 ) ) )</f>
        <v>4</v>
      </c>
    </row>
    <row r="2372" spans="53:56" x14ac:dyDescent="0.35">
      <c r="BA2372" s="3">
        <v>0.31512117260629735</v>
      </c>
      <c r="BB2372" s="3" t="str">
        <f>"0"</f>
        <v>0</v>
      </c>
      <c r="BC2372" t="str">
        <f ca="1">IF((OFFSET($A$1, 2372 - 1, 53 - 1)) &gt;= (OFFSET($A$1, 69 - 1, 7 - 1)), "1","0")</f>
        <v>0</v>
      </c>
      <c r="BD2372">
        <f ca="1" xml:space="preserve"> IF( AND( OFFSET($A$1, 2372 - 1, 54 - 1) = "1", OFFSET($A$1, 2372 - 1, 55 - 1) = "1" ), 1, IF( AND( OFFSET($A$1, 2372 - 1, 54 - 1) = "1", OFFSET($A$1, 2372 - 1, 55 - 1) = "0" ), 2, IF( AND( OFFSET($A$1, 2372 - 1, 54 - 1) = "0", OFFSET($A$1, 2372 - 1, 55 - 1) = "1" ), 3, 4 ) ) )</f>
        <v>4</v>
      </c>
    </row>
    <row r="2373" spans="53:56" x14ac:dyDescent="0.35">
      <c r="BA2373" s="3">
        <v>0.31597436142541308</v>
      </c>
      <c r="BB2373" s="3" t="str">
        <f>"0"</f>
        <v>0</v>
      </c>
      <c r="BC2373" t="str">
        <f ca="1">IF((OFFSET($A$1, 2373 - 1, 53 - 1)) &gt;= (OFFSET($A$1, 69 - 1, 7 - 1)), "1","0")</f>
        <v>0</v>
      </c>
      <c r="BD2373">
        <f ca="1" xml:space="preserve"> IF( AND( OFFSET($A$1, 2373 - 1, 54 - 1) = "1", OFFSET($A$1, 2373 - 1, 55 - 1) = "1" ), 1, IF( AND( OFFSET($A$1, 2373 - 1, 54 - 1) = "1", OFFSET($A$1, 2373 - 1, 55 - 1) = "0" ), 2, IF( AND( OFFSET($A$1, 2373 - 1, 54 - 1) = "0", OFFSET($A$1, 2373 - 1, 55 - 1) = "1" ), 3, 4 ) ) )</f>
        <v>4</v>
      </c>
    </row>
    <row r="2374" spans="53:56" x14ac:dyDescent="0.35">
      <c r="BA2374" s="3">
        <v>0.31681095819934335</v>
      </c>
      <c r="BB2374" s="3" t="str">
        <f>"0"</f>
        <v>0</v>
      </c>
      <c r="BC2374" t="str">
        <f ca="1">IF((OFFSET($A$1, 2374 - 1, 53 - 1)) &gt;= (OFFSET($A$1, 69 - 1, 7 - 1)), "1","0")</f>
        <v>0</v>
      </c>
      <c r="BD2374">
        <f ca="1" xml:space="preserve"> IF( AND( OFFSET($A$1, 2374 - 1, 54 - 1) = "1", OFFSET($A$1, 2374 - 1, 55 - 1) = "1" ), 1, IF( AND( OFFSET($A$1, 2374 - 1, 54 - 1) = "1", OFFSET($A$1, 2374 - 1, 55 - 1) = "0" ), 2, IF( AND( OFFSET($A$1, 2374 - 1, 54 - 1) = "0", OFFSET($A$1, 2374 - 1, 55 - 1) = "1" ), 3, 4 ) ) )</f>
        <v>4</v>
      </c>
    </row>
    <row r="2375" spans="53:56" x14ac:dyDescent="0.35">
      <c r="BA2375" s="3">
        <v>0.31763063518297013</v>
      </c>
      <c r="BB2375" s="3" t="str">
        <f>"1"</f>
        <v>1</v>
      </c>
      <c r="BC2375" t="str">
        <f ca="1">IF((OFFSET($A$1, 2375 - 1, 53 - 1)) &gt;= (OFFSET($A$1, 69 - 1, 7 - 1)), "1","0")</f>
        <v>0</v>
      </c>
      <c r="BD2375">
        <f ca="1" xml:space="preserve"> IF( AND( OFFSET($A$1, 2375 - 1, 54 - 1) = "1", OFFSET($A$1, 2375 - 1, 55 - 1) = "1" ), 1, IF( AND( OFFSET($A$1, 2375 - 1, 54 - 1) = "1", OFFSET($A$1, 2375 - 1, 55 - 1) = "0" ), 2, IF( AND( OFFSET($A$1, 2375 - 1, 54 - 1) = "0", OFFSET($A$1, 2375 - 1, 55 - 1) = "1" ), 3, 4 ) ) )</f>
        <v>2</v>
      </c>
    </row>
    <row r="2376" spans="53:56" x14ac:dyDescent="0.35">
      <c r="BA2376" s="3">
        <v>0.59323475985174057</v>
      </c>
      <c r="BB2376" s="3" t="str">
        <f>"1"</f>
        <v>1</v>
      </c>
      <c r="BC2376" t="str">
        <f ca="1">IF((OFFSET($A$1, 2376 - 1, 53 - 1)) &gt;= (OFFSET($A$1, 69 - 1, 7 - 1)), "1","0")</f>
        <v>1</v>
      </c>
      <c r="BD2376">
        <f ca="1" xml:space="preserve"> IF( AND( OFFSET($A$1, 2376 - 1, 54 - 1) = "1", OFFSET($A$1, 2376 - 1, 55 - 1) = "1" ), 1, IF( AND( OFFSET($A$1, 2376 - 1, 54 - 1) = "1", OFFSET($A$1, 2376 - 1, 55 - 1) = "0" ), 2, IF( AND( OFFSET($A$1, 2376 - 1, 54 - 1) = "0", OFFSET($A$1, 2376 - 1, 55 - 1) = "1" ), 3, 4 ) ) )</f>
        <v>1</v>
      </c>
    </row>
    <row r="2377" spans="53:56" x14ac:dyDescent="0.35">
      <c r="BA2377" s="3">
        <v>0.59410655589641692</v>
      </c>
      <c r="BB2377" s="3" t="str">
        <f>"0"</f>
        <v>0</v>
      </c>
      <c r="BC2377" t="str">
        <f ca="1">IF((OFFSET($A$1, 2377 - 1, 53 - 1)) &gt;= (OFFSET($A$1, 69 - 1, 7 - 1)), "1","0")</f>
        <v>1</v>
      </c>
      <c r="BD2377">
        <f ca="1" xml:space="preserve"> IF( AND( OFFSET($A$1, 2377 - 1, 54 - 1) = "1", OFFSET($A$1, 2377 - 1, 55 - 1) = "1" ), 1, IF( AND( OFFSET($A$1, 2377 - 1, 54 - 1) = "1", OFFSET($A$1, 2377 - 1, 55 - 1) = "0" ), 2, IF( AND( OFFSET($A$1, 2377 - 1, 54 - 1) = "0", OFFSET($A$1, 2377 - 1, 55 - 1) = "1" ), 3, 4 ) ) )</f>
        <v>3</v>
      </c>
    </row>
    <row r="2378" spans="53:56" x14ac:dyDescent="0.35">
      <c r="BA2378" s="3">
        <v>0.3199849622268231</v>
      </c>
      <c r="BB2378" s="3" t="str">
        <f>"0"</f>
        <v>0</v>
      </c>
      <c r="BC2378" t="str">
        <f ca="1">IF((OFFSET($A$1, 2378 - 1, 53 - 1)) &gt;= (OFFSET($A$1, 69 - 1, 7 - 1)), "1","0")</f>
        <v>0</v>
      </c>
      <c r="BD2378">
        <f ca="1" xml:space="preserve"> IF( AND( OFFSET($A$1, 2378 - 1, 54 - 1) = "1", OFFSET($A$1, 2378 - 1, 55 - 1) = "1" ), 1, IF( AND( OFFSET($A$1, 2378 - 1, 54 - 1) = "1", OFFSET($A$1, 2378 - 1, 55 - 1) = "0" ), 2, IF( AND( OFFSET($A$1, 2378 - 1, 54 - 1) = "0", OFFSET($A$1, 2378 - 1, 55 - 1) = "1" ), 3, 4 ) ) )</f>
        <v>4</v>
      </c>
    </row>
    <row r="2379" spans="53:56" x14ac:dyDescent="0.35">
      <c r="BA2379" s="3">
        <v>0.32073380684310615</v>
      </c>
      <c r="BB2379" s="3" t="str">
        <f>"1"</f>
        <v>1</v>
      </c>
      <c r="BC2379" t="str">
        <f ca="1">IF((OFFSET($A$1, 2379 - 1, 53 - 1)) &gt;= (OFFSET($A$1, 69 - 1, 7 - 1)), "1","0")</f>
        <v>0</v>
      </c>
      <c r="BD2379">
        <f ca="1" xml:space="preserve"> IF( AND( OFFSET($A$1, 2379 - 1, 54 - 1) = "1", OFFSET($A$1, 2379 - 1, 55 - 1) = "1" ), 1, IF( AND( OFFSET($A$1, 2379 - 1, 54 - 1) = "1", OFFSET($A$1, 2379 - 1, 55 - 1) = "0" ), 2, IF( AND( OFFSET($A$1, 2379 - 1, 54 - 1) = "0", OFFSET($A$1, 2379 - 1, 55 - 1) = "1" ), 3, 4 ) ) )</f>
        <v>2</v>
      </c>
    </row>
    <row r="2380" spans="53:56" x14ac:dyDescent="0.35">
      <c r="BA2380" s="3">
        <v>0.59659200332645568</v>
      </c>
      <c r="BB2380" s="3" t="str">
        <f>"0"</f>
        <v>0</v>
      </c>
      <c r="BC2380" t="str">
        <f ca="1">IF((OFFSET($A$1, 2380 - 1, 53 - 1)) &gt;= (OFFSET($A$1, 69 - 1, 7 - 1)), "1","0")</f>
        <v>1</v>
      </c>
      <c r="BD2380">
        <f ca="1" xml:space="preserve"> IF( AND( OFFSET($A$1, 2380 - 1, 54 - 1) = "1", OFFSET($A$1, 2380 - 1, 55 - 1) = "1" ), 1, IF( AND( OFFSET($A$1, 2380 - 1, 54 - 1) = "1", OFFSET($A$1, 2380 - 1, 55 - 1) = "0" ), 2, IF( AND( OFFSET($A$1, 2380 - 1, 54 - 1) = "0", OFFSET($A$1, 2380 - 1, 55 - 1) = "1" ), 3, 4 ) ) )</f>
        <v>3</v>
      </c>
    </row>
    <row r="2381" spans="53:56" x14ac:dyDescent="0.35">
      <c r="BA2381" s="3">
        <v>0.32217581578657917</v>
      </c>
      <c r="BB2381" s="3" t="str">
        <f>"1"</f>
        <v>1</v>
      </c>
      <c r="BC2381" t="str">
        <f ca="1">IF((OFFSET($A$1, 2381 - 1, 53 - 1)) &gt;= (OFFSET($A$1, 69 - 1, 7 - 1)), "1","0")</f>
        <v>0</v>
      </c>
      <c r="BD2381">
        <f ca="1" xml:space="preserve"> IF( AND( OFFSET($A$1, 2381 - 1, 54 - 1) = "1", OFFSET($A$1, 2381 - 1, 55 - 1) = "1" ), 1, IF( AND( OFFSET($A$1, 2381 - 1, 54 - 1) = "1", OFFSET($A$1, 2381 - 1, 55 - 1) = "0" ), 2, IF( AND( OFFSET($A$1, 2381 - 1, 54 - 1) = "0", OFFSET($A$1, 2381 - 1, 55 - 1) = "1" ), 3, 4 ) ) )</f>
        <v>2</v>
      </c>
    </row>
    <row r="2382" spans="53:56" x14ac:dyDescent="0.35">
      <c r="BA2382" s="3">
        <v>0.59813862407880081</v>
      </c>
      <c r="BB2382" s="3" t="str">
        <f>"1"</f>
        <v>1</v>
      </c>
      <c r="BC2382" t="str">
        <f ca="1">IF((OFFSET($A$1, 2382 - 1, 53 - 1)) &gt;= (OFFSET($A$1, 69 - 1, 7 - 1)), "1","0")</f>
        <v>1</v>
      </c>
      <c r="BD2382">
        <f ca="1" xml:space="preserve"> IF( AND( OFFSET($A$1, 2382 - 1, 54 - 1) = "1", OFFSET($A$1, 2382 - 1, 55 - 1) = "1" ), 1, IF( AND( OFFSET($A$1, 2382 - 1, 54 - 1) = "1", OFFSET($A$1, 2382 - 1, 55 - 1) = "0" ), 2, IF( AND( OFFSET($A$1, 2382 - 1, 54 - 1) = "0", OFFSET($A$1, 2382 - 1, 55 - 1) = "1" ), 3, 4 ) ) )</f>
        <v>1</v>
      </c>
    </row>
    <row r="2383" spans="53:56" x14ac:dyDescent="0.35">
      <c r="BA2383" s="3">
        <v>0.59887824736580753</v>
      </c>
      <c r="BB2383" s="3" t="str">
        <f>"0"</f>
        <v>0</v>
      </c>
      <c r="BC2383" t="str">
        <f ca="1">IF((OFFSET($A$1, 2383 - 1, 53 - 1)) &gt;= (OFFSET($A$1, 69 - 1, 7 - 1)), "1","0")</f>
        <v>1</v>
      </c>
      <c r="BD2383">
        <f ca="1" xml:space="preserve"> IF( AND( OFFSET($A$1, 2383 - 1, 54 - 1) = "1", OFFSET($A$1, 2383 - 1, 55 - 1) = "1" ), 1, IF( AND( OFFSET($A$1, 2383 - 1, 54 - 1) = "1", OFFSET($A$1, 2383 - 1, 55 - 1) = "0" ), 2, IF( AND( OFFSET($A$1, 2383 - 1, 54 - 1) = "0", OFFSET($A$1, 2383 - 1, 55 - 1) = "1" ), 3, 4 ) ) )</f>
        <v>3</v>
      </c>
    </row>
    <row r="2384" spans="53:56" x14ac:dyDescent="0.35">
      <c r="BA2384" s="3">
        <v>0.3241954044507051</v>
      </c>
      <c r="BB2384" s="3" t="str">
        <f>"0"</f>
        <v>0</v>
      </c>
      <c r="BC2384" t="str">
        <f ca="1">IF((OFFSET($A$1, 2384 - 1, 53 - 1)) &gt;= (OFFSET($A$1, 69 - 1, 7 - 1)), "1","0")</f>
        <v>0</v>
      </c>
      <c r="BD2384">
        <f ca="1" xml:space="preserve"> IF( AND( OFFSET($A$1, 2384 - 1, 54 - 1) = "1", OFFSET($A$1, 2384 - 1, 55 - 1) = "1" ), 1, IF( AND( OFFSET($A$1, 2384 - 1, 54 - 1) = "1", OFFSET($A$1, 2384 - 1, 55 - 1) = "0" ), 2, IF( AND( OFFSET($A$1, 2384 - 1, 54 - 1) = "0", OFFSET($A$1, 2384 - 1, 55 - 1) = "1" ), 3, 4 ) ) )</f>
        <v>4</v>
      </c>
    </row>
    <row r="2385" spans="53:56" x14ac:dyDescent="0.35">
      <c r="BA2385" s="3">
        <v>0.32482927852773497</v>
      </c>
      <c r="BB2385" s="3" t="str">
        <f>"1"</f>
        <v>1</v>
      </c>
      <c r="BC2385" t="str">
        <f ca="1">IF((OFFSET($A$1, 2385 - 1, 53 - 1)) &gt;= (OFFSET($A$1, 69 - 1, 7 - 1)), "1","0")</f>
        <v>0</v>
      </c>
      <c r="BD2385">
        <f ca="1" xml:space="preserve"> IF( AND( OFFSET($A$1, 2385 - 1, 54 - 1) = "1", OFFSET($A$1, 2385 - 1, 55 - 1) = "1" ), 1, IF( AND( OFFSET($A$1, 2385 - 1, 54 - 1) = "1", OFFSET($A$1, 2385 - 1, 55 - 1) = "0" ), 2, IF( AND( OFFSET($A$1, 2385 - 1, 54 - 1) = "0", OFFSET($A$1, 2385 - 1, 55 - 1) = "1" ), 3, 4 ) ) )</f>
        <v>2</v>
      </c>
    </row>
    <row r="2386" spans="53:56" x14ac:dyDescent="0.35">
      <c r="BA2386" s="3">
        <v>0.60096020827744578</v>
      </c>
      <c r="BB2386" s="3" t="str">
        <f>"1"</f>
        <v>1</v>
      </c>
      <c r="BC2386" t="str">
        <f ca="1">IF((OFFSET($A$1, 2386 - 1, 53 - 1)) &gt;= (OFFSET($A$1, 69 - 1, 7 - 1)), "1","0")</f>
        <v>1</v>
      </c>
      <c r="BD2386">
        <f ca="1" xml:space="preserve"> IF( AND( OFFSET($A$1, 2386 - 1, 54 - 1) = "1", OFFSET($A$1, 2386 - 1, 55 - 1) = "1" ), 1, IF( AND( OFFSET($A$1, 2386 - 1, 54 - 1) = "1", OFFSET($A$1, 2386 - 1, 55 - 1) = "0" ), 2, IF( AND( OFFSET($A$1, 2386 - 1, 54 - 1) = "0", OFFSET($A$1, 2386 - 1, 55 - 1) = "1" ), 3, 4 ) ) )</f>
        <v>1</v>
      </c>
    </row>
    <row r="2387" spans="53:56" x14ac:dyDescent="0.35">
      <c r="BA2387" s="3">
        <v>0.60160799617010452</v>
      </c>
      <c r="BB2387" s="3" t="str">
        <f>"0"</f>
        <v>0</v>
      </c>
      <c r="BC2387" t="str">
        <f ca="1">IF((OFFSET($A$1, 2387 - 1, 53 - 1)) &gt;= (OFFSET($A$1, 69 - 1, 7 - 1)), "1","0")</f>
        <v>1</v>
      </c>
      <c r="BD2387">
        <f ca="1" xml:space="preserve"> IF( AND( OFFSET($A$1, 2387 - 1, 54 - 1) = "1", OFFSET($A$1, 2387 - 1, 55 - 1) = "1" ), 1, IF( AND( OFFSET($A$1, 2387 - 1, 54 - 1) = "1", OFFSET($A$1, 2387 - 1, 55 - 1) = "0" ), 2, IF( AND( OFFSET($A$1, 2387 - 1, 54 - 1) = "0", OFFSET($A$1, 2387 - 1, 55 - 1) = "1" ), 3, 4 ) ) )</f>
        <v>3</v>
      </c>
    </row>
    <row r="2388" spans="53:56" x14ac:dyDescent="0.35">
      <c r="BA2388" s="3">
        <v>0.32660940755451434</v>
      </c>
      <c r="BB2388" s="3" t="str">
        <f>"1"</f>
        <v>1</v>
      </c>
      <c r="BC2388" t="str">
        <f ca="1">IF((OFFSET($A$1, 2388 - 1, 53 - 1)) &gt;= (OFFSET($A$1, 69 - 1, 7 - 1)), "1","0")</f>
        <v>0</v>
      </c>
      <c r="BD2388">
        <f ca="1" xml:space="preserve"> IF( AND( OFFSET($A$1, 2388 - 1, 54 - 1) = "1", OFFSET($A$1, 2388 - 1, 55 - 1) = "1" ), 1, IF( AND( OFFSET($A$1, 2388 - 1, 54 - 1) = "1", OFFSET($A$1, 2388 - 1, 55 - 1) = "0" ), 2, IF( AND( OFFSET($A$1, 2388 - 1, 54 - 1) = "0", OFFSET($A$1, 2388 - 1, 55 - 1) = "1" ), 3, 4 ) ) )</f>
        <v>2</v>
      </c>
    </row>
    <row r="2389" spans="53:56" x14ac:dyDescent="0.35">
      <c r="BA2389" s="3">
        <v>0.60283332709052706</v>
      </c>
      <c r="BB2389" s="3" t="str">
        <f>"1"</f>
        <v>1</v>
      </c>
      <c r="BC2389" t="str">
        <f ca="1">IF((OFFSET($A$1, 2389 - 1, 53 - 1)) &gt;= (OFFSET($A$1, 69 - 1, 7 - 1)), "1","0")</f>
        <v>1</v>
      </c>
      <c r="BD2389">
        <f ca="1" xml:space="preserve"> IF( AND( OFFSET($A$1, 2389 - 1, 54 - 1) = "1", OFFSET($A$1, 2389 - 1, 55 - 1) = "1" ), 1, IF( AND( OFFSET($A$1, 2389 - 1, 54 - 1) = "1", OFFSET($A$1, 2389 - 1, 55 - 1) = "0" ), 2, IF( AND( OFFSET($A$1, 2389 - 1, 54 - 1) = "0", OFFSET($A$1, 2389 - 1, 55 - 1) = "1" ), 3, 4 ) ) )</f>
        <v>1</v>
      </c>
    </row>
    <row r="2390" spans="53:56" x14ac:dyDescent="0.35">
      <c r="BA2390" s="3">
        <v>0.60341057675702003</v>
      </c>
      <c r="BB2390" s="3" t="str">
        <f>"0"</f>
        <v>0</v>
      </c>
      <c r="BC2390" t="str">
        <f ca="1">IF((OFFSET($A$1, 2390 - 1, 53 - 1)) &gt;= (OFFSET($A$1, 69 - 1, 7 - 1)), "1","0")</f>
        <v>1</v>
      </c>
      <c r="BD2390">
        <f ca="1" xml:space="preserve"> IF( AND( OFFSET($A$1, 2390 - 1, 54 - 1) = "1", OFFSET($A$1, 2390 - 1, 55 - 1) = "1" ), 1, IF( AND( OFFSET($A$1, 2390 - 1, 54 - 1) = "1", OFFSET($A$1, 2390 - 1, 55 - 1) = "0" ), 2, IF( AND( OFFSET($A$1, 2390 - 1, 54 - 1) = "0", OFFSET($A$1, 2390 - 1, 55 - 1) = "1" ), 3, 4 ) ) )</f>
        <v>3</v>
      </c>
    </row>
    <row r="2391" spans="53:56" x14ac:dyDescent="0.35">
      <c r="BA2391" s="3">
        <v>0.3282024189092847</v>
      </c>
      <c r="BB2391" s="3" t="str">
        <f>"0"</f>
        <v>0</v>
      </c>
      <c r="BC2391" t="str">
        <f ca="1">IF((OFFSET($A$1, 2391 - 1, 53 - 1)) &gt;= (OFFSET($A$1, 69 - 1, 7 - 1)), "1","0")</f>
        <v>0</v>
      </c>
      <c r="BD2391">
        <f ca="1" xml:space="preserve"> IF( AND( OFFSET($A$1, 2391 - 1, 54 - 1) = "1", OFFSET($A$1, 2391 - 1, 55 - 1) = "1" ), 1, IF( AND( OFFSET($A$1, 2391 - 1, 54 - 1) = "1", OFFSET($A$1, 2391 - 1, 55 - 1) = "0" ), 2, IF( AND( OFFSET($A$1, 2391 - 1, 54 - 1) = "0", OFFSET($A$1, 2391 - 1, 55 - 1) = "1" ), 3, 4 ) ) )</f>
        <v>4</v>
      </c>
    </row>
    <row r="2392" spans="53:56" x14ac:dyDescent="0.35">
      <c r="BA2392" s="3">
        <v>0.32869083275437477</v>
      </c>
      <c r="BB2392" s="3" t="str">
        <f>"0"</f>
        <v>0</v>
      </c>
      <c r="BC2392" t="str">
        <f ca="1">IF((OFFSET($A$1, 2392 - 1, 53 - 1)) &gt;= (OFFSET($A$1, 69 - 1, 7 - 1)), "1","0")</f>
        <v>0</v>
      </c>
      <c r="BD2392">
        <f ca="1" xml:space="preserve"> IF( AND( OFFSET($A$1, 2392 - 1, 54 - 1) = "1", OFFSET($A$1, 2392 - 1, 55 - 1) = "1" ), 1, IF( AND( OFFSET($A$1, 2392 - 1, 54 - 1) = "1", OFFSET($A$1, 2392 - 1, 55 - 1) = "0" ), 2, IF( AND( OFFSET($A$1, 2392 - 1, 54 - 1) = "0", OFFSET($A$1, 2392 - 1, 55 - 1) = "1" ), 3, 4 ) ) )</f>
        <v>4</v>
      </c>
    </row>
    <row r="2393" spans="53:56" x14ac:dyDescent="0.35">
      <c r="BA2393" s="3">
        <v>0.32915761925043252</v>
      </c>
      <c r="BB2393" s="3" t="str">
        <f>"0"</f>
        <v>0</v>
      </c>
      <c r="BC2393" t="str">
        <f ca="1">IF((OFFSET($A$1, 2393 - 1, 53 - 1)) &gt;= (OFFSET($A$1, 69 - 1, 7 - 1)), "1","0")</f>
        <v>0</v>
      </c>
      <c r="BD2393">
        <f ca="1" xml:space="preserve"> IF( AND( OFFSET($A$1, 2393 - 1, 54 - 1) = "1", OFFSET($A$1, 2393 - 1, 55 - 1) = "1" ), 1, IF( AND( OFFSET($A$1, 2393 - 1, 54 - 1) = "1", OFFSET($A$1, 2393 - 1, 55 - 1) = "0" ), 2, IF( AND( OFFSET($A$1, 2393 - 1, 54 - 1) = "0", OFFSET($A$1, 2393 - 1, 55 - 1) = "1" ), 3, 4 ) ) )</f>
        <v>4</v>
      </c>
    </row>
    <row r="2394" spans="53:56" x14ac:dyDescent="0.35">
      <c r="BA2394" s="3">
        <v>0.3296025917114706</v>
      </c>
      <c r="BB2394" s="3" t="str">
        <f>"0"</f>
        <v>0</v>
      </c>
      <c r="BC2394" t="str">
        <f ca="1">IF((OFFSET($A$1, 2394 - 1, 53 - 1)) &gt;= (OFFSET($A$1, 69 - 1, 7 - 1)), "1","0")</f>
        <v>0</v>
      </c>
      <c r="BD2394">
        <f ca="1" xml:space="preserve"> IF( AND( OFFSET($A$1, 2394 - 1, 54 - 1) = "1", OFFSET($A$1, 2394 - 1, 55 - 1) = "1" ), 1, IF( AND( OFFSET($A$1, 2394 - 1, 54 - 1) = "1", OFFSET($A$1, 2394 - 1, 55 - 1) = "0" ), 2, IF( AND( OFFSET($A$1, 2394 - 1, 54 - 1) = "0", OFFSET($A$1, 2394 - 1, 55 - 1) = "1" ), 3, 4 ) ) )</f>
        <v>4</v>
      </c>
    </row>
    <row r="2395" spans="53:56" x14ac:dyDescent="0.35">
      <c r="BA2395" s="3">
        <v>0.33002557207712724</v>
      </c>
      <c r="BB2395" s="3" t="str">
        <f>"0"</f>
        <v>0</v>
      </c>
      <c r="BC2395" t="str">
        <f ca="1">IF((OFFSET($A$1, 2395 - 1, 53 - 1)) &gt;= (OFFSET($A$1, 69 - 1, 7 - 1)), "1","0")</f>
        <v>0</v>
      </c>
      <c r="BD2395">
        <f ca="1" xml:space="preserve"> IF( AND( OFFSET($A$1, 2395 - 1, 54 - 1) = "1", OFFSET($A$1, 2395 - 1, 55 - 1) = "1" ), 1, IF( AND( OFFSET($A$1, 2395 - 1, 54 - 1) = "1", OFFSET($A$1, 2395 - 1, 55 - 1) = "0" ), 2, IF( AND( OFFSET($A$1, 2395 - 1, 54 - 1) = "0", OFFSET($A$1, 2395 - 1, 55 - 1) = "1" ), 3, 4 ) ) )</f>
        <v>4</v>
      </c>
    </row>
    <row r="2396" spans="53:56" x14ac:dyDescent="0.35">
      <c r="BA2396" s="3">
        <v>0.3304263910002142</v>
      </c>
      <c r="BB2396" s="3" t="str">
        <f>"1"</f>
        <v>1</v>
      </c>
      <c r="BC2396" t="str">
        <f ca="1">IF((OFFSET($A$1, 2396 - 1, 53 - 1)) &gt;= (OFFSET($A$1, 69 - 1, 7 - 1)), "1","0")</f>
        <v>0</v>
      </c>
      <c r="BD2396">
        <f ca="1" xml:space="preserve"> IF( AND( OFFSET($A$1, 2396 - 1, 54 - 1) = "1", OFFSET($A$1, 2396 - 1, 55 - 1) = "1" ), 1, IF( AND( OFFSET($A$1, 2396 - 1, 54 - 1) = "1", OFFSET($A$1, 2396 - 1, 55 - 1) = "0" ), 2, IF( AND( OFFSET($A$1, 2396 - 1, 54 - 1) = "0", OFFSET($A$1, 2396 - 1, 55 - 1) = "1" ), 3, 4 ) ) )</f>
        <v>2</v>
      </c>
    </row>
    <row r="2397" spans="53:56" x14ac:dyDescent="0.35">
      <c r="BA2397" s="3">
        <v>0.60677813229368449</v>
      </c>
      <c r="BB2397" s="3" t="str">
        <f>"1"</f>
        <v>1</v>
      </c>
      <c r="BC2397" t="str">
        <f ca="1">IF((OFFSET($A$1, 2397 - 1, 53 - 1)) &gt;= (OFFSET($A$1, 69 - 1, 7 - 1)), "1","0")</f>
        <v>1</v>
      </c>
      <c r="BD2397">
        <f ca="1" xml:space="preserve"> IF( AND( OFFSET($A$1, 2397 - 1, 54 - 1) = "1", OFFSET($A$1, 2397 - 1, 55 - 1) = "1" ), 1, IF( AND( OFFSET($A$1, 2397 - 1, 54 - 1) = "1", OFFSET($A$1, 2397 - 1, 55 - 1) = "0" ), 2, IF( AND( OFFSET($A$1, 2397 - 1, 54 - 1) = "0", OFFSET($A$1, 2397 - 1, 55 - 1) = "1" ), 3, 4 ) ) )</f>
        <v>1</v>
      </c>
    </row>
    <row r="2398" spans="53:56" x14ac:dyDescent="0.35">
      <c r="BA2398" s="3">
        <v>0.60716168810179361</v>
      </c>
      <c r="BB2398" s="3" t="str">
        <f>"0"</f>
        <v>0</v>
      </c>
      <c r="BC2398" t="str">
        <f ca="1">IF((OFFSET($A$1, 2398 - 1, 53 - 1)) &gt;= (OFFSET($A$1, 69 - 1, 7 - 1)), "1","0")</f>
        <v>1</v>
      </c>
      <c r="BD2398">
        <f ca="1" xml:space="preserve"> IF( AND( OFFSET($A$1, 2398 - 1, 54 - 1) = "1", OFFSET($A$1, 2398 - 1, 55 - 1) = "1" ), 1, IF( AND( OFFSET($A$1, 2398 - 1, 54 - 1) = "1", OFFSET($A$1, 2398 - 1, 55 - 1) = "0" ), 2, IF( AND( OFFSET($A$1, 2398 - 1, 54 - 1) = "0", OFFSET($A$1, 2398 - 1, 55 - 1) = "1" ), 3, 4 ) ) )</f>
        <v>3</v>
      </c>
    </row>
    <row r="2399" spans="53:56" x14ac:dyDescent="0.35">
      <c r="BA2399" s="3">
        <v>0.33149431804773133</v>
      </c>
      <c r="BB2399" s="3" t="str">
        <f>"1"</f>
        <v>1</v>
      </c>
      <c r="BC2399" t="str">
        <f ca="1">IF((OFFSET($A$1, 2399 - 1, 53 - 1)) &gt;= (OFFSET($A$1, 69 - 1, 7 - 1)), "1","0")</f>
        <v>0</v>
      </c>
      <c r="BD2399">
        <f ca="1" xml:space="preserve"> IF( AND( OFFSET($A$1, 2399 - 1, 54 - 1) = "1", OFFSET($A$1, 2399 - 1, 55 - 1) = "1" ), 1, IF( AND( OFFSET($A$1, 2399 - 1, 54 - 1) = "1", OFFSET($A$1, 2399 - 1, 55 - 1) = "0" ), 2, IF( AND( OFFSET($A$1, 2399 - 1, 54 - 1) = "0", OFFSET($A$1, 2399 - 1, 55 - 1) = "1" ), 3, 4 ) ) )</f>
        <v>2</v>
      </c>
    </row>
    <row r="2400" spans="53:56" x14ac:dyDescent="0.35">
      <c r="BA2400" s="3">
        <v>0.60785469543794746</v>
      </c>
      <c r="BB2400" s="3" t="str">
        <f>"0"</f>
        <v>0</v>
      </c>
      <c r="BC2400" t="str">
        <f ca="1">IF((OFFSET($A$1, 2400 - 1, 53 - 1)) &gt;= (OFFSET($A$1, 69 - 1, 7 - 1)), "1","0")</f>
        <v>1</v>
      </c>
      <c r="BD2400">
        <f ca="1" xml:space="preserve"> IF( AND( OFFSET($A$1, 2400 - 1, 54 - 1) = "1", OFFSET($A$1, 2400 - 1, 55 - 1) = "1" ), 1, IF( AND( OFFSET($A$1, 2400 - 1, 54 - 1) = "1", OFFSET($A$1, 2400 - 1, 55 - 1) = "0" ), 2, IF( AND( OFFSET($A$1, 2400 - 1, 54 - 1) = "0", OFFSET($A$1, 2400 - 1, 55 - 1) = "1" ), 3, 4 ) ) )</f>
        <v>3</v>
      </c>
    </row>
    <row r="2401" spans="53:56" x14ac:dyDescent="0.35">
      <c r="BA2401" s="3">
        <v>0.33209275680028727</v>
      </c>
      <c r="BB2401" s="3" t="str">
        <f>"0"</f>
        <v>0</v>
      </c>
      <c r="BC2401" t="str">
        <f ca="1">IF((OFFSET($A$1, 2401 - 1, 53 - 1)) &gt;= (OFFSET($A$1, 69 - 1, 7 - 1)), "1","0")</f>
        <v>0</v>
      </c>
      <c r="BD2401">
        <f ca="1" xml:space="preserve"> IF( AND( OFFSET($A$1, 2401 - 1, 54 - 1) = "1", OFFSET($A$1, 2401 - 1, 55 - 1) = "1" ), 1, IF( AND( OFFSET($A$1, 2401 - 1, 54 - 1) = "1", OFFSET($A$1, 2401 - 1, 55 - 1) = "0" ), 2, IF( AND( OFFSET($A$1, 2401 - 1, 54 - 1) = "0", OFFSET($A$1, 2401 - 1, 55 - 1) = "1" ), 3, 4 ) ) )</f>
        <v>4</v>
      </c>
    </row>
    <row r="2402" spans="53:56" x14ac:dyDescent="0.35">
      <c r="BA2402" s="3">
        <v>0.33235754857251604</v>
      </c>
      <c r="BB2402" s="3" t="str">
        <f>"0"</f>
        <v>0</v>
      </c>
      <c r="BC2402" t="str">
        <f ca="1">IF((OFFSET($A$1, 2402 - 1, 53 - 1)) &gt;= (OFFSET($A$1, 69 - 1, 7 - 1)), "1","0")</f>
        <v>0</v>
      </c>
      <c r="BD2402">
        <f ca="1" xml:space="preserve"> IF( AND( OFFSET($A$1, 2402 - 1, 54 - 1) = "1", OFFSET($A$1, 2402 - 1, 55 - 1) = "1" ), 1, IF( AND( OFFSET($A$1, 2402 - 1, 54 - 1) = "1", OFFSET($A$1, 2402 - 1, 55 - 1) = "0" ), 2, IF( AND( OFFSET($A$1, 2402 - 1, 54 - 1) = "0", OFFSET($A$1, 2402 - 1, 55 - 1) = "1" ), 3, 4 ) ) )</f>
        <v>4</v>
      </c>
    </row>
    <row r="2403" spans="53:56" x14ac:dyDescent="0.35">
      <c r="BA2403" s="3">
        <v>0.33259924381808659</v>
      </c>
      <c r="BB2403" s="3" t="str">
        <f>"1"</f>
        <v>1</v>
      </c>
      <c r="BC2403" t="str">
        <f ca="1">IF((OFFSET($A$1, 2403 - 1, 53 - 1)) &gt;= (OFFSET($A$1, 69 - 1, 7 - 1)), "1","0")</f>
        <v>0</v>
      </c>
      <c r="BD2403">
        <f ca="1" xml:space="preserve"> IF( AND( OFFSET($A$1, 2403 - 1, 54 - 1) = "1", OFFSET($A$1, 2403 - 1, 55 - 1) = "1" ), 1, IF( AND( OFFSET($A$1, 2403 - 1, 54 - 1) = "1", OFFSET($A$1, 2403 - 1, 55 - 1) = "0" ), 2, IF( AND( OFFSET($A$1, 2403 - 1, 54 - 1) = "0", OFFSET($A$1, 2403 - 1, 55 - 1) = "1" ), 3, 4 ) ) )</f>
        <v>2</v>
      </c>
    </row>
    <row r="2404" spans="53:56" x14ac:dyDescent="0.35">
      <c r="BA2404" s="3">
        <v>0.60894218348757612</v>
      </c>
      <c r="BB2404" s="3" t="str">
        <f>"1"</f>
        <v>1</v>
      </c>
      <c r="BC2404" t="str">
        <f ca="1">IF((OFFSET($A$1, 2404 - 1, 53 - 1)) &gt;= (OFFSET($A$1, 69 - 1, 7 - 1)), "1","0")</f>
        <v>1</v>
      </c>
      <c r="BD2404">
        <f ca="1" xml:space="preserve"> IF( AND( OFFSET($A$1, 2404 - 1, 54 - 1) = "1", OFFSET($A$1, 2404 - 1, 55 - 1) = "1" ), 1, IF( AND( OFFSET($A$1, 2404 - 1, 54 - 1) = "1", OFFSET($A$1, 2404 - 1, 55 - 1) = "0" ), 2, IF( AND( OFFSET($A$1, 2404 - 1, 54 - 1) = "0", OFFSET($A$1, 2404 - 1, 55 - 1) = "1" ), 3, 4 ) ) )</f>
        <v>1</v>
      </c>
    </row>
    <row r="2405" spans="53:56" x14ac:dyDescent="0.35">
      <c r="BA2405" s="3">
        <v>0.60915149143829217</v>
      </c>
      <c r="BB2405" s="3" t="str">
        <f>"1"</f>
        <v>1</v>
      </c>
      <c r="BC2405" t="str">
        <f ca="1">IF((OFFSET($A$1, 2405 - 1, 53 - 1)) &gt;= (OFFSET($A$1, 69 - 1, 7 - 1)), "1","0")</f>
        <v>1</v>
      </c>
      <c r="BD2405">
        <f ca="1" xml:space="preserve"> IF( AND( OFFSET($A$1, 2405 - 1, 54 - 1) = "1", OFFSET($A$1, 2405 - 1, 55 - 1) = "1" ), 1, IF( AND( OFFSET($A$1, 2405 - 1, 54 - 1) = "1", OFFSET($A$1, 2405 - 1, 55 - 1) = "0" ), 2, IF( AND( OFFSET($A$1, 2405 - 1, 54 - 1) = "0", OFFSET($A$1, 2405 - 1, 55 - 1) = "1" ), 3, 4 ) ) )</f>
        <v>1</v>
      </c>
    </row>
    <row r="2406" spans="53:56" x14ac:dyDescent="0.35">
      <c r="BA2406" s="3">
        <v>0.60933566986786503</v>
      </c>
      <c r="BB2406" s="3" t="str">
        <f>"0"</f>
        <v>0</v>
      </c>
      <c r="BC2406" t="str">
        <f ca="1">IF((OFFSET($A$1, 2406 - 1, 53 - 1)) &gt;= (OFFSET($A$1, 69 - 1, 7 - 1)), "1","0")</f>
        <v>1</v>
      </c>
      <c r="BD2406">
        <f ca="1" xml:space="preserve"> IF( AND( OFFSET($A$1, 2406 - 1, 54 - 1) = "1", OFFSET($A$1, 2406 - 1, 55 - 1) = "1" ), 1, IF( AND( OFFSET($A$1, 2406 - 1, 54 - 1) = "1", OFFSET($A$1, 2406 - 1, 55 - 1) = "0" ), 2, IF( AND( OFFSET($A$1, 2406 - 1, 54 - 1) = "0", OFFSET($A$1, 2406 - 1, 55 - 1) = "1" ), 3, 4 ) ) )</f>
        <v>3</v>
      </c>
    </row>
    <row r="2407" spans="53:56" x14ac:dyDescent="0.35">
      <c r="BA2407" s="3">
        <v>0.33333325822605947</v>
      </c>
      <c r="BB2407" s="3" t="str">
        <f>"1"</f>
        <v>1</v>
      </c>
      <c r="BC2407" t="str">
        <f ca="1">IF((OFFSET($A$1, 2407 - 1, 53 - 1)) &gt;= (OFFSET($A$1, 69 - 1, 7 - 1)), "1","0")</f>
        <v>0</v>
      </c>
      <c r="BD2407">
        <f ca="1" xml:space="preserve"> IF( AND( OFFSET($A$1, 2407 - 1, 54 - 1) = "1", OFFSET($A$1, 2407 - 1, 55 - 1) = "1" ), 1, IF( AND( OFFSET($A$1, 2407 - 1, 54 - 1) = "1", OFFSET($A$1, 2407 - 1, 55 - 1) = "0" ), 2, IF( AND( OFFSET($A$1, 2407 - 1, 54 - 1) = "0", OFFSET($A$1, 2407 - 1, 55 - 1) = "1" ), 3, 4 ) ) )</f>
        <v>2</v>
      </c>
    </row>
    <row r="2408" spans="53:56" x14ac:dyDescent="0.35">
      <c r="BA2408" s="3">
        <v>0.60962847667433617</v>
      </c>
      <c r="BB2408" s="3" t="str">
        <f>"1"</f>
        <v>1</v>
      </c>
      <c r="BC2408" t="str">
        <f ca="1">IF((OFFSET($A$1, 2408 - 1, 53 - 1)) &gt;= (OFFSET($A$1, 69 - 1, 7 - 1)), "1","0")</f>
        <v>1</v>
      </c>
      <c r="BD2408">
        <f ca="1" xml:space="preserve"> IF( AND( OFFSET($A$1, 2408 - 1, 54 - 1) = "1", OFFSET($A$1, 2408 - 1, 55 - 1) = "1" ), 1, IF( AND( OFFSET($A$1, 2408 - 1, 54 - 1) = "1", OFFSET($A$1, 2408 - 1, 55 - 1) = "0" ), 2, IF( AND( OFFSET($A$1, 2408 - 1, 54 - 1) = "0", OFFSET($A$1, 2408 - 1, 55 - 1) = "1" ), 3, 4 ) ) )</f>
        <v>1</v>
      </c>
    </row>
    <row r="2409" spans="53:56" x14ac:dyDescent="0.35">
      <c r="BA2409" s="3">
        <v>0.60973703870407137</v>
      </c>
      <c r="BB2409" s="3" t="str">
        <f>"0"</f>
        <v>0</v>
      </c>
      <c r="BC2409" t="str">
        <f ca="1">IF((OFFSET($A$1, 2409 - 1, 53 - 1)) &gt;= (OFFSET($A$1, 69 - 1, 7 - 1)), "1","0")</f>
        <v>1</v>
      </c>
      <c r="BD2409">
        <f ca="1" xml:space="preserve"> IF( AND( OFFSET($A$1, 2409 - 1, 54 - 1) = "1", OFFSET($A$1, 2409 - 1, 55 - 1) = "1" ), 1, IF( AND( OFFSET($A$1, 2409 - 1, 54 - 1) = "1", OFFSET($A$1, 2409 - 1, 55 - 1) = "0" ), 2, IF( AND( OFFSET($A$1, 2409 - 1, 54 - 1) = "0", OFFSET($A$1, 2409 - 1, 55 - 1) = "1" ), 3, 4 ) ) )</f>
        <v>3</v>
      </c>
    </row>
    <row r="2410" spans="53:56" x14ac:dyDescent="0.35">
      <c r="BA2410" s="3">
        <v>0.3336374315720903</v>
      </c>
      <c r="BB2410" s="3" t="str">
        <f>"0"</f>
        <v>0</v>
      </c>
      <c r="BC2410" t="str">
        <f ca="1">IF((OFFSET($A$1, 2410 - 1, 53 - 1)) &gt;= (OFFSET($A$1, 69 - 1, 7 - 1)), "1","0")</f>
        <v>0</v>
      </c>
      <c r="BD2410">
        <f ca="1" xml:space="preserve"> IF( AND( OFFSET($A$1, 2410 - 1, 54 - 1) = "1", OFFSET($A$1, 2410 - 1, 55 - 1) = "1" ), 1, IF( AND( OFFSET($A$1, 2410 - 1, 54 - 1) = "1", OFFSET($A$1, 2410 - 1, 55 - 1) = "0" ), 2, IF( AND( OFFSET($A$1, 2410 - 1, 54 - 1) = "0", OFFSET($A$1, 2410 - 1, 55 - 1) = "1" ), 3, 4 ) ) )</f>
        <v>4</v>
      </c>
    </row>
    <row r="2411" spans="53:56" x14ac:dyDescent="0.35">
      <c r="BA2411" s="3">
        <v>0.33369164616607133</v>
      </c>
      <c r="BB2411" s="3" t="str">
        <f>"0"</f>
        <v>0</v>
      </c>
      <c r="BC2411" t="str">
        <f ca="1">IF((OFFSET($A$1, 2411 - 1, 53 - 1)) &gt;= (OFFSET($A$1, 69 - 1, 7 - 1)), "1","0")</f>
        <v>0</v>
      </c>
      <c r="BD2411">
        <f ca="1" xml:space="preserve"> IF( AND( OFFSET($A$1, 2411 - 1, 54 - 1) = "1", OFFSET($A$1, 2411 - 1, 55 - 1) = "1" ), 1, IF( AND( OFFSET($A$1, 2411 - 1, 54 - 1) = "1", OFFSET($A$1, 2411 - 1, 55 - 1) = "0" ), 2, IF( AND( OFFSET($A$1, 2411 - 1, 54 - 1) = "0", OFFSET($A$1, 2411 - 1, 55 - 1) = "1" ), 3, 4 ) ) )</f>
        <v>4</v>
      </c>
    </row>
    <row r="2412" spans="53:56" x14ac:dyDescent="0.35">
      <c r="BA2412" s="3">
        <v>0.33372222827158199</v>
      </c>
      <c r="BB2412" s="3" t="str">
        <f>"0"</f>
        <v>0</v>
      </c>
      <c r="BC2412" t="str">
        <f ca="1">IF((OFFSET($A$1, 2412 - 1, 53 - 1)) &gt;= (OFFSET($A$1, 69 - 1, 7 - 1)), "1","0")</f>
        <v>0</v>
      </c>
      <c r="BD2412">
        <f ca="1" xml:space="preserve"> IF( AND( OFFSET($A$1, 2412 - 1, 54 - 1) = "1", OFFSET($A$1, 2412 - 1, 55 - 1) = "1" ), 1, IF( AND( OFFSET($A$1, 2412 - 1, 54 - 1) = "1", OFFSET($A$1, 2412 - 1, 55 - 1) = "0" ), 2, IF( AND( OFFSET($A$1, 2412 - 1, 54 - 1) = "0", OFFSET($A$1, 2412 - 1, 55 - 1) = "1" ), 3, 4 ) ) )</f>
        <v>4</v>
      </c>
    </row>
    <row r="2413" spans="53:56" x14ac:dyDescent="0.35">
      <c r="BA2413" s="3">
        <v>0.33372916559456112</v>
      </c>
      <c r="BB2413" s="3" t="str">
        <f>"0"</f>
        <v>0</v>
      </c>
      <c r="BC2413" t="str">
        <f ca="1">IF((OFFSET($A$1, 2413 - 1, 53 - 1)) &gt;= (OFFSET($A$1, 69 - 1, 7 - 1)), "1","0")</f>
        <v>0</v>
      </c>
      <c r="BD2413">
        <f ca="1" xml:space="preserve"> IF( AND( OFFSET($A$1, 2413 - 1, 54 - 1) = "1", OFFSET($A$1, 2413 - 1, 55 - 1) = "1" ), 1, IF( AND( OFFSET($A$1, 2413 - 1, 54 - 1) = "1", OFFSET($A$1, 2413 - 1, 55 - 1) = "0" ), 2, IF( AND( OFFSET($A$1, 2413 - 1, 54 - 1) = "0", OFFSET($A$1, 2413 - 1, 55 - 1) = "1" ), 3, 4 ) ) )</f>
        <v>4</v>
      </c>
    </row>
    <row r="2414" spans="53:56" x14ac:dyDescent="0.35">
      <c r="BA2414" s="3">
        <v>0.33371245534614419</v>
      </c>
      <c r="BB2414" s="3" t="str">
        <f>"0"</f>
        <v>0</v>
      </c>
      <c r="BC2414" t="str">
        <f ca="1">IF((OFFSET($A$1, 2414 - 1, 53 - 1)) &gt;= (OFFSET($A$1, 69 - 1, 7 - 1)), "1","0")</f>
        <v>0</v>
      </c>
      <c r="BD2414">
        <f ca="1" xml:space="preserve"> IF( AND( OFFSET($A$1, 2414 - 1, 54 - 1) = "1", OFFSET($A$1, 2414 - 1, 55 - 1) = "1" ), 1, IF( AND( OFFSET($A$1, 2414 - 1, 54 - 1) = "1", OFFSET($A$1, 2414 - 1, 55 - 1) = "0" ), 2, IF( AND( OFFSET($A$1, 2414 - 1, 54 - 1) = "0", OFFSET($A$1, 2414 - 1, 55 - 1) = "1" ), 3, 4 ) ) )</f>
        <v>4</v>
      </c>
    </row>
    <row r="2415" spans="53:56" x14ac:dyDescent="0.35">
      <c r="BA2415" s="3">
        <v>0.33367210424396698</v>
      </c>
      <c r="BB2415" s="3" t="str">
        <f>"0"</f>
        <v>0</v>
      </c>
      <c r="BC2415" t="str">
        <f ca="1">IF((OFFSET($A$1, 2415 - 1, 53 - 1)) &gt;= (OFFSET($A$1, 69 - 1, 7 - 1)), "1","0")</f>
        <v>0</v>
      </c>
      <c r="BD2415">
        <f ca="1" xml:space="preserve"> IF( AND( OFFSET($A$1, 2415 - 1, 54 - 1) = "1", OFFSET($A$1, 2415 - 1, 55 - 1) = "1" ), 1, IF( AND( OFFSET($A$1, 2415 - 1, 54 - 1) = "1", OFFSET($A$1, 2415 - 1, 55 - 1) = "0" ), 2, IF( AND( OFFSET($A$1, 2415 - 1, 54 - 1) = "0", OFFSET($A$1, 2415 - 1, 55 - 1) = "1" ), 3, 4 ) ) )</f>
        <v>4</v>
      </c>
    </row>
    <row r="2416" spans="53:56" x14ac:dyDescent="0.35">
      <c r="BA2416" s="3">
        <v>0.33360812850902527</v>
      </c>
      <c r="BB2416" s="3" t="str">
        <f>"0"</f>
        <v>0</v>
      </c>
      <c r="BC2416" t="str">
        <f ca="1">IF((OFFSET($A$1, 2416 - 1, 53 - 1)) &gt;= (OFFSET($A$1, 69 - 1, 7 - 1)), "1","0")</f>
        <v>0</v>
      </c>
      <c r="BD2416">
        <f ca="1" xml:space="preserve"> IF( AND( OFFSET($A$1, 2416 - 1, 54 - 1) = "1", OFFSET($A$1, 2416 - 1, 55 - 1) = "1" ), 1, IF( AND( OFFSET($A$1, 2416 - 1, 54 - 1) = "1", OFFSET($A$1, 2416 - 1, 55 - 1) = "0" ), 2, IF( AND( OFFSET($A$1, 2416 - 1, 54 - 1) = "0", OFFSET($A$1, 2416 - 1, 55 - 1) = "1" ), 3, 4 ) ) )</f>
        <v>4</v>
      </c>
    </row>
    <row r="2417" spans="53:56" x14ac:dyDescent="0.35">
      <c r="BA2417" s="3">
        <v>0.33352055385809048</v>
      </c>
      <c r="BB2417" s="3" t="str">
        <f>"0"</f>
        <v>0</v>
      </c>
      <c r="BC2417" t="str">
        <f ca="1">IF((OFFSET($A$1, 2417 - 1, 53 - 1)) &gt;= (OFFSET($A$1, 69 - 1, 7 - 1)), "1","0")</f>
        <v>0</v>
      </c>
      <c r="BD2417">
        <f ca="1" xml:space="preserve"> IF( AND( OFFSET($A$1, 2417 - 1, 54 - 1) = "1", OFFSET($A$1, 2417 - 1, 55 - 1) = "1" ), 1, IF( AND( OFFSET($A$1, 2417 - 1, 54 - 1) = "1", OFFSET($A$1, 2417 - 1, 55 - 1) = "0" ), 2, IF( AND( OFFSET($A$1, 2417 - 1, 54 - 1) = "0", OFFSET($A$1, 2417 - 1, 55 - 1) = "1" ), 3, 4 ) ) )</f>
        <v>4</v>
      </c>
    </row>
    <row r="2418" spans="53:56" x14ac:dyDescent="0.35">
      <c r="BA2418" s="3">
        <v>0.33340941549167669</v>
      </c>
      <c r="BB2418" s="3" t="str">
        <f>"0"</f>
        <v>0</v>
      </c>
      <c r="BC2418" t="str">
        <f ca="1">IF((OFFSET($A$1, 2418 - 1, 53 - 1)) &gt;= (OFFSET($A$1, 69 - 1, 7 - 1)), "1","0")</f>
        <v>0</v>
      </c>
      <c r="BD2418">
        <f ca="1" xml:space="preserve"> IF( AND( OFFSET($A$1, 2418 - 1, 54 - 1) = "1", OFFSET($A$1, 2418 - 1, 55 - 1) = "1" ), 1, IF( AND( OFFSET($A$1, 2418 - 1, 54 - 1) = "1", OFFSET($A$1, 2418 - 1, 55 - 1) = "0" ), 2, IF( AND( OFFSET($A$1, 2418 - 1, 54 - 1) = "0", OFFSET($A$1, 2418 - 1, 55 - 1) = "1" ), 3, 4 ) ) )</f>
        <v>4</v>
      </c>
    </row>
    <row r="2419" spans="53:56" x14ac:dyDescent="0.35">
      <c r="BA2419" s="3">
        <v>0.33327475807755425</v>
      </c>
      <c r="BB2419" s="3" t="str">
        <f>"1"</f>
        <v>1</v>
      </c>
      <c r="BC2419" t="str">
        <f ca="1">IF((OFFSET($A$1, 2419 - 1, 53 - 1)) &gt;= (OFFSET($A$1, 69 - 1, 7 - 1)), "1","0")</f>
        <v>0</v>
      </c>
      <c r="BD2419">
        <f ca="1" xml:space="preserve"> IF( AND( OFFSET($A$1, 2419 - 1, 54 - 1) = "1", OFFSET($A$1, 2419 - 1, 55 - 1) = "1" ), 1, IF( AND( OFFSET($A$1, 2419 - 1, 54 - 1) = "1", OFFSET($A$1, 2419 - 1, 55 - 1) = "0" ), 2, IF( AND( OFFSET($A$1, 2419 - 1, 54 - 1) = "0", OFFSET($A$1, 2419 - 1, 55 - 1) = "1" ), 3, 4 ) ) )</f>
        <v>2</v>
      </c>
    </row>
    <row r="2420" spans="53:56" x14ac:dyDescent="0.35">
      <c r="BA2420" s="3">
        <v>0.60926260112717856</v>
      </c>
      <c r="BB2420" s="3" t="str">
        <f>"0"</f>
        <v>0</v>
      </c>
      <c r="BC2420" t="str">
        <f ca="1">IF((OFFSET($A$1, 2420 - 1, 53 - 1)) &gt;= (OFFSET($A$1, 69 - 1, 7 - 1)), "1","0")</f>
        <v>1</v>
      </c>
      <c r="BD2420">
        <f ca="1" xml:space="preserve"> IF( AND( OFFSET($A$1, 2420 - 1, 54 - 1) = "1", OFFSET($A$1, 2420 - 1, 55 - 1) = "1" ), 1, IF( AND( OFFSET($A$1, 2420 - 1, 54 - 1) = "1", OFFSET($A$1, 2420 - 1, 55 - 1) = "0" ), 2, IF( AND( OFFSET($A$1, 2420 - 1, 54 - 1) = "0", OFFSET($A$1, 2420 - 1, 55 - 1) = "1" ), 3, 4 ) ) )</f>
        <v>3</v>
      </c>
    </row>
    <row r="2421" spans="53:56" x14ac:dyDescent="0.35">
      <c r="BA2421" s="3">
        <v>0.33293511198339693</v>
      </c>
      <c r="BB2421" s="3" t="str">
        <f>"1"</f>
        <v>1</v>
      </c>
      <c r="BC2421" t="str">
        <f ca="1">IF((OFFSET($A$1, 2421 - 1, 53 - 1)) &gt;= (OFFSET($A$1, 69 - 1, 7 - 1)), "1","0")</f>
        <v>0</v>
      </c>
      <c r="BD2421">
        <f ca="1" xml:space="preserve"> IF( AND( OFFSET($A$1, 2421 - 1, 54 - 1) = "1", OFFSET($A$1, 2421 - 1, 55 - 1) = "1" ), 1, IF( AND( OFFSET($A$1, 2421 - 1, 54 - 1) = "1", OFFSET($A$1, 2421 - 1, 55 - 1) = "0" ), 2, IF( AND( OFFSET($A$1, 2421 - 1, 54 - 1) = "0", OFFSET($A$1, 2421 - 1, 55 - 1) = "1" ), 3, 4 ) ) )</f>
        <v>2</v>
      </c>
    </row>
    <row r="2422" spans="53:56" x14ac:dyDescent="0.35">
      <c r="BA2422" s="3">
        <v>0.60884835158604678</v>
      </c>
      <c r="BB2422" s="3" t="str">
        <f>"0"</f>
        <v>0</v>
      </c>
      <c r="BC2422" t="str">
        <f ca="1">IF((OFFSET($A$1, 2422 - 1, 53 - 1)) &gt;= (OFFSET($A$1, 69 - 1, 7 - 1)), "1","0")</f>
        <v>1</v>
      </c>
      <c r="BD2422">
        <f ca="1" xml:space="preserve"> IF( AND( OFFSET($A$1, 2422 - 1, 54 - 1) = "1", OFFSET($A$1, 2422 - 1, 55 - 1) = "1" ), 1, IF( AND( OFFSET($A$1, 2422 - 1, 54 - 1) = "1", OFFSET($A$1, 2422 - 1, 55 - 1) = "0" ), 2, IF( AND( OFFSET($A$1, 2422 - 1, 54 - 1) = "0", OFFSET($A$1, 2422 - 1, 55 - 1) = "1" ), 3, 4 ) ) )</f>
        <v>3</v>
      </c>
    </row>
    <row r="2423" spans="53:56" x14ac:dyDescent="0.35">
      <c r="BA2423" s="3">
        <v>0.3325021613551119</v>
      </c>
      <c r="BB2423" s="3" t="str">
        <f>"1"</f>
        <v>1</v>
      </c>
      <c r="BC2423" t="str">
        <f ca="1">IF((OFFSET($A$1, 2423 - 1, 53 - 1)) &gt;= (OFFSET($A$1, 69 - 1, 7 - 1)), "1","0")</f>
        <v>0</v>
      </c>
      <c r="BD2423">
        <f ca="1" xml:space="preserve"> IF( AND( OFFSET($A$1, 2423 - 1, 54 - 1) = "1", OFFSET($A$1, 2423 - 1, 55 - 1) = "1" ), 1, IF( AND( OFFSET($A$1, 2423 - 1, 54 - 1) = "1", OFFSET($A$1, 2423 - 1, 55 - 1) = "0" ), 2, IF( AND( OFFSET($A$1, 2423 - 1, 54 - 1) = "0", OFFSET($A$1, 2423 - 1, 55 - 1) = "1" ), 3, 4 ) ) )</f>
        <v>2</v>
      </c>
    </row>
    <row r="2424" spans="53:56" x14ac:dyDescent="0.35">
      <c r="BA2424" s="3">
        <v>0.60833386558910862</v>
      </c>
      <c r="BB2424" s="3" t="str">
        <f>"0"</f>
        <v>0</v>
      </c>
      <c r="BC2424" t="str">
        <f ca="1">IF((OFFSET($A$1, 2424 - 1, 53 - 1)) &gt;= (OFFSET($A$1, 69 - 1, 7 - 1)), "1","0")</f>
        <v>1</v>
      </c>
      <c r="BD2424">
        <f ca="1" xml:space="preserve"> IF( AND( OFFSET($A$1, 2424 - 1, 54 - 1) = "1", OFFSET($A$1, 2424 - 1, 55 - 1) = "1" ), 1, IF( AND( OFFSET($A$1, 2424 - 1, 54 - 1) = "1", OFFSET($A$1, 2424 - 1, 55 - 1) = "0" ), 2, IF( AND( OFFSET($A$1, 2424 - 1, 54 - 1) = "0", OFFSET($A$1, 2424 - 1, 55 - 1) = "1" ), 3, 4 ) ) )</f>
        <v>3</v>
      </c>
    </row>
    <row r="2425" spans="53:56" x14ac:dyDescent="0.35">
      <c r="BA2425" s="3">
        <v>0.33197660164190157</v>
      </c>
      <c r="BB2425" s="3" t="str">
        <f>"0"</f>
        <v>0</v>
      </c>
      <c r="BC2425" t="str">
        <f ca="1">IF((OFFSET($A$1, 2425 - 1, 53 - 1)) &gt;= (OFFSET($A$1, 69 - 1, 7 - 1)), "1","0")</f>
        <v>0</v>
      </c>
      <c r="BD2425">
        <f ca="1" xml:space="preserve"> IF( AND( OFFSET($A$1, 2425 - 1, 54 - 1) = "1", OFFSET($A$1, 2425 - 1, 55 - 1) = "1" ), 1, IF( AND( OFFSET($A$1, 2425 - 1, 54 - 1) = "1", OFFSET($A$1, 2425 - 1, 55 - 1) = "0" ), 2, IF( AND( OFFSET($A$1, 2425 - 1, 54 - 1) = "0", OFFSET($A$1, 2425 - 1, 55 - 1) = "1" ), 3, 4 ) ) )</f>
        <v>4</v>
      </c>
    </row>
    <row r="2426" spans="53:56" x14ac:dyDescent="0.35">
      <c r="BA2426" s="3">
        <v>0.33167935131344189</v>
      </c>
      <c r="BB2426" s="3" t="str">
        <f>"1"</f>
        <v>1</v>
      </c>
      <c r="BC2426" t="str">
        <f ca="1">IF((OFFSET($A$1, 2426 - 1, 53 - 1)) &gt;= (OFFSET($A$1, 69 - 1, 7 - 1)), "1","0")</f>
        <v>0</v>
      </c>
      <c r="BD2426">
        <f ca="1" xml:space="preserve"> IF( AND( OFFSET($A$1, 2426 - 1, 54 - 1) = "1", OFFSET($A$1, 2426 - 1, 55 - 1) = "1" ), 1, IF( AND( OFFSET($A$1, 2426 - 1, 54 - 1) = "1", OFFSET($A$1, 2426 - 1, 55 - 1) = "0" ), 2, IF( AND( OFFSET($A$1, 2426 - 1, 54 - 1) = "0", OFFSET($A$1, 2426 - 1, 55 - 1) = "1" ), 3, 4 ) ) )</f>
        <v>2</v>
      </c>
    </row>
    <row r="2427" spans="53:56" x14ac:dyDescent="0.35">
      <c r="BA2427" s="3">
        <v>0.60737524627226613</v>
      </c>
      <c r="BB2427" s="3" t="str">
        <f>"1"</f>
        <v>1</v>
      </c>
      <c r="BC2427" t="str">
        <f ca="1">IF((OFFSET($A$1, 2427 - 1, 53 - 1)) &gt;= (OFFSET($A$1, 69 - 1, 7 - 1)), "1","0")</f>
        <v>1</v>
      </c>
      <c r="BD2427">
        <f ca="1" xml:space="preserve"> IF( AND( OFFSET($A$1, 2427 - 1, 54 - 1) = "1", OFFSET($A$1, 2427 - 1, 55 - 1) = "1" ), 1, IF( AND( OFFSET($A$1, 2427 - 1, 54 - 1) = "1", OFFSET($A$1, 2427 - 1, 55 - 1) = "0" ), 2, IF( AND( OFFSET($A$1, 2427 - 1, 54 - 1) = "0", OFFSET($A$1, 2427 - 1, 55 - 1) = "1" ), 3, 4 ) ) )</f>
        <v>1</v>
      </c>
    </row>
    <row r="2428" spans="53:56" x14ac:dyDescent="0.35">
      <c r="BA2428" s="3">
        <v>0.60700615660799362</v>
      </c>
      <c r="BB2428" s="3" t="str">
        <f>"1"</f>
        <v>1</v>
      </c>
      <c r="BC2428" t="str">
        <f ca="1">IF((OFFSET($A$1, 2428 - 1, 53 - 1)) &gt;= (OFFSET($A$1, 69 - 1, 7 - 1)), "1","0")</f>
        <v>1</v>
      </c>
      <c r="BD2428">
        <f ca="1" xml:space="preserve"> IF( AND( OFFSET($A$1, 2428 - 1, 54 - 1) = "1", OFFSET($A$1, 2428 - 1, 55 - 1) = "1" ), 1, IF( AND( OFFSET($A$1, 2428 - 1, 54 - 1) = "1", OFFSET($A$1, 2428 - 1, 55 - 1) = "0" ), 2, IF( AND( OFFSET($A$1, 2428 - 1, 54 - 1) = "0", OFFSET($A$1, 2428 - 1, 55 - 1) = "1" ), 3, 4 ) ) )</f>
        <v>1</v>
      </c>
    </row>
    <row r="2429" spans="53:56" x14ac:dyDescent="0.35">
      <c r="BA2429" s="3">
        <v>0.60661242900495915</v>
      </c>
      <c r="BB2429" s="3" t="str">
        <f>"1"</f>
        <v>1</v>
      </c>
      <c r="BC2429" t="str">
        <f ca="1">IF((OFFSET($A$1, 2429 - 1, 53 - 1)) &gt;= (OFFSET($A$1, 69 - 1, 7 - 1)), "1","0")</f>
        <v>1</v>
      </c>
      <c r="BD2429">
        <f ca="1" xml:space="preserve"> IF( AND( OFFSET($A$1, 2429 - 1, 54 - 1) = "1", OFFSET($A$1, 2429 - 1, 55 - 1) = "1" ), 1, IF( AND( OFFSET($A$1, 2429 - 1, 54 - 1) = "1", OFFSET($A$1, 2429 - 1, 55 - 1) = "0" ), 2, IF( AND( OFFSET($A$1, 2429 - 1, 54 - 1) = "0", OFFSET($A$1, 2429 - 1, 55 - 1) = "1" ), 3, 4 ) ) )</f>
        <v>1</v>
      </c>
    </row>
    <row r="2430" spans="53:56" x14ac:dyDescent="0.35">
      <c r="BA2430" s="3">
        <v>0.60619415458066861</v>
      </c>
      <c r="BB2430" s="3" t="str">
        <f>"0"</f>
        <v>0</v>
      </c>
      <c r="BC2430" t="str">
        <f ca="1">IF((OFFSET($A$1, 2430 - 1, 53 - 1)) &gt;= (OFFSET($A$1, 69 - 1, 7 - 1)), "1","0")</f>
        <v>1</v>
      </c>
      <c r="BD2430">
        <f ca="1" xml:space="preserve"> IF( AND( OFFSET($A$1, 2430 - 1, 54 - 1) = "1", OFFSET($A$1, 2430 - 1, 55 - 1) = "1" ), 1, IF( AND( OFFSET($A$1, 2430 - 1, 54 - 1) = "1", OFFSET($A$1, 2430 - 1, 55 - 1) = "0" ), 2, IF( AND( OFFSET($A$1, 2430 - 1, 54 - 1) = "0", OFFSET($A$1, 2430 - 1, 55 - 1) = "1" ), 3, 4 ) ) )</f>
        <v>3</v>
      </c>
    </row>
    <row r="2431" spans="53:56" x14ac:dyDescent="0.35">
      <c r="BA2431" s="3">
        <v>0.32985343783659754</v>
      </c>
      <c r="BB2431" s="3" t="str">
        <f>"0"</f>
        <v>0</v>
      </c>
      <c r="BC2431" t="str">
        <f ca="1">IF((OFFSET($A$1, 2431 - 1, 53 - 1)) &gt;= (OFFSET($A$1, 69 - 1, 7 - 1)), "1","0")</f>
        <v>0</v>
      </c>
      <c r="BD2431">
        <f ca="1" xml:space="preserve"> IF( AND( OFFSET($A$1, 2431 - 1, 54 - 1) = "1", OFFSET($A$1, 2431 - 1, 55 - 1) = "1" ), 1, IF( AND( OFFSET($A$1, 2431 - 1, 54 - 1) = "1", OFFSET($A$1, 2431 - 1, 55 - 1) = "0" ), 2, IF( AND( OFFSET($A$1, 2431 - 1, 54 - 1) = "0", OFFSET($A$1, 2431 - 1, 55 - 1) = "1" ), 3, 4 ) ) )</f>
        <v>4</v>
      </c>
    </row>
    <row r="2432" spans="53:56" x14ac:dyDescent="0.35">
      <c r="BA2432" s="3">
        <v>0.32942134742684459</v>
      </c>
      <c r="BB2432" s="3" t="str">
        <f>"0"</f>
        <v>0</v>
      </c>
      <c r="BC2432" t="str">
        <f ca="1">IF((OFFSET($A$1, 2432 - 1, 53 - 1)) &gt;= (OFFSET($A$1, 69 - 1, 7 - 1)), "1","0")</f>
        <v>0</v>
      </c>
      <c r="BD2432">
        <f ca="1" xml:space="preserve"> IF( AND( OFFSET($A$1, 2432 - 1, 54 - 1) = "1", OFFSET($A$1, 2432 - 1, 55 - 1) = "1" ), 1, IF( AND( OFFSET($A$1, 2432 - 1, 54 - 1) = "1", OFFSET($A$1, 2432 - 1, 55 - 1) = "0" ), 2, IF( AND( OFFSET($A$1, 2432 - 1, 54 - 1) = "0", OFFSET($A$1, 2432 - 1, 55 - 1) = "1" ), 3, 4 ) ) )</f>
        <v>4</v>
      </c>
    </row>
    <row r="2433" spans="53:56" x14ac:dyDescent="0.35">
      <c r="BA2433" s="3">
        <v>0.32896733745997186</v>
      </c>
      <c r="BB2433" s="3" t="str">
        <f>"0"</f>
        <v>0</v>
      </c>
      <c r="BC2433" t="str">
        <f ca="1">IF((OFFSET($A$1, 2433 - 1, 53 - 1)) &gt;= (OFFSET($A$1, 69 - 1, 7 - 1)), "1","0")</f>
        <v>0</v>
      </c>
      <c r="BD2433">
        <f ca="1" xml:space="preserve"> IF( AND( OFFSET($A$1, 2433 - 1, 54 - 1) = "1", OFFSET($A$1, 2433 - 1, 55 - 1) = "1" ), 1, IF( AND( OFFSET($A$1, 2433 - 1, 54 - 1) = "1", OFFSET($A$1, 2433 - 1, 55 - 1) = "0" ), 2, IF( AND( OFFSET($A$1, 2433 - 1, 54 - 1) = "0", OFFSET($A$1, 2433 - 1, 55 - 1) = "1" ), 3, 4 ) ) )</f>
        <v>4</v>
      </c>
    </row>
    <row r="2434" spans="53:56" x14ac:dyDescent="0.35">
      <c r="BA2434" s="3">
        <v>0.32849158957206809</v>
      </c>
      <c r="BB2434" s="3" t="str">
        <f>"0"</f>
        <v>0</v>
      </c>
      <c r="BC2434" t="str">
        <f ca="1">IF((OFFSET($A$1, 2434 - 1, 53 - 1)) &gt;= (OFFSET($A$1, 69 - 1, 7 - 1)), "1","0")</f>
        <v>0</v>
      </c>
      <c r="BD2434">
        <f ca="1" xml:space="preserve"> IF( AND( OFFSET($A$1, 2434 - 1, 54 - 1) = "1", OFFSET($A$1, 2434 - 1, 55 - 1) = "1" ), 1, IF( AND( OFFSET($A$1, 2434 - 1, 54 - 1) = "1", OFFSET($A$1, 2434 - 1, 55 - 1) = "0" ), 2, IF( AND( OFFSET($A$1, 2434 - 1, 54 - 1) = "0", OFFSET($A$1, 2434 - 1, 55 - 1) = "1" ), 3, 4 ) ) )</f>
        <v>4</v>
      </c>
    </row>
    <row r="2435" spans="53:56" x14ac:dyDescent="0.35">
      <c r="BA2435" s="3">
        <v>0.32799429398729901</v>
      </c>
      <c r="BB2435" s="3" t="str">
        <f>"0"</f>
        <v>0</v>
      </c>
      <c r="BC2435" t="str">
        <f ca="1">IF((OFFSET($A$1, 2435 - 1, 53 - 1)) &gt;= (OFFSET($A$1, 69 - 1, 7 - 1)), "1","0")</f>
        <v>0</v>
      </c>
      <c r="BD2435">
        <f ca="1" xml:space="preserve"> IF( AND( OFFSET($A$1, 2435 - 1, 54 - 1) = "1", OFFSET($A$1, 2435 - 1, 55 - 1) = "1" ), 1, IF( AND( OFFSET($A$1, 2435 - 1, 54 - 1) = "1", OFFSET($A$1, 2435 - 1, 55 - 1) = "0" ), 2, IF( AND( OFFSET($A$1, 2435 - 1, 54 - 1) = "0", OFFSET($A$1, 2435 - 1, 55 - 1) = "1" ), 3, 4 ) ) )</f>
        <v>4</v>
      </c>
    </row>
    <row r="2436" spans="53:56" x14ac:dyDescent="0.35">
      <c r="BA2436" s="3">
        <v>0.3274756494237448</v>
      </c>
      <c r="BB2436" s="3" t="str">
        <f>"0"</f>
        <v>0</v>
      </c>
      <c r="BC2436" t="str">
        <f ca="1">IF((OFFSET($A$1, 2436 - 1, 53 - 1)) &gt;= (OFFSET($A$1, 69 - 1, 7 - 1)), "1","0")</f>
        <v>0</v>
      </c>
      <c r="BD2436">
        <f ca="1" xml:space="preserve"> IF( AND( OFFSET($A$1, 2436 - 1, 54 - 1) = "1", OFFSET($A$1, 2436 - 1, 55 - 1) = "1" ), 1, IF( AND( OFFSET($A$1, 2436 - 1, 54 - 1) = "1", OFFSET($A$1, 2436 - 1, 55 - 1) = "0" ), 2, IF( AND( OFFSET($A$1, 2436 - 1, 54 - 1) = "0", OFFSET($A$1, 2436 - 1, 55 - 1) = "1" ), 3, 4 ) ) )</f>
        <v>4</v>
      </c>
    </row>
    <row r="2437" spans="53:56" x14ac:dyDescent="0.35">
      <c r="BA2437" s="3">
        <v>0.32693586299455207</v>
      </c>
      <c r="BB2437" s="3" t="str">
        <f>"0"</f>
        <v>0</v>
      </c>
      <c r="BC2437" t="str">
        <f ca="1">IF((OFFSET($A$1, 2437 - 1, 53 - 1)) &gt;= (OFFSET($A$1, 69 - 1, 7 - 1)), "1","0")</f>
        <v>0</v>
      </c>
      <c r="BD2437">
        <f ca="1" xml:space="preserve"> IF( AND( OFFSET($A$1, 2437 - 1, 54 - 1) = "1", OFFSET($A$1, 2437 - 1, 55 - 1) = "1" ), 1, IF( AND( OFFSET($A$1, 2437 - 1, 54 - 1) = "1", OFFSET($A$1, 2437 - 1, 55 - 1) = "0" ), 2, IF( AND( OFFSET($A$1, 2437 - 1, 54 - 1) = "0", OFFSET($A$1, 2437 - 1, 55 - 1) = "1" ), 3, 4 ) ) )</f>
        <v>4</v>
      </c>
    </row>
    <row r="2438" spans="53:56" x14ac:dyDescent="0.35">
      <c r="BA2438" s="3">
        <v>0.326375150104393</v>
      </c>
      <c r="BB2438" s="3" t="str">
        <f>"1"</f>
        <v>1</v>
      </c>
      <c r="BC2438" t="str">
        <f ca="1">IF((OFFSET($A$1, 2438 - 1, 53 - 1)) &gt;= (OFFSET($A$1, 69 - 1, 7 - 1)), "1","0")</f>
        <v>0</v>
      </c>
      <c r="BD2438">
        <f ca="1" xml:space="preserve"> IF( AND( OFFSET($A$1, 2438 - 1, 54 - 1) = "1", OFFSET($A$1, 2438 - 1, 55 - 1) = "1" ), 1, IF( AND( OFFSET($A$1, 2438 - 1, 54 - 1) = "1", OFFSET($A$1, 2438 - 1, 55 - 1) = "0" ), 2, IF( AND( OFFSET($A$1, 2438 - 1, 54 - 1) = "0", OFFSET($A$1, 2438 - 1, 55 - 1) = "1" ), 3, 4 ) ) )</f>
        <v>2</v>
      </c>
    </row>
    <row r="2439" spans="53:56" x14ac:dyDescent="0.35">
      <c r="BA2439" s="3">
        <v>0.60134309887411341</v>
      </c>
      <c r="BB2439" s="3" t="str">
        <f>"1"</f>
        <v>1</v>
      </c>
      <c r="BC2439" t="str">
        <f ca="1">IF((OFFSET($A$1, 2439 - 1, 53 - 1)) &gt;= (OFFSET($A$1, 69 - 1, 7 - 1)), "1","0")</f>
        <v>1</v>
      </c>
      <c r="BD2439">
        <f ca="1" xml:space="preserve"> IF( AND( OFFSET($A$1, 2439 - 1, 54 - 1) = "1", OFFSET($A$1, 2439 - 1, 55 - 1) = "1" ), 1, IF( AND( OFFSET($A$1, 2439 - 1, 54 - 1) = "1", OFFSET($A$1, 2439 - 1, 55 - 1) = "0" ), 2, IF( AND( OFFSET($A$1, 2439 - 1, 54 - 1) = "0", OFFSET($A$1, 2439 - 1, 55 - 1) = "1" ), 3, 4 ) ) )</f>
        <v>1</v>
      </c>
    </row>
    <row r="2440" spans="53:56" x14ac:dyDescent="0.35">
      <c r="BA2440" s="3">
        <v>0.60068569979203146</v>
      </c>
      <c r="BB2440" s="3" t="str">
        <f>"0"</f>
        <v>0</v>
      </c>
      <c r="BC2440" t="str">
        <f ca="1">IF((OFFSET($A$1, 2440 - 1, 53 - 1)) &gt;= (OFFSET($A$1, 69 - 1, 7 - 1)), "1","0")</f>
        <v>1</v>
      </c>
      <c r="BD2440">
        <f ca="1" xml:space="preserve"> IF( AND( OFFSET($A$1, 2440 - 1, 54 - 1) = "1", OFFSET($A$1, 2440 - 1, 55 - 1) = "1" ), 1, IF( AND( OFFSET($A$1, 2440 - 1, 54 - 1) = "1", OFFSET($A$1, 2440 - 1, 55 - 1) = "0" ), 2, IF( AND( OFFSET($A$1, 2440 - 1, 54 - 1) = "0", OFFSET($A$1, 2440 - 1, 55 - 1) = "1" ), 3, 4 ) ) )</f>
        <v>3</v>
      </c>
    </row>
    <row r="2441" spans="53:56" x14ac:dyDescent="0.35">
      <c r="BA2441" s="3">
        <v>0.32456972878199286</v>
      </c>
      <c r="BB2441" s="3" t="str">
        <f>"1"</f>
        <v>1</v>
      </c>
      <c r="BC2441" t="str">
        <f ca="1">IF((OFFSET($A$1, 2441 - 1, 53 - 1)) &gt;= (OFFSET($A$1, 69 - 1, 7 - 1)), "1","0")</f>
        <v>0</v>
      </c>
      <c r="BD2441">
        <f ca="1" xml:space="preserve"> IF( AND( OFFSET($A$1, 2441 - 1, 54 - 1) = "1", OFFSET($A$1, 2441 - 1, 55 - 1) = "1" ), 1, IF( AND( OFFSET($A$1, 2441 - 1, 54 - 1) = "1", OFFSET($A$1, 2441 - 1, 55 - 1) = "0" ), 2, IF( AND( OFFSET($A$1, 2441 - 1, 54 - 1) = "0", OFFSET($A$1, 2441 - 1, 55 - 1) = "1" ), 3, 4 ) ) )</f>
        <v>2</v>
      </c>
    </row>
    <row r="2442" spans="53:56" x14ac:dyDescent="0.35">
      <c r="BA2442" s="3">
        <v>0.59930163910993961</v>
      </c>
      <c r="BB2442" s="3" t="str">
        <f>"1"</f>
        <v>1</v>
      </c>
      <c r="BC2442" t="str">
        <f ca="1">IF((OFFSET($A$1, 2442 - 1, 53 - 1)) &gt;= (OFFSET($A$1, 69 - 1, 7 - 1)), "1","0")</f>
        <v>1</v>
      </c>
      <c r="BD2442">
        <f ca="1" xml:space="preserve"> IF( AND( OFFSET($A$1, 2442 - 1, 54 - 1) = "1", OFFSET($A$1, 2442 - 1, 55 - 1) = "1" ), 1, IF( AND( OFFSET($A$1, 2442 - 1, 54 - 1) = "1", OFFSET($A$1, 2442 - 1, 55 - 1) = "0" ), 2, IF( AND( OFFSET($A$1, 2442 - 1, 54 - 1) = "0", OFFSET($A$1, 2442 - 1, 55 - 1) = "1" ), 3, 4 ) ) )</f>
        <v>1</v>
      </c>
    </row>
    <row r="2443" spans="53:56" x14ac:dyDescent="0.35">
      <c r="BA2443" s="3">
        <v>0.59857531404866737</v>
      </c>
      <c r="BB2443" s="3" t="str">
        <f>"1"</f>
        <v>1</v>
      </c>
      <c r="BC2443" t="str">
        <f ca="1">IF((OFFSET($A$1, 2443 - 1, 53 - 1)) &gt;= (OFFSET($A$1, 69 - 1, 7 - 1)), "1","0")</f>
        <v>1</v>
      </c>
      <c r="BD2443">
        <f ca="1" xml:space="preserve"> IF( AND( OFFSET($A$1, 2443 - 1, 54 - 1) = "1", OFFSET($A$1, 2443 - 1, 55 - 1) = "1" ), 1, IF( AND( OFFSET($A$1, 2443 - 1, 54 - 1) = "1", OFFSET($A$1, 2443 - 1, 55 - 1) = "0" ), 2, IF( AND( OFFSET($A$1, 2443 - 1, 54 - 1) = "0", OFFSET($A$1, 2443 - 1, 55 - 1) = "1" ), 3, 4 ) ) )</f>
        <v>1</v>
      </c>
    </row>
    <row r="2444" spans="53:56" x14ac:dyDescent="0.35">
      <c r="BA2444" s="3">
        <v>0.59782636086670427</v>
      </c>
      <c r="BB2444" s="3" t="str">
        <f>"1"</f>
        <v>1</v>
      </c>
      <c r="BC2444" t="str">
        <f ca="1">IF((OFFSET($A$1, 2444 - 1, 53 - 1)) &gt;= (OFFSET($A$1, 69 - 1, 7 - 1)), "1","0")</f>
        <v>1</v>
      </c>
      <c r="BD2444">
        <f ca="1" xml:space="preserve"> IF( AND( OFFSET($A$1, 2444 - 1, 54 - 1) = "1", OFFSET($A$1, 2444 - 1, 55 - 1) = "1" ), 1, IF( AND( OFFSET($A$1, 2444 - 1, 54 - 1) = "1", OFFSET($A$1, 2444 - 1, 55 - 1) = "0" ), 2, IF( AND( OFFSET($A$1, 2444 - 1, 54 - 1) = "0", OFFSET($A$1, 2444 - 1, 55 - 1) = "1" ), 3, 4 ) ) )</f>
        <v>1</v>
      </c>
    </row>
    <row r="2445" spans="53:56" x14ac:dyDescent="0.35">
      <c r="BA2445" s="3">
        <v>0.5970549638801651</v>
      </c>
      <c r="BB2445" s="3" t="str">
        <f>"1"</f>
        <v>1</v>
      </c>
      <c r="BC2445" t="str">
        <f ca="1">IF((OFFSET($A$1, 2445 - 1, 53 - 1)) &gt;= (OFFSET($A$1, 69 - 1, 7 - 1)), "1","0")</f>
        <v>1</v>
      </c>
      <c r="BD2445">
        <f ca="1" xml:space="preserve"> IF( AND( OFFSET($A$1, 2445 - 1, 54 - 1) = "1", OFFSET($A$1, 2445 - 1, 55 - 1) = "1" ), 1, IF( AND( OFFSET($A$1, 2445 - 1, 54 - 1) = "1", OFFSET($A$1, 2445 - 1, 55 - 1) = "0" ), 2, IF( AND( OFFSET($A$1, 2445 - 1, 54 - 1) = "0", OFFSET($A$1, 2445 - 1, 55 - 1) = "1" ), 3, 4 ) ) )</f>
        <v>1</v>
      </c>
    </row>
    <row r="2446" spans="53:56" x14ac:dyDescent="0.35">
      <c r="BA2446" s="3">
        <v>0.59626131387765169</v>
      </c>
      <c r="BB2446" s="3" t="str">
        <f>"0"</f>
        <v>0</v>
      </c>
      <c r="BC2446" t="str">
        <f ca="1">IF((OFFSET($A$1, 2446 - 1, 53 - 1)) &gt;= (OFFSET($A$1, 69 - 1, 7 - 1)), "1","0")</f>
        <v>1</v>
      </c>
      <c r="BD2446">
        <f ca="1" xml:space="preserve"> IF( AND( OFFSET($A$1, 2446 - 1, 54 - 1) = "1", OFFSET($A$1, 2446 - 1, 55 - 1) = "1" ), 1, IF( AND( OFFSET($A$1, 2446 - 1, 54 - 1) = "1", OFFSET($A$1, 2446 - 1, 55 - 1) = "0" ), 2, IF( AND( OFFSET($A$1, 2446 - 1, 54 - 1) = "0", OFFSET($A$1, 2446 - 1, 55 - 1) = "1" ), 3, 4 ) ) )</f>
        <v>3</v>
      </c>
    </row>
    <row r="2447" spans="53:56" x14ac:dyDescent="0.35">
      <c r="BA2447" s="3">
        <v>0.32042654209951449</v>
      </c>
      <c r="BB2447" s="3" t="str">
        <f>"0"</f>
        <v>0</v>
      </c>
      <c r="BC2447" t="str">
        <f ca="1">IF((OFFSET($A$1, 2447 - 1, 53 - 1)) &gt;= (OFFSET($A$1, 69 - 1, 7 - 1)), "1","0")</f>
        <v>0</v>
      </c>
      <c r="BD2447">
        <f ca="1" xml:space="preserve"> IF( AND( OFFSET($A$1, 2447 - 1, 54 - 1) = "1", OFFSET($A$1, 2447 - 1, 55 - 1) = "1" ), 1, IF( AND( OFFSET($A$1, 2447 - 1, 54 - 1) = "1", OFFSET($A$1, 2447 - 1, 55 - 1) = "0" ), 2, IF( AND( OFFSET($A$1, 2447 - 1, 54 - 1) = "0", OFFSET($A$1, 2447 - 1, 55 - 1) = "1" ), 3, 4 ) ) )</f>
        <v>4</v>
      </c>
    </row>
    <row r="2448" spans="53:56" x14ac:dyDescent="0.35">
      <c r="BA2448" s="3">
        <v>0.31967015258960352</v>
      </c>
      <c r="BB2448" s="3" t="str">
        <f>"0"</f>
        <v>0</v>
      </c>
      <c r="BC2448" t="str">
        <f ca="1">IF((OFFSET($A$1, 2448 - 1, 53 - 1)) &gt;= (OFFSET($A$1, 69 - 1, 7 - 1)), "1","0")</f>
        <v>0</v>
      </c>
      <c r="BD2448">
        <f ca="1" xml:space="preserve"> IF( AND( OFFSET($A$1, 2448 - 1, 54 - 1) = "1", OFFSET($A$1, 2448 - 1, 55 - 1) = "1" ), 1, IF( AND( OFFSET($A$1, 2448 - 1, 54 - 1) = "1", OFFSET($A$1, 2448 - 1, 55 - 1) = "0" ), 2, IF( AND( OFFSET($A$1, 2448 - 1, 54 - 1) = "0", OFFSET($A$1, 2448 - 1, 55 - 1) = "1" ), 3, 4 ) ) )</f>
        <v>4</v>
      </c>
    </row>
    <row r="2449" spans="53:56" x14ac:dyDescent="0.35">
      <c r="BA2449" s="3">
        <v>0.31889571901983083</v>
      </c>
      <c r="BB2449" s="3" t="str">
        <f>"0"</f>
        <v>0</v>
      </c>
      <c r="BC2449" t="str">
        <f ca="1">IF((OFFSET($A$1, 2449 - 1, 53 - 1)) &gt;= (OFFSET($A$1, 69 - 1, 7 - 1)), "1","0")</f>
        <v>0</v>
      </c>
      <c r="BD2449">
        <f ca="1" xml:space="preserve"> IF( AND( OFFSET($A$1, 2449 - 1, 54 - 1) = "1", OFFSET($A$1, 2449 - 1, 55 - 1) = "1" ), 1, IF( AND( OFFSET($A$1, 2449 - 1, 54 - 1) = "1", OFFSET($A$1, 2449 - 1, 55 - 1) = "0" ), 2, IF( AND( OFFSET($A$1, 2449 - 1, 54 - 1) = "0", OFFSET($A$1, 2449 - 1, 55 - 1) = "1" ), 3, 4 ) ) )</f>
        <v>4</v>
      </c>
    </row>
    <row r="2450" spans="53:56" x14ac:dyDescent="0.35">
      <c r="BA2450" s="3">
        <v>0.318103546520771</v>
      </c>
      <c r="BB2450" s="3" t="str">
        <f>"0"</f>
        <v>0</v>
      </c>
      <c r="BC2450" t="str">
        <f ca="1">IF((OFFSET($A$1, 2450 - 1, 53 - 1)) &gt;= (OFFSET($A$1, 69 - 1, 7 - 1)), "1","0")</f>
        <v>0</v>
      </c>
      <c r="BD2450">
        <f ca="1" xml:space="preserve"> IF( AND( OFFSET($A$1, 2450 - 1, 54 - 1) = "1", OFFSET($A$1, 2450 - 1, 55 - 1) = "1" ), 1, IF( AND( OFFSET($A$1, 2450 - 1, 54 - 1) = "1", OFFSET($A$1, 2450 - 1, 55 - 1) = "0" ), 2, IF( AND( OFFSET($A$1, 2450 - 1, 54 - 1) = "0", OFFSET($A$1, 2450 - 1, 55 - 1) = "1" ), 3, 4 ) ) )</f>
        <v>4</v>
      </c>
    </row>
    <row r="2451" spans="53:56" x14ac:dyDescent="0.35">
      <c r="BA2451" s="3">
        <v>0.3172939467471716</v>
      </c>
      <c r="BB2451" s="3" t="str">
        <f>"0"</f>
        <v>0</v>
      </c>
      <c r="BC2451" t="str">
        <f ca="1">IF((OFFSET($A$1, 2451 - 1, 53 - 1)) &gt;= (OFFSET($A$1, 69 - 1, 7 - 1)), "1","0")</f>
        <v>0</v>
      </c>
      <c r="BD2451">
        <f ca="1" xml:space="preserve"> IF( AND( OFFSET($A$1, 2451 - 1, 54 - 1) = "1", OFFSET($A$1, 2451 - 1, 55 - 1) = "1" ), 1, IF( AND( OFFSET($A$1, 2451 - 1, 54 - 1) = "1", OFFSET($A$1, 2451 - 1, 55 - 1) = "0" ), 2, IF( AND( OFFSET($A$1, 2451 - 1, 54 - 1) = "0", OFFSET($A$1, 2451 - 1, 55 - 1) = "1" ), 3, 4 ) ) )</f>
        <v>4</v>
      </c>
    </row>
    <row r="2452" spans="53:56" x14ac:dyDescent="0.35">
      <c r="BA2452" s="3">
        <v>0.31646723771075735</v>
      </c>
      <c r="BB2452" s="3" t="str">
        <f>"0"</f>
        <v>0</v>
      </c>
      <c r="BC2452" t="str">
        <f ca="1">IF((OFFSET($A$1, 2452 - 1, 53 - 1)) &gt;= (OFFSET($A$1, 69 - 1, 7 - 1)), "1","0")</f>
        <v>0</v>
      </c>
      <c r="BD2452">
        <f ca="1" xml:space="preserve"> IF( AND( OFFSET($A$1, 2452 - 1, 54 - 1) = "1", OFFSET($A$1, 2452 - 1, 55 - 1) = "1" ), 1, IF( AND( OFFSET($A$1, 2452 - 1, 54 - 1) = "1", OFFSET($A$1, 2452 - 1, 55 - 1) = "0" ), 2, IF( AND( OFFSET($A$1, 2452 - 1, 54 - 1) = "0", OFFSET($A$1, 2452 - 1, 55 - 1) = "1" ), 3, 4 ) ) )</f>
        <v>4</v>
      </c>
    </row>
    <row r="2453" spans="53:56" x14ac:dyDescent="0.35">
      <c r="BA2453" s="3">
        <v>0.31562374360886536</v>
      </c>
      <c r="BB2453" s="3" t="str">
        <f>"0"</f>
        <v>0</v>
      </c>
      <c r="BC2453" t="str">
        <f ca="1">IF((OFFSET($A$1, 2453 - 1, 53 - 1)) &gt;= (OFFSET($A$1, 69 - 1, 7 - 1)), "1","0")</f>
        <v>0</v>
      </c>
      <c r="BD2453">
        <f ca="1" xml:space="preserve"> IF( AND( OFFSET($A$1, 2453 - 1, 54 - 1) = "1", OFFSET($A$1, 2453 - 1, 55 - 1) = "1" ), 1, IF( AND( OFFSET($A$1, 2453 - 1, 54 - 1) = "1", OFFSET($A$1, 2453 - 1, 55 - 1) = "0" ), 2, IF( AND( OFFSET($A$1, 2453 - 1, 54 - 1) = "0", OFFSET($A$1, 2453 - 1, 55 - 1) = "1" ), 3, 4 ) ) )</f>
        <v>4</v>
      </c>
    </row>
    <row r="2454" spans="53:56" x14ac:dyDescent="0.35">
      <c r="BA2454" s="3">
        <v>0.31476379464899706</v>
      </c>
      <c r="BB2454" s="3" t="str">
        <f>"0"</f>
        <v>0</v>
      </c>
      <c r="BC2454" t="str">
        <f ca="1">IF((OFFSET($A$1, 2454 - 1, 53 - 1)) &gt;= (OFFSET($A$1, 69 - 1, 7 - 1)), "1","0")</f>
        <v>0</v>
      </c>
      <c r="BD2454">
        <f ca="1" xml:space="preserve"> IF( AND( OFFSET($A$1, 2454 - 1, 54 - 1) = "1", OFFSET($A$1, 2454 - 1, 55 - 1) = "1" ), 1, IF( AND( OFFSET($A$1, 2454 - 1, 54 - 1) = "1", OFFSET($A$1, 2454 - 1, 55 - 1) = "0" ), 2, IF( AND( OFFSET($A$1, 2454 - 1, 54 - 1) = "0", OFFSET($A$1, 2454 - 1, 55 - 1) = "1" ), 3, 4 ) ) )</f>
        <v>4</v>
      </c>
    </row>
    <row r="2455" spans="53:56" x14ac:dyDescent="0.35">
      <c r="BA2455" s="3">
        <v>0.31388772686938138</v>
      </c>
      <c r="BB2455" s="3" t="str">
        <f>"1"</f>
        <v>1</v>
      </c>
      <c r="BC2455" t="str">
        <f ca="1">IF((OFFSET($A$1, 2455 - 1, 53 - 1)) &gt;= (OFFSET($A$1, 69 - 1, 7 - 1)), "1","0")</f>
        <v>0</v>
      </c>
      <c r="BD2455">
        <f ca="1" xml:space="preserve"> IF( AND( OFFSET($A$1, 2455 - 1, 54 - 1) = "1", OFFSET($A$1, 2455 - 1, 55 - 1) = "1" ), 1, IF( AND( OFFSET($A$1, 2455 - 1, 54 - 1) = "1", OFFSET($A$1, 2455 - 1, 55 - 1) = "0" ), 2, IF( AND( OFFSET($A$1, 2455 - 1, 54 - 1) = "0", OFFSET($A$1, 2455 - 1, 55 - 1) = "1" ), 3, 4 ) ) )</f>
        <v>2</v>
      </c>
    </row>
    <row r="2456" spans="53:56" x14ac:dyDescent="0.35">
      <c r="BA2456" s="3">
        <v>0.58714754875638087</v>
      </c>
      <c r="BB2456" s="3" t="str">
        <f>"1"</f>
        <v>1</v>
      </c>
      <c r="BC2456" t="str">
        <f ca="1">IF((OFFSET($A$1, 2456 - 1, 53 - 1)) &gt;= (OFFSET($A$1, 69 - 1, 7 - 1)), "1","0")</f>
        <v>1</v>
      </c>
      <c r="BD2456">
        <f ca="1" xml:space="preserve"> IF( AND( OFFSET($A$1, 2456 - 1, 54 - 1) = "1", OFFSET($A$1, 2456 - 1, 55 - 1) = "1" ), 1, IF( AND( OFFSET($A$1, 2456 - 1, 54 - 1) = "1", OFFSET($A$1, 2456 - 1, 55 - 1) = "0" ), 2, IF( AND( OFFSET($A$1, 2456 - 1, 54 - 1) = "0", OFFSET($A$1, 2456 - 1, 55 - 1) = "1" ), 3, 4 ) ) )</f>
        <v>1</v>
      </c>
    </row>
    <row r="2457" spans="53:56" x14ac:dyDescent="0.35">
      <c r="BA2457" s="3">
        <v>0.58612358235957518</v>
      </c>
      <c r="BB2457" s="3" t="str">
        <f>"0"</f>
        <v>0</v>
      </c>
      <c r="BC2457" t="str">
        <f ca="1">IF((OFFSET($A$1, 2457 - 1, 53 - 1)) &gt;= (OFFSET($A$1, 69 - 1, 7 - 1)), "1","0")</f>
        <v>1</v>
      </c>
      <c r="BD2457">
        <f ca="1" xml:space="preserve"> IF( AND( OFFSET($A$1, 2457 - 1, 54 - 1) = "1", OFFSET($A$1, 2457 - 1, 55 - 1) = "1" ), 1, IF( AND( OFFSET($A$1, 2457 - 1, 54 - 1) = "1", OFFSET($A$1, 2457 - 1, 55 - 1) = "0" ), 2, IF( AND( OFFSET($A$1, 2457 - 1, 54 - 1) = "0", OFFSET($A$1, 2457 - 1, 55 - 1) = "1" ), 3, 4 ) ) )</f>
        <v>3</v>
      </c>
    </row>
    <row r="2458" spans="53:56" x14ac:dyDescent="0.35">
      <c r="BA2458" s="3">
        <v>0.31116625457918762</v>
      </c>
      <c r="BB2458" s="3" t="str">
        <f>"0"</f>
        <v>0</v>
      </c>
      <c r="BC2458" t="str">
        <f ca="1">IF((OFFSET($A$1, 2458 - 1, 53 - 1)) &gt;= (OFFSET($A$1, 69 - 1, 7 - 1)), "1","0")</f>
        <v>0</v>
      </c>
      <c r="BD2458">
        <f ca="1" xml:space="preserve"> IF( AND( OFFSET($A$1, 2458 - 1, 54 - 1) = "1", OFFSET($A$1, 2458 - 1, 55 - 1) = "1" ), 1, IF( AND( OFFSET($A$1, 2458 - 1, 54 - 1) = "1", OFFSET($A$1, 2458 - 1, 55 - 1) = "0" ), 2, IF( AND( OFFSET($A$1, 2458 - 1, 54 - 1) = "0", OFFSET($A$1, 2458 - 1, 55 - 1) = "1" ), 3, 4 ) ) )</f>
        <v>4</v>
      </c>
    </row>
    <row r="2459" spans="53:56" x14ac:dyDescent="0.35">
      <c r="BA2459" s="3">
        <v>0.3102291820227448</v>
      </c>
      <c r="BB2459" s="3" t="str">
        <f>"1"</f>
        <v>1</v>
      </c>
      <c r="BC2459" t="str">
        <f ca="1">IF((OFFSET($A$1, 2459 - 1, 53 - 1)) &gt;= (OFFSET($A$1, 69 - 1, 7 - 1)), "1","0")</f>
        <v>0</v>
      </c>
      <c r="BD2459">
        <f ca="1" xml:space="preserve"> IF( AND( OFFSET($A$1, 2459 - 1, 54 - 1) = "1", OFFSET($A$1, 2459 - 1, 55 - 1) = "1" ), 1, IF( AND( OFFSET($A$1, 2459 - 1, 54 - 1) = "1", OFFSET($A$1, 2459 - 1, 55 - 1) = "0" ), 2, IF( AND( OFFSET($A$1, 2459 - 1, 54 - 1) = "0", OFFSET($A$1, 2459 - 1, 55 - 1) = "1" ), 3, 4 ) ) )</f>
        <v>2</v>
      </c>
    </row>
    <row r="2460" spans="53:56" x14ac:dyDescent="0.35">
      <c r="BA2460" s="3">
        <v>0.58293609160571314</v>
      </c>
      <c r="BB2460" s="3" t="str">
        <f>"1"</f>
        <v>1</v>
      </c>
      <c r="BC2460" t="str">
        <f ca="1">IF((OFFSET($A$1, 2460 - 1, 53 - 1)) &gt;= (OFFSET($A$1, 69 - 1, 7 - 1)), "1","0")</f>
        <v>1</v>
      </c>
      <c r="BD2460">
        <f ca="1" xml:space="preserve"> IF( AND( OFFSET($A$1, 2460 - 1, 54 - 1) = "1", OFFSET($A$1, 2460 - 1, 55 - 1) = "1" ), 1, IF( AND( OFFSET($A$1, 2460 - 1, 54 - 1) = "1", OFFSET($A$1, 2460 - 1, 55 - 1) = "0" ), 2, IF( AND( OFFSET($A$1, 2460 - 1, 54 - 1) = "0", OFFSET($A$1, 2460 - 1, 55 - 1) = "1" ), 3, 4 ) ) )</f>
        <v>1</v>
      </c>
    </row>
    <row r="2461" spans="53:56" x14ac:dyDescent="0.35">
      <c r="BA2461" s="3">
        <v>0.58183600828980764</v>
      </c>
      <c r="BB2461" s="3" t="str">
        <f>"0"</f>
        <v>0</v>
      </c>
      <c r="BC2461" t="str">
        <f ca="1">IF((OFFSET($A$1, 2461 - 1, 53 - 1)) &gt;= (OFFSET($A$1, 69 - 1, 7 - 1)), "1","0")</f>
        <v>1</v>
      </c>
      <c r="BD2461">
        <f ca="1" xml:space="preserve"> IF( AND( OFFSET($A$1, 2461 - 1, 54 - 1) = "1", OFFSET($A$1, 2461 - 1, 55 - 1) = "1" ), 1, IF( AND( OFFSET($A$1, 2461 - 1, 54 - 1) = "1", OFFSET($A$1, 2461 - 1, 55 - 1) = "0" ), 2, IF( AND( OFFSET($A$1, 2461 - 1, 54 - 1) = "0", OFFSET($A$1, 2461 - 1, 55 - 1) = "1" ), 3, 4 ) ) )</f>
        <v>3</v>
      </c>
    </row>
    <row r="2462" spans="53:56" x14ac:dyDescent="0.35">
      <c r="BA2462" s="3">
        <v>0.30733329072568055</v>
      </c>
      <c r="BB2462" s="3" t="str">
        <f>"0"</f>
        <v>0</v>
      </c>
      <c r="BC2462" t="str">
        <f ca="1">IF((OFFSET($A$1, 2462 - 1, 53 - 1)) &gt;= (OFFSET($A$1, 69 - 1, 7 - 1)), "1","0")</f>
        <v>0</v>
      </c>
      <c r="BD2462">
        <f ca="1" xml:space="preserve"> IF( AND( OFFSET($A$1, 2462 - 1, 54 - 1) = "1", OFFSET($A$1, 2462 - 1, 55 - 1) = "1" ), 1, IF( AND( OFFSET($A$1, 2462 - 1, 54 - 1) = "1", OFFSET($A$1, 2462 - 1, 55 - 1) = "0" ), 2, IF( AND( OFFSET($A$1, 2462 - 1, 54 - 1) = "0", OFFSET($A$1, 2462 - 1, 55 - 1) = "1" ), 3, 4 ) ) )</f>
        <v>4</v>
      </c>
    </row>
    <row r="2463" spans="53:56" x14ac:dyDescent="0.35">
      <c r="BA2463" s="3">
        <v>0.30634100726979374</v>
      </c>
      <c r="BB2463" s="3" t="str">
        <f>"0"</f>
        <v>0</v>
      </c>
      <c r="BC2463" t="str">
        <f ca="1">IF((OFFSET($A$1, 2463 - 1, 53 - 1)) &gt;= (OFFSET($A$1, 69 - 1, 7 - 1)), "1","0")</f>
        <v>0</v>
      </c>
      <c r="BD2463">
        <f ca="1" xml:space="preserve"> IF( AND( OFFSET($A$1, 2463 - 1, 54 - 1) = "1", OFFSET($A$1, 2463 - 1, 55 - 1) = "1" ), 1, IF( AND( OFFSET($A$1, 2463 - 1, 54 - 1) = "1", OFFSET($A$1, 2463 - 1, 55 - 1) = "0" ), 2, IF( AND( OFFSET($A$1, 2463 - 1, 54 - 1) = "0", OFFSET($A$1, 2463 - 1, 55 - 1) = "1" ), 3, 4 ) ) )</f>
        <v>4</v>
      </c>
    </row>
    <row r="2464" spans="53:56" x14ac:dyDescent="0.35">
      <c r="BA2464" s="3">
        <v>0.30533586028646065</v>
      </c>
      <c r="BB2464" s="3" t="str">
        <f>"0"</f>
        <v>0</v>
      </c>
      <c r="BC2464" t="str">
        <f ca="1">IF((OFFSET($A$1, 2464 - 1, 53 - 1)) &gt;= (OFFSET($A$1, 69 - 1, 7 - 1)), "1","0")</f>
        <v>0</v>
      </c>
      <c r="BD2464">
        <f ca="1" xml:space="preserve"> IF( AND( OFFSET($A$1, 2464 - 1, 54 - 1) = "1", OFFSET($A$1, 2464 - 1, 55 - 1) = "1" ), 1, IF( AND( OFFSET($A$1, 2464 - 1, 54 - 1) = "1", OFFSET($A$1, 2464 - 1, 55 - 1) = "0" ), 2, IF( AND( OFFSET($A$1, 2464 - 1, 54 - 1) = "0", OFFSET($A$1, 2464 - 1, 55 - 1) = "1" ), 3, 4 ) ) )</f>
        <v>4</v>
      </c>
    </row>
    <row r="2465" spans="53:56" x14ac:dyDescent="0.35">
      <c r="BA2465" s="3">
        <v>0.30431823345899756</v>
      </c>
      <c r="BB2465" s="3" t="str">
        <f>"0"</f>
        <v>0</v>
      </c>
      <c r="BC2465" t="str">
        <f ca="1">IF((OFFSET($A$1, 2465 - 1, 53 - 1)) &gt;= (OFFSET($A$1, 69 - 1, 7 - 1)), "1","0")</f>
        <v>0</v>
      </c>
      <c r="BD2465">
        <f ca="1" xml:space="preserve"> IF( AND( OFFSET($A$1, 2465 - 1, 54 - 1) = "1", OFFSET($A$1, 2465 - 1, 55 - 1) = "1" ), 1, IF( AND( OFFSET($A$1, 2465 - 1, 54 - 1) = "1", OFFSET($A$1, 2465 - 1, 55 - 1) = "0" ), 2, IF( AND( OFFSET($A$1, 2465 - 1, 54 - 1) = "0", OFFSET($A$1, 2465 - 1, 55 - 1) = "1" ), 3, 4 ) ) )</f>
        <v>4</v>
      </c>
    </row>
    <row r="2466" spans="53:56" x14ac:dyDescent="0.35">
      <c r="BA2466" s="3">
        <v>0.30328851409974356</v>
      </c>
      <c r="BB2466" s="3" t="str">
        <f>"0"</f>
        <v>0</v>
      </c>
      <c r="BC2466" t="str">
        <f ca="1">IF((OFFSET($A$1, 2466 - 1, 53 - 1)) &gt;= (OFFSET($A$1, 69 - 1, 7 - 1)), "1","0")</f>
        <v>0</v>
      </c>
      <c r="BD2466">
        <f ca="1" xml:space="preserve"> IF( AND( OFFSET($A$1, 2466 - 1, 54 - 1) = "1", OFFSET($A$1, 2466 - 1, 55 - 1) = "1" ), 1, IF( AND( OFFSET($A$1, 2466 - 1, 54 - 1) = "1", OFFSET($A$1, 2466 - 1, 55 - 1) = "0" ), 2, IF( AND( OFFSET($A$1, 2466 - 1, 54 - 1) = "0", OFFSET($A$1, 2466 - 1, 55 - 1) = "1" ), 3, 4 ) ) )</f>
        <v>4</v>
      </c>
    </row>
    <row r="2467" spans="53:56" x14ac:dyDescent="0.35">
      <c r="BA2467" s="3">
        <v>0.30224709293312979</v>
      </c>
      <c r="BB2467" s="3" t="str">
        <f>"0"</f>
        <v>0</v>
      </c>
      <c r="BC2467" t="str">
        <f ca="1">IF((OFFSET($A$1, 2467 - 1, 53 - 1)) &gt;= (OFFSET($A$1, 69 - 1, 7 - 1)), "1","0")</f>
        <v>0</v>
      </c>
      <c r="BD2467">
        <f ca="1" xml:space="preserve"> IF( AND( OFFSET($A$1, 2467 - 1, 54 - 1) = "1", OFFSET($A$1, 2467 - 1, 55 - 1) = "1" ), 1, IF( AND( OFFSET($A$1, 2467 - 1, 54 - 1) = "1", OFFSET($A$1, 2467 - 1, 55 - 1) = "0" ), 2, IF( AND( OFFSET($A$1, 2467 - 1, 54 - 1) = "0", OFFSET($A$1, 2467 - 1, 55 - 1) = "1" ), 3, 4 ) ) )</f>
        <v>4</v>
      </c>
    </row>
    <row r="2468" spans="53:56" x14ac:dyDescent="0.35">
      <c r="BA2468" s="3">
        <v>0.30119436387673393</v>
      </c>
      <c r="BB2468" s="3" t="str">
        <f>"0"</f>
        <v>0</v>
      </c>
      <c r="BC2468" t="str">
        <f ca="1">IF((OFFSET($A$1, 2468 - 1, 53 - 1)) &gt;= (OFFSET($A$1, 69 - 1, 7 - 1)), "1","0")</f>
        <v>0</v>
      </c>
      <c r="BD2468">
        <f ca="1" xml:space="preserve"> IF( AND( OFFSET($A$1, 2468 - 1, 54 - 1) = "1", OFFSET($A$1, 2468 - 1, 55 - 1) = "1" ), 1, IF( AND( OFFSET($A$1, 2468 - 1, 54 - 1) = "1", OFFSET($A$1, 2468 - 1, 55 - 1) = "0" ), 2, IF( AND( OFFSET($A$1, 2468 - 1, 54 - 1) = "0", OFFSET($A$1, 2468 - 1, 55 - 1) = "1" ), 3, 4 ) ) )</f>
        <v>4</v>
      </c>
    </row>
    <row r="2469" spans="53:56" x14ac:dyDescent="0.35">
      <c r="BA2469" s="3">
        <v>0.30013072382050704</v>
      </c>
      <c r="BB2469" s="3" t="str">
        <f>"0"</f>
        <v>0</v>
      </c>
      <c r="BC2469" t="str">
        <f ca="1">IF((OFFSET($A$1, 2469 - 1, 53 - 1)) &gt;= (OFFSET($A$1, 69 - 1, 7 - 1)), "1","0")</f>
        <v>0</v>
      </c>
      <c r="BD2469">
        <f ca="1" xml:space="preserve"> IF( AND( OFFSET($A$1, 2469 - 1, 54 - 1) = "1", OFFSET($A$1, 2469 - 1, 55 - 1) = "1" ), 1, IF( AND( OFFSET($A$1, 2469 - 1, 54 - 1) = "1", OFFSET($A$1, 2469 - 1, 55 - 1) = "0" ), 2, IF( AND( OFFSET($A$1, 2469 - 1, 54 - 1) = "0", OFFSET($A$1, 2469 - 1, 55 - 1) = "1" ), 3, 4 ) ) )</f>
        <v>4</v>
      </c>
    </row>
    <row r="2470" spans="53:56" x14ac:dyDescent="0.35">
      <c r="BA2470" s="3">
        <v>0.29905657240440453</v>
      </c>
      <c r="BB2470" s="3" t="str">
        <f>"1"</f>
        <v>1</v>
      </c>
      <c r="BC2470" t="str">
        <f ca="1">IF((OFFSET($A$1, 2470 - 1, 53 - 1)) &gt;= (OFFSET($A$1, 69 - 1, 7 - 1)), "1","0")</f>
        <v>0</v>
      </c>
      <c r="BD2470">
        <f ca="1" xml:space="preserve"> IF( AND( OFFSET($A$1, 2470 - 1, 54 - 1) = "1", OFFSET($A$1, 2470 - 1, 55 - 1) = "1" ), 1, IF( AND( OFFSET($A$1, 2470 - 1, 54 - 1) = "1", OFFSET($A$1, 2470 - 1, 55 - 1) = "0" ), 2, IF( AND( OFFSET($A$1, 2470 - 1, 54 - 1) = "0", OFFSET($A$1, 2470 - 1, 55 - 1) = "1" ), 3, 4 ) ) )</f>
        <v>2</v>
      </c>
    </row>
    <row r="2471" spans="53:56" x14ac:dyDescent="0.35">
      <c r="BA2471" s="3">
        <v>0.56988055990501008</v>
      </c>
      <c r="BB2471" s="3" t="str">
        <f>"0"</f>
        <v>0</v>
      </c>
      <c r="BC2471" t="str">
        <f ca="1">IF((OFFSET($A$1, 2471 - 1, 53 - 1)) &gt;= (OFFSET($A$1, 69 - 1, 7 - 1)), "1","0")</f>
        <v>1</v>
      </c>
      <c r="BD2471">
        <f ca="1" xml:space="preserve"> IF( AND( OFFSET($A$1, 2471 - 1, 54 - 1) = "1", OFFSET($A$1, 2471 - 1, 55 - 1) = "1" ), 1, IF( AND( OFFSET($A$1, 2471 - 1, 54 - 1) = "1", OFFSET($A$1, 2471 - 1, 55 - 1) = "0" ), 2, IF( AND( OFFSET($A$1, 2471 - 1, 54 - 1) = "0", OFFSET($A$1, 2471 - 1, 55 - 1) = "1" ), 3, 4 ) ) )</f>
        <v>3</v>
      </c>
    </row>
    <row r="2472" spans="53:56" x14ac:dyDescent="0.35">
      <c r="BA2472" s="3">
        <v>0.29687834645865147</v>
      </c>
      <c r="BB2472" s="3" t="str">
        <f>"0"</f>
        <v>0</v>
      </c>
      <c r="BC2472" t="str">
        <f ca="1">IF((OFFSET($A$1, 2472 - 1, 53 - 1)) &gt;= (OFFSET($A$1, 69 - 1, 7 - 1)), "1","0")</f>
        <v>0</v>
      </c>
      <c r="BD2472">
        <f ca="1" xml:space="preserve"> IF( AND( OFFSET($A$1, 2472 - 1, 54 - 1) = "1", OFFSET($A$1, 2472 - 1, 55 - 1) = "1" ), 1, IF( AND( OFFSET($A$1, 2472 - 1, 54 - 1) = "1", OFFSET($A$1, 2472 - 1, 55 - 1) = "0" ), 2, IF( AND( OFFSET($A$1, 2472 - 1, 54 - 1) = "0", OFFSET($A$1, 2472 - 1, 55 - 1) = "1" ), 3, 4 ) ) )</f>
        <v>4</v>
      </c>
    </row>
    <row r="2473" spans="53:56" x14ac:dyDescent="0.35">
      <c r="BA2473" s="3">
        <v>0.29577508293943</v>
      </c>
      <c r="BB2473" s="3" t="str">
        <f>"1"</f>
        <v>1</v>
      </c>
      <c r="BC2473" t="str">
        <f ca="1">IF((OFFSET($A$1, 2473 - 1, 53 - 1)) &gt;= (OFFSET($A$1, 69 - 1, 7 - 1)), "1","0")</f>
        <v>0</v>
      </c>
      <c r="BD2473">
        <f ca="1" xml:space="preserve"> IF( AND( OFFSET($A$1, 2473 - 1, 54 - 1) = "1", OFFSET($A$1, 2473 - 1, 55 - 1) = "1" ), 1, IF( AND( OFFSET($A$1, 2473 - 1, 54 - 1) = "1", OFFSET($A$1, 2473 - 1, 55 - 1) = "0" ), 2, IF( AND( OFFSET($A$1, 2473 - 1, 54 - 1) = "0", OFFSET($A$1, 2473 - 1, 55 - 1) = "1" ), 3, 4 ) ) )</f>
        <v>2</v>
      </c>
    </row>
    <row r="2474" spans="53:56" x14ac:dyDescent="0.35">
      <c r="BA2474" s="3">
        <v>0.56598596837614279</v>
      </c>
      <c r="BB2474" s="3" t="str">
        <f>"0"</f>
        <v>0</v>
      </c>
      <c r="BC2474" t="str">
        <f ca="1">IF((OFFSET($A$1, 2474 - 1, 53 - 1)) &gt;= (OFFSET($A$1, 69 - 1, 7 - 1)), "1","0")</f>
        <v>1</v>
      </c>
      <c r="BD2474">
        <f ca="1" xml:space="preserve"> IF( AND( OFFSET($A$1, 2474 - 1, 54 - 1) = "1", OFFSET($A$1, 2474 - 1, 55 - 1) = "1" ), 1, IF( AND( OFFSET($A$1, 2474 - 1, 54 - 1) = "1", OFFSET($A$1, 2474 - 1, 55 - 1) = "0" ), 2, IF( AND( OFFSET($A$1, 2474 - 1, 54 - 1) = "0", OFFSET($A$1, 2474 - 1, 55 - 1) = "1" ), 3, 4 ) ) )</f>
        <v>3</v>
      </c>
    </row>
    <row r="2475" spans="53:56" x14ac:dyDescent="0.35">
      <c r="BA2475" s="3">
        <v>0.29354229654012665</v>
      </c>
      <c r="BB2475" s="3" t="str">
        <f>"0"</f>
        <v>0</v>
      </c>
      <c r="BC2475" t="str">
        <f ca="1">IF((OFFSET($A$1, 2475 - 1, 53 - 1)) &gt;= (OFFSET($A$1, 69 - 1, 7 - 1)), "1","0")</f>
        <v>0</v>
      </c>
      <c r="BD2475">
        <f ca="1" xml:space="preserve"> IF( AND( OFFSET($A$1, 2475 - 1, 54 - 1) = "1", OFFSET($A$1, 2475 - 1, 55 - 1) = "1" ), 1, IF( AND( OFFSET($A$1, 2475 - 1, 54 - 1) = "1", OFFSET($A$1, 2475 - 1, 55 - 1) = "0" ), 2, IF( AND( OFFSET($A$1, 2475 - 1, 54 - 1) = "0", OFFSET($A$1, 2475 - 1, 55 - 1) = "1" ), 3, 4 ) ) )</f>
        <v>4</v>
      </c>
    </row>
    <row r="2476" spans="53:56" x14ac:dyDescent="0.35">
      <c r="BA2476" s="3">
        <v>0.29241359508167525</v>
      </c>
      <c r="BB2476" s="3" t="str">
        <f>"0"</f>
        <v>0</v>
      </c>
      <c r="BC2476" t="str">
        <f ca="1">IF((OFFSET($A$1, 2476 - 1, 53 - 1)) &gt;= (OFFSET($A$1, 69 - 1, 7 - 1)), "1","0")</f>
        <v>0</v>
      </c>
      <c r="BD2476">
        <f ca="1" xml:space="preserve"> IF( AND( OFFSET($A$1, 2476 - 1, 54 - 1) = "1", OFFSET($A$1, 2476 - 1, 55 - 1) = "1" ), 1, IF( AND( OFFSET($A$1, 2476 - 1, 54 - 1) = "1", OFFSET($A$1, 2476 - 1, 55 - 1) = "0" ), 2, IF( AND( OFFSET($A$1, 2476 - 1, 54 - 1) = "0", OFFSET($A$1, 2476 - 1, 55 - 1) = "1" ), 3, 4 ) ) )</f>
        <v>4</v>
      </c>
    </row>
    <row r="2477" spans="53:56" x14ac:dyDescent="0.35">
      <c r="BA2477" s="3">
        <v>0.29127723782865833</v>
      </c>
      <c r="BB2477" s="3" t="str">
        <f>"0"</f>
        <v>0</v>
      </c>
      <c r="BC2477" t="str">
        <f ca="1">IF((OFFSET($A$1, 2477 - 1, 53 - 1)) &gt;= (OFFSET($A$1, 69 - 1, 7 - 1)), "1","0")</f>
        <v>0</v>
      </c>
      <c r="BD2477">
        <f ca="1" xml:space="preserve"> IF( AND( OFFSET($A$1, 2477 - 1, 54 - 1) = "1", OFFSET($A$1, 2477 - 1, 55 - 1) = "1" ), 1, IF( AND( OFFSET($A$1, 2477 - 1, 54 - 1) = "1", OFFSET($A$1, 2477 - 1, 55 - 1) = "0" ), 2, IF( AND( OFFSET($A$1, 2477 - 1, 54 - 1) = "0", OFFSET($A$1, 2477 - 1, 55 - 1) = "1" ), 3, 4 ) ) )</f>
        <v>4</v>
      </c>
    </row>
    <row r="2478" spans="53:56" x14ac:dyDescent="0.35">
      <c r="BA2478" s="3">
        <v>0.29013363829654237</v>
      </c>
      <c r="BB2478" s="3" t="str">
        <f>"0"</f>
        <v>0</v>
      </c>
      <c r="BC2478" t="str">
        <f ca="1">IF((OFFSET($A$1, 2478 - 1, 53 - 1)) &gt;= (OFFSET($A$1, 69 - 1, 7 - 1)), "1","0")</f>
        <v>0</v>
      </c>
      <c r="BD2478">
        <f ca="1" xml:space="preserve"> IF( AND( OFFSET($A$1, 2478 - 1, 54 - 1) = "1", OFFSET($A$1, 2478 - 1, 55 - 1) = "1" ), 1, IF( AND( OFFSET($A$1, 2478 - 1, 54 - 1) = "1", OFFSET($A$1, 2478 - 1, 55 - 1) = "0" ), 2, IF( AND( OFFSET($A$1, 2478 - 1, 54 - 1) = "0", OFFSET($A$1, 2478 - 1, 55 - 1) = "1" ), 3, 4 ) ) )</f>
        <v>4</v>
      </c>
    </row>
    <row r="2479" spans="53:56" x14ac:dyDescent="0.35">
      <c r="BA2479" s="3">
        <v>0.28898321071445665</v>
      </c>
      <c r="BB2479" s="3" t="str">
        <f>"0"</f>
        <v>0</v>
      </c>
      <c r="BC2479" t="str">
        <f ca="1">IF((OFFSET($A$1, 2479 - 1, 53 - 1)) &gt;= (OFFSET($A$1, 69 - 1, 7 - 1)), "1","0")</f>
        <v>0</v>
      </c>
      <c r="BD2479">
        <f ca="1" xml:space="preserve"> IF( AND( OFFSET($A$1, 2479 - 1, 54 - 1) = "1", OFFSET($A$1, 2479 - 1, 55 - 1) = "1" ), 1, IF( AND( OFFSET($A$1, 2479 - 1, 54 - 1) = "1", OFFSET($A$1, 2479 - 1, 55 - 1) = "0" ), 2, IF( AND( OFFSET($A$1, 2479 - 1, 54 - 1) = "0", OFFSET($A$1, 2479 - 1, 55 - 1) = "1" ), 3, 4 ) ) )</f>
        <v>4</v>
      </c>
    </row>
    <row r="2480" spans="53:56" x14ac:dyDescent="0.35">
      <c r="BA2480" s="3">
        <v>0.28782636979941884</v>
      </c>
      <c r="BB2480" s="3" t="str">
        <f>"0"</f>
        <v>0</v>
      </c>
      <c r="BC2480" t="str">
        <f ca="1">IF((OFFSET($A$1, 2480 - 1, 53 - 1)) &gt;= (OFFSET($A$1, 69 - 1, 7 - 1)), "1","0")</f>
        <v>0</v>
      </c>
      <c r="BD2480">
        <f ca="1" xml:space="preserve"> IF( AND( OFFSET($A$1, 2480 - 1, 54 - 1) = "1", OFFSET($A$1, 2480 - 1, 55 - 1) = "1" ), 1, IF( AND( OFFSET($A$1, 2480 - 1, 54 - 1) = "1", OFFSET($A$1, 2480 - 1, 55 - 1) = "0" ), 2, IF( AND( OFFSET($A$1, 2480 - 1, 54 - 1) = "0", OFFSET($A$1, 2480 - 1, 55 - 1) = "1" ), 3, 4 ) ) )</f>
        <v>4</v>
      </c>
    </row>
    <row r="2481" spans="53:56" x14ac:dyDescent="0.35">
      <c r="BA2481" s="3">
        <v>0.28666353053156785</v>
      </c>
      <c r="BB2481" s="3" t="str">
        <f>"0"</f>
        <v>0</v>
      </c>
      <c r="BC2481" t="str">
        <f ca="1">IF((OFFSET($A$1, 2481 - 1, 53 - 1)) &gt;= (OFFSET($A$1, 69 - 1, 7 - 1)), "1","0")</f>
        <v>0</v>
      </c>
      <c r="BD2481">
        <f ca="1" xml:space="preserve"> IF( AND( OFFSET($A$1, 2481 - 1, 54 - 1) = "1", OFFSET($A$1, 2481 - 1, 55 - 1) = "1" ), 1, IF( AND( OFFSET($A$1, 2481 - 1, 54 - 1) = "1", OFFSET($A$1, 2481 - 1, 55 - 1) = "0" ), 2, IF( AND( OFFSET($A$1, 2481 - 1, 54 - 1) = "0", OFFSET($A$1, 2481 - 1, 55 - 1) = "1" ), 3, 4 ) ) )</f>
        <v>4</v>
      </c>
    </row>
    <row r="2482" spans="53:56" x14ac:dyDescent="0.35">
      <c r="BA2482" s="3">
        <v>0.28549510793064653</v>
      </c>
      <c r="BB2482" s="3" t="str">
        <f>"0"</f>
        <v>0</v>
      </c>
      <c r="BC2482" t="str">
        <f ca="1">IF((OFFSET($A$1, 2482 - 1, 53 - 1)) &gt;= (OFFSET($A$1, 69 - 1, 7 - 1)), "1","0")</f>
        <v>0</v>
      </c>
      <c r="BD2482">
        <f ca="1" xml:space="preserve"> IF( AND( OFFSET($A$1, 2482 - 1, 54 - 1) = "1", OFFSET($A$1, 2482 - 1, 55 - 1) = "1" ), 1, IF( AND( OFFSET($A$1, 2482 - 1, 54 - 1) = "1", OFFSET($A$1, 2482 - 1, 55 - 1) = "0" ), 2, IF( AND( OFFSET($A$1, 2482 - 1, 54 - 1) = "0", OFFSET($A$1, 2482 - 1, 55 - 1) = "1" ), 3, 4 ) ) )</f>
        <v>4</v>
      </c>
    </row>
    <row r="2483" spans="53:56" x14ac:dyDescent="0.35">
      <c r="BA2483" s="3">
        <v>0.2843215168339906</v>
      </c>
      <c r="BB2483" s="3" t="str">
        <f>"1"</f>
        <v>1</v>
      </c>
      <c r="BC2483" t="str">
        <f ca="1">IF((OFFSET($A$1, 2483 - 1, 53 - 1)) &gt;= (OFFSET($A$1, 69 - 1, 7 - 1)), "1","0")</f>
        <v>0</v>
      </c>
      <c r="BD2483">
        <f ca="1" xml:space="preserve"> IF( AND( OFFSET($A$1, 2483 - 1, 54 - 1) = "1", OFFSET($A$1, 2483 - 1, 55 - 1) = "1" ), 1, IF( AND( OFFSET($A$1, 2483 - 1, 54 - 1) = "1", OFFSET($A$1, 2483 - 1, 55 - 1) = "0" ), 2, IF( AND( OFFSET($A$1, 2483 - 1, 54 - 1) = "0", OFFSET($A$1, 2483 - 1, 55 - 1) = "1" ), 3, 4 ) ) )</f>
        <v>2</v>
      </c>
    </row>
    <row r="2484" spans="53:56" x14ac:dyDescent="0.35">
      <c r="BA2484" s="3">
        <v>0.55216267987972756</v>
      </c>
      <c r="BB2484" s="3" t="str">
        <f>"1"</f>
        <v>1</v>
      </c>
      <c r="BC2484" t="str">
        <f ca="1">IF((OFFSET($A$1, 2484 - 1, 53 - 1)) &gt;= (OFFSET($A$1, 69 - 1, 7 - 1)), "1","0")</f>
        <v>1</v>
      </c>
      <c r="BD2484">
        <f ca="1" xml:space="preserve"> IF( AND( OFFSET($A$1, 2484 - 1, 54 - 1) = "1", OFFSET($A$1, 2484 - 1, 55 - 1) = "1" ), 1, IF( AND( OFFSET($A$1, 2484 - 1, 54 - 1) = "1", OFFSET($A$1, 2484 - 1, 55 - 1) = "0" ), 2, IF( AND( OFFSET($A$1, 2484 - 1, 54 - 1) = "0", OFFSET($A$1, 2484 - 1, 55 - 1) = "1" ), 3, 4 ) ) )</f>
        <v>1</v>
      </c>
    </row>
    <row r="2485" spans="53:56" x14ac:dyDescent="0.35">
      <c r="BA2485" s="3">
        <v>0.55071957015899309</v>
      </c>
      <c r="BB2485" s="3" t="str">
        <f>"0"</f>
        <v>0</v>
      </c>
      <c r="BC2485" t="str">
        <f ca="1">IF((OFFSET($A$1, 2485 - 1, 53 - 1)) &gt;= (OFFSET($A$1, 69 - 1, 7 - 1)), "1","0")</f>
        <v>1</v>
      </c>
      <c r="BD2485">
        <f ca="1" xml:space="preserve"> IF( AND( OFFSET($A$1, 2485 - 1, 54 - 1) = "1", OFFSET($A$1, 2485 - 1, 55 - 1) = "1" ), 1, IF( AND( OFFSET($A$1, 2485 - 1, 54 - 1) = "1", OFFSET($A$1, 2485 - 1, 55 - 1) = "0" ), 2, IF( AND( OFFSET($A$1, 2485 - 1, 54 - 1) = "0", OFFSET($A$1, 2485 - 1, 55 - 1) = "1" ), 3, 4 ) ) )</f>
        <v>3</v>
      </c>
    </row>
    <row r="2486" spans="53:56" x14ac:dyDescent="0.35">
      <c r="BA2486" s="3">
        <v>0.2807738735957534</v>
      </c>
      <c r="BB2486" s="3" t="str">
        <f>"1"</f>
        <v>1</v>
      </c>
      <c r="BC2486" t="str">
        <f ca="1">IF((OFFSET($A$1, 2486 - 1, 53 - 1)) &gt;= (OFFSET($A$1, 69 - 1, 7 - 1)), "1","0")</f>
        <v>0</v>
      </c>
      <c r="BD2486">
        <f ca="1" xml:space="preserve"> IF( AND( OFFSET($A$1, 2486 - 1, 54 - 1) = "1", OFFSET($A$1, 2486 - 1, 55 - 1) = "1" ), 1, IF( AND( OFFSET($A$1, 2486 - 1, 54 - 1) = "1", OFFSET($A$1, 2486 - 1, 55 - 1) = "0" ), 2, IF( AND( OFFSET($A$1, 2486 - 1, 54 - 1) = "0", OFFSET($A$1, 2486 - 1, 55 - 1) = "1" ), 3, 4 ) ) )</f>
        <v>2</v>
      </c>
    </row>
    <row r="2487" spans="53:56" x14ac:dyDescent="0.35">
      <c r="BA2487" s="3">
        <v>0.54780573075355399</v>
      </c>
      <c r="BB2487" s="3" t="str">
        <f>"1"</f>
        <v>1</v>
      </c>
      <c r="BC2487" t="str">
        <f ca="1">IF((OFFSET($A$1, 2487 - 1, 53 - 1)) &gt;= (OFFSET($A$1, 69 - 1, 7 - 1)), "1","0")</f>
        <v>1</v>
      </c>
      <c r="BD2487">
        <f ca="1" xml:space="preserve"> IF( AND( OFFSET($A$1, 2487 - 1, 54 - 1) = "1", OFFSET($A$1, 2487 - 1, 55 - 1) = "1" ), 1, IF( AND( OFFSET($A$1, 2487 - 1, 54 - 1) = "1", OFFSET($A$1, 2487 - 1, 55 - 1) = "0" ), 2, IF( AND( OFFSET($A$1, 2487 - 1, 54 - 1) = "0", OFFSET($A$1, 2487 - 1, 55 - 1) = "1" ), 3, 4 ) ) )</f>
        <v>1</v>
      </c>
    </row>
    <row r="2488" spans="53:56" x14ac:dyDescent="0.35">
      <c r="BA2488" s="3">
        <v>0.54633588421990664</v>
      </c>
      <c r="BB2488" s="3" t="str">
        <f>"0"</f>
        <v>0</v>
      </c>
      <c r="BC2488" t="str">
        <f ca="1">IF((OFFSET($A$1, 2488 - 1, 53 - 1)) &gt;= (OFFSET($A$1, 69 - 1, 7 - 1)), "1","0")</f>
        <v>1</v>
      </c>
      <c r="BD2488">
        <f ca="1" xml:space="preserve"> IF( AND( OFFSET($A$1, 2488 - 1, 54 - 1) = "1", OFFSET($A$1, 2488 - 1, 55 - 1) = "1" ), 1, IF( AND( OFFSET($A$1, 2488 - 1, 54 - 1) = "1", OFFSET($A$1, 2488 - 1, 55 - 1) = "0" ), 2, IF( AND( OFFSET($A$1, 2488 - 1, 54 - 1) = "0", OFFSET($A$1, 2488 - 1, 55 - 1) = "1" ), 3, 4 ) ) )</f>
        <v>3</v>
      </c>
    </row>
    <row r="2489" spans="53:56" x14ac:dyDescent="0.35">
      <c r="BA2489" s="3">
        <v>0.27719458469669439</v>
      </c>
      <c r="BB2489" s="3" t="str">
        <f>"0"</f>
        <v>0</v>
      </c>
      <c r="BC2489" t="str">
        <f ca="1">IF((OFFSET($A$1, 2489 - 1, 53 - 1)) &gt;= (OFFSET($A$1, 69 - 1, 7 - 1)), "1","0")</f>
        <v>0</v>
      </c>
      <c r="BD2489">
        <f ca="1" xml:space="preserve"> IF( AND( OFFSET($A$1, 2489 - 1, 54 - 1) = "1", OFFSET($A$1, 2489 - 1, 55 - 1) = "1" ), 1, IF( AND( OFFSET($A$1, 2489 - 1, 54 - 1) = "1", OFFSET($A$1, 2489 - 1, 55 - 1) = "0" ), 2, IF( AND( OFFSET($A$1, 2489 - 1, 54 - 1) = "0", OFFSET($A$1, 2489 - 1, 55 - 1) = "1" ), 3, 4 ) ) )</f>
        <v>4</v>
      </c>
    </row>
    <row r="2490" spans="53:56" x14ac:dyDescent="0.35">
      <c r="BA2490" s="3">
        <v>0.27599636855554305</v>
      </c>
      <c r="BB2490" s="3" t="str">
        <f>"1"</f>
        <v>1</v>
      </c>
      <c r="BC2490" t="str">
        <f ca="1">IF((OFFSET($A$1, 2490 - 1, 53 - 1)) &gt;= (OFFSET($A$1, 69 - 1, 7 - 1)), "1","0")</f>
        <v>0</v>
      </c>
      <c r="BD2490">
        <f ca="1" xml:space="preserve"> IF( AND( OFFSET($A$1, 2490 - 1, 54 - 1) = "1", OFFSET($A$1, 2490 - 1, 55 - 1) = "1" ), 1, IF( AND( OFFSET($A$1, 2490 - 1, 54 - 1) = "1", OFFSET($A$1, 2490 - 1, 55 - 1) = "0" ), 2, IF( AND( OFFSET($A$1, 2490 - 1, 54 - 1) = "0", OFFSET($A$1, 2490 - 1, 55 - 1) = "1" ), 3, 4 ) ) )</f>
        <v>2</v>
      </c>
    </row>
    <row r="2491" spans="53:56" x14ac:dyDescent="0.35">
      <c r="BA2491" s="3">
        <v>0.54188002041933381</v>
      </c>
      <c r="BB2491" s="3" t="str">
        <f>"1"</f>
        <v>1</v>
      </c>
      <c r="BC2491" t="str">
        <f ca="1">IF((OFFSET($A$1, 2491 - 1, 53 - 1)) &gt;= (OFFSET($A$1, 69 - 1, 7 - 1)), "1","0")</f>
        <v>1</v>
      </c>
      <c r="BD2491">
        <f ca="1" xml:space="preserve"> IF( AND( OFFSET($A$1, 2491 - 1, 54 - 1) = "1", OFFSET($A$1, 2491 - 1, 55 - 1) = "1" ), 1, IF( AND( OFFSET($A$1, 2491 - 1, 54 - 1) = "1", OFFSET($A$1, 2491 - 1, 55 - 1) = "0" ), 2, IF( AND( OFFSET($A$1, 2491 - 1, 54 - 1) = "0", OFFSET($A$1, 2491 - 1, 55 - 1) = "1" ), 3, 4 ) ) )</f>
        <v>1</v>
      </c>
    </row>
    <row r="2492" spans="53:56" x14ac:dyDescent="0.35">
      <c r="BA2492" s="3">
        <v>0.54038080815397593</v>
      </c>
      <c r="BB2492" s="3" t="str">
        <f>"0"</f>
        <v>0</v>
      </c>
      <c r="BC2492" t="str">
        <f ca="1">IF((OFFSET($A$1, 2492 - 1, 53 - 1)) &gt;= (OFFSET($A$1, 69 - 1, 7 - 1)), "1","0")</f>
        <v>1</v>
      </c>
      <c r="BD2492">
        <f ca="1" xml:space="preserve"> IF( AND( OFFSET($A$1, 2492 - 1, 54 - 1) = "1", OFFSET($A$1, 2492 - 1, 55 - 1) = "1" ), 1, IF( AND( OFFSET($A$1, 2492 - 1, 54 - 1) = "1", OFFSET($A$1, 2492 - 1, 55 - 1) = "0" ), 2, IF( AND( OFFSET($A$1, 2492 - 1, 54 - 1) = "0", OFFSET($A$1, 2492 - 1, 55 - 1) = "1" ), 3, 4 ) ) )</f>
        <v>3</v>
      </c>
    </row>
    <row r="2493" spans="53:56" x14ac:dyDescent="0.35">
      <c r="BA2493" s="3">
        <v>0.27239203829482406</v>
      </c>
      <c r="BB2493" s="3" t="str">
        <f>"1"</f>
        <v>1</v>
      </c>
      <c r="BC2493" t="str">
        <f ca="1">IF((OFFSET($A$1, 2493 - 1, 53 - 1)) &gt;= (OFFSET($A$1, 69 - 1, 7 - 1)), "1","0")</f>
        <v>0</v>
      </c>
      <c r="BD2493">
        <f ca="1" xml:space="preserve"> IF( AND( OFFSET($A$1, 2493 - 1, 54 - 1) = "1", OFFSET($A$1, 2493 - 1, 55 - 1) = "1" ), 1, IF( AND( OFFSET($A$1, 2493 - 1, 54 - 1) = "1", OFFSET($A$1, 2493 - 1, 55 - 1) = "0" ), 2, IF( AND( OFFSET($A$1, 2493 - 1, 54 - 1) = "0", OFFSET($A$1, 2493 - 1, 55 - 1) = "1" ), 3, 4 ) ) )</f>
        <v>2</v>
      </c>
    </row>
    <row r="2494" spans="53:56" x14ac:dyDescent="0.35">
      <c r="BA2494" s="3">
        <v>0.53736426354439282</v>
      </c>
      <c r="BB2494" s="3" t="str">
        <f>"1"</f>
        <v>1</v>
      </c>
      <c r="BC2494" t="str">
        <f ca="1">IF((OFFSET($A$1, 2494 - 1, 53 - 1)) &gt;= (OFFSET($A$1, 69 - 1, 7 - 1)), "1","0")</f>
        <v>1</v>
      </c>
      <c r="BD2494">
        <f ca="1" xml:space="preserve"> IF( AND( OFFSET($A$1, 2494 - 1, 54 - 1) = "1", OFFSET($A$1, 2494 - 1, 55 - 1) = "1" ), 1, IF( AND( OFFSET($A$1, 2494 - 1, 54 - 1) = "1", OFFSET($A$1, 2494 - 1, 55 - 1) = "0" ), 2, IF( AND( OFFSET($A$1, 2494 - 1, 54 - 1) = "0", OFFSET($A$1, 2494 - 1, 55 - 1) = "1" ), 3, 4 ) ) )</f>
        <v>1</v>
      </c>
    </row>
    <row r="2495" spans="53:56" x14ac:dyDescent="0.35">
      <c r="BA2495" s="3">
        <v>0.53584786417145336</v>
      </c>
      <c r="BB2495" s="3" t="str">
        <f>"0"</f>
        <v>0</v>
      </c>
      <c r="BC2495" t="str">
        <f ca="1">IF((OFFSET($A$1, 2495 - 1, 53 - 1)) &gt;= (OFFSET($A$1, 69 - 1, 7 - 1)), "1","0")</f>
        <v>1</v>
      </c>
      <c r="BD2495">
        <f ca="1" xml:space="preserve"> IF( AND( OFFSET($A$1, 2495 - 1, 54 - 1) = "1", OFFSET($A$1, 2495 - 1, 55 - 1) = "1" ), 1, IF( AND( OFFSET($A$1, 2495 - 1, 54 - 1) = "1", OFFSET($A$1, 2495 - 1, 55 - 1) = "0" ), 2, IF( AND( OFFSET($A$1, 2495 - 1, 54 - 1) = "0", OFFSET($A$1, 2495 - 1, 55 - 1) = "1" ), 3, 4 ) ) )</f>
        <v>3</v>
      </c>
    </row>
    <row r="2496" spans="53:56" x14ac:dyDescent="0.35">
      <c r="BA2496" s="3">
        <v>0.2687815850371939</v>
      </c>
      <c r="BB2496" s="3" t="str">
        <f>"0"</f>
        <v>0</v>
      </c>
      <c r="BC2496" t="str">
        <f ca="1">IF((OFFSET($A$1, 2496 - 1, 53 - 1)) &gt;= (OFFSET($A$1, 69 - 1, 7 - 1)), "1","0")</f>
        <v>0</v>
      </c>
      <c r="BD2496">
        <f ca="1" xml:space="preserve"> IF( AND( OFFSET($A$1, 2496 - 1, 54 - 1) = "1", OFFSET($A$1, 2496 - 1, 55 - 1) = "1" ), 1, IF( AND( OFFSET($A$1, 2496 - 1, 54 - 1) = "1", OFFSET($A$1, 2496 - 1, 55 - 1) = "0" ), 2, IF( AND( OFFSET($A$1, 2496 - 1, 54 - 1) = "0", OFFSET($A$1, 2496 - 1, 55 - 1) = "1" ), 3, 4 ) ) )</f>
        <v>4</v>
      </c>
    </row>
    <row r="2497" spans="53:56" x14ac:dyDescent="0.35">
      <c r="BA2497" s="3">
        <v>0.26757858194576239</v>
      </c>
      <c r="BB2497" s="3" t="str">
        <f>"0"</f>
        <v>0</v>
      </c>
      <c r="BC2497" t="str">
        <f ca="1">IF((OFFSET($A$1, 2497 - 1, 53 - 1)) &gt;= (OFFSET($A$1, 69 - 1, 7 - 1)), "1","0")</f>
        <v>0</v>
      </c>
      <c r="BD2497">
        <f ca="1" xml:space="preserve"> IF( AND( OFFSET($A$1, 2497 - 1, 54 - 1) = "1", OFFSET($A$1, 2497 - 1, 55 - 1) = "1" ), 1, IF( AND( OFFSET($A$1, 2497 - 1, 54 - 1) = "1", OFFSET($A$1, 2497 - 1, 55 - 1) = "0" ), 2, IF( AND( OFFSET($A$1, 2497 - 1, 54 - 1) = "0", OFFSET($A$1, 2497 - 1, 55 - 1) = "1" ), 3, 4 ) ) )</f>
        <v>4</v>
      </c>
    </row>
    <row r="2498" spans="53:56" x14ac:dyDescent="0.35">
      <c r="BA2498" s="3">
        <v>0.26637646750558114</v>
      </c>
      <c r="BB2498" s="3" t="str">
        <f>"1"</f>
        <v>1</v>
      </c>
      <c r="BC2498" t="str">
        <f ca="1">IF((OFFSET($A$1, 2498 - 1, 53 - 1)) &gt;= (OFFSET($A$1, 69 - 1, 7 - 1)), "1","0")</f>
        <v>0</v>
      </c>
      <c r="BD2498">
        <f ca="1" xml:space="preserve"> IF( AND( OFFSET($A$1, 2498 - 1, 54 - 1) = "1", OFFSET($A$1, 2498 - 1, 55 - 1) = "1" ), 1, IF( AND( OFFSET($A$1, 2498 - 1, 54 - 1) = "1", OFFSET($A$1, 2498 - 1, 55 - 1) = "0" ), 2, IF( AND( OFFSET($A$1, 2498 - 1, 54 - 1) = "0", OFFSET($A$1, 2498 - 1, 55 - 1) = "1" ), 3, 4 ) ) )</f>
        <v>2</v>
      </c>
    </row>
    <row r="2499" spans="53:56" x14ac:dyDescent="0.35">
      <c r="BA2499" s="3">
        <v>0.52973909493902738</v>
      </c>
      <c r="BB2499" s="3" t="str">
        <f>"1"</f>
        <v>1</v>
      </c>
      <c r="BC2499" t="str">
        <f ca="1">IF((OFFSET($A$1, 2499 - 1, 53 - 1)) &gt;= (OFFSET($A$1, 69 - 1, 7 - 1)), "1","0")</f>
        <v>1</v>
      </c>
      <c r="BD2499">
        <f ca="1" xml:space="preserve"> IF( AND( OFFSET($A$1, 2499 - 1, 54 - 1) = "1", OFFSET($A$1, 2499 - 1, 55 - 1) = "1" ), 1, IF( AND( OFFSET($A$1, 2499 - 1, 54 - 1) = "1", OFFSET($A$1, 2499 - 1, 55 - 1) = "0" ), 2, IF( AND( OFFSET($A$1, 2499 - 1, 54 - 1) = "0", OFFSET($A$1, 2499 - 1, 55 - 1) = "1" ), 3, 4 ) ) )</f>
        <v>1</v>
      </c>
    </row>
    <row r="2500" spans="53:56" x14ac:dyDescent="0.35">
      <c r="BA2500" s="3">
        <v>0.52820349158930668</v>
      </c>
      <c r="BB2500" s="3" t="str">
        <f>"0"</f>
        <v>0</v>
      </c>
      <c r="BC2500" t="str">
        <f ca="1">IF((OFFSET($A$1, 2500 - 1, 53 - 1)) &gt;= (OFFSET($A$1, 69 - 1, 7 - 1)), "1","0")</f>
        <v>1</v>
      </c>
      <c r="BD2500">
        <f ca="1" xml:space="preserve"> IF( AND( OFFSET($A$1, 2500 - 1, 54 - 1) = "1", OFFSET($A$1, 2500 - 1, 55 - 1) = "1" ), 1, IF( AND( OFFSET($A$1, 2500 - 1, 54 - 1) = "1", OFFSET($A$1, 2500 - 1, 55 - 1) = "0" ), 2, IF( AND( OFFSET($A$1, 2500 - 1, 54 - 1) = "0", OFFSET($A$1, 2500 - 1, 55 - 1) = "1" ), 3, 4 ) ) )</f>
        <v>3</v>
      </c>
    </row>
    <row r="2501" spans="53:56" x14ac:dyDescent="0.35">
      <c r="BA2501" s="3">
        <v>0.26277927735174078</v>
      </c>
      <c r="BB2501" s="3" t="str">
        <f>"0"</f>
        <v>0</v>
      </c>
      <c r="BC2501" t="str">
        <f ca="1">IF((OFFSET($A$1, 2501 - 1, 53 - 1)) &gt;= (OFFSET($A$1, 69 - 1, 7 - 1)), "1","0")</f>
        <v>0</v>
      </c>
      <c r="BD2501">
        <f ca="1" xml:space="preserve"> IF( AND( OFFSET($A$1, 2501 - 1, 54 - 1) = "1", OFFSET($A$1, 2501 - 1, 55 - 1) = "1" ), 1, IF( AND( OFFSET($A$1, 2501 - 1, 54 - 1) = "1", OFFSET($A$1, 2501 - 1, 55 - 1) = "0" ), 2, IF( AND( OFFSET($A$1, 2501 - 1, 54 - 1) = "0", OFFSET($A$1, 2501 - 1, 55 - 1) = "1" ), 3, 4 ) ) )</f>
        <v>4</v>
      </c>
    </row>
    <row r="2502" spans="53:56" x14ac:dyDescent="0.35">
      <c r="BA2502" s="3">
        <v>0.2615845206758004</v>
      </c>
      <c r="BB2502" s="3" t="str">
        <f>"0"</f>
        <v>0</v>
      </c>
      <c r="BC2502" t="str">
        <f ca="1">IF((OFFSET($A$1, 2502 - 1, 53 - 1)) &gt;= (OFFSET($A$1, 69 - 1, 7 - 1)), "1","0")</f>
        <v>0</v>
      </c>
      <c r="BD2502">
        <f ca="1" xml:space="preserve"> IF( AND( OFFSET($A$1, 2502 - 1, 54 - 1) = "1", OFFSET($A$1, 2502 - 1, 55 - 1) = "1" ), 1, IF( AND( OFFSET($A$1, 2502 - 1, 54 - 1) = "1", OFFSET($A$1, 2502 - 1, 55 - 1) = "0" ), 2, IF( AND( OFFSET($A$1, 2502 - 1, 54 - 1) = "0", OFFSET($A$1, 2502 - 1, 55 - 1) = "1" ), 3, 4 ) ) )</f>
        <v>4</v>
      </c>
    </row>
    <row r="2503" spans="53:56" x14ac:dyDescent="0.35">
      <c r="BA2503" s="3">
        <v>0.26039253560468517</v>
      </c>
      <c r="BB2503" s="3" t="str">
        <f>"0"</f>
        <v>0</v>
      </c>
      <c r="BC2503" t="str">
        <f ca="1">IF((OFFSET($A$1, 2503 - 1, 53 - 1)) &gt;= (OFFSET($A$1, 69 - 1, 7 - 1)), "1","0")</f>
        <v>0</v>
      </c>
      <c r="BD2503">
        <f ca="1" xml:space="preserve"> IF( AND( OFFSET($A$1, 2503 - 1, 54 - 1) = "1", OFFSET($A$1, 2503 - 1, 55 - 1) = "1" ), 1, IF( AND( OFFSET($A$1, 2503 - 1, 54 - 1) = "1", OFFSET($A$1, 2503 - 1, 55 - 1) = "0" ), 2, IF( AND( OFFSET($A$1, 2503 - 1, 54 - 1) = "0", OFFSET($A$1, 2503 - 1, 55 - 1) = "1" ), 3, 4 ) ) )</f>
        <v>4</v>
      </c>
    </row>
    <row r="2504" spans="53:56" x14ac:dyDescent="0.35">
      <c r="BA2504" s="3">
        <v>0.25920368704308888</v>
      </c>
      <c r="BB2504" s="3" t="str">
        <f>"0"</f>
        <v>0</v>
      </c>
      <c r="BC2504" t="str">
        <f ca="1">IF((OFFSET($A$1, 2504 - 1, 53 - 1)) &gt;= (OFFSET($A$1, 69 - 1, 7 - 1)), "1","0")</f>
        <v>0</v>
      </c>
      <c r="BD2504">
        <f ca="1" xml:space="preserve"> IF( AND( OFFSET($A$1, 2504 - 1, 54 - 1) = "1", OFFSET($A$1, 2504 - 1, 55 - 1) = "1" ), 1, IF( AND( OFFSET($A$1, 2504 - 1, 54 - 1) = "1", OFFSET($A$1, 2504 - 1, 55 - 1) = "0" ), 2, IF( AND( OFFSET($A$1, 2504 - 1, 54 - 1) = "0", OFFSET($A$1, 2504 - 1, 55 - 1) = "1" ), 3, 4 ) ) )</f>
        <v>4</v>
      </c>
    </row>
    <row r="2505" spans="53:56" x14ac:dyDescent="0.35">
      <c r="BA2505" s="3">
        <v>0.25801833567606852</v>
      </c>
      <c r="BB2505" s="3" t="str">
        <f>"0"</f>
        <v>0</v>
      </c>
      <c r="BC2505" t="str">
        <f ca="1">IF((OFFSET($A$1, 2505 - 1, 53 - 1)) &gt;= (OFFSET($A$1, 69 - 1, 7 - 1)), "1","0")</f>
        <v>0</v>
      </c>
      <c r="BD2505">
        <f ca="1" xml:space="preserve"> IF( AND( OFFSET($A$1, 2505 - 1, 54 - 1) = "1", OFFSET($A$1, 2505 - 1, 55 - 1) = "1" ), 1, IF( AND( OFFSET($A$1, 2505 - 1, 54 - 1) = "1", OFFSET($A$1, 2505 - 1, 55 - 1) = "0" ), 2, IF( AND( OFFSET($A$1, 2505 - 1, 54 - 1) = "0", OFFSET($A$1, 2505 - 1, 55 - 1) = "1" ), 3, 4 ) ) )</f>
        <v>4</v>
      </c>
    </row>
    <row r="2506" spans="53:56" x14ac:dyDescent="0.35">
      <c r="BA2506" s="3">
        <v>0.2568368378417249</v>
      </c>
      <c r="BB2506" s="3" t="str">
        <f>"0"</f>
        <v>0</v>
      </c>
      <c r="BC2506" t="str">
        <f ca="1">IF((OFFSET($A$1, 2506 - 1, 53 - 1)) &gt;= (OFFSET($A$1, 69 - 1, 7 - 1)), "1","0")</f>
        <v>0</v>
      </c>
      <c r="BD2506">
        <f ca="1" xml:space="preserve"> IF( AND( OFFSET($A$1, 2506 - 1, 54 - 1) = "1", OFFSET($A$1, 2506 - 1, 55 - 1) = "1" ), 1, IF( AND( OFFSET($A$1, 2506 - 1, 54 - 1) = "1", OFFSET($A$1, 2506 - 1, 55 - 1) = "0" ), 2, IF( AND( OFFSET($A$1, 2506 - 1, 54 - 1) = "0", OFFSET($A$1, 2506 - 1, 55 - 1) = "1" ), 3, 4 ) ) )</f>
        <v>4</v>
      </c>
    </row>
    <row r="2507" spans="53:56" x14ac:dyDescent="0.35">
      <c r="BA2507" s="3">
        <v>0.25565954540987829</v>
      </c>
      <c r="BB2507" s="3" t="str">
        <f>"0"</f>
        <v>0</v>
      </c>
      <c r="BC2507" t="str">
        <f ca="1">IF((OFFSET($A$1, 2507 - 1, 53 - 1)) &gt;= (OFFSET($A$1, 69 - 1, 7 - 1)), "1","0")</f>
        <v>0</v>
      </c>
      <c r="BD2507">
        <f ca="1" xml:space="preserve"> IF( AND( OFFSET($A$1, 2507 - 1, 54 - 1) = "1", OFFSET($A$1, 2507 - 1, 55 - 1) = "1" ), 1, IF( AND( OFFSET($A$1, 2507 - 1, 54 - 1) = "1", OFFSET($A$1, 2507 - 1, 55 - 1) = "0" ), 2, IF( AND( OFFSET($A$1, 2507 - 1, 54 - 1) = "0", OFFSET($A$1, 2507 - 1, 55 - 1) = "1" ), 3, 4 ) ) )</f>
        <v>4</v>
      </c>
    </row>
    <row r="2508" spans="53:56" x14ac:dyDescent="0.35">
      <c r="BA2508" s="3">
        <v>0.25448680566682025</v>
      </c>
      <c r="BB2508" s="3" t="str">
        <f>"1"</f>
        <v>1</v>
      </c>
      <c r="BC2508" t="str">
        <f ca="1">IF((OFFSET($A$1, 2508 - 1, 53 - 1)) &gt;= (OFFSET($A$1, 69 - 1, 7 - 1)), "1","0")</f>
        <v>0</v>
      </c>
      <c r="BD2508">
        <f ca="1" xml:space="preserve"> IF( AND( OFFSET($A$1, 2508 - 1, 54 - 1) = "1", OFFSET($A$1, 2508 - 1, 55 - 1) = "1" ), 1, IF( AND( OFFSET($A$1, 2508 - 1, 54 - 1) = "1", OFFSET($A$1, 2508 - 1, 55 - 1) = "0" ), 2, IF( AND( OFFSET($A$1, 2508 - 1, 54 - 1) = "0", OFFSET($A$1, 2508 - 1, 55 - 1) = "1" ), 3, 4 ) ) )</f>
        <v>2</v>
      </c>
    </row>
    <row r="2509" spans="53:56" x14ac:dyDescent="0.35">
      <c r="BA2509" s="3">
        <v>0.51433293212003395</v>
      </c>
      <c r="BB2509" s="3" t="str">
        <f>"1"</f>
        <v>1</v>
      </c>
      <c r="BC2509" t="str">
        <f ca="1">IF((OFFSET($A$1, 2509 - 1, 53 - 1)) &gt;= (OFFSET($A$1, 69 - 1, 7 - 1)), "1","0")</f>
        <v>1</v>
      </c>
      <c r="BD2509">
        <f ca="1" xml:space="preserve"> IF( AND( OFFSET($A$1, 2509 - 1, 54 - 1) = "1", OFFSET($A$1, 2509 - 1, 55 - 1) = "1" ), 1, IF( AND( OFFSET($A$1, 2509 - 1, 54 - 1) = "1", OFFSET($A$1, 2509 - 1, 55 - 1) = "0" ), 2, IF( AND( OFFSET($A$1, 2509 - 1, 54 - 1) = "0", OFFSET($A$1, 2509 - 1, 55 - 1) = "1" ), 3, 4 ) ) )</f>
        <v>1</v>
      </c>
    </row>
    <row r="2510" spans="53:56" x14ac:dyDescent="0.35">
      <c r="BA2510" s="3">
        <v>0.51279508894103176</v>
      </c>
      <c r="BB2510" s="3" t="str">
        <f>"1"</f>
        <v>1</v>
      </c>
      <c r="BC2510" t="str">
        <f ca="1">IF((OFFSET($A$1, 2510 - 1, 53 - 1)) &gt;= (OFFSET($A$1, 69 - 1, 7 - 1)), "1","0")</f>
        <v>1</v>
      </c>
      <c r="BD2510">
        <f ca="1" xml:space="preserve"> IF( AND( OFFSET($A$1, 2510 - 1, 54 - 1) = "1", OFFSET($A$1, 2510 - 1, 55 - 1) = "1" ), 1, IF( AND( OFFSET($A$1, 2510 - 1, 54 - 1) = "1", OFFSET($A$1, 2510 - 1, 55 - 1) = "0" ), 2, IF( AND( OFFSET($A$1, 2510 - 1, 54 - 1) = "0", OFFSET($A$1, 2510 - 1, 55 - 1) = "1" ), 3, 4 ) ) )</f>
        <v>1</v>
      </c>
    </row>
    <row r="2511" spans="53:56" x14ac:dyDescent="0.35">
      <c r="BA2511" s="3">
        <v>0.51125969337584376</v>
      </c>
      <c r="BB2511" s="3" t="str">
        <f>"1"</f>
        <v>1</v>
      </c>
      <c r="BC2511" t="str">
        <f ca="1">IF((OFFSET($A$1, 2511 - 1, 53 - 1)) &gt;= (OFFSET($A$1, 69 - 1, 7 - 1)), "1","0")</f>
        <v>1</v>
      </c>
      <c r="BD2511">
        <f ca="1" xml:space="preserve"> IF( AND( OFFSET($A$1, 2511 - 1, 54 - 1) = "1", OFFSET($A$1, 2511 - 1, 55 - 1) = "1" ), 1, IF( AND( OFFSET($A$1, 2511 - 1, 54 - 1) = "1", OFFSET($A$1, 2511 - 1, 55 - 1) = "0" ), 2, IF( AND( OFFSET($A$1, 2511 - 1, 54 - 1) = "0", OFFSET($A$1, 2511 - 1, 55 - 1) = "1" ), 3, 4 ) ) )</f>
        <v>1</v>
      </c>
    </row>
    <row r="2512" spans="53:56" x14ac:dyDescent="0.35">
      <c r="BA2512" s="3">
        <v>0.50972722999678477</v>
      </c>
      <c r="BB2512" s="3" t="str">
        <f>"1"</f>
        <v>1</v>
      </c>
      <c r="BC2512" t="str">
        <f ca="1">IF((OFFSET($A$1, 2512 - 1, 53 - 1)) &gt;= (OFFSET($A$1, 69 - 1, 7 - 1)), "1","0")</f>
        <v>1</v>
      </c>
      <c r="BD2512">
        <f ca="1" xml:space="preserve"> IF( AND( OFFSET($A$1, 2512 - 1, 54 - 1) = "1", OFFSET($A$1, 2512 - 1, 55 - 1) = "1" ), 1, IF( AND( OFFSET($A$1, 2512 - 1, 54 - 1) = "1", OFFSET($A$1, 2512 - 1, 55 - 1) = "0" ), 2, IF( AND( OFFSET($A$1, 2512 - 1, 54 - 1) = "0", OFFSET($A$1, 2512 - 1, 55 - 1) = "1" ), 3, 4 ) ) )</f>
        <v>1</v>
      </c>
    </row>
    <row r="2513" spans="53:56" x14ac:dyDescent="0.35">
      <c r="BA2513" s="3">
        <v>0.50819818235524539</v>
      </c>
      <c r="BB2513" s="3" t="str">
        <f>"1"</f>
        <v>1</v>
      </c>
      <c r="BC2513" t="str">
        <f ca="1">IF((OFFSET($A$1, 2513 - 1, 53 - 1)) &gt;= (OFFSET($A$1, 69 - 1, 7 - 1)), "1","0")</f>
        <v>1</v>
      </c>
      <c r="BD2513">
        <f ca="1" xml:space="preserve"> IF( AND( OFFSET($A$1, 2513 - 1, 54 - 1) = "1", OFFSET($A$1, 2513 - 1, 55 - 1) = "1" ), 1, IF( AND( OFFSET($A$1, 2513 - 1, 54 - 1) = "1", OFFSET($A$1, 2513 - 1, 55 - 1) = "0" ), 2, IF( AND( OFFSET($A$1, 2513 - 1, 54 - 1) = "0", OFFSET($A$1, 2513 - 1, 55 - 1) = "1" ), 3, 4 ) ) )</f>
        <v>1</v>
      </c>
    </row>
    <row r="2514" spans="53:56" x14ac:dyDescent="0.35">
      <c r="BA2514" s="3">
        <v>0.50667303276006215</v>
      </c>
      <c r="BB2514" s="3" t="str">
        <f>"0"</f>
        <v>0</v>
      </c>
      <c r="BC2514" t="str">
        <f ca="1">IF((OFFSET($A$1, 2514 - 1, 53 - 1)) &gt;= (OFFSET($A$1, 69 - 1, 7 - 1)), "1","0")</f>
        <v>1</v>
      </c>
      <c r="BD2514">
        <f ca="1" xml:space="preserve"> IF( AND( OFFSET($A$1, 2514 - 1, 54 - 1) = "1", OFFSET($A$1, 2514 - 1, 55 - 1) = "1" ), 1, IF( AND( OFFSET($A$1, 2514 - 1, 54 - 1) = "1", OFFSET($A$1, 2514 - 1, 55 - 1) = "0" ), 2, IF( AND( OFFSET($A$1, 2514 - 1, 54 - 1) = "0", OFFSET($A$1, 2514 - 1, 55 - 1) = "1" ), 3, 4 ) ) )</f>
        <v>3</v>
      </c>
    </row>
    <row r="2515" spans="53:56" x14ac:dyDescent="0.35">
      <c r="BA2515" s="3">
        <v>0.24643326472074012</v>
      </c>
      <c r="BB2515" s="3" t="str">
        <f>"0"</f>
        <v>0</v>
      </c>
      <c r="BC2515" t="str">
        <f ca="1">IF((OFFSET($A$1, 2515 - 1, 53 - 1)) &gt;= (OFFSET($A$1, 69 - 1, 7 - 1)), "1","0")</f>
        <v>0</v>
      </c>
      <c r="BD2515">
        <f ca="1" xml:space="preserve"> IF( AND( OFFSET($A$1, 2515 - 1, 54 - 1) = "1", OFFSET($A$1, 2515 - 1, 55 - 1) = "1" ), 1, IF( AND( OFFSET($A$1, 2515 - 1, 54 - 1) = "1", OFFSET($A$1, 2515 - 1, 55 - 1) = "0" ), 2, IF( AND( OFFSET($A$1, 2515 - 1, 54 - 1) = "0", OFFSET($A$1, 2515 - 1, 55 - 1) = "1" ), 3, 4 ) ) )</f>
        <v>4</v>
      </c>
    </row>
    <row r="2516" spans="53:56" x14ac:dyDescent="0.35">
      <c r="BA2516" s="3">
        <v>0.2453088656390191</v>
      </c>
      <c r="BB2516" s="3" t="str">
        <f>"0"</f>
        <v>0</v>
      </c>
      <c r="BC2516" t="str">
        <f ca="1">IF((OFFSET($A$1, 2516 - 1, 53 - 1)) &gt;= (OFFSET($A$1, 69 - 1, 7 - 1)), "1","0")</f>
        <v>0</v>
      </c>
      <c r="BD2516">
        <f ca="1" xml:space="preserve"> IF( AND( OFFSET($A$1, 2516 - 1, 54 - 1) = "1", OFFSET($A$1, 2516 - 1, 55 - 1) = "1" ), 1, IF( AND( OFFSET($A$1, 2516 - 1, 54 - 1) = "1", OFFSET($A$1, 2516 - 1, 55 - 1) = "0" ), 2, IF( AND( OFFSET($A$1, 2516 - 1, 54 - 1) = "0", OFFSET($A$1, 2516 - 1, 55 - 1) = "1" ), 3, 4 ) ) )</f>
        <v>4</v>
      </c>
    </row>
    <row r="2517" spans="53:56" x14ac:dyDescent="0.35">
      <c r="BA2517" s="3">
        <v>0.2441919226167219</v>
      </c>
      <c r="BB2517" s="3" t="str">
        <f>"1"</f>
        <v>1</v>
      </c>
      <c r="BC2517" t="str">
        <f ca="1">IF((OFFSET($A$1, 2517 - 1, 53 - 1)) &gt;= (OFFSET($A$1, 69 - 1, 7 - 1)), "1","0")</f>
        <v>0</v>
      </c>
      <c r="BD2517">
        <f ca="1" xml:space="preserve"> IF( AND( OFFSET($A$1, 2517 - 1, 54 - 1) = "1", OFFSET($A$1, 2517 - 1, 55 - 1) = "1" ), 1, IF( AND( OFFSET($A$1, 2517 - 1, 54 - 1) = "1", OFFSET($A$1, 2517 - 1, 55 - 1) = "0" ), 2, IF( AND( OFFSET($A$1, 2517 - 1, 54 - 1) = "0", OFFSET($A$1, 2517 - 1, 55 - 1) = "1" ), 3, 4 ) ) )</f>
        <v>2</v>
      </c>
    </row>
    <row r="2518" spans="53:56" x14ac:dyDescent="0.35">
      <c r="BA2518" s="3">
        <v>0.50062100525925191</v>
      </c>
      <c r="BB2518" s="3" t="str">
        <f>"0"</f>
        <v>0</v>
      </c>
      <c r="BC2518" t="str">
        <f ca="1">IF((OFFSET($A$1, 2518 - 1, 53 - 1)) &gt;= (OFFSET($A$1, 69 - 1, 7 - 1)), "1","0")</f>
        <v>1</v>
      </c>
      <c r="BD2518">
        <f ca="1" xml:space="preserve"> IF( AND( OFFSET($A$1, 2518 - 1, 54 - 1) = "1", OFFSET($A$1, 2518 - 1, 55 - 1) = "1" ), 1, IF( AND( OFFSET($A$1, 2518 - 1, 54 - 1) = "1", OFFSET($A$1, 2518 - 1, 55 - 1) = "0" ), 2, IF( AND( OFFSET($A$1, 2518 - 1, 54 - 1) = "0", OFFSET($A$1, 2518 - 1, 55 - 1) = "1" ), 3, 4 ) ) )</f>
        <v>3</v>
      </c>
    </row>
    <row r="2519" spans="53:56" x14ac:dyDescent="0.35">
      <c r="BA2519" s="3">
        <v>0.24198158522760804</v>
      </c>
      <c r="BB2519" s="3" t="str">
        <f>"0"</f>
        <v>0</v>
      </c>
      <c r="BC2519" t="str">
        <f ca="1">IF((OFFSET($A$1, 2519 - 1, 53 - 1)) &gt;= (OFFSET($A$1, 69 - 1, 7 - 1)), "1","0")</f>
        <v>0</v>
      </c>
      <c r="BD2519">
        <f ca="1" xml:space="preserve"> IF( AND( OFFSET($A$1, 2519 - 1, 54 - 1) = "1", OFFSET($A$1, 2519 - 1, 55 - 1) = "1" ), 1, IF( AND( OFFSET($A$1, 2519 - 1, 54 - 1) = "1", OFFSET($A$1, 2519 - 1, 55 - 1) = "0" ), 2, IF( AND( OFFSET($A$1, 2519 - 1, 54 - 1) = "0", OFFSET($A$1, 2519 - 1, 55 - 1) = "1" ), 3, 4 ) ) )</f>
        <v>4</v>
      </c>
    </row>
    <row r="2520" spans="53:56" x14ac:dyDescent="0.35">
      <c r="BA2520" s="3">
        <v>0.24088876745793489</v>
      </c>
      <c r="BB2520" s="3" t="str">
        <f>"0"</f>
        <v>0</v>
      </c>
      <c r="BC2520" t="str">
        <f ca="1">IF((OFFSET($A$1, 2520 - 1, 53 - 1)) &gt;= (OFFSET($A$1, 69 - 1, 7 - 1)), "1","0")</f>
        <v>0</v>
      </c>
      <c r="BD2520">
        <f ca="1" xml:space="preserve"> IF( AND( OFFSET($A$1, 2520 - 1, 54 - 1) = "1", OFFSET($A$1, 2520 - 1, 55 - 1) = "1" ), 1, IF( AND( OFFSET($A$1, 2520 - 1, 54 - 1) = "1", OFFSET($A$1, 2520 - 1, 55 - 1) = "0" ), 2, IF( AND( OFFSET($A$1, 2520 - 1, 54 - 1) = "0", OFFSET($A$1, 2520 - 1, 55 - 1) = "1" ), 3, 4 ) ) )</f>
        <v>4</v>
      </c>
    </row>
    <row r="2521" spans="53:56" x14ac:dyDescent="0.35">
      <c r="BA2521" s="3">
        <v>0.23980455886673033</v>
      </c>
      <c r="BB2521" s="3" t="str">
        <f>"0"</f>
        <v>0</v>
      </c>
      <c r="BC2521" t="str">
        <f ca="1">IF((OFFSET($A$1, 2521 - 1, 53 - 1)) &gt;= (OFFSET($A$1, 69 - 1, 7 - 1)), "1","0")</f>
        <v>0</v>
      </c>
      <c r="BD2521">
        <f ca="1" xml:space="preserve"> IF( AND( OFFSET($A$1, 2521 - 1, 54 - 1) = "1", OFFSET($A$1, 2521 - 1, 55 - 1) = "1" ), 1, IF( AND( OFFSET($A$1, 2521 - 1, 54 - 1) = "1", OFFSET($A$1, 2521 - 1, 55 - 1) = "0" ), 2, IF( AND( OFFSET($A$1, 2521 - 1, 54 - 1) = "0", OFFSET($A$1, 2521 - 1, 55 - 1) = "1" ), 3, 4 ) ) )</f>
        <v>4</v>
      </c>
    </row>
    <row r="2522" spans="53:56" x14ac:dyDescent="0.35">
      <c r="BA2522" s="3">
        <v>0.23872923395227799</v>
      </c>
      <c r="BB2522" s="3" t="str">
        <f>"0"</f>
        <v>0</v>
      </c>
      <c r="BC2522" t="str">
        <f ca="1">IF((OFFSET($A$1, 2522 - 1, 53 - 1)) &gt;= (OFFSET($A$1, 69 - 1, 7 - 1)), "1","0")</f>
        <v>0</v>
      </c>
      <c r="BD2522">
        <f ca="1" xml:space="preserve"> IF( AND( OFFSET($A$1, 2522 - 1, 54 - 1) = "1", OFFSET($A$1, 2522 - 1, 55 - 1) = "1" ), 1, IF( AND( OFFSET($A$1, 2522 - 1, 54 - 1) = "1", OFFSET($A$1, 2522 - 1, 55 - 1) = "0" ), 2, IF( AND( OFFSET($A$1, 2522 - 1, 54 - 1) = "0", OFFSET($A$1, 2522 - 1, 55 - 1) = "1" ), 3, 4 ) ) )</f>
        <v>4</v>
      </c>
    </row>
    <row r="2523" spans="53:56" x14ac:dyDescent="0.35">
      <c r="BA2523" s="3">
        <v>0.23766306164584242</v>
      </c>
      <c r="BB2523" s="3" t="str">
        <f>"0"</f>
        <v>0</v>
      </c>
      <c r="BC2523" t="str">
        <f ca="1">IF((OFFSET($A$1, 2523 - 1, 53 - 1)) &gt;= (OFFSET($A$1, 69 - 1, 7 - 1)), "1","0")</f>
        <v>0</v>
      </c>
      <c r="BD2523">
        <f ca="1" xml:space="preserve"> IF( AND( OFFSET($A$1, 2523 - 1, 54 - 1) = "1", OFFSET($A$1, 2523 - 1, 55 - 1) = "1" ), 1, IF( AND( OFFSET($A$1, 2523 - 1, 54 - 1) = "1", OFFSET($A$1, 2523 - 1, 55 - 1) = "0" ), 2, IF( AND( OFFSET($A$1, 2523 - 1, 54 - 1) = "0", OFFSET($A$1, 2523 - 1, 55 - 1) = "1" ), 3, 4 ) ) )</f>
        <v>4</v>
      </c>
    </row>
    <row r="2524" spans="53:56" x14ac:dyDescent="0.35">
      <c r="BA2524" s="3">
        <v>0.23660630529464111</v>
      </c>
      <c r="BB2524" s="3" t="str">
        <f>"0"</f>
        <v>0</v>
      </c>
      <c r="BC2524" t="str">
        <f ca="1">IF((OFFSET($A$1, 2524 - 1, 53 - 1)) &gt;= (OFFSET($A$1, 69 - 1, 7 - 1)), "1","0")</f>
        <v>0</v>
      </c>
      <c r="BD2524">
        <f ca="1" xml:space="preserve"> IF( AND( OFFSET($A$1, 2524 - 1, 54 - 1) = "1", OFFSET($A$1, 2524 - 1, 55 - 1) = "1" ), 1, IF( AND( OFFSET($A$1, 2524 - 1, 54 - 1) = "1", OFFSET($A$1, 2524 - 1, 55 - 1) = "0" ), 2, IF( AND( OFFSET($A$1, 2524 - 1, 54 - 1) = "0", OFFSET($A$1, 2524 - 1, 55 - 1) = "1" ), 3, 4 ) ) )</f>
        <v>4</v>
      </c>
    </row>
    <row r="2525" spans="53:56" x14ac:dyDescent="0.35">
      <c r="BA2525" s="3">
        <v>0.23555922265049367</v>
      </c>
      <c r="BB2525" s="3" t="str">
        <f>"1"</f>
        <v>1</v>
      </c>
      <c r="BC2525" t="str">
        <f ca="1">IF((OFFSET($A$1, 2525 - 1, 53 - 1)) &gt;= (OFFSET($A$1, 69 - 1, 7 - 1)), "1","0")</f>
        <v>0</v>
      </c>
      <c r="BD2525">
        <f ca="1" xml:space="preserve"> IF( AND( OFFSET($A$1, 2525 - 1, 54 - 1) = "1", OFFSET($A$1, 2525 - 1, 55 - 1) = "1" ), 1, IF( AND( OFFSET($A$1, 2525 - 1, 54 - 1) = "1", OFFSET($A$1, 2525 - 1, 55 - 1) = "0" ), 2, IF( AND( OFFSET($A$1, 2525 - 1, 54 - 1) = "0", OFFSET($A$1, 2525 - 1, 55 - 1) = "1" ), 3, 4 ) ) )</f>
        <v>2</v>
      </c>
    </row>
    <row r="2526" spans="53:56" x14ac:dyDescent="0.35">
      <c r="BA2526" s="3">
        <v>0.48884820599502593</v>
      </c>
      <c r="BB2526" s="3" t="str">
        <f>"0"</f>
        <v>0</v>
      </c>
      <c r="BC2526" t="str">
        <f ca="1">IF((OFFSET($A$1, 2526 - 1, 53 - 1)) &gt;= (OFFSET($A$1, 69 - 1, 7 - 1)), "1","0")</f>
        <v>0</v>
      </c>
      <c r="BD2526">
        <f ca="1" xml:space="preserve"> IF( AND( OFFSET($A$1, 2526 - 1, 54 - 1) = "1", OFFSET($A$1, 2526 - 1, 55 - 1) = "1" ), 1, IF( AND( OFFSET($A$1, 2526 - 1, 54 - 1) = "1", OFFSET($A$1, 2526 - 1, 55 - 1) = "0" ), 2, IF( AND( OFFSET($A$1, 2526 - 1, 54 - 1) = "0", OFFSET($A$1, 2526 - 1, 55 - 1) = "1" ), 3, 4 ) ) )</f>
        <v>4</v>
      </c>
    </row>
    <row r="2527" spans="53:56" x14ac:dyDescent="0.35">
      <c r="BA2527" s="3">
        <v>0.23349508148426529</v>
      </c>
      <c r="BB2527" s="3" t="str">
        <f>"0"</f>
        <v>0</v>
      </c>
      <c r="BC2527" t="str">
        <f ca="1">IF((OFFSET($A$1, 2527 - 1, 53 - 1)) &gt;= (OFFSET($A$1, 69 - 1, 7 - 1)), "1","0")</f>
        <v>0</v>
      </c>
      <c r="BD2527">
        <f ca="1" xml:space="preserve"> IF( AND( OFFSET($A$1, 2527 - 1, 54 - 1) = "1", OFFSET($A$1, 2527 - 1, 55 - 1) = "1" ), 1, IF( AND( OFFSET($A$1, 2527 - 1, 54 - 1) = "1", OFFSET($A$1, 2527 - 1, 55 - 1) = "0" ), 2, IF( AND( OFFSET($A$1, 2527 - 1, 54 - 1) = "0", OFFSET($A$1, 2527 - 1, 55 - 1) = "1" ), 3, 4 ) ) )</f>
        <v>4</v>
      </c>
    </row>
    <row r="2528" spans="53:56" x14ac:dyDescent="0.35">
      <c r="BA2528" s="3">
        <v>0.23247851046365672</v>
      </c>
      <c r="BB2528" s="3" t="str">
        <f>"0"</f>
        <v>0</v>
      </c>
      <c r="BC2528" t="str">
        <f ca="1">IF((OFFSET($A$1, 2528 - 1, 53 - 1)) &gt;= (OFFSET($A$1, 69 - 1, 7 - 1)), "1","0")</f>
        <v>0</v>
      </c>
      <c r="BD2528">
        <f ca="1" xml:space="preserve"> IF( AND( OFFSET($A$1, 2528 - 1, 54 - 1) = "1", OFFSET($A$1, 2528 - 1, 55 - 1) = "1" ), 1, IF( AND( OFFSET($A$1, 2528 - 1, 54 - 1) = "1", OFFSET($A$1, 2528 - 1, 55 - 1) = "0" ), 2, IF( AND( OFFSET($A$1, 2528 - 1, 54 - 1) = "0", OFFSET($A$1, 2528 - 1, 55 - 1) = "1" ), 3, 4 ) ) )</f>
        <v>4</v>
      </c>
    </row>
    <row r="2529" spans="53:56" x14ac:dyDescent="0.35">
      <c r="BA2529" s="3">
        <v>0.23147258816809976</v>
      </c>
      <c r="BB2529" s="3" t="str">
        <f>"0"</f>
        <v>0</v>
      </c>
      <c r="BC2529" t="str">
        <f ca="1">IF((OFFSET($A$1, 2529 - 1, 53 - 1)) &gt;= (OFFSET($A$1, 69 - 1, 7 - 1)), "1","0")</f>
        <v>0</v>
      </c>
      <c r="BD2529">
        <f ca="1" xml:space="preserve"> IF( AND( OFFSET($A$1, 2529 - 1, 54 - 1) = "1", OFFSET($A$1, 2529 - 1, 55 - 1) = "1" ), 1, IF( AND( OFFSET($A$1, 2529 - 1, 54 - 1) = "1", OFFSET($A$1, 2529 - 1, 55 - 1) = "0" ), 2, IF( AND( OFFSET($A$1, 2529 - 1, 54 - 1) = "0", OFFSET($A$1, 2529 - 1, 55 - 1) = "1" ), 3, 4 ) ) )</f>
        <v>4</v>
      </c>
    </row>
    <row r="2530" spans="53:56" x14ac:dyDescent="0.35">
      <c r="BA2530" s="3">
        <v>0.23047754439213072</v>
      </c>
      <c r="BB2530" s="3" t="str">
        <f>"0"</f>
        <v>0</v>
      </c>
      <c r="BC2530" t="str">
        <f ca="1">IF((OFFSET($A$1, 2530 - 1, 53 - 1)) &gt;= (OFFSET($A$1, 69 - 1, 7 - 1)), "1","0")</f>
        <v>0</v>
      </c>
      <c r="BD2530">
        <f ca="1" xml:space="preserve"> IF( AND( OFFSET($A$1, 2530 - 1, 54 - 1) = "1", OFFSET($A$1, 2530 - 1, 55 - 1) = "1" ), 1, IF( AND( OFFSET($A$1, 2530 - 1, 54 - 1) = "1", OFFSET($A$1, 2530 - 1, 55 - 1) = "0" ), 2, IF( AND( OFFSET($A$1, 2530 - 1, 54 - 1) = "0", OFFSET($A$1, 2530 - 1, 55 - 1) = "1" ), 3, 4 ) ) )</f>
        <v>4</v>
      </c>
    </row>
    <row r="2531" spans="53:56" x14ac:dyDescent="0.35">
      <c r="BA2531" s="3">
        <v>0.22949360337894675</v>
      </c>
      <c r="BB2531" s="3" t="str">
        <f>"0"</f>
        <v>0</v>
      </c>
      <c r="BC2531" t="str">
        <f ca="1">IF((OFFSET($A$1, 2531 - 1, 53 - 1)) &gt;= (OFFSET($A$1, 69 - 1, 7 - 1)), "1","0")</f>
        <v>0</v>
      </c>
      <c r="BD2531">
        <f ca="1" xml:space="preserve"> IF( AND( OFFSET($A$1, 2531 - 1, 54 - 1) = "1", OFFSET($A$1, 2531 - 1, 55 - 1) = "1" ), 1, IF( AND( OFFSET($A$1, 2531 - 1, 54 - 1) = "1", OFFSET($A$1, 2531 - 1, 55 - 1) = "0" ), 2, IF( AND( OFFSET($A$1, 2531 - 1, 54 - 1) = "0", OFFSET($A$1, 2531 - 1, 55 - 1) = "1" ), 3, 4 ) ) )</f>
        <v>4</v>
      </c>
    </row>
    <row r="2532" spans="53:56" x14ac:dyDescent="0.35">
      <c r="BA2532" s="3">
        <v>0.22852098384516789</v>
      </c>
      <c r="BB2532" s="3" t="str">
        <f>"0"</f>
        <v>0</v>
      </c>
      <c r="BC2532" t="str">
        <f ca="1">IF((OFFSET($A$1, 2532 - 1, 53 - 1)) &gt;= (OFFSET($A$1, 69 - 1, 7 - 1)), "1","0")</f>
        <v>0</v>
      </c>
      <c r="BD2532">
        <f ca="1" xml:space="preserve"> IF( AND( OFFSET($A$1, 2532 - 1, 54 - 1) = "1", OFFSET($A$1, 2532 - 1, 55 - 1) = "1" ), 1, IF( AND( OFFSET($A$1, 2532 - 1, 54 - 1) = "1", OFFSET($A$1, 2532 - 1, 55 - 1) = "0" ), 2, IF( AND( OFFSET($A$1, 2532 - 1, 54 - 1) = "0", OFFSET($A$1, 2532 - 1, 55 - 1) = "1" ), 3, 4 ) ) )</f>
        <v>4</v>
      </c>
    </row>
    <row r="2533" spans="53:56" x14ac:dyDescent="0.35">
      <c r="BA2533" s="3">
        <v>0.22755989901017404</v>
      </c>
      <c r="BB2533" s="3" t="str">
        <f>"0"</f>
        <v>0</v>
      </c>
      <c r="BC2533" t="str">
        <f ca="1">IF((OFFSET($A$1, 2533 - 1, 53 - 1)) &gt;= (OFFSET($A$1, 69 - 1, 7 - 1)), "1","0")</f>
        <v>0</v>
      </c>
      <c r="BD2533">
        <f ca="1" xml:space="preserve"> IF( AND( OFFSET($A$1, 2533 - 1, 54 - 1) = "1", OFFSET($A$1, 2533 - 1, 55 - 1) = "1" ), 1, IF( AND( OFFSET($A$1, 2533 - 1, 54 - 1) = "1", OFFSET($A$1, 2533 - 1, 55 - 1) = "0" ), 2, IF( AND( OFFSET($A$1, 2533 - 1, 54 - 1) = "0", OFFSET($A$1, 2533 - 1, 55 - 1) = "1" ), 3, 4 ) ) )</f>
        <v>4</v>
      </c>
    </row>
    <row r="2534" spans="53:56" x14ac:dyDescent="0.35">
      <c r="BA2534" s="3">
        <v>0.22661055662985496</v>
      </c>
      <c r="BB2534" s="3" t="str">
        <f>"0"</f>
        <v>0</v>
      </c>
      <c r="BC2534" t="str">
        <f ca="1">IF((OFFSET($A$1, 2534 - 1, 53 - 1)) &gt;= (OFFSET($A$1, 69 - 1, 7 - 1)), "1","0")</f>
        <v>0</v>
      </c>
      <c r="BD2534">
        <f ca="1" xml:space="preserve"> IF( AND( OFFSET($A$1, 2534 - 1, 54 - 1) = "1", OFFSET($A$1, 2534 - 1, 55 - 1) = "1" ), 1, IF( AND( OFFSET($A$1, 2534 - 1, 54 - 1) = "1", OFFSET($A$1, 2534 - 1, 55 - 1) = "0" ), 2, IF( AND( OFFSET($A$1, 2534 - 1, 54 - 1) = "0", OFFSET($A$1, 2534 - 1, 55 - 1) = "1" ), 3, 4 ) ) )</f>
        <v>4</v>
      </c>
    </row>
    <row r="2535" spans="53:56" x14ac:dyDescent="0.35">
      <c r="BA2535" s="3">
        <v>0.22567315903460219</v>
      </c>
      <c r="BB2535" s="3" t="str">
        <f>"0"</f>
        <v>0</v>
      </c>
      <c r="BC2535" t="str">
        <f ca="1">IF((OFFSET($A$1, 2535 - 1, 53 - 1)) &gt;= (OFFSET($A$1, 69 - 1, 7 - 1)), "1","0")</f>
        <v>0</v>
      </c>
      <c r="BD2535">
        <f ca="1" xml:space="preserve"> IF( AND( OFFSET($A$1, 2535 - 1, 54 - 1) = "1", OFFSET($A$1, 2535 - 1, 55 - 1) = "1" ), 1, IF( AND( OFFSET($A$1, 2535 - 1, 54 - 1) = "1", OFFSET($A$1, 2535 - 1, 55 - 1) = "0" ), 2, IF( AND( OFFSET($A$1, 2535 - 1, 54 - 1) = "0", OFFSET($A$1, 2535 - 1, 55 - 1) = "1" ), 3, 4 ) ) )</f>
        <v>4</v>
      </c>
    </row>
    <row r="2536" spans="53:56" x14ac:dyDescent="0.35">
      <c r="BA2536" s="3">
        <v>0.22474790317137835</v>
      </c>
      <c r="BB2536" s="3" t="str">
        <f>"0"</f>
        <v>0</v>
      </c>
      <c r="BC2536" t="str">
        <f ca="1">IF((OFFSET($A$1, 2536 - 1, 53 - 1)) &gt;= (OFFSET($A$1, 69 - 1, 7 - 1)), "1","0")</f>
        <v>0</v>
      </c>
      <c r="BD2536">
        <f ca="1" xml:space="preserve"> IF( AND( OFFSET($A$1, 2536 - 1, 54 - 1) = "1", OFFSET($A$1, 2536 - 1, 55 - 1) = "1" ), 1, IF( AND( OFFSET($A$1, 2536 - 1, 54 - 1) = "1", OFFSET($A$1, 2536 - 1, 55 - 1) = "0" ), 2, IF( AND( OFFSET($A$1, 2536 - 1, 54 - 1) = "0", OFFSET($A$1, 2536 - 1, 55 - 1) = "1" ), 3, 4 ) ) )</f>
        <v>4</v>
      </c>
    </row>
    <row r="2537" spans="53:56" x14ac:dyDescent="0.35">
      <c r="BA2537" s="3">
        <v>0.22383498064968138</v>
      </c>
      <c r="BB2537" s="3" t="str">
        <f>"0"</f>
        <v>0</v>
      </c>
      <c r="BC2537" t="str">
        <f ca="1">IF((OFFSET($A$1, 2537 - 1, 53 - 1)) &gt;= (OFFSET($A$1, 69 - 1, 7 - 1)), "1","0")</f>
        <v>0</v>
      </c>
      <c r="BD2537">
        <f ca="1" xml:space="preserve"> IF( AND( OFFSET($A$1, 2537 - 1, 54 - 1) = "1", OFFSET($A$1, 2537 - 1, 55 - 1) = "1" ), 1, IF( AND( OFFSET($A$1, 2537 - 1, 54 - 1) = "1", OFFSET($A$1, 2537 - 1, 55 - 1) = "0" ), 2, IF( AND( OFFSET($A$1, 2537 - 1, 54 - 1) = "0", OFFSET($A$1, 2537 - 1, 55 - 1) = "1" ), 3, 4 ) ) )</f>
        <v>4</v>
      </c>
    </row>
    <row r="2538" spans="53:56" x14ac:dyDescent="0.35">
      <c r="BA2538" s="3">
        <v>0.2229345777912316</v>
      </c>
      <c r="BB2538" s="3" t="str">
        <f>"0"</f>
        <v>0</v>
      </c>
      <c r="BC2538" t="str">
        <f ca="1">IF((OFFSET($A$1, 2538 - 1, 53 - 1)) &gt;= (OFFSET($A$1, 69 - 1, 7 - 1)), "1","0")</f>
        <v>0</v>
      </c>
      <c r="BD2538">
        <f ca="1" xml:space="preserve"> IF( AND( OFFSET($A$1, 2538 - 1, 54 - 1) = "1", OFFSET($A$1, 2538 - 1, 55 - 1) = "1" ), 1, IF( AND( OFFSET($A$1, 2538 - 1, 54 - 1) = "1", OFFSET($A$1, 2538 - 1, 55 - 1) = "0" ), 2, IF( AND( OFFSET($A$1, 2538 - 1, 54 - 1) = "0", OFFSET($A$1, 2538 - 1, 55 - 1) = "1" ), 3, 4 ) ) )</f>
        <v>4</v>
      </c>
    </row>
    <row r="2539" spans="53:56" x14ac:dyDescent="0.35">
      <c r="BA2539" s="3">
        <v>0.22204687568319806</v>
      </c>
      <c r="BB2539" s="3" t="str">
        <f>"0"</f>
        <v>0</v>
      </c>
      <c r="BC2539" t="str">
        <f ca="1">IF((OFFSET($A$1, 2539 - 1, 53 - 1)) &gt;= (OFFSET($A$1, 69 - 1, 7 - 1)), "1","0")</f>
        <v>0</v>
      </c>
      <c r="BD2539">
        <f ca="1" xml:space="preserve"> IF( AND( OFFSET($A$1, 2539 - 1, 54 - 1) = "1", OFFSET($A$1, 2539 - 1, 55 - 1) = "1" ), 1, IF( AND( OFFSET($A$1, 2539 - 1, 54 - 1) = "1", OFFSET($A$1, 2539 - 1, 55 - 1) = "0" ), 2, IF( AND( OFFSET($A$1, 2539 - 1, 54 - 1) = "0", OFFSET($A$1, 2539 - 1, 55 - 1) = "1" ), 3, 4 ) ) )</f>
        <v>4</v>
      </c>
    </row>
    <row r="2540" spans="53:56" x14ac:dyDescent="0.35">
      <c r="BA2540" s="3">
        <v>0.22117205023478362</v>
      </c>
      <c r="BB2540" s="3" t="str">
        <f>"0"</f>
        <v>0</v>
      </c>
      <c r="BC2540" t="str">
        <f ca="1">IF((OFFSET($A$1, 2540 - 1, 53 - 1)) &gt;= (OFFSET($A$1, 69 - 1, 7 - 1)), "1","0")</f>
        <v>0</v>
      </c>
      <c r="BD2540">
        <f ca="1" xml:space="preserve"> IF( AND( OFFSET($A$1, 2540 - 1, 54 - 1) = "1", OFFSET($A$1, 2540 - 1, 55 - 1) = "1" ), 1, IF( AND( OFFSET($A$1, 2540 - 1, 54 - 1) = "1", OFFSET($A$1, 2540 - 1, 55 - 1) = "0" ), 2, IF( AND( OFFSET($A$1, 2540 - 1, 54 - 1) = "0", OFFSET($A$1, 2540 - 1, 55 - 1) = "1" ), 3, 4 ) ) )</f>
        <v>4</v>
      </c>
    </row>
    <row r="2541" spans="53:56" x14ac:dyDescent="0.35">
      <c r="BA2541" s="3">
        <v>0.2203102722369803</v>
      </c>
      <c r="BB2541" s="3" t="str">
        <f>"1"</f>
        <v>1</v>
      </c>
      <c r="BC2541" t="str">
        <f ca="1">IF((OFFSET($A$1, 2541 - 1, 53 - 1)) &gt;= (OFFSET($A$1, 69 - 1, 7 - 1)), "1","0")</f>
        <v>0</v>
      </c>
      <c r="BD2541">
        <f ca="1" xml:space="preserve"> IF( AND( OFFSET($A$1, 2541 - 1, 54 - 1) = "1", OFFSET($A$1, 2541 - 1, 55 - 1) = "1" ), 1, IF( AND( OFFSET($A$1, 2541 - 1, 54 - 1) = "1", OFFSET($A$1, 2541 - 1, 55 - 1) = "0" ), 2, IF( AND( OFFSET($A$1, 2541 - 1, 54 - 1) = "0", OFFSET($A$1, 2541 - 1, 55 - 1) = "1" ), 3, 4 ) ) )</f>
        <v>2</v>
      </c>
    </row>
    <row r="2542" spans="53:56" x14ac:dyDescent="0.35">
      <c r="BA2542" s="3">
        <v>0.46742871452930396</v>
      </c>
      <c r="BB2542" s="3" t="str">
        <f>"0"</f>
        <v>0</v>
      </c>
      <c r="BC2542" t="str">
        <f ca="1">IF((OFFSET($A$1, 2542 - 1, 53 - 1)) &gt;= (OFFSET($A$1, 69 - 1, 7 - 1)), "1","0")</f>
        <v>0</v>
      </c>
      <c r="BD2542">
        <f ca="1" xml:space="preserve"> IF( AND( OFFSET($A$1, 2542 - 1, 54 - 1) = "1", OFFSET($A$1, 2542 - 1, 55 - 1) = "1" ), 1, IF( AND( OFFSET($A$1, 2542 - 1, 54 - 1) = "1", OFFSET($A$1, 2542 - 1, 55 - 1) = "0" ), 2, IF( AND( OFFSET($A$1, 2542 - 1, 54 - 1) = "0", OFFSET($A$1, 2542 - 1, 55 - 1) = "1" ), 3, 4 ) ) )</f>
        <v>4</v>
      </c>
    </row>
    <row r="2543" spans="53:56" x14ac:dyDescent="0.35">
      <c r="BA2543" s="3">
        <v>0.21862651654539239</v>
      </c>
      <c r="BB2543" s="3" t="str">
        <f>"0"</f>
        <v>0</v>
      </c>
      <c r="BC2543" t="str">
        <f ca="1">IF((OFFSET($A$1, 2543 - 1, 53 - 1)) &gt;= (OFFSET($A$1, 69 - 1, 7 - 1)), "1","0")</f>
        <v>0</v>
      </c>
      <c r="BD2543">
        <f ca="1" xml:space="preserve"> IF( AND( OFFSET($A$1, 2543 - 1, 54 - 1) = "1", OFFSET($A$1, 2543 - 1, 55 - 1) = "1" ), 1, IF( AND( OFFSET($A$1, 2543 - 1, 54 - 1) = "1", OFFSET($A$1, 2543 - 1, 55 - 1) = "0" ), 2, IF( AND( OFFSET($A$1, 2543 - 1, 54 - 1) = "0", OFFSET($A$1, 2543 - 1, 55 - 1) = "1" ), 3, 4 ) ) )</f>
        <v>4</v>
      </c>
    </row>
    <row r="2544" spans="53:56" x14ac:dyDescent="0.35">
      <c r="BA2544" s="3">
        <v>0.21780485542104794</v>
      </c>
      <c r="BB2544" s="3" t="str">
        <f>"0"</f>
        <v>0</v>
      </c>
      <c r="BC2544" t="str">
        <f ca="1">IF((OFFSET($A$1, 2544 - 1, 53 - 1)) &gt;= (OFFSET($A$1, 69 - 1, 7 - 1)), "1","0")</f>
        <v>0</v>
      </c>
      <c r="BD2544">
        <f ca="1" xml:space="preserve"> IF( AND( OFFSET($A$1, 2544 - 1, 54 - 1) = "1", OFFSET($A$1, 2544 - 1, 55 - 1) = "1" ), 1, IF( AND( OFFSET($A$1, 2544 - 1, 54 - 1) = "1", OFFSET($A$1, 2544 - 1, 55 - 1) = "0" ), 2, IF( AND( OFFSET($A$1, 2544 - 1, 54 - 1) = "0", OFFSET($A$1, 2544 - 1, 55 - 1) = "1" ), 3, 4 ) ) )</f>
        <v>4</v>
      </c>
    </row>
    <row r="2545" spans="53:56" x14ac:dyDescent="0.35">
      <c r="BA2545" s="3">
        <v>0.21699687502492848</v>
      </c>
      <c r="BB2545" s="3" t="str">
        <f>"0"</f>
        <v>0</v>
      </c>
      <c r="BC2545" t="str">
        <f ca="1">IF((OFFSET($A$1, 2545 - 1, 53 - 1)) &gt;= (OFFSET($A$1, 69 - 1, 7 - 1)), "1","0")</f>
        <v>0</v>
      </c>
      <c r="BD2545">
        <f ca="1" xml:space="preserve"> IF( AND( OFFSET($A$1, 2545 - 1, 54 - 1) = "1", OFFSET($A$1, 2545 - 1, 55 - 1) = "1" ), 1, IF( AND( OFFSET($A$1, 2545 - 1, 54 - 1) = "1", OFFSET($A$1, 2545 - 1, 55 - 1) = "0" ), 2, IF( AND( OFFSET($A$1, 2545 - 1, 54 - 1) = "0", OFFSET($A$1, 2545 - 1, 55 - 1) = "1" ), 3, 4 ) ) )</f>
        <v>4</v>
      </c>
    </row>
    <row r="2546" spans="53:56" x14ac:dyDescent="0.35">
      <c r="BA2546" s="3">
        <v>0.21620272155130349</v>
      </c>
      <c r="BB2546" s="3" t="str">
        <f>"0"</f>
        <v>0</v>
      </c>
      <c r="BC2546" t="str">
        <f ca="1">IF((OFFSET($A$1, 2546 - 1, 53 - 1)) &gt;= (OFFSET($A$1, 69 - 1, 7 - 1)), "1","0")</f>
        <v>0</v>
      </c>
      <c r="BD2546">
        <f ca="1" xml:space="preserve"> IF( AND( OFFSET($A$1, 2546 - 1, 54 - 1) = "1", OFFSET($A$1, 2546 - 1, 55 - 1) = "1" ), 1, IF( AND( OFFSET($A$1, 2546 - 1, 54 - 1) = "1", OFFSET($A$1, 2546 - 1, 55 - 1) = "0" ), 2, IF( AND( OFFSET($A$1, 2546 - 1, 54 - 1) = "0", OFFSET($A$1, 2546 - 1, 55 - 1) = "1" ), 3, 4 ) ) )</f>
        <v>4</v>
      </c>
    </row>
    <row r="2547" spans="53:56" x14ac:dyDescent="0.35">
      <c r="BA2547" s="3">
        <v>0.21542253649092744</v>
      </c>
      <c r="BB2547" s="3" t="str">
        <f>"0"</f>
        <v>0</v>
      </c>
      <c r="BC2547" t="str">
        <f ca="1">IF((OFFSET($A$1, 2547 - 1, 53 - 1)) &gt;= (OFFSET($A$1, 69 - 1, 7 - 1)), "1","0")</f>
        <v>0</v>
      </c>
      <c r="BD2547">
        <f ca="1" xml:space="preserve"> IF( AND( OFFSET($A$1, 2547 - 1, 54 - 1) = "1", OFFSET($A$1, 2547 - 1, 55 - 1) = "1" ), 1, IF( AND( OFFSET($A$1, 2547 - 1, 54 - 1) = "1", OFFSET($A$1, 2547 - 1, 55 - 1) = "0" ), 2, IF( AND( OFFSET($A$1, 2547 - 1, 54 - 1) = "0", OFFSET($A$1, 2547 - 1, 55 - 1) = "1" ), 3, 4 ) ) )</f>
        <v>4</v>
      </c>
    </row>
    <row r="2548" spans="53:56" x14ac:dyDescent="0.35">
      <c r="BA2548" s="3">
        <v>0.2146564567077614</v>
      </c>
      <c r="BB2548" s="3" t="str">
        <f>"0"</f>
        <v>0</v>
      </c>
      <c r="BC2548" t="str">
        <f ca="1">IF((OFFSET($A$1, 2548 - 1, 53 - 1)) &gt;= (OFFSET($A$1, 69 - 1, 7 - 1)), "1","0")</f>
        <v>0</v>
      </c>
      <c r="BD2548">
        <f ca="1" xml:space="preserve"> IF( AND( OFFSET($A$1, 2548 - 1, 54 - 1) = "1", OFFSET($A$1, 2548 - 1, 55 - 1) = "1" ), 1, IF( AND( OFFSET($A$1, 2548 - 1, 54 - 1) = "1", OFFSET($A$1, 2548 - 1, 55 - 1) = "0" ), 2, IF( AND( OFFSET($A$1, 2548 - 1, 54 - 1) = "0", OFFSET($A$1, 2548 - 1, 55 - 1) = "1" ), 3, 4 ) ) )</f>
        <v>4</v>
      </c>
    </row>
    <row r="2549" spans="53:56" x14ac:dyDescent="0.35">
      <c r="BA2549" s="3">
        <v>0.21390461451736573</v>
      </c>
      <c r="BB2549" s="3" t="str">
        <f>"1"</f>
        <v>1</v>
      </c>
      <c r="BC2549" t="str">
        <f ca="1">IF((OFFSET($A$1, 2549 - 1, 53 - 1)) &gt;= (OFFSET($A$1, 69 - 1, 7 - 1)), "1","0")</f>
        <v>0</v>
      </c>
      <c r="BD2549">
        <f ca="1" xml:space="preserve"> IF( AND( OFFSET($A$1, 2549 - 1, 54 - 1) = "1", OFFSET($A$1, 2549 - 1, 55 - 1) = "1" ), 1, IF( AND( OFFSET($A$1, 2549 - 1, 54 - 1) = "1", OFFSET($A$1, 2549 - 1, 55 - 1) = "0" ), 2, IF( AND( OFFSET($A$1, 2549 - 1, 54 - 1) = "0", OFFSET($A$1, 2549 - 1, 55 - 1) = "1" ), 3, 4 ) ) )</f>
        <v>2</v>
      </c>
    </row>
    <row r="2550" spans="53:56" x14ac:dyDescent="0.35">
      <c r="BA2550" s="3">
        <v>0.45819701671146812</v>
      </c>
      <c r="BB2550" s="3" t="str">
        <f>"0"</f>
        <v>0</v>
      </c>
      <c r="BC2550" t="str">
        <f ca="1">IF((OFFSET($A$1, 2550 - 1, 53 - 1)) &gt;= (OFFSET($A$1, 69 - 1, 7 - 1)), "1","0")</f>
        <v>0</v>
      </c>
      <c r="BD2550">
        <f ca="1" xml:space="preserve"> IF( AND( OFFSET($A$1, 2550 - 1, 54 - 1) = "1", OFFSET($A$1, 2550 - 1, 55 - 1) = "1" ), 1, IF( AND( OFFSET($A$1, 2550 - 1, 54 - 1) = "1", OFFSET($A$1, 2550 - 1, 55 - 1) = "0" ), 2, IF( AND( OFFSET($A$1, 2550 - 1, 54 - 1) = "0", OFFSET($A$1, 2550 - 1, 55 - 1) = "1" ), 3, 4 ) ) )</f>
        <v>4</v>
      </c>
    </row>
    <row r="2551" spans="53:56" x14ac:dyDescent="0.35">
      <c r="BA2551" s="3">
        <v>0.21244414991575328</v>
      </c>
      <c r="BB2551" s="3" t="str">
        <f>"1"</f>
        <v>1</v>
      </c>
      <c r="BC2551" t="str">
        <f ca="1">IF((OFFSET($A$1, 2551 - 1, 53 - 1)) &gt;= (OFFSET($A$1, 69 - 1, 7 - 1)), "1","0")</f>
        <v>0</v>
      </c>
      <c r="BD2551">
        <f ca="1" xml:space="preserve"> IF( AND( OFFSET($A$1, 2551 - 1, 54 - 1) = "1", OFFSET($A$1, 2551 - 1, 55 - 1) = "1" ), 1, IF( AND( OFFSET($A$1, 2551 - 1, 54 - 1) = "1", OFFSET($A$1, 2551 - 1, 55 - 1) = "0" ), 2, IF( AND( OFFSET($A$1, 2551 - 1, 54 - 1) = "0", OFFSET($A$1, 2551 - 1, 55 - 1) = "1" ), 3, 4 ) ) )</f>
        <v>2</v>
      </c>
    </row>
    <row r="2552" spans="53:56" x14ac:dyDescent="0.35">
      <c r="BA2552" s="3">
        <v>0.45607401086093657</v>
      </c>
      <c r="BB2552" s="3" t="str">
        <f>"1"</f>
        <v>1</v>
      </c>
      <c r="BC2552" t="str">
        <f ca="1">IF((OFFSET($A$1, 2552 - 1, 53 - 1)) &gt;= (OFFSET($A$1, 69 - 1, 7 - 1)), "1","0")</f>
        <v>0</v>
      </c>
      <c r="BD2552">
        <f ca="1" xml:space="preserve"> IF( AND( OFFSET($A$1, 2552 - 1, 54 - 1) = "1", OFFSET($A$1, 2552 - 1, 55 - 1) = "1" ), 1, IF( AND( OFFSET($A$1, 2552 - 1, 54 - 1) = "1", OFFSET($A$1, 2552 - 1, 55 - 1) = "0" ), 2, IF( AND( OFFSET($A$1, 2552 - 1, 54 - 1) = "0", OFFSET($A$1, 2552 - 1, 55 - 1) = "1" ), 3, 4 ) ) )</f>
        <v>2</v>
      </c>
    </row>
    <row r="2553" spans="53:56" x14ac:dyDescent="0.35">
      <c r="BA2553" s="3">
        <v>0.45504197455183787</v>
      </c>
      <c r="BB2553" s="3" t="str">
        <f>"1"</f>
        <v>1</v>
      </c>
      <c r="BC2553" t="str">
        <f ca="1">IF((OFFSET($A$1, 2553 - 1, 53 - 1)) &gt;= (OFFSET($A$1, 69 - 1, 7 - 1)), "1","0")</f>
        <v>0</v>
      </c>
      <c r="BD2553">
        <f ca="1" xml:space="preserve"> IF( AND( OFFSET($A$1, 2553 - 1, 54 - 1) = "1", OFFSET($A$1, 2553 - 1, 55 - 1) = "1" ), 1, IF( AND( OFFSET($A$1, 2553 - 1, 54 - 1) = "1", OFFSET($A$1, 2553 - 1, 55 - 1) = "0" ), 2, IF( AND( OFFSET($A$1, 2553 - 1, 54 - 1) = "0", OFFSET($A$1, 2553 - 1, 55 - 1) = "1" ), 3, 4 ) ) )</f>
        <v>2</v>
      </c>
    </row>
    <row r="2554" spans="53:56" x14ac:dyDescent="0.35">
      <c r="BA2554" s="3">
        <v>0.45402997488940378</v>
      </c>
      <c r="BB2554" s="3" t="str">
        <f>"0"</f>
        <v>0</v>
      </c>
      <c r="BC2554" t="str">
        <f ca="1">IF((OFFSET($A$1, 2554 - 1, 53 - 1)) &gt;= (OFFSET($A$1, 69 - 1, 7 - 1)), "1","0")</f>
        <v>0</v>
      </c>
      <c r="BD2554">
        <f ca="1" xml:space="preserve"> IF( AND( OFFSET($A$1, 2554 - 1, 54 - 1) = "1", OFFSET($A$1, 2554 - 1, 55 - 1) = "1" ), 1, IF( AND( OFFSET($A$1, 2554 - 1, 54 - 1) = "1", OFFSET($A$1, 2554 - 1, 55 - 1) = "0" ), 2, IF( AND( OFFSET($A$1, 2554 - 1, 54 - 1) = "0", OFFSET($A$1, 2554 - 1, 55 - 1) = "1" ), 3, 4 ) ) )</f>
        <v>4</v>
      </c>
    </row>
    <row r="2555" spans="53:56" x14ac:dyDescent="0.35">
      <c r="BA2555" s="3">
        <v>0.20969940778006016</v>
      </c>
      <c r="BB2555" s="3" t="str">
        <f>"0"</f>
        <v>0</v>
      </c>
      <c r="BC2555" t="str">
        <f ca="1">IF((OFFSET($A$1, 2555 - 1, 53 - 1)) &gt;= (OFFSET($A$1, 69 - 1, 7 - 1)), "1","0")</f>
        <v>0</v>
      </c>
      <c r="BD2555">
        <f ca="1" xml:space="preserve"> IF( AND( OFFSET($A$1, 2555 - 1, 54 - 1) = "1", OFFSET($A$1, 2555 - 1, 55 - 1) = "1" ), 1, IF( AND( OFFSET($A$1, 2555 - 1, 54 - 1) = "1", OFFSET($A$1, 2555 - 1, 55 - 1) = "0" ), 2, IF( AND( OFFSET($A$1, 2555 - 1, 54 - 1) = "0", OFFSET($A$1, 2555 - 1, 55 - 1) = "1" ), 3, 4 ) ) )</f>
        <v>4</v>
      </c>
    </row>
    <row r="2556" spans="53:56" x14ac:dyDescent="0.35">
      <c r="BA2556" s="3">
        <v>0.2090505685765397</v>
      </c>
      <c r="BB2556" s="3" t="str">
        <f>"0"</f>
        <v>0</v>
      </c>
      <c r="BC2556" t="str">
        <f ca="1">IF((OFFSET($A$1, 2556 - 1, 53 - 1)) &gt;= (OFFSET($A$1, 69 - 1, 7 - 1)), "1","0")</f>
        <v>0</v>
      </c>
      <c r="BD2556">
        <f ca="1" xml:space="preserve"> IF( AND( OFFSET($A$1, 2556 - 1, 54 - 1) = "1", OFFSET($A$1, 2556 - 1, 55 - 1) = "1" ), 1, IF( AND( OFFSET($A$1, 2556 - 1, 54 - 1) = "1", OFFSET($A$1, 2556 - 1, 55 - 1) = "0" ), 2, IF( AND( OFFSET($A$1, 2556 - 1, 54 - 1) = "0", OFFSET($A$1, 2556 - 1, 55 - 1) = "1" ), 3, 4 ) ) )</f>
        <v>4</v>
      </c>
    </row>
    <row r="2557" spans="53:56" x14ac:dyDescent="0.35">
      <c r="BA2557" s="3">
        <v>0.20841687156327235</v>
      </c>
      <c r="BB2557" s="3" t="str">
        <f>"0"</f>
        <v>0</v>
      </c>
      <c r="BC2557" t="str">
        <f ca="1">IF((OFFSET($A$1, 2557 - 1, 53 - 1)) &gt;= (OFFSET($A$1, 69 - 1, 7 - 1)), "1","0")</f>
        <v>0</v>
      </c>
      <c r="BD2557">
        <f ca="1" xml:space="preserve"> IF( AND( OFFSET($A$1, 2557 - 1, 54 - 1) = "1", OFFSET($A$1, 2557 - 1, 55 - 1) = "1" ), 1, IF( AND( OFFSET($A$1, 2557 - 1, 54 - 1) = "1", OFFSET($A$1, 2557 - 1, 55 - 1) = "0" ), 2, IF( AND( OFFSET($A$1, 2557 - 1, 54 - 1) = "0", OFFSET($A$1, 2557 - 1, 55 - 1) = "1" ), 3, 4 ) ) )</f>
        <v>4</v>
      </c>
    </row>
    <row r="2558" spans="53:56" x14ac:dyDescent="0.35">
      <c r="BA2558" s="3">
        <v>0.20779841183435233</v>
      </c>
      <c r="BB2558" s="3" t="str">
        <f>"1"</f>
        <v>1</v>
      </c>
      <c r="BC2558" t="str">
        <f ca="1">IF((OFFSET($A$1, 2558 - 1, 53 - 1)) &gt;= (OFFSET($A$1, 69 - 1, 7 - 1)), "1","0")</f>
        <v>0</v>
      </c>
      <c r="BD2558">
        <f ca="1" xml:space="preserve"> IF( AND( OFFSET($A$1, 2558 - 1, 54 - 1) = "1", OFFSET($A$1, 2558 - 1, 55 - 1) = "1" ), 1, IF( AND( OFFSET($A$1, 2558 - 1, 54 - 1) = "1", OFFSET($A$1, 2558 - 1, 55 - 1) = "0" ), 2, IF( AND( OFFSET($A$1, 2558 - 1, 54 - 1) = "0", OFFSET($A$1, 2558 - 1, 55 - 1) = "1" ), 3, 4 ) ) )</f>
        <v>2</v>
      </c>
    </row>
    <row r="2559" spans="53:56" x14ac:dyDescent="0.35">
      <c r="BA2559" s="3">
        <v>0.44928028290872291</v>
      </c>
      <c r="BB2559" s="3" t="str">
        <f>"1"</f>
        <v>1</v>
      </c>
      <c r="BC2559" t="str">
        <f ca="1">IF((OFFSET($A$1, 2559 - 1, 53 - 1)) &gt;= (OFFSET($A$1, 69 - 1, 7 - 1)), "1","0")</f>
        <v>0</v>
      </c>
      <c r="BD2559">
        <f ca="1" xml:space="preserve"> IF( AND( OFFSET($A$1, 2559 - 1, 54 - 1) = "1", OFFSET($A$1, 2559 - 1, 55 - 1) = "1" ), 1, IF( AND( OFFSET($A$1, 2559 - 1, 54 - 1) = "1", OFFSET($A$1, 2559 - 1, 55 - 1) = "0" ), 2, IF( AND( OFFSET($A$1, 2559 - 1, 54 - 1) = "0", OFFSET($A$1, 2559 - 1, 55 - 1) = "1" ), 3, 4 ) ) )</f>
        <v>2</v>
      </c>
    </row>
    <row r="2560" spans="53:56" x14ac:dyDescent="0.35">
      <c r="BA2560" s="3">
        <v>0.44839426044706748</v>
      </c>
      <c r="BB2560" s="3" t="str">
        <f>"0"</f>
        <v>0</v>
      </c>
      <c r="BC2560" t="str">
        <f ca="1">IF((OFFSET($A$1, 2560 - 1, 53 - 1)) &gt;= (OFFSET($A$1, 69 - 1, 7 - 1)), "1","0")</f>
        <v>0</v>
      </c>
      <c r="BD2560">
        <f ca="1" xml:space="preserve"> IF( AND( OFFSET($A$1, 2560 - 1, 54 - 1) = "1", OFFSET($A$1, 2560 - 1, 55 - 1) = "1" ), 1, IF( AND( OFFSET($A$1, 2560 - 1, 54 - 1) = "1", OFFSET($A$1, 2560 - 1, 55 - 1) = "0" ), 2, IF( AND( OFFSET($A$1, 2560 - 1, 54 - 1) = "0", OFFSET($A$1, 2560 - 1, 55 - 1) = "1" ), 3, 4 ) ) )</f>
        <v>4</v>
      </c>
    </row>
    <row r="2561" spans="53:56" x14ac:dyDescent="0.35">
      <c r="BA2561" s="3">
        <v>0.20603535212479168</v>
      </c>
      <c r="BB2561" s="3" t="str">
        <f>"0"</f>
        <v>0</v>
      </c>
      <c r="BC2561" t="str">
        <f ca="1">IF((OFFSET($A$1, 2561 - 1, 53 - 1)) &gt;= (OFFSET($A$1, 69 - 1, 7 - 1)), "1","0")</f>
        <v>0</v>
      </c>
      <c r="BD2561">
        <f ca="1" xml:space="preserve"> IF( AND( OFFSET($A$1, 2561 - 1, 54 - 1) = "1", OFFSET($A$1, 2561 - 1, 55 - 1) = "1" ), 1, IF( AND( OFFSET($A$1, 2561 - 1, 54 - 1) = "1", OFFSET($A$1, 2561 - 1, 55 - 1) = "0" ), 2, IF( AND( OFFSET($A$1, 2561 - 1, 54 - 1) = "0", OFFSET($A$1, 2561 - 1, 55 - 1) = "1" ), 3, 4 ) ) )</f>
        <v>4</v>
      </c>
    </row>
    <row r="2562" spans="53:56" x14ac:dyDescent="0.35">
      <c r="BA2562" s="3">
        <v>0.20547871950816934</v>
      </c>
      <c r="BB2562" s="3" t="str">
        <f>"0"</f>
        <v>0</v>
      </c>
      <c r="BC2562" t="str">
        <f ca="1">IF((OFFSET($A$1, 2562 - 1, 53 - 1)) &gt;= (OFFSET($A$1, 69 - 1, 7 - 1)), "1","0")</f>
        <v>0</v>
      </c>
      <c r="BD2562">
        <f ca="1" xml:space="preserve"> IF( AND( OFFSET($A$1, 2562 - 1, 54 - 1) = "1", OFFSET($A$1, 2562 - 1, 55 - 1) = "1" ), 1, IF( AND( OFFSET($A$1, 2562 - 1, 54 - 1) = "1", OFFSET($A$1, 2562 - 1, 55 - 1) = "0" ), 2, IF( AND( OFFSET($A$1, 2562 - 1, 54 - 1) = "0", OFFSET($A$1, 2562 - 1, 55 - 1) = "1" ), 3, 4 ) ) )</f>
        <v>4</v>
      </c>
    </row>
    <row r="2563" spans="53:56" x14ac:dyDescent="0.35">
      <c r="BA2563" s="3">
        <v>0.20493774566161851</v>
      </c>
      <c r="BB2563" s="3" t="str">
        <f>"0"</f>
        <v>0</v>
      </c>
      <c r="BC2563" t="str">
        <f ca="1">IF((OFFSET($A$1, 2563 - 1, 53 - 1)) &gt;= (OFFSET($A$1, 69 - 1, 7 - 1)), "1","0")</f>
        <v>0</v>
      </c>
      <c r="BD2563">
        <f ca="1" xml:space="preserve"> IF( AND( OFFSET($A$1, 2563 - 1, 54 - 1) = "1", OFFSET($A$1, 2563 - 1, 55 - 1) = "1" ), 1, IF( AND( OFFSET($A$1, 2563 - 1, 54 - 1) = "1", OFFSET($A$1, 2563 - 1, 55 - 1) = "0" ), 2, IF( AND( OFFSET($A$1, 2563 - 1, 54 - 1) = "0", OFFSET($A$1, 2563 - 1, 55 - 1) = "1" ), 3, 4 ) ) )</f>
        <v>4</v>
      </c>
    </row>
    <row r="2564" spans="53:56" x14ac:dyDescent="0.35">
      <c r="BA2564" s="3">
        <v>0.20441250467375885</v>
      </c>
      <c r="BB2564" s="3" t="str">
        <f>"0"</f>
        <v>0</v>
      </c>
      <c r="BC2564" t="str">
        <f ca="1">IF((OFFSET($A$1, 2564 - 1, 53 - 1)) &gt;= (OFFSET($A$1, 69 - 1, 7 - 1)), "1","0")</f>
        <v>0</v>
      </c>
      <c r="BD2564">
        <f ca="1" xml:space="preserve"> IF( AND( OFFSET($A$1, 2564 - 1, 54 - 1) = "1", OFFSET($A$1, 2564 - 1, 55 - 1) = "1" ), 1, IF( AND( OFFSET($A$1, 2564 - 1, 54 - 1) = "1", OFFSET($A$1, 2564 - 1, 55 - 1) = "0" ), 2, IF( AND( OFFSET($A$1, 2564 - 1, 54 - 1) = "0", OFFSET($A$1, 2564 - 1, 55 - 1) = "1" ), 3, 4 ) ) )</f>
        <v>4</v>
      </c>
    </row>
    <row r="2565" spans="53:56" x14ac:dyDescent="0.35">
      <c r="BA2565" s="3">
        <v>0.20390306742307263</v>
      </c>
      <c r="BB2565" s="3" t="str">
        <f>"1"</f>
        <v>1</v>
      </c>
      <c r="BC2565" t="str">
        <f ca="1">IF((OFFSET($A$1, 2565 - 1, 53 - 1)) &gt;= (OFFSET($A$1, 69 - 1, 7 - 1)), "1","0")</f>
        <v>0</v>
      </c>
      <c r="BD2565">
        <f ca="1" xml:space="preserve"> IF( AND( OFFSET($A$1, 2565 - 1, 54 - 1) = "1", OFFSET($A$1, 2565 - 1, 55 - 1) = "1" ), 1, IF( AND( OFFSET($A$1, 2565 - 1, 54 - 1) = "1", OFFSET($A$1, 2565 - 1, 55 - 1) = "0" ), 2, IF( AND( OFFSET($A$1, 2565 - 1, 54 - 1) = "0", OFFSET($A$1, 2565 - 1, 55 - 1) = "1" ), 3, 4 ) ) )</f>
        <v>2</v>
      </c>
    </row>
    <row r="2566" spans="53:56" x14ac:dyDescent="0.35">
      <c r="BA2566" s="3">
        <v>0.44354589590946442</v>
      </c>
      <c r="BB2566" s="3" t="str">
        <f>"0"</f>
        <v>0</v>
      </c>
      <c r="BC2566" t="str">
        <f ca="1">IF((OFFSET($A$1, 2566 - 1, 53 - 1)) &gt;= (OFFSET($A$1, 69 - 1, 7 - 1)), "1","0")</f>
        <v>0</v>
      </c>
      <c r="BD2566">
        <f ca="1" xml:space="preserve"> IF( AND( OFFSET($A$1, 2566 - 1, 54 - 1) = "1", OFFSET($A$1, 2566 - 1, 55 - 1) = "1" ), 1, IF( AND( OFFSET($A$1, 2566 - 1, 54 - 1) = "1", OFFSET($A$1, 2566 - 1, 55 - 1) = "0" ), 2, IF( AND( OFFSET($A$1, 2566 - 1, 54 - 1) = "0", OFFSET($A$1, 2566 - 1, 55 - 1) = "1" ), 3, 4 ) ) )</f>
        <v>4</v>
      </c>
    </row>
    <row r="2567" spans="53:56" x14ac:dyDescent="0.35">
      <c r="BA2567" s="3">
        <v>0.20293187207888852</v>
      </c>
      <c r="BB2567" s="3" t="str">
        <f>"0"</f>
        <v>0</v>
      </c>
      <c r="BC2567" t="str">
        <f ca="1">IF((OFFSET($A$1, 2567 - 1, 53 - 1)) &gt;= (OFFSET($A$1, 69 - 1, 7 - 1)), "1","0")</f>
        <v>0</v>
      </c>
      <c r="BD2567">
        <f ca="1" xml:space="preserve"> IF( AND( OFFSET($A$1, 2567 - 1, 54 - 1) = "1", OFFSET($A$1, 2567 - 1, 55 - 1) = "1" ), 1, IF( AND( OFFSET($A$1, 2567 - 1, 54 - 1) = "1", OFFSET($A$1, 2567 - 1, 55 - 1) = "0" ), 2, IF( AND( OFFSET($A$1, 2567 - 1, 54 - 1) = "0", OFFSET($A$1, 2567 - 1, 55 - 1) = "1" ), 3, 4 ) ) )</f>
        <v>4</v>
      </c>
    </row>
    <row r="2568" spans="53:56" x14ac:dyDescent="0.35">
      <c r="BA2568" s="3">
        <v>0.20247024041088091</v>
      </c>
      <c r="BB2568" s="3" t="str">
        <f>"0"</f>
        <v>0</v>
      </c>
      <c r="BC2568" t="str">
        <f ca="1">IF((OFFSET($A$1, 2568 - 1, 53 - 1)) &gt;= (OFFSET($A$1, 69 - 1, 7 - 1)), "1","0")</f>
        <v>0</v>
      </c>
      <c r="BD2568">
        <f ca="1" xml:space="preserve"> IF( AND( OFFSET($A$1, 2568 - 1, 54 - 1) = "1", OFFSET($A$1, 2568 - 1, 55 - 1) = "1" ), 1, IF( AND( OFFSET($A$1, 2568 - 1, 54 - 1) = "1", OFFSET($A$1, 2568 - 1, 55 - 1) = "0" ), 2, IF( AND( OFFSET($A$1, 2568 - 1, 54 - 1) = "0", OFFSET($A$1, 2568 - 1, 55 - 1) = "1" ), 3, 4 ) ) )</f>
        <v>4</v>
      </c>
    </row>
    <row r="2569" spans="53:56" x14ac:dyDescent="0.35">
      <c r="BA2569" s="3">
        <v>0.20202466548559939</v>
      </c>
      <c r="BB2569" s="3" t="str">
        <f>"0"</f>
        <v>0</v>
      </c>
      <c r="BC2569" t="str">
        <f ca="1">IF((OFFSET($A$1, 2569 - 1, 53 - 1)) &gt;= (OFFSET($A$1, 69 - 1, 7 - 1)), "1","0")</f>
        <v>0</v>
      </c>
      <c r="BD2569">
        <f ca="1" xml:space="preserve"> IF( AND( OFFSET($A$1, 2569 - 1, 54 - 1) = "1", OFFSET($A$1, 2569 - 1, 55 - 1) = "1" ), 1, IF( AND( OFFSET($A$1, 2569 - 1, 54 - 1) = "1", OFFSET($A$1, 2569 - 1, 55 - 1) = "0" ), 2, IF( AND( OFFSET($A$1, 2569 - 1, 54 - 1) = "0", OFFSET($A$1, 2569 - 1, 55 - 1) = "1" ), 3, 4 ) ) )</f>
        <v>4</v>
      </c>
    </row>
    <row r="2570" spans="53:56" x14ac:dyDescent="0.35">
      <c r="BA2570" s="3">
        <v>0.20159520331352943</v>
      </c>
      <c r="BB2570" s="3" t="str">
        <f>"0"</f>
        <v>0</v>
      </c>
      <c r="BC2570" t="str">
        <f ca="1">IF((OFFSET($A$1, 2570 - 1, 53 - 1)) &gt;= (OFFSET($A$1, 69 - 1, 7 - 1)), "1","0")</f>
        <v>0</v>
      </c>
      <c r="BD2570">
        <f ca="1" xml:space="preserve"> IF( AND( OFFSET($A$1, 2570 - 1, 54 - 1) = "1", OFFSET($A$1, 2570 - 1, 55 - 1) = "1" ), 1, IF( AND( OFFSET($A$1, 2570 - 1, 54 - 1) = "1", OFFSET($A$1, 2570 - 1, 55 - 1) = "0" ), 2, IF( AND( OFFSET($A$1, 2570 - 1, 54 - 1) = "0", OFFSET($A$1, 2570 - 1, 55 - 1) = "1" ), 3, 4 ) ) )</f>
        <v>4</v>
      </c>
    </row>
    <row r="2571" spans="53:56" x14ac:dyDescent="0.35">
      <c r="BA2571" s="3">
        <v>0.2011819071577759</v>
      </c>
      <c r="BB2571" s="3" t="str">
        <f>"0"</f>
        <v>0</v>
      </c>
      <c r="BC2571" t="str">
        <f ca="1">IF((OFFSET($A$1, 2571 - 1, 53 - 1)) &gt;= (OFFSET($A$1, 69 - 1, 7 - 1)), "1","0")</f>
        <v>0</v>
      </c>
      <c r="BD2571">
        <f ca="1" xml:space="preserve"> IF( AND( OFFSET($A$1, 2571 - 1, 54 - 1) = "1", OFFSET($A$1, 2571 - 1, 55 - 1) = "1" ), 1, IF( AND( OFFSET($A$1, 2571 - 1, 54 - 1) = "1", OFFSET($A$1, 2571 - 1, 55 - 1) = "0" ), 2, IF( AND( OFFSET($A$1, 2571 - 1, 54 - 1) = "0", OFFSET($A$1, 2571 - 1, 55 - 1) = "1" ), 3, 4 ) ) )</f>
        <v>4</v>
      </c>
    </row>
    <row r="2572" spans="53:56" x14ac:dyDescent="0.35">
      <c r="BA2572" s="3">
        <v>0.20078482760548974</v>
      </c>
      <c r="BB2572" s="3" t="str">
        <f>"0"</f>
        <v>0</v>
      </c>
      <c r="BC2572" t="str">
        <f ca="1">IF((OFFSET($A$1, 2572 - 1, 53 - 1)) &gt;= (OFFSET($A$1, 69 - 1, 7 - 1)), "1","0")</f>
        <v>0</v>
      </c>
      <c r="BD2572">
        <f ca="1" xml:space="preserve"> IF( AND( OFFSET($A$1, 2572 - 1, 54 - 1) = "1", OFFSET($A$1, 2572 - 1, 55 - 1) = "1" ), 1, IF( AND( OFFSET($A$1, 2572 - 1, 54 - 1) = "1", OFFSET($A$1, 2572 - 1, 55 - 1) = "0" ), 2, IF( AND( OFFSET($A$1, 2572 - 1, 54 - 1) = "0", OFFSET($A$1, 2572 - 1, 55 - 1) = "1" ), 3, 4 ) ) )</f>
        <v>4</v>
      </c>
    </row>
    <row r="2573" spans="53:56" x14ac:dyDescent="0.35">
      <c r="BA2573" s="3">
        <v>0.20040401263737051</v>
      </c>
      <c r="BB2573" s="3" t="str">
        <f>"0"</f>
        <v>0</v>
      </c>
      <c r="BC2573" t="str">
        <f ca="1">IF((OFFSET($A$1, 2573 - 1, 53 - 1)) &gt;= (OFFSET($A$1, 69 - 1, 7 - 1)), "1","0")</f>
        <v>0</v>
      </c>
      <c r="BD2573">
        <f ca="1" xml:space="preserve"> IF( AND( OFFSET($A$1, 2573 - 1, 54 - 1) = "1", OFFSET($A$1, 2573 - 1, 55 - 1) = "1" ), 1, IF( AND( OFFSET($A$1, 2573 - 1, 54 - 1) = "1", OFFSET($A$1, 2573 - 1, 55 - 1) = "0" ), 2, IF( AND( OFFSET($A$1, 2573 - 1, 54 - 1) = "0", OFFSET($A$1, 2573 - 1, 55 - 1) = "1" ), 3, 4 ) ) )</f>
        <v>4</v>
      </c>
    </row>
    <row r="2574" spans="53:56" x14ac:dyDescent="0.35">
      <c r="BA2574" s="3">
        <v>0.20003950769514484</v>
      </c>
      <c r="BB2574" s="3" t="str">
        <f>"0"</f>
        <v>0</v>
      </c>
      <c r="BC2574" t="str">
        <f ca="1">IF((OFFSET($A$1, 2574 - 1, 53 - 1)) &gt;= (OFFSET($A$1, 69 - 1, 7 - 1)), "1","0")</f>
        <v>0</v>
      </c>
      <c r="BD2574">
        <f ca="1" xml:space="preserve"> IF( AND( OFFSET($A$1, 2574 - 1, 54 - 1) = "1", OFFSET($A$1, 2574 - 1, 55 - 1) = "1" ), 1, IF( AND( OFFSET($A$1, 2574 - 1, 54 - 1) = "1", OFFSET($A$1, 2574 - 1, 55 - 1) = "0" ), 2, IF( AND( OFFSET($A$1, 2574 - 1, 54 - 1) = "0", OFFSET($A$1, 2574 - 1, 55 - 1) = "1" ), 3, 4 ) ) )</f>
        <v>4</v>
      </c>
    </row>
    <row r="2575" spans="53:56" x14ac:dyDescent="0.35">
      <c r="BA2575" s="3">
        <v>0.19969135574692856</v>
      </c>
      <c r="BB2575" s="3" t="str">
        <f>"0"</f>
        <v>0</v>
      </c>
      <c r="BC2575" t="str">
        <f ca="1">IF((OFFSET($A$1, 2575 - 1, 53 - 1)) &gt;= (OFFSET($A$1, 69 - 1, 7 - 1)), "1","0")</f>
        <v>0</v>
      </c>
      <c r="BD2575">
        <f ca="1" xml:space="preserve"> IF( AND( OFFSET($A$1, 2575 - 1, 54 - 1) = "1", OFFSET($A$1, 2575 - 1, 55 - 1) = "1" ), 1, IF( AND( OFFSET($A$1, 2575 - 1, 54 - 1) = "1", OFFSET($A$1, 2575 - 1, 55 - 1) = "0" ), 2, IF( AND( OFFSET($A$1, 2575 - 1, 54 - 1) = "0", OFFSET($A$1, 2575 - 1, 55 - 1) = "1" ), 3, 4 ) ) )</f>
        <v>4</v>
      </c>
    </row>
    <row r="2576" spans="53:56" x14ac:dyDescent="0.35">
      <c r="BA2576" s="3">
        <v>0.19935959735037626</v>
      </c>
      <c r="BB2576" s="3" t="str">
        <f>"1"</f>
        <v>1</v>
      </c>
      <c r="BC2576" t="str">
        <f ca="1">IF((OFFSET($A$1, 2576 - 1, 53 - 1)) &gt;= (OFFSET($A$1, 69 - 1, 7 - 1)), "1","0")</f>
        <v>0</v>
      </c>
      <c r="BD2576">
        <f ca="1" xml:space="preserve"> IF( AND( OFFSET($A$1, 2576 - 1, 54 - 1) = "1", OFFSET($A$1, 2576 - 1, 55 - 1) = "1" ), 1, IF( AND( OFFSET($A$1, 2576 - 1, 54 - 1) = "1", OFFSET($A$1, 2576 - 1, 55 - 1) = "0" ), 2, IF( AND( OFFSET($A$1, 2576 - 1, 54 - 1) = "0", OFFSET($A$1, 2576 - 1, 55 - 1) = "1" ), 3, 4 ) ) )</f>
        <v>2</v>
      </c>
    </row>
    <row r="2577" spans="53:56" x14ac:dyDescent="0.35">
      <c r="BA2577" s="3">
        <v>0.43685340944665157</v>
      </c>
      <c r="BB2577" s="3" t="str">
        <f>"1"</f>
        <v>1</v>
      </c>
      <c r="BC2577" t="str">
        <f ca="1">IF((OFFSET($A$1, 2577 - 1, 53 - 1)) &gt;= (OFFSET($A$1, 69 - 1, 7 - 1)), "1","0")</f>
        <v>0</v>
      </c>
      <c r="BD2577">
        <f ca="1" xml:space="preserve"> IF( AND( OFFSET($A$1, 2577 - 1, 54 - 1) = "1", OFFSET($A$1, 2577 - 1, 55 - 1) = "1" ), 1, IF( AND( OFFSET($A$1, 2577 - 1, 54 - 1) = "1", OFFSET($A$1, 2577 - 1, 55 - 1) = "0" ), 2, IF( AND( OFFSET($A$1, 2577 - 1, 54 - 1) = "0", OFFSET($A$1, 2577 - 1, 55 - 1) = "1" ), 3, 4 ) ) )</f>
        <v>2</v>
      </c>
    </row>
    <row r="2578" spans="53:56" x14ac:dyDescent="0.35">
      <c r="BA2578" s="3">
        <v>0.43639202927499859</v>
      </c>
      <c r="BB2578" s="3" t="str">
        <f>"1"</f>
        <v>1</v>
      </c>
      <c r="BC2578" t="str">
        <f ca="1">IF((OFFSET($A$1, 2578 - 1, 53 - 1)) &gt;= (OFFSET($A$1, 69 - 1, 7 - 1)), "1","0")</f>
        <v>0</v>
      </c>
      <c r="BD2578">
        <f ca="1" xml:space="preserve"> IF( AND( OFFSET($A$1, 2578 - 1, 54 - 1) = "1", OFFSET($A$1, 2578 - 1, 55 - 1) = "1" ), 1, IF( AND( OFFSET($A$1, 2578 - 1, 54 - 1) = "1", OFFSET($A$1, 2578 - 1, 55 - 1) = "0" ), 2, IF( AND( OFFSET($A$1, 2578 - 1, 54 - 1) = "0", OFFSET($A$1, 2578 - 1, 55 - 1) = "1" ), 3, 4 ) ) )</f>
        <v>2</v>
      </c>
    </row>
    <row r="2579" spans="53:56" x14ac:dyDescent="0.35">
      <c r="BA2579" s="3">
        <v>0.43595574574634127</v>
      </c>
      <c r="BB2579" s="3" t="str">
        <f>"1"</f>
        <v>1</v>
      </c>
      <c r="BC2579" t="str">
        <f ca="1">IF((OFFSET($A$1, 2579 - 1, 53 - 1)) &gt;= (OFFSET($A$1, 69 - 1, 7 - 1)), "1","0")</f>
        <v>0</v>
      </c>
      <c r="BD2579">
        <f ca="1" xml:space="preserve"> IF( AND( OFFSET($A$1, 2579 - 1, 54 - 1) = "1", OFFSET($A$1, 2579 - 1, 55 - 1) = "1" ), 1, IF( AND( OFFSET($A$1, 2579 - 1, 54 - 1) = "1", OFFSET($A$1, 2579 - 1, 55 - 1) = "0" ), 2, IF( AND( OFFSET($A$1, 2579 - 1, 54 - 1) = "0", OFFSET($A$1, 2579 - 1, 55 - 1) = "1" ), 3, 4 ) ) )</f>
        <v>2</v>
      </c>
    </row>
    <row r="2580" spans="53:56" x14ac:dyDescent="0.35">
      <c r="BA2580" s="3">
        <v>0.43554467160041155</v>
      </c>
      <c r="BB2580" s="3" t="str">
        <f>"0"</f>
        <v>0</v>
      </c>
      <c r="BC2580" t="str">
        <f ca="1">IF((OFFSET($A$1, 2580 - 1, 53 - 1)) &gt;= (OFFSET($A$1, 69 - 1, 7 - 1)), "1","0")</f>
        <v>0</v>
      </c>
      <c r="BD2580">
        <f ca="1" xml:space="preserve"> IF( AND( OFFSET($A$1, 2580 - 1, 54 - 1) = "1", OFFSET($A$1, 2580 - 1, 55 - 1) = "1" ), 1, IF( AND( OFFSET($A$1, 2580 - 1, 54 - 1) = "1", OFFSET($A$1, 2580 - 1, 55 - 1) = "0" ), 2, IF( AND( OFFSET($A$1, 2580 - 1, 54 - 1) = "0", OFFSET($A$1, 2580 - 1, 55 - 1) = "1" ), 3, 4 ) ) )</f>
        <v>4</v>
      </c>
    </row>
    <row r="2581" spans="53:56" x14ac:dyDescent="0.35">
      <c r="BA2581" s="3">
        <v>0.19794796689265354</v>
      </c>
      <c r="BB2581" s="3" t="str">
        <f>"0"</f>
        <v>0</v>
      </c>
      <c r="BC2581" t="str">
        <f ca="1">IF((OFFSET($A$1, 2581 - 1, 53 - 1)) &gt;= (OFFSET($A$1, 69 - 1, 7 - 1)), "1","0")</f>
        <v>0</v>
      </c>
      <c r="BD2581">
        <f ca="1" xml:space="preserve"> IF( AND( OFFSET($A$1, 2581 - 1, 54 - 1) = "1", OFFSET($A$1, 2581 - 1, 55 - 1) = "1" ), 1, IF( AND( OFFSET($A$1, 2581 - 1, 54 - 1) = "1", OFFSET($A$1, 2581 - 1, 55 - 1) = "0" ), 2, IF( AND( OFFSET($A$1, 2581 - 1, 54 - 1) = "0", OFFSET($A$1, 2581 - 1, 55 - 1) = "1" ), 3, 4 ) ) )</f>
        <v>4</v>
      </c>
    </row>
    <row r="2582" spans="53:56" x14ac:dyDescent="0.35">
      <c r="BA2582" s="3">
        <v>0.19771529389178355</v>
      </c>
      <c r="BB2582" s="3" t="str">
        <f>"0"</f>
        <v>0</v>
      </c>
      <c r="BC2582" t="str">
        <f ca="1">IF((OFFSET($A$1, 2582 - 1, 53 - 1)) &gt;= (OFFSET($A$1, 69 - 1, 7 - 1)), "1","0")</f>
        <v>0</v>
      </c>
      <c r="BD2582">
        <f ca="1" xml:space="preserve"> IF( AND( OFFSET($A$1, 2582 - 1, 54 - 1) = "1", OFFSET($A$1, 2582 - 1, 55 - 1) = "1" ), 1, IF( AND( OFFSET($A$1, 2582 - 1, 54 - 1) = "1", OFFSET($A$1, 2582 - 1, 55 - 1) = "0" ), 2, IF( AND( OFFSET($A$1, 2582 - 1, 54 - 1) = "0", OFFSET($A$1, 2582 - 1, 55 - 1) = "1" ), 3, 4 ) ) )</f>
        <v>4</v>
      </c>
    </row>
    <row r="2583" spans="53:56" x14ac:dyDescent="0.35">
      <c r="BA2583" s="3">
        <v>0.19749923565515912</v>
      </c>
      <c r="BB2583" s="3" t="str">
        <f>"0"</f>
        <v>0</v>
      </c>
      <c r="BC2583" t="str">
        <f ca="1">IF((OFFSET($A$1, 2583 - 1, 53 - 1)) &gt;= (OFFSET($A$1, 69 - 1, 7 - 1)), "1","0")</f>
        <v>0</v>
      </c>
      <c r="BD2583">
        <f ca="1" xml:space="preserve"> IF( AND( OFFSET($A$1, 2583 - 1, 54 - 1) = "1", OFFSET($A$1, 2583 - 1, 55 - 1) = "1" ), 1, IF( AND( OFFSET($A$1, 2583 - 1, 54 - 1) = "1", OFFSET($A$1, 2583 - 1, 55 - 1) = "0" ), 2, IF( AND( OFFSET($A$1, 2583 - 1, 54 - 1) = "0", OFFSET($A$1, 2583 - 1, 55 - 1) = "1" ), 3, 4 ) ) )</f>
        <v>4</v>
      </c>
    </row>
    <row r="2584" spans="53:56" x14ac:dyDescent="0.35">
      <c r="BA2584" s="3">
        <v>0.1972998154379752</v>
      </c>
      <c r="BB2584" s="3" t="str">
        <f>"1"</f>
        <v>1</v>
      </c>
      <c r="BC2584" t="str">
        <f ca="1">IF((OFFSET($A$1, 2584 - 1, 53 - 1)) &gt;= (OFFSET($A$1, 69 - 1, 7 - 1)), "1","0")</f>
        <v>0</v>
      </c>
      <c r="BD2584">
        <f ca="1" xml:space="preserve"> IF( AND( OFFSET($A$1, 2584 - 1, 54 - 1) = "1", OFFSET($A$1, 2584 - 1, 55 - 1) = "1" ), 1, IF( AND( OFFSET($A$1, 2584 - 1, 54 - 1) = "1", OFFSET($A$1, 2584 - 1, 55 - 1) = "0" ), 2, IF( AND( OFFSET($A$1, 2584 - 1, 54 - 1) = "0", OFFSET($A$1, 2584 - 1, 55 - 1) = "1" ), 3, 4 ) ) )</f>
        <v>2</v>
      </c>
    </row>
    <row r="2585" spans="53:56" x14ac:dyDescent="0.35">
      <c r="BA2585" s="3">
        <v>0.43387091451329418</v>
      </c>
      <c r="BB2585" s="3" t="str">
        <f>"1"</f>
        <v>1</v>
      </c>
      <c r="BC2585" t="str">
        <f ca="1">IF((OFFSET($A$1, 2585 - 1, 53 - 1)) &gt;= (OFFSET($A$1, 69 - 1, 7 - 1)), "1","0")</f>
        <v>0</v>
      </c>
      <c r="BD2585">
        <f ca="1" xml:space="preserve"> IF( AND( OFFSET($A$1, 2585 - 1, 54 - 1) = "1", OFFSET($A$1, 2585 - 1, 55 - 1) = "1" ), 1, IF( AND( OFFSET($A$1, 2585 - 1, 54 - 1) = "1", OFFSET($A$1, 2585 - 1, 55 - 1) = "0" ), 2, IF( AND( OFFSET($A$1, 2585 - 1, 54 - 1) = "0", OFFSET($A$1, 2585 - 1, 55 - 1) = "1" ), 3, 4 ) ) )</f>
        <v>2</v>
      </c>
    </row>
    <row r="2586" spans="53:56" x14ac:dyDescent="0.35">
      <c r="BA2586" s="3">
        <v>0.43361308622808742</v>
      </c>
      <c r="BB2586" s="3" t="str">
        <f>"0"</f>
        <v>0</v>
      </c>
      <c r="BC2586" t="str">
        <f ca="1">IF((OFFSET($A$1, 2586 - 1, 53 - 1)) &gt;= (OFFSET($A$1, 69 - 1, 7 - 1)), "1","0")</f>
        <v>0</v>
      </c>
      <c r="BD2586">
        <f ca="1" xml:space="preserve"> IF( AND( OFFSET($A$1, 2586 - 1, 54 - 1) = "1", OFFSET($A$1, 2586 - 1, 55 - 1) = "1" ), 1, IF( AND( OFFSET($A$1, 2586 - 1, 54 - 1) = "1", OFFSET($A$1, 2586 - 1, 55 - 1) = "0" ), 2, IF( AND( OFFSET($A$1, 2586 - 1, 54 - 1) = "0", OFFSET($A$1, 2586 - 1, 55 - 1) = "1" ), 3, 4 ) ) )</f>
        <v>4</v>
      </c>
    </row>
    <row r="2587" spans="53:56" x14ac:dyDescent="0.35">
      <c r="BA2587" s="3">
        <v>0.19680158635447992</v>
      </c>
      <c r="BB2587" s="3" t="str">
        <f>"0"</f>
        <v>0</v>
      </c>
      <c r="BC2587" t="str">
        <f ca="1">IF((OFFSET($A$1, 2587 - 1, 53 - 1)) &gt;= (OFFSET($A$1, 69 - 1, 7 - 1)), "1","0")</f>
        <v>0</v>
      </c>
      <c r="BD2587">
        <f ca="1" xml:space="preserve"> IF( AND( OFFSET($A$1, 2587 - 1, 54 - 1) = "1", OFFSET($A$1, 2587 - 1, 55 - 1) = "1" ), 1, IF( AND( OFFSET($A$1, 2587 - 1, 54 - 1) = "1", OFFSET($A$1, 2587 - 1, 55 - 1) = "0" ), 2, IF( AND( OFFSET($A$1, 2587 - 1, 54 - 1) = "0", OFFSET($A$1, 2587 - 1, 55 - 1) = "1" ), 3, 4 ) ) )</f>
        <v>4</v>
      </c>
    </row>
    <row r="2588" spans="53:56" x14ac:dyDescent="0.35">
      <c r="BA2588" s="3">
        <v>0.19666891221107122</v>
      </c>
      <c r="BB2588" s="3" t="str">
        <f>"1"</f>
        <v>1</v>
      </c>
      <c r="BC2588" t="str">
        <f ca="1">IF((OFFSET($A$1, 2588 - 1, 53 - 1)) &gt;= (OFFSET($A$1, 69 - 1, 7 - 1)), "1","0")</f>
        <v>0</v>
      </c>
      <c r="BD2588">
        <f ca="1" xml:space="preserve"> IF( AND( OFFSET($A$1, 2588 - 1, 54 - 1) = "1", OFFSET($A$1, 2588 - 1, 55 - 1) = "1" ), 1, IF( AND( OFFSET($A$1, 2588 - 1, 54 - 1) = "1", OFFSET($A$1, 2588 - 1, 55 - 1) = "0" ), 2, IF( AND( OFFSET($A$1, 2588 - 1, 54 - 1) = "0", OFFSET($A$1, 2588 - 1, 55 - 1) = "1" ), 3, 4 ) ) )</f>
        <v>2</v>
      </c>
    </row>
    <row r="2589" spans="53:56" x14ac:dyDescent="0.35">
      <c r="BA2589" s="3">
        <v>0.4329946903454247</v>
      </c>
      <c r="BB2589" s="3" t="str">
        <f>"0"</f>
        <v>0</v>
      </c>
      <c r="BC2589" t="str">
        <f ca="1">IF((OFFSET($A$1, 2589 - 1, 53 - 1)) &gt;= (OFFSET($A$1, 69 - 1, 7 - 1)), "1","0")</f>
        <v>0</v>
      </c>
      <c r="BD2589">
        <f ca="1" xml:space="preserve"> IF( AND( OFFSET($A$1, 2589 - 1, 54 - 1) = "1", OFFSET($A$1, 2589 - 1, 55 - 1) = "1" ), 1, IF( AND( OFFSET($A$1, 2589 - 1, 54 - 1) = "1", OFFSET($A$1, 2589 - 1, 55 - 1) = "0" ), 2, IF( AND( OFFSET($A$1, 2589 - 1, 54 - 1) = "0", OFFSET($A$1, 2589 - 1, 55 - 1) = "1" ), 3, 4 ) ) )</f>
        <v>4</v>
      </c>
    </row>
    <row r="2590" spans="53:56" x14ac:dyDescent="0.35">
      <c r="BA2590" s="3">
        <v>0.19645375295801604</v>
      </c>
      <c r="BB2590" s="3" t="str">
        <f>"0"</f>
        <v>0</v>
      </c>
      <c r="BC2590" t="str">
        <f ca="1">IF((OFFSET($A$1, 2590 - 1, 53 - 1)) &gt;= (OFFSET($A$1, 69 - 1, 7 - 1)), "1","0")</f>
        <v>0</v>
      </c>
      <c r="BD2590">
        <f ca="1" xml:space="preserve"> IF( AND( OFFSET($A$1, 2590 - 1, 54 - 1) = "1", OFFSET($A$1, 2590 - 1, 55 - 1) = "1" ), 1, IF( AND( OFFSET($A$1, 2590 - 1, 54 - 1) = "1", OFFSET($A$1, 2590 - 1, 55 - 1) = "0" ), 2, IF( AND( OFFSET($A$1, 2590 - 1, 54 - 1) = "0", OFFSET($A$1, 2590 - 1, 55 - 1) = "1" ), 3, 4 ) ) )</f>
        <v>4</v>
      </c>
    </row>
    <row r="2591" spans="53:56" x14ac:dyDescent="0.35">
      <c r="BA2591" s="3">
        <v>0.19637129011470844</v>
      </c>
      <c r="BB2591" s="3" t="str">
        <f>"0"</f>
        <v>0</v>
      </c>
      <c r="BC2591" t="str">
        <f ca="1">IF((OFFSET($A$1, 2591 - 1, 53 - 1)) &gt;= (OFFSET($A$1, 69 - 1, 7 - 1)), "1","0")</f>
        <v>0</v>
      </c>
      <c r="BD2591">
        <f ca="1" xml:space="preserve"> IF( AND( OFFSET($A$1, 2591 - 1, 54 - 1) = "1", OFFSET($A$1, 2591 - 1, 55 - 1) = "1" ), 1, IF( AND( OFFSET($A$1, 2591 - 1, 54 - 1) = "1", OFFSET($A$1, 2591 - 1, 55 - 1) = "0" ), 2, IF( AND( OFFSET($A$1, 2591 - 1, 54 - 1) = "0", OFFSET($A$1, 2591 - 1, 55 - 1) = "1" ), 3, 4 ) ) )</f>
        <v>4</v>
      </c>
    </row>
    <row r="2592" spans="53:56" x14ac:dyDescent="0.35">
      <c r="BA2592" s="3">
        <v>0.19630558369335868</v>
      </c>
      <c r="BB2592" s="3" t="str">
        <f>"0"</f>
        <v>0</v>
      </c>
      <c r="BC2592" t="str">
        <f ca="1">IF((OFFSET($A$1, 2592 - 1, 53 - 1)) &gt;= (OFFSET($A$1, 69 - 1, 7 - 1)), "1","0")</f>
        <v>0</v>
      </c>
      <c r="BD2592">
        <f ca="1" xml:space="preserve"> IF( AND( OFFSET($A$1, 2592 - 1, 54 - 1) = "1", OFFSET($A$1, 2592 - 1, 55 - 1) = "1" ), 1, IF( AND( OFFSET($A$1, 2592 - 1, 54 - 1) = "1", OFFSET($A$1, 2592 - 1, 55 - 1) = "0" ), 2, IF( AND( OFFSET($A$1, 2592 - 1, 54 - 1) = "0", OFFSET($A$1, 2592 - 1, 55 - 1) = "1" ), 3, 4 ) ) )</f>
        <v>4</v>
      </c>
    </row>
    <row r="2593" spans="53:56" x14ac:dyDescent="0.35">
      <c r="BA2593" s="3">
        <v>0.1962566404354929</v>
      </c>
      <c r="BB2593" s="3" t="str">
        <f>"0"</f>
        <v>0</v>
      </c>
      <c r="BC2593" t="str">
        <f ca="1">IF((OFFSET($A$1, 2593 - 1, 53 - 1)) &gt;= (OFFSET($A$1, 69 - 1, 7 - 1)), "1","0")</f>
        <v>0</v>
      </c>
      <c r="BD2593">
        <f ca="1" xml:space="preserve"> IF( AND( OFFSET($A$1, 2593 - 1, 54 - 1) = "1", OFFSET($A$1, 2593 - 1, 55 - 1) = "1" ), 1, IF( AND( OFFSET($A$1, 2593 - 1, 54 - 1) = "1", OFFSET($A$1, 2593 - 1, 55 - 1) = "0" ), 2, IF( AND( OFFSET($A$1, 2593 - 1, 54 - 1) = "0", OFFSET($A$1, 2593 - 1, 55 - 1) = "1" ), 3, 4 ) ) )</f>
        <v>4</v>
      </c>
    </row>
    <row r="2594" spans="53:56" x14ac:dyDescent="0.35">
      <c r="BA2594" s="3">
        <v>0.1962244653515498</v>
      </c>
      <c r="BB2594" s="3" t="str">
        <f>"0"</f>
        <v>0</v>
      </c>
      <c r="BC2594" t="str">
        <f ca="1">IF((OFFSET($A$1, 2594 - 1, 53 - 1)) &gt;= (OFFSET($A$1, 69 - 1, 7 - 1)), "1","0")</f>
        <v>0</v>
      </c>
      <c r="BD2594">
        <f ca="1" xml:space="preserve"> IF( AND( OFFSET($A$1, 2594 - 1, 54 - 1) = "1", OFFSET($A$1, 2594 - 1, 55 - 1) = "1" ), 1, IF( AND( OFFSET($A$1, 2594 - 1, 54 - 1) = "1", OFFSET($A$1, 2594 - 1, 55 - 1) = "0" ), 2, IF( AND( OFFSET($A$1, 2594 - 1, 54 - 1) = "0", OFFSET($A$1, 2594 - 1, 55 - 1) = "1" ), 3, 4 ) ) )</f>
        <v>4</v>
      </c>
    </row>
    <row r="2595" spans="53:56" x14ac:dyDescent="0.35">
      <c r="BA2595" s="3">
        <v>0.19620906173017061</v>
      </c>
      <c r="BB2595" s="3" t="str">
        <f>"0"</f>
        <v>0</v>
      </c>
      <c r="BC2595" t="str">
        <f ca="1">IF((OFFSET($A$1, 2595 - 1, 53 - 1)) &gt;= (OFFSET($A$1, 69 - 1, 7 - 1)), "1","0")</f>
        <v>0</v>
      </c>
      <c r="BD2595">
        <f ca="1" xml:space="preserve"> IF( AND( OFFSET($A$1, 2595 - 1, 54 - 1) = "1", OFFSET($A$1, 2595 - 1, 55 - 1) = "1" ), 1, IF( AND( OFFSET($A$1, 2595 - 1, 54 - 1) = "1", OFFSET($A$1, 2595 - 1, 55 - 1) = "0" ), 2, IF( AND( OFFSET($A$1, 2595 - 1, 54 - 1) = "0", OFFSET($A$1, 2595 - 1, 55 - 1) = "1" ), 3, 4 ) ) )</f>
        <v>4</v>
      </c>
    </row>
    <row r="2596" spans="53:56" x14ac:dyDescent="0.35">
      <c r="BA2596" s="3">
        <v>0.19621043114431158</v>
      </c>
      <c r="BB2596" s="3" t="str">
        <f>"0"</f>
        <v>0</v>
      </c>
      <c r="BC2596" t="str">
        <f ca="1">IF((OFFSET($A$1, 2596 - 1, 53 - 1)) &gt;= (OFFSET($A$1, 69 - 1, 7 - 1)), "1","0")</f>
        <v>0</v>
      </c>
      <c r="BD2596">
        <f ca="1" xml:space="preserve"> IF( AND( OFFSET($A$1, 2596 - 1, 54 - 1) = "1", OFFSET($A$1, 2596 - 1, 55 - 1) = "1" ), 1, IF( AND( OFFSET($A$1, 2596 - 1, 54 - 1) = "1", OFFSET($A$1, 2596 - 1, 55 - 1) = "0" ), 2, IF( AND( OFFSET($A$1, 2596 - 1, 54 - 1) = "0", OFFSET($A$1, 2596 - 1, 55 - 1) = "1" ), 3, 4 ) ) )</f>
        <v>4</v>
      </c>
    </row>
    <row r="2597" spans="53:56" x14ac:dyDescent="0.35">
      <c r="BA2597" s="3">
        <v>0.19622857345417191</v>
      </c>
      <c r="BB2597" s="3" t="str">
        <f>"0"</f>
        <v>0</v>
      </c>
      <c r="BC2597" t="str">
        <f ca="1">IF((OFFSET($A$1, 2597 - 1, 53 - 1)) &gt;= (OFFSET($A$1, 69 - 1, 7 - 1)), "1","0")</f>
        <v>0</v>
      </c>
      <c r="BD2597">
        <f ca="1" xml:space="preserve"> IF( AND( OFFSET($A$1, 2597 - 1, 54 - 1) = "1", OFFSET($A$1, 2597 - 1, 55 - 1) = "1" ), 1, IF( AND( OFFSET($A$1, 2597 - 1, 54 - 1) = "1", OFFSET($A$1, 2597 - 1, 55 - 1) = "0" ), 2, IF( AND( OFFSET($A$1, 2597 - 1, 54 - 1) = "0", OFFSET($A$1, 2597 - 1, 55 - 1) = "1" ), 3, 4 ) ) )</f>
        <v>4</v>
      </c>
    </row>
    <row r="2598" spans="53:56" x14ac:dyDescent="0.35">
      <c r="BA2598" s="3">
        <v>0.1962634868069334</v>
      </c>
      <c r="BB2598" s="3" t="str">
        <f>"0"</f>
        <v>0</v>
      </c>
      <c r="BC2598" t="str">
        <f ca="1">IF((OFFSET($A$1, 2598 - 1, 53 - 1)) &gt;= (OFFSET($A$1, 69 - 1, 7 - 1)), "1","0")</f>
        <v>0</v>
      </c>
      <c r="BD2598">
        <f ca="1" xml:space="preserve"> IF( AND( OFFSET($A$1, 2598 - 1, 54 - 1) = "1", OFFSET($A$1, 2598 - 1, 55 - 1) = "1" ), 1, IF( AND( OFFSET($A$1, 2598 - 1, 54 - 1) = "1", OFFSET($A$1, 2598 - 1, 55 - 1) = "0" ), 2, IF( AND( OFFSET($A$1, 2598 - 1, 54 - 1) = "0", OFFSET($A$1, 2598 - 1, 55 - 1) = "1" ), 3, 4 ) ) )</f>
        <v>4</v>
      </c>
    </row>
    <row r="2599" spans="53:56" x14ac:dyDescent="0.35">
      <c r="BA2599" s="3">
        <v>0.19631516763331222</v>
      </c>
      <c r="BB2599" s="3" t="str">
        <f>"1"</f>
        <v>1</v>
      </c>
      <c r="BC2599" t="str">
        <f ca="1">IF((OFFSET($A$1, 2599 - 1, 53 - 1)) &gt;= (OFFSET($A$1, 69 - 1, 7 - 1)), "1","0")</f>
        <v>0</v>
      </c>
      <c r="BD2599">
        <f ca="1" xml:space="preserve"> IF( AND( OFFSET($A$1, 2599 - 1, 54 - 1) = "1", OFFSET($A$1, 2599 - 1, 55 - 1) = "1" ), 1, IF( AND( OFFSET($A$1, 2599 - 1, 54 - 1) = "1", OFFSET($A$1, 2599 - 1, 55 - 1) = "0" ), 2, IF( AND( OFFSET($A$1, 2599 - 1, 54 - 1) = "0", OFFSET($A$1, 2599 - 1, 55 - 1) = "1" ), 3, 4 ) ) )</f>
        <v>2</v>
      </c>
    </row>
    <row r="2600" spans="53:56" x14ac:dyDescent="0.35">
      <c r="BA2600" s="3">
        <v>0.43273133864662594</v>
      </c>
      <c r="BB2600" s="3" t="str">
        <f>"0"</f>
        <v>0</v>
      </c>
      <c r="BC2600" t="str">
        <f ca="1">IF((OFFSET($A$1, 2600 - 1, 53 - 1)) &gt;= (OFFSET($A$1, 69 - 1, 7 - 1)), "1","0")</f>
        <v>0</v>
      </c>
      <c r="BD2600">
        <f ca="1" xml:space="preserve"> IF( AND( OFFSET($A$1, 2600 - 1, 54 - 1) = "1", OFFSET($A$1, 2600 - 1, 55 - 1) = "1" ), 1, IF( AND( OFFSET($A$1, 2600 - 1, 54 - 1) = "1", OFFSET($A$1, 2600 - 1, 55 - 1) = "0" ), 2, IF( AND( OFFSET($A$1, 2600 - 1, 54 - 1) = "0", OFFSET($A$1, 2600 - 1, 55 - 1) = "1" ), 3, 4 ) ) )</f>
        <v>4</v>
      </c>
    </row>
    <row r="2601" spans="53:56" x14ac:dyDescent="0.35">
      <c r="BA2601" s="3">
        <v>0.19646880880449058</v>
      </c>
      <c r="BB2601" s="3" t="str">
        <f>"0"</f>
        <v>0</v>
      </c>
      <c r="BC2601" t="str">
        <f ca="1">IF((OFFSET($A$1, 2601 - 1, 53 - 1)) &gt;= (OFFSET($A$1, 69 - 1, 7 - 1)), "1","0")</f>
        <v>0</v>
      </c>
      <c r="BD2601">
        <f ca="1" xml:space="preserve"> IF( AND( OFFSET($A$1, 2601 - 1, 54 - 1) = "1", OFFSET($A$1, 2601 - 1, 55 - 1) = "1" ), 1, IF( AND( OFFSET($A$1, 2601 - 1, 54 - 1) = "1", OFFSET($A$1, 2601 - 1, 55 - 1) = "0" ), 2, IF( AND( OFFSET($A$1, 2601 - 1, 54 - 1) = "0", OFFSET($A$1, 2601 - 1, 55 - 1) = "1" ), 3, 4 ) ) )</f>
        <v>4</v>
      </c>
    </row>
    <row r="2602" spans="53:56" x14ac:dyDescent="0.35">
      <c r="BA2602" s="3">
        <v>0.19657075335283841</v>
      </c>
      <c r="BB2602" s="3" t="str">
        <f>"1"</f>
        <v>1</v>
      </c>
      <c r="BC2602" t="str">
        <f ca="1">IF((OFFSET($A$1, 2602 - 1, 53 - 1)) &gt;= (OFFSET($A$1, 69 - 1, 7 - 1)), "1","0")</f>
        <v>0</v>
      </c>
      <c r="BD2602">
        <f ca="1" xml:space="preserve"> IF( AND( OFFSET($A$1, 2602 - 1, 54 - 1) = "1", OFFSET($A$1, 2602 - 1, 55 - 1) = "1" ), 1, IF( AND( OFFSET($A$1, 2602 - 1, 54 - 1) = "1", OFFSET($A$1, 2602 - 1, 55 - 1) = "0" ), 2, IF( AND( OFFSET($A$1, 2602 - 1, 54 - 1) = "0", OFFSET($A$1, 2602 - 1, 55 - 1) = "1" ), 3, 4 ) ) )</f>
        <v>2</v>
      </c>
    </row>
    <row r="2603" spans="53:56" x14ac:dyDescent="0.35">
      <c r="BA2603" s="3">
        <v>0.43320681021724455</v>
      </c>
      <c r="BB2603" s="3" t="str">
        <f>"0"</f>
        <v>0</v>
      </c>
      <c r="BC2603" t="str">
        <f ca="1">IF((OFFSET($A$1, 2603 - 1, 53 - 1)) &gt;= (OFFSET($A$1, 69 - 1, 7 - 1)), "1","0")</f>
        <v>0</v>
      </c>
      <c r="BD2603">
        <f ca="1" xml:space="preserve"> IF( AND( OFFSET($A$1, 2603 - 1, 54 - 1) = "1", OFFSET($A$1, 2603 - 1, 55 - 1) = "1" ), 1, IF( AND( OFFSET($A$1, 2603 - 1, 54 - 1) = "1", OFFSET($A$1, 2603 - 1, 55 - 1) = "0" ), 2, IF( AND( OFFSET($A$1, 2603 - 1, 54 - 1) = "0", OFFSET($A$1, 2603 - 1, 55 - 1) = "1" ), 3, 4 ) ) )</f>
        <v>4</v>
      </c>
    </row>
    <row r="2604" spans="53:56" x14ac:dyDescent="0.35">
      <c r="BA2604" s="3">
        <v>0.19682483768998146</v>
      </c>
      <c r="BB2604" s="3" t="str">
        <f>"0"</f>
        <v>0</v>
      </c>
      <c r="BC2604" t="str">
        <f ca="1">IF((OFFSET($A$1, 2604 - 1, 53 - 1)) &gt;= (OFFSET($A$1, 69 - 1, 7 - 1)), "1","0")</f>
        <v>0</v>
      </c>
      <c r="BD2604">
        <f ca="1" xml:space="preserve"> IF( AND( OFFSET($A$1, 2604 - 1, 54 - 1) = "1", OFFSET($A$1, 2604 - 1, 55 - 1) = "1" ), 1, IF( AND( OFFSET($A$1, 2604 - 1, 54 - 1) = "1", OFFSET($A$1, 2604 - 1, 55 - 1) = "0" ), 2, IF( AND( OFFSET($A$1, 2604 - 1, 54 - 1) = "0", OFFSET($A$1, 2604 - 1, 55 - 1) = "1" ), 3, 4 ) ) )</f>
        <v>4</v>
      </c>
    </row>
    <row r="2605" spans="53:56" x14ac:dyDescent="0.35">
      <c r="BA2605" s="3">
        <v>0.19697695104634161</v>
      </c>
      <c r="BB2605" s="3" t="str">
        <f>"0"</f>
        <v>0</v>
      </c>
      <c r="BC2605" t="str">
        <f ca="1">IF((OFFSET($A$1, 2605 - 1, 53 - 1)) &gt;= (OFFSET($A$1, 69 - 1, 7 - 1)), "1","0")</f>
        <v>0</v>
      </c>
      <c r="BD2605">
        <f ca="1" xml:space="preserve"> IF( AND( OFFSET($A$1, 2605 - 1, 54 - 1) = "1", OFFSET($A$1, 2605 - 1, 55 - 1) = "1" ), 1, IF( AND( OFFSET($A$1, 2605 - 1, 54 - 1) = "1", OFFSET($A$1, 2605 - 1, 55 - 1) = "0" ), 2, IF( AND( OFFSET($A$1, 2605 - 1, 54 - 1) = "0", OFFSET($A$1, 2605 - 1, 55 - 1) = "1" ), 3, 4 ) ) )</f>
        <v>4</v>
      </c>
    </row>
    <row r="2606" spans="53:56" x14ac:dyDescent="0.35">
      <c r="BA2606" s="3">
        <v>0.19714575787482061</v>
      </c>
      <c r="BB2606" s="3" t="str">
        <f>"0"</f>
        <v>0</v>
      </c>
      <c r="BC2606" t="str">
        <f ca="1">IF((OFFSET($A$1, 2606 - 1, 53 - 1)) &gt;= (OFFSET($A$1, 69 - 1, 7 - 1)), "1","0")</f>
        <v>0</v>
      </c>
      <c r="BD2606">
        <f ca="1" xml:space="preserve"> IF( AND( OFFSET($A$1, 2606 - 1, 54 - 1) = "1", OFFSET($A$1, 2606 - 1, 55 - 1) = "1" ), 1, IF( AND( OFFSET($A$1, 2606 - 1, 54 - 1) = "1", OFFSET($A$1, 2606 - 1, 55 - 1) = "0" ), 2, IF( AND( OFFSET($A$1, 2606 - 1, 54 - 1) = "0", OFFSET($A$1, 2606 - 1, 55 - 1) = "1" ), 3, 4 ) ) )</f>
        <v>4</v>
      </c>
    </row>
    <row r="2607" spans="53:56" x14ac:dyDescent="0.35">
      <c r="BA2607" s="3">
        <v>0.19733124037082042</v>
      </c>
      <c r="BB2607" s="3" t="str">
        <f>"1"</f>
        <v>1</v>
      </c>
      <c r="BC2607" t="str">
        <f ca="1">IF((OFFSET($A$1, 2607 - 1, 53 - 1)) &gt;= (OFFSET($A$1, 69 - 1, 7 - 1)), "1","0")</f>
        <v>0</v>
      </c>
      <c r="BD2607">
        <f ca="1" xml:space="preserve"> IF( AND( OFFSET($A$1, 2607 - 1, 54 - 1) = "1", OFFSET($A$1, 2607 - 1, 55 - 1) = "1" ), 1, IF( AND( OFFSET($A$1, 2607 - 1, 54 - 1) = "1", OFFSET($A$1, 2607 - 1, 55 - 1) = "0" ), 2, IF( AND( OFFSET($A$1, 2607 - 1, 54 - 1) = "0", OFFSET($A$1, 2607 - 1, 55 - 1) = "1" ), 3, 4 ) ) )</f>
        <v>2</v>
      </c>
    </row>
    <row r="2608" spans="53:56" x14ac:dyDescent="0.35">
      <c r="BA2608" s="3">
        <v>0.4345166593387943</v>
      </c>
      <c r="BB2608" s="3" t="str">
        <f>"0"</f>
        <v>0</v>
      </c>
      <c r="BC2608" t="str">
        <f ca="1">IF((OFFSET($A$1, 2608 - 1, 53 - 1)) &gt;= (OFFSET($A$1, 69 - 1, 7 - 1)), "1","0")</f>
        <v>0</v>
      </c>
      <c r="BD2608">
        <f ca="1" xml:space="preserve"> IF( AND( OFFSET($A$1, 2608 - 1, 54 - 1) = "1", OFFSET($A$1, 2608 - 1, 55 - 1) = "1" ), 1, IF( AND( OFFSET($A$1, 2608 - 1, 54 - 1) = "1", OFFSET($A$1, 2608 - 1, 55 - 1) = "0" ), 2, IF( AND( OFFSET($A$1, 2608 - 1, 54 - 1) = "0", OFFSET($A$1, 2608 - 1, 55 - 1) = "1" ), 3, 4 ) ) )</f>
        <v>4</v>
      </c>
    </row>
    <row r="2609" spans="53:56" x14ac:dyDescent="0.35">
      <c r="BA2609" s="3">
        <v>0.19775215166734797</v>
      </c>
      <c r="BB2609" s="3" t="str">
        <f>"0"</f>
        <v>0</v>
      </c>
      <c r="BC2609" t="str">
        <f ca="1">IF((OFFSET($A$1, 2609 - 1, 53 - 1)) &gt;= (OFFSET($A$1, 69 - 1, 7 - 1)), "1","0")</f>
        <v>0</v>
      </c>
      <c r="BD2609">
        <f ca="1" xml:space="preserve"> IF( AND( OFFSET($A$1, 2609 - 1, 54 - 1) = "1", OFFSET($A$1, 2609 - 1, 55 - 1) = "1" ), 1, IF( AND( OFFSET($A$1, 2609 - 1, 54 - 1) = "1", OFFSET($A$1, 2609 - 1, 55 - 1) = "0" ), 2, IF( AND( OFFSET($A$1, 2609 - 1, 54 - 1) = "0", OFFSET($A$1, 2609 - 1, 55 - 1) = "1" ), 3, 4 ) ) )</f>
        <v>4</v>
      </c>
    </row>
    <row r="2610" spans="53:56" x14ac:dyDescent="0.35">
      <c r="BA2610" s="3">
        <v>0.19798753527267313</v>
      </c>
      <c r="BB2610" s="3" t="str">
        <f>"0"</f>
        <v>0</v>
      </c>
      <c r="BC2610" t="str">
        <f ca="1">IF((OFFSET($A$1, 2610 - 1, 53 - 1)) &gt;= (OFFSET($A$1, 69 - 1, 7 - 1)), "1","0")</f>
        <v>0</v>
      </c>
      <c r="BD2610">
        <f ca="1" xml:space="preserve"> IF( AND( OFFSET($A$1, 2610 - 1, 54 - 1) = "1", OFFSET($A$1, 2610 - 1, 55 - 1) = "1" ), 1, IF( AND( OFFSET($A$1, 2610 - 1, 54 - 1) = "1", OFFSET($A$1, 2610 - 1, 55 - 1) = "0" ), 2, IF( AND( OFFSET($A$1, 2610 - 1, 54 - 1) = "0", OFFSET($A$1, 2610 - 1, 55 - 1) = "1" ), 3, 4 ) ) )</f>
        <v>4</v>
      </c>
    </row>
    <row r="2611" spans="53:56" x14ac:dyDescent="0.35">
      <c r="BA2611" s="3">
        <v>0.1982395040774054</v>
      </c>
      <c r="BB2611" s="3" t="str">
        <f>"0"</f>
        <v>0</v>
      </c>
      <c r="BC2611" t="str">
        <f ca="1">IF((OFFSET($A$1, 2611 - 1, 53 - 1)) &gt;= (OFFSET($A$1, 69 - 1, 7 - 1)), "1","0")</f>
        <v>0</v>
      </c>
      <c r="BD2611">
        <f ca="1" xml:space="preserve"> IF( AND( OFFSET($A$1, 2611 - 1, 54 - 1) = "1", OFFSET($A$1, 2611 - 1, 55 - 1) = "1" ), 1, IF( AND( OFFSET($A$1, 2611 - 1, 54 - 1) = "1", OFFSET($A$1, 2611 - 1, 55 - 1) = "0" ), 2, IF( AND( OFFSET($A$1, 2611 - 1, 54 - 1) = "0", OFFSET($A$1, 2611 - 1, 55 - 1) = "1" ), 3, 4 ) ) )</f>
        <v>4</v>
      </c>
    </row>
    <row r="2612" spans="53:56" x14ac:dyDescent="0.35">
      <c r="BA2612" s="3">
        <v>0.1985080304579124</v>
      </c>
      <c r="BB2612" s="3" t="str">
        <f>"1"</f>
        <v>1</v>
      </c>
      <c r="BC2612" t="str">
        <f ca="1">IF((OFFSET($A$1, 2612 - 1, 53 - 1)) &gt;= (OFFSET($A$1, 69 - 1, 7 - 1)), "1","0")</f>
        <v>0</v>
      </c>
      <c r="BD2612">
        <f ca="1" xml:space="preserve"> IF( AND( OFFSET($A$1, 2612 - 1, 54 - 1) = "1", OFFSET($A$1, 2612 - 1, 55 - 1) = "1" ), 1, IF( AND( OFFSET($A$1, 2612 - 1, 54 - 1) = "1", OFFSET($A$1, 2612 - 1, 55 - 1) = "0" ), 2, IF( AND( OFFSET($A$1, 2612 - 1, 54 - 1) = "0", OFFSET($A$1, 2612 - 1, 55 - 1) = "1" ), 3, 4 ) ) )</f>
        <v>2</v>
      </c>
    </row>
    <row r="2613" spans="53:56" x14ac:dyDescent="0.35">
      <c r="BA2613" s="3">
        <v>0.43646565462943704</v>
      </c>
      <c r="BB2613" s="3" t="str">
        <f>"0"</f>
        <v>0</v>
      </c>
      <c r="BC2613" t="str">
        <f ca="1">IF((OFFSET($A$1, 2613 - 1, 53 - 1)) &gt;= (OFFSET($A$1, 69 - 1, 7 - 1)), "1","0")</f>
        <v>0</v>
      </c>
      <c r="BD2613">
        <f ca="1" xml:space="preserve"> IF( AND( OFFSET($A$1, 2613 - 1, 54 - 1) = "1", OFFSET($A$1, 2613 - 1, 55 - 1) = "1" ), 1, IF( AND( OFFSET($A$1, 2613 - 1, 54 - 1) = "1", OFFSET($A$1, 2613 - 1, 55 - 1) = "0" ), 2, IF( AND( OFFSET($A$1, 2613 - 1, 54 - 1) = "0", OFFSET($A$1, 2613 - 1, 55 - 1) = "1" ), 3, 4 ) ) )</f>
        <v>4</v>
      </c>
    </row>
    <row r="2614" spans="53:56" x14ac:dyDescent="0.35">
      <c r="BA2614" s="3">
        <v>0.19909463495173643</v>
      </c>
      <c r="BB2614" s="3" t="str">
        <f>"0"</f>
        <v>0</v>
      </c>
      <c r="BC2614" t="str">
        <f ca="1">IF((OFFSET($A$1, 2614 - 1, 53 - 1)) &gt;= (OFFSET($A$1, 69 - 1, 7 - 1)), "1","0")</f>
        <v>0</v>
      </c>
      <c r="BD2614">
        <f ca="1" xml:space="preserve"> IF( AND( OFFSET($A$1, 2614 - 1, 54 - 1) = "1", OFFSET($A$1, 2614 - 1, 55 - 1) = "1" ), 1, IF( AND( OFFSET($A$1, 2614 - 1, 54 - 1) = "1", OFFSET($A$1, 2614 - 1, 55 - 1) = "0" ), 2, IF( AND( OFFSET($A$1, 2614 - 1, 54 - 1) = "0", OFFSET($A$1, 2614 - 1, 55 - 1) = "1" ), 3, 4 ) ) )</f>
        <v>4</v>
      </c>
    </row>
    <row r="2615" spans="53:56" x14ac:dyDescent="0.35">
      <c r="BA2615" s="3">
        <v>0.19941264716922458</v>
      </c>
      <c r="BB2615" s="3" t="str">
        <f>"0"</f>
        <v>0</v>
      </c>
      <c r="BC2615" t="str">
        <f ca="1">IF((OFFSET($A$1, 2615 - 1, 53 - 1)) &gt;= (OFFSET($A$1, 69 - 1, 7 - 1)), "1","0")</f>
        <v>0</v>
      </c>
      <c r="BD2615">
        <f ca="1" xml:space="preserve"> IF( AND( OFFSET($A$1, 2615 - 1, 54 - 1) = "1", OFFSET($A$1, 2615 - 1, 55 - 1) = "1" ), 1, IF( AND( OFFSET($A$1, 2615 - 1, 54 - 1) = "1", OFFSET($A$1, 2615 - 1, 55 - 1) = "0" ), 2, IF( AND( OFFSET($A$1, 2615 - 1, 54 - 1) = "0", OFFSET($A$1, 2615 - 1, 55 - 1) = "1" ), 3, 4 ) ) )</f>
        <v>4</v>
      </c>
    </row>
    <row r="2616" spans="53:56" x14ac:dyDescent="0.35">
      <c r="BA2616" s="3">
        <v>0.19974708506563446</v>
      </c>
      <c r="BB2616" s="3" t="str">
        <f>"1"</f>
        <v>1</v>
      </c>
      <c r="BC2616" t="str">
        <f ca="1">IF((OFFSET($A$1, 2616 - 1, 53 - 1)) &gt;= (OFFSET($A$1, 69 - 1, 7 - 1)), "1","0")</f>
        <v>0</v>
      </c>
      <c r="BD2616">
        <f ca="1" xml:space="preserve"> IF( AND( OFFSET($A$1, 2616 - 1, 54 - 1) = "1", OFFSET($A$1, 2616 - 1, 55 - 1) = "1" ), 1, IF( AND( OFFSET($A$1, 2616 - 1, 54 - 1) = "1", OFFSET($A$1, 2616 - 1, 55 - 1) = "0" ), 2, IF( AND( OFFSET($A$1, 2616 - 1, 54 - 1) = "0", OFFSET($A$1, 2616 - 1, 55 - 1) = "1" ), 3, 4 ) ) )</f>
        <v>2</v>
      </c>
    </row>
    <row r="2617" spans="53:56" x14ac:dyDescent="0.35">
      <c r="BA2617" s="3">
        <v>0.43847674738787346</v>
      </c>
      <c r="BB2617" s="3" t="str">
        <f>"0"</f>
        <v>0</v>
      </c>
      <c r="BC2617" t="str">
        <f ca="1">IF((OFFSET($A$1, 2617 - 1, 53 - 1)) &gt;= (OFFSET($A$1, 69 - 1, 7 - 1)), "1","0")</f>
        <v>0</v>
      </c>
      <c r="BD2617">
        <f ca="1" xml:space="preserve"> IF( AND( OFFSET($A$1, 2617 - 1, 54 - 1) = "1", OFFSET($A$1, 2617 - 1, 55 - 1) = "1" ), 1, IF( AND( OFFSET($A$1, 2617 - 1, 54 - 1) = "1", OFFSET($A$1, 2617 - 1, 55 - 1) = "0" ), 2, IF( AND( OFFSET($A$1, 2617 - 1, 54 - 1) = "0", OFFSET($A$1, 2617 - 1, 55 - 1) = "1" ), 3, 4 ) ) )</f>
        <v>4</v>
      </c>
    </row>
    <row r="2618" spans="53:56" x14ac:dyDescent="0.35">
      <c r="BA2618" s="3">
        <v>0.20046508118526055</v>
      </c>
      <c r="BB2618" s="3" t="str">
        <f>"0"</f>
        <v>0</v>
      </c>
      <c r="BC2618" t="str">
        <f ca="1">IF((OFFSET($A$1, 2618 - 1, 53 - 1)) &gt;= (OFFSET($A$1, 69 - 1, 7 - 1)), "1","0")</f>
        <v>0</v>
      </c>
      <c r="BD2618">
        <f ca="1" xml:space="preserve"> IF( AND( OFFSET($A$1, 2618 - 1, 54 - 1) = "1", OFFSET($A$1, 2618 - 1, 55 - 1) = "1" ), 1, IF( AND( OFFSET($A$1, 2618 - 1, 54 - 1) = "1", OFFSET($A$1, 2618 - 1, 55 - 1) = "0" ), 2, IF( AND( OFFSET($A$1, 2618 - 1, 54 - 1) = "0", OFFSET($A$1, 2618 - 1, 55 - 1) = "1" ), 3, 4 ) ) )</f>
        <v>4</v>
      </c>
    </row>
    <row r="2619" spans="53:56" x14ac:dyDescent="0.35">
      <c r="BA2619" s="3">
        <v>0.20084855509380123</v>
      </c>
      <c r="BB2619" s="3" t="str">
        <f>"0"</f>
        <v>0</v>
      </c>
      <c r="BC2619" t="str">
        <f ca="1">IF((OFFSET($A$1, 2619 - 1, 53 - 1)) &gt;= (OFFSET($A$1, 69 - 1, 7 - 1)), "1","0")</f>
        <v>0</v>
      </c>
      <c r="BD2619">
        <f ca="1" xml:space="preserve"> IF( AND( OFFSET($A$1, 2619 - 1, 54 - 1) = "1", OFFSET($A$1, 2619 - 1, 55 - 1) = "1" ), 1, IF( AND( OFFSET($A$1, 2619 - 1, 54 - 1) = "1", OFFSET($A$1, 2619 - 1, 55 - 1) = "0" ), 2, IF( AND( OFFSET($A$1, 2619 - 1, 54 - 1) = "0", OFFSET($A$1, 2619 - 1, 55 - 1) = "1" ), 3, 4 ) ) )</f>
        <v>4</v>
      </c>
    </row>
    <row r="2620" spans="53:56" x14ac:dyDescent="0.35">
      <c r="BA2620" s="3">
        <v>0.20124828592716243</v>
      </c>
      <c r="BB2620" s="3" t="str">
        <f>"1"</f>
        <v>1</v>
      </c>
      <c r="BC2620" t="str">
        <f ca="1">IF((OFFSET($A$1, 2620 - 1, 53 - 1)) &gt;= (OFFSET($A$1, 69 - 1, 7 - 1)), "1","0")</f>
        <v>0</v>
      </c>
      <c r="BD2620">
        <f ca="1" xml:space="preserve"> IF( AND( OFFSET($A$1, 2620 - 1, 54 - 1) = "1", OFFSET($A$1, 2620 - 1, 55 - 1) = "1" ), 1, IF( AND( OFFSET($A$1, 2620 - 1, 54 - 1) = "1", OFFSET($A$1, 2620 - 1, 55 - 1) = "0" ), 2, IF( AND( OFFSET($A$1, 2620 - 1, 54 - 1) = "0", OFFSET($A$1, 2620 - 1, 55 - 1) = "1" ), 3, 4 ) ) )</f>
        <v>2</v>
      </c>
    </row>
    <row r="2621" spans="53:56" x14ac:dyDescent="0.35">
      <c r="BA2621" s="3">
        <v>0.44088056869489706</v>
      </c>
      <c r="BB2621" s="3" t="str">
        <f>"0"</f>
        <v>0</v>
      </c>
      <c r="BC2621" t="str">
        <f ca="1">IF((OFFSET($A$1, 2621 - 1, 53 - 1)) &gt;= (OFFSET($A$1, 69 - 1, 7 - 1)), "1","0")</f>
        <v>0</v>
      </c>
      <c r="BD2621">
        <f ca="1" xml:space="preserve"> IF( AND( OFFSET($A$1, 2621 - 1, 54 - 1) = "1", OFFSET($A$1, 2621 - 1, 55 - 1) = "1" ), 1, IF( AND( OFFSET($A$1, 2621 - 1, 54 - 1) = "1", OFFSET($A$1, 2621 - 1, 55 - 1) = "0" ), 2, IF( AND( OFFSET($A$1, 2621 - 1, 54 - 1) = "0", OFFSET($A$1, 2621 - 1, 55 - 1) = "1" ), 3, 4 ) ) )</f>
        <v>4</v>
      </c>
    </row>
    <row r="2622" spans="53:56" x14ac:dyDescent="0.35">
      <c r="BA2622" s="3">
        <v>0.20209632214416068</v>
      </c>
      <c r="BB2622" s="3" t="str">
        <f>"0"</f>
        <v>0</v>
      </c>
      <c r="BC2622" t="str">
        <f ca="1">IF((OFFSET($A$1, 2622 - 1, 53 - 1)) &gt;= (OFFSET($A$1, 69 - 1, 7 - 1)), "1","0")</f>
        <v>0</v>
      </c>
      <c r="BD2622">
        <f ca="1" xml:space="preserve"> IF( AND( OFFSET($A$1, 2622 - 1, 54 - 1) = "1", OFFSET($A$1, 2622 - 1, 55 - 1) = "1" ), 1, IF( AND( OFFSET($A$1, 2622 - 1, 54 - 1) = "1", OFFSET($A$1, 2622 - 1, 55 - 1) = "0" ), 2, IF( AND( OFFSET($A$1, 2622 - 1, 54 - 1) = "0", OFFSET($A$1, 2622 - 1, 55 - 1) = "1" ), 3, 4 ) ) )</f>
        <v>4</v>
      </c>
    </row>
    <row r="2623" spans="53:56" x14ac:dyDescent="0.35">
      <c r="BA2623" s="3">
        <v>0.20254452280171883</v>
      </c>
      <c r="BB2623" s="3" t="str">
        <f>"0"</f>
        <v>0</v>
      </c>
      <c r="BC2623" t="str">
        <f ca="1">IF((OFFSET($A$1, 2623 - 1, 53 - 1)) &gt;= (OFFSET($A$1, 69 - 1, 7 - 1)), "1","0")</f>
        <v>0</v>
      </c>
      <c r="BD2623">
        <f ca="1" xml:space="preserve"> IF( AND( OFFSET($A$1, 2623 - 1, 54 - 1) = "1", OFFSET($A$1, 2623 - 1, 55 - 1) = "1" ), 1, IF( AND( OFFSET($A$1, 2623 - 1, 54 - 1) = "1", OFFSET($A$1, 2623 - 1, 55 - 1) = "0" ), 2, IF( AND( OFFSET($A$1, 2623 - 1, 54 - 1) = "0", OFFSET($A$1, 2623 - 1, 55 - 1) = "1" ), 3, 4 ) ) )</f>
        <v>4</v>
      </c>
    </row>
    <row r="2624" spans="53:56" x14ac:dyDescent="0.35">
      <c r="BA2624" s="3">
        <v>0.20300877079038565</v>
      </c>
      <c r="BB2624" s="3" t="str">
        <f>"0"</f>
        <v>0</v>
      </c>
      <c r="BC2624" t="str">
        <f ca="1">IF((OFFSET($A$1, 2624 - 1, 53 - 1)) &gt;= (OFFSET($A$1, 69 - 1, 7 - 1)), "1","0")</f>
        <v>0</v>
      </c>
      <c r="BD2624">
        <f ca="1" xml:space="preserve"> IF( AND( OFFSET($A$1, 2624 - 1, 54 - 1) = "1", OFFSET($A$1, 2624 - 1, 55 - 1) = "1" ), 1, IF( AND( OFFSET($A$1, 2624 - 1, 54 - 1) = "1", OFFSET($A$1, 2624 - 1, 55 - 1) = "0" ), 2, IF( AND( OFFSET($A$1, 2624 - 1, 54 - 1) = "0", OFFSET($A$1, 2624 - 1, 55 - 1) = "1" ), 3, 4 ) ) )</f>
        <v>4</v>
      </c>
    </row>
    <row r="2625" spans="53:56" x14ac:dyDescent="0.35">
      <c r="BA2625" s="3">
        <v>0.20348900681141216</v>
      </c>
      <c r="BB2625" s="3" t="str">
        <f>"0"</f>
        <v>0</v>
      </c>
      <c r="BC2625" t="str">
        <f ca="1">IF((OFFSET($A$1, 2625 - 1, 53 - 1)) &gt;= (OFFSET($A$1, 69 - 1, 7 - 1)), "1","0")</f>
        <v>0</v>
      </c>
      <c r="BD2625">
        <f ca="1" xml:space="preserve"> IF( AND( OFFSET($A$1, 2625 - 1, 54 - 1) = "1", OFFSET($A$1, 2625 - 1, 55 - 1) = "1" ), 1, IF( AND( OFFSET($A$1, 2625 - 1, 54 - 1) = "1", OFFSET($A$1, 2625 - 1, 55 - 1) = "0" ), 2, IF( AND( OFFSET($A$1, 2625 - 1, 54 - 1) = "0", OFFSET($A$1, 2625 - 1, 55 - 1) = "1" ), 3, 4 ) ) )</f>
        <v>4</v>
      </c>
    </row>
    <row r="2626" spans="53:56" x14ac:dyDescent="0.35">
      <c r="BA2626" s="3">
        <v>0.20398516865807945</v>
      </c>
      <c r="BB2626" s="3" t="str">
        <f>"0"</f>
        <v>0</v>
      </c>
      <c r="BC2626" t="str">
        <f ca="1">IF((OFFSET($A$1, 2626 - 1, 53 - 1)) &gt;= (OFFSET($A$1, 69 - 1, 7 - 1)), "1","0")</f>
        <v>0</v>
      </c>
      <c r="BD2626">
        <f ca="1" xml:space="preserve"> IF( AND( OFFSET($A$1, 2626 - 1, 54 - 1) = "1", OFFSET($A$1, 2626 - 1, 55 - 1) = "1" ), 1, IF( AND( OFFSET($A$1, 2626 - 1, 54 - 1) = "1", OFFSET($A$1, 2626 - 1, 55 - 1) = "0" ), 2, IF( AND( OFFSET($A$1, 2626 - 1, 54 - 1) = "0", OFFSET($A$1, 2626 - 1, 55 - 1) = "1" ), 3, 4 ) ) )</f>
        <v>4</v>
      </c>
    </row>
    <row r="2627" spans="53:56" x14ac:dyDescent="0.35">
      <c r="BA2627" s="3">
        <v>0.20449719113890388</v>
      </c>
      <c r="BB2627" s="3" t="str">
        <f>"0"</f>
        <v>0</v>
      </c>
      <c r="BC2627" t="str">
        <f ca="1">IF((OFFSET($A$1, 2627 - 1, 53 - 1)) &gt;= (OFFSET($A$1, 69 - 1, 7 - 1)), "1","0")</f>
        <v>0</v>
      </c>
      <c r="BD2627">
        <f ca="1" xml:space="preserve"> IF( AND( OFFSET($A$1, 2627 - 1, 54 - 1) = "1", OFFSET($A$1, 2627 - 1, 55 - 1) = "1" ), 1, IF( AND( OFFSET($A$1, 2627 - 1, 54 - 1) = "1", OFFSET($A$1, 2627 - 1, 55 - 1) = "0" ), 2, IF( AND( OFFSET($A$1, 2627 - 1, 54 - 1) = "0", OFFSET($A$1, 2627 - 1, 55 - 1) = "1" ), 3, 4 ) ) )</f>
        <v>4</v>
      </c>
    </row>
    <row r="2628" spans="53:56" x14ac:dyDescent="0.35">
      <c r="BA2628" s="3">
        <v>0.20502500599938198</v>
      </c>
      <c r="BB2628" s="3" t="str">
        <f>"0"</f>
        <v>0</v>
      </c>
      <c r="BC2628" t="str">
        <f ca="1">IF((OFFSET($A$1, 2628 - 1, 53 - 1)) &gt;= (OFFSET($A$1, 69 - 1, 7 - 1)), "1","0")</f>
        <v>0</v>
      </c>
      <c r="BD2628">
        <f ca="1" xml:space="preserve"> IF( AND( OFFSET($A$1, 2628 - 1, 54 - 1) = "1", OFFSET($A$1, 2628 - 1, 55 - 1) = "1" ), 1, IF( AND( OFFSET($A$1, 2628 - 1, 54 - 1) = "1", OFFSET($A$1, 2628 - 1, 55 - 1) = "0" ), 2, IF( AND( OFFSET($A$1, 2628 - 1, 54 - 1) = "0", OFFSET($A$1, 2628 - 1, 55 - 1) = "1" ), 3, 4 ) ) )</f>
        <v>4</v>
      </c>
    </row>
    <row r="2629" spans="53:56" x14ac:dyDescent="0.35">
      <c r="BA2629" s="3">
        <v>0.20556854184239912</v>
      </c>
      <c r="BB2629" s="3" t="str">
        <f>"0"</f>
        <v>0</v>
      </c>
      <c r="BC2629" t="str">
        <f ca="1">IF((OFFSET($A$1, 2629 - 1, 53 - 1)) &gt;= (OFFSET($A$1, 69 - 1, 7 - 1)), "1","0")</f>
        <v>0</v>
      </c>
      <c r="BD2629">
        <f ca="1" xml:space="preserve"> IF( AND( OFFSET($A$1, 2629 - 1, 54 - 1) = "1", OFFSET($A$1, 2629 - 1, 55 - 1) = "1" ), 1, IF( AND( OFFSET($A$1, 2629 - 1, 54 - 1) = "1", OFFSET($A$1, 2629 - 1, 55 - 1) = "0" ), 2, IF( AND( OFFSET($A$1, 2629 - 1, 54 - 1) = "0", OFFSET($A$1, 2629 - 1, 55 - 1) = "1" ), 3, 4 ) ) )</f>
        <v>4</v>
      </c>
    </row>
    <row r="2630" spans="53:56" x14ac:dyDescent="0.35">
      <c r="BA2630" s="3">
        <v>0.20612772404743521</v>
      </c>
      <c r="BB2630" s="3" t="str">
        <f>"0"</f>
        <v>0</v>
      </c>
      <c r="BC2630" t="str">
        <f ca="1">IF((OFFSET($A$1, 2630 - 1, 53 - 1)) &gt;= (OFFSET($A$1, 69 - 1, 7 - 1)), "1","0")</f>
        <v>0</v>
      </c>
      <c r="BD2630">
        <f ca="1" xml:space="preserve"> IF( AND( OFFSET($A$1, 2630 - 1, 54 - 1) = "1", OFFSET($A$1, 2630 - 1, 55 - 1) = "1" ), 1, IF( AND( OFFSET($A$1, 2630 - 1, 54 - 1) = "1", OFFSET($A$1, 2630 - 1, 55 - 1) = "0" ), 2, IF( AND( OFFSET($A$1, 2630 - 1, 54 - 1) = "0", OFFSET($A$1, 2630 - 1, 55 - 1) = "1" ), 3, 4 ) ) )</f>
        <v>4</v>
      </c>
    </row>
    <row r="2631" spans="53:56" x14ac:dyDescent="0.35">
      <c r="BA2631" s="3">
        <v>0.20670247468868597</v>
      </c>
      <c r="BB2631" s="3" t="str">
        <f>"0"</f>
        <v>0</v>
      </c>
      <c r="BC2631" t="str">
        <f ca="1">IF((OFFSET($A$1, 2631 - 1, 53 - 1)) &gt;= (OFFSET($A$1, 69 - 1, 7 - 1)), "1","0")</f>
        <v>0</v>
      </c>
      <c r="BD2631">
        <f ca="1" xml:space="preserve"> IF( AND( OFFSET($A$1, 2631 - 1, 54 - 1) = "1", OFFSET($A$1, 2631 - 1, 55 - 1) = "1" ), 1, IF( AND( OFFSET($A$1, 2631 - 1, 54 - 1) = "1", OFFSET($A$1, 2631 - 1, 55 - 1) = "0" ), 2, IF( AND( OFFSET($A$1, 2631 - 1, 54 - 1) = "0", OFFSET($A$1, 2631 - 1, 55 - 1) = "1" ), 3, 4 ) ) )</f>
        <v>4</v>
      </c>
    </row>
    <row r="2632" spans="53:56" x14ac:dyDescent="0.35">
      <c r="BA2632" s="3">
        <v>0.20729271245224956</v>
      </c>
      <c r="BB2632" s="3" t="str">
        <f>"1"</f>
        <v>1</v>
      </c>
      <c r="BC2632" t="str">
        <f ca="1">IF((OFFSET($A$1, 2632 - 1, 53 - 1)) &gt;= (OFFSET($A$1, 69 - 1, 7 - 1)), "1","0")</f>
        <v>0</v>
      </c>
      <c r="BD2632">
        <f ca="1" xml:space="preserve"> IF( AND( OFFSET($A$1, 2632 - 1, 54 - 1) = "1", OFFSET($A$1, 2632 - 1, 55 - 1) = "1" ), 1, IF( AND( OFFSET($A$1, 2632 - 1, 54 - 1) = "1", OFFSET($A$1, 2632 - 1, 55 - 1) = "0" ), 2, IF( AND( OFFSET($A$1, 2632 - 1, 54 - 1) = "0", OFFSET($A$1, 2632 - 1, 55 - 1) = "1" ), 3, 4 ) ) )</f>
        <v>2</v>
      </c>
    </row>
    <row r="2633" spans="53:56" x14ac:dyDescent="0.35">
      <c r="BA2633" s="3">
        <v>0.45033820042013345</v>
      </c>
      <c r="BB2633" s="3" t="str">
        <f>"1"</f>
        <v>1</v>
      </c>
      <c r="BC2633" t="str">
        <f ca="1">IF((OFFSET($A$1, 2633 - 1, 53 - 1)) &gt;= (OFFSET($A$1, 69 - 1, 7 - 1)), "1","0")</f>
        <v>0</v>
      </c>
      <c r="BD2633">
        <f ca="1" xml:space="preserve"> IF( AND( OFFSET($A$1, 2633 - 1, 54 - 1) = "1", OFFSET($A$1, 2633 - 1, 55 - 1) = "1" ), 1, IF( AND( OFFSET($A$1, 2633 - 1, 54 - 1) = "1", OFFSET($A$1, 2633 - 1, 55 - 1) = "0" ), 2, IF( AND( OFFSET($A$1, 2633 - 1, 54 - 1) = "0", OFFSET($A$1, 2633 - 1, 55 - 1) = "1" ), 3, 4 ) ) )</f>
        <v>2</v>
      </c>
    </row>
    <row r="2634" spans="53:56" x14ac:dyDescent="0.35">
      <c r="BA2634" s="3">
        <v>0.45127073518850858</v>
      </c>
      <c r="BB2634" s="3" t="str">
        <f>"0"</f>
        <v>0</v>
      </c>
      <c r="BC2634" t="str">
        <f ca="1">IF((OFFSET($A$1, 2634 - 1, 53 - 1)) &gt;= (OFFSET($A$1, 69 - 1, 7 - 1)), "1","0")</f>
        <v>0</v>
      </c>
      <c r="BD2634">
        <f ca="1" xml:space="preserve"> IF( AND( OFFSET($A$1, 2634 - 1, 54 - 1) = "1", OFFSET($A$1, 2634 - 1, 55 - 1) = "1" ), 1, IF( AND( OFFSET($A$1, 2634 - 1, 54 - 1) = "1", OFFSET($A$1, 2634 - 1, 55 - 1) = "0" ), 2, IF( AND( OFFSET($A$1, 2634 - 1, 54 - 1) = "0", OFFSET($A$1, 2634 - 1, 55 - 1) = "1" ), 3, 4 ) ) )</f>
        <v>4</v>
      </c>
    </row>
    <row r="2635" spans="53:56" x14ac:dyDescent="0.35">
      <c r="BA2635" s="3">
        <v>0.20915548275588999</v>
      </c>
      <c r="BB2635" s="3" t="str">
        <f>"0"</f>
        <v>0</v>
      </c>
      <c r="BC2635" t="str">
        <f ca="1">IF((OFFSET($A$1, 2635 - 1, 53 - 1)) &gt;= (OFFSET($A$1, 69 - 1, 7 - 1)), "1","0")</f>
        <v>0</v>
      </c>
      <c r="BD2635">
        <f ca="1" xml:space="preserve"> IF( AND( OFFSET($A$1, 2635 - 1, 54 - 1) = "1", OFFSET($A$1, 2635 - 1, 55 - 1) = "1" ), 1, IF( AND( OFFSET($A$1, 2635 - 1, 54 - 1) = "1", OFFSET($A$1, 2635 - 1, 55 - 1) = "0" ), 2, IF( AND( OFFSET($A$1, 2635 - 1, 54 - 1) = "0", OFFSET($A$1, 2635 - 1, 55 - 1) = "1" ), 3, 4 ) ) )</f>
        <v>4</v>
      </c>
    </row>
    <row r="2636" spans="53:56" x14ac:dyDescent="0.35">
      <c r="BA2636" s="3">
        <v>0.20980678516831805</v>
      </c>
      <c r="BB2636" s="3" t="str">
        <f>"1"</f>
        <v>1</v>
      </c>
      <c r="BC2636" t="str">
        <f ca="1">IF((OFFSET($A$1, 2636 - 1, 53 - 1)) &gt;= (OFFSET($A$1, 69 - 1, 7 - 1)), "1","0")</f>
        <v>0</v>
      </c>
      <c r="BD2636">
        <f ca="1" xml:space="preserve"> IF( AND( OFFSET($A$1, 2636 - 1, 54 - 1) = "1", OFFSET($A$1, 2636 - 1, 55 - 1) = "1" ), 1, IF( AND( OFFSET($A$1, 2636 - 1, 54 - 1) = "1", OFFSET($A$1, 2636 - 1, 55 - 1) = "0" ), 2, IF( AND( OFFSET($A$1, 2636 - 1, 54 - 1) = "0", OFFSET($A$1, 2636 - 1, 55 - 1) = "1" ), 3, 4 ) ) )</f>
        <v>2</v>
      </c>
    </row>
    <row r="2637" spans="53:56" x14ac:dyDescent="0.35">
      <c r="BA2637" s="3">
        <v>0.45419383893286769</v>
      </c>
      <c r="BB2637" s="3" t="str">
        <f>"1"</f>
        <v>1</v>
      </c>
      <c r="BC2637" t="str">
        <f ca="1">IF((OFFSET($A$1, 2637 - 1, 53 - 1)) &gt;= (OFFSET($A$1, 69 - 1, 7 - 1)), "1","0")</f>
        <v>0</v>
      </c>
      <c r="BD2637">
        <f ca="1" xml:space="preserve"> IF( AND( OFFSET($A$1, 2637 - 1, 54 - 1) = "1", OFFSET($A$1, 2637 - 1, 55 - 1) = "1" ), 1, IF( AND( OFFSET($A$1, 2637 - 1, 54 - 1) = "1", OFFSET($A$1, 2637 - 1, 55 - 1) = "0" ), 2, IF( AND( OFFSET($A$1, 2637 - 1, 54 - 1) = "0", OFFSET($A$1, 2637 - 1, 55 - 1) = "1" ), 3, 4 ) ) )</f>
        <v>2</v>
      </c>
    </row>
    <row r="2638" spans="53:56" x14ac:dyDescent="0.35">
      <c r="BA2638" s="3">
        <v>0.45520912998208896</v>
      </c>
      <c r="BB2638" s="3" t="str">
        <f>"0"</f>
        <v>0</v>
      </c>
      <c r="BC2638" t="str">
        <f ca="1">IF((OFFSET($A$1, 2638 - 1, 53 - 1)) &gt;= (OFFSET($A$1, 69 - 1, 7 - 1)), "1","0")</f>
        <v>0</v>
      </c>
      <c r="BD2638">
        <f ca="1" xml:space="preserve"> IF( AND( OFFSET($A$1, 2638 - 1, 54 - 1) = "1", OFFSET($A$1, 2638 - 1, 55 - 1) = "1" ), 1, IF( AND( OFFSET($A$1, 2638 - 1, 54 - 1) = "1", OFFSET($A$1, 2638 - 1, 55 - 1) = "0" ), 2, IF( AND( OFFSET($A$1, 2638 - 1, 54 - 1) = "0", OFFSET($A$1, 2638 - 1, 55 - 1) = "1" ), 3, 4 ) ) )</f>
        <v>4</v>
      </c>
    </row>
    <row r="2639" spans="53:56" x14ac:dyDescent="0.35">
      <c r="BA2639" s="3">
        <v>0.21185043546750462</v>
      </c>
      <c r="BB2639" s="3" t="str">
        <f>"0"</f>
        <v>0</v>
      </c>
      <c r="BC2639" t="str">
        <f ca="1">IF((OFFSET($A$1, 2639 - 1, 53 - 1)) &gt;= (OFFSET($A$1, 69 - 1, 7 - 1)), "1","0")</f>
        <v>0</v>
      </c>
      <c r="BD2639">
        <f ca="1" xml:space="preserve"> IF( AND( OFFSET($A$1, 2639 - 1, 54 - 1) = "1", OFFSET($A$1, 2639 - 1, 55 - 1) = "1" ), 1, IF( AND( OFFSET($A$1, 2639 - 1, 54 - 1) = "1", OFFSET($A$1, 2639 - 1, 55 - 1) = "0" ), 2, IF( AND( OFFSET($A$1, 2639 - 1, 54 - 1) = "0", OFFSET($A$1, 2639 - 1, 55 - 1) = "1" ), 3, 4 ) ) )</f>
        <v>4</v>
      </c>
    </row>
    <row r="2640" spans="53:56" x14ac:dyDescent="0.35">
      <c r="BA2640" s="3">
        <v>0.21256120850890911</v>
      </c>
      <c r="BB2640" s="3" t="str">
        <f>"1"</f>
        <v>1</v>
      </c>
      <c r="BC2640" t="str">
        <f ca="1">IF((OFFSET($A$1, 2640 - 1, 53 - 1)) &gt;= (OFFSET($A$1, 69 - 1, 7 - 1)), "1","0")</f>
        <v>0</v>
      </c>
      <c r="BD2640">
        <f ca="1" xml:space="preserve"> IF( AND( OFFSET($A$1, 2640 - 1, 54 - 1) = "1", OFFSET($A$1, 2640 - 1, 55 - 1) = "1" ), 1, IF( AND( OFFSET($A$1, 2640 - 1, 54 - 1) = "1", OFFSET($A$1, 2640 - 1, 55 - 1) = "0" ), 2, IF( AND( OFFSET($A$1, 2640 - 1, 54 - 1) = "0", OFFSET($A$1, 2640 - 1, 55 - 1) = "1" ), 3, 4 ) ) )</f>
        <v>2</v>
      </c>
    </row>
    <row r="2641" spans="53:56" x14ac:dyDescent="0.35">
      <c r="BA2641" s="3">
        <v>0.45837375810974273</v>
      </c>
      <c r="BB2641" s="3" t="str">
        <f>"1"</f>
        <v>1</v>
      </c>
      <c r="BC2641" t="str">
        <f ca="1">IF((OFFSET($A$1, 2641 - 1, 53 - 1)) &gt;= (OFFSET($A$1, 69 - 1, 7 - 1)), "1","0")</f>
        <v>0</v>
      </c>
      <c r="BD2641">
        <f ca="1" xml:space="preserve"> IF( AND( OFFSET($A$1, 2641 - 1, 54 - 1) = "1", OFFSET($A$1, 2641 - 1, 55 - 1) = "1" ), 1, IF( AND( OFFSET($A$1, 2641 - 1, 54 - 1) = "1", OFFSET($A$1, 2641 - 1, 55 - 1) = "0" ), 2, IF( AND( OFFSET($A$1, 2641 - 1, 54 - 1) = "0", OFFSET($A$1, 2641 - 1, 55 - 1) = "1" ), 3, 4 ) ) )</f>
        <v>2</v>
      </c>
    </row>
    <row r="2642" spans="53:56" x14ac:dyDescent="0.35">
      <c r="BA2642" s="3">
        <v>0.45946721790842227</v>
      </c>
      <c r="BB2642" s="3" t="str">
        <f>"0"</f>
        <v>0</v>
      </c>
      <c r="BC2642" t="str">
        <f ca="1">IF((OFFSET($A$1, 2642 - 1, 53 - 1)) &gt;= (OFFSET($A$1, 69 - 1, 7 - 1)), "1","0")</f>
        <v>0</v>
      </c>
      <c r="BD2642">
        <f ca="1" xml:space="preserve"> IF( AND( OFFSET($A$1, 2642 - 1, 54 - 1) = "1", OFFSET($A$1, 2642 - 1, 55 - 1) = "1" ), 1, IF( AND( OFFSET($A$1, 2642 - 1, 54 - 1) = "1", OFFSET($A$1, 2642 - 1, 55 - 1) = "0" ), 2, IF( AND( OFFSET($A$1, 2642 - 1, 54 - 1) = "0", OFFSET($A$1, 2642 - 1, 55 - 1) = "1" ), 3, 4 ) ) )</f>
        <v>4</v>
      </c>
    </row>
    <row r="2643" spans="53:56" x14ac:dyDescent="0.35">
      <c r="BA2643" s="3">
        <v>0.21478057723845981</v>
      </c>
      <c r="BB2643" s="3" t="str">
        <f>"0"</f>
        <v>0</v>
      </c>
      <c r="BC2643" t="str">
        <f ca="1">IF((OFFSET($A$1, 2643 - 1, 53 - 1)) &gt;= (OFFSET($A$1, 69 - 1, 7 - 1)), "1","0")</f>
        <v>0</v>
      </c>
      <c r="BD2643">
        <f ca="1" xml:space="preserve"> IF( AND( OFFSET($A$1, 2643 - 1, 54 - 1) = "1", OFFSET($A$1, 2643 - 1, 55 - 1) = "1" ), 1, IF( AND( OFFSET($A$1, 2643 - 1, 54 - 1) = "1", OFFSET($A$1, 2643 - 1, 55 - 1) = "0" ), 2, IF( AND( OFFSET($A$1, 2643 - 1, 54 - 1) = "0", OFFSET($A$1, 2643 - 1, 55 - 1) = "1" ), 3, 4 ) ) )</f>
        <v>4</v>
      </c>
    </row>
    <row r="2644" spans="53:56" x14ac:dyDescent="0.35">
      <c r="BA2644" s="3">
        <v>0.21554896936622611</v>
      </c>
      <c r="BB2644" s="3" t="str">
        <f>"0"</f>
        <v>0</v>
      </c>
      <c r="BC2644" t="str">
        <f ca="1">IF((OFFSET($A$1, 2644 - 1, 53 - 1)) &gt;= (OFFSET($A$1, 69 - 1, 7 - 1)), "1","0")</f>
        <v>0</v>
      </c>
      <c r="BD2644">
        <f ca="1" xml:space="preserve"> IF( AND( OFFSET($A$1, 2644 - 1, 54 - 1) = "1", OFFSET($A$1, 2644 - 1, 55 - 1) = "1" ), 1, IF( AND( OFFSET($A$1, 2644 - 1, 54 - 1) = "1", OFFSET($A$1, 2644 - 1, 55 - 1) = "0" ), 2, IF( AND( OFFSET($A$1, 2644 - 1, 54 - 1) = "0", OFFSET($A$1, 2644 - 1, 55 - 1) = "1" ), 3, 4 ) ) )</f>
        <v>4</v>
      </c>
    </row>
    <row r="2645" spans="53:56" x14ac:dyDescent="0.35">
      <c r="BA2645" s="3">
        <v>0.21633144473611426</v>
      </c>
      <c r="BB2645" s="3" t="str">
        <f>"1"</f>
        <v>1</v>
      </c>
      <c r="BC2645" t="str">
        <f ca="1">IF((OFFSET($A$1, 2645 - 1, 53 - 1)) &gt;= (OFFSET($A$1, 69 - 1, 7 - 1)), "1","0")</f>
        <v>0</v>
      </c>
      <c r="BD2645">
        <f ca="1" xml:space="preserve"> IF( AND( OFFSET($A$1, 2645 - 1, 54 - 1) = "1", OFFSET($A$1, 2645 - 1, 55 - 1) = "1" ), 1, IF( AND( OFFSET($A$1, 2645 - 1, 54 - 1) = "1", OFFSET($A$1, 2645 - 1, 55 - 1) = "0" ), 2, IF( AND( OFFSET($A$1, 2645 - 1, 54 - 1) = "0", OFFSET($A$1, 2645 - 1, 55 - 1) = "1" ), 3, 4 ) ) )</f>
        <v>2</v>
      </c>
    </row>
    <row r="2646" spans="53:56" x14ac:dyDescent="0.35">
      <c r="BA2646" s="3">
        <v>0.46402556313595728</v>
      </c>
      <c r="BB2646" s="3" t="str">
        <f>"1"</f>
        <v>1</v>
      </c>
      <c r="BC2646" t="str">
        <f ca="1">IF((OFFSET($A$1, 2646 - 1, 53 - 1)) &gt;= (OFFSET($A$1, 69 - 1, 7 - 1)), "1","0")</f>
        <v>0</v>
      </c>
      <c r="BD2646">
        <f ca="1" xml:space="preserve"> IF( AND( OFFSET($A$1, 2646 - 1, 54 - 1) = "1", OFFSET($A$1, 2646 - 1, 55 - 1) = "1" ), 1, IF( AND( OFFSET($A$1, 2646 - 1, 54 - 1) = "1", OFFSET($A$1, 2646 - 1, 55 - 1) = "0" ), 2, IF( AND( OFFSET($A$1, 2646 - 1, 54 - 1) = "0", OFFSET($A$1, 2646 - 1, 55 - 1) = "1" ), 3, 4 ) ) )</f>
        <v>2</v>
      </c>
    </row>
    <row r="2647" spans="53:56" x14ac:dyDescent="0.35">
      <c r="BA2647" s="3">
        <v>0.46520962418513351</v>
      </c>
      <c r="BB2647" s="3" t="str">
        <f>"1"</f>
        <v>1</v>
      </c>
      <c r="BC2647" t="str">
        <f ca="1">IF((OFFSET($A$1, 2647 - 1, 53 - 1)) &gt;= (OFFSET($A$1, 69 - 1, 7 - 1)), "1","0")</f>
        <v>0</v>
      </c>
      <c r="BD2647">
        <f ca="1" xml:space="preserve"> IF( AND( OFFSET($A$1, 2647 - 1, 54 - 1) = "1", OFFSET($A$1, 2647 - 1, 55 - 1) = "1" ), 1, IF( AND( OFFSET($A$1, 2647 - 1, 54 - 1) = "1", OFFSET($A$1, 2647 - 1, 55 - 1) = "0" ), 2, IF( AND( OFFSET($A$1, 2647 - 1, 54 - 1) = "0", OFFSET($A$1, 2647 - 1, 55 - 1) = "1" ), 3, 4 ) ) )</f>
        <v>2</v>
      </c>
    </row>
    <row r="2648" spans="53:56" x14ac:dyDescent="0.35">
      <c r="BA2648" s="3">
        <v>0.46641079170988659</v>
      </c>
      <c r="BB2648" s="3" t="str">
        <f>"1"</f>
        <v>1</v>
      </c>
      <c r="BC2648" t="str">
        <f ca="1">IF((OFFSET($A$1, 2648 - 1, 53 - 1)) &gt;= (OFFSET($A$1, 69 - 1, 7 - 1)), "1","0")</f>
        <v>0</v>
      </c>
      <c r="BD2648">
        <f ca="1" xml:space="preserve"> IF( AND( OFFSET($A$1, 2648 - 1, 54 - 1) = "1", OFFSET($A$1, 2648 - 1, 55 - 1) = "1" ), 1, IF( AND( OFFSET($A$1, 2648 - 1, 54 - 1) = "1", OFFSET($A$1, 2648 - 1, 55 - 1) = "0" ), 2, IF( AND( OFFSET($A$1, 2648 - 1, 54 - 1) = "0", OFFSET($A$1, 2648 - 1, 55 - 1) = "1" ), 3, 4 ) ) )</f>
        <v>2</v>
      </c>
    </row>
    <row r="2649" spans="53:56" x14ac:dyDescent="0.35">
      <c r="BA2649" s="3">
        <v>0.46762871283815344</v>
      </c>
      <c r="BB2649" s="3" t="str">
        <f>"0"</f>
        <v>0</v>
      </c>
      <c r="BC2649" t="str">
        <f ca="1">IF((OFFSET($A$1, 2649 - 1, 53 - 1)) &gt;= (OFFSET($A$1, 69 - 1, 7 - 1)), "1","0")</f>
        <v>0</v>
      </c>
      <c r="BD2649">
        <f ca="1" xml:space="preserve"> IF( AND( OFFSET($A$1, 2649 - 1, 54 - 1) = "1", OFFSET($A$1, 2649 - 1, 55 - 1) = "1" ), 1, IF( AND( OFFSET($A$1, 2649 - 1, 54 - 1) = "1", OFFSET($A$1, 2649 - 1, 55 - 1) = "0" ), 2, IF( AND( OFFSET($A$1, 2649 - 1, 54 - 1) = "0", OFFSET($A$1, 2649 - 1, 55 - 1) = "1" ), 3, 4 ) ) )</f>
        <v>4</v>
      </c>
    </row>
    <row r="2650" spans="53:56" x14ac:dyDescent="0.35">
      <c r="BA2650" s="3">
        <v>0.22045008975060665</v>
      </c>
      <c r="BB2650" s="3" t="str">
        <f>"0"</f>
        <v>0</v>
      </c>
      <c r="BC2650" t="str">
        <f ca="1">IF((OFFSET($A$1, 2650 - 1, 53 - 1)) &gt;= (OFFSET($A$1, 69 - 1, 7 - 1)), "1","0")</f>
        <v>0</v>
      </c>
      <c r="BD2650">
        <f ca="1" xml:space="preserve"> IF( AND( OFFSET($A$1, 2650 - 1, 54 - 1) = "1", OFFSET($A$1, 2650 - 1, 55 - 1) = "1" ), 1, IF( AND( OFFSET($A$1, 2650 - 1, 54 - 1) = "1", OFFSET($A$1, 2650 - 1, 55 - 1) = "0" ), 2, IF( AND( OFFSET($A$1, 2650 - 1, 54 - 1) = "0", OFFSET($A$1, 2650 - 1, 55 - 1) = "1" ), 3, 4 ) ) )</f>
        <v>4</v>
      </c>
    </row>
    <row r="2651" spans="53:56" x14ac:dyDescent="0.35">
      <c r="BA2651" s="3">
        <v>0.22131400966191453</v>
      </c>
      <c r="BB2651" s="3" t="str">
        <f>"0"</f>
        <v>0</v>
      </c>
      <c r="BC2651" t="str">
        <f ca="1">IF((OFFSET($A$1, 2651 - 1, 53 - 1)) &gt;= (OFFSET($A$1, 69 - 1, 7 - 1)), "1","0")</f>
        <v>0</v>
      </c>
      <c r="BD2651">
        <f ca="1" xml:space="preserve"> IF( AND( OFFSET($A$1, 2651 - 1, 54 - 1) = "1", OFFSET($A$1, 2651 - 1, 55 - 1) = "1" ), 1, IF( AND( OFFSET($A$1, 2651 - 1, 54 - 1) = "1", OFFSET($A$1, 2651 - 1, 55 - 1) = "0" ), 2, IF( AND( OFFSET($A$1, 2651 - 1, 54 - 1) = "0", OFFSET($A$1, 2651 - 1, 55 - 1) = "1" ), 3, 4 ) ) )</f>
        <v>4</v>
      </c>
    </row>
    <row r="2652" spans="53:56" x14ac:dyDescent="0.35">
      <c r="BA2652" s="3">
        <v>0.22219094948319618</v>
      </c>
      <c r="BB2652" s="3" t="str">
        <f>"1"</f>
        <v>1</v>
      </c>
      <c r="BC2652" t="str">
        <f ca="1">IF((OFFSET($A$1, 2652 - 1, 53 - 1)) &gt;= (OFFSET($A$1, 69 - 1, 7 - 1)), "1","0")</f>
        <v>0</v>
      </c>
      <c r="BD2652">
        <f ca="1" xml:space="preserve"> IF( AND( OFFSET($A$1, 2652 - 1, 54 - 1) = "1", OFFSET($A$1, 2652 - 1, 55 - 1) = "1" ), 1, IF( AND( OFFSET($A$1, 2652 - 1, 54 - 1) = "1", OFFSET($A$1, 2652 - 1, 55 - 1) = "0" ), 2, IF( AND( OFFSET($A$1, 2652 - 1, 54 - 1) = "0", OFFSET($A$1, 2652 - 1, 55 - 1) = "1" ), 3, 4 ) ) )</f>
        <v>2</v>
      </c>
    </row>
    <row r="2653" spans="53:56" x14ac:dyDescent="0.35">
      <c r="BA2653" s="3">
        <v>0.47266065893359488</v>
      </c>
      <c r="BB2653" s="3" t="str">
        <f>"1"</f>
        <v>1</v>
      </c>
      <c r="BC2653" t="str">
        <f ca="1">IF((OFFSET($A$1, 2653 - 1, 53 - 1)) &gt;= (OFFSET($A$1, 69 - 1, 7 - 1)), "1","0")</f>
        <v>0</v>
      </c>
      <c r="BD2653">
        <f ca="1" xml:space="preserve"> IF( AND( OFFSET($A$1, 2653 - 1, 54 - 1) = "1", OFFSET($A$1, 2653 - 1, 55 - 1) = "1" ), 1, IF( AND( OFFSET($A$1, 2653 - 1, 54 - 1) = "1", OFFSET($A$1, 2653 - 1, 55 - 1) = "0" ), 2, IF( AND( OFFSET($A$1, 2653 - 1, 54 - 1) = "0", OFFSET($A$1, 2653 - 1, 55 - 1) = "1" ), 3, 4 ) ) )</f>
        <v>2</v>
      </c>
    </row>
    <row r="2654" spans="53:56" x14ac:dyDescent="0.35">
      <c r="BA2654" s="3">
        <v>0.47395683927068777</v>
      </c>
      <c r="BB2654" s="3" t="str">
        <f>"0"</f>
        <v>0</v>
      </c>
      <c r="BC2654" t="str">
        <f ca="1">IF((OFFSET($A$1, 2654 - 1, 53 - 1)) &gt;= (OFFSET($A$1, 69 - 1, 7 - 1)), "1","0")</f>
        <v>0</v>
      </c>
      <c r="BD2654">
        <f ca="1" xml:space="preserve"> IF( AND( OFFSET($A$1, 2654 - 1, 54 - 1) = "1", OFFSET($A$1, 2654 - 1, 55 - 1) = "1" ), 1, IF( AND( OFFSET($A$1, 2654 - 1, 54 - 1) = "1", OFFSET($A$1, 2654 - 1, 55 - 1) = "0" ), 2, IF( AND( OFFSET($A$1, 2654 - 1, 54 - 1) = "0", OFFSET($A$1, 2654 - 1, 55 - 1) = "1" ), 3, 4 ) ) )</f>
        <v>4</v>
      </c>
    </row>
    <row r="2655" spans="53:56" x14ac:dyDescent="0.35">
      <c r="BA2655" s="3">
        <v>0.22489814648162371</v>
      </c>
      <c r="BB2655" s="3" t="str">
        <f>"0"</f>
        <v>0</v>
      </c>
      <c r="BC2655" t="str">
        <f ca="1">IF((OFFSET($A$1, 2655 - 1, 53 - 1)) &gt;= (OFFSET($A$1, 69 - 1, 7 - 1)), "1","0")</f>
        <v>0</v>
      </c>
      <c r="BD2655">
        <f ca="1" xml:space="preserve"> IF( AND( OFFSET($A$1, 2655 - 1, 54 - 1) = "1", OFFSET($A$1, 2655 - 1, 55 - 1) = "1" ), 1, IF( AND( OFFSET($A$1, 2655 - 1, 54 - 1) = "1", OFFSET($A$1, 2655 - 1, 55 - 1) = "0" ), 2, IF( AND( OFFSET($A$1, 2655 - 1, 54 - 1) = "0", OFFSET($A$1, 2655 - 1, 55 - 1) = "1" ), 3, 4 ) ) )</f>
        <v>4</v>
      </c>
    </row>
    <row r="2656" spans="53:56" x14ac:dyDescent="0.35">
      <c r="BA2656" s="3">
        <v>0.22582539814285685</v>
      </c>
      <c r="BB2656" s="3" t="str">
        <f>"0"</f>
        <v>0</v>
      </c>
      <c r="BC2656" t="str">
        <f ca="1">IF((OFFSET($A$1, 2656 - 1, 53 - 1)) &gt;= (OFFSET($A$1, 69 - 1, 7 - 1)), "1","0")</f>
        <v>0</v>
      </c>
      <c r="BD2656">
        <f ca="1" xml:space="preserve"> IF( AND( OFFSET($A$1, 2656 - 1, 54 - 1) = "1", OFFSET($A$1, 2656 - 1, 55 - 1) = "1" ), 1, IF( AND( OFFSET($A$1, 2656 - 1, 54 - 1) = "1", OFFSET($A$1, 2656 - 1, 55 - 1) = "0" ), 2, IF( AND( OFFSET($A$1, 2656 - 1, 54 - 1) = "0", OFFSET($A$1, 2656 - 1, 55 - 1) = "1" ), 3, 4 ) ) )</f>
        <v>4</v>
      </c>
    </row>
    <row r="2657" spans="53:56" x14ac:dyDescent="0.35">
      <c r="BA2657" s="3">
        <v>0.22676475974342203</v>
      </c>
      <c r="BB2657" s="3" t="str">
        <f>"0"</f>
        <v>0</v>
      </c>
      <c r="BC2657" t="str">
        <f ca="1">IF((OFFSET($A$1, 2657 - 1, 53 - 1)) &gt;= (OFFSET($A$1, 69 - 1, 7 - 1)), "1","0")</f>
        <v>0</v>
      </c>
      <c r="BD2657">
        <f ca="1" xml:space="preserve"> IF( AND( OFFSET($A$1, 2657 - 1, 54 - 1) = "1", OFFSET($A$1, 2657 - 1, 55 - 1) = "1" ), 1, IF( AND( OFFSET($A$1, 2657 - 1, 54 - 1) = "1", OFFSET($A$1, 2657 - 1, 55 - 1) = "0" ), 2, IF( AND( OFFSET($A$1, 2657 - 1, 54 - 1) = "0", OFFSET($A$1, 2657 - 1, 55 - 1) = "1" ), 3, 4 ) ) )</f>
        <v>4</v>
      </c>
    </row>
    <row r="2658" spans="53:56" x14ac:dyDescent="0.35">
      <c r="BA2658" s="3">
        <v>0.22771603346036087</v>
      </c>
      <c r="BB2658" s="3" t="str">
        <f>"0"</f>
        <v>0</v>
      </c>
      <c r="BC2658" t="str">
        <f ca="1">IF((OFFSET($A$1, 2658 - 1, 53 - 1)) &gt;= (OFFSET($A$1, 69 - 1, 7 - 1)), "1","0")</f>
        <v>0</v>
      </c>
      <c r="BD2658">
        <f ca="1" xml:space="preserve"> IF( AND( OFFSET($A$1, 2658 - 1, 54 - 1) = "1", OFFSET($A$1, 2658 - 1, 55 - 1) = "1" ), 1, IF( AND( OFFSET($A$1, 2658 - 1, 54 - 1) = "1", OFFSET($A$1, 2658 - 1, 55 - 1) = "0" ), 2, IF( AND( OFFSET($A$1, 2658 - 1, 54 - 1) = "0", OFFSET($A$1, 2658 - 1, 55 - 1) = "1" ), 3, 4 ) ) )</f>
        <v>4</v>
      </c>
    </row>
    <row r="2659" spans="53:56" x14ac:dyDescent="0.35">
      <c r="BA2659" s="3">
        <v>0.22867901608014393</v>
      </c>
      <c r="BB2659" s="3" t="str">
        <f>"0"</f>
        <v>0</v>
      </c>
      <c r="BC2659" t="str">
        <f ca="1">IF((OFFSET($A$1, 2659 - 1, 53 - 1)) &gt;= (OFFSET($A$1, 69 - 1, 7 - 1)), "1","0")</f>
        <v>0</v>
      </c>
      <c r="BD2659">
        <f ca="1" xml:space="preserve"> IF( AND( OFFSET($A$1, 2659 - 1, 54 - 1) = "1", OFFSET($A$1, 2659 - 1, 55 - 1) = "1" ), 1, IF( AND( OFFSET($A$1, 2659 - 1, 54 - 1) = "1", OFFSET($A$1, 2659 - 1, 55 - 1) = "0" ), 2, IF( AND( OFFSET($A$1, 2659 - 1, 54 - 1) = "0", OFFSET($A$1, 2659 - 1, 55 - 1) = "1" ), 3, 4 ) ) )</f>
        <v>4</v>
      </c>
    </row>
    <row r="2660" spans="53:56" x14ac:dyDescent="0.35">
      <c r="BA2660" s="3">
        <v>0.2296534989572584</v>
      </c>
      <c r="BB2660" s="3" t="str">
        <f>"0"</f>
        <v>0</v>
      </c>
      <c r="BC2660" t="str">
        <f ca="1">IF((OFFSET($A$1, 2660 - 1, 53 - 1)) &gt;= (OFFSET($A$1, 69 - 1, 7 - 1)), "1","0")</f>
        <v>0</v>
      </c>
      <c r="BD2660">
        <f ca="1" xml:space="preserve"> IF( AND( OFFSET($A$1, 2660 - 1, 54 - 1) = "1", OFFSET($A$1, 2660 - 1, 55 - 1) = "1" ), 1, IF( AND( OFFSET($A$1, 2660 - 1, 54 - 1) = "1", OFFSET($A$1, 2660 - 1, 55 - 1) = "0" ), 2, IF( AND( OFFSET($A$1, 2660 - 1, 54 - 1) = "0", OFFSET($A$1, 2660 - 1, 55 - 1) = "1" ), 3, 4 ) ) )</f>
        <v>4</v>
      </c>
    </row>
    <row r="2661" spans="53:56" x14ac:dyDescent="0.35">
      <c r="BA2661" s="3">
        <v>0.23063926797689566</v>
      </c>
      <c r="BB2661" s="3" t="str">
        <f>"0"</f>
        <v>0</v>
      </c>
      <c r="BC2661" t="str">
        <f ca="1">IF((OFFSET($A$1, 2661 - 1, 53 - 1)) &gt;= (OFFSET($A$1, 69 - 1, 7 - 1)), "1","0")</f>
        <v>0</v>
      </c>
      <c r="BD2661">
        <f ca="1" xml:space="preserve"> IF( AND( OFFSET($A$1, 2661 - 1, 54 - 1) = "1", OFFSET($A$1, 2661 - 1, 55 - 1) = "1" ), 1, IF( AND( OFFSET($A$1, 2661 - 1, 54 - 1) = "1", OFFSET($A$1, 2661 - 1, 55 - 1) = "0" ), 2, IF( AND( OFFSET($A$1, 2661 - 1, 54 - 1) = "0", OFFSET($A$1, 2661 - 1, 55 - 1) = "1" ), 3, 4 ) ) )</f>
        <v>4</v>
      </c>
    </row>
    <row r="2662" spans="53:56" x14ac:dyDescent="0.35">
      <c r="BA2662" s="3">
        <v>0.23163610352191077</v>
      </c>
      <c r="BB2662" s="3" t="str">
        <f>"0"</f>
        <v>0</v>
      </c>
      <c r="BC2662" t="str">
        <f ca="1">IF((OFFSET($A$1, 2662 - 1, 53 - 1)) &gt;= (OFFSET($A$1, 69 - 1, 7 - 1)), "1","0")</f>
        <v>0</v>
      </c>
      <c r="BD2662">
        <f ca="1" xml:space="preserve"> IF( AND( OFFSET($A$1, 2662 - 1, 54 - 1) = "1", OFFSET($A$1, 2662 - 1, 55 - 1) = "1" ), 1, IF( AND( OFFSET($A$1, 2662 - 1, 54 - 1) = "1", OFFSET($A$1, 2662 - 1, 55 - 1) = "0" ), 2, IF( AND( OFFSET($A$1, 2662 - 1, 54 - 1) = "0", OFFSET($A$1, 2662 - 1, 55 - 1) = "1" ), 3, 4 ) ) )</f>
        <v>4</v>
      </c>
    </row>
    <row r="2663" spans="53:56" x14ac:dyDescent="0.35">
      <c r="BA2663" s="3">
        <v>0.23264378044422265</v>
      </c>
      <c r="BB2663" s="3" t="str">
        <f>"1"</f>
        <v>1</v>
      </c>
      <c r="BC2663" t="str">
        <f ca="1">IF((OFFSET($A$1, 2663 - 1, 53 - 1)) &gt;= (OFFSET($A$1, 69 - 1, 7 - 1)), "1","0")</f>
        <v>0</v>
      </c>
      <c r="BD2663">
        <f ca="1" xml:space="preserve"> IF( AND( OFFSET($A$1, 2663 - 1, 54 - 1) = "1", OFFSET($A$1, 2663 - 1, 55 - 1) = "1" ), 1, IF( AND( OFFSET($A$1, 2663 - 1, 54 - 1) = "1", OFFSET($A$1, 2663 - 1, 55 - 1) = "0" ), 2, IF( AND( OFFSET($A$1, 2663 - 1, 54 - 1) = "0", OFFSET($A$1, 2663 - 1, 55 - 1) = "1" ), 3, 4 ) ) )</f>
        <v>2</v>
      </c>
    </row>
    <row r="2664" spans="53:56" x14ac:dyDescent="0.35">
      <c r="BA2664" s="3">
        <v>0.48764971624270981</v>
      </c>
      <c r="BB2664" s="3" t="str">
        <f>"0"</f>
        <v>0</v>
      </c>
      <c r="BC2664" t="str">
        <f ca="1">IF((OFFSET($A$1, 2664 - 1, 53 - 1)) &gt;= (OFFSET($A$1, 69 - 1, 7 - 1)), "1","0")</f>
        <v>0</v>
      </c>
      <c r="BD2664">
        <f ca="1" xml:space="preserve"> IF( AND( OFFSET($A$1, 2664 - 1, 54 - 1) = "1", OFFSET($A$1, 2664 - 1, 55 - 1) = "1" ), 1, IF( AND( OFFSET($A$1, 2664 - 1, 54 - 1) = "1", OFFSET($A$1, 2664 - 1, 55 - 1) = "0" ), 2, IF( AND( OFFSET($A$1, 2664 - 1, 54 - 1) = "0", OFFSET($A$1, 2664 - 1, 55 - 1) = "1" ), 3, 4 ) ) )</f>
        <v>4</v>
      </c>
    </row>
    <row r="2665" spans="53:56" x14ac:dyDescent="0.35">
      <c r="BA2665" s="3">
        <v>0.23469073003447594</v>
      </c>
      <c r="BB2665" s="3" t="str">
        <f>"1"</f>
        <v>1</v>
      </c>
      <c r="BC2665" t="str">
        <f ca="1">IF((OFFSET($A$1, 2665 - 1, 53 - 1)) &gt;= (OFFSET($A$1, 69 - 1, 7 - 1)), "1","0")</f>
        <v>0</v>
      </c>
      <c r="BD2665">
        <f ca="1" xml:space="preserve"> IF( AND( OFFSET($A$1, 2665 - 1, 54 - 1) = "1", OFFSET($A$1, 2665 - 1, 55 - 1) = "1" ), 1, IF( AND( OFFSET($A$1, 2665 - 1, 54 - 1) = "1", OFFSET($A$1, 2665 - 1, 55 - 1) = "0" ), 2, IF( AND( OFFSET($A$1, 2665 - 1, 54 - 1) = "0", OFFSET($A$1, 2665 - 1, 55 - 1) = "1" ), 3, 4 ) ) )</f>
        <v>2</v>
      </c>
    </row>
    <row r="2666" spans="53:56" x14ac:dyDescent="0.35">
      <c r="BA2666" s="3">
        <v>0.49052599577440381</v>
      </c>
      <c r="BB2666" s="3" t="str">
        <f>"0"</f>
        <v>0</v>
      </c>
      <c r="BC2666" t="str">
        <f ca="1">IF((OFFSET($A$1, 2666 - 1, 53 - 1)) &gt;= (OFFSET($A$1, 69 - 1, 7 - 1)), "1","0")</f>
        <v>0</v>
      </c>
      <c r="BD2666">
        <f ca="1" xml:space="preserve"> IF( AND( OFFSET($A$1, 2666 - 1, 54 - 1) = "1", OFFSET($A$1, 2666 - 1, 55 - 1) = "1" ), 1, IF( AND( OFFSET($A$1, 2666 - 1, 54 - 1) = "1", OFFSET($A$1, 2666 - 1, 55 - 1) = "0" ), 2, IF( AND( OFFSET($A$1, 2666 - 1, 54 - 1) = "0", OFFSET($A$1, 2666 - 1, 55 - 1) = "1" ), 3, 4 ) ) )</f>
        <v>4</v>
      </c>
    </row>
    <row r="2667" spans="53:56" x14ac:dyDescent="0.35">
      <c r="BA2667" s="3">
        <v>0.23677820415238432</v>
      </c>
      <c r="BB2667" s="3" t="str">
        <f>"0"</f>
        <v>0</v>
      </c>
      <c r="BC2667" t="str">
        <f ca="1">IF((OFFSET($A$1, 2667 - 1, 53 - 1)) &gt;= (OFFSET($A$1, 69 - 1, 7 - 1)), "1","0")</f>
        <v>0</v>
      </c>
      <c r="BD2667">
        <f ca="1" xml:space="preserve"> IF( AND( OFFSET($A$1, 2667 - 1, 54 - 1) = "1", OFFSET($A$1, 2667 - 1, 55 - 1) = "1" ), 1, IF( AND( OFFSET($A$1, 2667 - 1, 54 - 1) = "1", OFFSET($A$1, 2667 - 1, 55 - 1) = "0" ), 2, IF( AND( OFFSET($A$1, 2667 - 1, 54 - 1) = "0", OFFSET($A$1, 2667 - 1, 55 - 1) = "1" ), 3, 4 ) ) )</f>
        <v>4</v>
      </c>
    </row>
    <row r="2668" spans="53:56" x14ac:dyDescent="0.35">
      <c r="BA2668" s="3">
        <v>0.23783651574774095</v>
      </c>
      <c r="BB2668" s="3" t="str">
        <f>"0"</f>
        <v>0</v>
      </c>
      <c r="BC2668" t="str">
        <f ca="1">IF((OFFSET($A$1, 2668 - 1, 53 - 1)) &gt;= (OFFSET($A$1, 69 - 1, 7 - 1)), "1","0")</f>
        <v>0</v>
      </c>
      <c r="BD2668">
        <f ca="1" xml:space="preserve"> IF( AND( OFFSET($A$1, 2668 - 1, 54 - 1) = "1", OFFSET($A$1, 2668 - 1, 55 - 1) = "1" ), 1, IF( AND( OFFSET($A$1, 2668 - 1, 54 - 1) = "1", OFFSET($A$1, 2668 - 1, 55 - 1) = "0" ), 2, IF( AND( OFFSET($A$1, 2668 - 1, 54 - 1) = "0", OFFSET($A$1, 2668 - 1, 55 - 1) = "1" ), 3, 4 ) ) )</f>
        <v>4</v>
      </c>
    </row>
    <row r="2669" spans="53:56" x14ac:dyDescent="0.35">
      <c r="BA2669" s="3">
        <v>0.23890420067956464</v>
      </c>
      <c r="BB2669" s="3" t="str">
        <f>"1"</f>
        <v>1</v>
      </c>
      <c r="BC2669" t="str">
        <f ca="1">IF((OFFSET($A$1, 2669 - 1, 53 - 1)) &gt;= (OFFSET($A$1, 69 - 1, 7 - 1)), "1","0")</f>
        <v>0</v>
      </c>
      <c r="BD2669">
        <f ca="1" xml:space="preserve"> IF( AND( OFFSET($A$1, 2669 - 1, 54 - 1) = "1", OFFSET($A$1, 2669 - 1, 55 - 1) = "1" ), 1, IF( AND( OFFSET($A$1, 2669 - 1, 54 - 1) = "1", OFFSET($A$1, 2669 - 1, 55 - 1) = "0" ), 2, IF( AND( OFFSET($A$1, 2669 - 1, 54 - 1) = "0", OFFSET($A$1, 2669 - 1, 55 - 1) = "1" ), 3, 4 ) ) )</f>
        <v>2</v>
      </c>
    </row>
    <row r="2670" spans="53:56" x14ac:dyDescent="0.35">
      <c r="BA2670" s="3">
        <v>0.4963881690507419</v>
      </c>
      <c r="BB2670" s="3" t="str">
        <f>"1"</f>
        <v>1</v>
      </c>
      <c r="BC2670" t="str">
        <f ca="1">IF((OFFSET($A$1, 2670 - 1, 53 - 1)) &gt;= (OFFSET($A$1, 69 - 1, 7 - 1)), "1","0")</f>
        <v>0</v>
      </c>
      <c r="BD2670">
        <f ca="1" xml:space="preserve"> IF( AND( OFFSET($A$1, 2670 - 1, 54 - 1) = "1", OFFSET($A$1, 2670 - 1, 55 - 1) = "1" ), 1, IF( AND( OFFSET($A$1, 2670 - 1, 54 - 1) = "1", OFFSET($A$1, 2670 - 1, 55 - 1) = "0" ), 2, IF( AND( OFFSET($A$1, 2670 - 1, 54 - 1) = "0", OFFSET($A$1, 2670 - 1, 55 - 1) = "1" ), 3, 4 ) ) )</f>
        <v>2</v>
      </c>
    </row>
    <row r="2671" spans="53:56" x14ac:dyDescent="0.35">
      <c r="BA2671" s="3">
        <v>0.49787388868260579</v>
      </c>
      <c r="BB2671" s="3" t="str">
        <f>"0"</f>
        <v>0</v>
      </c>
      <c r="BC2671" t="str">
        <f ca="1">IF((OFFSET($A$1, 2671 - 1, 53 - 1)) &gt;= (OFFSET($A$1, 69 - 1, 7 - 1)), "1","0")</f>
        <v>0</v>
      </c>
      <c r="BD2671">
        <f ca="1" xml:space="preserve"> IF( AND( OFFSET($A$1, 2671 - 1, 54 - 1) = "1", OFFSET($A$1, 2671 - 1, 55 - 1) = "1" ), 1, IF( AND( OFFSET($A$1, 2671 - 1, 54 - 1) = "1", OFFSET($A$1, 2671 - 1, 55 - 1) = "0" ), 2, IF( AND( OFFSET($A$1, 2671 - 1, 54 - 1) = "0", OFFSET($A$1, 2671 - 1, 55 - 1) = "1" ), 3, 4 ) ) )</f>
        <v>4</v>
      </c>
    </row>
    <row r="2672" spans="53:56" x14ac:dyDescent="0.35">
      <c r="BA2672" s="3">
        <v>0.24216082500415698</v>
      </c>
      <c r="BB2672" s="3" t="str">
        <f>"0"</f>
        <v>0</v>
      </c>
      <c r="BC2672" t="str">
        <f ca="1">IF((OFFSET($A$1, 2672 - 1, 53 - 1)) &gt;= (OFFSET($A$1, 69 - 1, 7 - 1)), "1","0")</f>
        <v>0</v>
      </c>
      <c r="BD2672">
        <f ca="1" xml:space="preserve"> IF( AND( OFFSET($A$1, 2672 - 1, 54 - 1) = "1", OFFSET($A$1, 2672 - 1, 55 - 1) = "1" ), 1, IF( AND( OFFSET($A$1, 2672 - 1, 54 - 1) = "1", OFFSET($A$1, 2672 - 1, 55 - 1) = "0" ), 2, IF( AND( OFFSET($A$1, 2672 - 1, 54 - 1) = "0", OFFSET($A$1, 2672 - 1, 55 - 1) = "1" ), 3, 4 ) ) )</f>
        <v>4</v>
      </c>
    </row>
    <row r="2673" spans="53:56" x14ac:dyDescent="0.35">
      <c r="BA2673" s="3">
        <v>0.24326330496150961</v>
      </c>
      <c r="BB2673" s="3" t="str">
        <f>"0"</f>
        <v>0</v>
      </c>
      <c r="BC2673" t="str">
        <f ca="1">IF((OFFSET($A$1, 2673 - 1, 53 - 1)) &gt;= (OFFSET($A$1, 69 - 1, 7 - 1)), "1","0")</f>
        <v>0</v>
      </c>
      <c r="BD2673">
        <f ca="1" xml:space="preserve"> IF( AND( OFFSET($A$1, 2673 - 1, 54 - 1) = "1", OFFSET($A$1, 2673 - 1, 55 - 1) = "1" ), 1, IF( AND( OFFSET($A$1, 2673 - 1, 54 - 1) = "1", OFFSET($A$1, 2673 - 1, 55 - 1) = "0" ), 2, IF( AND( OFFSET($A$1, 2673 - 1, 54 - 1) = "0", OFFSET($A$1, 2673 - 1, 55 - 1) = "1" ), 3, 4 ) ) )</f>
        <v>4</v>
      </c>
    </row>
    <row r="2674" spans="53:56" x14ac:dyDescent="0.35">
      <c r="BA2674" s="3">
        <v>0.2443737813476968</v>
      </c>
      <c r="BB2674" s="3" t="str">
        <f>"0"</f>
        <v>0</v>
      </c>
      <c r="BC2674" t="str">
        <f ca="1">IF((OFFSET($A$1, 2674 - 1, 53 - 1)) &gt;= (OFFSET($A$1, 69 - 1, 7 - 1)), "1","0")</f>
        <v>0</v>
      </c>
      <c r="BD2674">
        <f ca="1" xml:space="preserve"> IF( AND( OFFSET($A$1, 2674 - 1, 54 - 1) = "1", OFFSET($A$1, 2674 - 1, 55 - 1) = "1" ), 1, IF( AND( OFFSET($A$1, 2674 - 1, 54 - 1) = "1", OFFSET($A$1, 2674 - 1, 55 - 1) = "0" ), 2, IF( AND( OFFSET($A$1, 2674 - 1, 54 - 1) = "0", OFFSET($A$1, 2674 - 1, 55 - 1) = "1" ), 3, 4 ) ) )</f>
        <v>4</v>
      </c>
    </row>
    <row r="2675" spans="53:56" x14ac:dyDescent="0.35">
      <c r="BA2675" s="3">
        <v>0.24549196223240011</v>
      </c>
      <c r="BB2675" s="3" t="str">
        <f>"1"</f>
        <v>1</v>
      </c>
      <c r="BC2675" t="str">
        <f ca="1">IF((OFFSET($A$1, 2675 - 1, 53 - 1)) &gt;= (OFFSET($A$1, 69 - 1, 7 - 1)), "1","0")</f>
        <v>0</v>
      </c>
      <c r="BD2675">
        <f ca="1" xml:space="preserve"> IF( AND( OFFSET($A$1, 2675 - 1, 54 - 1) = "1", OFFSET($A$1, 2675 - 1, 55 - 1) = "1" ), 1, IF( AND( OFFSET($A$1, 2675 - 1, 54 - 1) = "1", OFFSET($A$1, 2675 - 1, 55 - 1) = "0" ), 2, IF( AND( OFFSET($A$1, 2675 - 1, 54 - 1) = "0", OFFSET($A$1, 2675 - 1, 55 - 1) = "1" ), 3, 4 ) ) )</f>
        <v>2</v>
      </c>
    </row>
    <row r="2676" spans="53:56" x14ac:dyDescent="0.35">
      <c r="BA2676" s="3">
        <v>0.50540026257856219</v>
      </c>
      <c r="BB2676" s="3" t="str">
        <f>"1"</f>
        <v>1</v>
      </c>
      <c r="BC2676" t="str">
        <f ca="1">IF((OFFSET($A$1, 2676 - 1, 53 - 1)) &gt;= (OFFSET($A$1, 69 - 1, 7 - 1)), "1","0")</f>
        <v>1</v>
      </c>
      <c r="BD2676">
        <f ca="1" xml:space="preserve"> IF( AND( OFFSET($A$1, 2676 - 1, 54 - 1) = "1", OFFSET($A$1, 2676 - 1, 55 - 1) = "1" ), 1, IF( AND( OFFSET($A$1, 2676 - 1, 54 - 1) = "1", OFFSET($A$1, 2676 - 1, 55 - 1) = "0" ), 2, IF( AND( OFFSET($A$1, 2676 - 1, 54 - 1) = "0", OFFSET($A$1, 2676 - 1, 55 - 1) = "1" ), 3, 4 ) ) )</f>
        <v>1</v>
      </c>
    </row>
    <row r="2677" spans="53:56" x14ac:dyDescent="0.35">
      <c r="BA2677" s="3">
        <v>0.50692178107032226</v>
      </c>
      <c r="BB2677" s="3" t="str">
        <f>"1"</f>
        <v>1</v>
      </c>
      <c r="BC2677" t="str">
        <f ca="1">IF((OFFSET($A$1, 2677 - 1, 53 - 1)) &gt;= (OFFSET($A$1, 69 - 1, 7 - 1)), "1","0")</f>
        <v>1</v>
      </c>
      <c r="BD2677">
        <f ca="1" xml:space="preserve"> IF( AND( OFFSET($A$1, 2677 - 1, 54 - 1) = "1", OFFSET($A$1, 2677 - 1, 55 - 1) = "1" ), 1, IF( AND( OFFSET($A$1, 2677 - 1, 54 - 1) = "1", OFFSET($A$1, 2677 - 1, 55 - 1) = "0" ), 2, IF( AND( OFFSET($A$1, 2677 - 1, 54 - 1) = "0", OFFSET($A$1, 2677 - 1, 55 - 1) = "1" ), 3, 4 ) ) )</f>
        <v>1</v>
      </c>
    </row>
    <row r="2678" spans="53:56" x14ac:dyDescent="0.35">
      <c r="BA2678" s="3">
        <v>0.50844760004852541</v>
      </c>
      <c r="BB2678" s="3" t="str">
        <f>"1"</f>
        <v>1</v>
      </c>
      <c r="BC2678" t="str">
        <f ca="1">IF((OFFSET($A$1, 2678 - 1, 53 - 1)) &gt;= (OFFSET($A$1, 69 - 1, 7 - 1)), "1","0")</f>
        <v>1</v>
      </c>
      <c r="BD2678">
        <f ca="1" xml:space="preserve"> IF( AND( OFFSET($A$1, 2678 - 1, 54 - 1) = "1", OFFSET($A$1, 2678 - 1, 55 - 1) = "1" ), 1, IF( AND( OFFSET($A$1, 2678 - 1, 54 - 1) = "1", OFFSET($A$1, 2678 - 1, 55 - 1) = "0" ), 2, IF( AND( OFFSET($A$1, 2678 - 1, 54 - 1) = "0", OFFSET($A$1, 2678 - 1, 55 - 1) = "1" ), 3, 4 ) ) )</f>
        <v>1</v>
      </c>
    </row>
    <row r="2679" spans="53:56" x14ac:dyDescent="0.35">
      <c r="BA2679" s="3">
        <v>0.50997723841317844</v>
      </c>
      <c r="BB2679" s="3" t="str">
        <f>"0"</f>
        <v>0</v>
      </c>
      <c r="BC2679" t="str">
        <f ca="1">IF((OFFSET($A$1, 2679 - 1, 53 - 1)) &gt;= (OFFSET($A$1, 69 - 1, 7 - 1)), "1","0")</f>
        <v>1</v>
      </c>
      <c r="BD2679">
        <f ca="1" xml:space="preserve"> IF( AND( OFFSET($A$1, 2679 - 1, 54 - 1) = "1", OFFSET($A$1, 2679 - 1, 55 - 1) = "1" ), 1, IF( AND( OFFSET($A$1, 2679 - 1, 54 - 1) = "1", OFFSET($A$1, 2679 - 1, 55 - 1) = "0" ), 2, IF( AND( OFFSET($A$1, 2679 - 1, 54 - 1) = "0", OFFSET($A$1, 2679 - 1, 55 - 1) = "1" ), 3, 4 ) ) )</f>
        <v>3</v>
      </c>
    </row>
    <row r="2680" spans="53:56" x14ac:dyDescent="0.35">
      <c r="BA2680" s="3">
        <v>0.25118783910039105</v>
      </c>
      <c r="BB2680" s="3" t="str">
        <f>"1"</f>
        <v>1</v>
      </c>
      <c r="BC2680" t="str">
        <f ca="1">IF((OFFSET($A$1, 2680 - 1, 53 - 1)) &gt;= (OFFSET($A$1, 69 - 1, 7 - 1)), "1","0")</f>
        <v>0</v>
      </c>
      <c r="BD2680">
        <f ca="1" xml:space="preserve"> IF( AND( OFFSET($A$1, 2680 - 1, 54 - 1) = "1", OFFSET($A$1, 2680 - 1, 55 - 1) = "1" ), 1, IF( AND( OFFSET($A$1, 2680 - 1, 54 - 1) = "1", OFFSET($A$1, 2680 - 1, 55 - 1) = "0" ), 2, IF( AND( OFFSET($A$1, 2680 - 1, 54 - 1) = "0", OFFSET($A$1, 2680 - 1, 55 - 1) = "1" ), 3, 4 ) ) )</f>
        <v>2</v>
      </c>
    </row>
    <row r="2681" spans="53:56" x14ac:dyDescent="0.35">
      <c r="BA2681" s="3">
        <v>0.51304604198815529</v>
      </c>
      <c r="BB2681" s="3" t="str">
        <f>"1"</f>
        <v>1</v>
      </c>
      <c r="BC2681" t="str">
        <f ca="1">IF((OFFSET($A$1, 2681 - 1, 53 - 1)) &gt;= (OFFSET($A$1, 69 - 1, 7 - 1)), "1","0")</f>
        <v>1</v>
      </c>
      <c r="BD2681">
        <f ca="1" xml:space="preserve"> IF( AND( OFFSET($A$1, 2681 - 1, 54 - 1) = "1", OFFSET($A$1, 2681 - 1, 55 - 1) = "1" ), 1, IF( AND( OFFSET($A$1, 2681 - 1, 54 - 1) = "1", OFFSET($A$1, 2681 - 1, 55 - 1) = "0" ), 2, IF( AND( OFFSET($A$1, 2681 - 1, 54 - 1) = "0", OFFSET($A$1, 2681 - 1, 55 - 1) = "1" ), 3, 4 ) ) )</f>
        <v>1</v>
      </c>
    </row>
    <row r="2682" spans="53:56" x14ac:dyDescent="0.35">
      <c r="BA2682" s="3">
        <v>0.51458423874733195</v>
      </c>
      <c r="BB2682" s="3" t="str">
        <f>"0"</f>
        <v>0</v>
      </c>
      <c r="BC2682" t="str">
        <f ca="1">IF((OFFSET($A$1, 2682 - 1, 53 - 1)) &gt;= (OFFSET($A$1, 69 - 1, 7 - 1)), "1","0")</f>
        <v>1</v>
      </c>
      <c r="BD2682">
        <f ca="1" xml:space="preserve"> IF( AND( OFFSET($A$1, 2682 - 1, 54 - 1) = "1", OFFSET($A$1, 2682 - 1, 55 - 1) = "1" ), 1, IF( AND( OFFSET($A$1, 2682 - 1, 54 - 1) = "1", OFFSET($A$1, 2682 - 1, 55 - 1) = "0" ), 2, IF( AND( OFFSET($A$1, 2682 - 1, 54 - 1) = "0", OFFSET($A$1, 2682 - 1, 55 - 1) = "1" ), 3, 4 ) ) )</f>
        <v>3</v>
      </c>
    </row>
    <row r="2683" spans="53:56" x14ac:dyDescent="0.35">
      <c r="BA2683" s="3">
        <v>0.25467797160341504</v>
      </c>
      <c r="BB2683" s="3" t="str">
        <f>"1"</f>
        <v>1</v>
      </c>
      <c r="BC2683" t="str">
        <f ca="1">IF((OFFSET($A$1, 2683 - 1, 53 - 1)) &gt;= (OFFSET($A$1, 69 - 1, 7 - 1)), "1","0")</f>
        <v>0</v>
      </c>
      <c r="BD2683">
        <f ca="1" xml:space="preserve"> IF( AND( OFFSET($A$1, 2683 - 1, 54 - 1) = "1", OFFSET($A$1, 2683 - 1, 55 - 1) = "1" ), 1, IF( AND( OFFSET($A$1, 2683 - 1, 54 - 1) = "1", OFFSET($A$1, 2683 - 1, 55 - 1) = "0" ), 2, IF( AND( OFFSET($A$1, 2683 - 1, 54 - 1) = "0", OFFSET($A$1, 2683 - 1, 55 - 1) = "1" ), 3, 4 ) ) )</f>
        <v>2</v>
      </c>
    </row>
    <row r="2684" spans="53:56" x14ac:dyDescent="0.35">
      <c r="BA2684" s="3">
        <v>0.51766579503599786</v>
      </c>
      <c r="BB2684" s="3" t="str">
        <f>"0"</f>
        <v>0</v>
      </c>
      <c r="BC2684" t="str">
        <f ca="1">IF((OFFSET($A$1, 2684 - 1, 53 - 1)) &gt;= (OFFSET($A$1, 69 - 1, 7 - 1)), "1","0")</f>
        <v>1</v>
      </c>
      <c r="BD2684">
        <f ca="1" xml:space="preserve"> IF( AND( OFFSET($A$1, 2684 - 1, 54 - 1) = "1", OFFSET($A$1, 2684 - 1, 55 - 1) = "1" ), 1, IF( AND( OFFSET($A$1, 2684 - 1, 54 - 1) = "1", OFFSET($A$1, 2684 - 1, 55 - 1) = "0" ), 2, IF( AND( OFFSET($A$1, 2684 - 1, 54 - 1) = "0", OFFSET($A$1, 2684 - 1, 55 - 1) = "1" ), 3, 4 ) ) )</f>
        <v>3</v>
      </c>
    </row>
    <row r="2685" spans="53:56" x14ac:dyDescent="0.35">
      <c r="BA2685" s="3">
        <v>0.25702948122229979</v>
      </c>
      <c r="BB2685" s="3" t="str">
        <f>"0"</f>
        <v>0</v>
      </c>
      <c r="BC2685" t="str">
        <f ca="1">IF((OFFSET($A$1, 2685 - 1, 53 - 1)) &gt;= (OFFSET($A$1, 69 - 1, 7 - 1)), "1","0")</f>
        <v>0</v>
      </c>
      <c r="BD2685">
        <f ca="1" xml:space="preserve"> IF( AND( OFFSET($A$1, 2685 - 1, 54 - 1) = "1", OFFSET($A$1, 2685 - 1, 55 - 1) = "1" ), 1, IF( AND( OFFSET($A$1, 2685 - 1, 54 - 1) = "1", OFFSET($A$1, 2685 - 1, 55 - 1) = "0" ), 2, IF( AND( OFFSET($A$1, 2685 - 1, 54 - 1) = "0", OFFSET($A$1, 2685 - 1, 55 - 1) = "1" ), 3, 4 ) ) )</f>
        <v>4</v>
      </c>
    </row>
    <row r="2686" spans="53:56" x14ac:dyDescent="0.35">
      <c r="BA2686" s="3">
        <v>0.25821163243902173</v>
      </c>
      <c r="BB2686" s="3" t="str">
        <f>"0"</f>
        <v>0</v>
      </c>
      <c r="BC2686" t="str">
        <f ca="1">IF((OFFSET($A$1, 2686 - 1, 53 - 1)) &gt;= (OFFSET($A$1, 69 - 1, 7 - 1)), "1","0")</f>
        <v>0</v>
      </c>
      <c r="BD2686">
        <f ca="1" xml:space="preserve"> IF( AND( OFFSET($A$1, 2686 - 1, 54 - 1) = "1", OFFSET($A$1, 2686 - 1, 55 - 1) = "1" ), 1, IF( AND( OFFSET($A$1, 2686 - 1, 54 - 1) = "1", OFFSET($A$1, 2686 - 1, 55 - 1) = "0" ), 2, IF( AND( OFFSET($A$1, 2686 - 1, 54 - 1) = "0", OFFSET($A$1, 2686 - 1, 55 - 1) = "1" ), 3, 4 ) ) )</f>
        <v>4</v>
      </c>
    </row>
    <row r="2687" spans="53:56" x14ac:dyDescent="0.35">
      <c r="BA2687" s="3">
        <v>0.25939757930569296</v>
      </c>
      <c r="BB2687" s="3" t="str">
        <f>"0"</f>
        <v>0</v>
      </c>
      <c r="BC2687" t="str">
        <f ca="1">IF((OFFSET($A$1, 2687 - 1, 53 - 1)) &gt;= (OFFSET($A$1, 69 - 1, 7 - 1)), "1","0")</f>
        <v>0</v>
      </c>
      <c r="BD2687">
        <f ca="1" xml:space="preserve"> IF( AND( OFFSET($A$1, 2687 - 1, 54 - 1) = "1", OFFSET($A$1, 2687 - 1, 55 - 1) = "1" ), 1, IF( AND( OFFSET($A$1, 2687 - 1, 54 - 1) = "1", OFFSET($A$1, 2687 - 1, 55 - 1) = "0" ), 2, IF( AND( OFFSET($A$1, 2687 - 1, 54 - 1) = "0", OFFSET($A$1, 2687 - 1, 55 - 1) = "1" ), 3, 4 ) ) )</f>
        <v>4</v>
      </c>
    </row>
    <row r="2688" spans="53:56" x14ac:dyDescent="0.35">
      <c r="BA2688" s="3">
        <v>0.26058696476596971</v>
      </c>
      <c r="BB2688" s="3" t="str">
        <f>"0"</f>
        <v>0</v>
      </c>
      <c r="BC2688" t="str">
        <f ca="1">IF((OFFSET($A$1, 2688 - 1, 53 - 1)) &gt;= (OFFSET($A$1, 69 - 1, 7 - 1)), "1","0")</f>
        <v>0</v>
      </c>
      <c r="BD2688">
        <f ca="1" xml:space="preserve"> IF( AND( OFFSET($A$1, 2688 - 1, 54 - 1) = "1", OFFSET($A$1, 2688 - 1, 55 - 1) = "1" ), 1, IF( AND( OFFSET($A$1, 2688 - 1, 54 - 1) = "1", OFFSET($A$1, 2688 - 1, 55 - 1) = "0" ), 2, IF( AND( OFFSET($A$1, 2688 - 1, 54 - 1) = "0", OFFSET($A$1, 2688 - 1, 55 - 1) = "1" ), 3, 4 ) ) )</f>
        <v>4</v>
      </c>
    </row>
    <row r="2689" spans="53:56" x14ac:dyDescent="0.35">
      <c r="BA2689" s="3">
        <v>0.26177942743693416</v>
      </c>
      <c r="BB2689" s="3" t="str">
        <f>"0"</f>
        <v>0</v>
      </c>
      <c r="BC2689" t="str">
        <f ca="1">IF((OFFSET($A$1, 2689 - 1, 53 - 1)) &gt;= (OFFSET($A$1, 69 - 1, 7 - 1)), "1","0")</f>
        <v>0</v>
      </c>
      <c r="BD2689">
        <f ca="1" xml:space="preserve"> IF( AND( OFFSET($A$1, 2689 - 1, 54 - 1) = "1", OFFSET($A$1, 2689 - 1, 55 - 1) = "1" ), 1, IF( AND( OFFSET($A$1, 2689 - 1, 54 - 1) = "1", OFFSET($A$1, 2689 - 1, 55 - 1) = "0" ), 2, IF( AND( OFFSET($A$1, 2689 - 1, 54 - 1) = "0", OFFSET($A$1, 2689 - 1, 55 - 1) = "1" ), 3, 4 ) ) )</f>
        <v>4</v>
      </c>
    </row>
    <row r="2690" spans="53:56" x14ac:dyDescent="0.35">
      <c r="BA2690" s="3">
        <v>0.26297460173738557</v>
      </c>
      <c r="BB2690" s="3" t="str">
        <f>"0"</f>
        <v>0</v>
      </c>
      <c r="BC2690" t="str">
        <f ca="1">IF((OFFSET($A$1, 2690 - 1, 53 - 1)) &gt;= (OFFSET($A$1, 69 - 1, 7 - 1)), "1","0")</f>
        <v>0</v>
      </c>
      <c r="BD2690">
        <f ca="1" xml:space="preserve"> IF( AND( OFFSET($A$1, 2690 - 1, 54 - 1) = "1", OFFSET($A$1, 2690 - 1, 55 - 1) = "1" ), 1, IF( AND( OFFSET($A$1, 2690 - 1, 54 - 1) = "1", OFFSET($A$1, 2690 - 1, 55 - 1) = "0" ), 2, IF( AND( OFFSET($A$1, 2690 - 1, 54 - 1) = "0", OFFSET($A$1, 2690 - 1, 55 - 1) = "1" ), 3, 4 ) ) )</f>
        <v>4</v>
      </c>
    </row>
    <row r="2691" spans="53:56" x14ac:dyDescent="0.35">
      <c r="BA2691" s="3">
        <v>0.26417211802203633</v>
      </c>
      <c r="BB2691" s="3" t="str">
        <f>"0"</f>
        <v>0</v>
      </c>
      <c r="BC2691" t="str">
        <f ca="1">IF((OFFSET($A$1, 2691 - 1, 53 - 1)) &gt;= (OFFSET($A$1, 69 - 1, 7 - 1)), "1","0")</f>
        <v>0</v>
      </c>
      <c r="BD2691">
        <f ca="1" xml:space="preserve"> IF( AND( OFFSET($A$1, 2691 - 1, 54 - 1) = "1", OFFSET($A$1, 2691 - 1, 55 - 1) = "1" ), 1, IF( AND( OFFSET($A$1, 2691 - 1, 54 - 1) = "1", OFFSET($A$1, 2691 - 1, 55 - 1) = "0" ), 2, IF( AND( OFFSET($A$1, 2691 - 1, 54 - 1) = "0", OFFSET($A$1, 2691 - 1, 55 - 1) = "1" ), 3, 4 ) ) )</f>
        <v>4</v>
      </c>
    </row>
    <row r="2692" spans="53:56" x14ac:dyDescent="0.35">
      <c r="BA2692" s="3">
        <v>0.26537160272149429</v>
      </c>
      <c r="BB2692" s="3" t="str">
        <f>"1"</f>
        <v>1</v>
      </c>
      <c r="BC2692" t="str">
        <f ca="1">IF((OFFSET($A$1, 2692 - 1, 53 - 1)) &gt;= (OFFSET($A$1, 69 - 1, 7 - 1)), "1","0")</f>
        <v>0</v>
      </c>
      <c r="BD2692">
        <f ca="1" xml:space="preserve"> IF( AND( OFFSET($A$1, 2692 - 1, 54 - 1) = "1", OFFSET($A$1, 2692 - 1, 55 - 1) = "1" ), 1, IF( AND( OFFSET($A$1, 2692 - 1, 54 - 1) = "1", OFFSET($A$1, 2692 - 1, 55 - 1) = "0" ), 2, IF( AND( OFFSET($A$1, 2692 - 1, 54 - 1) = "0", OFFSET($A$1, 2692 - 1, 55 - 1) = "1" ), 3, 4 ) ) )</f>
        <v>2</v>
      </c>
    </row>
    <row r="2693" spans="53:56" x14ac:dyDescent="0.35">
      <c r="BA2693" s="3">
        <v>0.53152177576434678</v>
      </c>
      <c r="BB2693" s="3" t="str">
        <f>"1"</f>
        <v>1</v>
      </c>
      <c r="BC2693" t="str">
        <f ca="1">IF((OFFSET($A$1, 2693 - 1, 53 - 1)) &gt;= (OFFSET($A$1, 69 - 1, 7 - 1)), "1","0")</f>
        <v>1</v>
      </c>
      <c r="BD2693">
        <f ca="1" xml:space="preserve"> IF( AND( OFFSET($A$1, 2693 - 1, 54 - 1) = "1", OFFSET($A$1, 2693 - 1, 55 - 1) = "1" ), 1, IF( AND( OFFSET($A$1, 2693 - 1, 54 - 1) = "1", OFFSET($A$1, 2693 - 1, 55 - 1) = "0" ), 2, IF( AND( OFFSET($A$1, 2693 - 1, 54 - 1) = "0", OFFSET($A$1, 2693 - 1, 55 - 1) = "1" ), 3, 4 ) ) )</f>
        <v>1</v>
      </c>
    </row>
    <row r="2694" spans="53:56" x14ac:dyDescent="0.35">
      <c r="BA2694" s="3">
        <v>0.53305053282258852</v>
      </c>
      <c r="BB2694" s="3" t="str">
        <f>"0"</f>
        <v>0</v>
      </c>
      <c r="BC2694" t="str">
        <f ca="1">IF((OFFSET($A$1, 2694 - 1, 53 - 1)) &gt;= (OFFSET($A$1, 69 - 1, 7 - 1)), "1","0")</f>
        <v>1</v>
      </c>
      <c r="BD2694">
        <f ca="1" xml:space="preserve"> IF( AND( OFFSET($A$1, 2694 - 1, 54 - 1) = "1", OFFSET($A$1, 2694 - 1, 55 - 1) = "1" ), 1, IF( AND( OFFSET($A$1, 2694 - 1, 54 - 1) = "1", OFFSET($A$1, 2694 - 1, 55 - 1) = "0" ), 2, IF( AND( OFFSET($A$1, 2694 - 1, 54 - 1) = "0", OFFSET($A$1, 2694 - 1, 55 - 1) = "1" ), 3, 4 ) ) )</f>
        <v>3</v>
      </c>
    </row>
    <row r="2695" spans="53:56" x14ac:dyDescent="0.35">
      <c r="BA2695" s="3">
        <v>0.26897807585142203</v>
      </c>
      <c r="BB2695" s="3" t="str">
        <f>"1"</f>
        <v>1</v>
      </c>
      <c r="BC2695" t="str">
        <f ca="1">IF((OFFSET($A$1, 2695 - 1, 53 - 1)) &gt;= (OFFSET($A$1, 69 - 1, 7 - 1)), "1","0")</f>
        <v>0</v>
      </c>
      <c r="BD2695">
        <f ca="1" xml:space="preserve"> IF( AND( OFFSET($A$1, 2695 - 1, 54 - 1) = "1", OFFSET($A$1, 2695 - 1, 55 - 1) = "1" ), 1, IF( AND( OFFSET($A$1, 2695 - 1, 54 - 1) = "1", OFFSET($A$1, 2695 - 1, 55 - 1) = "0" ), 2, IF( AND( OFFSET($A$1, 2695 - 1, 54 - 1) = "0", OFFSET($A$1, 2695 - 1, 55 - 1) = "1" ), 3, 4 ) ) )</f>
        <v>2</v>
      </c>
    </row>
    <row r="2696" spans="53:56" x14ac:dyDescent="0.35">
      <c r="BA2696" s="3">
        <v>0.53609580991807304</v>
      </c>
      <c r="BB2696" s="3" t="str">
        <f>"1"</f>
        <v>1</v>
      </c>
      <c r="BC2696" t="str">
        <f ca="1">IF((OFFSET($A$1, 2696 - 1, 53 - 1)) &gt;= (OFFSET($A$1, 69 - 1, 7 - 1)), "1","0")</f>
        <v>1</v>
      </c>
      <c r="BD2696">
        <f ca="1" xml:space="preserve"> IF( AND( OFFSET($A$1, 2696 - 1, 54 - 1) = "1", OFFSET($A$1, 2696 - 1, 55 - 1) = "1" ), 1, IF( AND( OFFSET($A$1, 2696 - 1, 54 - 1) = "1", OFFSET($A$1, 2696 - 1, 55 - 1) = "0" ), 2, IF( AND( OFFSET($A$1, 2696 - 1, 54 - 1) = "0", OFFSET($A$1, 2696 - 1, 55 - 1) = "1" ), 3, 4 ) ) )</f>
        <v>1</v>
      </c>
    </row>
    <row r="2697" spans="53:56" x14ac:dyDescent="0.35">
      <c r="BA2697" s="3">
        <v>0.53761138215295745</v>
      </c>
      <c r="BB2697" s="3" t="str">
        <f>"1"</f>
        <v>1</v>
      </c>
      <c r="BC2697" t="str">
        <f ca="1">IF((OFFSET($A$1, 2697 - 1, 53 - 1)) &gt;= (OFFSET($A$1, 69 - 1, 7 - 1)), "1","0")</f>
        <v>1</v>
      </c>
      <c r="BD2697">
        <f ca="1" xml:space="preserve"> IF( AND( OFFSET($A$1, 2697 - 1, 54 - 1) = "1", OFFSET($A$1, 2697 - 1, 55 - 1) = "1" ), 1, IF( AND( OFFSET($A$1, 2697 - 1, 54 - 1) = "1", OFFSET($A$1, 2697 - 1, 55 - 1) = "0" ), 2, IF( AND( OFFSET($A$1, 2697 - 1, 54 - 1) = "0", OFFSET($A$1, 2697 - 1, 55 - 1) = "1" ), 3, 4 ) ) )</f>
        <v>1</v>
      </c>
    </row>
    <row r="2698" spans="53:56" x14ac:dyDescent="0.35">
      <c r="BA2698" s="3">
        <v>0.5391216157240909</v>
      </c>
      <c r="BB2698" s="3" t="str">
        <f>"0"</f>
        <v>0</v>
      </c>
      <c r="BC2698" t="str">
        <f ca="1">IF((OFFSET($A$1, 2698 - 1, 53 - 1)) &gt;= (OFFSET($A$1, 69 - 1, 7 - 1)), "1","0")</f>
        <v>1</v>
      </c>
      <c r="BD2698">
        <f ca="1" xml:space="preserve"> IF( AND( OFFSET($A$1, 2698 - 1, 54 - 1) = "1", OFFSET($A$1, 2698 - 1, 55 - 1) = "1" ), 1, IF( AND( OFFSET($A$1, 2698 - 1, 54 - 1) = "1", OFFSET($A$1, 2698 - 1, 55 - 1) = "0" ), 2, IF( AND( OFFSET($A$1, 2698 - 1, 54 - 1) = "0", OFFSET($A$1, 2698 - 1, 55 - 1) = "1" ), 3, 4 ) ) )</f>
        <v>3</v>
      </c>
    </row>
    <row r="2699" spans="53:56" x14ac:dyDescent="0.35">
      <c r="BA2699" s="3">
        <v>0.27379097717373058</v>
      </c>
      <c r="BB2699" s="3" t="str">
        <f>"1"</f>
        <v>1</v>
      </c>
      <c r="BC2699" t="str">
        <f ca="1">IF((OFFSET($A$1, 2699 - 1, 53 - 1)) &gt;= (OFFSET($A$1, 69 - 1, 7 - 1)), "1","0")</f>
        <v>0</v>
      </c>
      <c r="BD2699">
        <f ca="1" xml:space="preserve"> IF( AND( OFFSET($A$1, 2699 - 1, 54 - 1) = "1", OFFSET($A$1, 2699 - 1, 55 - 1) = "1" ), 1, IF( AND( OFFSET($A$1, 2699 - 1, 54 - 1) = "1", OFFSET($A$1, 2699 - 1, 55 - 1) = "0" ), 2, IF( AND( OFFSET($A$1, 2699 - 1, 54 - 1) = "0", OFFSET($A$1, 2699 - 1, 55 - 1) = "1" ), 3, 4 ) ) )</f>
        <v>2</v>
      </c>
    </row>
    <row r="2700" spans="53:56" x14ac:dyDescent="0.35">
      <c r="BA2700" s="3">
        <v>0.54212419990468252</v>
      </c>
      <c r="BB2700" s="3" t="str">
        <f>"0"</f>
        <v>0</v>
      </c>
      <c r="BC2700" t="str">
        <f ca="1">IF((OFFSET($A$1, 2700 - 1, 53 - 1)) &gt;= (OFFSET($A$1, 69 - 1, 7 - 1)), "1","0")</f>
        <v>1</v>
      </c>
      <c r="BD2700">
        <f ca="1" xml:space="preserve"> IF( AND( OFFSET($A$1, 2700 - 1, 54 - 1) = "1", OFFSET($A$1, 2700 - 1, 55 - 1) = "1" ), 1, IF( AND( OFFSET($A$1, 2700 - 1, 54 - 1) = "1", OFFSET($A$1, 2700 - 1, 55 - 1) = "0" ), 2, IF( AND( OFFSET($A$1, 2700 - 1, 54 - 1) = "0", OFFSET($A$1, 2700 - 1, 55 - 1) = "1" ), 3, 4 ) ) )</f>
        <v>3</v>
      </c>
    </row>
    <row r="2701" spans="53:56" x14ac:dyDescent="0.35">
      <c r="BA2701" s="3">
        <v>0.27619215910953637</v>
      </c>
      <c r="BB2701" s="3" t="str">
        <f>"0"</f>
        <v>0</v>
      </c>
      <c r="BC2701" t="str">
        <f ca="1">IF((OFFSET($A$1, 2701 - 1, 53 - 1)) &gt;= (OFFSET($A$1, 69 - 1, 7 - 1)), "1","0")</f>
        <v>0</v>
      </c>
      <c r="BD2701">
        <f ca="1" xml:space="preserve"> IF( AND( OFFSET($A$1, 2701 - 1, 54 - 1) = "1", OFFSET($A$1, 2701 - 1, 55 - 1) = "1" ), 1, IF( AND( OFFSET($A$1, 2701 - 1, 54 - 1) = "1", OFFSET($A$1, 2701 - 1, 55 - 1) = "0" ), 2, IF( AND( OFFSET($A$1, 2701 - 1, 54 - 1) = "0", OFFSET($A$1, 2701 - 1, 55 - 1) = "1" ), 3, 4 ) ) )</f>
        <v>4</v>
      </c>
    </row>
    <row r="2702" spans="53:56" x14ac:dyDescent="0.35">
      <c r="BA2702" s="3">
        <v>0.27739002942267776</v>
      </c>
      <c r="BB2702" s="3" t="str">
        <f>"0"</f>
        <v>0</v>
      </c>
      <c r="BC2702" t="str">
        <f ca="1">IF((OFFSET($A$1, 2702 - 1, 53 - 1)) &gt;= (OFFSET($A$1, 69 - 1, 7 - 1)), "1","0")</f>
        <v>0</v>
      </c>
      <c r="BD2702">
        <f ca="1" xml:space="preserve"> IF( AND( OFFSET($A$1, 2702 - 1, 54 - 1) = "1", OFFSET($A$1, 2702 - 1, 55 - 1) = "1" ), 1, IF( AND( OFFSET($A$1, 2702 - 1, 54 - 1) = "1", OFFSET($A$1, 2702 - 1, 55 - 1) = "0" ), 2, IF( AND( OFFSET($A$1, 2702 - 1, 54 - 1) = "0", OFFSET($A$1, 2702 - 1, 55 - 1) = "1" ), 3, 4 ) ) )</f>
        <v>4</v>
      </c>
    </row>
    <row r="2703" spans="53:56" x14ac:dyDescent="0.35">
      <c r="BA2703" s="3">
        <v>0.2785855453560267</v>
      </c>
      <c r="BB2703" s="3" t="str">
        <f>"0"</f>
        <v>0</v>
      </c>
      <c r="BC2703" t="str">
        <f ca="1">IF((OFFSET($A$1, 2703 - 1, 53 - 1)) &gt;= (OFFSET($A$1, 69 - 1, 7 - 1)), "1","0")</f>
        <v>0</v>
      </c>
      <c r="BD2703">
        <f ca="1" xml:space="preserve"> IF( AND( OFFSET($A$1, 2703 - 1, 54 - 1) = "1", OFFSET($A$1, 2703 - 1, 55 - 1) = "1" ), 1, IF( AND( OFFSET($A$1, 2703 - 1, 54 - 1) = "1", OFFSET($A$1, 2703 - 1, 55 - 1) = "0" ), 2, IF( AND( OFFSET($A$1, 2703 - 1, 54 - 1) = "0", OFFSET($A$1, 2703 - 1, 55 - 1) = "1" ), 3, 4 ) ) )</f>
        <v>4</v>
      </c>
    </row>
    <row r="2704" spans="53:56" x14ac:dyDescent="0.35">
      <c r="BA2704" s="3">
        <v>0.27977829909987956</v>
      </c>
      <c r="BB2704" s="3" t="str">
        <f>"0"</f>
        <v>0</v>
      </c>
      <c r="BC2704" t="str">
        <f ca="1">IF((OFFSET($A$1, 2704 - 1, 53 - 1)) &gt;= (OFFSET($A$1, 69 - 1, 7 - 1)), "1","0")</f>
        <v>0</v>
      </c>
      <c r="BD2704">
        <f ca="1" xml:space="preserve"> IF( AND( OFFSET($A$1, 2704 - 1, 54 - 1) = "1", OFFSET($A$1, 2704 - 1, 55 - 1) = "1" ), 1, IF( AND( OFFSET($A$1, 2704 - 1, 54 - 1) = "1", OFFSET($A$1, 2704 - 1, 55 - 1) = "0" ), 2, IF( AND( OFFSET($A$1, 2704 - 1, 54 - 1) = "0", OFFSET($A$1, 2704 - 1, 55 - 1) = "1" ), 3, 4 ) ) )</f>
        <v>4</v>
      </c>
    </row>
    <row r="2705" spans="53:56" x14ac:dyDescent="0.35">
      <c r="BA2705" s="3">
        <v>0.28096788120410759</v>
      </c>
      <c r="BB2705" s="3" t="str">
        <f>"0"</f>
        <v>0</v>
      </c>
      <c r="BC2705" t="str">
        <f ca="1">IF((OFFSET($A$1, 2705 - 1, 53 - 1)) &gt;= (OFFSET($A$1, 69 - 1, 7 - 1)), "1","0")</f>
        <v>0</v>
      </c>
      <c r="BD2705">
        <f ca="1" xml:space="preserve"> IF( AND( OFFSET($A$1, 2705 - 1, 54 - 1) = "1", OFFSET($A$1, 2705 - 1, 55 - 1) = "1" ), 1, IF( AND( OFFSET($A$1, 2705 - 1, 54 - 1) = "1", OFFSET($A$1, 2705 - 1, 55 - 1) = "0" ), 2, IF( AND( OFFSET($A$1, 2705 - 1, 54 - 1) = "0", OFFSET($A$1, 2705 - 1, 55 - 1) = "1" ), 3, 4 ) ) )</f>
        <v>4</v>
      </c>
    </row>
    <row r="2706" spans="53:56" x14ac:dyDescent="0.35">
      <c r="BA2706" s="3">
        <v>0.2821538807832939</v>
      </c>
      <c r="BB2706" s="3" t="str">
        <f>"0"</f>
        <v>0</v>
      </c>
      <c r="BC2706" t="str">
        <f ca="1">IF((OFFSET($A$1, 2706 - 1, 53 - 1)) &gt;= (OFFSET($A$1, 69 - 1, 7 - 1)), "1","0")</f>
        <v>0</v>
      </c>
      <c r="BD2706">
        <f ca="1" xml:space="preserve"> IF( AND( OFFSET($A$1, 2706 - 1, 54 - 1) = "1", OFFSET($A$1, 2706 - 1, 55 - 1) = "1" ), 1, IF( AND( OFFSET($A$1, 2706 - 1, 54 - 1) = "1", OFFSET($A$1, 2706 - 1, 55 - 1) = "0" ), 2, IF( AND( OFFSET($A$1, 2706 - 1, 54 - 1) = "0", OFFSET($A$1, 2706 - 1, 55 - 1) = "1" ), 3, 4 ) ) )</f>
        <v>4</v>
      </c>
    </row>
    <row r="2707" spans="53:56" x14ac:dyDescent="0.35">
      <c r="BA2707" s="3">
        <v>0.28333588572503898</v>
      </c>
      <c r="BB2707" s="3" t="str">
        <f>"1"</f>
        <v>1</v>
      </c>
      <c r="BC2707" t="str">
        <f ca="1">IF((OFFSET($A$1, 2707 - 1, 53 - 1)) &gt;= (OFFSET($A$1, 69 - 1, 7 - 1)), "1","0")</f>
        <v>0</v>
      </c>
      <c r="BD2707">
        <f ca="1" xml:space="preserve"> IF( AND( OFFSET($A$1, 2707 - 1, 54 - 1) = "1", OFFSET($A$1, 2707 - 1, 55 - 1) = "1" ), 1, IF( AND( OFFSET($A$1, 2707 - 1, 54 - 1) = "1", OFFSET($A$1, 2707 - 1, 55 - 1) = "0" ), 2, IF( AND( OFFSET($A$1, 2707 - 1, 54 - 1) = "0", OFFSET($A$1, 2707 - 1, 55 - 1) = "1" ), 3, 4 ) ) )</f>
        <v>2</v>
      </c>
    </row>
    <row r="2708" spans="53:56" x14ac:dyDescent="0.35">
      <c r="BA2708" s="3">
        <v>0.55382908264134378</v>
      </c>
      <c r="BB2708" s="3" t="str">
        <f>"1"</f>
        <v>1</v>
      </c>
      <c r="BC2708" t="str">
        <f ca="1">IF((OFFSET($A$1, 2708 - 1, 53 - 1)) &gt;= (OFFSET($A$1, 69 - 1, 7 - 1)), "1","0")</f>
        <v>1</v>
      </c>
      <c r="BD2708">
        <f ca="1" xml:space="preserve"> IF( AND( OFFSET($A$1, 2708 - 1, 54 - 1) = "1", OFFSET($A$1, 2708 - 1, 55 - 1) = "1" ), 1, IF( AND( OFFSET($A$1, 2708 - 1, 54 - 1) = "1", OFFSET($A$1, 2708 - 1, 55 - 1) = "0" ), 2, IF( AND( OFFSET($A$1, 2708 - 1, 54 - 1) = "0", OFFSET($A$1, 2708 - 1, 55 - 1) = "1" ), 3, 4 ) ) )</f>
        <v>1</v>
      </c>
    </row>
    <row r="2709" spans="53:56" x14ac:dyDescent="0.35">
      <c r="BA2709" s="3">
        <v>0.55525047596130117</v>
      </c>
      <c r="BB2709" s="3" t="str">
        <f>"1"</f>
        <v>1</v>
      </c>
      <c r="BC2709" t="str">
        <f ca="1">IF((OFFSET($A$1, 2709 - 1, 53 - 1)) &gt;= (OFFSET($A$1, 69 - 1, 7 - 1)), "1","0")</f>
        <v>1</v>
      </c>
      <c r="BD2709">
        <f ca="1" xml:space="preserve"> IF( AND( OFFSET($A$1, 2709 - 1, 54 - 1) = "1", OFFSET($A$1, 2709 - 1, 55 - 1) = "1" ), 1, IF( AND( OFFSET($A$1, 2709 - 1, 54 - 1) = "1", OFFSET($A$1, 2709 - 1, 55 - 1) = "0" ), 2, IF( AND( OFFSET($A$1, 2709 - 1, 54 - 1) = "0", OFFSET($A$1, 2709 - 1, 55 - 1) = "1" ), 3, 4 ) ) )</f>
        <v>1</v>
      </c>
    </row>
    <row r="2710" spans="53:56" x14ac:dyDescent="0.35">
      <c r="BA2710" s="3">
        <v>0.55666115527067217</v>
      </c>
      <c r="BB2710" s="3" t="str">
        <f>"1"</f>
        <v>1</v>
      </c>
      <c r="BC2710" t="str">
        <f ca="1">IF((OFFSET($A$1, 2710 - 1, 53 - 1)) &gt;= (OFFSET($A$1, 69 - 1, 7 - 1)), "1","0")</f>
        <v>1</v>
      </c>
      <c r="BD2710">
        <f ca="1" xml:space="preserve"> IF( AND( OFFSET($A$1, 2710 - 1, 54 - 1) = "1", OFFSET($A$1, 2710 - 1, 55 - 1) = "1" ), 1, IF( AND( OFFSET($A$1, 2710 - 1, 54 - 1) = "1", OFFSET($A$1, 2710 - 1, 55 - 1) = "0" ), 2, IF( AND( OFFSET($A$1, 2710 - 1, 54 - 1) = "0", OFFSET($A$1, 2710 - 1, 55 - 1) = "1" ), 3, 4 ) ) )</f>
        <v>1</v>
      </c>
    </row>
    <row r="2711" spans="53:56" x14ac:dyDescent="0.35">
      <c r="BA2711" s="3">
        <v>0.55806070019176812</v>
      </c>
      <c r="BB2711" s="3" t="str">
        <f>"0"</f>
        <v>0</v>
      </c>
      <c r="BC2711" t="str">
        <f ca="1">IF((OFFSET($A$1, 2711 - 1, 53 - 1)) &gt;= (OFFSET($A$1, 69 - 1, 7 - 1)), "1","0")</f>
        <v>1</v>
      </c>
      <c r="BD2711">
        <f ca="1" xml:space="preserve"> IF( AND( OFFSET($A$1, 2711 - 1, 54 - 1) = "1", OFFSET($A$1, 2711 - 1, 55 - 1) = "1" ), 1, IF( AND( OFFSET($A$1, 2711 - 1, 54 - 1) = "1", OFFSET($A$1, 2711 - 1, 55 - 1) = "0" ), 2, IF( AND( OFFSET($A$1, 2711 - 1, 54 - 1) = "0", OFFSET($A$1, 2711 - 1, 55 - 1) = "1" ), 3, 4 ) ) )</f>
        <v>3</v>
      </c>
    </row>
    <row r="2712" spans="53:56" x14ac:dyDescent="0.35">
      <c r="BA2712" s="3">
        <v>0.28917150788287654</v>
      </c>
      <c r="BB2712" s="3" t="str">
        <f>"0"</f>
        <v>0</v>
      </c>
      <c r="BC2712" t="str">
        <f ca="1">IF((OFFSET($A$1, 2712 - 1, 53 - 1)) &gt;= (OFFSET($A$1, 69 - 1, 7 - 1)), "1","0")</f>
        <v>0</v>
      </c>
      <c r="BD2712">
        <f ca="1" xml:space="preserve"> IF( AND( OFFSET($A$1, 2712 - 1, 54 - 1) = "1", OFFSET($A$1, 2712 - 1, 55 - 1) = "1" ), 1, IF( AND( OFFSET($A$1, 2712 - 1, 54 - 1) = "1", OFFSET($A$1, 2712 - 1, 55 - 1) = "0" ), 2, IF( AND( OFFSET($A$1, 2712 - 1, 54 - 1) = "0", OFFSET($A$1, 2712 - 1, 55 - 1) = "1" ), 3, 4 ) ) )</f>
        <v>4</v>
      </c>
    </row>
    <row r="2713" spans="53:56" x14ac:dyDescent="0.35">
      <c r="BA2713" s="3">
        <v>0.29032084886364329</v>
      </c>
      <c r="BB2713" s="3" t="str">
        <f>"0"</f>
        <v>0</v>
      </c>
      <c r="BC2713" t="str">
        <f ca="1">IF((OFFSET($A$1, 2713 - 1, 53 - 1)) &gt;= (OFFSET($A$1, 69 - 1, 7 - 1)), "1","0")</f>
        <v>0</v>
      </c>
      <c r="BD2713">
        <f ca="1" xml:space="preserve"> IF( AND( OFFSET($A$1, 2713 - 1, 54 - 1) = "1", OFFSET($A$1, 2713 - 1, 55 - 1) = "1" ), 1, IF( AND( OFFSET($A$1, 2713 - 1, 54 - 1) = "1", OFFSET($A$1, 2713 - 1, 55 - 1) = "0" ), 2, IF( AND( OFFSET($A$1, 2713 - 1, 54 - 1) = "0", OFFSET($A$1, 2713 - 1, 55 - 1) = "1" ), 3, 4 ) ) )</f>
        <v>4</v>
      </c>
    </row>
    <row r="2714" spans="53:56" x14ac:dyDescent="0.35">
      <c r="BA2714" s="3">
        <v>0.29146329411755645</v>
      </c>
      <c r="BB2714" s="3" t="str">
        <f>"1"</f>
        <v>1</v>
      </c>
      <c r="BC2714" t="str">
        <f ca="1">IF((OFFSET($A$1, 2714 - 1, 53 - 1)) &gt;= (OFFSET($A$1, 69 - 1, 7 - 1)), "1","0")</f>
        <v>0</v>
      </c>
      <c r="BD2714">
        <f ca="1" xml:space="preserve"> IF( AND( OFFSET($A$1, 2714 - 1, 54 - 1) = "1", OFFSET($A$1, 2714 - 1, 55 - 1) = "1" ), 1, IF( AND( OFFSET($A$1, 2714 - 1, 54 - 1) = "1", OFFSET($A$1, 2714 - 1, 55 - 1) = "0" ), 2, IF( AND( OFFSET($A$1, 2714 - 1, 54 - 1) = "0", OFFSET($A$1, 2714 - 1, 55 - 1) = "1" ), 3, 4 ) ) )</f>
        <v>2</v>
      </c>
    </row>
    <row r="2715" spans="53:56" x14ac:dyDescent="0.35">
      <c r="BA2715" s="3">
        <v>0.56353930515849715</v>
      </c>
      <c r="BB2715" s="3" t="str">
        <f>"1"</f>
        <v>1</v>
      </c>
      <c r="BC2715" t="str">
        <f ca="1">IF((OFFSET($A$1, 2715 - 1, 53 - 1)) &gt;= (OFFSET($A$1, 69 - 1, 7 - 1)), "1","0")</f>
        <v>1</v>
      </c>
      <c r="BD2715">
        <f ca="1" xml:space="preserve"> IF( AND( OFFSET($A$1, 2715 - 1, 54 - 1) = "1", OFFSET($A$1, 2715 - 1, 55 - 1) = "1" ), 1, IF( AND( OFFSET($A$1, 2715 - 1, 54 - 1) = "1", OFFSET($A$1, 2715 - 1, 55 - 1) = "0" ), 2, IF( AND( OFFSET($A$1, 2715 - 1, 54 - 1) = "0", OFFSET($A$1, 2715 - 1, 55 - 1) = "1" ), 3, 4 ) ) )</f>
        <v>1</v>
      </c>
    </row>
    <row r="2716" spans="53:56" x14ac:dyDescent="0.35">
      <c r="BA2716" s="3">
        <v>0.56487705100616348</v>
      </c>
      <c r="BB2716" s="3" t="str">
        <f>"0"</f>
        <v>0</v>
      </c>
      <c r="BC2716" t="str">
        <f ca="1">IF((OFFSET($A$1, 2716 - 1, 53 - 1)) &gt;= (OFFSET($A$1, 69 - 1, 7 - 1)), "1","0")</f>
        <v>1</v>
      </c>
      <c r="BD2716">
        <f ca="1" xml:space="preserve"> IF( AND( OFFSET($A$1, 2716 - 1, 54 - 1) = "1", OFFSET($A$1, 2716 - 1, 55 - 1) = "1" ), 1, IF( AND( OFFSET($A$1, 2716 - 1, 54 - 1) = "1", OFFSET($A$1, 2716 - 1, 55 - 1) = "0" ), 2, IF( AND( OFFSET($A$1, 2716 - 1, 54 - 1) = "0", OFFSET($A$1, 2716 - 1, 55 - 1) = "1" ), 3, 4 ) ) )</f>
        <v>3</v>
      </c>
    </row>
    <row r="2717" spans="53:56" x14ac:dyDescent="0.35">
      <c r="BA2717" s="3">
        <v>0.29484511821738585</v>
      </c>
      <c r="BB2717" s="3" t="str">
        <f>"0"</f>
        <v>0</v>
      </c>
      <c r="BC2717" t="str">
        <f ca="1">IF((OFFSET($A$1, 2717 - 1, 53 - 1)) &gt;= (OFFSET($A$1, 69 - 1, 7 - 1)), "1","0")</f>
        <v>0</v>
      </c>
      <c r="BD2717">
        <f ca="1" xml:space="preserve"> IF( AND( OFFSET($A$1, 2717 - 1, 54 - 1) = "1", OFFSET($A$1, 2717 - 1, 55 - 1) = "1" ), 1, IF( AND( OFFSET($A$1, 2717 - 1, 54 - 1) = "1", OFFSET($A$1, 2717 - 1, 55 - 1) = "0" ), 2, IF( AND( OFFSET($A$1, 2717 - 1, 54 - 1) = "0", OFFSET($A$1, 2717 - 1, 55 - 1) = "1" ), 3, 4 ) ) )</f>
        <v>4</v>
      </c>
    </row>
    <row r="2718" spans="53:56" x14ac:dyDescent="0.35">
      <c r="BA2718" s="3">
        <v>0.29595584792308399</v>
      </c>
      <c r="BB2718" s="3" t="str">
        <f>"0"</f>
        <v>0</v>
      </c>
      <c r="BC2718" t="str">
        <f ca="1">IF((OFFSET($A$1, 2718 - 1, 53 - 1)) &gt;= (OFFSET($A$1, 69 - 1, 7 - 1)), "1","0")</f>
        <v>0</v>
      </c>
      <c r="BD2718">
        <f ca="1" xml:space="preserve"> IF( AND( OFFSET($A$1, 2718 - 1, 54 - 1) = "1", OFFSET($A$1, 2718 - 1, 55 - 1) = "1" ), 1, IF( AND( OFFSET($A$1, 2718 - 1, 54 - 1) = "1", OFFSET($A$1, 2718 - 1, 55 - 1) = "0" ), 2, IF( AND( OFFSET($A$1, 2718 - 1, 54 - 1) = "0", OFFSET($A$1, 2718 - 1, 55 - 1) = "1" ), 3, 4 ) ) )</f>
        <v>4</v>
      </c>
    </row>
    <row r="2719" spans="53:56" x14ac:dyDescent="0.35">
      <c r="BA2719" s="3">
        <v>0.2970576210360697</v>
      </c>
      <c r="BB2719" s="3" t="str">
        <f>"1"</f>
        <v>1</v>
      </c>
      <c r="BC2719" t="str">
        <f ca="1">IF((OFFSET($A$1, 2719 - 1, 53 - 1)) &gt;= (OFFSET($A$1, 69 - 1, 7 - 1)), "1","0")</f>
        <v>0</v>
      </c>
      <c r="BD2719">
        <f ca="1" xml:space="preserve"> IF( AND( OFFSET($A$1, 2719 - 1, 54 - 1) = "1", OFFSET($A$1, 2719 - 1, 55 - 1) = "1" ), 1, IF( AND( OFFSET($A$1, 2719 - 1, 54 - 1) = "1", OFFSET($A$1, 2719 - 1, 55 - 1) = "0" ), 2, IF( AND( OFFSET($A$1, 2719 - 1, 54 - 1) = "0", OFFSET($A$1, 2719 - 1, 55 - 1) = "1" ), 3, 4 ) ) )</f>
        <v>2</v>
      </c>
    </row>
    <row r="2720" spans="53:56" x14ac:dyDescent="0.35">
      <c r="BA2720" s="3">
        <v>0.57008875621450128</v>
      </c>
      <c r="BB2720" s="3" t="str">
        <f>"1"</f>
        <v>1</v>
      </c>
      <c r="BC2720" t="str">
        <f ca="1">IF((OFFSET($A$1, 2720 - 1, 53 - 1)) &gt;= (OFFSET($A$1, 69 - 1, 7 - 1)), "1","0")</f>
        <v>1</v>
      </c>
      <c r="BD2720">
        <f ca="1" xml:space="preserve"> IF( AND( OFFSET($A$1, 2720 - 1, 54 - 1) = "1", OFFSET($A$1, 2720 - 1, 55 - 1) = "1" ), 1, IF( AND( OFFSET($A$1, 2720 - 1, 54 - 1) = "1", OFFSET($A$1, 2720 - 1, 55 - 1) = "0" ), 2, IF( AND( OFFSET($A$1, 2720 - 1, 54 - 1) = "0", OFFSET($A$1, 2720 - 1, 55 - 1) = "1" ), 3, 4 ) ) )</f>
        <v>1</v>
      </c>
    </row>
    <row r="2721" spans="53:56" x14ac:dyDescent="0.35">
      <c r="BA2721" s="3">
        <v>0.57135499206529339</v>
      </c>
      <c r="BB2721" s="3" t="str">
        <f>"1"</f>
        <v>1</v>
      </c>
      <c r="BC2721" t="str">
        <f ca="1">IF((OFFSET($A$1, 2721 - 1, 53 - 1)) &gt;= (OFFSET($A$1, 69 - 1, 7 - 1)), "1","0")</f>
        <v>1</v>
      </c>
      <c r="BD2721">
        <f ca="1" xml:space="preserve"> IF( AND( OFFSET($A$1, 2721 - 1, 54 - 1) = "1", OFFSET($A$1, 2721 - 1, 55 - 1) = "1" ), 1, IF( AND( OFFSET($A$1, 2721 - 1, 54 - 1) = "1", OFFSET($A$1, 2721 - 1, 55 - 1) = "0" ), 2, IF( AND( OFFSET($A$1, 2721 - 1, 54 - 1) = "0", OFFSET($A$1, 2721 - 1, 55 - 1) = "1" ), 3, 4 ) ) )</f>
        <v>1</v>
      </c>
    </row>
    <row r="2722" spans="53:56" x14ac:dyDescent="0.35">
      <c r="BA2722" s="3">
        <v>0.57260582421949335</v>
      </c>
      <c r="BB2722" s="3" t="str">
        <f>"1"</f>
        <v>1</v>
      </c>
      <c r="BC2722" t="str">
        <f ca="1">IF((OFFSET($A$1, 2722 - 1, 53 - 1)) &gt;= (OFFSET($A$1, 69 - 1, 7 - 1)), "1","0")</f>
        <v>1</v>
      </c>
      <c r="BD2722">
        <f ca="1" xml:space="preserve"> IF( AND( OFFSET($A$1, 2722 - 1, 54 - 1) = "1", OFFSET($A$1, 2722 - 1, 55 - 1) = "1" ), 1, IF( AND( OFFSET($A$1, 2722 - 1, 54 - 1) = "1", OFFSET($A$1, 2722 - 1, 55 - 1) = "0" ), 2, IF( AND( OFFSET($A$1, 2722 - 1, 54 - 1) = "0", OFFSET($A$1, 2722 - 1, 55 - 1) = "1" ), 3, 4 ) ) )</f>
        <v>1</v>
      </c>
    </row>
    <row r="2723" spans="53:56" x14ac:dyDescent="0.35">
      <c r="BA2723" s="3">
        <v>0.57384089957271189</v>
      </c>
      <c r="BB2723" s="3" t="str">
        <f>"0"</f>
        <v>0</v>
      </c>
      <c r="BC2723" t="str">
        <f ca="1">IF((OFFSET($A$1, 2723 - 1, 53 - 1)) &gt;= (OFFSET($A$1, 69 - 1, 7 - 1)), "1","0")</f>
        <v>1</v>
      </c>
      <c r="BD2723">
        <f ca="1" xml:space="preserve"> IF( AND( OFFSET($A$1, 2723 - 1, 54 - 1) = "1", OFFSET($A$1, 2723 - 1, 55 - 1) = "1" ), 1, IF( AND( OFFSET($A$1, 2723 - 1, 54 - 1) = "1", OFFSET($A$1, 2723 - 1, 55 - 1) = "0" ), 2, IF( AND( OFFSET($A$1, 2723 - 1, 54 - 1) = "0", OFFSET($A$1, 2723 - 1, 55 - 1) = "1" ), 3, 4 ) ) )</f>
        <v>3</v>
      </c>
    </row>
    <row r="2724" spans="53:56" x14ac:dyDescent="0.35">
      <c r="BA2724" s="3">
        <v>0.30241792477834373</v>
      </c>
      <c r="BB2724" s="3" t="str">
        <f>"1"</f>
        <v>1</v>
      </c>
      <c r="BC2724" t="str">
        <f ca="1">IF((OFFSET($A$1, 2724 - 1, 53 - 1)) &gt;= (OFFSET($A$1, 69 - 1, 7 - 1)), "1","0")</f>
        <v>0</v>
      </c>
      <c r="BD2724">
        <f ca="1" xml:space="preserve"> IF( AND( OFFSET($A$1, 2724 - 1, 54 - 1) = "1", OFFSET($A$1, 2724 - 1, 55 - 1) = "1" ), 1, IF( AND( OFFSET($A$1, 2724 - 1, 54 - 1) = "1", OFFSET($A$1, 2724 - 1, 55 - 1) = "0" ), 2, IF( AND( OFFSET($A$1, 2724 - 1, 54 - 1) = "0", OFFSET($A$1, 2724 - 1, 55 - 1) = "1" ), 3, 4 ) ) )</f>
        <v>2</v>
      </c>
    </row>
    <row r="2725" spans="53:56" x14ac:dyDescent="0.35">
      <c r="BA2725" s="3">
        <v>0.57626239855146799</v>
      </c>
      <c r="BB2725" s="3" t="str">
        <f>"0"</f>
        <v>0</v>
      </c>
      <c r="BC2725" t="str">
        <f ca="1">IF((OFFSET($A$1, 2725 - 1, 53 - 1)) &gt;= (OFFSET($A$1, 69 - 1, 7 - 1)), "1","0")</f>
        <v>1</v>
      </c>
      <c r="BD2725">
        <f ca="1" xml:space="preserve"> IF( AND( OFFSET($A$1, 2725 - 1, 54 - 1) = "1", OFFSET($A$1, 2725 - 1, 55 - 1) = "1" ), 1, IF( AND( OFFSET($A$1, 2725 - 1, 54 - 1) = "1", OFFSET($A$1, 2725 - 1, 55 - 1) = "0" ), 2, IF( AND( OFFSET($A$1, 2725 - 1, 54 - 1) = "0", OFFSET($A$1, 2725 - 1, 55 - 1) = "1" ), 3, 4 ) ) )</f>
        <v>3</v>
      </c>
    </row>
    <row r="2726" spans="53:56" x14ac:dyDescent="0.35">
      <c r="BA2726" s="3">
        <v>0.30448523346564271</v>
      </c>
      <c r="BB2726" s="3" t="str">
        <f>"1"</f>
        <v>1</v>
      </c>
      <c r="BC2726" t="str">
        <f ca="1">IF((OFFSET($A$1, 2726 - 1, 53 - 1)) &gt;= (OFFSET($A$1, 69 - 1, 7 - 1)), "1","0")</f>
        <v>0</v>
      </c>
      <c r="BD2726">
        <f ca="1" xml:space="preserve"> IF( AND( OFFSET($A$1, 2726 - 1, 54 - 1) = "1", OFFSET($A$1, 2726 - 1, 55 - 1) = "1" ), 1, IF( AND( OFFSET($A$1, 2726 - 1, 54 - 1) = "1", OFFSET($A$1, 2726 - 1, 55 - 1) = "0" ), 2, IF( AND( OFFSET($A$1, 2726 - 1, 54 - 1) = "0", OFFSET($A$1, 2726 - 1, 55 - 1) = "1" ), 3, 4 ) ) )</f>
        <v>2</v>
      </c>
    </row>
    <row r="2727" spans="53:56" x14ac:dyDescent="0.35">
      <c r="BA2727" s="3">
        <v>0.57861678940846573</v>
      </c>
      <c r="BB2727" s="3" t="str">
        <f>"0"</f>
        <v>0</v>
      </c>
      <c r="BC2727" t="str">
        <f ca="1">IF((OFFSET($A$1, 2727 - 1, 53 - 1)) &gt;= (OFFSET($A$1, 69 - 1, 7 - 1)), "1","0")</f>
        <v>1</v>
      </c>
      <c r="BD2727">
        <f ca="1" xml:space="preserve"> IF( AND( OFFSET($A$1, 2727 - 1, 54 - 1) = "1", OFFSET($A$1, 2727 - 1, 55 - 1) = "1" ), 1, IF( AND( OFFSET($A$1, 2727 - 1, 54 - 1) = "1", OFFSET($A$1, 2727 - 1, 55 - 1) = "0" ), 2, IF( AND( OFFSET($A$1, 2727 - 1, 54 - 1) = "0", OFFSET($A$1, 2727 - 1, 55 - 1) = "1" ), 3, 4 ) ) )</f>
        <v>3</v>
      </c>
    </row>
    <row r="2728" spans="53:56" x14ac:dyDescent="0.35">
      <c r="BA2728" s="3">
        <v>0.30650392154814238</v>
      </c>
      <c r="BB2728" s="3" t="str">
        <f>"1"</f>
        <v>1</v>
      </c>
      <c r="BC2728" t="str">
        <f ca="1">IF((OFFSET($A$1, 2728 - 1, 53 - 1)) &gt;= (OFFSET($A$1, 69 - 1, 7 - 1)), "1","0")</f>
        <v>0</v>
      </c>
      <c r="BD2728">
        <f ca="1" xml:space="preserve"> IF( AND( OFFSET($A$1, 2728 - 1, 54 - 1) = "1", OFFSET($A$1, 2728 - 1, 55 - 1) = "1" ), 1, IF( AND( OFFSET($A$1, 2728 - 1, 54 - 1) = "1", OFFSET($A$1, 2728 - 1, 55 - 1) = "0" ), 2, IF( AND( OFFSET($A$1, 2728 - 1, 54 - 1) = "0", OFFSET($A$1, 2728 - 1, 55 - 1) = "1" ), 3, 4 ) ) )</f>
        <v>2</v>
      </c>
    </row>
    <row r="2729" spans="53:56" x14ac:dyDescent="0.35">
      <c r="BA2729" s="3">
        <v>0.58090147464792918</v>
      </c>
      <c r="BB2729" s="3" t="str">
        <f>"1"</f>
        <v>1</v>
      </c>
      <c r="BC2729" t="str">
        <f ca="1">IF((OFFSET($A$1, 2729 - 1, 53 - 1)) &gt;= (OFFSET($A$1, 69 - 1, 7 - 1)), "1","0")</f>
        <v>1</v>
      </c>
      <c r="BD2729">
        <f ca="1" xml:space="preserve"> IF( AND( OFFSET($A$1, 2729 - 1, 54 - 1) = "1", OFFSET($A$1, 2729 - 1, 55 - 1) = "1" ), 1, IF( AND( OFFSET($A$1, 2729 - 1, 54 - 1) = "1", OFFSET($A$1, 2729 - 1, 55 - 1) = "0" ), 2, IF( AND( OFFSET($A$1, 2729 - 1, 54 - 1) = "0", OFFSET($A$1, 2729 - 1, 55 - 1) = "1" ), 3, 4 ) ) )</f>
        <v>1</v>
      </c>
    </row>
    <row r="2730" spans="53:56" x14ac:dyDescent="0.35">
      <c r="BA2730" s="3">
        <v>0.5820168942286984</v>
      </c>
      <c r="BB2730" s="3" t="str">
        <f>"0"</f>
        <v>0</v>
      </c>
      <c r="BC2730" t="str">
        <f ca="1">IF((OFFSET($A$1, 2730 - 1, 53 - 1)) &gt;= (OFFSET($A$1, 69 - 1, 7 - 1)), "1","0")</f>
        <v>1</v>
      </c>
      <c r="BD2730">
        <f ca="1" xml:space="preserve"> IF( AND( OFFSET($A$1, 2730 - 1, 54 - 1) = "1", OFFSET($A$1, 2730 - 1, 55 - 1) = "1" ), 1, IF( AND( OFFSET($A$1, 2730 - 1, 54 - 1) = "1", OFFSET($A$1, 2730 - 1, 55 - 1) = "0" ), 2, IF( AND( OFFSET($A$1, 2730 - 1, 54 - 1) = "0", OFFSET($A$1, 2730 - 1, 55 - 1) = "1" ), 3, 4 ) ) )</f>
        <v>3</v>
      </c>
    </row>
    <row r="2731" spans="53:56" x14ac:dyDescent="0.35">
      <c r="BA2731" s="3">
        <v>0.30943407196630784</v>
      </c>
      <c r="BB2731" s="3" t="str">
        <f>"1"</f>
        <v>1</v>
      </c>
      <c r="BC2731" t="str">
        <f ca="1">IF((OFFSET($A$1, 2731 - 1, 53 - 1)) &gt;= (OFFSET($A$1, 69 - 1, 7 - 1)), "1","0")</f>
        <v>0</v>
      </c>
      <c r="BD2731">
        <f ca="1" xml:space="preserve"> IF( AND( OFFSET($A$1, 2731 - 1, 54 - 1) = "1", OFFSET($A$1, 2731 - 1, 55 - 1) = "1" ), 1, IF( AND( OFFSET($A$1, 2731 - 1, 54 - 1) = "1", OFFSET($A$1, 2731 - 1, 55 - 1) = "0" ), 2, IF( AND( OFFSET($A$1, 2731 - 1, 54 - 1) = "0", OFFSET($A$1, 2731 - 1, 55 - 1) = "1" ), 3, 4 ) ) )</f>
        <v>2</v>
      </c>
    </row>
    <row r="2732" spans="53:56" x14ac:dyDescent="0.35">
      <c r="BA2732" s="3">
        <v>0.58419237760264986</v>
      </c>
      <c r="BB2732" s="3" t="str">
        <f>"0"</f>
        <v>0</v>
      </c>
      <c r="BC2732" t="str">
        <f ca="1">IF((OFFSET($A$1, 2732 - 1, 53 - 1)) &gt;= (OFFSET($A$1, 69 - 1, 7 - 1)), "1","0")</f>
        <v>1</v>
      </c>
      <c r="BD2732">
        <f ca="1" xml:space="preserve"> IF( AND( OFFSET($A$1, 2732 - 1, 54 - 1) = "1", OFFSET($A$1, 2732 - 1, 55 - 1) = "1" ), 1, IF( AND( OFFSET($A$1, 2732 - 1, 54 - 1) = "1", OFFSET($A$1, 2732 - 1, 55 - 1) = "0" ), 2, IF( AND( OFFSET($A$1, 2732 - 1, 54 - 1) = "0", OFFSET($A$1, 2732 - 1, 55 - 1) = "1" ), 3, 4 ) ) )</f>
        <v>3</v>
      </c>
    </row>
    <row r="2733" spans="53:56" x14ac:dyDescent="0.35">
      <c r="BA2733" s="3">
        <v>0.31131787639132769</v>
      </c>
      <c r="BB2733" s="3" t="str">
        <f>"0"</f>
        <v>0</v>
      </c>
      <c r="BC2733" t="str">
        <f ca="1">IF((OFFSET($A$1, 2733 - 1, 53 - 1)) &gt;= (OFFSET($A$1, 69 - 1, 7 - 1)), "1","0")</f>
        <v>0</v>
      </c>
      <c r="BD2733">
        <f ca="1" xml:space="preserve"> IF( AND( OFFSET($A$1, 2733 - 1, 54 - 1) = "1", OFFSET($A$1, 2733 - 1, 55 - 1) = "1" ), 1, IF( AND( OFFSET($A$1, 2733 - 1, 54 - 1) = "1", OFFSET($A$1, 2733 - 1, 55 - 1) = "0" ), 2, IF( AND( OFFSET($A$1, 2733 - 1, 54 - 1) = "0", OFFSET($A$1, 2733 - 1, 55 - 1) = "1" ), 3, 4 ) ) )</f>
        <v>4</v>
      </c>
    </row>
    <row r="2734" spans="53:56" x14ac:dyDescent="0.35">
      <c r="BA2734" s="3">
        <v>0.31223779120654788</v>
      </c>
      <c r="BB2734" s="3" t="str">
        <f>"0"</f>
        <v>0</v>
      </c>
      <c r="BC2734" t="str">
        <f ca="1">IF((OFFSET($A$1, 2734 - 1, 53 - 1)) &gt;= (OFFSET($A$1, 69 - 1, 7 - 1)), "1","0")</f>
        <v>0</v>
      </c>
      <c r="BD2734">
        <f ca="1" xml:space="preserve"> IF( AND( OFFSET($A$1, 2734 - 1, 54 - 1) = "1", OFFSET($A$1, 2734 - 1, 55 - 1) = "1" ), 1, IF( AND( OFFSET($A$1, 2734 - 1, 54 - 1) = "1", OFFSET($A$1, 2734 - 1, 55 - 1) = "0" ), 2, IF( AND( OFFSET($A$1, 2734 - 1, 54 - 1) = "0", OFFSET($A$1, 2734 - 1, 55 - 1) = "1" ), 3, 4 ) ) )</f>
        <v>4</v>
      </c>
    </row>
    <row r="2735" spans="53:56" x14ac:dyDescent="0.35">
      <c r="BA2735" s="3">
        <v>0.31314257055289385</v>
      </c>
      <c r="BB2735" s="3" t="str">
        <f>"1"</f>
        <v>1</v>
      </c>
      <c r="BC2735" t="str">
        <f ca="1">IF((OFFSET($A$1, 2735 - 1, 53 - 1)) &gt;= (OFFSET($A$1, 69 - 1, 7 - 1)), "1","0")</f>
        <v>0</v>
      </c>
      <c r="BD2735">
        <f ca="1" xml:space="preserve"> IF( AND( OFFSET($A$1, 2735 - 1, 54 - 1) = "1", OFFSET($A$1, 2735 - 1, 55 - 1) = "1" ), 1, IF( AND( OFFSET($A$1, 2735 - 1, 54 - 1) = "1", OFFSET($A$1, 2735 - 1, 55 - 1) = "0" ), 2, IF( AND( OFFSET($A$1, 2735 - 1, 54 - 1) = "0", OFFSET($A$1, 2735 - 1, 55 - 1) = "1" ), 3, 4 ) ) )</f>
        <v>2</v>
      </c>
    </row>
    <row r="2736" spans="53:56" x14ac:dyDescent="0.35">
      <c r="BA2736" s="3">
        <v>0.58831388201302648</v>
      </c>
      <c r="BB2736" s="3" t="str">
        <f>"1"</f>
        <v>1</v>
      </c>
      <c r="BC2736" t="str">
        <f ca="1">IF((OFFSET($A$1, 2736 - 1, 53 - 1)) &gt;= (OFFSET($A$1, 69 - 1, 7 - 1)), "1","0")</f>
        <v>1</v>
      </c>
      <c r="BD2736">
        <f ca="1" xml:space="preserve"> IF( AND( OFFSET($A$1, 2736 - 1, 54 - 1) = "1", OFFSET($A$1, 2736 - 1, 55 - 1) = "1" ), 1, IF( AND( OFFSET($A$1, 2736 - 1, 54 - 1) = "1", OFFSET($A$1, 2736 - 1, 55 - 1) = "0" ), 2, IF( AND( OFFSET($A$1, 2736 - 1, 54 - 1) = "0", OFFSET($A$1, 2736 - 1, 55 - 1) = "1" ), 3, 4 ) ) )</f>
        <v>1</v>
      </c>
    </row>
    <row r="2737" spans="53:56" x14ac:dyDescent="0.35">
      <c r="BA2737" s="3">
        <v>0.58929485592021436</v>
      </c>
      <c r="BB2737" s="3" t="str">
        <f>"1"</f>
        <v>1</v>
      </c>
      <c r="BC2737" t="str">
        <f ca="1">IF((OFFSET($A$1, 2737 - 1, 53 - 1)) &gt;= (OFFSET($A$1, 69 - 1, 7 - 1)), "1","0")</f>
        <v>1</v>
      </c>
      <c r="BD2737">
        <f ca="1" xml:space="preserve"> IF( AND( OFFSET($A$1, 2737 - 1, 54 - 1) = "1", OFFSET($A$1, 2737 - 1, 55 - 1) = "1" ), 1, IF( AND( OFFSET($A$1, 2737 - 1, 54 - 1) = "1", OFFSET($A$1, 2737 - 1, 55 - 1) = "0" ), 2, IF( AND( OFFSET($A$1, 2737 - 1, 54 - 1) = "0", OFFSET($A$1, 2737 - 1, 55 - 1) = "1" ), 3, 4 ) ) )</f>
        <v>1</v>
      </c>
    </row>
    <row r="2738" spans="53:56" x14ac:dyDescent="0.35">
      <c r="BA2738" s="3">
        <v>0.5902555477870215</v>
      </c>
      <c r="BB2738" s="3" t="str">
        <f>"1"</f>
        <v>1</v>
      </c>
      <c r="BC2738" t="str">
        <f ca="1">IF((OFFSET($A$1, 2738 - 1, 53 - 1)) &gt;= (OFFSET($A$1, 69 - 1, 7 - 1)), "1","0")</f>
        <v>1</v>
      </c>
      <c r="BD2738">
        <f ca="1" xml:space="preserve"> IF( AND( OFFSET($A$1, 2738 - 1, 54 - 1) = "1", OFFSET($A$1, 2738 - 1, 55 - 1) = "1" ), 1, IF( AND( OFFSET($A$1, 2738 - 1, 54 - 1) = "1", OFFSET($A$1, 2738 - 1, 55 - 1) = "0" ), 2, IF( AND( OFFSET($A$1, 2738 - 1, 54 - 1) = "0", OFFSET($A$1, 2738 - 1, 55 - 1) = "1" ), 3, 4 ) ) )</f>
        <v>1</v>
      </c>
    </row>
    <row r="2739" spans="53:56" x14ac:dyDescent="0.35">
      <c r="BA2739" s="3">
        <v>0.59119570866357041</v>
      </c>
      <c r="BB2739" s="3" t="str">
        <f>"1"</f>
        <v>1</v>
      </c>
      <c r="BC2739" t="str">
        <f ca="1">IF((OFFSET($A$1, 2739 - 1, 53 - 1)) &gt;= (OFFSET($A$1, 69 - 1, 7 - 1)), "1","0")</f>
        <v>1</v>
      </c>
      <c r="BD2739">
        <f ca="1" xml:space="preserve"> IF( AND( OFFSET($A$1, 2739 - 1, 54 - 1) = "1", OFFSET($A$1, 2739 - 1, 55 - 1) = "1" ), 1, IF( AND( OFFSET($A$1, 2739 - 1, 54 - 1) = "1", OFFSET($A$1, 2739 - 1, 55 - 1) = "0" ), 2, IF( AND( OFFSET($A$1, 2739 - 1, 54 - 1) = "0", OFFSET($A$1, 2739 - 1, 55 - 1) = "1" ), 3, 4 ) ) )</f>
        <v>1</v>
      </c>
    </row>
    <row r="2740" spans="53:56" x14ac:dyDescent="0.35">
      <c r="BA2740" s="3">
        <v>0.59211509624079817</v>
      </c>
      <c r="BB2740" s="3" t="str">
        <f>"0"</f>
        <v>0</v>
      </c>
      <c r="BC2740" t="str">
        <f ca="1">IF((OFFSET($A$1, 2740 - 1, 53 - 1)) &gt;= (OFFSET($A$1, 69 - 1, 7 - 1)), "1","0")</f>
        <v>1</v>
      </c>
      <c r="BD2740">
        <f ca="1" xml:space="preserve"> IF( AND( OFFSET($A$1, 2740 - 1, 54 - 1) = "1", OFFSET($A$1, 2740 - 1, 55 - 1) = "1" ), 1, IF( AND( OFFSET($A$1, 2740 - 1, 54 - 1) = "1", OFFSET($A$1, 2740 - 1, 55 - 1) = "0" ), 2, IF( AND( OFFSET($A$1, 2740 - 1, 54 - 1) = "0", OFFSET($A$1, 2740 - 1, 55 - 1) = "1" ), 3, 4 ) ) )</f>
        <v>3</v>
      </c>
    </row>
    <row r="2741" spans="53:56" x14ac:dyDescent="0.35">
      <c r="BA2741" s="3">
        <v>0.31823409557489818</v>
      </c>
      <c r="BB2741" s="3" t="str">
        <f>"1"</f>
        <v>1</v>
      </c>
      <c r="BC2741" t="str">
        <f ca="1">IF((OFFSET($A$1, 2741 - 1, 53 - 1)) &gt;= (OFFSET($A$1, 69 - 1, 7 - 1)), "1","0")</f>
        <v>0</v>
      </c>
      <c r="BD2741">
        <f ca="1" xml:space="preserve"> IF( AND( OFFSET($A$1, 2741 - 1, 54 - 1) = "1", OFFSET($A$1, 2741 - 1, 55 - 1) = "1" ), 1, IF( AND( OFFSET($A$1, 2741 - 1, 54 - 1) = "1", OFFSET($A$1, 2741 - 1, 55 - 1) = "0" ), 2, IF( AND( OFFSET($A$1, 2741 - 1, 54 - 1) = "0", OFFSET($A$1, 2741 - 1, 55 - 1) = "1" ), 3, 4 ) ) )</f>
        <v>2</v>
      </c>
    </row>
    <row r="2742" spans="53:56" x14ac:dyDescent="0.35">
      <c r="BA2742" s="3">
        <v>0.59389061541025201</v>
      </c>
      <c r="BB2742" s="3" t="str">
        <f>"1"</f>
        <v>1</v>
      </c>
      <c r="BC2742" t="str">
        <f ca="1">IF((OFFSET($A$1, 2742 - 1, 53 - 1)) &gt;= (OFFSET($A$1, 69 - 1, 7 - 1)), "1","0")</f>
        <v>1</v>
      </c>
      <c r="BD2742">
        <f ca="1" xml:space="preserve"> IF( AND( OFFSET($A$1, 2742 - 1, 54 - 1) = "1", OFFSET($A$1, 2742 - 1, 55 - 1) = "1" ), 1, IF( AND( OFFSET($A$1, 2742 - 1, 54 - 1) = "1", OFFSET($A$1, 2742 - 1, 55 - 1) = "0" ), 2, IF( AND( OFFSET($A$1, 2742 - 1, 54 - 1) = "0", OFFSET($A$1, 2742 - 1, 55 - 1) = "1" ), 3, 4 ) ) )</f>
        <v>1</v>
      </c>
    </row>
    <row r="2743" spans="53:56" x14ac:dyDescent="0.35">
      <c r="BA2743" s="3">
        <v>0.59474629549541502</v>
      </c>
      <c r="BB2743" s="3" t="str">
        <f>"1"</f>
        <v>1</v>
      </c>
      <c r="BC2743" t="str">
        <f ca="1">IF((OFFSET($A$1, 2743 - 1, 53 - 1)) &gt;= (OFFSET($A$1, 69 - 1, 7 - 1)), "1","0")</f>
        <v>1</v>
      </c>
      <c r="BD2743">
        <f ca="1" xml:space="preserve"> IF( AND( OFFSET($A$1, 2743 - 1, 54 - 1) = "1", OFFSET($A$1, 2743 - 1, 55 - 1) = "1" ), 1, IF( AND( OFFSET($A$1, 2743 - 1, 54 - 1) = "1", OFFSET($A$1, 2743 - 1, 55 - 1) = "0" ), 2, IF( AND( OFFSET($A$1, 2743 - 1, 54 - 1) = "0", OFFSET($A$1, 2743 - 1, 55 - 1) = "1" ), 3, 4 ) ) )</f>
        <v>1</v>
      </c>
    </row>
    <row r="2744" spans="53:56" x14ac:dyDescent="0.35">
      <c r="BA2744" s="3">
        <v>0.59558029923507338</v>
      </c>
      <c r="BB2744" s="3" t="str">
        <f>"1"</f>
        <v>1</v>
      </c>
      <c r="BC2744" t="str">
        <f ca="1">IF((OFFSET($A$1, 2744 - 1, 53 - 1)) &gt;= (OFFSET($A$1, 69 - 1, 7 - 1)), "1","0")</f>
        <v>1</v>
      </c>
      <c r="BD2744">
        <f ca="1" xml:space="preserve"> IF( AND( OFFSET($A$1, 2744 - 1, 54 - 1) = "1", OFFSET($A$1, 2744 - 1, 55 - 1) = "1" ), 1, IF( AND( OFFSET($A$1, 2744 - 1, 54 - 1) = "1", OFFSET($A$1, 2744 - 1, 55 - 1) = "0" ), 2, IF( AND( OFFSET($A$1, 2744 - 1, 54 - 1) = "0", OFFSET($A$1, 2744 - 1, 55 - 1) = "1" ), 3, 4 ) ) )</f>
        <v>1</v>
      </c>
    </row>
    <row r="2745" spans="53:56" x14ac:dyDescent="0.35">
      <c r="BA2745" s="3">
        <v>0.59639241733546455</v>
      </c>
      <c r="BB2745" s="3" t="str">
        <f>"1"</f>
        <v>1</v>
      </c>
      <c r="BC2745" t="str">
        <f ca="1">IF((OFFSET($A$1, 2745 - 1, 53 - 1)) &gt;= (OFFSET($A$1, 69 - 1, 7 - 1)), "1","0")</f>
        <v>1</v>
      </c>
      <c r="BD2745">
        <f ca="1" xml:space="preserve"> IF( AND( OFFSET($A$1, 2745 - 1, 54 - 1) = "1", OFFSET($A$1, 2745 - 1, 55 - 1) = "1" ), 1, IF( AND( OFFSET($A$1, 2745 - 1, 54 - 1) = "1", OFFSET($A$1, 2745 - 1, 55 - 1) = "0" ), 2, IF( AND( OFFSET($A$1, 2745 - 1, 54 - 1) = "0", OFFSET($A$1, 2745 - 1, 55 - 1) = "1" ), 3, 4 ) ) )</f>
        <v>1</v>
      </c>
    </row>
    <row r="2746" spans="53:56" x14ac:dyDescent="0.35">
      <c r="BA2746" s="3">
        <v>0.59718244704909884</v>
      </c>
      <c r="BB2746" s="3" t="str">
        <f>"1"</f>
        <v>1</v>
      </c>
      <c r="BC2746" t="str">
        <f ca="1">IF((OFFSET($A$1, 2746 - 1, 53 - 1)) &gt;= (OFFSET($A$1, 69 - 1, 7 - 1)), "1","0")</f>
        <v>1</v>
      </c>
      <c r="BD2746">
        <f ca="1" xml:space="preserve"> IF( AND( OFFSET($A$1, 2746 - 1, 54 - 1) = "1", OFFSET($A$1, 2746 - 1, 55 - 1) = "1" ), 1, IF( AND( OFFSET($A$1, 2746 - 1, 54 - 1) = "1", OFFSET($A$1, 2746 - 1, 55 - 1) = "0" ), 2, IF( AND( OFFSET($A$1, 2746 - 1, 54 - 1) = "0", OFFSET($A$1, 2746 - 1, 55 - 1) = "1" ), 3, 4 ) ) )</f>
        <v>1</v>
      </c>
    </row>
    <row r="2747" spans="53:56" x14ac:dyDescent="0.35">
      <c r="BA2747" s="3">
        <v>0.59795019215043621</v>
      </c>
      <c r="BB2747" s="3" t="str">
        <f>"0"</f>
        <v>0</v>
      </c>
      <c r="BC2747" t="str">
        <f ca="1">IF((OFFSET($A$1, 2747 - 1, 53 - 1)) &gt;= (OFFSET($A$1, 69 - 1, 7 - 1)), "1","0")</f>
        <v>1</v>
      </c>
      <c r="BD2747">
        <f ca="1" xml:space="preserve"> IF( AND( OFFSET($A$1, 2747 - 1, 54 - 1) = "1", OFFSET($A$1, 2747 - 1, 55 - 1) = "1" ), 1, IF( AND( OFFSET($A$1, 2747 - 1, 54 - 1) = "1", OFFSET($A$1, 2747 - 1, 55 - 1) = "0" ), 2, IF( AND( OFFSET($A$1, 2747 - 1, 54 - 1) = "0", OFFSET($A$1, 2747 - 1, 55 - 1) = "1" ), 3, 4 ) ) )</f>
        <v>3</v>
      </c>
    </row>
    <row r="2748" spans="53:56" x14ac:dyDescent="0.35">
      <c r="BA2748" s="3">
        <v>0.32337519859350955</v>
      </c>
      <c r="BB2748" s="3" t="str">
        <f>"0"</f>
        <v>0</v>
      </c>
      <c r="BC2748" t="str">
        <f ca="1">IF((OFFSET($A$1, 2748 - 1, 53 - 1)) &gt;= (OFFSET($A$1, 69 - 1, 7 - 1)), "1","0")</f>
        <v>0</v>
      </c>
      <c r="BD2748">
        <f ca="1" xml:space="preserve"> IF( AND( OFFSET($A$1, 2748 - 1, 54 - 1) = "1", OFFSET($A$1, 2748 - 1, 55 - 1) = "1" ), 1, IF( AND( OFFSET($A$1, 2748 - 1, 54 - 1) = "1", OFFSET($A$1, 2748 - 1, 55 - 1) = "0" ), 2, IF( AND( OFFSET($A$1, 2748 - 1, 54 - 1) = "0", OFFSET($A$1, 2748 - 1, 55 - 1) = "1" ), 3, 4 ) ) )</f>
        <v>4</v>
      </c>
    </row>
    <row r="2749" spans="53:56" x14ac:dyDescent="0.35">
      <c r="BA2749" s="3">
        <v>0.32403382664026437</v>
      </c>
      <c r="BB2749" s="3" t="str">
        <f>"0"</f>
        <v>0</v>
      </c>
      <c r="BC2749" t="str">
        <f ca="1">IF((OFFSET($A$1, 2749 - 1, 53 - 1)) &gt;= (OFFSET($A$1, 69 - 1, 7 - 1)), "1","0")</f>
        <v>0</v>
      </c>
      <c r="BD2749">
        <f ca="1" xml:space="preserve"> IF( AND( OFFSET($A$1, 2749 - 1, 54 - 1) = "1", OFFSET($A$1, 2749 - 1, 55 - 1) = "1" ), 1, IF( AND( OFFSET($A$1, 2749 - 1, 54 - 1) = "1", OFFSET($A$1, 2749 - 1, 55 - 1) = "0" ), 2, IF( AND( OFFSET($A$1, 2749 - 1, 54 - 1) = "0", OFFSET($A$1, 2749 - 1, 55 - 1) = "1" ), 3, 4 ) ) )</f>
        <v>4</v>
      </c>
    </row>
    <row r="2750" spans="53:56" x14ac:dyDescent="0.35">
      <c r="BA2750" s="3">
        <v>0.32467268348788819</v>
      </c>
      <c r="BB2750" s="3" t="str">
        <f>"1"</f>
        <v>1</v>
      </c>
      <c r="BC2750" t="str">
        <f ca="1">IF((OFFSET($A$1, 2750 - 1, 53 - 1)) &gt;= (OFFSET($A$1, 69 - 1, 7 - 1)), "1","0")</f>
        <v>0</v>
      </c>
      <c r="BD2750">
        <f ca="1" xml:space="preserve"> IF( AND( OFFSET($A$1, 2750 - 1, 54 - 1) = "1", OFFSET($A$1, 2750 - 1, 55 - 1) = "1" ), 1, IF( AND( OFFSET($A$1, 2750 - 1, 54 - 1) = "1", OFFSET($A$1, 2750 - 1, 55 - 1) = "0" ), 2, IF( AND( OFFSET($A$1, 2750 - 1, 54 - 1) = "0", OFFSET($A$1, 2750 - 1, 55 - 1) = "1" ), 3, 4 ) ) )</f>
        <v>2</v>
      </c>
    </row>
    <row r="2751" spans="53:56" x14ac:dyDescent="0.35">
      <c r="BA2751" s="3">
        <v>0.60079462867629618</v>
      </c>
      <c r="BB2751" s="3" t="str">
        <f>"1"</f>
        <v>1</v>
      </c>
      <c r="BC2751" t="str">
        <f ca="1">IF((OFFSET($A$1, 2751 - 1, 53 - 1)) &gt;= (OFFSET($A$1, 69 - 1, 7 - 1)), "1","0")</f>
        <v>1</v>
      </c>
      <c r="BD2751">
        <f ca="1" xml:space="preserve"> IF( AND( OFFSET($A$1, 2751 - 1, 54 - 1) = "1", OFFSET($A$1, 2751 - 1, 55 - 1) = "1" ), 1, IF( AND( OFFSET($A$1, 2751 - 1, 54 - 1) = "1", OFFSET($A$1, 2751 - 1, 55 - 1) = "0" ), 2, IF( AND( OFFSET($A$1, 2751 - 1, 54 - 1) = "0", OFFSET($A$1, 2751 - 1, 55 - 1) = "1" ), 3, 4 ) ) )</f>
        <v>1</v>
      </c>
    </row>
    <row r="2752" spans="53:56" x14ac:dyDescent="0.35">
      <c r="BA2752" s="3">
        <v>0.60144823367693989</v>
      </c>
      <c r="BB2752" s="3" t="str">
        <f>"1"</f>
        <v>1</v>
      </c>
      <c r="BC2752" t="str">
        <f ca="1">IF((OFFSET($A$1, 2752 - 1, 53 - 1)) &gt;= (OFFSET($A$1, 69 - 1, 7 - 1)), "1","0")</f>
        <v>1</v>
      </c>
      <c r="BD2752">
        <f ca="1" xml:space="preserve"> IF( AND( OFFSET($A$1, 2752 - 1, 54 - 1) = "1", OFFSET($A$1, 2752 - 1, 55 - 1) = "1" ), 1, IF( AND( OFFSET($A$1, 2752 - 1, 54 - 1) = "1", OFFSET($A$1, 2752 - 1, 55 - 1) = "0" ), 2, IF( AND( OFFSET($A$1, 2752 - 1, 54 - 1) = "0", OFFSET($A$1, 2752 - 1, 55 - 1) = "1" ), 3, 4 ) ) )</f>
        <v>1</v>
      </c>
    </row>
    <row r="2753" spans="53:56" x14ac:dyDescent="0.35">
      <c r="BA2753" s="3">
        <v>0.60207851209765639</v>
      </c>
      <c r="BB2753" s="3" t="str">
        <f>"1"</f>
        <v>1</v>
      </c>
      <c r="BC2753" t="str">
        <f ca="1">IF((OFFSET($A$1, 2753 - 1, 53 - 1)) &gt;= (OFFSET($A$1, 69 - 1, 7 - 1)), "1","0")</f>
        <v>1</v>
      </c>
      <c r="BD2753">
        <f ca="1" xml:space="preserve"> IF( AND( OFFSET($A$1, 2753 - 1, 54 - 1) = "1", OFFSET($A$1, 2753 - 1, 55 - 1) = "1" ), 1, IF( AND( OFFSET($A$1, 2753 - 1, 54 - 1) = "1", OFFSET($A$1, 2753 - 1, 55 - 1) = "0" ), 2, IF( AND( OFFSET($A$1, 2753 - 1, 54 - 1) = "0", OFFSET($A$1, 2753 - 1, 55 - 1) = "1" ), 3, 4 ) ) )</f>
        <v>1</v>
      </c>
    </row>
    <row r="2754" spans="53:56" x14ac:dyDescent="0.35">
      <c r="BA2754" s="3">
        <v>0.6026853125518179</v>
      </c>
      <c r="BB2754" s="3" t="str">
        <f>"0"</f>
        <v>0</v>
      </c>
      <c r="BC2754" t="str">
        <f ca="1">IF((OFFSET($A$1, 2754 - 1, 53 - 1)) &gt;= (OFFSET($A$1, 69 - 1, 7 - 1)), "1","0")</f>
        <v>1</v>
      </c>
      <c r="BD2754">
        <f ca="1" xml:space="preserve"> IF( AND( OFFSET($A$1, 2754 - 1, 54 - 1) = "1", OFFSET($A$1, 2754 - 1, 55 - 1) = "1" ), 1, IF( AND( OFFSET($A$1, 2754 - 1, 54 - 1) = "1", OFFSET($A$1, 2754 - 1, 55 - 1) = "0" ), 2, IF( AND( OFFSET($A$1, 2754 - 1, 54 - 1) = "0", OFFSET($A$1, 2754 - 1, 55 - 1) = "1" ), 3, 4 ) ) )</f>
        <v>3</v>
      </c>
    </row>
    <row r="2755" spans="53:56" x14ac:dyDescent="0.35">
      <c r="BA2755" s="3">
        <v>0.32756178635258892</v>
      </c>
      <c r="BB2755" s="3" t="str">
        <f>"0"</f>
        <v>0</v>
      </c>
      <c r="BC2755" t="str">
        <f ca="1">IF((OFFSET($A$1, 2755 - 1, 53 - 1)) &gt;= (OFFSET($A$1, 69 - 1, 7 - 1)), "1","0")</f>
        <v>0</v>
      </c>
      <c r="BD2755">
        <f ca="1" xml:space="preserve"> IF( AND( OFFSET($A$1, 2755 - 1, 54 - 1) = "1", OFFSET($A$1, 2755 - 1, 55 - 1) = "1" ), 1, IF( AND( OFFSET($A$1, 2755 - 1, 54 - 1) = "1", OFFSET($A$1, 2755 - 1, 55 - 1) = "0" ), 2, IF( AND( OFFSET($A$1, 2755 - 1, 54 - 1) = "0", OFFSET($A$1, 2755 - 1, 55 - 1) = "1" ), 3, 4 ) ) )</f>
        <v>4</v>
      </c>
    </row>
    <row r="2756" spans="53:56" x14ac:dyDescent="0.35">
      <c r="BA2756" s="3">
        <v>0.32807695886586064</v>
      </c>
      <c r="BB2756" s="3" t="str">
        <f>"1"</f>
        <v>1</v>
      </c>
      <c r="BC2756" t="str">
        <f ca="1">IF((OFFSET($A$1, 2756 - 1, 53 - 1)) &gt;= (OFFSET($A$1, 69 - 1, 7 - 1)), "1","0")</f>
        <v>0</v>
      </c>
      <c r="BD2756">
        <f ca="1" xml:space="preserve"> IF( AND( OFFSET($A$1, 2756 - 1, 54 - 1) = "1", OFFSET($A$1, 2756 - 1, 55 - 1) = "1" ), 1, IF( AND( OFFSET($A$1, 2756 - 1, 54 - 1) = "1", OFFSET($A$1, 2756 - 1, 55 - 1) = "0" ), 2, IF( AND( OFFSET($A$1, 2756 - 1, 54 - 1) = "0", OFFSET($A$1, 2756 - 1, 55 - 1) = "1" ), 3, 4 ) ) )</f>
        <v>2</v>
      </c>
    </row>
    <row r="2757" spans="53:56" x14ac:dyDescent="0.35">
      <c r="BA2757" s="3">
        <v>0.60436342618477756</v>
      </c>
      <c r="BB2757" s="3" t="str">
        <f>"1"</f>
        <v>1</v>
      </c>
      <c r="BC2757" t="str">
        <f ca="1">IF((OFFSET($A$1, 2757 - 1, 53 - 1)) &gt;= (OFFSET($A$1, 69 - 1, 7 - 1)), "1","0")</f>
        <v>1</v>
      </c>
      <c r="BD2757">
        <f ca="1" xml:space="preserve"> IF( AND( OFFSET($A$1, 2757 - 1, 54 - 1) = "1", OFFSET($A$1, 2757 - 1, 55 - 1) = "1" ), 1, IF( AND( OFFSET($A$1, 2757 - 1, 54 - 1) = "1", OFFSET($A$1, 2757 - 1, 55 - 1) = "0" ), 2, IF( AND( OFFSET($A$1, 2757 - 1, 54 - 1) = "0", OFFSET($A$1, 2757 - 1, 55 - 1) = "1" ), 3, 4 ) ) )</f>
        <v>1</v>
      </c>
    </row>
    <row r="2758" spans="53:56" x14ac:dyDescent="0.35">
      <c r="BA2758" s="3">
        <v>0.60487492591489211</v>
      </c>
      <c r="BB2758" s="3" t="str">
        <f>"1"</f>
        <v>1</v>
      </c>
      <c r="BC2758" t="str">
        <f ca="1">IF((OFFSET($A$1, 2758 - 1, 53 - 1)) &gt;= (OFFSET($A$1, 69 - 1, 7 - 1)), "1","0")</f>
        <v>1</v>
      </c>
      <c r="BD2758">
        <f ca="1" xml:space="preserve"> IF( AND( OFFSET($A$1, 2758 - 1, 54 - 1) = "1", OFFSET($A$1, 2758 - 1, 55 - 1) = "1" ), 1, IF( AND( OFFSET($A$1, 2758 - 1, 54 - 1) = "1", OFFSET($A$1, 2758 - 1, 55 - 1) = "0" ), 2, IF( AND( OFFSET($A$1, 2758 - 1, 54 - 1) = "0", OFFSET($A$1, 2758 - 1, 55 - 1) = "1" ), 3, 4 ) ) )</f>
        <v>1</v>
      </c>
    </row>
    <row r="2759" spans="53:56" x14ac:dyDescent="0.35">
      <c r="BA2759" s="3">
        <v>0.60536228420216476</v>
      </c>
      <c r="BB2759" s="3" t="str">
        <f>"1"</f>
        <v>1</v>
      </c>
      <c r="BC2759" t="str">
        <f ca="1">IF((OFFSET($A$1, 2759 - 1, 53 - 1)) &gt;= (OFFSET($A$1, 69 - 1, 7 - 1)), "1","0")</f>
        <v>1</v>
      </c>
      <c r="BD2759">
        <f ca="1" xml:space="preserve"> IF( AND( OFFSET($A$1, 2759 - 1, 54 - 1) = "1", OFFSET($A$1, 2759 - 1, 55 - 1) = "1" ), 1, IF( AND( OFFSET($A$1, 2759 - 1, 54 - 1) = "1", OFFSET($A$1, 2759 - 1, 55 - 1) = "0" ), 2, IF( AND( OFFSET($A$1, 2759 - 1, 54 - 1) = "0", OFFSET($A$1, 2759 - 1, 55 - 1) = "1" ), 3, 4 ) ) )</f>
        <v>1</v>
      </c>
    </row>
    <row r="2760" spans="53:56" x14ac:dyDescent="0.35">
      <c r="BA2760" s="3">
        <v>0.60582538680385112</v>
      </c>
      <c r="BB2760" s="3" t="str">
        <f>"0"</f>
        <v>0</v>
      </c>
      <c r="BC2760" t="str">
        <f ca="1">IF((OFFSET($A$1, 2760 - 1, 53 - 1)) &gt;= (OFFSET($A$1, 69 - 1, 7 - 1)), "1","0")</f>
        <v>1</v>
      </c>
      <c r="BD2760">
        <f ca="1" xml:space="preserve"> IF( AND( OFFSET($A$1, 2760 - 1, 54 - 1) = "1", OFFSET($A$1, 2760 - 1, 55 - 1) = "1" ), 1, IF( AND( OFFSET($A$1, 2760 - 1, 54 - 1) = "1", OFFSET($A$1, 2760 - 1, 55 - 1) = "0" ), 2, IF( AND( OFFSET($A$1, 2760 - 1, 54 - 1) = "0", OFFSET($A$1, 2760 - 1, 55 - 1) = "1" ), 3, 4 ) ) )</f>
        <v>3</v>
      </c>
    </row>
    <row r="2761" spans="53:56" x14ac:dyDescent="0.35">
      <c r="BA2761" s="3">
        <v>0.33032827283589833</v>
      </c>
      <c r="BB2761" s="3" t="str">
        <f>"0"</f>
        <v>0</v>
      </c>
      <c r="BC2761" t="str">
        <f ca="1">IF((OFFSET($A$1, 2761 - 1, 53 - 1)) &gt;= (OFFSET($A$1, 69 - 1, 7 - 1)), "1","0")</f>
        <v>0</v>
      </c>
      <c r="BD2761">
        <f ca="1" xml:space="preserve"> IF( AND( OFFSET($A$1, 2761 - 1, 54 - 1) = "1", OFFSET($A$1, 2761 - 1, 55 - 1) = "1" ), 1, IF( AND( OFFSET($A$1, 2761 - 1, 54 - 1) = "1", OFFSET($A$1, 2761 - 1, 55 - 1) = "0" ), 2, IF( AND( OFFSET($A$1, 2761 - 1, 54 - 1) = "0", OFFSET($A$1, 2761 - 1, 55 - 1) = "1" ), 3, 4 ) ) )</f>
        <v>4</v>
      </c>
    </row>
    <row r="2762" spans="53:56" x14ac:dyDescent="0.35">
      <c r="BA2762" s="3">
        <v>0.33071236483135819</v>
      </c>
      <c r="BB2762" s="3" t="str">
        <f>"0"</f>
        <v>0</v>
      </c>
      <c r="BC2762" t="str">
        <f ca="1">IF((OFFSET($A$1, 2762 - 1, 53 - 1)) &gt;= (OFFSET($A$1, 69 - 1, 7 - 1)), "1","0")</f>
        <v>0</v>
      </c>
      <c r="BD2762">
        <f ca="1" xml:space="preserve"> IF( AND( OFFSET($A$1, 2762 - 1, 54 - 1) = "1", OFFSET($A$1, 2762 - 1, 55 - 1) = "1" ), 1, IF( AND( OFFSET($A$1, 2762 - 1, 54 - 1) = "1", OFFSET($A$1, 2762 - 1, 55 - 1) = "0" ), 2, IF( AND( OFFSET($A$1, 2762 - 1, 54 - 1) = "0", OFFSET($A$1, 2762 - 1, 55 - 1) = "1" ), 3, 4 ) ) )</f>
        <v>4</v>
      </c>
    </row>
    <row r="2763" spans="53:56" x14ac:dyDescent="0.35">
      <c r="BA2763" s="3">
        <v>0.33107402023941129</v>
      </c>
      <c r="BB2763" s="3" t="str">
        <f>"0"</f>
        <v>0</v>
      </c>
      <c r="BC2763" t="str">
        <f ca="1">IF((OFFSET($A$1, 2763 - 1, 53 - 1)) &gt;= (OFFSET($A$1, 69 - 1, 7 - 1)), "1","0")</f>
        <v>0</v>
      </c>
      <c r="BD2763">
        <f ca="1" xml:space="preserve"> IF( AND( OFFSET($A$1, 2763 - 1, 54 - 1) = "1", OFFSET($A$1, 2763 - 1, 55 - 1) = "1" ), 1, IF( AND( OFFSET($A$1, 2763 - 1, 54 - 1) = "1", OFFSET($A$1, 2763 - 1, 55 - 1) = "0" ), 2, IF( AND( OFFSET($A$1, 2763 - 1, 54 - 1) = "0", OFFSET($A$1, 2763 - 1, 55 - 1) = "1" ), 3, 4 ) ) )</f>
        <v>4</v>
      </c>
    </row>
    <row r="2764" spans="53:56" x14ac:dyDescent="0.35">
      <c r="BA2764" s="3">
        <v>0.3314130940874635</v>
      </c>
      <c r="BB2764" s="3" t="str">
        <f>"1"</f>
        <v>1</v>
      </c>
      <c r="BC2764" t="str">
        <f ca="1">IF((OFFSET($A$1, 2764 - 1, 53 - 1)) &gt;= (OFFSET($A$1, 69 - 1, 7 - 1)), "1","0")</f>
        <v>0</v>
      </c>
      <c r="BD2764">
        <f ca="1" xml:space="preserve"> IF( AND( OFFSET($A$1, 2764 - 1, 54 - 1) = "1", OFFSET($A$1, 2764 - 1, 55 - 1) = "1" ), 1, IF( AND( OFFSET($A$1, 2764 - 1, 54 - 1) = "1", OFFSET($A$1, 2764 - 1, 55 - 1) = "0" ), 2, IF( AND( OFFSET($A$1, 2764 - 1, 54 - 1) = "0", OFFSET($A$1, 2764 - 1, 55 - 1) = "1" ), 3, 4 ) ) )</f>
        <v>2</v>
      </c>
    </row>
    <row r="2765" spans="53:56" x14ac:dyDescent="0.35">
      <c r="BA2765" s="3">
        <v>0.60777348932091446</v>
      </c>
      <c r="BB2765" s="3" t="str">
        <f>"0"</f>
        <v>0</v>
      </c>
      <c r="BC2765" t="str">
        <f ca="1">IF((OFFSET($A$1, 2765 - 1, 53 - 1)) &gt;= (OFFSET($A$1, 69 - 1, 7 - 1)), "1","0")</f>
        <v>1</v>
      </c>
      <c r="BD2765">
        <f ca="1" xml:space="preserve"> IF( AND( OFFSET($A$1, 2765 - 1, 54 - 1) = "1", OFFSET($A$1, 2765 - 1, 55 - 1) = "1" ), 1, IF( AND( OFFSET($A$1, 2765 - 1, 54 - 1) = "1", OFFSET($A$1, 2765 - 1, 55 - 1) = "0" ), 2, IF( AND( OFFSET($A$1, 2765 - 1, 54 - 1) = "0", OFFSET($A$1, 2765 - 1, 55 - 1) = "1" ), 3, 4 ) ) )</f>
        <v>3</v>
      </c>
    </row>
    <row r="2766" spans="53:56" x14ac:dyDescent="0.35">
      <c r="BA2766" s="3">
        <v>0.33202296227879013</v>
      </c>
      <c r="BB2766" s="3" t="str">
        <f>"1"</f>
        <v>1</v>
      </c>
      <c r="BC2766" t="str">
        <f ca="1">IF((OFFSET($A$1, 2766 - 1, 53 - 1)) &gt;= (OFFSET($A$1, 69 - 1, 7 - 1)), "1","0")</f>
        <v>0</v>
      </c>
      <c r="BD2766">
        <f ca="1" xml:space="preserve"> IF( AND( OFFSET($A$1, 2766 - 1, 54 - 1) = "1", OFFSET($A$1, 2766 - 1, 55 - 1) = "1" ), 1, IF( AND( OFFSET($A$1, 2766 - 1, 54 - 1) = "1", OFFSET($A$1, 2766 - 1, 55 - 1) = "0" ), 2, IF( AND( OFFSET($A$1, 2766 - 1, 54 - 1) = "0", OFFSET($A$1, 2766 - 1, 55 - 1) = "1" ), 3, 4 ) ) )</f>
        <v>2</v>
      </c>
    </row>
    <row r="2767" spans="53:56" x14ac:dyDescent="0.35">
      <c r="BA2767" s="3">
        <v>0.60837961669391361</v>
      </c>
      <c r="BB2767" s="3" t="str">
        <f>"0"</f>
        <v>0</v>
      </c>
      <c r="BC2767" t="str">
        <f ca="1">IF((OFFSET($A$1, 2767 - 1, 53 - 1)) &gt;= (OFFSET($A$1, 69 - 1, 7 - 1)), "1","0")</f>
        <v>1</v>
      </c>
      <c r="BD2767">
        <f ca="1" xml:space="preserve"> IF( AND( OFFSET($A$1, 2767 - 1, 54 - 1) = "1", OFFSET($A$1, 2767 - 1, 55 - 1) = "1" ), 1, IF( AND( OFFSET($A$1, 2767 - 1, 54 - 1) = "1", OFFSET($A$1, 2767 - 1, 55 - 1) = "0" ), 2, IF( AND( OFFSET($A$1, 2767 - 1, 54 - 1) = "0", OFFSET($A$1, 2767 - 1, 55 - 1) = "1" ), 3, 4 ) ) )</f>
        <v>3</v>
      </c>
    </row>
    <row r="2768" spans="53:56" x14ac:dyDescent="0.35">
      <c r="BA2768" s="3">
        <v>0.33254099077181204</v>
      </c>
      <c r="BB2768" s="3" t="str">
        <f>"1"</f>
        <v>1</v>
      </c>
      <c r="BC2768" t="str">
        <f ca="1">IF((OFFSET($A$1, 2768 - 1, 53 - 1)) &gt;= (OFFSET($A$1, 69 - 1, 7 - 1)), "1","0")</f>
        <v>0</v>
      </c>
      <c r="BD2768">
        <f ca="1" xml:space="preserve"> IF( AND( OFFSET($A$1, 2768 - 1, 54 - 1) = "1", OFFSET($A$1, 2768 - 1, 55 - 1) = "1" ), 1, IF( AND( OFFSET($A$1, 2768 - 1, 54 - 1) = "1", OFFSET($A$1, 2768 - 1, 55 - 1) = "0" ), 2, IF( AND( OFFSET($A$1, 2768 - 1, 54 - 1) = "0", OFFSET($A$1, 2768 - 1, 55 - 1) = "1" ), 3, 4 ) ) )</f>
        <v>2</v>
      </c>
    </row>
    <row r="2769" spans="53:56" x14ac:dyDescent="0.35">
      <c r="BA2769" s="3">
        <v>0.60888593546235248</v>
      </c>
      <c r="BB2769" s="3" t="str">
        <f>"0"</f>
        <v>0</v>
      </c>
      <c r="BC2769" t="str">
        <f ca="1">IF((OFFSET($A$1, 2769 - 1, 53 - 1)) &gt;= (OFFSET($A$1, 69 - 1, 7 - 1)), "1","0")</f>
        <v>1</v>
      </c>
      <c r="BD2769">
        <f ca="1" xml:space="preserve"> IF( AND( OFFSET($A$1, 2769 - 1, 54 - 1) = "1", OFFSET($A$1, 2769 - 1, 55 - 1) = "1" ), 1, IF( AND( OFFSET($A$1, 2769 - 1, 54 - 1) = "1", OFFSET($A$1, 2769 - 1, 55 - 1) = "0" ), 2, IF( AND( OFFSET($A$1, 2769 - 1, 54 - 1) = "0", OFFSET($A$1, 2769 - 1, 55 - 1) = "1" ), 3, 4 ) ) )</f>
        <v>3</v>
      </c>
    </row>
    <row r="2770" spans="53:56" x14ac:dyDescent="0.35">
      <c r="BA2770" s="3">
        <v>0.33296634782033574</v>
      </c>
      <c r="BB2770" s="3" t="str">
        <f>"1"</f>
        <v>1</v>
      </c>
      <c r="BC2770" t="str">
        <f ca="1">IF((OFFSET($A$1, 2770 - 1, 53 - 1)) &gt;= (OFFSET($A$1, 69 - 1, 7 - 1)), "1","0")</f>
        <v>0</v>
      </c>
      <c r="BD2770">
        <f ca="1" xml:space="preserve"> IF( AND( OFFSET($A$1, 2770 - 1, 54 - 1) = "1", OFFSET($A$1, 2770 - 1, 55 - 1) = "1" ), 1, IF( AND( OFFSET($A$1, 2770 - 1, 54 - 1) = "1", OFFSET($A$1, 2770 - 1, 55 - 1) = "0" ), 2, IF( AND( OFFSET($A$1, 2770 - 1, 54 - 1) = "0", OFFSET($A$1, 2770 - 1, 55 - 1) = "1" ), 3, 4 ) ) )</f>
        <v>2</v>
      </c>
    </row>
    <row r="2771" spans="53:56" x14ac:dyDescent="0.35">
      <c r="BA2771" s="3">
        <v>0.60929198353837966</v>
      </c>
      <c r="BB2771" s="3" t="str">
        <f>"0"</f>
        <v>0</v>
      </c>
      <c r="BC2771" t="str">
        <f ca="1">IF((OFFSET($A$1, 2771 - 1, 53 - 1)) &gt;= (OFFSET($A$1, 69 - 1, 7 - 1)), "1","0")</f>
        <v>1</v>
      </c>
      <c r="BD2771">
        <f ca="1" xml:space="preserve"> IF( AND( OFFSET($A$1, 2771 - 1, 54 - 1) = "1", OFFSET($A$1, 2771 - 1, 55 - 1) = "1" ), 1, IF( AND( OFFSET($A$1, 2771 - 1, 54 - 1) = "1", OFFSET($A$1, 2771 - 1, 55 - 1) = "0" ), 2, IF( AND( OFFSET($A$1, 2771 - 1, 54 - 1) = "0", OFFSET($A$1, 2771 - 1, 55 - 1) = "1" ), 3, 4 ) ) )</f>
        <v>3</v>
      </c>
    </row>
    <row r="2772" spans="53:56" x14ac:dyDescent="0.35">
      <c r="BA2772" s="3">
        <v>0.33329835014913306</v>
      </c>
      <c r="BB2772" s="3" t="str">
        <f>"0"</f>
        <v>0</v>
      </c>
      <c r="BC2772" t="str">
        <f ca="1">IF((OFFSET($A$1, 2772 - 1, 53 - 1)) &gt;= (OFFSET($A$1, 69 - 1, 7 - 1)), "1","0")</f>
        <v>0</v>
      </c>
      <c r="BD2772">
        <f ca="1" xml:space="preserve"> IF( AND( OFFSET($A$1, 2772 - 1, 54 - 1) = "1", OFFSET($A$1, 2772 - 1, 55 - 1) = "1" ), 1, IF( AND( OFFSET($A$1, 2772 - 1, 54 - 1) = "1", OFFSET($A$1, 2772 - 1, 55 - 1) = "0" ), 2, IF( AND( OFFSET($A$1, 2772 - 1, 54 - 1) = "0", OFFSET($A$1, 2772 - 1, 55 - 1) = "1" ), 3, 4 ) ) )</f>
        <v>4</v>
      </c>
    </row>
    <row r="2773" spans="53:56" x14ac:dyDescent="0.35">
      <c r="BA2773" s="3">
        <v>0.3334291706919012</v>
      </c>
      <c r="BB2773" s="3" t="str">
        <f>"1"</f>
        <v>1</v>
      </c>
      <c r="BC2773" t="str">
        <f ca="1">IF((OFFSET($A$1, 2773 - 1, 53 - 1)) &gt;= (OFFSET($A$1, 69 - 1, 7 - 1)), "1","0")</f>
        <v>0</v>
      </c>
      <c r="BD2773">
        <f ca="1" xml:space="preserve"> IF( AND( OFFSET($A$1, 2773 - 1, 54 - 1) = "1", OFFSET($A$1, 2773 - 1, 55 - 1) = "1" ), 1, IF( AND( OFFSET($A$1, 2773 - 1, 54 - 1) = "1", OFFSET($A$1, 2773 - 1, 55 - 1) = "0" ), 2, IF( AND( OFFSET($A$1, 2773 - 1, 54 - 1) = "0", OFFSET($A$1, 2773 - 1, 55 - 1) = "1" ), 3, 4 ) ) )</f>
        <v>2</v>
      </c>
    </row>
    <row r="2774" spans="53:56" x14ac:dyDescent="0.35">
      <c r="BA2774" s="3">
        <v>0.60971226567036141</v>
      </c>
      <c r="BB2774" s="3" t="str">
        <f>"1"</f>
        <v>1</v>
      </c>
      <c r="BC2774" t="str">
        <f ca="1">IF((OFFSET($A$1, 2774 - 1, 53 - 1)) &gt;= (OFFSET($A$1, 69 - 1, 7 - 1)), "1","0")</f>
        <v>1</v>
      </c>
      <c r="BD2774">
        <f ca="1" xml:space="preserve"> IF( AND( OFFSET($A$1, 2774 - 1, 54 - 1) = "1", OFFSET($A$1, 2774 - 1, 55 - 1) = "1" ), 1, IF( AND( OFFSET($A$1, 2774 - 1, 54 - 1) = "1", OFFSET($A$1, 2774 - 1, 55 - 1) = "0" ), 2, IF( AND( OFFSET($A$1, 2774 - 1, 54 - 1) = "0", OFFSET($A$1, 2774 - 1, 55 - 1) = "1" ), 3, 4 ) ) )</f>
        <v>1</v>
      </c>
    </row>
    <row r="2775" spans="53:56" x14ac:dyDescent="0.35">
      <c r="BA2775" s="3">
        <v>0.60980188300837845</v>
      </c>
      <c r="BB2775" s="3" t="str">
        <f>"1"</f>
        <v>1</v>
      </c>
      <c r="BC2775" t="str">
        <f ca="1">IF((OFFSET($A$1, 2775 - 1, 53 - 1)) &gt;= (OFFSET($A$1, 69 - 1, 7 - 1)), "1","0")</f>
        <v>1</v>
      </c>
      <c r="BD2775">
        <f ca="1" xml:space="preserve"> IF( AND( OFFSET($A$1, 2775 - 1, 54 - 1) = "1", OFFSET($A$1, 2775 - 1, 55 - 1) = "1" ), 1, IF( AND( OFFSET($A$1, 2775 - 1, 54 - 1) = "1", OFFSET($A$1, 2775 - 1, 55 - 1) = "0" ), 2, IF( AND( OFFSET($A$1, 2775 - 1, 54 - 1) = "0", OFFSET($A$1, 2775 - 1, 55 - 1) = "1" ), 3, 4 ) ) )</f>
        <v>1</v>
      </c>
    </row>
    <row r="2776" spans="53:56" x14ac:dyDescent="0.35">
      <c r="BA2776" s="3">
        <v>0.60986622344662056</v>
      </c>
      <c r="BB2776" s="3" t="str">
        <f>"0"</f>
        <v>0</v>
      </c>
      <c r="BC2776" t="str">
        <f ca="1">IF((OFFSET($A$1, 2776 - 1, 53 - 1)) &gt;= (OFFSET($A$1, 69 - 1, 7 - 1)), "1","0")</f>
        <v>1</v>
      </c>
      <c r="BD2776">
        <f ca="1" xml:space="preserve"> IF( AND( OFFSET($A$1, 2776 - 1, 54 - 1) = "1", OFFSET($A$1, 2776 - 1, 55 - 1) = "1" ), 1, IF( AND( OFFSET($A$1, 2776 - 1, 54 - 1) = "1", OFFSET($A$1, 2776 - 1, 55 - 1) = "0" ), 2, IF( AND( OFFSET($A$1, 2776 - 1, 54 - 1) = "0", OFFSET($A$1, 2776 - 1, 55 - 1) = "1" ), 3, 4 ) ) )</f>
        <v>3</v>
      </c>
    </row>
    <row r="2777" spans="53:56" x14ac:dyDescent="0.35">
      <c r="BA2777" s="3">
        <v>0.3337167991257437</v>
      </c>
      <c r="BB2777" s="3" t="str">
        <f>"0"</f>
        <v>0</v>
      </c>
      <c r="BC2777" t="str">
        <f ca="1">IF((OFFSET($A$1, 2777 - 1, 53 - 1)) &gt;= (OFFSET($A$1, 69 - 1, 7 - 1)), "1","0")</f>
        <v>0</v>
      </c>
      <c r="BD2777">
        <f ca="1" xml:space="preserve"> IF( AND( OFFSET($A$1, 2777 - 1, 54 - 1) = "1", OFFSET($A$1, 2777 - 1, 55 - 1) = "1" ), 1, IF( AND( OFFSET($A$1, 2777 - 1, 54 - 1) = "1", OFFSET($A$1, 2777 - 1, 55 - 1) = "0" ), 2, IF( AND( OFFSET($A$1, 2777 - 1, 54 - 1) = "0", OFFSET($A$1, 2777 - 1, 55 - 1) = "1" ), 3, 4 ) ) )</f>
        <v>4</v>
      </c>
    </row>
    <row r="2778" spans="53:56" x14ac:dyDescent="0.35">
      <c r="BA2778" s="3">
        <v>0.33372964827716495</v>
      </c>
      <c r="BB2778" s="3" t="str">
        <f>"0"</f>
        <v>0</v>
      </c>
      <c r="BC2778" t="str">
        <f ca="1">IF((OFFSET($A$1, 2778 - 1, 53 - 1)) &gt;= (OFFSET($A$1, 69 - 1, 7 - 1)), "1","0")</f>
        <v>0</v>
      </c>
      <c r="BD2778">
        <f ca="1" xml:space="preserve"> IF( AND( OFFSET($A$1, 2778 - 1, 54 - 1) = "1", OFFSET($A$1, 2778 - 1, 55 - 1) = "1" ), 1, IF( AND( OFFSET($A$1, 2778 - 1, 54 - 1) = "1", OFFSET($A$1, 2778 - 1, 55 - 1) = "0" ), 2, IF( AND( OFFSET($A$1, 2778 - 1, 54 - 1) = "0", OFFSET($A$1, 2778 - 1, 55 - 1) = "1" ), 3, 4 ) ) )</f>
        <v>4</v>
      </c>
    </row>
    <row r="2779" spans="53:56" x14ac:dyDescent="0.35">
      <c r="BA2779" s="3">
        <v>0.33371884966314685</v>
      </c>
      <c r="BB2779" s="3" t="str">
        <f>"1"</f>
        <v>1</v>
      </c>
      <c r="BC2779" t="str">
        <f ca="1">IF((OFFSET($A$1, 2779 - 1, 53 - 1)) &gt;= (OFFSET($A$1, 69 - 1, 7 - 1)), "1","0")</f>
        <v>0</v>
      </c>
      <c r="BD2779">
        <f ca="1" xml:space="preserve"> IF( AND( OFFSET($A$1, 2779 - 1, 54 - 1) = "1", OFFSET($A$1, 2779 - 1, 55 - 1) = "1" ), 1, IF( AND( OFFSET($A$1, 2779 - 1, 54 - 1) = "1", OFFSET($A$1, 2779 - 1, 55 - 1) = "0" ), 2, IF( AND( OFFSET($A$1, 2779 - 1, 54 - 1) = "0", OFFSET($A$1, 2779 - 1, 55 - 1) = "1" ), 3, 4 ) ) )</f>
        <v>2</v>
      </c>
    </row>
    <row r="2780" spans="53:56" x14ac:dyDescent="0.35">
      <c r="BA2780" s="3">
        <v>0.60987061120883002</v>
      </c>
      <c r="BB2780" s="3" t="str">
        <f>"1"</f>
        <v>1</v>
      </c>
      <c r="BC2780" t="str">
        <f ca="1">IF((OFFSET($A$1, 2780 - 1, 53 - 1)) &gt;= (OFFSET($A$1, 69 - 1, 7 - 1)), "1","0")</f>
        <v>1</v>
      </c>
      <c r="BD2780">
        <f ca="1" xml:space="preserve"> IF( AND( OFFSET($A$1, 2780 - 1, 54 - 1) = "1", OFFSET($A$1, 2780 - 1, 55 - 1) = "1" ), 1, IF( AND( OFFSET($A$1, 2780 - 1, 54 - 1) = "1", OFFSET($A$1, 2780 - 1, 55 - 1) = "0" ), 2, IF( AND( OFFSET($A$1, 2780 - 1, 54 - 1) = "0", OFFSET($A$1, 2780 - 1, 55 - 1) = "1" ), 3, 4 ) ) )</f>
        <v>1</v>
      </c>
    </row>
    <row r="2781" spans="53:56" x14ac:dyDescent="0.35">
      <c r="BA2781" s="3">
        <v>0.609808463412851</v>
      </c>
      <c r="BB2781" s="3" t="str">
        <f>"1"</f>
        <v>1</v>
      </c>
      <c r="BC2781" t="str">
        <f ca="1">IF((OFFSET($A$1, 2781 - 1, 53 - 1)) &gt;= (OFFSET($A$1, 69 - 1, 7 - 1)), "1","0")</f>
        <v>1</v>
      </c>
      <c r="BD2781">
        <f ca="1" xml:space="preserve"> IF( AND( OFFSET($A$1, 2781 - 1, 54 - 1) = "1", OFFSET($A$1, 2781 - 1, 55 - 1) = "1" ), 1, IF( AND( OFFSET($A$1, 2781 - 1, 54 - 1) = "1", OFFSET($A$1, 2781 - 1, 55 - 1) = "0" ), 2, IF( AND( OFFSET($A$1, 2781 - 1, 54 - 1) = "0", OFFSET($A$1, 2781 - 1, 55 - 1) = "1" ), 3, 4 ) ) )</f>
        <v>1</v>
      </c>
    </row>
    <row r="2782" spans="53:56" x14ac:dyDescent="0.35">
      <c r="BA2782" s="3">
        <v>0.60972103722994331</v>
      </c>
      <c r="BB2782" s="3" t="str">
        <f>"1"</f>
        <v>1</v>
      </c>
      <c r="BC2782" t="str">
        <f ca="1">IF((OFFSET($A$1, 2782 - 1, 53 - 1)) &gt;= (OFFSET($A$1, 69 - 1, 7 - 1)), "1","0")</f>
        <v>1</v>
      </c>
      <c r="BD2782">
        <f ca="1" xml:space="preserve"> IF( AND( OFFSET($A$1, 2782 - 1, 54 - 1) = "1", OFFSET($A$1, 2782 - 1, 55 - 1) = "1" ), 1, IF( AND( OFFSET($A$1, 2782 - 1, 54 - 1) = "1", OFFSET($A$1, 2782 - 1, 55 - 1) = "0" ), 2, IF( AND( OFFSET($A$1, 2782 - 1, 54 - 1) = "0", OFFSET($A$1, 2782 - 1, 55 - 1) = "1" ), 3, 4 ) ) )</f>
        <v>1</v>
      </c>
    </row>
    <row r="2783" spans="53:56" x14ac:dyDescent="0.35">
      <c r="BA2783" s="3">
        <v>0.60960835242468436</v>
      </c>
      <c r="BB2783" s="3" t="str">
        <f>"1"</f>
        <v>1</v>
      </c>
      <c r="BC2783" t="str">
        <f ca="1">IF((OFFSET($A$1, 2783 - 1, 53 - 1)) &gt;= (OFFSET($A$1, 69 - 1, 7 - 1)), "1","0")</f>
        <v>1</v>
      </c>
      <c r="BD2783">
        <f ca="1" xml:space="preserve"> IF( AND( OFFSET($A$1, 2783 - 1, 54 - 1) = "1", OFFSET($A$1, 2783 - 1, 55 - 1) = "1" ), 1, IF( AND( OFFSET($A$1, 2783 - 1, 54 - 1) = "1", OFFSET($A$1, 2783 - 1, 55 - 1) = "0" ), 2, IF( AND( OFFSET($A$1, 2783 - 1, 54 - 1) = "0", OFFSET($A$1, 2783 - 1, 55 - 1) = "1" ), 3, 4 ) ) )</f>
        <v>1</v>
      </c>
    </row>
    <row r="2784" spans="53:56" x14ac:dyDescent="0.35">
      <c r="BA2784" s="3">
        <v>0.6094704344926154</v>
      </c>
      <c r="BB2784" s="3" t="str">
        <f>"0"</f>
        <v>0</v>
      </c>
      <c r="BC2784" t="str">
        <f ca="1">IF((OFFSET($A$1, 2784 - 1, 53 - 1)) &gt;= (OFFSET($A$1, 69 - 1, 7 - 1)), "1","0")</f>
        <v>1</v>
      </c>
      <c r="BD2784">
        <f ca="1" xml:space="preserve"> IF( AND( OFFSET($A$1, 2784 - 1, 54 - 1) = "1", OFFSET($A$1, 2784 - 1, 55 - 1) = "1" ), 1, IF( AND( OFFSET($A$1, 2784 - 1, 54 - 1) = "1", OFFSET($A$1, 2784 - 1, 55 - 1) = "0" ), 2, IF( AND( OFFSET($A$1, 2784 - 1, 54 - 1) = "0", OFFSET($A$1, 2784 - 1, 55 - 1) = "1" ), 3, 4 ) ) )</f>
        <v>3</v>
      </c>
    </row>
    <row r="2785" spans="53:56" x14ac:dyDescent="0.35">
      <c r="BA2785" s="3">
        <v>0.33315836284043615</v>
      </c>
      <c r="BB2785" s="3" t="str">
        <f>"0"</f>
        <v>0</v>
      </c>
      <c r="BC2785" t="str">
        <f ca="1">IF((OFFSET($A$1, 2785 - 1, 53 - 1)) &gt;= (OFFSET($A$1, 69 - 1, 7 - 1)), "1","0")</f>
        <v>0</v>
      </c>
      <c r="BD2785">
        <f ca="1" xml:space="preserve"> IF( AND( OFFSET($A$1, 2785 - 1, 54 - 1) = "1", OFFSET($A$1, 2785 - 1, 55 - 1) = "1" ), 1, IF( AND( OFFSET($A$1, 2785 - 1, 54 - 1) = "1", OFFSET($A$1, 2785 - 1, 55 - 1) = "0" ), 2, IF( AND( OFFSET($A$1, 2785 - 1, 54 - 1) = "0", OFFSET($A$1, 2785 - 1, 55 - 1) = "1" ), 3, 4 ) ) )</f>
        <v>4</v>
      </c>
    </row>
    <row r="2786" spans="53:56" x14ac:dyDescent="0.35">
      <c r="BA2786" s="3">
        <v>0.33298268297316669</v>
      </c>
      <c r="BB2786" s="3" t="str">
        <f>"0"</f>
        <v>0</v>
      </c>
      <c r="BC2786" t="str">
        <f ca="1">IF((OFFSET($A$1, 2786 - 1, 53 - 1)) &gt;= (OFFSET($A$1, 69 - 1, 7 - 1)), "1","0")</f>
        <v>0</v>
      </c>
      <c r="BD2786">
        <f ca="1" xml:space="preserve"> IF( AND( OFFSET($A$1, 2786 - 1, 54 - 1) = "1", OFFSET($A$1, 2786 - 1, 55 - 1) = "1" ), 1, IF( AND( OFFSET($A$1, 2786 - 1, 54 - 1) = "1", OFFSET($A$1, 2786 - 1, 55 - 1) = "0" ), 2, IF( AND( OFFSET($A$1, 2786 - 1, 54 - 1) = "0", OFFSET($A$1, 2786 - 1, 55 - 1) = "1" ), 3, 4 ) ) )</f>
        <v>4</v>
      </c>
    </row>
    <row r="2787" spans="53:56" x14ac:dyDescent="0.35">
      <c r="BA2787" s="3">
        <v>0.33278365552311789</v>
      </c>
      <c r="BB2787" s="3" t="str">
        <f>"1"</f>
        <v>1</v>
      </c>
      <c r="BC2787" t="str">
        <f ca="1">IF((OFFSET($A$1, 2787 - 1, 53 - 1)) &gt;= (OFFSET($A$1, 69 - 1, 7 - 1)), "1","0")</f>
        <v>0</v>
      </c>
      <c r="BD2787">
        <f ca="1" xml:space="preserve"> IF( AND( OFFSET($A$1, 2787 - 1, 54 - 1) = "1", OFFSET($A$1, 2787 - 1, 55 - 1) = "1" ), 1, IF( AND( OFFSET($A$1, 2787 - 1, 54 - 1) = "1", OFFSET($A$1, 2787 - 1, 55 - 1) = "0" ), 2, IF( AND( OFFSET($A$1, 2787 - 1, 54 - 1) = "0", OFFSET($A$1, 2787 - 1, 55 - 1) = "1" ), 3, 4 ) ) )</f>
        <v>2</v>
      </c>
    </row>
    <row r="2788" spans="53:56" x14ac:dyDescent="0.35">
      <c r="BA2788" s="3">
        <v>0.60866714260282362</v>
      </c>
      <c r="BB2788" s="3" t="str">
        <f>"1"</f>
        <v>1</v>
      </c>
      <c r="BC2788" t="str">
        <f ca="1">IF((OFFSET($A$1, 2788 - 1, 53 - 1)) &gt;= (OFFSET($A$1, 69 - 1, 7 - 1)), "1","0")</f>
        <v>1</v>
      </c>
      <c r="BD2788">
        <f ca="1" xml:space="preserve"> IF( AND( OFFSET($A$1, 2788 - 1, 54 - 1) = "1", OFFSET($A$1, 2788 - 1, 55 - 1) = "1" ), 1, IF( AND( OFFSET($A$1, 2788 - 1, 54 - 1) = "1", OFFSET($A$1, 2788 - 1, 55 - 1) = "0" ), 2, IF( AND( OFFSET($A$1, 2788 - 1, 54 - 1) = "0", OFFSET($A$1, 2788 - 1, 55 - 1) = "1" ), 3, 4 ) ) )</f>
        <v>1</v>
      </c>
    </row>
    <row r="2789" spans="53:56" x14ac:dyDescent="0.35">
      <c r="BA2789" s="3">
        <v>0.60840364286248727</v>
      </c>
      <c r="BB2789" s="3" t="str">
        <f>"0"</f>
        <v>0</v>
      </c>
      <c r="BC2789" t="str">
        <f ca="1">IF((OFFSET($A$1, 2789 - 1, 53 - 1)) &gt;= (OFFSET($A$1, 69 - 1, 7 - 1)), "1","0")</f>
        <v>1</v>
      </c>
      <c r="BD2789">
        <f ca="1" xml:space="preserve"> IF( AND( OFFSET($A$1, 2789 - 1, 54 - 1) = "1", OFFSET($A$1, 2789 - 1, 55 - 1) = "1" ), 1, IF( AND( OFFSET($A$1, 2789 - 1, 54 - 1) = "1", OFFSET($A$1, 2789 - 1, 55 - 1) = "0" ), 2, IF( AND( OFFSET($A$1, 2789 - 1, 54 - 1) = "0", OFFSET($A$1, 2789 - 1, 55 - 1) = "1" ), 3, 4 ) ) )</f>
        <v>3</v>
      </c>
    </row>
    <row r="2790" spans="53:56" x14ac:dyDescent="0.35">
      <c r="BA2790" s="3">
        <v>0.33204733374230799</v>
      </c>
      <c r="BB2790" s="3" t="str">
        <f>"0"</f>
        <v>0</v>
      </c>
      <c r="BC2790" t="str">
        <f ca="1">IF((OFFSET($A$1, 2790 - 1, 53 - 1)) &gt;= (OFFSET($A$1, 69 - 1, 7 - 1)), "1","0")</f>
        <v>0</v>
      </c>
      <c r="BD2790">
        <f ca="1" xml:space="preserve"> IF( AND( OFFSET($A$1, 2790 - 1, 54 - 1) = "1", OFFSET($A$1, 2790 - 1, 55 - 1) = "1" ), 1, IF( AND( OFFSET($A$1, 2790 - 1, 54 - 1) = "1", OFFSET($A$1, 2790 - 1, 55 - 1) = "0" ), 2, IF( AND( OFFSET($A$1, 2790 - 1, 54 - 1) = "0", OFFSET($A$1, 2790 - 1, 55 - 1) = "1" ), 3, 4 ) ) )</f>
        <v>4</v>
      </c>
    </row>
    <row r="2791" spans="53:56" x14ac:dyDescent="0.35">
      <c r="BA2791" s="3">
        <v>0.33175580849281106</v>
      </c>
      <c r="BB2791" s="3" t="str">
        <f>"0"</f>
        <v>0</v>
      </c>
      <c r="BC2791" t="str">
        <f ca="1">IF((OFFSET($A$1, 2791 - 1, 53 - 1)) &gt;= (OFFSET($A$1, 69 - 1, 7 - 1)), "1","0")</f>
        <v>0</v>
      </c>
      <c r="BD2791">
        <f ca="1" xml:space="preserve"> IF( AND( OFFSET($A$1, 2791 - 1, 54 - 1) = "1", OFFSET($A$1, 2791 - 1, 55 - 1) = "1" ), 1, IF( AND( OFFSET($A$1, 2791 - 1, 54 - 1) = "1", OFFSET($A$1, 2791 - 1, 55 - 1) = "0" ), 2, IF( AND( OFFSET($A$1, 2791 - 1, 54 - 1) = "0", OFFSET($A$1, 2791 - 1, 55 - 1) = "1" ), 3, 4 ) ) )</f>
        <v>4</v>
      </c>
    </row>
    <row r="2792" spans="53:56" x14ac:dyDescent="0.35">
      <c r="BA2792" s="3">
        <v>0.33144142822816647</v>
      </c>
      <c r="BB2792" s="3" t="str">
        <f>"0"</f>
        <v>0</v>
      </c>
      <c r="BC2792" t="str">
        <f ca="1">IF((OFFSET($A$1, 2792 - 1, 53 - 1)) &gt;= (OFFSET($A$1, 69 - 1, 7 - 1)), "1","0")</f>
        <v>0</v>
      </c>
      <c r="BD2792">
        <f ca="1" xml:space="preserve"> IF( AND( OFFSET($A$1, 2792 - 1, 54 - 1) = "1", OFFSET($A$1, 2792 - 1, 55 - 1) = "1" ), 1, IF( AND( OFFSET($A$1, 2792 - 1, 54 - 1) = "1", OFFSET($A$1, 2792 - 1, 55 - 1) = "0" ), 2, IF( AND( OFFSET($A$1, 2792 - 1, 54 - 1) = "0", OFFSET($A$1, 2792 - 1, 55 - 1) = "1" ), 3, 4 ) ) )</f>
        <v>4</v>
      </c>
    </row>
    <row r="2793" spans="53:56" x14ac:dyDescent="0.35">
      <c r="BA2793" s="3">
        <v>0.33110431906638005</v>
      </c>
      <c r="BB2793" s="3" t="str">
        <f>"0"</f>
        <v>0</v>
      </c>
      <c r="BC2793" t="str">
        <f ca="1">IF((OFFSET($A$1, 2793 - 1, 53 - 1)) &gt;= (OFFSET($A$1, 69 - 1, 7 - 1)), "1","0")</f>
        <v>0</v>
      </c>
      <c r="BD2793">
        <f ca="1" xml:space="preserve"> IF( AND( OFFSET($A$1, 2793 - 1, 54 - 1) = "1", OFFSET($A$1, 2793 - 1, 55 - 1) = "1" ), 1, IF( AND( OFFSET($A$1, 2793 - 1, 54 - 1) = "1", OFFSET($A$1, 2793 - 1, 55 - 1) = "0" ), 2, IF( AND( OFFSET($A$1, 2793 - 1, 54 - 1) = "0", OFFSET($A$1, 2793 - 1, 55 - 1) = "1" ), 3, 4 ) ) )</f>
        <v>4</v>
      </c>
    </row>
    <row r="2794" spans="53:56" x14ac:dyDescent="0.35">
      <c r="BA2794" s="3">
        <v>0.33074461619644113</v>
      </c>
      <c r="BB2794" s="3" t="str">
        <f>"0"</f>
        <v>0</v>
      </c>
      <c r="BC2794" t="str">
        <f ca="1">IF((OFFSET($A$1, 2794 - 1, 53 - 1)) &gt;= (OFFSET($A$1, 69 - 1, 7 - 1)), "1","0")</f>
        <v>0</v>
      </c>
      <c r="BD2794">
        <f ca="1" xml:space="preserve"> IF( AND( OFFSET($A$1, 2794 - 1, 54 - 1) = "1", OFFSET($A$1, 2794 - 1, 55 - 1) = "1" ), 1, IF( AND( OFFSET($A$1, 2794 - 1, 54 - 1) = "1", OFFSET($A$1, 2794 - 1, 55 - 1) = "0" ), 2, IF( AND( OFFSET($A$1, 2794 - 1, 54 - 1) = "0", OFFSET($A$1, 2794 - 1, 55 - 1) = "1" ), 3, 4 ) ) )</f>
        <v>4</v>
      </c>
    </row>
    <row r="2795" spans="53:56" x14ac:dyDescent="0.35">
      <c r="BA2795" s="3">
        <v>0.33036246381322038</v>
      </c>
      <c r="BB2795" s="3" t="str">
        <f>"0"</f>
        <v>0</v>
      </c>
      <c r="BC2795" t="str">
        <f ca="1">IF((OFFSET($A$1, 2795 - 1, 53 - 1)) &gt;= (OFFSET($A$1, 69 - 1, 7 - 1)), "1","0")</f>
        <v>0</v>
      </c>
      <c r="BD2795">
        <f ca="1" xml:space="preserve"> IF( AND( OFFSET($A$1, 2795 - 1, 54 - 1) = "1", OFFSET($A$1, 2795 - 1, 55 - 1) = "1" ), 1, IF( AND( OFFSET($A$1, 2795 - 1, 54 - 1) = "1", OFFSET($A$1, 2795 - 1, 55 - 1) = "0" ), 2, IF( AND( OFFSET($A$1, 2795 - 1, 54 - 1) = "0", OFFSET($A$1, 2795 - 1, 55 - 1) = "1" ), 3, 4 ) ) )</f>
        <v>4</v>
      </c>
    </row>
    <row r="2796" spans="53:56" x14ac:dyDescent="0.35">
      <c r="BA2796" s="3">
        <v>0.32995801504775829</v>
      </c>
      <c r="BB2796" s="3" t="str">
        <f>"0"</f>
        <v>0</v>
      </c>
      <c r="BC2796" t="str">
        <f ca="1">IF((OFFSET($A$1, 2796 - 1, 53 - 1)) &gt;= (OFFSET($A$1, 69 - 1, 7 - 1)), "1","0")</f>
        <v>0</v>
      </c>
      <c r="BD2796">
        <f ca="1" xml:space="preserve"> IF( AND( OFFSET($A$1, 2796 - 1, 54 - 1) = "1", OFFSET($A$1, 2796 - 1, 55 - 1) = "1" ), 1, IF( AND( OFFSET($A$1, 2796 - 1, 54 - 1) = "1", OFFSET($A$1, 2796 - 1, 55 - 1) = "0" ), 2, IF( AND( OFFSET($A$1, 2796 - 1, 54 - 1) = "0", OFFSET($A$1, 2796 - 1, 55 - 1) = "1" ), 3, 4 ) ) )</f>
        <v>4</v>
      </c>
    </row>
    <row r="2797" spans="53:56" x14ac:dyDescent="0.35">
      <c r="BA2797" s="3">
        <v>0.32953143189292206</v>
      </c>
      <c r="BB2797" s="3" t="str">
        <f>"0"</f>
        <v>0</v>
      </c>
      <c r="BC2797" t="str">
        <f ca="1">IF((OFFSET($A$1, 2797 - 1, 53 - 1)) &gt;= (OFFSET($A$1, 69 - 1, 7 - 1)), "1","0")</f>
        <v>0</v>
      </c>
      <c r="BD2797">
        <f ca="1" xml:space="preserve"> IF( AND( OFFSET($A$1, 2797 - 1, 54 - 1) = "1", OFFSET($A$1, 2797 - 1, 55 - 1) = "1" ), 1, IF( AND( OFFSET($A$1, 2797 - 1, 54 - 1) = "1", OFFSET($A$1, 2797 - 1, 55 - 1) = "0" ), 2, IF( AND( OFFSET($A$1, 2797 - 1, 54 - 1) = "0", OFFSET($A$1, 2797 - 1, 55 - 1) = "1" ), 3, 4 ) ) )</f>
        <v>4</v>
      </c>
    </row>
    <row r="2798" spans="53:56" x14ac:dyDescent="0.35">
      <c r="BA2798" s="3">
        <v>0.3290828851244198</v>
      </c>
      <c r="BB2798" s="3" t="str">
        <f>"0"</f>
        <v>0</v>
      </c>
      <c r="BC2798" t="str">
        <f ca="1">IF((OFFSET($A$1, 2798 - 1, 53 - 1)) &gt;= (OFFSET($A$1, 69 - 1, 7 - 1)), "1","0")</f>
        <v>0</v>
      </c>
      <c r="BD2798">
        <f ca="1" xml:space="preserve"> IF( AND( OFFSET($A$1, 2798 - 1, 54 - 1) = "1", OFFSET($A$1, 2798 - 1, 55 - 1) = "1" ), 1, IF( AND( OFFSET($A$1, 2798 - 1, 54 - 1) = "1", OFFSET($A$1, 2798 - 1, 55 - 1) = "0" ), 2, IF( AND( OFFSET($A$1, 2798 - 1, 54 - 1) = "0", OFFSET($A$1, 2798 - 1, 55 - 1) = "1" ), 3, 4 ) ) )</f>
        <v>4</v>
      </c>
    </row>
    <row r="2799" spans="53:56" x14ac:dyDescent="0.35">
      <c r="BA2799" s="3">
        <v>0.32861255421715685</v>
      </c>
      <c r="BB2799" s="3" t="str">
        <f>"0"</f>
        <v>0</v>
      </c>
      <c r="BC2799" t="str">
        <f ca="1">IF((OFFSET($A$1, 2799 - 1, 53 - 1)) &gt;= (OFFSET($A$1, 69 - 1, 7 - 1)), "1","0")</f>
        <v>0</v>
      </c>
      <c r="BD2799">
        <f ca="1" xml:space="preserve"> IF( AND( OFFSET($A$1, 2799 - 1, 54 - 1) = "1", OFFSET($A$1, 2799 - 1, 55 - 1) = "1" ), 1, IF( AND( OFFSET($A$1, 2799 - 1, 54 - 1) = "1", OFFSET($A$1, 2799 - 1, 55 - 1) = "0" ), 2, IF( AND( OFFSET($A$1, 2799 - 1, 54 - 1) = "0", OFFSET($A$1, 2799 - 1, 55 - 1) = "1" ), 3, 4 ) ) )</f>
        <v>4</v>
      </c>
    </row>
    <row r="2800" spans="53:56" x14ac:dyDescent="0.35">
      <c r="BA2800" s="3">
        <v>0.32812062725692459</v>
      </c>
      <c r="BB2800" s="3" t="str">
        <f>"0"</f>
        <v>0</v>
      </c>
      <c r="BC2800" t="str">
        <f ca="1">IF((OFFSET($A$1, 2800 - 1, 53 - 1)) &gt;= (OFFSET($A$1, 69 - 1, 7 - 1)), "1","0")</f>
        <v>0</v>
      </c>
      <c r="BD2800">
        <f ca="1" xml:space="preserve"> IF( AND( OFFSET($A$1, 2800 - 1, 54 - 1) = "1", OFFSET($A$1, 2800 - 1, 55 - 1) = "1" ), 1, IF( AND( OFFSET($A$1, 2800 - 1, 54 - 1) = "1", OFFSET($A$1, 2800 - 1, 55 - 1) = "0" ), 2, IF( AND( OFFSET($A$1, 2800 - 1, 54 - 1) = "0", OFFSET($A$1, 2800 - 1, 55 - 1) = "1" ), 3, 4 ) ) )</f>
        <v>4</v>
      </c>
    </row>
    <row r="2801" spans="53:56" x14ac:dyDescent="0.35">
      <c r="BA2801" s="3">
        <v>0.32760730084740797</v>
      </c>
      <c r="BB2801" s="3" t="str">
        <f>"0"</f>
        <v>0</v>
      </c>
      <c r="BC2801" t="str">
        <f ca="1">IF((OFFSET($A$1, 2801 - 1, 53 - 1)) &gt;= (OFFSET($A$1, 69 - 1, 7 - 1)), "1","0")</f>
        <v>0</v>
      </c>
      <c r="BD2801">
        <f ca="1" xml:space="preserve"> IF( AND( OFFSET($A$1, 2801 - 1, 54 - 1) = "1", OFFSET($A$1, 2801 - 1, 55 - 1) = "1" ), 1, IF( AND( OFFSET($A$1, 2801 - 1, 54 - 1) = "1", OFFSET($A$1, 2801 - 1, 55 - 1) = "0" ), 2, IF( AND( OFFSET($A$1, 2801 - 1, 54 - 1) = "0", OFFSET($A$1, 2801 - 1, 55 - 1) = "1" ), 3, 4 ) ) )</f>
        <v>4</v>
      </c>
    </row>
    <row r="2802" spans="53:56" x14ac:dyDescent="0.35">
      <c r="BA2802" s="3">
        <v>0.327072780012511</v>
      </c>
      <c r="BB2802" s="3" t="str">
        <f>"0"</f>
        <v>0</v>
      </c>
      <c r="BC2802" t="str">
        <f ca="1">IF((OFFSET($A$1, 2802 - 1, 53 - 1)) &gt;= (OFFSET($A$1, 69 - 1, 7 - 1)), "1","0")</f>
        <v>0</v>
      </c>
      <c r="BD2802">
        <f ca="1" xml:space="preserve"> IF( AND( OFFSET($A$1, 2802 - 1, 54 - 1) = "1", OFFSET($A$1, 2802 - 1, 55 - 1) = "1" ), 1, IF( AND( OFFSET($A$1, 2802 - 1, 54 - 1) = "1", OFFSET($A$1, 2802 - 1, 55 - 1) = "0" ), 2, IF( AND( OFFSET($A$1, 2802 - 1, 54 - 1) = "0", OFFSET($A$1, 2802 - 1, 55 - 1) = "1" ), 3, 4 ) ) )</f>
        <v>4</v>
      </c>
    </row>
    <row r="2803" spans="53:56" x14ac:dyDescent="0.35">
      <c r="BA2803" s="3">
        <v>0.32651727809398778</v>
      </c>
      <c r="BB2803" s="3" t="str">
        <f>"1"</f>
        <v>1</v>
      </c>
      <c r="BC2803" t="str">
        <f ca="1">IF((OFFSET($A$1, 2803 - 1, 53 - 1)) &gt;= (OFFSET($A$1, 69 - 1, 7 - 1)), "1","0")</f>
        <v>0</v>
      </c>
      <c r="BD2803">
        <f ca="1" xml:space="preserve"> IF( AND( OFFSET($A$1, 2803 - 1, 54 - 1) = "1", OFFSET($A$1, 2803 - 1, 55 - 1) = "1" ), 1, IF( AND( OFFSET($A$1, 2803 - 1, 54 - 1) = "1", OFFSET($A$1, 2803 - 1, 55 - 1) = "0" ), 2, IF( AND( OFFSET($A$1, 2803 - 1, 54 - 1) = "0", OFFSET($A$1, 2803 - 1, 55 - 1) = "1" ), 3, 4 ) ) )</f>
        <v>2</v>
      </c>
    </row>
    <row r="2804" spans="53:56" x14ac:dyDescent="0.35">
      <c r="BA2804" s="3">
        <v>0.60150381388376684</v>
      </c>
      <c r="BB2804" s="3" t="str">
        <f>"1"</f>
        <v>1</v>
      </c>
      <c r="BC2804" t="str">
        <f ca="1">IF((OFFSET($A$1, 2804 - 1, 53 - 1)) &gt;= (OFFSET($A$1, 69 - 1, 7 - 1)), "1","0")</f>
        <v>1</v>
      </c>
      <c r="BD2804">
        <f ca="1" xml:space="preserve"> IF( AND( OFFSET($A$1, 2804 - 1, 54 - 1) = "1", OFFSET($A$1, 2804 - 1, 55 - 1) = "1" ), 1, IF( AND( OFFSET($A$1, 2804 - 1, 54 - 1) = "1", OFFSET($A$1, 2804 - 1, 55 - 1) = "0" ), 2, IF( AND( OFFSET($A$1, 2804 - 1, 54 - 1) = "0", OFFSET($A$1, 2804 - 1, 55 - 1) = "1" ), 3, 4 ) ) )</f>
        <v>1</v>
      </c>
    </row>
    <row r="2805" spans="53:56" x14ac:dyDescent="0.35">
      <c r="BA2805" s="3">
        <v>0.60085222548358697</v>
      </c>
      <c r="BB2805" s="3" t="str">
        <f>"0"</f>
        <v>0</v>
      </c>
      <c r="BC2805" t="str">
        <f ca="1">IF((OFFSET($A$1, 2805 - 1, 53 - 1)) &gt;= (OFFSET($A$1, 69 - 1, 7 - 1)), "1","0")</f>
        <v>1</v>
      </c>
      <c r="BD2805">
        <f ca="1" xml:space="preserve"> IF( AND( OFFSET($A$1, 2805 - 1, 54 - 1) = "1", OFFSET($A$1, 2805 - 1, 55 - 1) = "1" ), 1, IF( AND( OFFSET($A$1, 2805 - 1, 54 - 1) = "1", OFFSET($A$1, 2805 - 1, 55 - 1) = "0" ), 2, IF( AND( OFFSET($A$1, 2805 - 1, 54 - 1) = "0", OFFSET($A$1, 2805 - 1, 55 - 1) = "1" ), 3, 4 ) ) )</f>
        <v>3</v>
      </c>
    </row>
    <row r="2806" spans="53:56" x14ac:dyDescent="0.35">
      <c r="BA2806" s="3">
        <v>0.32472714174086253</v>
      </c>
      <c r="BB2806" s="3" t="str">
        <f>"0"</f>
        <v>0</v>
      </c>
      <c r="BC2806" t="str">
        <f ca="1">IF((OFFSET($A$1, 2806 - 1, 53 - 1)) &gt;= (OFFSET($A$1, 69 - 1, 7 - 1)), "1","0")</f>
        <v>0</v>
      </c>
      <c r="BD2806">
        <f ca="1" xml:space="preserve"> IF( AND( OFFSET($A$1, 2806 - 1, 54 - 1) = "1", OFFSET($A$1, 2806 - 1, 55 - 1) = "1" ), 1, IF( AND( OFFSET($A$1, 2806 - 1, 54 - 1) = "1", OFFSET($A$1, 2806 - 1, 55 - 1) = "0" ), 2, IF( AND( OFFSET($A$1, 2806 - 1, 54 - 1) = "0", OFFSET($A$1, 2806 - 1, 55 - 1) = "1" ), 3, 4 ) ) )</f>
        <v>4</v>
      </c>
    </row>
    <row r="2807" spans="53:56" x14ac:dyDescent="0.35">
      <c r="BA2807" s="3">
        <v>0.32409001141681709</v>
      </c>
      <c r="BB2807" s="3" t="str">
        <f>"0"</f>
        <v>0</v>
      </c>
      <c r="BC2807" t="str">
        <f ca="1">IF((OFFSET($A$1, 2807 - 1, 53 - 1)) &gt;= (OFFSET($A$1, 69 - 1, 7 - 1)), "1","0")</f>
        <v>0</v>
      </c>
      <c r="BD2807">
        <f ca="1" xml:space="preserve"> IF( AND( OFFSET($A$1, 2807 - 1, 54 - 1) = "1", OFFSET($A$1, 2807 - 1, 55 - 1) = "1" ), 1, IF( AND( OFFSET($A$1, 2807 - 1, 54 - 1) = "1", OFFSET($A$1, 2807 - 1, 55 - 1) = "0" ), 2, IF( AND( OFFSET($A$1, 2807 - 1, 54 - 1) = "0", OFFSET($A$1, 2807 - 1, 55 - 1) = "1" ), 3, 4 ) ) )</f>
        <v>4</v>
      </c>
    </row>
    <row r="2808" spans="53:56" x14ac:dyDescent="0.35">
      <c r="BA2808" s="3">
        <v>0.3234330875745467</v>
      </c>
      <c r="BB2808" s="3" t="str">
        <f>"0"</f>
        <v>0</v>
      </c>
      <c r="BC2808" t="str">
        <f ca="1">IF((OFFSET($A$1, 2808 - 1, 53 - 1)) &gt;= (OFFSET($A$1, 69 - 1, 7 - 1)), "1","0")</f>
        <v>0</v>
      </c>
      <c r="BD2808">
        <f ca="1" xml:space="preserve"> IF( AND( OFFSET($A$1, 2808 - 1, 54 - 1) = "1", OFFSET($A$1, 2808 - 1, 55 - 1) = "1" ), 1, IF( AND( OFFSET($A$1, 2808 - 1, 54 - 1) = "1", OFFSET($A$1, 2808 - 1, 55 - 1) = "0" ), 2, IF( AND( OFFSET($A$1, 2808 - 1, 54 - 1) = "0", OFFSET($A$1, 2808 - 1, 55 - 1) = "1" ), 3, 4 ) ) )</f>
        <v>4</v>
      </c>
    </row>
    <row r="2809" spans="53:56" x14ac:dyDescent="0.35">
      <c r="BA2809" s="3">
        <v>0.32275663105076779</v>
      </c>
      <c r="BB2809" s="3" t="str">
        <f>"0"</f>
        <v>0</v>
      </c>
      <c r="BC2809" t="str">
        <f ca="1">IF((OFFSET($A$1, 2809 - 1, 53 - 1)) &gt;= (OFFSET($A$1, 69 - 1, 7 - 1)), "1","0")</f>
        <v>0</v>
      </c>
      <c r="BD2809">
        <f ca="1" xml:space="preserve"> IF( AND( OFFSET($A$1, 2809 - 1, 54 - 1) = "1", OFFSET($A$1, 2809 - 1, 55 - 1) = "1" ), 1, IF( AND( OFFSET($A$1, 2809 - 1, 54 - 1) = "1", OFFSET($A$1, 2809 - 1, 55 - 1) = "0" ), 2, IF( AND( OFFSET($A$1, 2809 - 1, 54 - 1) = "0", OFFSET($A$1, 2809 - 1, 55 - 1) = "1" ), 3, 4 ) ) )</f>
        <v>4</v>
      </c>
    </row>
    <row r="2810" spans="53:56" x14ac:dyDescent="0.35">
      <c r="BA2810" s="3">
        <v>0.32206091015248112</v>
      </c>
      <c r="BB2810" s="3" t="str">
        <f>"1"</f>
        <v>1</v>
      </c>
      <c r="BC2810" t="str">
        <f ca="1">IF((OFFSET($A$1, 2810 - 1, 53 - 1)) &gt;= (OFFSET($A$1, 69 - 1, 7 - 1)), "1","0")</f>
        <v>0</v>
      </c>
      <c r="BD2810">
        <f ca="1" xml:space="preserve"> IF( AND( OFFSET($A$1, 2810 - 1, 54 - 1) = "1", OFFSET($A$1, 2810 - 1, 55 - 1) = "1" ), 1, IF( AND( OFFSET($A$1, 2810 - 1, 54 - 1) = "1", OFFSET($A$1, 2810 - 1, 55 - 1) = "0" ), 2, IF( AND( OFFSET($A$1, 2810 - 1, 54 - 1) = "0", OFFSET($A$1, 2810 - 1, 55 - 1) = "1" ), 3, 4 ) ) )</f>
        <v>2</v>
      </c>
    </row>
    <row r="2811" spans="53:56" x14ac:dyDescent="0.35">
      <c r="BA2811" s="3">
        <v>0.59646180192063636</v>
      </c>
      <c r="BB2811" s="3" t="str">
        <f>"1"</f>
        <v>1</v>
      </c>
      <c r="BC2811" t="str">
        <f ca="1">IF((OFFSET($A$1, 2811 - 1, 53 - 1)) &gt;= (OFFSET($A$1, 69 - 1, 7 - 1)), "1","0")</f>
        <v>1</v>
      </c>
      <c r="BD2811">
        <f ca="1" xml:space="preserve"> IF( AND( OFFSET($A$1, 2811 - 1, 54 - 1) = "1", OFFSET($A$1, 2811 - 1, 55 - 1) = "1" ), 1, IF( AND( OFFSET($A$1, 2811 - 1, 54 - 1) = "1", OFFSET($A$1, 2811 - 1, 55 - 1) = "0" ), 2, IF( AND( OFFSET($A$1, 2811 - 1, 54 - 1) = "0", OFFSET($A$1, 2811 - 1, 55 - 1) = "1" ), 3, 4 ) ) )</f>
        <v>1</v>
      </c>
    </row>
    <row r="2812" spans="53:56" x14ac:dyDescent="0.35">
      <c r="BA2812" s="3">
        <v>0.59565159127040734</v>
      </c>
      <c r="BB2812" s="3" t="str">
        <f>"1"</f>
        <v>1</v>
      </c>
      <c r="BC2812" t="str">
        <f ca="1">IF((OFFSET($A$1, 2812 - 1, 53 - 1)) &gt;= (OFFSET($A$1, 69 - 1, 7 - 1)), "1","0")</f>
        <v>1</v>
      </c>
      <c r="BD2812">
        <f ca="1" xml:space="preserve"> IF( AND( OFFSET($A$1, 2812 - 1, 54 - 1) = "1", OFFSET($A$1, 2812 - 1, 55 - 1) = "1" ), 1, IF( AND( OFFSET($A$1, 2812 - 1, 54 - 1) = "1", OFFSET($A$1, 2812 - 1, 55 - 1) = "0" ), 2, IF( AND( OFFSET($A$1, 2812 - 1, 54 - 1) = "0", OFFSET($A$1, 2812 - 1, 55 - 1) = "1" ), 3, 4 ) ) )</f>
        <v>1</v>
      </c>
    </row>
    <row r="2813" spans="53:56" x14ac:dyDescent="0.35">
      <c r="BA2813" s="3">
        <v>0.59481947714087058</v>
      </c>
      <c r="BB2813" s="3" t="str">
        <f>"0"</f>
        <v>0</v>
      </c>
      <c r="BC2813" t="str">
        <f ca="1">IF((OFFSET($A$1, 2813 - 1, 53 - 1)) &gt;= (OFFSET($A$1, 69 - 1, 7 - 1)), "1","0")</f>
        <v>1</v>
      </c>
      <c r="BD2813">
        <f ca="1" xml:space="preserve"> IF( AND( OFFSET($A$1, 2813 - 1, 54 - 1) = "1", OFFSET($A$1, 2813 - 1, 55 - 1) = "1" ), 1, IF( AND( OFFSET($A$1, 2813 - 1, 54 - 1) = "1", OFFSET($A$1, 2813 - 1, 55 - 1) = "0" ), 2, IF( AND( OFFSET($A$1, 2813 - 1, 54 - 1) = "0", OFFSET($A$1, 2813 - 1, 55 - 1) = "1" ), 3, 4 ) ) )</f>
        <v>3</v>
      </c>
    </row>
    <row r="2814" spans="53:56" x14ac:dyDescent="0.35">
      <c r="BA2814" s="3">
        <v>0.31909100246882288</v>
      </c>
      <c r="BB2814" s="3" t="str">
        <f>"0"</f>
        <v>0</v>
      </c>
      <c r="BC2814" t="str">
        <f ca="1">IF((OFFSET($A$1, 2814 - 1, 53 - 1)) &gt;= (OFFSET($A$1, 69 - 1, 7 - 1)), "1","0")</f>
        <v>0</v>
      </c>
      <c r="BD2814">
        <f ca="1" xml:space="preserve"> IF( AND( OFFSET($A$1, 2814 - 1, 54 - 1) = "1", OFFSET($A$1, 2814 - 1, 55 - 1) = "1" ), 1, IF( AND( OFFSET($A$1, 2814 - 1, 54 - 1) = "1", OFFSET($A$1, 2814 - 1, 55 - 1) = "0" ), 2, IF( AND( OFFSET($A$1, 2814 - 1, 54 - 1) = "0", OFFSET($A$1, 2814 - 1, 55 - 1) = "1" ), 3, 4 ) ) )</f>
        <v>4</v>
      </c>
    </row>
    <row r="2815" spans="53:56" x14ac:dyDescent="0.35">
      <c r="BA2815" s="3">
        <v>0.31830323573647779</v>
      </c>
      <c r="BB2815" s="3" t="str">
        <f>"1"</f>
        <v>1</v>
      </c>
      <c r="BC2815" t="str">
        <f ca="1">IF((OFFSET($A$1, 2815 - 1, 53 - 1)) &gt;= (OFFSET($A$1, 69 - 1, 7 - 1)), "1","0")</f>
        <v>0</v>
      </c>
      <c r="BD2815">
        <f ca="1" xml:space="preserve"> IF( AND( OFFSET($A$1, 2815 - 1, 54 - 1) = "1", OFFSET($A$1, 2815 - 1, 55 - 1) = "1" ), 1, IF( AND( OFFSET($A$1, 2815 - 1, 54 - 1) = "1", OFFSET($A$1, 2815 - 1, 55 - 1) = "0" ), 2, IF( AND( OFFSET($A$1, 2815 - 1, 54 - 1) = "0", OFFSET($A$1, 2815 - 1, 55 - 1) = "1" ), 3, 4 ) ) )</f>
        <v>2</v>
      </c>
    </row>
    <row r="2816" spans="53:56" x14ac:dyDescent="0.35">
      <c r="BA2816" s="3">
        <v>0.59219383398170977</v>
      </c>
      <c r="BB2816" s="3" t="str">
        <f>"0"</f>
        <v>0</v>
      </c>
      <c r="BC2816" t="str">
        <f ca="1">IF((OFFSET($A$1, 2816 - 1, 53 - 1)) &gt;= (OFFSET($A$1, 69 - 1, 7 - 1)), "1","0")</f>
        <v>1</v>
      </c>
      <c r="BD2816">
        <f ca="1" xml:space="preserve"> IF( AND( OFFSET($A$1, 2816 - 1, 54 - 1) = "1", OFFSET($A$1, 2816 - 1, 55 - 1) = "1" ), 1, IF( AND( OFFSET($A$1, 2816 - 1, 54 - 1) = "1", OFFSET($A$1, 2816 - 1, 55 - 1) = "0" ), 2, IF( AND( OFFSET($A$1, 2816 - 1, 54 - 1) = "0", OFFSET($A$1, 2816 - 1, 55 - 1) = "1" ), 3, 4 ) ) )</f>
        <v>3</v>
      </c>
    </row>
    <row r="2817" spans="53:56" x14ac:dyDescent="0.35">
      <c r="BA2817" s="3">
        <v>0.31667550133778427</v>
      </c>
      <c r="BB2817" s="3" t="str">
        <f>"1"</f>
        <v>1</v>
      </c>
      <c r="BC2817" t="str">
        <f ca="1">IF((OFFSET($A$1, 2817 - 1, 53 - 1)) &gt;= (OFFSET($A$1, 69 - 1, 7 - 1)), "1","0")</f>
        <v>0</v>
      </c>
      <c r="BD2817">
        <f ca="1" xml:space="preserve"> IF( AND( OFFSET($A$1, 2817 - 1, 54 - 1) = "1", OFFSET($A$1, 2817 - 1, 55 - 1) = "1" ), 1, IF( AND( OFFSET($A$1, 2817 - 1, 54 - 1) = "1", OFFSET($A$1, 2817 - 1, 55 - 1) = "0" ), 2, IF( AND( OFFSET($A$1, 2817 - 1, 54 - 1) = "0", OFFSET($A$1, 2817 - 1, 55 - 1) = "1" ), 3, 4 ) ) )</f>
        <v>2</v>
      </c>
    </row>
    <row r="2818" spans="53:56" x14ac:dyDescent="0.35">
      <c r="BA2818" s="3">
        <v>0.59033788992275682</v>
      </c>
      <c r="BB2818" s="3" t="str">
        <f>"0"</f>
        <v>0</v>
      </c>
      <c r="BC2818" t="str">
        <f ca="1">IF((OFFSET($A$1, 2818 - 1, 53 - 1)) &gt;= (OFFSET($A$1, 69 - 1, 7 - 1)), "1","0")</f>
        <v>1</v>
      </c>
      <c r="BD2818">
        <f ca="1" xml:space="preserve"> IF( AND( OFFSET($A$1, 2818 - 1, 54 - 1) = "1", OFFSET($A$1, 2818 - 1, 55 - 1) = "1" ), 1, IF( AND( OFFSET($A$1, 2818 - 1, 54 - 1) = "1", OFFSET($A$1, 2818 - 1, 55 - 1) = "0" ), 2, IF( AND( OFFSET($A$1, 2818 - 1, 54 - 1) = "0", OFFSET($A$1, 2818 - 1, 55 - 1) = "1" ), 3, 4 ) ) )</f>
        <v>3</v>
      </c>
    </row>
    <row r="2819" spans="53:56" x14ac:dyDescent="0.35">
      <c r="BA2819" s="3">
        <v>0.31498030625274548</v>
      </c>
      <c r="BB2819" s="3" t="str">
        <f>"0"</f>
        <v>0</v>
      </c>
      <c r="BC2819" t="str">
        <f ca="1">IF((OFFSET($A$1, 2819 - 1, 53 - 1)) &gt;= (OFFSET($A$1, 69 - 1, 7 - 1)), "1","0")</f>
        <v>0</v>
      </c>
      <c r="BD2819">
        <f ca="1" xml:space="preserve"> IF( AND( OFFSET($A$1, 2819 - 1, 54 - 1) = "1", OFFSET($A$1, 2819 - 1, 55 - 1) = "1" ), 1, IF( AND( OFFSET($A$1, 2819 - 1, 54 - 1) = "1", OFFSET($A$1, 2819 - 1, 55 - 1) = "0" ), 2, IF( AND( OFFSET($A$1, 2819 - 1, 54 - 1) = "0", OFFSET($A$1, 2819 - 1, 55 - 1) = "1" ), 3, 4 ) ) )</f>
        <v>4</v>
      </c>
    </row>
    <row r="2820" spans="53:56" x14ac:dyDescent="0.35">
      <c r="BA2820" s="3">
        <v>0.31410823636247115</v>
      </c>
      <c r="BB2820" s="3" t="str">
        <f>"1"</f>
        <v>1</v>
      </c>
      <c r="BC2820" t="str">
        <f ca="1">IF((OFFSET($A$1, 2820 - 1, 53 - 1)) &gt;= (OFFSET($A$1, 69 - 1, 7 - 1)), "1","0")</f>
        <v>0</v>
      </c>
      <c r="BD2820">
        <f ca="1" xml:space="preserve"> IF( AND( OFFSET($A$1, 2820 - 1, 54 - 1) = "1", OFFSET($A$1, 2820 - 1, 55 - 1) = "1" ), 1, IF( AND( OFFSET($A$1, 2820 - 1, 54 - 1) = "1", OFFSET($A$1, 2820 - 1, 55 - 1) = "0" ), 2, IF( AND( OFFSET($A$1, 2820 - 1, 54 - 1) = "0", OFFSET($A$1, 2820 - 1, 55 - 1) = "1" ), 3, 4 ) ) )</f>
        <v>2</v>
      </c>
    </row>
    <row r="2821" spans="53:56" x14ac:dyDescent="0.35">
      <c r="BA2821" s="3">
        <v>0.58740046938850521</v>
      </c>
      <c r="BB2821" s="3" t="str">
        <f>"0"</f>
        <v>0</v>
      </c>
      <c r="BC2821" t="str">
        <f ca="1">IF((OFFSET($A$1, 2821 - 1, 53 - 1)) &gt;= (OFFSET($A$1, 69 - 1, 7 - 1)), "1","0")</f>
        <v>1</v>
      </c>
      <c r="BD2821">
        <f ca="1" xml:space="preserve"> IF( AND( OFFSET($A$1, 2821 - 1, 54 - 1) = "1", OFFSET($A$1, 2821 - 1, 55 - 1) = "1" ), 1, IF( AND( OFFSET($A$1, 2821 - 1, 54 - 1) = "1", OFFSET($A$1, 2821 - 1, 55 - 1) = "0" ), 2, IF( AND( OFFSET($A$1, 2821 - 1, 54 - 1) = "0", OFFSET($A$1, 2821 - 1, 55 - 1) = "1" ), 3, 4 ) ) )</f>
        <v>3</v>
      </c>
    </row>
    <row r="2822" spans="53:56" x14ac:dyDescent="0.35">
      <c r="BA2822" s="3">
        <v>0.31231685315613739</v>
      </c>
      <c r="BB2822" s="3" t="str">
        <f>"1"</f>
        <v>1</v>
      </c>
      <c r="BC2822" t="str">
        <f ca="1">IF((OFFSET($A$1, 2822 - 1, 53 - 1)) &gt;= (OFFSET($A$1, 69 - 1, 7 - 1)), "1","0")</f>
        <v>0</v>
      </c>
      <c r="BD2822">
        <f ca="1" xml:space="preserve"> IF( AND( OFFSET($A$1, 2822 - 1, 54 - 1) = "1", OFFSET($A$1, 2822 - 1, 55 - 1) = "1" ), 1, IF( AND( OFFSET($A$1, 2822 - 1, 54 - 1) = "1", OFFSET($A$1, 2822 - 1, 55 - 1) = "0" ), 2, IF( AND( OFFSET($A$1, 2822 - 1, 54 - 1) = "0", OFFSET($A$1, 2822 - 1, 55 - 1) = "1" ), 3, 4 ) ) )</f>
        <v>2</v>
      </c>
    </row>
    <row r="2823" spans="53:56" x14ac:dyDescent="0.35">
      <c r="BA2823" s="3">
        <v>0.58534282797753601</v>
      </c>
      <c r="BB2823" s="3" t="str">
        <f>"0"</f>
        <v>0</v>
      </c>
      <c r="BC2823" t="str">
        <f ca="1">IF((OFFSET($A$1, 2823 - 1, 53 - 1)) &gt;= (OFFSET($A$1, 69 - 1, 7 - 1)), "1","0")</f>
        <v>1</v>
      </c>
      <c r="BD2823">
        <f ca="1" xml:space="preserve"> IF( AND( OFFSET($A$1, 2823 - 1, 54 - 1) = "1", OFFSET($A$1, 2823 - 1, 55 - 1) = "1" ), 1, IF( AND( OFFSET($A$1, 2823 - 1, 54 - 1) = "1", OFFSET($A$1, 2823 - 1, 55 - 1) = "0" ), 2, IF( AND( OFFSET($A$1, 2823 - 1, 54 - 1) = "0", OFFSET($A$1, 2823 - 1, 55 - 1) = "1" ), 3, 4 ) ) )</f>
        <v>3</v>
      </c>
    </row>
    <row r="2824" spans="53:56" x14ac:dyDescent="0.35">
      <c r="BA2824" s="3">
        <v>0.31046481043398994</v>
      </c>
      <c r="BB2824" s="3" t="str">
        <f>"0"</f>
        <v>0</v>
      </c>
      <c r="BC2824" t="str">
        <f ca="1">IF((OFFSET($A$1, 2824 - 1, 53 - 1)) &gt;= (OFFSET($A$1, 69 - 1, 7 - 1)), "1","0")</f>
        <v>0</v>
      </c>
      <c r="BD2824">
        <f ca="1" xml:space="preserve"> IF( AND( OFFSET($A$1, 2824 - 1, 54 - 1) = "1", OFFSET($A$1, 2824 - 1, 55 - 1) = "1" ), 1, IF( AND( OFFSET($A$1, 2824 - 1, 54 - 1) = "1", OFFSET($A$1, 2824 - 1, 55 - 1) = "0" ), 2, IF( AND( OFFSET($A$1, 2824 - 1, 54 - 1) = "0", OFFSET($A$1, 2824 - 1, 55 - 1) = "1" ), 3, 4 ) ) )</f>
        <v>4</v>
      </c>
    </row>
    <row r="2825" spans="53:56" x14ac:dyDescent="0.35">
      <c r="BA2825" s="3">
        <v>0.30951693536118297</v>
      </c>
      <c r="BB2825" s="3" t="str">
        <f>"0"</f>
        <v>0</v>
      </c>
      <c r="BC2825" t="str">
        <f ca="1">IF((OFFSET($A$1, 2825 - 1, 53 - 1)) &gt;= (OFFSET($A$1, 69 - 1, 7 - 1)), "1","0")</f>
        <v>0</v>
      </c>
      <c r="BD2825">
        <f ca="1" xml:space="preserve"> IF( AND( OFFSET($A$1, 2825 - 1, 54 - 1) = "1", OFFSET($A$1, 2825 - 1, 55 - 1) = "1" ), 1, IF( AND( OFFSET($A$1, 2825 - 1, 54 - 1) = "1", OFFSET($A$1, 2825 - 1, 55 - 1) = "0" ), 2, IF( AND( OFFSET($A$1, 2825 - 1, 54 - 1) = "0", OFFSET($A$1, 2825 - 1, 55 - 1) = "1" ), 3, 4 ) ) )</f>
        <v>4</v>
      </c>
    </row>
    <row r="2826" spans="53:56" x14ac:dyDescent="0.35">
      <c r="BA2826" s="3">
        <v>0.30855497743139471</v>
      </c>
      <c r="BB2826" s="3" t="str">
        <f>"0"</f>
        <v>0</v>
      </c>
      <c r="BC2826" t="str">
        <f ca="1">IF((OFFSET($A$1, 2826 - 1, 53 - 1)) &gt;= (OFFSET($A$1, 69 - 1, 7 - 1)), "1","0")</f>
        <v>0</v>
      </c>
      <c r="BD2826">
        <f ca="1" xml:space="preserve"> IF( AND( OFFSET($A$1, 2826 - 1, 54 - 1) = "1", OFFSET($A$1, 2826 - 1, 55 - 1) = "1" ), 1, IF( AND( OFFSET($A$1, 2826 - 1, 54 - 1) = "1", OFFSET($A$1, 2826 - 1, 55 - 1) = "0" ), 2, IF( AND( OFFSET($A$1, 2826 - 1, 54 - 1) = "0", OFFSET($A$1, 2826 - 1, 55 - 1) = "1" ), 3, 4 ) ) )</f>
        <v>4</v>
      </c>
    </row>
    <row r="2827" spans="53:56" x14ac:dyDescent="0.35">
      <c r="BA2827" s="3">
        <v>0.30757930706353837</v>
      </c>
      <c r="BB2827" s="3" t="str">
        <f>"1"</f>
        <v>1</v>
      </c>
      <c r="BC2827" t="str">
        <f ca="1">IF((OFFSET($A$1, 2827 - 1, 53 - 1)) &gt;= (OFFSET($A$1, 69 - 1, 7 - 1)), "1","0")</f>
        <v>0</v>
      </c>
      <c r="BD2827">
        <f ca="1" xml:space="preserve"> IF( AND( OFFSET($A$1, 2827 - 1, 54 - 1) = "1", OFFSET($A$1, 2827 - 1, 55 - 1) = "1" ), 1, IF( AND( OFFSET($A$1, 2827 - 1, 54 - 1) = "1", OFFSET($A$1, 2827 - 1, 55 - 1) = "0" ), 2, IF( AND( OFFSET($A$1, 2827 - 1, 54 - 1) = "0", OFFSET($A$1, 2827 - 1, 55 - 1) = "1" ), 3, 4 ) ) )</f>
        <v>2</v>
      </c>
    </row>
    <row r="2828" spans="53:56" x14ac:dyDescent="0.35">
      <c r="BA2828" s="3">
        <v>0.57986699904262073</v>
      </c>
      <c r="BB2828" s="3" t="str">
        <f>"1"</f>
        <v>1</v>
      </c>
      <c r="BC2828" t="str">
        <f ca="1">IF((OFFSET($A$1, 2828 - 1, 53 - 1)) &gt;= (OFFSET($A$1, 69 - 1, 7 - 1)), "1","0")</f>
        <v>1</v>
      </c>
      <c r="BD2828">
        <f ca="1" xml:space="preserve"> IF( AND( OFFSET($A$1, 2828 - 1, 54 - 1) = "1", OFFSET($A$1, 2828 - 1, 55 - 1) = "1" ), 1, IF( AND( OFFSET($A$1, 2828 - 1, 54 - 1) = "1", OFFSET($A$1, 2828 - 1, 55 - 1) = "0" ), 2, IF( AND( OFFSET($A$1, 2828 - 1, 54 - 1) = "0", OFFSET($A$1, 2828 - 1, 55 - 1) = "1" ), 3, 4 ) ) )</f>
        <v>1</v>
      </c>
    </row>
    <row r="2829" spans="53:56" x14ac:dyDescent="0.35">
      <c r="BA2829" s="3">
        <v>0.57871731110652935</v>
      </c>
      <c r="BB2829" s="3" t="str">
        <f>"1"</f>
        <v>1</v>
      </c>
      <c r="BC2829" t="str">
        <f ca="1">IF((OFFSET($A$1, 2829 - 1, 53 - 1)) &gt;= (OFFSET($A$1, 69 - 1, 7 - 1)), "1","0")</f>
        <v>1</v>
      </c>
      <c r="BD2829">
        <f ca="1" xml:space="preserve"> IF( AND( OFFSET($A$1, 2829 - 1, 54 - 1) = "1", OFFSET($A$1, 2829 - 1, 55 - 1) = "1" ), 1, IF( AND( OFFSET($A$1, 2829 - 1, 54 - 1) = "1", OFFSET($A$1, 2829 - 1, 55 - 1) = "0" ), 2, IF( AND( OFFSET($A$1, 2829 - 1, 54 - 1) = "0", OFFSET($A$1, 2829 - 1, 55 - 1) = "1" ), 3, 4 ) ) )</f>
        <v>1</v>
      </c>
    </row>
    <row r="2830" spans="53:56" x14ac:dyDescent="0.35">
      <c r="BA2830" s="3">
        <v>0.57755016757454181</v>
      </c>
      <c r="BB2830" s="3" t="str">
        <f>"0"</f>
        <v>0</v>
      </c>
      <c r="BC2830" t="str">
        <f ca="1">IF((OFFSET($A$1, 2830 - 1, 53 - 1)) &gt;= (OFFSET($A$1, 69 - 1, 7 - 1)), "1","0")</f>
        <v>1</v>
      </c>
      <c r="BD2830">
        <f ca="1" xml:space="preserve"> IF( AND( OFFSET($A$1, 2830 - 1, 54 - 1) = "1", OFFSET($A$1, 2830 - 1, 55 - 1) = "1" ), 1, IF( AND( OFFSET($A$1, 2830 - 1, 54 - 1) = "1", OFFSET($A$1, 2830 - 1, 55 - 1) = "0" ), 2, IF( AND( OFFSET($A$1, 2830 - 1, 54 - 1) = "0", OFFSET($A$1, 2830 - 1, 55 - 1) = "1" ), 3, 4 ) ) )</f>
        <v>3</v>
      </c>
    </row>
    <row r="2831" spans="53:56" x14ac:dyDescent="0.35">
      <c r="BA2831" s="3">
        <v>0.30354705630293077</v>
      </c>
      <c r="BB2831" s="3" t="str">
        <f>"1"</f>
        <v>1</v>
      </c>
      <c r="BC2831" t="str">
        <f ca="1">IF((OFFSET($A$1, 2831 - 1, 53 - 1)) &gt;= (OFFSET($A$1, 69 - 1, 7 - 1)), "1","0")</f>
        <v>0</v>
      </c>
      <c r="BD2831">
        <f ca="1" xml:space="preserve"> IF( AND( OFFSET($A$1, 2831 - 1, 54 - 1) = "1", OFFSET($A$1, 2831 - 1, 55 - 1) = "1" ), 1, IF( AND( OFFSET($A$1, 2831 - 1, 54 - 1) = "1", OFFSET($A$1, 2831 - 1, 55 - 1) = "0" ), 2, IF( AND( OFFSET($A$1, 2831 - 1, 54 - 1) = "0", OFFSET($A$1, 2831 - 1, 55 - 1) = "1" ), 3, 4 ) ) )</f>
        <v>2</v>
      </c>
    </row>
    <row r="2832" spans="53:56" x14ac:dyDescent="0.35">
      <c r="BA2832" s="3">
        <v>0.57516480384876945</v>
      </c>
      <c r="BB2832" s="3" t="str">
        <f>"0"</f>
        <v>0</v>
      </c>
      <c r="BC2832" t="str">
        <f ca="1">IF((OFFSET($A$1, 2832 - 1, 53 - 1)) &gt;= (OFFSET($A$1, 69 - 1, 7 - 1)), "1","0")</f>
        <v>1</v>
      </c>
      <c r="BD2832">
        <f ca="1" xml:space="preserve"> IF( AND( OFFSET($A$1, 2832 - 1, 54 - 1) = "1", OFFSET($A$1, 2832 - 1, 55 - 1) = "1" ), 1, IF( AND( OFFSET($A$1, 2832 - 1, 54 - 1) = "1", OFFSET($A$1, 2832 - 1, 55 - 1) = "0" ), 2, IF( AND( OFFSET($A$1, 2832 - 1, 54 - 1) = "0", OFFSET($A$1, 2832 - 1, 55 - 1) = "1" ), 3, 4 ) ) )</f>
        <v>3</v>
      </c>
    </row>
    <row r="2833" spans="53:56" x14ac:dyDescent="0.35">
      <c r="BA2833" s="3">
        <v>0.30145858459929353</v>
      </c>
      <c r="BB2833" s="3" t="str">
        <f>"0"</f>
        <v>0</v>
      </c>
      <c r="BC2833" t="str">
        <f ca="1">IF((OFFSET($A$1, 2833 - 1, 53 - 1)) &gt;= (OFFSET($A$1, 69 - 1, 7 - 1)), "1","0")</f>
        <v>0</v>
      </c>
      <c r="BD2833">
        <f ca="1" xml:space="preserve"> IF( AND( OFFSET($A$1, 2833 - 1, 54 - 1) = "1", OFFSET($A$1, 2833 - 1, 55 - 1) = "1" ), 1, IF( AND( OFFSET($A$1, 2833 - 1, 54 - 1) = "1", OFFSET($A$1, 2833 - 1, 55 - 1) = "0" ), 2, IF( AND( OFFSET($A$1, 2833 - 1, 54 - 1) = "0", OFFSET($A$1, 2833 - 1, 55 - 1) = "1" ), 3, 4 ) ) )</f>
        <v>4</v>
      </c>
    </row>
    <row r="2834" spans="53:56" x14ac:dyDescent="0.35">
      <c r="BA2834" s="3">
        <v>0.30039763493038635</v>
      </c>
      <c r="BB2834" s="3" t="str">
        <f>"0"</f>
        <v>0</v>
      </c>
      <c r="BC2834" t="str">
        <f ca="1">IF((OFFSET($A$1, 2834 - 1, 53 - 1)) &gt;= (OFFSET($A$1, 69 - 1, 7 - 1)), "1","0")</f>
        <v>0</v>
      </c>
      <c r="BD2834">
        <f ca="1" xml:space="preserve"> IF( AND( OFFSET($A$1, 2834 - 1, 54 - 1) = "1", OFFSET($A$1, 2834 - 1, 55 - 1) = "1" ), 1, IF( AND( OFFSET($A$1, 2834 - 1, 54 - 1) = "1", OFFSET($A$1, 2834 - 1, 55 - 1) = "0" ), 2, IF( AND( OFFSET($A$1, 2834 - 1, 54 - 1) = "0", OFFSET($A$1, 2834 - 1, 55 - 1) = "1" ), 3, 4 ) ) )</f>
        <v>4</v>
      </c>
    </row>
    <row r="2835" spans="53:56" x14ac:dyDescent="0.35">
      <c r="BA2835" s="3">
        <v>0.29932607374601744</v>
      </c>
      <c r="BB2835" s="3" t="str">
        <f>"1"</f>
        <v>1</v>
      </c>
      <c r="BC2835" t="str">
        <f ca="1">IF((OFFSET($A$1, 2835 - 1, 53 - 1)) &gt;= (OFFSET($A$1, 69 - 1, 7 - 1)), "1","0")</f>
        <v>0</v>
      </c>
      <c r="BD2835">
        <f ca="1" xml:space="preserve"> IF( AND( OFFSET($A$1, 2835 - 1, 54 - 1) = "1", OFFSET($A$1, 2835 - 1, 55 - 1) = "1" ), 1, IF( AND( OFFSET($A$1, 2835 - 1, 54 - 1) = "1", OFFSET($A$1, 2835 - 1, 55 - 1) = "0" ), 2, IF( AND( OFFSET($A$1, 2835 - 1, 54 - 1) = "0", OFFSET($A$1, 2835 - 1, 55 - 1) = "1" ), 3, 4 ) ) )</f>
        <v>2</v>
      </c>
    </row>
    <row r="2836" spans="53:56" x14ac:dyDescent="0.35">
      <c r="BA2836" s="3">
        <v>0.5701991582183954</v>
      </c>
      <c r="BB2836" s="3" t="str">
        <f>"1"</f>
        <v>1</v>
      </c>
      <c r="BC2836" t="str">
        <f ca="1">IF((OFFSET($A$1, 2836 - 1, 53 - 1)) &gt;= (OFFSET($A$1, 69 - 1, 7 - 1)), "1","0")</f>
        <v>1</v>
      </c>
      <c r="BD2836">
        <f ca="1" xml:space="preserve"> IF( AND( OFFSET($A$1, 2836 - 1, 54 - 1) = "1", OFFSET($A$1, 2836 - 1, 55 - 1) = "1" ), 1, IF( AND( OFFSET($A$1, 2836 - 1, 54 - 1) = "1", OFFSET($A$1, 2836 - 1, 55 - 1) = "0" ), 2, IF( AND( OFFSET($A$1, 2836 - 1, 54 - 1) = "0", OFFSET($A$1, 2836 - 1, 55 - 1) = "1" ), 3, 4 ) ) )</f>
        <v>1</v>
      </c>
    </row>
    <row r="2837" spans="53:56" x14ac:dyDescent="0.35">
      <c r="BA2837" s="3">
        <v>0.56891916810521603</v>
      </c>
      <c r="BB2837" s="3" t="str">
        <f>"1"</f>
        <v>1</v>
      </c>
      <c r="BC2837" t="str">
        <f ca="1">IF((OFFSET($A$1, 2837 - 1, 53 - 1)) &gt;= (OFFSET($A$1, 69 - 1, 7 - 1)), "1","0")</f>
        <v>1</v>
      </c>
      <c r="BD2837">
        <f ca="1" xml:space="preserve"> IF( AND( OFFSET($A$1, 2837 - 1, 54 - 1) = "1", OFFSET($A$1, 2837 - 1, 55 - 1) = "1" ), 1, IF( AND( OFFSET($A$1, 2837 - 1, 54 - 1) = "1", OFFSET($A$1, 2837 - 1, 55 - 1) = "0" ), 2, IF( AND( OFFSET($A$1, 2837 - 1, 54 - 1) = "0", OFFSET($A$1, 2837 - 1, 55 - 1) = "1" ), 3, 4 ) ) )</f>
        <v>1</v>
      </c>
    </row>
    <row r="2838" spans="53:56" x14ac:dyDescent="0.35">
      <c r="BA2838" s="3">
        <v>0.56762446691783008</v>
      </c>
      <c r="BB2838" s="3" t="str">
        <f>"0"</f>
        <v>0</v>
      </c>
      <c r="BC2838" t="str">
        <f ca="1">IF((OFFSET($A$1, 2838 - 1, 53 - 1)) &gt;= (OFFSET($A$1, 69 - 1, 7 - 1)), "1","0")</f>
        <v>1</v>
      </c>
      <c r="BD2838">
        <f ca="1" xml:space="preserve"> IF( AND( OFFSET($A$1, 2838 - 1, 54 - 1) = "1", OFFSET($A$1, 2838 - 1, 55 - 1) = "1" ), 1, IF( AND( OFFSET($A$1, 2838 - 1, 54 - 1) = "1", OFFSET($A$1, 2838 - 1, 55 - 1) = "0" ), 2, IF( AND( OFFSET($A$1, 2838 - 1, 54 - 1) = "0", OFFSET($A$1, 2838 - 1, 55 - 1) = "1" ), 3, 4 ) ) )</f>
        <v>3</v>
      </c>
    </row>
    <row r="2839" spans="53:56" x14ac:dyDescent="0.35">
      <c r="BA2839" s="3">
        <v>0.2949417789773216</v>
      </c>
      <c r="BB2839" s="3" t="str">
        <f>"0"</f>
        <v>0</v>
      </c>
      <c r="BC2839" t="str">
        <f ca="1">IF((OFFSET($A$1, 2839 - 1, 53 - 1)) &gt;= (OFFSET($A$1, 69 - 1, 7 - 1)), "1","0")</f>
        <v>0</v>
      </c>
      <c r="BD2839">
        <f ca="1" xml:space="preserve"> IF( AND( OFFSET($A$1, 2839 - 1, 54 - 1) = "1", OFFSET($A$1, 2839 - 1, 55 - 1) = "1" ), 1, IF( AND( OFFSET($A$1, 2839 - 1, 54 - 1) = "1", OFFSET($A$1, 2839 - 1, 55 - 1) = "0" ), 2, IF( AND( OFFSET($A$1, 2839 - 1, 54 - 1) = "0", OFFSET($A$1, 2839 - 1, 55 - 1) = "1" ), 3, 4 ) ) )</f>
        <v>4</v>
      </c>
    </row>
    <row r="2840" spans="53:56" x14ac:dyDescent="0.35">
      <c r="BA2840" s="3">
        <v>0.29382322731427374</v>
      </c>
      <c r="BB2840" s="3" t="str">
        <f>"0"</f>
        <v>0</v>
      </c>
      <c r="BC2840" t="str">
        <f ca="1">IF((OFFSET($A$1, 2840 - 1, 53 - 1)) &gt;= (OFFSET($A$1, 69 - 1, 7 - 1)), "1","0")</f>
        <v>0</v>
      </c>
      <c r="BD2840">
        <f ca="1" xml:space="preserve"> IF( AND( OFFSET($A$1, 2840 - 1, 54 - 1) = "1", OFFSET($A$1, 2840 - 1, 55 - 1) = "1" ), 1, IF( AND( OFFSET($A$1, 2840 - 1, 54 - 1) = "1", OFFSET($A$1, 2840 - 1, 55 - 1) = "0" ), 2, IF( AND( OFFSET($A$1, 2840 - 1, 54 - 1) = "0", OFFSET($A$1, 2840 - 1, 55 - 1) = "1" ), 3, 4 ) ) )</f>
        <v>4</v>
      </c>
    </row>
    <row r="2841" spans="53:56" x14ac:dyDescent="0.35">
      <c r="BA2841" s="3">
        <v>0.29269650431106281</v>
      </c>
      <c r="BB2841" s="3" t="str">
        <f>"0"</f>
        <v>0</v>
      </c>
      <c r="BC2841" t="str">
        <f ca="1">IF((OFFSET($A$1, 2841 - 1, 53 - 1)) &gt;= (OFFSET($A$1, 69 - 1, 7 - 1)), "1","0")</f>
        <v>0</v>
      </c>
      <c r="BD2841">
        <f ca="1" xml:space="preserve"> IF( AND( OFFSET($A$1, 2841 - 1, 54 - 1) = "1", OFFSET($A$1, 2841 - 1, 55 - 1) = "1" ), 1, IF( AND( OFFSET($A$1, 2841 - 1, 54 - 1) = "1", OFFSET($A$1, 2841 - 1, 55 - 1) = "0" ), 2, IF( AND( OFFSET($A$1, 2841 - 1, 54 - 1) = "0", OFFSET($A$1, 2841 - 1, 55 - 1) = "1" ), 3, 4 ) ) )</f>
        <v>4</v>
      </c>
    </row>
    <row r="2842" spans="53:56" x14ac:dyDescent="0.35">
      <c r="BA2842" s="3">
        <v>0.29156202227246236</v>
      </c>
      <c r="BB2842" s="3" t="str">
        <f>"1"</f>
        <v>1</v>
      </c>
      <c r="BC2842" t="str">
        <f ca="1">IF((OFFSET($A$1, 2842 - 1, 53 - 1)) &gt;= (OFFSET($A$1, 69 - 1, 7 - 1)), "1","0")</f>
        <v>0</v>
      </c>
      <c r="BD2842">
        <f ca="1" xml:space="preserve"> IF( AND( OFFSET($A$1, 2842 - 1, 54 - 1) = "1", OFFSET($A$1, 2842 - 1, 55 - 1) = "1" ), 1, IF( AND( OFFSET($A$1, 2842 - 1, 54 - 1) = "1", OFFSET($A$1, 2842 - 1, 55 - 1) = "0" ), 2, IF( AND( OFFSET($A$1, 2842 - 1, 54 - 1) = "0", OFFSET($A$1, 2842 - 1, 55 - 1) = "1" ), 3, 4 ) ) )</f>
        <v>2</v>
      </c>
    </row>
    <row r="2843" spans="53:56" x14ac:dyDescent="0.35">
      <c r="BA2843" s="3">
        <v>0.56094347577197978</v>
      </c>
      <c r="BB2843" s="3" t="str">
        <f>"1"</f>
        <v>1</v>
      </c>
      <c r="BC2843" t="str">
        <f ca="1">IF((OFFSET($A$1, 2843 - 1, 53 - 1)) &gt;= (OFFSET($A$1, 69 - 1, 7 - 1)), "1","0")</f>
        <v>1</v>
      </c>
      <c r="BD2843">
        <f ca="1" xml:space="preserve"> IF( AND( OFFSET($A$1, 2843 - 1, 54 - 1) = "1", OFFSET($A$1, 2843 - 1, 55 - 1) = "1" ), 1, IF( AND( OFFSET($A$1, 2843 - 1, 54 - 1) = "1", OFFSET($A$1, 2843 - 1, 55 - 1) = "0" ), 2, IF( AND( OFFSET($A$1, 2843 - 1, 54 - 1) = "0", OFFSET($A$1, 2843 - 1, 55 - 1) = "1" ), 3, 4 ) ) )</f>
        <v>1</v>
      </c>
    </row>
    <row r="2844" spans="53:56" x14ac:dyDescent="0.35">
      <c r="BA2844" s="3">
        <v>0.55956849702562261</v>
      </c>
      <c r="BB2844" s="3" t="str">
        <f>"0"</f>
        <v>0</v>
      </c>
      <c r="BC2844" t="str">
        <f ca="1">IF((OFFSET($A$1, 2844 - 1, 53 - 1)) &gt;= (OFFSET($A$1, 69 - 1, 7 - 1)), "1","0")</f>
        <v>1</v>
      </c>
      <c r="BD2844">
        <f ca="1" xml:space="preserve"> IF( AND( OFFSET($A$1, 2844 - 1, 54 - 1) = "1", OFFSET($A$1, 2844 - 1, 55 - 1) = "1" ), 1, IF( AND( OFFSET($A$1, 2844 - 1, 54 - 1) = "1", OFFSET($A$1, 2844 - 1, 55 - 1) = "0" ), 2, IF( AND( OFFSET($A$1, 2844 - 1, 54 - 1) = "0", OFFSET($A$1, 2844 - 1, 55 - 1) = "1" ), 3, 4 ) ) )</f>
        <v>3</v>
      </c>
    </row>
    <row r="2845" spans="53:56" x14ac:dyDescent="0.35">
      <c r="BA2845" s="3">
        <v>0.28811615858630713</v>
      </c>
      <c r="BB2845" s="3" t="str">
        <f>"0"</f>
        <v>0</v>
      </c>
      <c r="BC2845" t="str">
        <f ca="1">IF((OFFSET($A$1, 2845 - 1, 53 - 1)) &gt;= (OFFSET($A$1, 69 - 1, 7 - 1)), "1","0")</f>
        <v>0</v>
      </c>
      <c r="BD2845">
        <f ca="1" xml:space="preserve"> IF( AND( OFFSET($A$1, 2845 - 1, 54 - 1) = "1", OFFSET($A$1, 2845 - 1, 55 - 1) = "1" ), 1, IF( AND( OFFSET($A$1, 2845 - 1, 54 - 1) = "1", OFFSET($A$1, 2845 - 1, 55 - 1) = "0" ), 2, IF( AND( OFFSET($A$1, 2845 - 1, 54 - 1) = "0", OFFSET($A$1, 2845 - 1, 55 - 1) = "1" ), 3, 4 ) ) )</f>
        <v>4</v>
      </c>
    </row>
    <row r="2846" spans="53:56" x14ac:dyDescent="0.35">
      <c r="BA2846" s="3">
        <v>0.28695477999629904</v>
      </c>
      <c r="BB2846" s="3" t="str">
        <f>"0"</f>
        <v>0</v>
      </c>
      <c r="BC2846" t="str">
        <f ca="1">IF((OFFSET($A$1, 2846 - 1, 53 - 1)) &gt;= (OFFSET($A$1, 69 - 1, 7 - 1)), "1","0")</f>
        <v>0</v>
      </c>
      <c r="BD2846">
        <f ca="1" xml:space="preserve"> IF( AND( OFFSET($A$1, 2846 - 1, 54 - 1) = "1", OFFSET($A$1, 2846 - 1, 55 - 1) = "1" ), 1, IF( AND( OFFSET($A$1, 2846 - 1, 54 - 1) = "1", OFFSET($A$1, 2846 - 1, 55 - 1) = "0" ), 2, IF( AND( OFFSET($A$1, 2846 - 1, 54 - 1) = "0", OFFSET($A$1, 2846 - 1, 55 - 1) = "1" ), 3, 4 ) ) )</f>
        <v>4</v>
      </c>
    </row>
    <row r="2847" spans="53:56" x14ac:dyDescent="0.35">
      <c r="BA2847" s="3">
        <v>0.28578771432674127</v>
      </c>
      <c r="BB2847" s="3" t="str">
        <f>"1"</f>
        <v>1</v>
      </c>
      <c r="BC2847" t="str">
        <f ca="1">IF((OFFSET($A$1, 2847 - 1, 53 - 1)) &gt;= (OFFSET($A$1, 69 - 1, 7 - 1)), "1","0")</f>
        <v>0</v>
      </c>
      <c r="BD2847">
        <f ca="1" xml:space="preserve"> IF( AND( OFFSET($A$1, 2847 - 1, 54 - 1) = "1", OFFSET($A$1, 2847 - 1, 55 - 1) = "1" ), 1, IF( AND( OFFSET($A$1, 2847 - 1, 54 - 1) = "1", OFFSET($A$1, 2847 - 1, 55 - 1) = "0" ), 2, IF( AND( OFFSET($A$1, 2847 - 1, 54 - 1) = "0", OFFSET($A$1, 2847 - 1, 55 - 1) = "1" ), 3, 4 ) ) )</f>
        <v>2</v>
      </c>
    </row>
    <row r="2848" spans="53:56" x14ac:dyDescent="0.35">
      <c r="BA2848" s="3">
        <v>0.5539527516816487</v>
      </c>
      <c r="BB2848" s="3" t="str">
        <f>"0"</f>
        <v>0</v>
      </c>
      <c r="BC2848" t="str">
        <f ca="1">IF((OFFSET($A$1, 2848 - 1, 53 - 1)) &gt;= (OFFSET($A$1, 69 - 1, 7 - 1)), "1","0")</f>
        <v>1</v>
      </c>
      <c r="BD2848">
        <f ca="1" xml:space="preserve"> IF( AND( OFFSET($A$1, 2848 - 1, 54 - 1) = "1", OFFSET($A$1, 2848 - 1, 55 - 1) = "1" ), 1, IF( AND( OFFSET($A$1, 2848 - 1, 54 - 1) = "1", OFFSET($A$1, 2848 - 1, 55 - 1) = "0" ), 2, IF( AND( OFFSET($A$1, 2848 - 1, 54 - 1) = "0", OFFSET($A$1, 2848 - 1, 55 - 1) = "1" ), 3, 4 ) ) )</f>
        <v>3</v>
      </c>
    </row>
    <row r="2849" spans="53:56" x14ac:dyDescent="0.35">
      <c r="BA2849" s="3">
        <v>0.2834381810158364</v>
      </c>
      <c r="BB2849" s="3" t="str">
        <f>"0"</f>
        <v>0</v>
      </c>
      <c r="BC2849" t="str">
        <f ca="1">IF((OFFSET($A$1, 2849 - 1, 53 - 1)) &gt;= (OFFSET($A$1, 69 - 1, 7 - 1)), "1","0")</f>
        <v>0</v>
      </c>
      <c r="BD2849">
        <f ca="1" xml:space="preserve"> IF( AND( OFFSET($A$1, 2849 - 1, 54 - 1) = "1", OFFSET($A$1, 2849 - 1, 55 - 1) = "1" ), 1, IF( AND( OFFSET($A$1, 2849 - 1, 54 - 1) = "1", OFFSET($A$1, 2849 - 1, 55 - 1) = "0" ), 2, IF( AND( OFFSET($A$1, 2849 - 1, 54 - 1) = "0", OFFSET($A$1, 2849 - 1, 55 - 1) = "1" ), 3, 4 ) ) )</f>
        <v>4</v>
      </c>
    </row>
    <row r="2850" spans="53:56" x14ac:dyDescent="0.35">
      <c r="BA2850" s="3">
        <v>0.28225654191970007</v>
      </c>
      <c r="BB2850" s="3" t="str">
        <f>"0"</f>
        <v>0</v>
      </c>
      <c r="BC2850" t="str">
        <f ca="1">IF((OFFSET($A$1, 2850 - 1, 53 - 1)) &gt;= (OFFSET($A$1, 69 - 1, 7 - 1)), "1","0")</f>
        <v>0</v>
      </c>
      <c r="BD2850">
        <f ca="1" xml:space="preserve"> IF( AND( OFFSET($A$1, 2850 - 1, 54 - 1) = "1", OFFSET($A$1, 2850 - 1, 55 - 1) = "1" ), 1, IF( AND( OFFSET($A$1, 2850 - 1, 54 - 1) = "1", OFFSET($A$1, 2850 - 1, 55 - 1) = "0" ), 2, IF( AND( OFFSET($A$1, 2850 - 1, 54 - 1) = "0", OFFSET($A$1, 2850 - 1, 55 - 1) = "1" ), 3, 4 ) ) )</f>
        <v>4</v>
      </c>
    </row>
    <row r="2851" spans="53:56" x14ac:dyDescent="0.35">
      <c r="BA2851" s="3">
        <v>0.28107087239906559</v>
      </c>
      <c r="BB2851" s="3" t="str">
        <f>"0"</f>
        <v>0</v>
      </c>
      <c r="BC2851" t="str">
        <f ca="1">IF((OFFSET($A$1, 2851 - 1, 53 - 1)) &gt;= (OFFSET($A$1, 69 - 1, 7 - 1)), "1","0")</f>
        <v>0</v>
      </c>
      <c r="BD2851">
        <f ca="1" xml:space="preserve"> IF( AND( OFFSET($A$1, 2851 - 1, 54 - 1) = "1", OFFSET($A$1, 2851 - 1, 55 - 1) = "1" ), 1, IF( AND( OFFSET($A$1, 2851 - 1, 54 - 1) = "1", OFFSET($A$1, 2851 - 1, 55 - 1) = "0" ), 2, IF( AND( OFFSET($A$1, 2851 - 1, 54 - 1) = "0", OFFSET($A$1, 2851 - 1, 55 - 1) = "1" ), 3, 4 ) ) )</f>
        <v>4</v>
      </c>
    </row>
    <row r="2852" spans="53:56" x14ac:dyDescent="0.35">
      <c r="BA2852" s="3">
        <v>0.27988158466281882</v>
      </c>
      <c r="BB2852" s="3" t="str">
        <f>"0"</f>
        <v>0</v>
      </c>
      <c r="BC2852" t="str">
        <f ca="1">IF((OFFSET($A$1, 2852 - 1, 53 - 1)) &gt;= (OFFSET($A$1, 69 - 1, 7 - 1)), "1","0")</f>
        <v>0</v>
      </c>
      <c r="BD2852">
        <f ca="1" xml:space="preserve"> IF( AND( OFFSET($A$1, 2852 - 1, 54 - 1) = "1", OFFSET($A$1, 2852 - 1, 55 - 1) = "1" ), 1, IF( AND( OFFSET($A$1, 2852 - 1, 54 - 1) = "1", OFFSET($A$1, 2852 - 1, 55 - 1) = "0" ), 2, IF( AND( OFFSET($A$1, 2852 - 1, 54 - 1) = "0", OFFSET($A$1, 2852 - 1, 55 - 1) = "1" ), 3, 4 ) ) )</f>
        <v>4</v>
      </c>
    </row>
    <row r="2853" spans="53:56" x14ac:dyDescent="0.35">
      <c r="BA2853" s="3">
        <v>0.27868908971106648</v>
      </c>
      <c r="BB2853" s="3" t="str">
        <f>"1"</f>
        <v>1</v>
      </c>
      <c r="BC2853" t="str">
        <f ca="1">IF((OFFSET($A$1, 2853 - 1, 53 - 1)) &gt;= (OFFSET($A$1, 69 - 1, 7 - 1)), "1","0")</f>
        <v>0</v>
      </c>
      <c r="BD2853">
        <f ca="1" xml:space="preserve"> IF( AND( OFFSET($A$1, 2853 - 1, 54 - 1) = "1", OFFSET($A$1, 2853 - 1, 55 - 1) = "1" ), 1, IF( AND( OFFSET($A$1, 2853 - 1, 54 - 1) = "1", OFFSET($A$1, 2853 - 1, 55 - 1) = "0" ), 2, IF( AND( OFFSET($A$1, 2853 - 1, 54 - 1) = "0", OFFSET($A$1, 2853 - 1, 55 - 1) = "1" ), 3, 4 ) ) )</f>
        <v>2</v>
      </c>
    </row>
    <row r="2854" spans="53:56" x14ac:dyDescent="0.35">
      <c r="BA2854" s="3">
        <v>0.54522821004344091</v>
      </c>
      <c r="BB2854" s="3" t="str">
        <f>"0"</f>
        <v>0</v>
      </c>
      <c r="BC2854" t="str">
        <f ca="1">IF((OFFSET($A$1, 2854 - 1, 53 - 1)) &gt;= (OFFSET($A$1, 69 - 1, 7 - 1)), "1","0")</f>
        <v>1</v>
      </c>
      <c r="BD2854">
        <f ca="1" xml:space="preserve"> IF( AND( OFFSET($A$1, 2854 - 1, 54 - 1) = "1", OFFSET($A$1, 2854 - 1, 55 - 1) = "1" ), 1, IF( AND( OFFSET($A$1, 2854 - 1, 54 - 1) = "1", OFFSET($A$1, 2854 - 1, 55 - 1) = "0" ), 2, IF( AND( OFFSET($A$1, 2854 - 1, 54 - 1) = "0", OFFSET($A$1, 2854 - 1, 55 - 1) = "1" ), 3, 4 ) ) )</f>
        <v>3</v>
      </c>
    </row>
    <row r="2855" spans="53:56" x14ac:dyDescent="0.35">
      <c r="BA2855" s="3">
        <v>0.27629611486931316</v>
      </c>
      <c r="BB2855" s="3" t="str">
        <f>"0"</f>
        <v>0</v>
      </c>
      <c r="BC2855" t="str">
        <f ca="1">IF((OFFSET($A$1, 2855 - 1, 53 - 1)) &gt;= (OFFSET($A$1, 69 - 1, 7 - 1)), "1","0")</f>
        <v>0</v>
      </c>
      <c r="BD2855">
        <f ca="1" xml:space="preserve"> IF( AND( OFFSET($A$1, 2855 - 1, 54 - 1) = "1", OFFSET($A$1, 2855 - 1, 55 - 1) = "1" ), 1, IF( AND( OFFSET($A$1, 2855 - 1, 54 - 1) = "1", OFFSET($A$1, 2855 - 1, 55 - 1) = "0" ), 2, IF( AND( OFFSET($A$1, 2855 - 1, 54 - 1) = "0", OFFSET($A$1, 2855 - 1, 55 - 1) = "1" ), 3, 4 ) ) )</f>
        <v>4</v>
      </c>
    </row>
    <row r="2856" spans="53:56" x14ac:dyDescent="0.35">
      <c r="BA2856" s="3">
        <v>0.27509644907447978</v>
      </c>
      <c r="BB2856" s="3" t="str">
        <f>"1"</f>
        <v>1</v>
      </c>
      <c r="BC2856" t="str">
        <f ca="1">IF((OFFSET($A$1, 2856 - 1, 53 - 1)) &gt;= (OFFSET($A$1, 69 - 1, 7 - 1)), "1","0")</f>
        <v>0</v>
      </c>
      <c r="BD2856">
        <f ca="1" xml:space="preserve"> IF( AND( OFFSET($A$1, 2856 - 1, 54 - 1) = "1", OFFSET($A$1, 2856 - 1, 55 - 1) = "1" ), 1, IF( AND( OFFSET($A$1, 2856 - 1, 54 - 1) = "1", OFFSET($A$1, 2856 - 1, 55 - 1) = "0" ), 2, IF( AND( OFFSET($A$1, 2856 - 1, 54 - 1) = "0", OFFSET($A$1, 2856 - 1, 55 - 1) = "1" ), 3, 4 ) ) )</f>
        <v>2</v>
      </c>
    </row>
    <row r="2857" spans="53:56" x14ac:dyDescent="0.35">
      <c r="BA2857" s="3">
        <v>0.54075621010405794</v>
      </c>
      <c r="BB2857" s="3" t="str">
        <f>"0"</f>
        <v>0</v>
      </c>
      <c r="BC2857" t="str">
        <f ca="1">IF((OFFSET($A$1, 2857 - 1, 53 - 1)) &gt;= (OFFSET($A$1, 69 - 1, 7 - 1)), "1","0")</f>
        <v>1</v>
      </c>
      <c r="BD2857">
        <f ca="1" xml:space="preserve"> IF( AND( OFFSET($A$1, 2857 - 1, 54 - 1) = "1", OFFSET($A$1, 2857 - 1, 55 - 1) = "1" ), 1, IF( AND( OFFSET($A$1, 2857 - 1, 54 - 1) = "1", OFFSET($A$1, 2857 - 1, 55 - 1) = "0" ), 2, IF( AND( OFFSET($A$1, 2857 - 1, 54 - 1) = "0", OFFSET($A$1, 2857 - 1, 55 - 1) = "1" ), 3, 4 ) ) )</f>
        <v>3</v>
      </c>
    </row>
    <row r="2858" spans="53:56" x14ac:dyDescent="0.35">
      <c r="BA2858" s="3">
        <v>0.27269278110186029</v>
      </c>
      <c r="BB2858" s="3" t="str">
        <f>"0"</f>
        <v>0</v>
      </c>
      <c r="BC2858" t="str">
        <f ca="1">IF((OFFSET($A$1, 2858 - 1, 53 - 1)) &gt;= (OFFSET($A$1, 69 - 1, 7 - 1)), "1","0")</f>
        <v>0</v>
      </c>
      <c r="BD2858">
        <f ca="1" xml:space="preserve"> IF( AND( OFFSET($A$1, 2858 - 1, 54 - 1) = "1", OFFSET($A$1, 2858 - 1, 55 - 1) = "1" ), 1, IF( AND( OFFSET($A$1, 2858 - 1, 54 - 1) = "1", OFFSET($A$1, 2858 - 1, 55 - 1) = "0" ), 2, IF( AND( OFFSET($A$1, 2858 - 1, 54 - 1) = "0", OFFSET($A$1, 2858 - 1, 55 - 1) = "1" ), 3, 4 ) ) )</f>
        <v>4</v>
      </c>
    </row>
    <row r="2859" spans="53:56" x14ac:dyDescent="0.35">
      <c r="BA2859" s="3">
        <v>0.2714895803036399</v>
      </c>
      <c r="BB2859" s="3" t="str">
        <f>"0"</f>
        <v>0</v>
      </c>
      <c r="BC2859" t="str">
        <f ca="1">IF((OFFSET($A$1, 2859 - 1, 53 - 1)) &gt;= (OFFSET($A$1, 69 - 1, 7 - 1)), "1","0")</f>
        <v>0</v>
      </c>
      <c r="BD2859">
        <f ca="1" xml:space="preserve"> IF( AND( OFFSET($A$1, 2859 - 1, 54 - 1) = "1", OFFSET($A$1, 2859 - 1, 55 - 1) = "1" ), 1, IF( AND( OFFSET($A$1, 2859 - 1, 54 - 1) = "1", OFFSET($A$1, 2859 - 1, 55 - 1) = "0" ), 2, IF( AND( OFFSET($A$1, 2859 - 1, 54 - 1) = "0", OFFSET($A$1, 2859 - 1, 55 - 1) = "1" ), 3, 4 ) ) )</f>
        <v>4</v>
      </c>
    </row>
    <row r="2860" spans="53:56" x14ac:dyDescent="0.35">
      <c r="BA2860" s="3">
        <v>0.27028599834999889</v>
      </c>
      <c r="BB2860" s="3" t="str">
        <f>"0"</f>
        <v>0</v>
      </c>
      <c r="BC2860" t="str">
        <f ca="1">IF((OFFSET($A$1, 2860 - 1, 53 - 1)) &gt;= (OFFSET($A$1, 69 - 1, 7 - 1)), "1","0")</f>
        <v>0</v>
      </c>
      <c r="BD2860">
        <f ca="1" xml:space="preserve"> IF( AND( OFFSET($A$1, 2860 - 1, 54 - 1) = "1", OFFSET($A$1, 2860 - 1, 55 - 1) = "1" ), 1, IF( AND( OFFSET($A$1, 2860 - 1, 54 - 1) = "1", OFFSET($A$1, 2860 - 1, 55 - 1) = "0" ), 2, IF( AND( OFFSET($A$1, 2860 - 1, 54 - 1) = "0", OFFSET($A$1, 2860 - 1, 55 - 1) = "1" ), 3, 4 ) ) )</f>
        <v>4</v>
      </c>
    </row>
    <row r="2861" spans="53:56" x14ac:dyDescent="0.35">
      <c r="BA2861" s="3">
        <v>0.2690824293548077</v>
      </c>
      <c r="BB2861" s="3" t="str">
        <f>"0"</f>
        <v>0</v>
      </c>
      <c r="BC2861" t="str">
        <f ca="1">IF((OFFSET($A$1, 2861 - 1, 53 - 1)) &gt;= (OFFSET($A$1, 69 - 1, 7 - 1)), "1","0")</f>
        <v>0</v>
      </c>
      <c r="BD2861">
        <f ca="1" xml:space="preserve"> IF( AND( OFFSET($A$1, 2861 - 1, 54 - 1) = "1", OFFSET($A$1, 2861 - 1, 55 - 1) = "1" ), 1, IF( AND( OFFSET($A$1, 2861 - 1, 54 - 1) = "1", OFFSET($A$1, 2861 - 1, 55 - 1) = "0" ), 2, IF( AND( OFFSET($A$1, 2861 - 1, 54 - 1) = "0", OFFSET($A$1, 2861 - 1, 55 - 1) = "1" ), 3, 4 ) ) )</f>
        <v>4</v>
      </c>
    </row>
    <row r="2862" spans="53:56" x14ac:dyDescent="0.35">
      <c r="BA2862" s="3">
        <v>0.26787926447780452</v>
      </c>
      <c r="BB2862" s="3" t="str">
        <f>"0"</f>
        <v>0</v>
      </c>
      <c r="BC2862" t="str">
        <f ca="1">IF((OFFSET($A$1, 2862 - 1, 53 - 1)) &gt;= (OFFSET($A$1, 69 - 1, 7 - 1)), "1","0")</f>
        <v>0</v>
      </c>
      <c r="BD2862">
        <f ca="1" xml:space="preserve"> IF( AND( OFFSET($A$1, 2862 - 1, 54 - 1) = "1", OFFSET($A$1, 2862 - 1, 55 - 1) = "1" ), 1, IF( AND( OFFSET($A$1, 2862 - 1, 54 - 1) = "1", OFFSET($A$1, 2862 - 1, 55 - 1) = "0" ), 2, IF( AND( OFFSET($A$1, 2862 - 1, 54 - 1) = "0", OFFSET($A$1, 2862 - 1, 55 - 1) = "1" ), 3, 4 ) ) )</f>
        <v>4</v>
      </c>
    </row>
    <row r="2863" spans="53:56" x14ac:dyDescent="0.35">
      <c r="BA2863" s="3">
        <v>0.26667689175206977</v>
      </c>
      <c r="BB2863" s="3" t="str">
        <f>"1"</f>
        <v>1</v>
      </c>
      <c r="BC2863" t="str">
        <f ca="1">IF((OFFSET($A$1, 2863 - 1, 53 - 1)) &gt;= (OFFSET($A$1, 69 - 1, 7 - 1)), "1","0")</f>
        <v>0</v>
      </c>
      <c r="BD2863">
        <f ca="1" xml:space="preserve"> IF( AND( OFFSET($A$1, 2863 - 1, 54 - 1) = "1", OFFSET($A$1, 2863 - 1, 55 - 1) = "1" ), 1, IF( AND( OFFSET($A$1, 2863 - 1, 54 - 1) = "1", OFFSET($A$1, 2863 - 1, 55 - 1) = "0" ), 2, IF( AND( OFFSET($A$1, 2863 - 1, 54 - 1) = "0", OFFSET($A$1, 2863 - 1, 55 - 1) = "1" ), 3, 4 ) ) )</f>
        <v>2</v>
      </c>
    </row>
    <row r="2864" spans="53:56" x14ac:dyDescent="0.35">
      <c r="BA2864" s="3">
        <v>0.53012256359421761</v>
      </c>
      <c r="BB2864" s="3" t="str">
        <f>"0"</f>
        <v>0</v>
      </c>
      <c r="BC2864" t="str">
        <f ca="1">IF((OFFSET($A$1, 2864 - 1, 53 - 1)) &gt;= (OFFSET($A$1, 69 - 1, 7 - 1)), "1","0")</f>
        <v>1</v>
      </c>
      <c r="BD2864">
        <f ca="1" xml:space="preserve"> IF( AND( OFFSET($A$1, 2864 - 1, 54 - 1) = "1", OFFSET($A$1, 2864 - 1, 55 - 1) = "1" ), 1, IF( AND( OFFSET($A$1, 2864 - 1, 54 - 1) = "1", OFFSET($A$1, 2864 - 1, 55 - 1) = "0" ), 2, IF( AND( OFFSET($A$1, 2864 - 1, 54 - 1) = "0", OFFSET($A$1, 2864 - 1, 55 - 1) = "1" ), 3, 4 ) ) )</f>
        <v>3</v>
      </c>
    </row>
    <row r="2865" spans="53:56" x14ac:dyDescent="0.35">
      <c r="BA2865" s="3">
        <v>0.26427605825319128</v>
      </c>
      <c r="BB2865" s="3" t="str">
        <f>"1"</f>
        <v>1</v>
      </c>
      <c r="BC2865" t="str">
        <f ca="1">IF((OFFSET($A$1, 2865 - 1, 53 - 1)) &gt;= (OFFSET($A$1, 69 - 1, 7 - 1)), "1","0")</f>
        <v>0</v>
      </c>
      <c r="BD2865">
        <f ca="1" xml:space="preserve"> IF( AND( OFFSET($A$1, 2865 - 1, 54 - 1) = "1", OFFSET($A$1, 2865 - 1, 55 - 1) = "1" ), 1, IF( AND( OFFSET($A$1, 2865 - 1, 54 - 1) = "1", OFFSET($A$1, 2865 - 1, 55 - 1) = "0" ), 2, IF( AND( OFFSET($A$1, 2865 - 1, 54 - 1) = "0", OFFSET($A$1, 2865 - 1, 55 - 1) = "1" ), 3, 4 ) ) )</f>
        <v>2</v>
      </c>
    </row>
    <row r="2866" spans="53:56" x14ac:dyDescent="0.35">
      <c r="BA2866" s="3">
        <v>0.52705018444918128</v>
      </c>
      <c r="BB2866" s="3" t="str">
        <f>"1"</f>
        <v>1</v>
      </c>
      <c r="BC2866" t="str">
        <f ca="1">IF((OFFSET($A$1, 2866 - 1, 53 - 1)) &gt;= (OFFSET($A$1, 69 - 1, 7 - 1)), "1","0")</f>
        <v>1</v>
      </c>
      <c r="BD2866">
        <f ca="1" xml:space="preserve"> IF( AND( OFFSET($A$1, 2866 - 1, 54 - 1) = "1", OFFSET($A$1, 2866 - 1, 55 - 1) = "1" ), 1, IF( AND( OFFSET($A$1, 2866 - 1, 54 - 1) = "1", OFFSET($A$1, 2866 - 1, 55 - 1) = "0" ), 2, IF( AND( OFFSET($A$1, 2866 - 1, 54 - 1) = "0", OFFSET($A$1, 2866 - 1, 55 - 1) = "1" ), 3, 4 ) ) )</f>
        <v>1</v>
      </c>
    </row>
    <row r="2867" spans="53:56" x14ac:dyDescent="0.35">
      <c r="BA2867" s="3">
        <v>0.5255106889345067</v>
      </c>
      <c r="BB2867" s="3" t="str">
        <f>"0"</f>
        <v>0</v>
      </c>
      <c r="BC2867" t="str">
        <f ca="1">IF((OFFSET($A$1, 2867 - 1, 53 - 1)) &gt;= (OFFSET($A$1, 69 - 1, 7 - 1)), "1","0")</f>
        <v>1</v>
      </c>
      <c r="BD2867">
        <f ca="1" xml:space="preserve"> IF( AND( OFFSET($A$1, 2867 - 1, 54 - 1) = "1", OFFSET($A$1, 2867 - 1, 55 - 1) = "1" ), 1, IF( AND( OFFSET($A$1, 2867 - 1, 54 - 1) = "1", OFFSET($A$1, 2867 - 1, 55 - 1) = "0" ), 2, IF( AND( OFFSET($A$1, 2867 - 1, 54 - 1) = "0", OFFSET($A$1, 2867 - 1, 55 - 1) = "1" ), 3, 4 ) ) )</f>
        <v>3</v>
      </c>
    </row>
    <row r="2868" spans="53:56" x14ac:dyDescent="0.35">
      <c r="BA2868" s="3">
        <v>0.26069025200767731</v>
      </c>
      <c r="BB2868" s="3" t="str">
        <f>"0"</f>
        <v>0</v>
      </c>
      <c r="BC2868" t="str">
        <f ca="1">IF((OFFSET($A$1, 2868 - 1, 53 - 1)) &gt;= (OFFSET($A$1, 69 - 1, 7 - 1)), "1","0")</f>
        <v>0</v>
      </c>
      <c r="BD2868">
        <f ca="1" xml:space="preserve"> IF( AND( OFFSET($A$1, 2868 - 1, 54 - 1) = "1", OFFSET($A$1, 2868 - 1, 55 - 1) = "1" ), 1, IF( AND( OFFSET($A$1, 2868 - 1, 54 - 1) = "1", OFFSET($A$1, 2868 - 1, 55 - 1) = "0" ), 2, IF( AND( OFFSET($A$1, 2868 - 1, 54 - 1) = "0", OFFSET($A$1, 2868 - 1, 55 - 1) = "1" ), 3, 4 ) ) )</f>
        <v>4</v>
      </c>
    </row>
    <row r="2869" spans="53:56" x14ac:dyDescent="0.35">
      <c r="BA2869" s="3">
        <v>0.25950058533742559</v>
      </c>
      <c r="BB2869" s="3" t="str">
        <f>"0"</f>
        <v>0</v>
      </c>
      <c r="BC2869" t="str">
        <f ca="1">IF((OFFSET($A$1, 2869 - 1, 53 - 1)) &gt;= (OFFSET($A$1, 69 - 1, 7 - 1)), "1","0")</f>
        <v>0</v>
      </c>
      <c r="BD2869">
        <f ca="1" xml:space="preserve"> IF( AND( OFFSET($A$1, 2869 - 1, 54 - 1) = "1", OFFSET($A$1, 2869 - 1, 55 - 1) = "1" ), 1, IF( AND( OFFSET($A$1, 2869 - 1, 54 - 1) = "1", OFFSET($A$1, 2869 - 1, 55 - 1) = "0" ), 2, IF( AND( OFFSET($A$1, 2869 - 1, 54 - 1) = "0", OFFSET($A$1, 2869 - 1, 55 - 1) = "1" ), 3, 4 ) ) )</f>
        <v>4</v>
      </c>
    </row>
    <row r="2870" spans="53:56" x14ac:dyDescent="0.35">
      <c r="BA2870" s="3">
        <v>0.25831432609314137</v>
      </c>
      <c r="BB2870" s="3" t="str">
        <f>"0"</f>
        <v>0</v>
      </c>
      <c r="BC2870" t="str">
        <f ca="1">IF((OFFSET($A$1, 2870 - 1, 53 - 1)) &gt;= (OFFSET($A$1, 69 - 1, 7 - 1)), "1","0")</f>
        <v>0</v>
      </c>
      <c r="BD2870">
        <f ca="1" xml:space="preserve"> IF( AND( OFFSET($A$1, 2870 - 1, 54 - 1) = "1", OFFSET($A$1, 2870 - 1, 55 - 1) = "1" ), 1, IF( AND( OFFSET($A$1, 2870 - 1, 54 - 1) = "1", OFFSET($A$1, 2870 - 1, 55 - 1) = "0" ), 2, IF( AND( OFFSET($A$1, 2870 - 1, 54 - 1) = "0", OFFSET($A$1, 2870 - 1, 55 - 1) = "1" ), 3, 4 ) ) )</f>
        <v>4</v>
      </c>
    </row>
    <row r="2871" spans="53:56" x14ac:dyDescent="0.35">
      <c r="BA2871" s="3">
        <v>0.25713183171127418</v>
      </c>
      <c r="BB2871" s="3" t="str">
        <f>"0"</f>
        <v>0</v>
      </c>
      <c r="BC2871" t="str">
        <f ca="1">IF((OFFSET($A$1, 2871 - 1, 53 - 1)) &gt;= (OFFSET($A$1, 69 - 1, 7 - 1)), "1","0")</f>
        <v>0</v>
      </c>
      <c r="BD2871">
        <f ca="1" xml:space="preserve"> IF( AND( OFFSET($A$1, 2871 - 1, 54 - 1) = "1", OFFSET($A$1, 2871 - 1, 55 - 1) = "1" ), 1, IF( AND( OFFSET($A$1, 2871 - 1, 54 - 1) = "1", OFFSET($A$1, 2871 - 1, 55 - 1) = "0" ), 2, IF( AND( OFFSET($A$1, 2871 - 1, 54 - 1) = "0", OFFSET($A$1, 2871 - 1, 55 - 1) = "1" ), 3, 4 ) ) )</f>
        <v>4</v>
      </c>
    </row>
    <row r="2872" spans="53:56" x14ac:dyDescent="0.35">
      <c r="BA2872" s="3">
        <v>0.25595345518975782</v>
      </c>
      <c r="BB2872" s="3" t="str">
        <f>"0"</f>
        <v>0</v>
      </c>
      <c r="BC2872" t="str">
        <f ca="1">IF((OFFSET($A$1, 2872 - 1, 53 - 1)) &gt;= (OFFSET($A$1, 69 - 1, 7 - 1)), "1","0")</f>
        <v>0</v>
      </c>
      <c r="BD2872">
        <f ca="1" xml:space="preserve"> IF( AND( OFFSET($A$1, 2872 - 1, 54 - 1) = "1", OFFSET($A$1, 2872 - 1, 55 - 1) = "1" ), 1, IF( AND( OFFSET($A$1, 2872 - 1, 54 - 1) = "1", OFFSET($A$1, 2872 - 1, 55 - 1) = "0" ), 2, IF( AND( OFFSET($A$1, 2872 - 1, 54 - 1) = "0", OFFSET($A$1, 2872 - 1, 55 - 1) = "1" ), 3, 4 ) ) )</f>
        <v>4</v>
      </c>
    </row>
    <row r="2873" spans="53:56" x14ac:dyDescent="0.35">
      <c r="BA2873" s="3">
        <v>0.25477954497123489</v>
      </c>
      <c r="BB2873" s="3" t="str">
        <f>"0"</f>
        <v>0</v>
      </c>
      <c r="BC2873" t="str">
        <f ca="1">IF((OFFSET($A$1, 2873 - 1, 53 - 1)) &gt;= (OFFSET($A$1, 69 - 1, 7 - 1)), "1","0")</f>
        <v>0</v>
      </c>
      <c r="BD2873">
        <f ca="1" xml:space="preserve"> IF( AND( OFFSET($A$1, 2873 - 1, 54 - 1) = "1", OFFSET($A$1, 2873 - 1, 55 - 1) = "1" ), 1, IF( AND( OFFSET($A$1, 2873 - 1, 54 - 1) = "1", OFFSET($A$1, 2873 - 1, 55 - 1) = "0" ), 2, IF( AND( OFFSET($A$1, 2873 - 1, 54 - 1) = "0", OFFSET($A$1, 2873 - 1, 55 - 1) = "1" ), 3, 4 ) ) )</f>
        <v>4</v>
      </c>
    </row>
    <row r="2874" spans="53:56" x14ac:dyDescent="0.35">
      <c r="BA2874" s="3">
        <v>0.25361044483240863</v>
      </c>
      <c r="BB2874" s="3" t="str">
        <f>"0"</f>
        <v>0</v>
      </c>
      <c r="BC2874" t="str">
        <f ca="1">IF((OFFSET($A$1, 2874 - 1, 53 - 1)) &gt;= (OFFSET($A$1, 69 - 1, 7 - 1)), "1","0")</f>
        <v>0</v>
      </c>
      <c r="BD2874">
        <f ca="1" xml:space="preserve"> IF( AND( OFFSET($A$1, 2874 - 1, 54 - 1) = "1", OFFSET($A$1, 2874 - 1, 55 - 1) = "1" ), 1, IF( AND( OFFSET($A$1, 2874 - 1, 54 - 1) = "1", OFFSET($A$1, 2874 - 1, 55 - 1) = "0" ), 2, IF( AND( OFFSET($A$1, 2874 - 1, 54 - 1) = "0", OFFSET($A$1, 2874 - 1, 55 - 1) = "1" ), 3, 4 ) ) )</f>
        <v>4</v>
      </c>
    </row>
    <row r="2875" spans="53:56" x14ac:dyDescent="0.35">
      <c r="BA2875" s="3">
        <v>0.25244649377956824</v>
      </c>
      <c r="BB2875" s="3" t="str">
        <f>"0"</f>
        <v>0</v>
      </c>
      <c r="BC2875" t="str">
        <f ca="1">IF((OFFSET($A$1, 2875 - 1, 53 - 1)) &gt;= (OFFSET($A$1, 69 - 1, 7 - 1)), "1","0")</f>
        <v>0</v>
      </c>
      <c r="BD2875">
        <f ca="1" xml:space="preserve"> IF( AND( OFFSET($A$1, 2875 - 1, 54 - 1) = "1", OFFSET($A$1, 2875 - 1, 55 - 1) = "1" ), 1, IF( AND( OFFSET($A$1, 2875 - 1, 54 - 1) = "1", OFFSET($A$1, 2875 - 1, 55 - 1) = "0" ), 2, IF( AND( OFFSET($A$1, 2875 - 1, 54 - 1) = "0", OFFSET($A$1, 2875 - 1, 55 - 1) = "1" ), 3, 4 ) ) )</f>
        <v>4</v>
      </c>
    </row>
    <row r="2876" spans="53:56" x14ac:dyDescent="0.35">
      <c r="BA2876" s="3">
        <v>0.25128802595033689</v>
      </c>
      <c r="BB2876" s="3" t="str">
        <f>"0"</f>
        <v>0</v>
      </c>
      <c r="BC2876" t="str">
        <f ca="1">IF((OFFSET($A$1, 2876 - 1, 53 - 1)) &gt;= (OFFSET($A$1, 69 - 1, 7 - 1)), "1","0")</f>
        <v>0</v>
      </c>
      <c r="BD2876">
        <f ca="1" xml:space="preserve"> IF( AND( OFFSET($A$1, 2876 - 1, 54 - 1) = "1", OFFSET($A$1, 2876 - 1, 55 - 1) = "1" ), 1, IF( AND( OFFSET($A$1, 2876 - 1, 54 - 1) = "1", OFFSET($A$1, 2876 - 1, 55 - 1) = "0" ), 2, IF( AND( OFFSET($A$1, 2876 - 1, 54 - 1) = "0", OFFSET($A$1, 2876 - 1, 55 - 1) = "1" ), 3, 4 ) ) )</f>
        <v>4</v>
      </c>
    </row>
    <row r="2877" spans="53:56" x14ac:dyDescent="0.35">
      <c r="BA2877" s="3">
        <v>0.25013537052167423</v>
      </c>
      <c r="BB2877" s="3" t="str">
        <f>"0"</f>
        <v>0</v>
      </c>
      <c r="BC2877" t="str">
        <f ca="1">IF((OFFSET($A$1, 2877 - 1, 53 - 1)) &gt;= (OFFSET($A$1, 69 - 1, 7 - 1)), "1","0")</f>
        <v>0</v>
      </c>
      <c r="BD2877">
        <f ca="1" xml:space="preserve"> IF( AND( OFFSET($A$1, 2877 - 1, 54 - 1) = "1", OFFSET($A$1, 2877 - 1, 55 - 1) = "1" ), 1, IF( AND( OFFSET($A$1, 2877 - 1, 54 - 1) = "1", OFFSET($A$1, 2877 - 1, 55 - 1) = "0" ), 2, IF( AND( OFFSET($A$1, 2877 - 1, 54 - 1) = "0", OFFSET($A$1, 2877 - 1, 55 - 1) = "1" ), 3, 4 ) ) )</f>
        <v>4</v>
      </c>
    </row>
    <row r="2878" spans="53:56" x14ac:dyDescent="0.35">
      <c r="BA2878" s="3">
        <v>0.24898885162414996</v>
      </c>
      <c r="BB2878" s="3" t="str">
        <f>"0"</f>
        <v>0</v>
      </c>
      <c r="BC2878" t="str">
        <f ca="1">IF((OFFSET($A$1, 2878 - 1, 53 - 1)) &gt;= (OFFSET($A$1, 69 - 1, 7 - 1)), "1","0")</f>
        <v>0</v>
      </c>
      <c r="BD2878">
        <f ca="1" xml:space="preserve"> IF( AND( OFFSET($A$1, 2878 - 1, 54 - 1) = "1", OFFSET($A$1, 2878 - 1, 55 - 1) = "1" ), 1, IF( AND( OFFSET($A$1, 2878 - 1, 54 - 1) = "1", OFFSET($A$1, 2878 - 1, 55 - 1) = "0" ), 2, IF( AND( OFFSET($A$1, 2878 - 1, 54 - 1) = "0", OFFSET($A$1, 2878 - 1, 55 - 1) = "1" ), 3, 4 ) ) )</f>
        <v>4</v>
      </c>
    </row>
    <row r="2879" spans="53:56" x14ac:dyDescent="0.35">
      <c r="BA2879" s="3">
        <v>0.2478487882625062</v>
      </c>
      <c r="BB2879" s="3" t="str">
        <f>"1"</f>
        <v>1</v>
      </c>
      <c r="BC2879" t="str">
        <f ca="1">IF((OFFSET($A$1, 2879 - 1, 53 - 1)) &gt;= (OFFSET($A$1, 69 - 1, 7 - 1)), "1","0")</f>
        <v>0</v>
      </c>
      <c r="BD2879">
        <f ca="1" xml:space="preserve"> IF( AND( OFFSET($A$1, 2879 - 1, 54 - 1) = "1", OFFSET($A$1, 2879 - 1, 55 - 1) = "1" ), 1, IF( AND( OFFSET($A$1, 2879 - 1, 54 - 1) = "1", OFFSET($A$1, 2879 - 1, 55 - 1) = "0" ), 2, IF( AND( OFFSET($A$1, 2879 - 1, 54 - 1) = "0", OFFSET($A$1, 2879 - 1, 55 - 1) = "1" ), 3, 4 ) ) )</f>
        <v>2</v>
      </c>
    </row>
    <row r="2880" spans="53:56" x14ac:dyDescent="0.35">
      <c r="BA2880" s="3">
        <v>0.50553201797679781</v>
      </c>
      <c r="BB2880" s="3" t="str">
        <f>"1"</f>
        <v>1</v>
      </c>
      <c r="BC2880" t="str">
        <f ca="1">IF((OFFSET($A$1, 2880 - 1, 53 - 1)) &gt;= (OFFSET($A$1, 69 - 1, 7 - 1)), "1","0")</f>
        <v>1</v>
      </c>
      <c r="BD2880">
        <f ca="1" xml:space="preserve"> IF( AND( OFFSET($A$1, 2880 - 1, 54 - 1) = "1", OFFSET($A$1, 2880 - 1, 55 - 1) = "1" ), 1, IF( AND( OFFSET($A$1, 2880 - 1, 54 - 1) = "1", OFFSET($A$1, 2880 - 1, 55 - 1) = "0" ), 2, IF( AND( OFFSET($A$1, 2880 - 1, 54 - 1) = "0", OFFSET($A$1, 2880 - 1, 55 - 1) = "1" ), 3, 4 ) ) )</f>
        <v>1</v>
      </c>
    </row>
    <row r="2881" spans="53:56" x14ac:dyDescent="0.35">
      <c r="BA2881" s="3">
        <v>0.50401484599590562</v>
      </c>
      <c r="BB2881" s="3" t="str">
        <f>"0"</f>
        <v>0</v>
      </c>
      <c r="BC2881" t="str">
        <f ca="1">IF((OFFSET($A$1, 2881 - 1, 53 - 1)) &gt;= (OFFSET($A$1, 69 - 1, 7 - 1)), "1","0")</f>
        <v>1</v>
      </c>
      <c r="BD2881">
        <f ca="1" xml:space="preserve"> IF( AND( OFFSET($A$1, 2881 - 1, 54 - 1) = "1", OFFSET($A$1, 2881 - 1, 55 - 1) = "1" ), 1, IF( AND( OFFSET($A$1, 2881 - 1, 54 - 1) = "1", OFFSET($A$1, 2881 - 1, 55 - 1) = "0" ), 2, IF( AND( OFFSET($A$1, 2881 - 1, 54 - 1) = "0", OFFSET($A$1, 2881 - 1, 55 - 1) = "1" ), 3, 4 ) ) )</f>
        <v>3</v>
      </c>
    </row>
    <row r="2882" spans="53:56" x14ac:dyDescent="0.35">
      <c r="BA2882" s="3">
        <v>0.24447044306037236</v>
      </c>
      <c r="BB2882" s="3" t="str">
        <f>"1"</f>
        <v>1</v>
      </c>
      <c r="BC2882" t="str">
        <f ca="1">IF((OFFSET($A$1, 2882 - 1, 53 - 1)) &gt;= (OFFSET($A$1, 69 - 1, 7 - 1)), "1","0")</f>
        <v>0</v>
      </c>
      <c r="BD2882">
        <f ca="1" xml:space="preserve"> IF( AND( OFFSET($A$1, 2882 - 1, 54 - 1) = "1", OFFSET($A$1, 2882 - 1, 55 - 1) = "1" ), 1, IF( AND( OFFSET($A$1, 2882 - 1, 54 - 1) = "1", OFFSET($A$1, 2882 - 1, 55 - 1) = "0" ), 2, IF( AND( OFFSET($A$1, 2882 - 1, 54 - 1) = "0", OFFSET($A$1, 2882 - 1, 55 - 1) = "1" ), 3, 4 ) ) )</f>
        <v>2</v>
      </c>
    </row>
    <row r="2883" spans="53:56" x14ac:dyDescent="0.35">
      <c r="BA2883" s="3">
        <v>0.50099662633527875</v>
      </c>
      <c r="BB2883" s="3" t="str">
        <f>"1"</f>
        <v>1</v>
      </c>
      <c r="BC2883" t="str">
        <f ca="1">IF((OFFSET($A$1, 2883 - 1, 53 - 1)) &gt;= (OFFSET($A$1, 69 - 1, 7 - 1)), "1","0")</f>
        <v>1</v>
      </c>
      <c r="BD2883">
        <f ca="1" xml:space="preserve"> IF( AND( OFFSET($A$1, 2883 - 1, 54 - 1) = "1", OFFSET($A$1, 2883 - 1, 55 - 1) = "1" ), 1, IF( AND( OFFSET($A$1, 2883 - 1, 54 - 1) = "1", OFFSET($A$1, 2883 - 1, 55 - 1) = "0" ), 2, IF( AND( OFFSET($A$1, 2883 - 1, 54 - 1) = "0", OFFSET($A$1, 2883 - 1, 55 - 1) = "1" ), 3, 4 ) ) )</f>
        <v>1</v>
      </c>
    </row>
    <row r="2884" spans="53:56" x14ac:dyDescent="0.35">
      <c r="BA2884" s="3">
        <v>0.49949652779637543</v>
      </c>
      <c r="BB2884" s="3" t="str">
        <f>"1"</f>
        <v>1</v>
      </c>
      <c r="BC2884" t="str">
        <f ca="1">IF((OFFSET($A$1, 2884 - 1, 53 - 1)) &gt;= (OFFSET($A$1, 69 - 1, 7 - 1)), "1","0")</f>
        <v>0</v>
      </c>
      <c r="BD2884">
        <f ca="1" xml:space="preserve"> IF( AND( OFFSET($A$1, 2884 - 1, 54 - 1) = "1", OFFSET($A$1, 2884 - 1, 55 - 1) = "1" ), 1, IF( AND( OFFSET($A$1, 2884 - 1, 54 - 1) = "1", OFFSET($A$1, 2884 - 1, 55 - 1) = "0" ), 2, IF( AND( OFFSET($A$1, 2884 - 1, 54 - 1) = "0", OFFSET($A$1, 2884 - 1, 55 - 1) = "1" ), 3, 4 ) ) )</f>
        <v>2</v>
      </c>
    </row>
    <row r="2885" spans="53:56" x14ac:dyDescent="0.35">
      <c r="BA2885" s="3">
        <v>0.49800306555434953</v>
      </c>
      <c r="BB2885" s="3" t="str">
        <f>"0"</f>
        <v>0</v>
      </c>
      <c r="BC2885" t="str">
        <f ca="1">IF((OFFSET($A$1, 2885 - 1, 53 - 1)) &gt;= (OFFSET($A$1, 69 - 1, 7 - 1)), "1","0")</f>
        <v>0</v>
      </c>
      <c r="BD2885">
        <f ca="1" xml:space="preserve"> IF( AND( OFFSET($A$1, 2885 - 1, 54 - 1) = "1", OFFSET($A$1, 2885 - 1, 55 - 1) = "1" ), 1, IF( AND( OFFSET($A$1, 2885 - 1, 54 - 1) = "1", OFFSET($A$1, 2885 - 1, 55 - 1) = "0" ), 2, IF( AND( OFFSET($A$1, 2885 - 1, 54 - 1) = "0", OFFSET($A$1, 2885 - 1, 55 - 1) = "1" ), 3, 4 ) ) )</f>
        <v>4</v>
      </c>
    </row>
    <row r="2886" spans="53:56" x14ac:dyDescent="0.35">
      <c r="BA2886" s="3">
        <v>0.24007478879744015</v>
      </c>
      <c r="BB2886" s="3" t="str">
        <f>"0"</f>
        <v>0</v>
      </c>
      <c r="BC2886" t="str">
        <f ca="1">IF((OFFSET($A$1, 2886 - 1, 53 - 1)) &gt;= (OFFSET($A$1, 69 - 1, 7 - 1)), "1","0")</f>
        <v>0</v>
      </c>
      <c r="BD2886">
        <f ca="1" xml:space="preserve"> IF( AND( OFFSET($A$1, 2886 - 1, 54 - 1) = "1", OFFSET($A$1, 2886 - 1, 55 - 1) = "1" ), 1, IF( AND( OFFSET($A$1, 2886 - 1, 54 - 1) = "1", OFFSET($A$1, 2886 - 1, 55 - 1) = "0" ), 2, IF( AND( OFFSET($A$1, 2886 - 1, 54 - 1) = "0", OFFSET($A$1, 2886 - 1, 55 - 1) = "1" ), 3, 4 ) ) )</f>
        <v>4</v>
      </c>
    </row>
    <row r="2887" spans="53:56" x14ac:dyDescent="0.35">
      <c r="BA2887" s="3">
        <v>0.23899721753369735</v>
      </c>
      <c r="BB2887" s="3" t="str">
        <f>"0"</f>
        <v>0</v>
      </c>
      <c r="BC2887" t="str">
        <f ca="1">IF((OFFSET($A$1, 2887 - 1, 53 - 1)) &gt;= (OFFSET($A$1, 69 - 1, 7 - 1)), "1","0")</f>
        <v>0</v>
      </c>
      <c r="BD2887">
        <f ca="1" xml:space="preserve"> IF( AND( OFFSET($A$1, 2887 - 1, 54 - 1) = "1", OFFSET($A$1, 2887 - 1, 55 - 1) = "1" ), 1, IF( AND( OFFSET($A$1, 2887 - 1, 54 - 1) = "1", OFFSET($A$1, 2887 - 1, 55 - 1) = "0" ), 2, IF( AND( OFFSET($A$1, 2887 - 1, 54 - 1) = "0", OFFSET($A$1, 2887 - 1, 55 - 1) = "1" ), 3, 4 ) ) )</f>
        <v>4</v>
      </c>
    </row>
    <row r="2888" spans="53:56" x14ac:dyDescent="0.35">
      <c r="BA2888" s="3">
        <v>0.2379287321680921</v>
      </c>
      <c r="BB2888" s="3" t="str">
        <f>"0"</f>
        <v>0</v>
      </c>
      <c r="BC2888" t="str">
        <f ca="1">IF((OFFSET($A$1, 2888 - 1, 53 - 1)) &gt;= (OFFSET($A$1, 69 - 1, 7 - 1)), "1","0")</f>
        <v>0</v>
      </c>
      <c r="BD2888">
        <f ca="1" xml:space="preserve"> IF( AND( OFFSET($A$1, 2888 - 1, 54 - 1) = "1", OFFSET($A$1, 2888 - 1, 55 - 1) = "1" ), 1, IF( AND( OFFSET($A$1, 2888 - 1, 54 - 1) = "1", OFFSET($A$1, 2888 - 1, 55 - 1) = "0" ), 2, IF( AND( OFFSET($A$1, 2888 - 1, 54 - 1) = "0", OFFSET($A$1, 2888 - 1, 55 - 1) = "1" ), 3, 4 ) ) )</f>
        <v>4</v>
      </c>
    </row>
    <row r="2889" spans="53:56" x14ac:dyDescent="0.35">
      <c r="BA2889" s="3">
        <v>0.23686959744513736</v>
      </c>
      <c r="BB2889" s="3" t="str">
        <f>"0"</f>
        <v>0</v>
      </c>
      <c r="BC2889" t="str">
        <f ca="1">IF((OFFSET($A$1, 2889 - 1, 53 - 1)) &gt;= (OFFSET($A$1, 69 - 1, 7 - 1)), "1","0")</f>
        <v>0</v>
      </c>
      <c r="BD2889">
        <f ca="1" xml:space="preserve"> IF( AND( OFFSET($A$1, 2889 - 1, 54 - 1) = "1", OFFSET($A$1, 2889 - 1, 55 - 1) = "1" ), 1, IF( AND( OFFSET($A$1, 2889 - 1, 54 - 1) = "1", OFFSET($A$1, 2889 - 1, 55 - 1) = "0" ), 2, IF( AND( OFFSET($A$1, 2889 - 1, 54 - 1) = "0", OFFSET($A$1, 2889 - 1, 55 - 1) = "1" ), 3, 4 ) ) )</f>
        <v>4</v>
      </c>
    </row>
    <row r="2890" spans="53:56" x14ac:dyDescent="0.35">
      <c r="BA2890" s="3">
        <v>0.23582007251626141</v>
      </c>
      <c r="BB2890" s="3" t="str">
        <f>"0"</f>
        <v>0</v>
      </c>
      <c r="BC2890" t="str">
        <f ca="1">IF((OFFSET($A$1, 2890 - 1, 53 - 1)) &gt;= (OFFSET($A$1, 69 - 1, 7 - 1)), "1","0")</f>
        <v>0</v>
      </c>
      <c r="BD2890">
        <f ca="1" xml:space="preserve"> IF( AND( OFFSET($A$1, 2890 - 1, 54 - 1) = "1", OFFSET($A$1, 2890 - 1, 55 - 1) = "1" ), 1, IF( AND( OFFSET($A$1, 2890 - 1, 54 - 1) = "1", OFFSET($A$1, 2890 - 1, 55 - 1) = "0" ), 2, IF( AND( OFFSET($A$1, 2890 - 1, 54 - 1) = "0", OFFSET($A$1, 2890 - 1, 55 - 1) = "1" ), 3, 4 ) ) )</f>
        <v>4</v>
      </c>
    </row>
    <row r="2891" spans="53:56" x14ac:dyDescent="0.35">
      <c r="BA2891" s="3">
        <v>0.23478041093262739</v>
      </c>
      <c r="BB2891" s="3" t="str">
        <f>"0"</f>
        <v>0</v>
      </c>
      <c r="BC2891" t="str">
        <f ca="1">IF((OFFSET($A$1, 2891 - 1, 53 - 1)) &gt;= (OFFSET($A$1, 69 - 1, 7 - 1)), "1","0")</f>
        <v>0</v>
      </c>
      <c r="BD2891">
        <f ca="1" xml:space="preserve"> IF( AND( OFFSET($A$1, 2891 - 1, 54 - 1) = "1", OFFSET($A$1, 2891 - 1, 55 - 1) = "1" ), 1, IF( AND( OFFSET($A$1, 2891 - 1, 54 - 1) = "1", OFFSET($A$1, 2891 - 1, 55 - 1) = "0" ), 2, IF( AND( OFFSET($A$1, 2891 - 1, 54 - 1) = "0", OFFSET($A$1, 2891 - 1, 55 - 1) = "1" ), 3, 4 ) ) )</f>
        <v>4</v>
      </c>
    </row>
    <row r="2892" spans="53:56" x14ac:dyDescent="0.35">
      <c r="BA2892" s="3">
        <v>0.23375086064341946</v>
      </c>
      <c r="BB2892" s="3" t="str">
        <f>"0"</f>
        <v>0</v>
      </c>
      <c r="BC2892" t="str">
        <f ca="1">IF((OFFSET($A$1, 2892 - 1, 53 - 1)) &gt;= (OFFSET($A$1, 69 - 1, 7 - 1)), "1","0")</f>
        <v>0</v>
      </c>
      <c r="BD2892">
        <f ca="1" xml:space="preserve"> IF( AND( OFFSET($A$1, 2892 - 1, 54 - 1) = "1", OFFSET($A$1, 2892 - 1, 55 - 1) = "1" ), 1, IF( AND( OFFSET($A$1, 2892 - 1, 54 - 1) = "1", OFFSET($A$1, 2892 - 1, 55 - 1) = "0" ), 2, IF( AND( OFFSET($A$1, 2892 - 1, 54 - 1) = "0", OFFSET($A$1, 2892 - 1, 55 - 1) = "1" ), 3, 4 ) ) )</f>
        <v>4</v>
      </c>
    </row>
    <row r="2893" spans="53:56" x14ac:dyDescent="0.35">
      <c r="BA2893" s="3">
        <v>0.23273166399946832</v>
      </c>
      <c r="BB2893" s="3" t="str">
        <f>"0"</f>
        <v>0</v>
      </c>
      <c r="BC2893" t="str">
        <f ca="1">IF((OFFSET($A$1, 2893 - 1, 53 - 1)) &gt;= (OFFSET($A$1, 69 - 1, 7 - 1)), "1","0")</f>
        <v>0</v>
      </c>
      <c r="BD2893">
        <f ca="1" xml:space="preserve"> IF( AND( OFFSET($A$1, 2893 - 1, 54 - 1) = "1", OFFSET($A$1, 2893 - 1, 55 - 1) = "1" ), 1, IF( AND( OFFSET($A$1, 2893 - 1, 54 - 1) = "1", OFFSET($A$1, 2893 - 1, 55 - 1) = "0" ), 2, IF( AND( OFFSET($A$1, 2893 - 1, 54 - 1) = "0", OFFSET($A$1, 2893 - 1, 55 - 1) = "1" ), 3, 4 ) ) )</f>
        <v>4</v>
      </c>
    </row>
    <row r="2894" spans="53:56" x14ac:dyDescent="0.35">
      <c r="BA2894" s="3">
        <v>0.23172305776208446</v>
      </c>
      <c r="BB2894" s="3" t="str">
        <f>"1"</f>
        <v>1</v>
      </c>
      <c r="BC2894" t="str">
        <f ca="1">IF((OFFSET($A$1, 2894 - 1, 53 - 1)) &gt;= (OFFSET($A$1, 69 - 1, 7 - 1)), "1","0")</f>
        <v>0</v>
      </c>
      <c r="BD2894">
        <f ca="1" xml:space="preserve"> IF( AND( OFFSET($A$1, 2894 - 1, 54 - 1) = "1", OFFSET($A$1, 2894 - 1, 55 - 1) = "1" ), 1, IF( AND( OFFSET($A$1, 2894 - 1, 54 - 1) = "1", OFFSET($A$1, 2894 - 1, 55 - 1) = "0" ), 2, IF( AND( OFFSET($A$1, 2894 - 1, 54 - 1) = "0", OFFSET($A$1, 2894 - 1, 55 - 1) = "1" ), 3, 4 ) ) )</f>
        <v>2</v>
      </c>
    </row>
    <row r="2895" spans="53:56" x14ac:dyDescent="0.35">
      <c r="BA2895" s="3">
        <v>0.48353487660189459</v>
      </c>
      <c r="BB2895" s="3" t="str">
        <f>"1"</f>
        <v>1</v>
      </c>
      <c r="BC2895" t="str">
        <f ca="1">IF((OFFSET($A$1, 2895 - 1, 53 - 1)) &gt;= (OFFSET($A$1, 69 - 1, 7 - 1)), "1","0")</f>
        <v>0</v>
      </c>
      <c r="BD2895">
        <f ca="1" xml:space="preserve"> IF( AND( OFFSET($A$1, 2895 - 1, 54 - 1) = "1", OFFSET($A$1, 2895 - 1, 55 - 1) = "1" ), 1, IF( AND( OFFSET($A$1, 2895 - 1, 54 - 1) = "1", OFFSET($A$1, 2895 - 1, 55 - 1) = "0" ), 2, IF( AND( OFFSET($A$1, 2895 - 1, 54 - 1) = "0", OFFSET($A$1, 2895 - 1, 55 - 1) = "1" ), 3, 4 ) ) )</f>
        <v>2</v>
      </c>
    </row>
    <row r="2896" spans="53:56" x14ac:dyDescent="0.35">
      <c r="BA2896" s="3">
        <v>0.48214458921365111</v>
      </c>
      <c r="BB2896" s="3" t="str">
        <f>"0"</f>
        <v>0</v>
      </c>
      <c r="BC2896" t="str">
        <f ca="1">IF((OFFSET($A$1, 2896 - 1, 53 - 1)) &gt;= (OFFSET($A$1, 69 - 1, 7 - 1)), "1","0")</f>
        <v>0</v>
      </c>
      <c r="BD2896">
        <f ca="1" xml:space="preserve"> IF( AND( OFFSET($A$1, 2896 - 1, 54 - 1) = "1", OFFSET($A$1, 2896 - 1, 55 - 1) = "1" ), 1, IF( AND( OFFSET($A$1, 2896 - 1, 54 - 1) = "1", OFFSET($A$1, 2896 - 1, 55 - 1) = "0" ), 2, IF( AND( OFFSET($A$1, 2896 - 1, 54 - 1) = "0", OFFSET($A$1, 2896 - 1, 55 - 1) = "1" ), 3, 4 ) ) )</f>
        <v>4</v>
      </c>
    </row>
    <row r="2897" spans="53:56" x14ac:dyDescent="0.35">
      <c r="BA2897" s="3">
        <v>0.22876306558583864</v>
      </c>
      <c r="BB2897" s="3" t="str">
        <f>"0"</f>
        <v>0</v>
      </c>
      <c r="BC2897" t="str">
        <f ca="1">IF((OFFSET($A$1, 2897 - 1, 53 - 1)) &gt;= (OFFSET($A$1, 69 - 1, 7 - 1)), "1","0")</f>
        <v>0</v>
      </c>
      <c r="BD2897">
        <f ca="1" xml:space="preserve"> IF( AND( OFFSET($A$1, 2897 - 1, 54 - 1) = "1", OFFSET($A$1, 2897 - 1, 55 - 1) = "1" ), 1, IF( AND( OFFSET($A$1, 2897 - 1, 54 - 1) = "1", OFFSET($A$1, 2897 - 1, 55 - 1) = "0" ), 2, IF( AND( OFFSET($A$1, 2897 - 1, 54 - 1) = "0", OFFSET($A$1, 2897 - 1, 55 - 1) = "1" ), 3, 4 ) ) )</f>
        <v>4</v>
      </c>
    </row>
    <row r="2898" spans="53:56" x14ac:dyDescent="0.35">
      <c r="BA2898" s="3">
        <v>0.22779907738623359</v>
      </c>
      <c r="BB2898" s="3" t="str">
        <f>"0"</f>
        <v>0</v>
      </c>
      <c r="BC2898" t="str">
        <f ca="1">IF((OFFSET($A$1, 2898 - 1, 53 - 1)) &gt;= (OFFSET($A$1, 69 - 1, 7 - 1)), "1","0")</f>
        <v>0</v>
      </c>
      <c r="BD2898">
        <f ca="1" xml:space="preserve"> IF( AND( OFFSET($A$1, 2898 - 1, 54 - 1) = "1", OFFSET($A$1, 2898 - 1, 55 - 1) = "1" ), 1, IF( AND( OFFSET($A$1, 2898 - 1, 54 - 1) = "1", OFFSET($A$1, 2898 - 1, 55 - 1) = "0" ), 2, IF( AND( OFFSET($A$1, 2898 - 1, 54 - 1) = "0", OFFSET($A$1, 2898 - 1, 55 - 1) = "1" ), 3, 4 ) ) )</f>
        <v>4</v>
      </c>
    </row>
    <row r="2899" spans="53:56" x14ac:dyDescent="0.35">
      <c r="BA2899" s="3">
        <v>0.22684678021252638</v>
      </c>
      <c r="BB2899" s="3" t="str">
        <f>"0"</f>
        <v>0</v>
      </c>
      <c r="BC2899" t="str">
        <f ca="1">IF((OFFSET($A$1, 2899 - 1, 53 - 1)) &gt;= (OFFSET($A$1, 69 - 1, 7 - 1)), "1","0")</f>
        <v>0</v>
      </c>
      <c r="BD2899">
        <f ca="1" xml:space="preserve"> IF( AND( OFFSET($A$1, 2899 - 1, 54 - 1) = "1", OFFSET($A$1, 2899 - 1, 55 - 1) = "1" ), 1, IF( AND( OFFSET($A$1, 2899 - 1, 54 - 1) = "1", OFFSET($A$1, 2899 - 1, 55 - 1) = "0" ), 2, IF( AND( OFFSET($A$1, 2899 - 1, 54 - 1) = "0", OFFSET($A$1, 2899 - 1, 55 - 1) = "1" ), 3, 4 ) ) )</f>
        <v>4</v>
      </c>
    </row>
    <row r="2900" spans="53:56" x14ac:dyDescent="0.35">
      <c r="BA2900" s="3">
        <v>0.22590637774769518</v>
      </c>
      <c r="BB2900" s="3" t="str">
        <f>"0"</f>
        <v>0</v>
      </c>
      <c r="BC2900" t="str">
        <f ca="1">IF((OFFSET($A$1, 2900 - 1, 53 - 1)) &gt;= (OFFSET($A$1, 69 - 1, 7 - 1)), "1","0")</f>
        <v>0</v>
      </c>
      <c r="BD2900">
        <f ca="1" xml:space="preserve"> IF( AND( OFFSET($A$1, 2900 - 1, 54 - 1) = "1", OFFSET($A$1, 2900 - 1, 55 - 1) = "1" ), 1, IF( AND( OFFSET($A$1, 2900 - 1, 54 - 1) = "1", OFFSET($A$1, 2900 - 1, 55 - 1) = "0" ), 2, IF( AND( OFFSET($A$1, 2900 - 1, 54 - 1) = "0", OFFSET($A$1, 2900 - 1, 55 - 1) = "1" ), 3, 4 ) ) )</f>
        <v>4</v>
      </c>
    </row>
    <row r="2901" spans="53:56" x14ac:dyDescent="0.35">
      <c r="BA2901" s="3">
        <v>0.22497806828040012</v>
      </c>
      <c r="BB2901" s="3" t="str">
        <f>"0"</f>
        <v>0</v>
      </c>
      <c r="BC2901" t="str">
        <f ca="1">IF((OFFSET($A$1, 2901 - 1, 53 - 1)) &gt;= (OFFSET($A$1, 69 - 1, 7 - 1)), "1","0")</f>
        <v>0</v>
      </c>
      <c r="BD2901">
        <f ca="1" xml:space="preserve"> IF( AND( OFFSET($A$1, 2901 - 1, 54 - 1) = "1", OFFSET($A$1, 2901 - 1, 55 - 1) = "1" ), 1, IF( AND( OFFSET($A$1, 2901 - 1, 54 - 1) = "1", OFFSET($A$1, 2901 - 1, 55 - 1) = "0" ), 2, IF( AND( OFFSET($A$1, 2901 - 1, 54 - 1) = "0", OFFSET($A$1, 2901 - 1, 55 - 1) = "1" ), 3, 4 ) ) )</f>
        <v>4</v>
      </c>
    </row>
    <row r="2902" spans="53:56" x14ac:dyDescent="0.35">
      <c r="BA2902" s="3">
        <v>0.22406204474998936</v>
      </c>
      <c r="BB2902" s="3" t="str">
        <f>"0"</f>
        <v>0</v>
      </c>
      <c r="BC2902" t="str">
        <f ca="1">IF((OFFSET($A$1, 2902 - 1, 53 - 1)) &gt;= (OFFSET($A$1, 69 - 1, 7 - 1)), "1","0")</f>
        <v>0</v>
      </c>
      <c r="BD2902">
        <f ca="1" xml:space="preserve"> IF( AND( OFFSET($A$1, 2902 - 1, 54 - 1) = "1", OFFSET($A$1, 2902 - 1, 55 - 1) = "1" ), 1, IF( AND( OFFSET($A$1, 2902 - 1, 54 - 1) = "1", OFFSET($A$1, 2902 - 1, 55 - 1) = "0" ), 2, IF( AND( OFFSET($A$1, 2902 - 1, 54 - 1) = "0", OFFSET($A$1, 2902 - 1, 55 - 1) = "1" ), 3, 4 ) ) )</f>
        <v>4</v>
      </c>
    </row>
    <row r="2903" spans="53:56" x14ac:dyDescent="0.35">
      <c r="BA2903" s="3">
        <v>0.22315849479527256</v>
      </c>
      <c r="BB2903" s="3" t="str">
        <f>"0"</f>
        <v>0</v>
      </c>
      <c r="BC2903" t="str">
        <f ca="1">IF((OFFSET($A$1, 2903 - 1, 53 - 1)) &gt;= (OFFSET($A$1, 69 - 1, 7 - 1)), "1","0")</f>
        <v>0</v>
      </c>
      <c r="BD2903">
        <f ca="1" xml:space="preserve"> IF( AND( OFFSET($A$1, 2903 - 1, 54 - 1) = "1", OFFSET($A$1, 2903 - 1, 55 - 1) = "1" ), 1, IF( AND( OFFSET($A$1, 2903 - 1, 54 - 1) = "1", OFFSET($A$1, 2903 - 1, 55 - 1) = "0" ), 2, IF( AND( OFFSET($A$1, 2903 - 1, 54 - 1) = "0", OFFSET($A$1, 2903 - 1, 55 - 1) = "1" ), 3, 4 ) ) )</f>
        <v>4</v>
      </c>
    </row>
    <row r="2904" spans="53:56" x14ac:dyDescent="0.35">
      <c r="BA2904" s="3">
        <v>0.22226760080688038</v>
      </c>
      <c r="BB2904" s="3" t="str">
        <f>"0"</f>
        <v>0</v>
      </c>
      <c r="BC2904" t="str">
        <f ca="1">IF((OFFSET($A$1, 2904 - 1, 53 - 1)) &gt;= (OFFSET($A$1, 69 - 1, 7 - 1)), "1","0")</f>
        <v>0</v>
      </c>
      <c r="BD2904">
        <f ca="1" xml:space="preserve"> IF( AND( OFFSET($A$1, 2904 - 1, 54 - 1) = "1", OFFSET($A$1, 2904 - 1, 55 - 1) = "1" ), 1, IF( AND( OFFSET($A$1, 2904 - 1, 54 - 1) = "1", OFFSET($A$1, 2904 - 1, 55 - 1) = "0" ), 2, IF( AND( OFFSET($A$1, 2904 - 1, 54 - 1) = "0", OFFSET($A$1, 2904 - 1, 55 - 1) = "1" ), 3, 4 ) ) )</f>
        <v>4</v>
      </c>
    </row>
    <row r="2905" spans="53:56" x14ac:dyDescent="0.35">
      <c r="BA2905" s="3">
        <v>0.22138953998302593</v>
      </c>
      <c r="BB2905" s="3" t="str">
        <f>"0"</f>
        <v>0</v>
      </c>
      <c r="BC2905" t="str">
        <f ca="1">IF((OFFSET($A$1, 2905 - 1, 53 - 1)) &gt;= (OFFSET($A$1, 69 - 1, 7 - 1)), "1","0")</f>
        <v>0</v>
      </c>
      <c r="BD2905">
        <f ca="1" xml:space="preserve"> IF( AND( OFFSET($A$1, 2905 - 1, 54 - 1) = "1", OFFSET($A$1, 2905 - 1, 55 - 1) = "1" ), 1, IF( AND( OFFSET($A$1, 2905 - 1, 54 - 1) = "1", OFFSET($A$1, 2905 - 1, 55 - 1) = "0" ), 2, IF( AND( OFFSET($A$1, 2905 - 1, 54 - 1) = "0", OFFSET($A$1, 2905 - 1, 55 - 1) = "1" ), 3, 4 ) ) )</f>
        <v>4</v>
      </c>
    </row>
    <row r="2906" spans="53:56" x14ac:dyDescent="0.35">
      <c r="BA2906" s="3">
        <v>0.22052448438848424</v>
      </c>
      <c r="BB2906" s="3" t="str">
        <f>"1"</f>
        <v>1</v>
      </c>
      <c r="BC2906" t="str">
        <f ca="1">IF((OFFSET($A$1, 2906 - 1, 53 - 1)) &gt;= (OFFSET($A$1, 69 - 1, 7 - 1)), "1","0")</f>
        <v>0</v>
      </c>
      <c r="BD2906">
        <f ca="1" xml:space="preserve"> IF( AND( OFFSET($A$1, 2906 - 1, 54 - 1) = "1", OFFSET($A$1, 2906 - 1, 55 - 1) = "1" ), 1, IF( AND( OFFSET($A$1, 2906 - 1, 54 - 1) = "1", OFFSET($A$1, 2906 - 1, 55 - 1) = "0" ), 2, IF( AND( OFFSET($A$1, 2906 - 1, 54 - 1) = "0", OFFSET($A$1, 2906 - 1, 55 - 1) = "1" ), 3, 4 ) ) )</f>
        <v>2</v>
      </c>
    </row>
    <row r="2907" spans="53:56" x14ac:dyDescent="0.35">
      <c r="BA2907" s="3">
        <v>0.46773510198953111</v>
      </c>
      <c r="BB2907" s="3" t="str">
        <f>"1"</f>
        <v>1</v>
      </c>
      <c r="BC2907" t="str">
        <f ca="1">IF((OFFSET($A$1, 2907 - 1, 53 - 1)) &gt;= (OFFSET($A$1, 69 - 1, 7 - 1)), "1","0")</f>
        <v>0</v>
      </c>
      <c r="BD2907">
        <f ca="1" xml:space="preserve"> IF( AND( OFFSET($A$1, 2907 - 1, 54 - 1) = "1", OFFSET($A$1, 2907 - 1, 55 - 1) = "1" ), 1, IF( AND( OFFSET($A$1, 2907 - 1, 54 - 1) = "1", OFFSET($A$1, 2907 - 1, 55 - 1) = "0" ), 2, IF( AND( OFFSET($A$1, 2907 - 1, 54 - 1) = "0", OFFSET($A$1, 2907 - 1, 55 - 1) = "1" ), 3, 4 ) ) )</f>
        <v>2</v>
      </c>
    </row>
    <row r="2908" spans="53:56" x14ac:dyDescent="0.35">
      <c r="BA2908" s="3">
        <v>0.46651574491173142</v>
      </c>
      <c r="BB2908" s="3" t="str">
        <f>"0"</f>
        <v>0</v>
      </c>
      <c r="BC2908" t="str">
        <f ca="1">IF((OFFSET($A$1, 2908 - 1, 53 - 1)) &gt;= (OFFSET($A$1, 69 - 1, 7 - 1)), "1","0")</f>
        <v>0</v>
      </c>
      <c r="BD2908">
        <f ca="1" xml:space="preserve"> IF( AND( OFFSET($A$1, 2908 - 1, 54 - 1) = "1", OFFSET($A$1, 2908 - 1, 55 - 1) = "1" ), 1, IF( AND( OFFSET($A$1, 2908 - 1, 54 - 1) = "1", OFFSET($A$1, 2908 - 1, 55 - 1) = "0" ), 2, IF( AND( OFFSET($A$1, 2908 - 1, 54 - 1) = "0", OFFSET($A$1, 2908 - 1, 55 - 1) = "1" ), 3, 4 ) ) )</f>
        <v>4</v>
      </c>
    </row>
    <row r="2909" spans="53:56" x14ac:dyDescent="0.35">
      <c r="BA2909" s="3">
        <v>0.2180089939490025</v>
      </c>
      <c r="BB2909" s="3" t="str">
        <f>"0"</f>
        <v>0</v>
      </c>
      <c r="BC2909" t="str">
        <f ca="1">IF((OFFSET($A$1, 2909 - 1, 53 - 1)) &gt;= (OFFSET($A$1, 69 - 1, 7 - 1)), "1","0")</f>
        <v>0</v>
      </c>
      <c r="BD2909">
        <f ca="1" xml:space="preserve"> IF( AND( OFFSET($A$1, 2909 - 1, 54 - 1) = "1", OFFSET($A$1, 2909 - 1, 55 - 1) = "1" ), 1, IF( AND( OFFSET($A$1, 2909 - 1, 54 - 1) = "1", OFFSET($A$1, 2909 - 1, 55 - 1) = "0" ), 2, IF( AND( OFFSET($A$1, 2909 - 1, 54 - 1) = "0", OFFSET($A$1, 2909 - 1, 55 - 1) = "1" ), 3, 4 ) ) )</f>
        <v>4</v>
      </c>
    </row>
    <row r="2910" spans="53:56" x14ac:dyDescent="0.35">
      <c r="BA2910" s="3">
        <v>0.2171975794797234</v>
      </c>
      <c r="BB2910" s="3" t="str">
        <f>"0"</f>
        <v>0</v>
      </c>
      <c r="BC2910" t="str">
        <f ca="1">IF((OFFSET($A$1, 2910 - 1, 53 - 1)) &gt;= (OFFSET($A$1, 69 - 1, 7 - 1)), "1","0")</f>
        <v>0</v>
      </c>
      <c r="BD2910">
        <f ca="1" xml:space="preserve"> IF( AND( OFFSET($A$1, 2910 - 1, 54 - 1) = "1", OFFSET($A$1, 2910 - 1, 55 - 1) = "1" ), 1, IF( AND( OFFSET($A$1, 2910 - 1, 54 - 1) = "1", OFFSET($A$1, 2910 - 1, 55 - 1) = "0" ), 2, IF( AND( OFFSET($A$1, 2910 - 1, 54 - 1) = "0", OFFSET($A$1, 2910 - 1, 55 - 1) = "1" ), 3, 4 ) ) )</f>
        <v>4</v>
      </c>
    </row>
    <row r="2911" spans="53:56" x14ac:dyDescent="0.35">
      <c r="BA2911" s="3">
        <v>0.21639995582828289</v>
      </c>
      <c r="BB2911" s="3" t="str">
        <f>"1"</f>
        <v>1</v>
      </c>
      <c r="BC2911" t="str">
        <f ca="1">IF((OFFSET($A$1, 2911 - 1, 53 - 1)) &gt;= (OFFSET($A$1, 69 - 1, 7 - 1)), "1","0")</f>
        <v>0</v>
      </c>
      <c r="BD2911">
        <f ca="1" xml:space="preserve"> IF( AND( OFFSET($A$1, 2911 - 1, 54 - 1) = "1", OFFSET($A$1, 2911 - 1, 55 - 1) = "1" ), 1, IF( AND( OFFSET($A$1, 2911 - 1, 54 - 1) = "1", OFFSET($A$1, 2911 - 1, 55 - 1) = "0" ), 2, IF( AND( OFFSET($A$1, 2911 - 1, 54 - 1) = "0", OFFSET($A$1, 2911 - 1, 55 - 1) = "1" ), 3, 4 ) ) )</f>
        <v>2</v>
      </c>
    </row>
    <row r="2912" spans="53:56" x14ac:dyDescent="0.35">
      <c r="BA2912" s="3">
        <v>0.46180904615074242</v>
      </c>
      <c r="BB2912" s="3" t="str">
        <f>"1"</f>
        <v>1</v>
      </c>
      <c r="BC2912" t="str">
        <f ca="1">IF((OFFSET($A$1, 2912 - 1, 53 - 1)) &gt;= (OFFSET($A$1, 69 - 1, 7 - 1)), "1","0")</f>
        <v>0</v>
      </c>
      <c r="BD2912">
        <f ca="1" xml:space="preserve"> IF( AND( OFFSET($A$1, 2912 - 1, 54 - 1) = "1", OFFSET($A$1, 2912 - 1, 55 - 1) = "1" ), 1, IF( AND( OFFSET($A$1, 2912 - 1, 54 - 1) = "1", OFFSET($A$1, 2912 - 1, 55 - 1) = "0" ), 2, IF( AND( OFFSET($A$1, 2912 - 1, 54 - 1) = "0", OFFSET($A$1, 2912 - 1, 55 - 1) = "1" ), 3, 4 ) ) )</f>
        <v>2</v>
      </c>
    </row>
    <row r="2913" spans="53:56" x14ac:dyDescent="0.35">
      <c r="BA2913" s="3">
        <v>0.46067677314752481</v>
      </c>
      <c r="BB2913" s="3" t="str">
        <f>"1"</f>
        <v>1</v>
      </c>
      <c r="BC2913" t="str">
        <f ca="1">IF((OFFSET($A$1, 2913 - 1, 53 - 1)) &gt;= (OFFSET($A$1, 69 - 1, 7 - 1)), "1","0")</f>
        <v>0</v>
      </c>
      <c r="BD2913">
        <f ca="1" xml:space="preserve"> IF( AND( OFFSET($A$1, 2913 - 1, 54 - 1) = "1", OFFSET($A$1, 2913 - 1, 55 - 1) = "1" ), 1, IF( AND( OFFSET($A$1, 2913 - 1, 54 - 1) = "1", OFFSET($A$1, 2913 - 1, 55 - 1) = "0" ), 2, IF( AND( OFFSET($A$1, 2913 - 1, 54 - 1) = "0", OFFSET($A$1, 2913 - 1, 55 - 1) = "1" ), 3, 4 ) ) )</f>
        <v>2</v>
      </c>
    </row>
    <row r="2914" spans="53:56" x14ac:dyDescent="0.35">
      <c r="BA2914" s="3">
        <v>0.45956292593919978</v>
      </c>
      <c r="BB2914" s="3" t="str">
        <f>"1"</f>
        <v>1</v>
      </c>
      <c r="BC2914" t="str">
        <f ca="1">IF((OFFSET($A$1, 2914 - 1, 53 - 1)) &gt;= (OFFSET($A$1, 69 - 1, 7 - 1)), "1","0")</f>
        <v>0</v>
      </c>
      <c r="BD2914">
        <f ca="1" xml:space="preserve"> IF( AND( OFFSET($A$1, 2914 - 1, 54 - 1) = "1", OFFSET($A$1, 2914 - 1, 55 - 1) = "1" ), 1, IF( AND( OFFSET($A$1, 2914 - 1, 54 - 1) = "1", OFFSET($A$1, 2914 - 1, 55 - 1) = "0" ), 2, IF( AND( OFFSET($A$1, 2914 - 1, 54 - 1) = "0", OFFSET($A$1, 2914 - 1, 55 - 1) = "1" ), 3, 4 ) ) )</f>
        <v>2</v>
      </c>
    </row>
    <row r="2915" spans="53:56" x14ac:dyDescent="0.35">
      <c r="BA2915" s="3">
        <v>0.45846782560319799</v>
      </c>
      <c r="BB2915" s="3" t="str">
        <f>"0"</f>
        <v>0</v>
      </c>
      <c r="BC2915" t="str">
        <f ca="1">IF((OFFSET($A$1, 2915 - 1, 53 - 1)) &gt;= (OFFSET($A$1, 69 - 1, 7 - 1)), "1","0")</f>
        <v>0</v>
      </c>
      <c r="BD2915">
        <f ca="1" xml:space="preserve"> IF( AND( OFFSET($A$1, 2915 - 1, 54 - 1) = "1", OFFSET($A$1, 2915 - 1, 55 - 1) = "1" ), 1, IF( AND( OFFSET($A$1, 2915 - 1, 54 - 1) = "1", OFFSET($A$1, 2915 - 1, 55 - 1) = "0" ), 2, IF( AND( OFFSET($A$1, 2915 - 1, 54 - 1) = "0", OFFSET($A$1, 2915 - 1, 55 - 1) = "1" ), 3, 4 ) ) )</f>
        <v>4</v>
      </c>
    </row>
    <row r="2916" spans="53:56" x14ac:dyDescent="0.35">
      <c r="BA2916" s="3">
        <v>0.21262353195511394</v>
      </c>
      <c r="BB2916" s="3" t="str">
        <f>"1"</f>
        <v>1</v>
      </c>
      <c r="BC2916" t="str">
        <f ca="1">IF((OFFSET($A$1, 2916 - 1, 53 - 1)) &gt;= (OFFSET($A$1, 69 - 1, 7 - 1)), "1","0")</f>
        <v>0</v>
      </c>
      <c r="BD2916">
        <f ca="1" xml:space="preserve"> IF( AND( OFFSET($A$1, 2916 - 1, 54 - 1) = "1", OFFSET($A$1, 2916 - 1, 55 - 1) = "1" ), 1, IF( AND( OFFSET($A$1, 2916 - 1, 54 - 1) = "1", OFFSET($A$1, 2916 - 1, 55 - 1) = "0" ), 2, IF( AND( OFFSET($A$1, 2916 - 1, 54 - 1) = "0", OFFSET($A$1, 2916 - 1, 55 - 1) = "1" ), 3, 4 ) ) )</f>
        <v>2</v>
      </c>
    </row>
    <row r="2917" spans="53:56" x14ac:dyDescent="0.35">
      <c r="BA2917" s="3">
        <v>0.45633511653929987</v>
      </c>
      <c r="BB2917" s="3" t="str">
        <f>"0"</f>
        <v>0</v>
      </c>
      <c r="BC2917" t="str">
        <f ca="1">IF((OFFSET($A$1, 2917 - 1, 53 - 1)) &gt;= (OFFSET($A$1, 69 - 1, 7 - 1)), "1","0")</f>
        <v>0</v>
      </c>
      <c r="BD2917">
        <f ca="1" xml:space="preserve"> IF( AND( OFFSET($A$1, 2917 - 1, 54 - 1) = "1", OFFSET($A$1, 2917 - 1, 55 - 1) = "1" ), 1, IF( AND( OFFSET($A$1, 2917 - 1, 54 - 1) = "1", OFFSET($A$1, 2917 - 1, 55 - 1) = "0" ), 2, IF( AND( OFFSET($A$1, 2917 - 1, 54 - 1) = "0", OFFSET($A$1, 2917 - 1, 55 - 1) = "1" ), 3, 4 ) ) )</f>
        <v>4</v>
      </c>
    </row>
    <row r="2918" spans="53:56" x14ac:dyDescent="0.35">
      <c r="BA2918" s="3">
        <v>0.21121414110273987</v>
      </c>
      <c r="BB2918" s="3" t="str">
        <f>"0"</f>
        <v>0</v>
      </c>
      <c r="BC2918" t="str">
        <f ca="1">IF((OFFSET($A$1, 2918 - 1, 53 - 1)) &gt;= (OFFSET($A$1, 69 - 1, 7 - 1)), "1","0")</f>
        <v>0</v>
      </c>
      <c r="BD2918">
        <f ca="1" xml:space="preserve"> IF( AND( OFFSET($A$1, 2918 - 1, 54 - 1) = "1", OFFSET($A$1, 2918 - 1, 55 - 1) = "1" ), 1, IF( AND( OFFSET($A$1, 2918 - 1, 54 - 1) = "1", OFFSET($A$1, 2918 - 1, 55 - 1) = "0" ), 2, IF( AND( OFFSET($A$1, 2918 - 1, 54 - 1) = "0", OFFSET($A$1, 2918 - 1, 55 - 1) = "1" ), 3, 4 ) ) )</f>
        <v>4</v>
      </c>
    </row>
    <row r="2919" spans="53:56" x14ac:dyDescent="0.35">
      <c r="BA2919" s="3">
        <v>0.21053159946612859</v>
      </c>
      <c r="BB2919" s="3" t="str">
        <f>"0"</f>
        <v>0</v>
      </c>
      <c r="BC2919" t="str">
        <f ca="1">IF((OFFSET($A$1, 2919 - 1, 53 - 1)) &gt;= (OFFSET($A$1, 69 - 1, 7 - 1)), "1","0")</f>
        <v>0</v>
      </c>
      <c r="BD2919">
        <f ca="1" xml:space="preserve"> IF( AND( OFFSET($A$1, 2919 - 1, 54 - 1) = "1", OFFSET($A$1, 2919 - 1, 55 - 1) = "1" ), 1, IF( AND( OFFSET($A$1, 2919 - 1, 54 - 1) = "1", OFFSET($A$1, 2919 - 1, 55 - 1) = "0" ), 2, IF( AND( OFFSET($A$1, 2919 - 1, 54 - 1) = "0", OFFSET($A$1, 2919 - 1, 55 - 1) = "1" ), 3, 4 ) ) )</f>
        <v>4</v>
      </c>
    </row>
    <row r="2920" spans="53:56" x14ac:dyDescent="0.35">
      <c r="BA2920" s="3">
        <v>0.20986397204398574</v>
      </c>
      <c r="BB2920" s="3" t="str">
        <f>"0"</f>
        <v>0</v>
      </c>
      <c r="BC2920" t="str">
        <f ca="1">IF((OFFSET($A$1, 2920 - 1, 53 - 1)) &gt;= (OFFSET($A$1, 69 - 1, 7 - 1)), "1","0")</f>
        <v>0</v>
      </c>
      <c r="BD2920">
        <f ca="1" xml:space="preserve"> IF( AND( OFFSET($A$1, 2920 - 1, 54 - 1) = "1", OFFSET($A$1, 2920 - 1, 55 - 1) = "1" ), 1, IF( AND( OFFSET($A$1, 2920 - 1, 54 - 1) = "1", OFFSET($A$1, 2920 - 1, 55 - 1) = "0" ), 2, IF( AND( OFFSET($A$1, 2920 - 1, 54 - 1) = "0", OFFSET($A$1, 2920 - 1, 55 - 1) = "1" ), 3, 4 ) ) )</f>
        <v>4</v>
      </c>
    </row>
    <row r="2921" spans="53:56" x14ac:dyDescent="0.35">
      <c r="BA2921" s="3">
        <v>0.2092113625944774</v>
      </c>
      <c r="BB2921" s="3" t="str">
        <f>"0"</f>
        <v>0</v>
      </c>
      <c r="BC2921" t="str">
        <f ca="1">IF((OFFSET($A$1, 2921 - 1, 53 - 1)) &gt;= (OFFSET($A$1, 69 - 1, 7 - 1)), "1","0")</f>
        <v>0</v>
      </c>
      <c r="BD2921">
        <f ca="1" xml:space="preserve"> IF( AND( OFFSET($A$1, 2921 - 1, 54 - 1) = "1", OFFSET($A$1, 2921 - 1, 55 - 1) = "1" ), 1, IF( AND( OFFSET($A$1, 2921 - 1, 54 - 1) = "1", OFFSET($A$1, 2921 - 1, 55 - 1) = "0" ), 2, IF( AND( OFFSET($A$1, 2921 - 1, 54 - 1) = "0", OFFSET($A$1, 2921 - 1, 55 - 1) = "1" ), 3, 4 ) ) )</f>
        <v>4</v>
      </c>
    </row>
    <row r="2922" spans="53:56" x14ac:dyDescent="0.35">
      <c r="BA2922" s="3">
        <v>0.20857387097170157</v>
      </c>
      <c r="BB2922" s="3" t="str">
        <f>"0"</f>
        <v>0</v>
      </c>
      <c r="BC2922" t="str">
        <f ca="1">IF((OFFSET($A$1, 2922 - 1, 53 - 1)) &gt;= (OFFSET($A$1, 69 - 1, 7 - 1)), "1","0")</f>
        <v>0</v>
      </c>
      <c r="BD2922">
        <f ca="1" xml:space="preserve"> IF( AND( OFFSET($A$1, 2922 - 1, 54 - 1) = "1", OFFSET($A$1, 2922 - 1, 55 - 1) = "1" ), 1, IF( AND( OFFSET($A$1, 2922 - 1, 54 - 1) = "1", OFFSET($A$1, 2922 - 1, 55 - 1) = "0" ), 2, IF( AND( OFFSET($A$1, 2922 - 1, 54 - 1) = "0", OFFSET($A$1, 2922 - 1, 55 - 1) = "1" ), 3, 4 ) ) )</f>
        <v>4</v>
      </c>
    </row>
    <row r="2923" spans="53:56" x14ac:dyDescent="0.35">
      <c r="BA2923" s="3">
        <v>0.20795159321108012</v>
      </c>
      <c r="BB2923" s="3" t="str">
        <f>"0"</f>
        <v>0</v>
      </c>
      <c r="BC2923" t="str">
        <f ca="1">IF((OFFSET($A$1, 2923 - 1, 53 - 1)) &gt;= (OFFSET($A$1, 69 - 1, 7 - 1)), "1","0")</f>
        <v>0</v>
      </c>
      <c r="BD2923">
        <f ca="1" xml:space="preserve"> IF( AND( OFFSET($A$1, 2923 - 1, 54 - 1) = "1", OFFSET($A$1, 2923 - 1, 55 - 1) = "1" ), 1, IF( AND( OFFSET($A$1, 2923 - 1, 54 - 1) = "1", OFFSET($A$1, 2923 - 1, 55 - 1) = "0" ), 2, IF( AND( OFFSET($A$1, 2923 - 1, 54 - 1) = "0", OFFSET($A$1, 2923 - 1, 55 - 1) = "1" ), 3, 4 ) ) )</f>
        <v>4</v>
      </c>
    </row>
    <row r="2924" spans="53:56" x14ac:dyDescent="0.35">
      <c r="BA2924" s="3">
        <v>0.20734462161471642</v>
      </c>
      <c r="BB2924" s="3" t="str">
        <f>"0"</f>
        <v>0</v>
      </c>
      <c r="BC2924" t="str">
        <f ca="1">IF((OFFSET($A$1, 2924 - 1, 53 - 1)) &gt;= (OFFSET($A$1, 69 - 1, 7 - 1)), "1","0")</f>
        <v>0</v>
      </c>
      <c r="BD2924">
        <f ca="1" xml:space="preserve"> IF( AND( OFFSET($A$1, 2924 - 1, 54 - 1) = "1", OFFSET($A$1, 2924 - 1, 55 - 1) = "1" ), 1, IF( AND( OFFSET($A$1, 2924 - 1, 54 - 1) = "1", OFFSET($A$1, 2924 - 1, 55 - 1) = "0" ), 2, IF( AND( OFFSET($A$1, 2924 - 1, 54 - 1) = "0", OFFSET($A$1, 2924 - 1, 55 - 1) = "1" ), 3, 4 ) ) )</f>
        <v>4</v>
      </c>
    </row>
    <row r="2925" spans="53:56" x14ac:dyDescent="0.35">
      <c r="BA2925" s="3">
        <v>0.20675304483656518</v>
      </c>
      <c r="BB2925" s="3" t="str">
        <f>"0"</f>
        <v>0</v>
      </c>
      <c r="BC2925" t="str">
        <f ca="1">IF((OFFSET($A$1, 2925 - 1, 53 - 1)) &gt;= (OFFSET($A$1, 69 - 1, 7 - 1)), "1","0")</f>
        <v>0</v>
      </c>
      <c r="BD2925">
        <f ca="1" xml:space="preserve"> IF( AND( OFFSET($A$1, 2925 - 1, 54 - 1) = "1", OFFSET($A$1, 2925 - 1, 55 - 1) = "1" ), 1, IF( AND( OFFSET($A$1, 2925 - 1, 54 - 1) = "1", OFFSET($A$1, 2925 - 1, 55 - 1) = "0" ), 2, IF( AND( OFFSET($A$1, 2925 - 1, 54 - 1) = "0", OFFSET($A$1, 2925 - 1, 55 - 1) = "1" ), 3, 4 ) ) )</f>
        <v>4</v>
      </c>
    </row>
    <row r="2926" spans="53:56" x14ac:dyDescent="0.35">
      <c r="BA2926" s="3">
        <v>0.20617694796725516</v>
      </c>
      <c r="BB2926" s="3" t="str">
        <f>"0"</f>
        <v>0</v>
      </c>
      <c r="BC2926" t="str">
        <f ca="1">IF((OFFSET($A$1, 2926 - 1, 53 - 1)) &gt;= (OFFSET($A$1, 69 - 1, 7 - 1)), "1","0")</f>
        <v>0</v>
      </c>
      <c r="BD2926">
        <f ca="1" xml:space="preserve"> IF( AND( OFFSET($A$1, 2926 - 1, 54 - 1) = "1", OFFSET($A$1, 2926 - 1, 55 - 1) = "1" ), 1, IF( AND( OFFSET($A$1, 2926 - 1, 54 - 1) = "1", OFFSET($A$1, 2926 - 1, 55 - 1) = "0" ), 2, IF( AND( OFFSET($A$1, 2926 - 1, 54 - 1) = "0", OFFSET($A$1, 2926 - 1, 55 - 1) = "1" ), 3, 4 ) ) )</f>
        <v>4</v>
      </c>
    </row>
    <row r="2927" spans="53:56" x14ac:dyDescent="0.35">
      <c r="BA2927" s="3">
        <v>0.20561641261841551</v>
      </c>
      <c r="BB2927" s="3" t="str">
        <f>"0"</f>
        <v>0</v>
      </c>
      <c r="BC2927" t="str">
        <f ca="1">IF((OFFSET($A$1, 2927 - 1, 53 - 1)) &gt;= (OFFSET($A$1, 69 - 1, 7 - 1)), "1","0")</f>
        <v>0</v>
      </c>
      <c r="BD2927">
        <f ca="1" xml:space="preserve"> IF( AND( OFFSET($A$1, 2927 - 1, 54 - 1) = "1", OFFSET($A$1, 2927 - 1, 55 - 1) = "1" ), 1, IF( AND( OFFSET($A$1, 2927 - 1, 54 - 1) = "1", OFFSET($A$1, 2927 - 1, 55 - 1) = "0" ), 2, IF( AND( OFFSET($A$1, 2927 - 1, 54 - 1) = "0", OFFSET($A$1, 2927 - 1, 55 - 1) = "1" ), 3, 4 ) ) )</f>
        <v>4</v>
      </c>
    </row>
    <row r="2928" spans="53:56" x14ac:dyDescent="0.35">
      <c r="BA2928" s="3">
        <v>0.20507151700635526</v>
      </c>
      <c r="BB2928" s="3" t="str">
        <f>"0"</f>
        <v>0</v>
      </c>
      <c r="BC2928" t="str">
        <f ca="1">IF((OFFSET($A$1, 2928 - 1, 53 - 1)) &gt;= (OFFSET($A$1, 69 - 1, 7 - 1)), "1","0")</f>
        <v>0</v>
      </c>
      <c r="BD2928">
        <f ca="1" xml:space="preserve"> IF( AND( OFFSET($A$1, 2928 - 1, 54 - 1) = "1", OFFSET($A$1, 2928 - 1, 55 - 1) = "1" ), 1, IF( AND( OFFSET($A$1, 2928 - 1, 54 - 1) = "1", OFFSET($A$1, 2928 - 1, 55 - 1) = "0" ), 2, IF( AND( OFFSET($A$1, 2928 - 1, 54 - 1) = "0", OFFSET($A$1, 2928 - 1, 55 - 1) = "1" ), 3, 4 ) ) )</f>
        <v>4</v>
      </c>
    </row>
    <row r="2929" spans="53:56" x14ac:dyDescent="0.35">
      <c r="BA2929" s="3">
        <v>0.20454233603495561</v>
      </c>
      <c r="BB2929" s="3" t="str">
        <f>"0"</f>
        <v>0</v>
      </c>
      <c r="BC2929" t="str">
        <f ca="1">IF((OFFSET($A$1, 2929 - 1, 53 - 1)) &gt;= (OFFSET($A$1, 69 - 1, 7 - 1)), "1","0")</f>
        <v>0</v>
      </c>
      <c r="BD2929">
        <f ca="1" xml:space="preserve"> IF( AND( OFFSET($A$1, 2929 - 1, 54 - 1) = "1", OFFSET($A$1, 2929 - 1, 55 - 1) = "1" ), 1, IF( AND( OFFSET($A$1, 2929 - 1, 54 - 1) = "1", OFFSET($A$1, 2929 - 1, 55 - 1) = "0" ), 2, IF( AND( OFFSET($A$1, 2929 - 1, 54 - 1) = "0", OFFSET($A$1, 2929 - 1, 55 - 1) = "1" ), 3, 4 ) ) )</f>
        <v>4</v>
      </c>
    </row>
    <row r="2930" spans="53:56" x14ac:dyDescent="0.35">
      <c r="BA2930" s="3">
        <v>0.20402894137763078</v>
      </c>
      <c r="BB2930" s="3" t="str">
        <f>"0"</f>
        <v>0</v>
      </c>
      <c r="BC2930" t="str">
        <f ca="1">IF((OFFSET($A$1, 2930 - 1, 53 - 1)) &gt;= (OFFSET($A$1, 69 - 1, 7 - 1)), "1","0")</f>
        <v>0</v>
      </c>
      <c r="BD2930">
        <f ca="1" xml:space="preserve"> IF( AND( OFFSET($A$1, 2930 - 1, 54 - 1) = "1", OFFSET($A$1, 2930 - 1, 55 - 1) = "1" ), 1, IF( AND( OFFSET($A$1, 2930 - 1, 54 - 1) = "1", OFFSET($A$1, 2930 - 1, 55 - 1) = "0" ), 2, IF( AND( OFFSET($A$1, 2930 - 1, 54 - 1) = "0", OFFSET($A$1, 2930 - 1, 55 - 1) = "1" ), 3, 4 ) ) )</f>
        <v>4</v>
      </c>
    </row>
    <row r="2931" spans="53:56" x14ac:dyDescent="0.35">
      <c r="BA2931" s="3">
        <v>0.20353140155822469</v>
      </c>
      <c r="BB2931" s="3" t="str">
        <f>"0"</f>
        <v>0</v>
      </c>
      <c r="BC2931" t="str">
        <f ca="1">IF((OFFSET($A$1, 2931 - 1, 53 - 1)) &gt;= (OFFSET($A$1, 69 - 1, 7 - 1)), "1","0")</f>
        <v>0</v>
      </c>
      <c r="BD2931">
        <f ca="1" xml:space="preserve"> IF( AND( OFFSET($A$1, 2931 - 1, 54 - 1) = "1", OFFSET($A$1, 2931 - 1, 55 - 1) = "1" ), 1, IF( AND( OFFSET($A$1, 2931 - 1, 54 - 1) = "1", OFFSET($A$1, 2931 - 1, 55 - 1) = "0" ), 2, IF( AND( OFFSET($A$1, 2931 - 1, 54 - 1) = "0", OFFSET($A$1, 2931 - 1, 55 - 1) = "1" ), 3, 4 ) ) )</f>
        <v>4</v>
      </c>
    </row>
    <row r="2932" spans="53:56" x14ac:dyDescent="0.35">
      <c r="BA2932" s="3">
        <v>0.20304978203071111</v>
      </c>
      <c r="BB2932" s="3" t="str">
        <f>"0"</f>
        <v>0</v>
      </c>
      <c r="BC2932" t="str">
        <f ca="1">IF((OFFSET($A$1, 2932 - 1, 53 - 1)) &gt;= (OFFSET($A$1, 69 - 1, 7 - 1)), "1","0")</f>
        <v>0</v>
      </c>
      <c r="BD2932">
        <f ca="1" xml:space="preserve"> IF( AND( OFFSET($A$1, 2932 - 1, 54 - 1) = "1", OFFSET($A$1, 2932 - 1, 55 - 1) = "1" ), 1, IF( AND( OFFSET($A$1, 2932 - 1, 54 - 1) = "1", OFFSET($A$1, 2932 - 1, 55 - 1) = "0" ), 2, IF( AND( OFFSET($A$1, 2932 - 1, 54 - 1) = "0", OFFSET($A$1, 2932 - 1, 55 - 1) = "1" ), 3, 4 ) ) )</f>
        <v>4</v>
      </c>
    </row>
    <row r="2933" spans="53:56" x14ac:dyDescent="0.35">
      <c r="BA2933" s="3">
        <v>0.20258414525756788</v>
      </c>
      <c r="BB2933" s="3" t="str">
        <f>"0"</f>
        <v>0</v>
      </c>
      <c r="BC2933" t="str">
        <f ca="1">IF((OFFSET($A$1, 2933 - 1, 53 - 1)) &gt;= (OFFSET($A$1, 69 - 1, 7 - 1)), "1","0")</f>
        <v>0</v>
      </c>
      <c r="BD2933">
        <f ca="1" xml:space="preserve"> IF( AND( OFFSET($A$1, 2933 - 1, 54 - 1) = "1", OFFSET($A$1, 2933 - 1, 55 - 1) = "1" ), 1, IF( AND( OFFSET($A$1, 2933 - 1, 54 - 1) = "1", OFFSET($A$1, 2933 - 1, 55 - 1) = "0" ), 2, IF( AND( OFFSET($A$1, 2933 - 1, 54 - 1) = "0", OFFSET($A$1, 2933 - 1, 55 - 1) = "1" ), 3, 4 ) ) )</f>
        <v>4</v>
      </c>
    </row>
    <row r="2934" spans="53:56" x14ac:dyDescent="0.35">
      <c r="BA2934" s="3">
        <v>0.20213455078670653</v>
      </c>
      <c r="BB2934" s="3" t="str">
        <f>"0"</f>
        <v>0</v>
      </c>
      <c r="BC2934" t="str">
        <f ca="1">IF((OFFSET($A$1, 2934 - 1, 53 - 1)) &gt;= (OFFSET($A$1, 69 - 1, 7 - 1)), "1","0")</f>
        <v>0</v>
      </c>
      <c r="BD2934">
        <f ca="1" xml:space="preserve"> IF( AND( OFFSET($A$1, 2934 - 1, 54 - 1) = "1", OFFSET($A$1, 2934 - 1, 55 - 1) = "1" ), 1, IF( AND( OFFSET($A$1, 2934 - 1, 54 - 1) = "1", OFFSET($A$1, 2934 - 1, 55 - 1) = "0" ), 2, IF( AND( OFFSET($A$1, 2934 - 1, 54 - 1) = "0", OFFSET($A$1, 2934 - 1, 55 - 1) = "1" ), 3, 4 ) ) )</f>
        <v>4</v>
      </c>
    </row>
    <row r="2935" spans="53:56" x14ac:dyDescent="0.35">
      <c r="BA2935" s="3">
        <v>0.20170105532683283</v>
      </c>
      <c r="BB2935" s="3" t="str">
        <f>"0"</f>
        <v>0</v>
      </c>
      <c r="BC2935" t="str">
        <f ca="1">IF((OFFSET($A$1, 2935 - 1, 53 - 1)) &gt;= (OFFSET($A$1, 69 - 1, 7 - 1)), "1","0")</f>
        <v>0</v>
      </c>
      <c r="BD2935">
        <f ca="1" xml:space="preserve"> IF( AND( OFFSET($A$1, 2935 - 1, 54 - 1) = "1", OFFSET($A$1, 2935 - 1, 55 - 1) = "1" ), 1, IF( AND( OFFSET($A$1, 2935 - 1, 54 - 1) = "1", OFFSET($A$1, 2935 - 1, 55 - 1) = "0" ), 2, IF( AND( OFFSET($A$1, 2935 - 1, 54 - 1) = "0", OFFSET($A$1, 2935 - 1, 55 - 1) = "1" ), 3, 4 ) ) )</f>
        <v>4</v>
      </c>
    </row>
    <row r="2936" spans="53:56" x14ac:dyDescent="0.35">
      <c r="BA2936" s="3">
        <v>0.20128371282112822</v>
      </c>
      <c r="BB2936" s="3" t="str">
        <f>"0"</f>
        <v>0</v>
      </c>
      <c r="BC2936" t="str">
        <f ca="1">IF((OFFSET($A$1, 2936 - 1, 53 - 1)) &gt;= (OFFSET($A$1, 69 - 1, 7 - 1)), "1","0")</f>
        <v>0</v>
      </c>
      <c r="BD2936">
        <f ca="1" xml:space="preserve"> IF( AND( OFFSET($A$1, 2936 - 1, 54 - 1) = "1", OFFSET($A$1, 2936 - 1, 55 - 1) = "1" ), 1, IF( AND( OFFSET($A$1, 2936 - 1, 54 - 1) = "1", OFFSET($A$1, 2936 - 1, 55 - 1) = "0" ), 2, IF( AND( OFFSET($A$1, 2936 - 1, 54 - 1) = "0", OFFSET($A$1, 2936 - 1, 55 - 1) = "1" ), 3, 4 ) ) )</f>
        <v>4</v>
      </c>
    </row>
    <row r="2937" spans="53:56" x14ac:dyDescent="0.35">
      <c r="BA2937" s="3">
        <v>0.20088257451913943</v>
      </c>
      <c r="BB2937" s="3" t="str">
        <f>"0"</f>
        <v>0</v>
      </c>
      <c r="BC2937" t="str">
        <f ca="1">IF((OFFSET($A$1, 2937 - 1, 53 - 1)) &gt;= (OFFSET($A$1, 69 - 1, 7 - 1)), "1","0")</f>
        <v>0</v>
      </c>
      <c r="BD2937">
        <f ca="1" xml:space="preserve"> IF( AND( OFFSET($A$1, 2937 - 1, 54 - 1) = "1", OFFSET($A$1, 2937 - 1, 55 - 1) = "1" ), 1, IF( AND( OFFSET($A$1, 2937 - 1, 54 - 1) = "1", OFFSET($A$1, 2937 - 1, 55 - 1) = "0" ), 2, IF( AND( OFFSET($A$1, 2937 - 1, 54 - 1) = "0", OFFSET($A$1, 2937 - 1, 55 - 1) = "1" ), 3, 4 ) ) )</f>
        <v>4</v>
      </c>
    </row>
    <row r="2938" spans="53:56" x14ac:dyDescent="0.35">
      <c r="BA2938" s="3">
        <v>0.2004976890467717</v>
      </c>
      <c r="BB2938" s="3" t="str">
        <f>"0"</f>
        <v>0</v>
      </c>
      <c r="BC2938" t="str">
        <f ca="1">IF((OFFSET($A$1, 2938 - 1, 53 - 1)) &gt;= (OFFSET($A$1, 69 - 1, 7 - 1)), "1","0")</f>
        <v>0</v>
      </c>
      <c r="BD2938">
        <f ca="1" xml:space="preserve"> IF( AND( OFFSET($A$1, 2938 - 1, 54 - 1) = "1", OFFSET($A$1, 2938 - 1, 55 - 1) = "1" ), 1, IF( AND( OFFSET($A$1, 2938 - 1, 54 - 1) = "1", OFFSET($A$1, 2938 - 1, 55 - 1) = "0" ), 2, IF( AND( OFFSET($A$1, 2938 - 1, 54 - 1) = "0", OFFSET($A$1, 2938 - 1, 55 - 1) = "1" ), 3, 4 ) ) )</f>
        <v>4</v>
      </c>
    </row>
    <row r="2939" spans="53:56" x14ac:dyDescent="0.35">
      <c r="BA2939" s="3">
        <v>0.20012910247428281</v>
      </c>
      <c r="BB2939" s="3" t="str">
        <f>"0"</f>
        <v>0</v>
      </c>
      <c r="BC2939" t="str">
        <f ca="1">IF((OFFSET($A$1, 2939 - 1, 53 - 1)) &gt;= (OFFSET($A$1, 69 - 1, 7 - 1)), "1","0")</f>
        <v>0</v>
      </c>
      <c r="BD2939">
        <f ca="1" xml:space="preserve"> IF( AND( OFFSET($A$1, 2939 - 1, 54 - 1) = "1", OFFSET($A$1, 2939 - 1, 55 - 1) = "1" ), 1, IF( AND( OFFSET($A$1, 2939 - 1, 54 - 1) = "1", OFFSET($A$1, 2939 - 1, 55 - 1) = "0" ), 2, IF( AND( OFFSET($A$1, 2939 - 1, 54 - 1) = "0", OFFSET($A$1, 2939 - 1, 55 - 1) = "1" ), 3, 4 ) ) )</f>
        <v>4</v>
      </c>
    </row>
    <row r="2940" spans="53:56" x14ac:dyDescent="0.35">
      <c r="BA2940" s="3">
        <v>0.19977685838218345</v>
      </c>
      <c r="BB2940" s="3" t="str">
        <f>"0"</f>
        <v>0</v>
      </c>
      <c r="BC2940" t="str">
        <f ca="1">IF((OFFSET($A$1, 2940 - 1, 53 - 1)) &gt;= (OFFSET($A$1, 69 - 1, 7 - 1)), "1","0")</f>
        <v>0</v>
      </c>
      <c r="BD2940">
        <f ca="1" xml:space="preserve"> IF( AND( OFFSET($A$1, 2940 - 1, 54 - 1) = "1", OFFSET($A$1, 2940 - 1, 55 - 1) = "1" ), 1, IF( AND( OFFSET($A$1, 2940 - 1, 54 - 1) = "1", OFFSET($A$1, 2940 - 1, 55 - 1) = "0" ), 2, IF( AND( OFFSET($A$1, 2940 - 1, 54 - 1) = "0", OFFSET($A$1, 2940 - 1, 55 - 1) = "1" ), 3, 4 ) ) )</f>
        <v>4</v>
      </c>
    </row>
    <row r="2941" spans="53:56" x14ac:dyDescent="0.35">
      <c r="BA2941" s="3">
        <v>0.19944099792494702</v>
      </c>
      <c r="BB2941" s="3" t="str">
        <f>"1"</f>
        <v>1</v>
      </c>
      <c r="BC2941" t="str">
        <f ca="1">IF((OFFSET($A$1, 2941 - 1, 53 - 1)) &gt;= (OFFSET($A$1, 69 - 1, 7 - 1)), "1","0")</f>
        <v>0</v>
      </c>
      <c r="BD2941">
        <f ca="1" xml:space="preserve"> IF( AND( OFFSET($A$1, 2941 - 1, 54 - 1) = "1", OFFSET($A$1, 2941 - 1, 55 - 1) = "1" ), 1, IF( AND( OFFSET($A$1, 2941 - 1, 54 - 1) = "1", OFFSET($A$1, 2941 - 1, 55 - 1) = "0" ), 2, IF( AND( OFFSET($A$1, 2941 - 1, 54 - 1) = "0", OFFSET($A$1, 2941 - 1, 55 - 1) = "1" ), 3, 4 ) ) )</f>
        <v>2</v>
      </c>
    </row>
    <row r="2942" spans="53:56" x14ac:dyDescent="0.35">
      <c r="BA2942" s="3">
        <v>0.43697266198224549</v>
      </c>
      <c r="BB2942" s="3" t="str">
        <f>"1"</f>
        <v>1</v>
      </c>
      <c r="BC2942" t="str">
        <f ca="1">IF((OFFSET($A$1, 2942 - 1, 53 - 1)) &gt;= (OFFSET($A$1, 69 - 1, 7 - 1)), "1","0")</f>
        <v>0</v>
      </c>
      <c r="BD2942">
        <f ca="1" xml:space="preserve"> IF( AND( OFFSET($A$1, 2942 - 1, 54 - 1) = "1", OFFSET($A$1, 2942 - 1, 55 - 1) = "1" ), 1, IF( AND( OFFSET($A$1, 2942 - 1, 54 - 1) = "1", OFFSET($A$1, 2942 - 1, 55 - 1) = "0" ), 2, IF( AND( OFFSET($A$1, 2942 - 1, 54 - 1) = "0", OFFSET($A$1, 2942 - 1, 55 - 1) = "1" ), 3, 4 ) ) )</f>
        <v>2</v>
      </c>
    </row>
    <row r="2943" spans="53:56" x14ac:dyDescent="0.35">
      <c r="BA2943" s="3">
        <v>0.43650502606054881</v>
      </c>
      <c r="BB2943" s="3" t="str">
        <f>"1"</f>
        <v>1</v>
      </c>
      <c r="BC2943" t="str">
        <f ca="1">IF((OFFSET($A$1, 2943 - 1, 53 - 1)) &gt;= (OFFSET($A$1, 69 - 1, 7 - 1)), "1","0")</f>
        <v>0</v>
      </c>
      <c r="BD2943">
        <f ca="1" xml:space="preserve"> IF( AND( OFFSET($A$1, 2943 - 1, 54 - 1) = "1", OFFSET($A$1, 2943 - 1, 55 - 1) = "1" ), 1, IF( AND( OFFSET($A$1, 2943 - 1, 54 - 1) = "1", OFFSET($A$1, 2943 - 1, 55 - 1) = "0" ), 2, IF( AND( OFFSET($A$1, 2943 - 1, 54 - 1) = "0", OFFSET($A$1, 2943 - 1, 55 - 1) = "1" ), 3, 4 ) ) )</f>
        <v>2</v>
      </c>
    </row>
    <row r="2944" spans="53:56" x14ac:dyDescent="0.35">
      <c r="BA2944" s="3">
        <v>0.4360624575369253</v>
      </c>
      <c r="BB2944" s="3" t="str">
        <f>"0"</f>
        <v>0</v>
      </c>
      <c r="BC2944" t="str">
        <f ca="1">IF((OFFSET($A$1, 2944 - 1, 53 - 1)) &gt;= (OFFSET($A$1, 69 - 1, 7 - 1)), "1","0")</f>
        <v>0</v>
      </c>
      <c r="BD2944">
        <f ca="1" xml:space="preserve"> IF( AND( OFFSET($A$1, 2944 - 1, 54 - 1) = "1", OFFSET($A$1, 2944 - 1, 55 - 1) = "1" ), 1, IF( AND( OFFSET($A$1, 2944 - 1, 54 - 1) = "1", OFFSET($A$1, 2944 - 1, 55 - 1) = "0" ), 2, IF( AND( OFFSET($A$1, 2944 - 1, 54 - 1) = "0", OFFSET($A$1, 2944 - 1, 55 - 1) = "1" ), 3, 4 ) ) )</f>
        <v>4</v>
      </c>
    </row>
    <row r="2945" spans="53:56" x14ac:dyDescent="0.35">
      <c r="BA2945" s="3">
        <v>0.19826213399638989</v>
      </c>
      <c r="BB2945" s="3" t="str">
        <f>"0"</f>
        <v>0</v>
      </c>
      <c r="BC2945" t="str">
        <f ca="1">IF((OFFSET($A$1, 2945 - 1, 53 - 1)) &gt;= (OFFSET($A$1, 69 - 1, 7 - 1)), "1","0")</f>
        <v>0</v>
      </c>
      <c r="BD2945">
        <f ca="1" xml:space="preserve"> IF( AND( OFFSET($A$1, 2945 - 1, 54 - 1) = "1", OFFSET($A$1, 2945 - 1, 55 - 1) = "1" ), 1, IF( AND( OFFSET($A$1, 2945 - 1, 54 - 1) = "1", OFFSET($A$1, 2945 - 1, 55 - 1) = "0" ), 2, IF( AND( OFFSET($A$1, 2945 - 1, 54 - 1) = "0", OFFSET($A$1, 2945 - 1, 55 - 1) = "1" ), 3, 4 ) ) )</f>
        <v>4</v>
      </c>
    </row>
    <row r="2946" spans="53:56" x14ac:dyDescent="0.35">
      <c r="BA2946" s="3">
        <v>0.19800872828526345</v>
      </c>
      <c r="BB2946" s="3" t="str">
        <f>"0"</f>
        <v>0</v>
      </c>
      <c r="BC2946" t="str">
        <f ca="1">IF((OFFSET($A$1, 2946 - 1, 53 - 1)) &gt;= (OFFSET($A$1, 69 - 1, 7 - 1)), "1","0")</f>
        <v>0</v>
      </c>
      <c r="BD2946">
        <f ca="1" xml:space="preserve"> IF( AND( OFFSET($A$1, 2946 - 1, 54 - 1) = "1", OFFSET($A$1, 2946 - 1, 55 - 1) = "1" ), 1, IF( AND( OFFSET($A$1, 2946 - 1, 54 - 1) = "1", OFFSET($A$1, 2946 - 1, 55 - 1) = "0" ), 2, IF( AND( OFFSET($A$1, 2946 - 1, 54 - 1) = "0", OFFSET($A$1, 2946 - 1, 55 - 1) = "1" ), 3, 4 ) ) )</f>
        <v>4</v>
      </c>
    </row>
    <row r="2947" spans="53:56" x14ac:dyDescent="0.35">
      <c r="BA2947" s="3">
        <v>0.19777190545976411</v>
      </c>
      <c r="BB2947" s="3" t="str">
        <f>"0"</f>
        <v>0</v>
      </c>
      <c r="BC2947" t="str">
        <f ca="1">IF((OFFSET($A$1, 2947 - 1, 53 - 1)) &gt;= (OFFSET($A$1, 69 - 1, 7 - 1)), "1","0")</f>
        <v>0</v>
      </c>
      <c r="BD2947">
        <f ca="1" xml:space="preserve"> IF( AND( OFFSET($A$1, 2947 - 1, 54 - 1) = "1", OFFSET($A$1, 2947 - 1, 55 - 1) = "1" ), 1, IF( AND( OFFSET($A$1, 2947 - 1, 54 - 1) = "1", OFFSET($A$1, 2947 - 1, 55 - 1) = "0" ), 2, IF( AND( OFFSET($A$1, 2947 - 1, 54 - 1) = "0", OFFSET($A$1, 2947 - 1, 55 - 1) = "1" ), 3, 4 ) ) )</f>
        <v>4</v>
      </c>
    </row>
    <row r="2948" spans="53:56" x14ac:dyDescent="0.35">
      <c r="BA2948" s="3">
        <v>0.19755169127469852</v>
      </c>
      <c r="BB2948" s="3" t="str">
        <f>"0"</f>
        <v>0</v>
      </c>
      <c r="BC2948" t="str">
        <f ca="1">IF((OFFSET($A$1, 2948 - 1, 53 - 1)) &gt;= (OFFSET($A$1, 69 - 1, 7 - 1)), "1","0")</f>
        <v>0</v>
      </c>
      <c r="BD2948">
        <f ca="1" xml:space="preserve"> IF( AND( OFFSET($A$1, 2948 - 1, 54 - 1) = "1", OFFSET($A$1, 2948 - 1, 55 - 1) = "1" ), 1, IF( AND( OFFSET($A$1, 2948 - 1, 54 - 1) = "1", OFFSET($A$1, 2948 - 1, 55 - 1) = "0" ), 2, IF( AND( OFFSET($A$1, 2948 - 1, 54 - 1) = "0", OFFSET($A$1, 2948 - 1, 55 - 1) = "1" ), 3, 4 ) ) )</f>
        <v>4</v>
      </c>
    </row>
    <row r="2949" spans="53:56" x14ac:dyDescent="0.35">
      <c r="BA2949" s="3">
        <v>0.19734810948002657</v>
      </c>
      <c r="BB2949" s="3" t="str">
        <f>"0"</f>
        <v>0</v>
      </c>
      <c r="BC2949" t="str">
        <f ca="1">IF((OFFSET($A$1, 2949 - 1, 53 - 1)) &gt;= (OFFSET($A$1, 69 - 1, 7 - 1)), "1","0")</f>
        <v>0</v>
      </c>
      <c r="BD2949">
        <f ca="1" xml:space="preserve"> IF( AND( OFFSET($A$1, 2949 - 1, 54 - 1) = "1", OFFSET($A$1, 2949 - 1, 55 - 1) = "1" ), 1, IF( AND( OFFSET($A$1, 2949 - 1, 54 - 1) = "1", OFFSET($A$1, 2949 - 1, 55 - 1) = "0" ), 2, IF( AND( OFFSET($A$1, 2949 - 1, 54 - 1) = "0", OFFSET($A$1, 2949 - 1, 55 - 1) = "1" ), 3, 4 ) ) )</f>
        <v>4</v>
      </c>
    </row>
    <row r="2950" spans="53:56" x14ac:dyDescent="0.35">
      <c r="BA2950" s="3">
        <v>0.19716118186140622</v>
      </c>
      <c r="BB2950" s="3" t="str">
        <f>"0"</f>
        <v>0</v>
      </c>
      <c r="BC2950" t="str">
        <f ca="1">IF((OFFSET($A$1, 2950 - 1, 53 - 1)) &gt;= (OFFSET($A$1, 69 - 1, 7 - 1)), "1","0")</f>
        <v>0</v>
      </c>
      <c r="BD2950">
        <f ca="1" xml:space="preserve"> IF( AND( OFFSET($A$1, 2950 - 1, 54 - 1) = "1", OFFSET($A$1, 2950 - 1, 55 - 1) = "1" ), 1, IF( AND( OFFSET($A$1, 2950 - 1, 54 - 1) = "1", OFFSET($A$1, 2950 - 1, 55 - 1) = "0" ), 2, IF( AND( OFFSET($A$1, 2950 - 1, 54 - 1) = "0", OFFSET($A$1, 2950 - 1, 55 - 1) = "1" ), 3, 4 ) ) )</f>
        <v>4</v>
      </c>
    </row>
    <row r="2951" spans="53:56" x14ac:dyDescent="0.35">
      <c r="BA2951" s="3">
        <v>0.19699092827785733</v>
      </c>
      <c r="BB2951" s="3" t="str">
        <f>"0"</f>
        <v>0</v>
      </c>
      <c r="BC2951" t="str">
        <f ca="1">IF((OFFSET($A$1, 2951 - 1, 53 - 1)) &gt;= (OFFSET($A$1, 69 - 1, 7 - 1)), "1","0")</f>
        <v>0</v>
      </c>
      <c r="BD2951">
        <f ca="1" xml:space="preserve"> IF( AND( OFFSET($A$1, 2951 - 1, 54 - 1) = "1", OFFSET($A$1, 2951 - 1, 55 - 1) = "1" ), 1, IF( AND( OFFSET($A$1, 2951 - 1, 54 - 1) = "1", OFFSET($A$1, 2951 - 1, 55 - 1) = "0" ), 2, IF( AND( OFFSET($A$1, 2951 - 1, 54 - 1) = "0", OFFSET($A$1, 2951 - 1, 55 - 1) = "1" ), 3, 4 ) ) )</f>
        <v>4</v>
      </c>
    </row>
    <row r="2952" spans="53:56" x14ac:dyDescent="0.35">
      <c r="BA2952" s="3">
        <v>0.19683736669649451</v>
      </c>
      <c r="BB2952" s="3" t="str">
        <f>"0"</f>
        <v>0</v>
      </c>
      <c r="BC2952" t="str">
        <f ca="1">IF((OFFSET($A$1, 2952 - 1, 53 - 1)) &gt;= (OFFSET($A$1, 69 - 1, 7 - 1)), "1","0")</f>
        <v>0</v>
      </c>
      <c r="BD2952">
        <f ca="1" xml:space="preserve"> IF( AND( OFFSET($A$1, 2952 - 1, 54 - 1) = "1", OFFSET($A$1, 2952 - 1, 55 - 1) = "1" ), 1, IF( AND( OFFSET($A$1, 2952 - 1, 54 - 1) = "1", OFFSET($A$1, 2952 - 1, 55 - 1) = "0" ), 2, IF( AND( OFFSET($A$1, 2952 - 1, 54 - 1) = "0", OFFSET($A$1, 2952 - 1, 55 - 1) = "1" ), 3, 4 ) ) )</f>
        <v>4</v>
      </c>
    </row>
    <row r="2953" spans="53:56" x14ac:dyDescent="0.35">
      <c r="BA2953" s="3">
        <v>0.19670051322428761</v>
      </c>
      <c r="BB2953" s="3" t="str">
        <f>"1"</f>
        <v>1</v>
      </c>
      <c r="BC2953" t="str">
        <f ca="1">IF((OFFSET($A$1, 2953 - 1, 53 - 1)) &gt;= (OFFSET($A$1, 69 - 1, 7 - 1)), "1","0")</f>
        <v>0</v>
      </c>
      <c r="BD2953">
        <f ca="1" xml:space="preserve"> IF( AND( OFFSET($A$1, 2953 - 1, 54 - 1) = "1", OFFSET($A$1, 2953 - 1, 55 - 1) = "1" ), 1, IF( AND( OFFSET($A$1, 2953 - 1, 54 - 1) = "1", OFFSET($A$1, 2953 - 1, 55 - 1) = "0" ), 2, IF( AND( OFFSET($A$1, 2953 - 1, 54 - 1) = "0", OFFSET($A$1, 2953 - 1, 55 - 1) = "1" ), 3, 4 ) ) )</f>
        <v>2</v>
      </c>
    </row>
    <row r="2954" spans="53:56" x14ac:dyDescent="0.35">
      <c r="BA2954" s="3">
        <v>0.43303731463017725</v>
      </c>
      <c r="BB2954" s="3" t="str">
        <f>"1"</f>
        <v>1</v>
      </c>
      <c r="BC2954" t="str">
        <f ca="1">IF((OFFSET($A$1, 2954 - 1, 53 - 1)) &gt;= (OFFSET($A$1, 69 - 1, 7 - 1)), "1","0")</f>
        <v>0</v>
      </c>
      <c r="BD2954">
        <f ca="1" xml:space="preserve"> IF( AND( OFFSET($A$1, 2954 - 1, 54 - 1) = "1", OFFSET($A$1, 2954 - 1, 55 - 1) = "1" ), 1, IF( AND( OFFSET($A$1, 2954 - 1, 54 - 1) = "1", OFFSET($A$1, 2954 - 1, 55 - 1) = "0" ), 2, IF( AND( OFFSET($A$1, 2954 - 1, 54 - 1) = "0", OFFSET($A$1, 2954 - 1, 55 - 1) = "1" ), 3, 4 ) ) )</f>
        <v>2</v>
      </c>
    </row>
    <row r="2955" spans="53:56" x14ac:dyDescent="0.35">
      <c r="BA2955" s="3">
        <v>0.4328765579084845</v>
      </c>
      <c r="BB2955" s="3" t="str">
        <f>"0"</f>
        <v>0</v>
      </c>
      <c r="BC2955" t="str">
        <f ca="1">IF((OFFSET($A$1, 2955 - 1, 53 - 1)) &gt;= (OFFSET($A$1, 69 - 1, 7 - 1)), "1","0")</f>
        <v>0</v>
      </c>
      <c r="BD2955">
        <f ca="1" xml:space="preserve"> IF( AND( OFFSET($A$1, 2955 - 1, 54 - 1) = "1", OFFSET($A$1, 2955 - 1, 55 - 1) = "1" ), 1, IF( AND( OFFSET($A$1, 2955 - 1, 54 - 1) = "1", OFFSET($A$1, 2955 - 1, 55 - 1) = "0" ), 2, IF( AND( OFFSET($A$1, 2955 - 1, 54 - 1) = "0", OFFSET($A$1, 2955 - 1, 55 - 1) = "1" ), 3, 4 ) ) )</f>
        <v>4</v>
      </c>
    </row>
    <row r="2956" spans="53:56" x14ac:dyDescent="0.35">
      <c r="BA2956" s="3">
        <v>0.19639033521251906</v>
      </c>
      <c r="BB2956" s="3" t="str">
        <f>"0"</f>
        <v>0</v>
      </c>
      <c r="BC2956" t="str">
        <f ca="1">IF((OFFSET($A$1, 2956 - 1, 53 - 1)) &gt;= (OFFSET($A$1, 69 - 1, 7 - 1)), "1","0")</f>
        <v>0</v>
      </c>
      <c r="BD2956">
        <f ca="1" xml:space="preserve"> IF( AND( OFFSET($A$1, 2956 - 1, 54 - 1) = "1", OFFSET($A$1, 2956 - 1, 55 - 1) = "1" ), 1, IF( AND( OFFSET($A$1, 2956 - 1, 54 - 1) = "1", OFFSET($A$1, 2956 - 1, 55 - 1) = "0" ), 2, IF( AND( OFFSET($A$1, 2956 - 1, 54 - 1) = "0", OFFSET($A$1, 2956 - 1, 55 - 1) = "1" ), 3, 4 ) ) )</f>
        <v>4</v>
      </c>
    </row>
    <row r="2957" spans="53:56" x14ac:dyDescent="0.35">
      <c r="BA2957" s="3">
        <v>0.19632043898579168</v>
      </c>
      <c r="BB2957" s="3" t="str">
        <f>"0"</f>
        <v>0</v>
      </c>
      <c r="BC2957" t="str">
        <f ca="1">IF((OFFSET($A$1, 2957 - 1, 53 - 1)) &gt;= (OFFSET($A$1, 69 - 1, 7 - 1)), "1","0")</f>
        <v>0</v>
      </c>
      <c r="BD2957">
        <f ca="1" xml:space="preserve"> IF( AND( OFFSET($A$1, 2957 - 1, 54 - 1) = "1", OFFSET($A$1, 2957 - 1, 55 - 1) = "1" ), 1, IF( AND( OFFSET($A$1, 2957 - 1, 54 - 1) = "1", OFFSET($A$1, 2957 - 1, 55 - 1) = "0" ), 2, IF( AND( OFFSET($A$1, 2957 - 1, 54 - 1) = "0", OFFSET($A$1, 2957 - 1, 55 - 1) = "1" ), 3, 4 ) ) )</f>
        <v>4</v>
      </c>
    </row>
    <row r="2958" spans="53:56" x14ac:dyDescent="0.35">
      <c r="BA2958" s="3">
        <v>0.19626730439988885</v>
      </c>
      <c r="BB2958" s="3" t="str">
        <f>"0"</f>
        <v>0</v>
      </c>
      <c r="BC2958" t="str">
        <f ca="1">IF((OFFSET($A$1, 2958 - 1, 53 - 1)) &gt;= (OFFSET($A$1, 69 - 1, 7 - 1)), "1","0")</f>
        <v>0</v>
      </c>
      <c r="BD2958">
        <f ca="1" xml:space="preserve"> IF( AND( OFFSET($A$1, 2958 - 1, 54 - 1) = "1", OFFSET($A$1, 2958 - 1, 55 - 1) = "1" ), 1, IF( AND( OFFSET($A$1, 2958 - 1, 54 - 1) = "1", OFFSET($A$1, 2958 - 1, 55 - 1) = "0" ), 2, IF( AND( OFFSET($A$1, 2958 - 1, 54 - 1) = "0", OFFSET($A$1, 2958 - 1, 55 - 1) = "1" ), 3, 4 ) ) )</f>
        <v>4</v>
      </c>
    </row>
    <row r="2959" spans="53:56" x14ac:dyDescent="0.35">
      <c r="BA2959" s="3">
        <v>0.19623093689702617</v>
      </c>
      <c r="BB2959" s="3" t="str">
        <f>"0"</f>
        <v>0</v>
      </c>
      <c r="BC2959" t="str">
        <f ca="1">IF((OFFSET($A$1, 2959 - 1, 53 - 1)) &gt;= (OFFSET($A$1, 69 - 1, 7 - 1)), "1","0")</f>
        <v>0</v>
      </c>
      <c r="BD2959">
        <f ca="1" xml:space="preserve"> IF( AND( OFFSET($A$1, 2959 - 1, 54 - 1) = "1", OFFSET($A$1, 2959 - 1, 55 - 1) = "1" ), 1, IF( AND( OFFSET($A$1, 2959 - 1, 54 - 1) = "1", OFFSET($A$1, 2959 - 1, 55 - 1) = "0" ), 2, IF( AND( OFFSET($A$1, 2959 - 1, 54 - 1) = "0", OFFSET($A$1, 2959 - 1, 55 - 1) = "1" ), 3, 4 ) ) )</f>
        <v>4</v>
      </c>
    </row>
    <row r="2960" spans="53:56" x14ac:dyDescent="0.35">
      <c r="BA2960" s="3">
        <v>0.19621134019559694</v>
      </c>
      <c r="BB2960" s="3" t="str">
        <f>"1"</f>
        <v>1</v>
      </c>
      <c r="BC2960" t="str">
        <f ca="1">IF((OFFSET($A$1, 2960 - 1, 53 - 1)) &gt;= (OFFSET($A$1, 69 - 1, 7 - 1)), "1","0")</f>
        <v>0</v>
      </c>
      <c r="BD2960">
        <f ca="1" xml:space="preserve"> IF( AND( OFFSET($A$1, 2960 - 1, 54 - 1) = "1", OFFSET($A$1, 2960 - 1, 55 - 1) = "1" ), 1, IF( AND( OFFSET($A$1, 2960 - 1, 54 - 1) = "1", OFFSET($A$1, 2960 - 1, 55 - 1) = "0" ), 2, IF( AND( OFFSET($A$1, 2960 - 1, 54 - 1) = "0", OFFSET($A$1, 2960 - 1, 55 - 1) = "1" ), 3, 4 ) ) )</f>
        <v>2</v>
      </c>
    </row>
    <row r="2961" spans="53:56" x14ac:dyDescent="0.35">
      <c r="BA2961" s="3">
        <v>0.43245891855939339</v>
      </c>
      <c r="BB2961" s="3" t="str">
        <f>"1"</f>
        <v>1</v>
      </c>
      <c r="BC2961" t="str">
        <f ca="1">IF((OFFSET($A$1, 2961 - 1, 53 - 1)) &gt;= (OFFSET($A$1, 69 - 1, 7 - 1)), "1","0")</f>
        <v>0</v>
      </c>
      <c r="BD2961">
        <f ca="1" xml:space="preserve"> IF( AND( OFFSET($A$1, 2961 - 1, 54 - 1) = "1", OFFSET($A$1, 2961 - 1, 55 - 1) = "1" ), 1, IF( AND( OFFSET($A$1, 2961 - 1, 54 - 1) = "1", OFFSET($A$1, 2961 - 1, 55 - 1) = "0" ), 2, IF( AND( OFFSET($A$1, 2961 - 1, 54 - 1) = "0", OFFSET($A$1, 2961 - 1, 55 - 1) = "1" ), 3, 4 ) ) )</f>
        <v>2</v>
      </c>
    </row>
    <row r="2962" spans="53:56" x14ac:dyDescent="0.35">
      <c r="BA2962" s="3">
        <v>0.4324806266140121</v>
      </c>
      <c r="BB2962" s="3" t="str">
        <f>"1"</f>
        <v>1</v>
      </c>
      <c r="BC2962" t="str">
        <f ca="1">IF((OFFSET($A$1, 2962 - 1, 53 - 1)) &gt;= (OFFSET($A$1, 69 - 1, 7 - 1)), "1","0")</f>
        <v>0</v>
      </c>
      <c r="BD2962">
        <f ca="1" xml:space="preserve"> IF( AND( OFFSET($A$1, 2962 - 1, 54 - 1) = "1", OFFSET($A$1, 2962 - 1, 55 - 1) = "1" ), 1, IF( AND( OFFSET($A$1, 2962 - 1, 54 - 1) = "1", OFFSET($A$1, 2962 - 1, 55 - 1) = "0" ), 2, IF( AND( OFFSET($A$1, 2962 - 1, 54 - 1) = "0", OFFSET($A$1, 2962 - 1, 55 - 1) = "1" ), 3, 4 ) ) )</f>
        <v>2</v>
      </c>
    </row>
    <row r="2963" spans="53:56" x14ac:dyDescent="0.35">
      <c r="BA2963" s="3">
        <v>0.43252843192354556</v>
      </c>
      <c r="BB2963" s="3" t="str">
        <f>"1"</f>
        <v>1</v>
      </c>
      <c r="BC2963" t="str">
        <f ca="1">IF((OFFSET($A$1, 2963 - 1, 53 - 1)) &gt;= (OFFSET($A$1, 69 - 1, 7 - 1)), "1","0")</f>
        <v>0</v>
      </c>
      <c r="BD2963">
        <f ca="1" xml:space="preserve"> IF( AND( OFFSET($A$1, 2963 - 1, 54 - 1) = "1", OFFSET($A$1, 2963 - 1, 55 - 1) = "1" ), 1, IF( AND( OFFSET($A$1, 2963 - 1, 54 - 1) = "1", OFFSET($A$1, 2963 - 1, 55 - 1) = "0" ), 2, IF( AND( OFFSET($A$1, 2963 - 1, 54 - 1) = "0", OFFSET($A$1, 2963 - 1, 55 - 1) = "1" ), 3, 4 ) ) )</f>
        <v>2</v>
      </c>
    </row>
    <row r="2964" spans="53:56" x14ac:dyDescent="0.35">
      <c r="BA2964" s="3">
        <v>0.43260232239806617</v>
      </c>
      <c r="BB2964" s="3" t="str">
        <f>"0"</f>
        <v>0</v>
      </c>
      <c r="BC2964" t="str">
        <f ca="1">IF((OFFSET($A$1, 2964 - 1, 53 - 1)) &gt;= (OFFSET($A$1, 69 - 1, 7 - 1)), "1","0")</f>
        <v>0</v>
      </c>
      <c r="BD2964">
        <f ca="1" xml:space="preserve"> IF( AND( OFFSET($A$1, 2964 - 1, 54 - 1) = "1", OFFSET($A$1, 2964 - 1, 55 - 1) = "1" ), 1, IF( AND( OFFSET($A$1, 2964 - 1, 54 - 1) = "1", OFFSET($A$1, 2964 - 1, 55 - 1) = "0" ), 2, IF( AND( OFFSET($A$1, 2964 - 1, 54 - 1) = "0", OFFSET($A$1, 2964 - 1, 55 - 1) = "1" ), 3, 4 ) ) )</f>
        <v>4</v>
      </c>
    </row>
    <row r="2965" spans="53:56" x14ac:dyDescent="0.35">
      <c r="BA2965" s="3">
        <v>0.19636492878900189</v>
      </c>
      <c r="BB2965" s="3" t="str">
        <f>"0"</f>
        <v>0</v>
      </c>
      <c r="BC2965" t="str">
        <f ca="1">IF((OFFSET($A$1, 2965 - 1, 53 - 1)) &gt;= (OFFSET($A$1, 69 - 1, 7 - 1)), "1","0")</f>
        <v>0</v>
      </c>
      <c r="BD2965">
        <f ca="1" xml:space="preserve"> IF( AND( OFFSET($A$1, 2965 - 1, 54 - 1) = "1", OFFSET($A$1, 2965 - 1, 55 - 1) = "1" ), 1, IF( AND( OFFSET($A$1, 2965 - 1, 54 - 1) = "1", OFFSET($A$1, 2965 - 1, 55 - 1) = "0" ), 2, IF( AND( OFFSET($A$1, 2965 - 1, 54 - 1) = "0", OFFSET($A$1, 2965 - 1, 55 - 1) = "1" ), 3, 4 ) ) )</f>
        <v>4</v>
      </c>
    </row>
    <row r="2966" spans="53:56" x14ac:dyDescent="0.35">
      <c r="BA2966" s="3">
        <v>0.19644593891742526</v>
      </c>
      <c r="BB2966" s="3" t="str">
        <f>"1"</f>
        <v>1</v>
      </c>
      <c r="BC2966" t="str">
        <f ca="1">IF((OFFSET($A$1, 2966 - 1, 53 - 1)) &gt;= (OFFSET($A$1, 69 - 1, 7 - 1)), "1","0")</f>
        <v>0</v>
      </c>
      <c r="BD2966">
        <f ca="1" xml:space="preserve"> IF( AND( OFFSET($A$1, 2966 - 1, 54 - 1) = "1", OFFSET($A$1, 2966 - 1, 55 - 1) = "1" ), 1, IF( AND( OFFSET($A$1, 2966 - 1, 54 - 1) = "1", OFFSET($A$1, 2966 - 1, 55 - 1) = "0" ), 2, IF( AND( OFFSET($A$1, 2966 - 1, 54 - 1) = "0", OFFSET($A$1, 2966 - 1, 55 - 1) = "1" ), 3, 4 ) ) )</f>
        <v>2</v>
      </c>
    </row>
    <row r="2967" spans="53:56" x14ac:dyDescent="0.35">
      <c r="BA2967" s="3">
        <v>0.43298028482881512</v>
      </c>
      <c r="BB2967" s="3" t="str">
        <f>"1"</f>
        <v>1</v>
      </c>
      <c r="BC2967" t="str">
        <f ca="1">IF((OFFSET($A$1, 2967 - 1, 53 - 1)) &gt;= (OFFSET($A$1, 69 - 1, 7 - 1)), "1","0")</f>
        <v>0</v>
      </c>
      <c r="BD2967">
        <f ca="1" xml:space="preserve"> IF( AND( OFFSET($A$1, 2967 - 1, 54 - 1) = "1", OFFSET($A$1, 2967 - 1, 55 - 1) = "1" ), 1, IF( AND( OFFSET($A$1, 2967 - 1, 54 - 1) = "1", OFFSET($A$1, 2967 - 1, 55 - 1) = "0" ), 2, IF( AND( OFFSET($A$1, 2967 - 1, 54 - 1) = "0", OFFSET($A$1, 2967 - 1, 55 - 1) = "1" ), 3, 4 ) ) )</f>
        <v>2</v>
      </c>
    </row>
    <row r="2968" spans="53:56" x14ac:dyDescent="0.35">
      <c r="BA2968" s="3">
        <v>0.4331582629172433</v>
      </c>
      <c r="BB2968" s="3" t="str">
        <f>"0"</f>
        <v>0</v>
      </c>
      <c r="BC2968" t="str">
        <f ca="1">IF((OFFSET($A$1, 2968 - 1, 53 - 1)) &gt;= (OFFSET($A$1, 69 - 1, 7 - 1)), "1","0")</f>
        <v>0</v>
      </c>
      <c r="BD2968">
        <f ca="1" xml:space="preserve"> IF( AND( OFFSET($A$1, 2968 - 1, 54 - 1) = "1", OFFSET($A$1, 2968 - 1, 55 - 1) = "1" ), 1, IF( AND( OFFSET($A$1, 2968 - 1, 54 - 1) = "1", OFFSET($A$1, 2968 - 1, 55 - 1) = "0" ), 2, IF( AND( OFFSET($A$1, 2968 - 1, 54 - 1) = "0", OFFSET($A$1, 2968 - 1, 55 - 1) = "1" ), 3, 4 ) ) )</f>
        <v>4</v>
      </c>
    </row>
    <row r="2969" spans="53:56" x14ac:dyDescent="0.35">
      <c r="BA2969" s="3">
        <v>0.19678941961510227</v>
      </c>
      <c r="BB2969" s="3" t="str">
        <f>"0"</f>
        <v>0</v>
      </c>
      <c r="BC2969" t="str">
        <f ca="1">IF((OFFSET($A$1, 2969 - 1, 53 - 1)) &gt;= (OFFSET($A$1, 69 - 1, 7 - 1)), "1","0")</f>
        <v>0</v>
      </c>
      <c r="BD2969">
        <f ca="1" xml:space="preserve"> IF( AND( OFFSET($A$1, 2969 - 1, 54 - 1) = "1", OFFSET($A$1, 2969 - 1, 55 - 1) = "1" ), 1, IF( AND( OFFSET($A$1, 2969 - 1, 54 - 1) = "1", OFFSET($A$1, 2969 - 1, 55 - 1) = "0" ), 2, IF( AND( OFFSET($A$1, 2969 - 1, 54 - 1) = "0", OFFSET($A$1, 2969 - 1, 55 - 1) = "1" ), 3, 4 ) ) )</f>
        <v>4</v>
      </c>
    </row>
    <row r="2970" spans="53:56" x14ac:dyDescent="0.35">
      <c r="BA2970" s="3">
        <v>0.19693735703979298</v>
      </c>
      <c r="BB2970" s="3" t="str">
        <f>"0"</f>
        <v>0</v>
      </c>
      <c r="BC2970" t="str">
        <f ca="1">IF((OFFSET($A$1, 2970 - 1, 53 - 1)) &gt;= (OFFSET($A$1, 69 - 1, 7 - 1)), "1","0")</f>
        <v>0</v>
      </c>
      <c r="BD2970">
        <f ca="1" xml:space="preserve"> IF( AND( OFFSET($A$1, 2970 - 1, 54 - 1) = "1", OFFSET($A$1, 2970 - 1, 55 - 1) = "1" ), 1, IF( AND( OFFSET($A$1, 2970 - 1, 54 - 1) = "1", OFFSET($A$1, 2970 - 1, 55 - 1) = "0" ), 2, IF( AND( OFFSET($A$1, 2970 - 1, 54 - 1) = "0", OFFSET($A$1, 2970 - 1, 55 - 1) = "1" ), 3, 4 ) ) )</f>
        <v>4</v>
      </c>
    </row>
    <row r="2971" spans="53:56" x14ac:dyDescent="0.35">
      <c r="BA2971" s="3">
        <v>0.19710199209634818</v>
      </c>
      <c r="BB2971" s="3" t="str">
        <f>"0"</f>
        <v>0</v>
      </c>
      <c r="BC2971" t="str">
        <f ca="1">IF((OFFSET($A$1, 2971 - 1, 53 - 1)) &gt;= (OFFSET($A$1, 69 - 1, 7 - 1)), "1","0")</f>
        <v>0</v>
      </c>
      <c r="BD2971">
        <f ca="1" xml:space="preserve"> IF( AND( OFFSET($A$1, 2971 - 1, 54 - 1) = "1", OFFSET($A$1, 2971 - 1, 55 - 1) = "1" ), 1, IF( AND( OFFSET($A$1, 2971 - 1, 54 - 1) = "1", OFFSET($A$1, 2971 - 1, 55 - 1) = "0" ), 2, IF( AND( OFFSET($A$1, 2971 - 1, 54 - 1) = "0", OFFSET($A$1, 2971 - 1, 55 - 1) = "1" ), 3, 4 ) ) )</f>
        <v>4</v>
      </c>
    </row>
    <row r="2972" spans="53:56" x14ac:dyDescent="0.35">
      <c r="BA2972" s="3">
        <v>0.19728330744738889</v>
      </c>
      <c r="BB2972" s="3" t="str">
        <f>"0"</f>
        <v>0</v>
      </c>
      <c r="BC2972" t="str">
        <f ca="1">IF((OFFSET($A$1, 2972 - 1, 53 - 1)) &gt;= (OFFSET($A$1, 69 - 1, 7 - 1)), "1","0")</f>
        <v>0</v>
      </c>
      <c r="BD2972">
        <f ca="1" xml:space="preserve"> IF( AND( OFFSET($A$1, 2972 - 1, 54 - 1) = "1", OFFSET($A$1, 2972 - 1, 55 - 1) = "1" ), 1, IF( AND( OFFSET($A$1, 2972 - 1, 54 - 1) = "1", OFFSET($A$1, 2972 - 1, 55 - 1) = "0" ), 2, IF( AND( OFFSET($A$1, 2972 - 1, 54 - 1) = "0", OFFSET($A$1, 2972 - 1, 55 - 1) = "1" ), 3, 4 ) ) )</f>
        <v>4</v>
      </c>
    </row>
    <row r="2973" spans="53:56" x14ac:dyDescent="0.35">
      <c r="BA2973" s="3">
        <v>0.19748128387465888</v>
      </c>
      <c r="BB2973" s="3" t="str">
        <f>"1"</f>
        <v>1</v>
      </c>
      <c r="BC2973" t="str">
        <f ca="1">IF((OFFSET($A$1, 2973 - 1, 53 - 1)) &gt;= (OFFSET($A$1, 69 - 1, 7 - 1)), "1","0")</f>
        <v>0</v>
      </c>
      <c r="BD2973">
        <f ca="1" xml:space="preserve"> IF( AND( OFFSET($A$1, 2973 - 1, 54 - 1) = "1", OFFSET($A$1, 2973 - 1, 55 - 1) = "1" ), 1, IF( AND( OFFSET($A$1, 2973 - 1, 54 - 1) = "1", OFFSET($A$1, 2973 - 1, 55 - 1) = "0" ), 2, IF( AND( OFFSET($A$1, 2973 - 1, 54 - 1) = "0", OFFSET($A$1, 2973 - 1, 55 - 1) = "1" ), 3, 4 ) ) )</f>
        <v>2</v>
      </c>
    </row>
    <row r="2974" spans="53:56" x14ac:dyDescent="0.35">
      <c r="BA2974" s="3">
        <v>0.4347685220272991</v>
      </c>
      <c r="BB2974" s="3" t="str">
        <f>"1"</f>
        <v>1</v>
      </c>
      <c r="BC2974" t="str">
        <f ca="1">IF((OFFSET($A$1, 2974 - 1, 53 - 1)) &gt;= (OFFSET($A$1, 69 - 1, 7 - 1)), "1","0")</f>
        <v>0</v>
      </c>
      <c r="BD2974">
        <f ca="1" xml:space="preserve"> IF( AND( OFFSET($A$1, 2974 - 1, 54 - 1) = "1", OFFSET($A$1, 2974 - 1, 55 - 1) = "1" ), 1, IF( AND( OFFSET($A$1, 2974 - 1, 54 - 1) = "1", OFFSET($A$1, 2974 - 1, 55 - 1) = "0" ), 2, IF( AND( OFFSET($A$1, 2974 - 1, 54 - 1) = "0", OFFSET($A$1, 2974 - 1, 55 - 1) = "1" ), 3, 4 ) ) )</f>
        <v>2</v>
      </c>
    </row>
    <row r="2975" spans="53:56" x14ac:dyDescent="0.35">
      <c r="BA2975" s="3">
        <v>0.43512665798713596</v>
      </c>
      <c r="BB2975" s="3" t="str">
        <f>"0"</f>
        <v>0</v>
      </c>
      <c r="BC2975" t="str">
        <f ca="1">IF((OFFSET($A$1, 2975 - 1, 53 - 1)) &gt;= (OFFSET($A$1, 69 - 1, 7 - 1)), "1","0")</f>
        <v>0</v>
      </c>
      <c r="BD2975">
        <f ca="1" xml:space="preserve"> IF( AND( OFFSET($A$1, 2975 - 1, 54 - 1) = "1", OFFSET($A$1, 2975 - 1, 55 - 1) = "1" ), 1, IF( AND( OFFSET($A$1, 2975 - 1, 54 - 1) = "1", OFFSET($A$1, 2975 - 1, 55 - 1) = "0" ), 2, IF( AND( OFFSET($A$1, 2975 - 1, 54 - 1) = "0", OFFSET($A$1, 2975 - 1, 55 - 1) = "1" ), 3, 4 ) ) )</f>
        <v>4</v>
      </c>
    </row>
    <row r="2976" spans="53:56" x14ac:dyDescent="0.35">
      <c r="BA2976" s="3">
        <v>0.19817495848908573</v>
      </c>
      <c r="BB2976" s="3" t="str">
        <f>"1"</f>
        <v>1</v>
      </c>
      <c r="BC2976" t="str">
        <f ca="1">IF((OFFSET($A$1, 2976 - 1, 53 - 1)) &gt;= (OFFSET($A$1, 69 - 1, 7 - 1)), "1","0")</f>
        <v>0</v>
      </c>
      <c r="BD2976">
        <f ca="1" xml:space="preserve"> IF( AND( OFFSET($A$1, 2976 - 1, 54 - 1) = "1", OFFSET($A$1, 2976 - 1, 55 - 1) = "1" ), 1, IF( AND( OFFSET($A$1, 2976 - 1, 54 - 1) = "1", OFFSET($A$1, 2976 - 1, 55 - 1) = "0" ), 2, IF( AND( OFFSET($A$1, 2976 - 1, 54 - 1) = "0", OFFSET($A$1, 2976 - 1, 55 - 1) = "1" ), 3, 4 ) ) )</f>
        <v>2</v>
      </c>
    </row>
    <row r="2977" spans="53:56" x14ac:dyDescent="0.35">
      <c r="BA2977" s="3">
        <v>0.43591909983568872</v>
      </c>
      <c r="BB2977" s="3" t="str">
        <f>"0"</f>
        <v>0</v>
      </c>
      <c r="BC2977" t="str">
        <f ca="1">IF((OFFSET($A$1, 2977 - 1, 53 - 1)) &gt;= (OFFSET($A$1, 69 - 1, 7 - 1)), "1","0")</f>
        <v>0</v>
      </c>
      <c r="BD2977">
        <f ca="1" xml:space="preserve"> IF( AND( OFFSET($A$1, 2977 - 1, 54 - 1) = "1", OFFSET($A$1, 2977 - 1, 55 - 1) = "1" ), 1, IF( AND( OFFSET($A$1, 2977 - 1, 54 - 1) = "1", OFFSET($A$1, 2977 - 1, 55 - 1) = "0" ), 2, IF( AND( OFFSET($A$1, 2977 - 1, 54 - 1) = "0", OFFSET($A$1, 2977 - 1, 55 - 1) = "1" ), 3, 4 ) ) )</f>
        <v>4</v>
      </c>
    </row>
    <row r="2978" spans="53:56" x14ac:dyDescent="0.35">
      <c r="BA2978" s="3">
        <v>0.198720273357571</v>
      </c>
      <c r="BB2978" s="3" t="str">
        <f>"0"</f>
        <v>0</v>
      </c>
      <c r="BC2978" t="str">
        <f ca="1">IF((OFFSET($A$1, 2978 - 1, 53 - 1)) &gt;= (OFFSET($A$1, 69 - 1, 7 - 1)), "1","0")</f>
        <v>0</v>
      </c>
      <c r="BD2978">
        <f ca="1" xml:space="preserve"> IF( AND( OFFSET($A$1, 2978 - 1, 54 - 1) = "1", OFFSET($A$1, 2978 - 1, 55 - 1) = "1" ), 1, IF( AND( OFFSET($A$1, 2978 - 1, 54 - 1) = "1", OFFSET($A$1, 2978 - 1, 55 - 1) = "0" ), 2, IF( AND( OFFSET($A$1, 2978 - 1, 54 - 1) = "0", OFFSET($A$1, 2978 - 1, 55 - 1) = "1" ), 3, 4 ) ) )</f>
        <v>4</v>
      </c>
    </row>
    <row r="2979" spans="53:56" x14ac:dyDescent="0.35">
      <c r="BA2979" s="3">
        <v>0.19901770271182559</v>
      </c>
      <c r="BB2979" s="3" t="str">
        <f>"0"</f>
        <v>0</v>
      </c>
      <c r="BC2979" t="str">
        <f ca="1">IF((OFFSET($A$1, 2979 - 1, 53 - 1)) &gt;= (OFFSET($A$1, 69 - 1, 7 - 1)), "1","0")</f>
        <v>0</v>
      </c>
      <c r="BD2979">
        <f ca="1" xml:space="preserve"> IF( AND( OFFSET($A$1, 2979 - 1, 54 - 1) = "1", OFFSET($A$1, 2979 - 1, 55 - 1) = "1" ), 1, IF( AND( OFFSET($A$1, 2979 - 1, 54 - 1) = "1", OFFSET($A$1, 2979 - 1, 55 - 1) = "0" ), 2, IF( AND( OFFSET($A$1, 2979 - 1, 54 - 1) = "0", OFFSET($A$1, 2979 - 1, 55 - 1) = "1" ), 3, 4 ) ) )</f>
        <v>4</v>
      </c>
    </row>
    <row r="2980" spans="53:56" x14ac:dyDescent="0.35">
      <c r="BA2980" s="3">
        <v>0.19933160275111508</v>
      </c>
      <c r="BB2980" s="3" t="str">
        <f>"0"</f>
        <v>0</v>
      </c>
      <c r="BC2980" t="str">
        <f ca="1">IF((OFFSET($A$1, 2980 - 1, 53 - 1)) &gt;= (OFFSET($A$1, 69 - 1, 7 - 1)), "1","0")</f>
        <v>0</v>
      </c>
      <c r="BD2980">
        <f ca="1" xml:space="preserve"> IF( AND( OFFSET($A$1, 2980 - 1, 54 - 1) = "1", OFFSET($A$1, 2980 - 1, 55 - 1) = "1" ), 1, IF( AND( OFFSET($A$1, 2980 - 1, 54 - 1) = "1", OFFSET($A$1, 2980 - 1, 55 - 1) = "0" ), 2, IF( AND( OFFSET($A$1, 2980 - 1, 54 - 1) = "0", OFFSET($A$1, 2980 - 1, 55 - 1) = "1" ), 3, 4 ) ) )</f>
        <v>4</v>
      </c>
    </row>
    <row r="2981" spans="53:56" x14ac:dyDescent="0.35">
      <c r="BA2981" s="3">
        <v>0.19966193775453459</v>
      </c>
      <c r="BB2981" s="3" t="str">
        <f>"1"</f>
        <v>1</v>
      </c>
      <c r="BC2981" t="str">
        <f ca="1">IF((OFFSET($A$1, 2981 - 1, 53 - 1)) &gt;= (OFFSET($A$1, 69 - 1, 7 - 1)), "1","0")</f>
        <v>0</v>
      </c>
      <c r="BD2981">
        <f ca="1" xml:space="preserve"> IF( AND( OFFSET($A$1, 2981 - 1, 54 - 1) = "1", OFFSET($A$1, 2981 - 1, 55 - 1) = "1" ), 1, IF( AND( OFFSET($A$1, 2981 - 1, 54 - 1) = "1", OFFSET($A$1, 2981 - 1, 55 - 1) = "0" ), 2, IF( AND( OFFSET($A$1, 2981 - 1, 54 - 1) = "0", OFFSET($A$1, 2981 - 1, 55 - 1) = "1" ), 3, 4 ) ) )</f>
        <v>2</v>
      </c>
    </row>
    <row r="2982" spans="53:56" x14ac:dyDescent="0.35">
      <c r="BA2982" s="3">
        <v>0.43833945265976199</v>
      </c>
      <c r="BB2982" s="3" t="str">
        <f>"1"</f>
        <v>1</v>
      </c>
      <c r="BC2982" t="str">
        <f ca="1">IF((OFFSET($A$1, 2982 - 1, 53 - 1)) &gt;= (OFFSET($A$1, 69 - 1, 7 - 1)), "1","0")</f>
        <v>0</v>
      </c>
      <c r="BD2982">
        <f ca="1" xml:space="preserve"> IF( AND( OFFSET($A$1, 2982 - 1, 54 - 1) = "1", OFFSET($A$1, 2982 - 1, 55 - 1) = "1" ), 1, IF( AND( OFFSET($A$1, 2982 - 1, 54 - 1) = "1", OFFSET($A$1, 2982 - 1, 55 - 1) = "0" ), 2, IF( AND( OFFSET($A$1, 2982 - 1, 54 - 1) = "0", OFFSET($A$1, 2982 - 1, 55 - 1) = "1" ), 3, 4 ) ) )</f>
        <v>2</v>
      </c>
    </row>
    <row r="2983" spans="53:56" x14ac:dyDescent="0.35">
      <c r="BA2983" s="3">
        <v>0.43889783045044944</v>
      </c>
      <c r="BB2983" s="3" t="str">
        <f>"0"</f>
        <v>0</v>
      </c>
      <c r="BC2983" t="str">
        <f ca="1">IF((OFFSET($A$1, 2983 - 1, 53 - 1)) &gt;= (OFFSET($A$1, 69 - 1, 7 - 1)), "1","0")</f>
        <v>0</v>
      </c>
      <c r="BD2983">
        <f ca="1" xml:space="preserve"> IF( AND( OFFSET($A$1, 2983 - 1, 54 - 1) = "1", OFFSET($A$1, 2983 - 1, 55 - 1) = "1" ), 1, IF( AND( OFFSET($A$1, 2983 - 1, 54 - 1) = "1", OFFSET($A$1, 2983 - 1, 55 - 1) = "0" ), 2, IF( AND( OFFSET($A$1, 2983 - 1, 54 - 1) = "0", OFFSET($A$1, 2983 - 1, 55 - 1) = "1" ), 3, 4 ) ) )</f>
        <v>4</v>
      </c>
    </row>
    <row r="2984" spans="53:56" x14ac:dyDescent="0.35">
      <c r="BA2984" s="3">
        <v>0.20075116069581539</v>
      </c>
      <c r="BB2984" s="3" t="str">
        <f>"0"</f>
        <v>0</v>
      </c>
      <c r="BC2984" t="str">
        <f ca="1">IF((OFFSET($A$1, 2984 - 1, 53 - 1)) &gt;= (OFFSET($A$1, 69 - 1, 7 - 1)), "1","0")</f>
        <v>0</v>
      </c>
      <c r="BD2984">
        <f ca="1" xml:space="preserve"> IF( AND( OFFSET($A$1, 2984 - 1, 54 - 1) = "1", OFFSET($A$1, 2984 - 1, 55 - 1) = "1" ), 1, IF( AND( OFFSET($A$1, 2984 - 1, 54 - 1) = "1", OFFSET($A$1, 2984 - 1, 55 - 1) = "0" ), 2, IF( AND( OFFSET($A$1, 2984 - 1, 54 - 1) = "0", OFFSET($A$1, 2984 - 1, 55 - 1) = "1" ), 3, 4 ) ) )</f>
        <v>4</v>
      </c>
    </row>
    <row r="2985" spans="53:56" x14ac:dyDescent="0.35">
      <c r="BA2985" s="3">
        <v>0.20114683173487774</v>
      </c>
      <c r="BB2985" s="3" t="str">
        <f>"0"</f>
        <v>0</v>
      </c>
      <c r="BC2985" t="str">
        <f ca="1">IF((OFFSET($A$1, 2985 - 1, 53 - 1)) &gt;= (OFFSET($A$1, 69 - 1, 7 - 1)), "1","0")</f>
        <v>0</v>
      </c>
      <c r="BD2985">
        <f ca="1" xml:space="preserve"> IF( AND( OFFSET($A$1, 2985 - 1, 54 - 1) = "1", OFFSET($A$1, 2985 - 1, 55 - 1) = "1" ), 1, IF( AND( OFFSET($A$1, 2985 - 1, 54 - 1) = "1", OFFSET($A$1, 2985 - 1, 55 - 1) = "0" ), 2, IF( AND( OFFSET($A$1, 2985 - 1, 54 - 1) = "0", OFFSET($A$1, 2985 - 1, 55 - 1) = "1" ), 3, 4 ) ) )</f>
        <v>4</v>
      </c>
    </row>
    <row r="2986" spans="53:56" x14ac:dyDescent="0.35">
      <c r="BA2986" s="3">
        <v>0.20155872364025995</v>
      </c>
      <c r="BB2986" s="3" t="str">
        <f>"0"</f>
        <v>0</v>
      </c>
      <c r="BC2986" t="str">
        <f ca="1">IF((OFFSET($A$1, 2986 - 1, 53 - 1)) &gt;= (OFFSET($A$1, 69 - 1, 7 - 1)), "1","0")</f>
        <v>0</v>
      </c>
      <c r="BD2986">
        <f ca="1" xml:space="preserve"> IF( AND( OFFSET($A$1, 2986 - 1, 54 - 1) = "1", OFFSET($A$1, 2986 - 1, 55 - 1) = "1" ), 1, IF( AND( OFFSET($A$1, 2986 - 1, 54 - 1) = "1", OFFSET($A$1, 2986 - 1, 55 - 1) = "0" ), 2, IF( AND( OFFSET($A$1, 2986 - 1, 54 - 1) = "0", OFFSET($A$1, 2986 - 1, 55 - 1) = "1" ), 3, 4 ) ) )</f>
        <v>4</v>
      </c>
    </row>
    <row r="2987" spans="53:56" x14ac:dyDescent="0.35">
      <c r="BA2987" s="3">
        <v>0.20198678605355205</v>
      </c>
      <c r="BB2987" s="3" t="str">
        <f>"0"</f>
        <v>0</v>
      </c>
      <c r="BC2987" t="str">
        <f ca="1">IF((OFFSET($A$1, 2987 - 1, 53 - 1)) &gt;= (OFFSET($A$1, 69 - 1, 7 - 1)), "1","0")</f>
        <v>0</v>
      </c>
      <c r="BD2987">
        <f ca="1" xml:space="preserve"> IF( AND( OFFSET($A$1, 2987 - 1, 54 - 1) = "1", OFFSET($A$1, 2987 - 1, 55 - 1) = "1" ), 1, IF( AND( OFFSET($A$1, 2987 - 1, 54 - 1) = "1", OFFSET($A$1, 2987 - 1, 55 - 1) = "0" ), 2, IF( AND( OFFSET($A$1, 2987 - 1, 54 - 1) = "0", OFFSET($A$1, 2987 - 1, 55 - 1) = "1" ), 3, 4 ) ) )</f>
        <v>4</v>
      </c>
    </row>
    <row r="2988" spans="53:56" x14ac:dyDescent="0.35">
      <c r="BA2988" s="3">
        <v>0.20243096594649479</v>
      </c>
      <c r="BB2988" s="3" t="str">
        <f>"0"</f>
        <v>0</v>
      </c>
      <c r="BC2988" t="str">
        <f ca="1">IF((OFFSET($A$1, 2988 - 1, 53 - 1)) &gt;= (OFFSET($A$1, 69 - 1, 7 - 1)), "1","0")</f>
        <v>0</v>
      </c>
      <c r="BD2988">
        <f ca="1" xml:space="preserve"> IF( AND( OFFSET($A$1, 2988 - 1, 54 - 1) = "1", OFFSET($A$1, 2988 - 1, 55 - 1) = "1" ), 1, IF( AND( OFFSET($A$1, 2988 - 1, 54 - 1) = "1", OFFSET($A$1, 2988 - 1, 55 - 1) = "0" ), 2, IF( AND( OFFSET($A$1, 2988 - 1, 54 - 1) = "0", OFFSET($A$1, 2988 - 1, 55 - 1) = "1" ), 3, 4 ) ) )</f>
        <v>4</v>
      </c>
    </row>
    <row r="2989" spans="53:56" x14ac:dyDescent="0.35">
      <c r="BA2989" s="3">
        <v>0.2028912075497154</v>
      </c>
      <c r="BB2989" s="3" t="str">
        <f>"0"</f>
        <v>0</v>
      </c>
      <c r="BC2989" t="str">
        <f ca="1">IF((OFFSET($A$1, 2989 - 1, 53 - 1)) &gt;= (OFFSET($A$1, 69 - 1, 7 - 1)), "1","0")</f>
        <v>0</v>
      </c>
      <c r="BD2989">
        <f ca="1" xml:space="preserve"> IF( AND( OFFSET($A$1, 2989 - 1, 54 - 1) = "1", OFFSET($A$1, 2989 - 1, 55 - 1) = "1" ), 1, IF( AND( OFFSET($A$1, 2989 - 1, 54 - 1) = "1", OFFSET($A$1, 2989 - 1, 55 - 1) = "0" ), 2, IF( AND( OFFSET($A$1, 2989 - 1, 54 - 1) = "0", OFFSET($A$1, 2989 - 1, 55 - 1) = "1" ), 3, 4 ) ) )</f>
        <v>4</v>
      </c>
    </row>
    <row r="2990" spans="53:56" x14ac:dyDescent="0.35">
      <c r="BA2990" s="3">
        <v>0.20336745227963865</v>
      </c>
      <c r="BB2990" s="3" t="str">
        <f>"1"</f>
        <v>1</v>
      </c>
      <c r="BC2990" t="str">
        <f ca="1">IF((OFFSET($A$1, 2990 - 1, 53 - 1)) &gt;= (OFFSET($A$1, 69 - 1, 7 - 1)), "1","0")</f>
        <v>0</v>
      </c>
      <c r="BD2990">
        <f ca="1" xml:space="preserve"> IF( AND( OFFSET($A$1, 2990 - 1, 54 - 1) = "1", OFFSET($A$1, 2990 - 1, 55 - 1) = "1" ), 1, IF( AND( OFFSET($A$1, 2990 - 1, 54 - 1) = "1", OFFSET($A$1, 2990 - 1, 55 - 1) = "0" ), 2, IF( AND( OFFSET($A$1, 2990 - 1, 54 - 1) = "0", OFFSET($A$1, 2990 - 1, 55 - 1) = "1" ), 3, 4 ) ) )</f>
        <v>2</v>
      </c>
    </row>
    <row r="2991" spans="53:56" x14ac:dyDescent="0.35">
      <c r="BA2991" s="3">
        <v>0.44423109479766626</v>
      </c>
      <c r="BB2991" s="3" t="str">
        <f>"0"</f>
        <v>0</v>
      </c>
      <c r="BC2991" t="str">
        <f ca="1">IF((OFFSET($A$1, 2991 - 1, 53 - 1)) &gt;= (OFFSET($A$1, 69 - 1, 7 - 1)), "1","0")</f>
        <v>0</v>
      </c>
      <c r="BD2991">
        <f ca="1" xml:space="preserve"> IF( AND( OFFSET($A$1, 2991 - 1, 54 - 1) = "1", OFFSET($A$1, 2991 - 1, 55 - 1) = "1" ), 1, IF( AND( OFFSET($A$1, 2991 - 1, 54 - 1) = "1", OFFSET($A$1, 2991 - 1, 55 - 1) = "0" ), 2, IF( AND( OFFSET($A$1, 2991 - 1, 54 - 1) = "0", OFFSET($A$1, 2991 - 1, 55 - 1) = "1" ), 3, 4 ) ) )</f>
        <v>4</v>
      </c>
    </row>
    <row r="2992" spans="53:56" x14ac:dyDescent="0.35">
      <c r="BA2992" s="3">
        <v>0.20436770226382378</v>
      </c>
      <c r="BB2992" s="3" t="str">
        <f>"0"</f>
        <v>0</v>
      </c>
      <c r="BC2992" t="str">
        <f ca="1">IF((OFFSET($A$1, 2992 - 1, 53 - 1)) &gt;= (OFFSET($A$1, 69 - 1, 7 - 1)), "1","0")</f>
        <v>0</v>
      </c>
      <c r="BD2992">
        <f ca="1" xml:space="preserve"> IF( AND( OFFSET($A$1, 2992 - 1, 54 - 1) = "1", OFFSET($A$1, 2992 - 1, 55 - 1) = "1" ), 1, IF( AND( OFFSET($A$1, 2992 - 1, 54 - 1) = "1", OFFSET($A$1, 2992 - 1, 55 - 1) = "0" ), 2, IF( AND( OFFSET($A$1, 2992 - 1, 54 - 1) = "0", OFFSET($A$1, 2992 - 1, 55 - 1) = "1" ), 3, 4 ) ) )</f>
        <v>4</v>
      </c>
    </row>
    <row r="2993" spans="53:56" x14ac:dyDescent="0.35">
      <c r="BA2993" s="3">
        <v>0.20489157559873722</v>
      </c>
      <c r="BB2993" s="3" t="str">
        <f>"0"</f>
        <v>0</v>
      </c>
      <c r="BC2993" t="str">
        <f ca="1">IF((OFFSET($A$1, 2993 - 1, 53 - 1)) &gt;= (OFFSET($A$1, 69 - 1, 7 - 1)), "1","0")</f>
        <v>0</v>
      </c>
      <c r="BD2993">
        <f ca="1" xml:space="preserve"> IF( AND( OFFSET($A$1, 2993 - 1, 54 - 1) = "1", OFFSET($A$1, 2993 - 1, 55 - 1) = "1" ), 1, IF( AND( OFFSET($A$1, 2993 - 1, 54 - 1) = "1", OFFSET($A$1, 2993 - 1, 55 - 1) = "0" ), 2, IF( AND( OFFSET($A$1, 2993 - 1, 54 - 1) = "0", OFFSET($A$1, 2993 - 1, 55 - 1) = "1" ), 3, 4 ) ) )</f>
        <v>4</v>
      </c>
    </row>
    <row r="2994" spans="53:56" x14ac:dyDescent="0.35">
      <c r="BA2994" s="3">
        <v>0.20543118806448801</v>
      </c>
      <c r="BB2994" s="3" t="str">
        <f>"0"</f>
        <v>0</v>
      </c>
      <c r="BC2994" t="str">
        <f ca="1">IF((OFFSET($A$1, 2994 - 1, 53 - 1)) &gt;= (OFFSET($A$1, 69 - 1, 7 - 1)), "1","0")</f>
        <v>0</v>
      </c>
      <c r="BD2994">
        <f ca="1" xml:space="preserve"> IF( AND( OFFSET($A$1, 2994 - 1, 54 - 1) = "1", OFFSET($A$1, 2994 - 1, 55 - 1) = "1" ), 1, IF( AND( OFFSET($A$1, 2994 - 1, 54 - 1) = "1", OFFSET($A$1, 2994 - 1, 55 - 1) = "0" ), 2, IF( AND( OFFSET($A$1, 2994 - 1, 54 - 1) = "0", OFFSET($A$1, 2994 - 1, 55 - 1) = "1" ), 3, 4 ) ) )</f>
        <v>4</v>
      </c>
    </row>
    <row r="2995" spans="53:56" x14ac:dyDescent="0.35">
      <c r="BA2995" s="3">
        <v>0.20598646585404243</v>
      </c>
      <c r="BB2995" s="3" t="str">
        <f>"0"</f>
        <v>0</v>
      </c>
      <c r="BC2995" t="str">
        <f ca="1">IF((OFFSET($A$1, 2995 - 1, 53 - 1)) &gt;= (OFFSET($A$1, 69 - 1, 7 - 1)), "1","0")</f>
        <v>0</v>
      </c>
      <c r="BD2995">
        <f ca="1" xml:space="preserve"> IF( AND( OFFSET($A$1, 2995 - 1, 54 - 1) = "1", OFFSET($A$1, 2995 - 1, 55 - 1) = "1" ), 1, IF( AND( OFFSET($A$1, 2995 - 1, 54 - 1) = "1", OFFSET($A$1, 2995 - 1, 55 - 1) = "0" ), 2, IF( AND( OFFSET($A$1, 2995 - 1, 54 - 1) = "0", OFFSET($A$1, 2995 - 1, 55 - 1) = "1" ), 3, 4 ) ) )</f>
        <v>4</v>
      </c>
    </row>
    <row r="2996" spans="53:56" x14ac:dyDescent="0.35">
      <c r="BA2996" s="3">
        <v>0.2065573318756469</v>
      </c>
      <c r="BB2996" s="3" t="str">
        <f>"0"</f>
        <v>0</v>
      </c>
      <c r="BC2996" t="str">
        <f ca="1">IF((OFFSET($A$1, 2996 - 1, 53 - 1)) &gt;= (OFFSET($A$1, 69 - 1, 7 - 1)), "1","0")</f>
        <v>0</v>
      </c>
      <c r="BD2996">
        <f ca="1" xml:space="preserve"> IF( AND( OFFSET($A$1, 2996 - 1, 54 - 1) = "1", OFFSET($A$1, 2996 - 1, 55 - 1) = "1" ), 1, IF( AND( OFFSET($A$1, 2996 - 1, 54 - 1) = "1", OFFSET($A$1, 2996 - 1, 55 - 1) = "0" ), 2, IF( AND( OFFSET($A$1, 2996 - 1, 54 - 1) = "0", OFFSET($A$1, 2996 - 1, 55 - 1) = "1" ), 3, 4 ) ) )</f>
        <v>4</v>
      </c>
    </row>
    <row r="2997" spans="53:56" x14ac:dyDescent="0.35">
      <c r="BA2997" s="3">
        <v>0.20714370567023419</v>
      </c>
      <c r="BB2997" s="3" t="str">
        <f>"0"</f>
        <v>0</v>
      </c>
      <c r="BC2997" t="str">
        <f ca="1">IF((OFFSET($A$1, 2997 - 1, 53 - 1)) &gt;= (OFFSET($A$1, 69 - 1, 7 - 1)), "1","0")</f>
        <v>0</v>
      </c>
      <c r="BD2997">
        <f ca="1" xml:space="preserve"> IF( AND( OFFSET($A$1, 2997 - 1, 54 - 1) = "1", OFFSET($A$1, 2997 - 1, 55 - 1) = "1" ), 1, IF( AND( OFFSET($A$1, 2997 - 1, 54 - 1) = "1", OFFSET($A$1, 2997 - 1, 55 - 1) = "0" ), 2, IF( AND( OFFSET($A$1, 2997 - 1, 54 - 1) = "0", OFFSET($A$1, 2997 - 1, 55 - 1) = "1" ), 3, 4 ) ) )</f>
        <v>4</v>
      </c>
    </row>
    <row r="2998" spans="53:56" x14ac:dyDescent="0.35">
      <c r="BA2998" s="3">
        <v>0.2077455033279926</v>
      </c>
      <c r="BB2998" s="3" t="str">
        <f>"0"</f>
        <v>0</v>
      </c>
      <c r="BC2998" t="str">
        <f ca="1">IF((OFFSET($A$1, 2998 - 1, 53 - 1)) &gt;= (OFFSET($A$1, 69 - 1, 7 - 1)), "1","0")</f>
        <v>0</v>
      </c>
      <c r="BD2998">
        <f ca="1" xml:space="preserve"> IF( AND( OFFSET($A$1, 2998 - 1, 54 - 1) = "1", OFFSET($A$1, 2998 - 1, 55 - 1) = "1" ), 1, IF( AND( OFFSET($A$1, 2998 - 1, 54 - 1) = "1", OFFSET($A$1, 2998 - 1, 55 - 1) = "0" ), 2, IF( AND( OFFSET($A$1, 2998 - 1, 54 - 1) = "0", OFFSET($A$1, 2998 - 1, 55 - 1) = "1" ), 3, 4 ) ) )</f>
        <v>4</v>
      </c>
    </row>
    <row r="2999" spans="53:56" x14ac:dyDescent="0.35">
      <c r="BA2999" s="3">
        <v>0.20836263740424216</v>
      </c>
      <c r="BB2999" s="3" t="str">
        <f>"0"</f>
        <v>0</v>
      </c>
      <c r="BC2999" t="str">
        <f ca="1">IF((OFFSET($A$1, 2999 - 1, 53 - 1)) &gt;= (OFFSET($A$1, 69 - 1, 7 - 1)), "1","0")</f>
        <v>0</v>
      </c>
      <c r="BD2999">
        <f ca="1" xml:space="preserve"> IF( AND( OFFSET($A$1, 2999 - 1, 54 - 1) = "1", OFFSET($A$1, 2999 - 1, 55 - 1) = "1" ), 1, IF( AND( OFFSET($A$1, 2999 - 1, 54 - 1) = "1", OFFSET($A$1, 2999 - 1, 55 - 1) = "0" ), 2, IF( AND( OFFSET($A$1, 2999 - 1, 54 - 1) = "0", OFFSET($A$1, 2999 - 1, 55 - 1) = "1" ), 3, 4 ) ) )</f>
        <v>4</v>
      </c>
    </row>
    <row r="3000" spans="53:56" x14ac:dyDescent="0.35">
      <c r="BA3000" s="3">
        <v>0.20899501683476068</v>
      </c>
      <c r="BB3000" s="3" t="str">
        <f>"0"</f>
        <v>0</v>
      </c>
      <c r="BC3000" t="str">
        <f ca="1">IF((OFFSET($A$1, 3000 - 1, 53 - 1)) &gt;= (OFFSET($A$1, 69 - 1, 7 - 1)), "1","0")</f>
        <v>0</v>
      </c>
      <c r="BD3000">
        <f ca="1" xml:space="preserve"> IF( AND( OFFSET($A$1, 3000 - 1, 54 - 1) = "1", OFFSET($A$1, 3000 - 1, 55 - 1) = "1" ), 1, IF( AND( OFFSET($A$1, 3000 - 1, 54 - 1) = "1", OFFSET($A$1, 3000 - 1, 55 - 1) = "0" ), 2, IF( AND( OFFSET($A$1, 3000 - 1, 54 - 1) = "0", OFFSET($A$1, 3000 - 1, 55 - 1) = "1" ), 3, 4 ) ) )</f>
        <v>4</v>
      </c>
    </row>
    <row r="3001" spans="53:56" x14ac:dyDescent="0.35">
      <c r="BA3001" s="3">
        <v>0.20964254685071501</v>
      </c>
      <c r="BB3001" s="3" t="str">
        <f>"0"</f>
        <v>0</v>
      </c>
      <c r="BC3001" t="str">
        <f ca="1">IF((OFFSET($A$1, 3001 - 1, 53 - 1)) &gt;= (OFFSET($A$1, 69 - 1, 7 - 1)), "1","0")</f>
        <v>0</v>
      </c>
      <c r="BD3001">
        <f ca="1" xml:space="preserve"> IF( AND( OFFSET($A$1, 3001 - 1, 54 - 1) = "1", OFFSET($A$1, 3001 - 1, 55 - 1) = "1" ), 1, IF( AND( OFFSET($A$1, 3001 - 1, 54 - 1) = "1", OFFSET($A$1, 3001 - 1, 55 - 1) = "0" ), 2, IF( AND( OFFSET($A$1, 3001 - 1, 54 - 1) = "0", OFFSET($A$1, 3001 - 1, 55 - 1) = "1" ), 3, 4 ) ) )</f>
        <v>4</v>
      </c>
    </row>
    <row r="3002" spans="53:56" x14ac:dyDescent="0.35">
      <c r="BA3002" s="3">
        <v>0.21030512889334796</v>
      </c>
      <c r="BB3002" s="3" t="str">
        <f>"0"</f>
        <v>0</v>
      </c>
      <c r="BC3002" t="str">
        <f ca="1">IF((OFFSET($A$1, 3002 - 1, 53 - 1)) &gt;= (OFFSET($A$1, 69 - 1, 7 - 1)), "1","0")</f>
        <v>0</v>
      </c>
      <c r="BD3002">
        <f ca="1" xml:space="preserve"> IF( AND( OFFSET($A$1, 3002 - 1, 54 - 1) = "1", OFFSET($A$1, 3002 - 1, 55 - 1) = "1" ), 1, IF( AND( OFFSET($A$1, 3002 - 1, 54 - 1) = "1", OFFSET($A$1, 3002 - 1, 55 - 1) = "0" ), 2, IF( AND( OFFSET($A$1, 3002 - 1, 54 - 1) = "0", OFFSET($A$1, 3002 - 1, 55 - 1) = "1" ), 3, 4 ) ) )</f>
        <v>4</v>
      </c>
    </row>
    <row r="3003" spans="53:56" x14ac:dyDescent="0.35">
      <c r="BA3003" s="3">
        <v>0.21098266052858067</v>
      </c>
      <c r="BB3003" s="3" t="str">
        <f>"0"</f>
        <v>0</v>
      </c>
      <c r="BC3003" t="str">
        <f ca="1">IF((OFFSET($A$1, 3003 - 1, 53 - 1)) &gt;= (OFFSET($A$1, 69 - 1, 7 - 1)), "1","0")</f>
        <v>0</v>
      </c>
      <c r="BD3003">
        <f ca="1" xml:space="preserve"> IF( AND( OFFSET($A$1, 3003 - 1, 54 - 1) = "1", OFFSET($A$1, 3003 - 1, 55 - 1) = "1" ), 1, IF( AND( OFFSET($A$1, 3003 - 1, 54 - 1) = "1", OFFSET($A$1, 3003 - 1, 55 - 1) = "0" ), 2, IF( AND( OFFSET($A$1, 3003 - 1, 54 - 1) = "0", OFFSET($A$1, 3003 - 1, 55 - 1) = "1" ), 3, 4 ) ) )</f>
        <v>4</v>
      </c>
    </row>
    <row r="3004" spans="53:56" x14ac:dyDescent="0.35">
      <c r="BA3004" s="3">
        <v>0.21167503536169116</v>
      </c>
      <c r="BB3004" s="3" t="str">
        <f>"0"</f>
        <v>0</v>
      </c>
      <c r="BC3004" t="str">
        <f ca="1">IF((OFFSET($A$1, 3004 - 1, 53 - 1)) &gt;= (OFFSET($A$1, 69 - 1, 7 - 1)), "1","0")</f>
        <v>0</v>
      </c>
      <c r="BD3004">
        <f ca="1" xml:space="preserve"> IF( AND( OFFSET($A$1, 3004 - 1, 54 - 1) = "1", OFFSET($A$1, 3004 - 1, 55 - 1) = "1" ), 1, IF( AND( OFFSET($A$1, 3004 - 1, 54 - 1) = "1", OFFSET($A$1, 3004 - 1, 55 - 1) = "0" ), 2, IF( AND( OFFSET($A$1, 3004 - 1, 54 - 1) = "0", OFFSET($A$1, 3004 - 1, 55 - 1) = "1" ), 3, 4 ) ) )</f>
        <v>4</v>
      </c>
    </row>
    <row r="3005" spans="53:56" x14ac:dyDescent="0.35">
      <c r="BA3005" s="3">
        <v>0.21238214295223498</v>
      </c>
      <c r="BB3005" s="3" t="str">
        <f>"0"</f>
        <v>0</v>
      </c>
      <c r="BC3005" t="str">
        <f ca="1">IF((OFFSET($A$1, 3005 - 1, 53 - 1)) &gt;= (OFFSET($A$1, 69 - 1, 7 - 1)), "1","0")</f>
        <v>0</v>
      </c>
      <c r="BD3005">
        <f ca="1" xml:space="preserve"> IF( AND( OFFSET($A$1, 3005 - 1, 54 - 1) = "1", OFFSET($A$1, 3005 - 1, 55 - 1) = "1" ), 1, IF( AND( OFFSET($A$1, 3005 - 1, 54 - 1) = "1", OFFSET($A$1, 3005 - 1, 55 - 1) = "0" ), 2, IF( AND( OFFSET($A$1, 3005 - 1, 54 - 1) = "0", OFFSET($A$1, 3005 - 1, 55 - 1) = "1" ), 3, 4 ) ) )</f>
        <v>4</v>
      </c>
    </row>
    <row r="3006" spans="53:56" x14ac:dyDescent="0.35">
      <c r="BA3006" s="3">
        <v>0.21310386872937326</v>
      </c>
      <c r="BB3006" s="3" t="str">
        <f>"0"</f>
        <v>0</v>
      </c>
      <c r="BC3006" t="str">
        <f ca="1">IF((OFFSET($A$1, 3006 - 1, 53 - 1)) &gt;= (OFFSET($A$1, 69 - 1, 7 - 1)), "1","0")</f>
        <v>0</v>
      </c>
      <c r="BD3006">
        <f ca="1" xml:space="preserve"> IF( AND( OFFSET($A$1, 3006 - 1, 54 - 1) = "1", OFFSET($A$1, 3006 - 1, 55 - 1) = "1" ), 1, IF( AND( OFFSET($A$1, 3006 - 1, 54 - 1) = "1", OFFSET($A$1, 3006 - 1, 55 - 1) = "0" ), 2, IF( AND( OFFSET($A$1, 3006 - 1, 54 - 1) = "0", OFFSET($A$1, 3006 - 1, 55 - 1) = "1" ), 3, 4 ) ) )</f>
        <v>4</v>
      </c>
    </row>
    <row r="3007" spans="53:56" x14ac:dyDescent="0.35">
      <c r="BA3007" s="3">
        <v>0.21384009390778297</v>
      </c>
      <c r="BB3007" s="3" t="str">
        <f>"1"</f>
        <v>1</v>
      </c>
      <c r="BC3007" t="str">
        <f ca="1">IF((OFFSET($A$1, 3007 - 1, 53 - 1)) &gt;= (OFFSET($A$1, 69 - 1, 7 - 1)), "1","0")</f>
        <v>0</v>
      </c>
      <c r="BD3007">
        <f ca="1" xml:space="preserve"> IF( AND( OFFSET($A$1, 3007 - 1, 54 - 1) = "1", OFFSET($A$1, 3007 - 1, 55 - 1) = "1" ), 1, IF( AND( OFFSET($A$1, 3007 - 1, 54 - 1) = "1", OFFSET($A$1, 3007 - 1, 55 - 1) = "0" ), 2, IF( AND( OFFSET($A$1, 3007 - 1, 54 - 1) = "0", OFFSET($A$1, 3007 - 1, 55 - 1) = "1" ), 3, 4 ) ) )</f>
        <v>2</v>
      </c>
    </row>
    <row r="3008" spans="53:56" x14ac:dyDescent="0.35">
      <c r="BA3008" s="3">
        <v>0.46029965087271629</v>
      </c>
      <c r="BB3008" s="3" t="str">
        <f>"0"</f>
        <v>0</v>
      </c>
      <c r="BC3008" t="str">
        <f ca="1">IF((OFFSET($A$1, 3008 - 1, 53 - 1)) &gt;= (OFFSET($A$1, 69 - 1, 7 - 1)), "1","0")</f>
        <v>0</v>
      </c>
      <c r="BD3008">
        <f ca="1" xml:space="preserve"> IF( AND( OFFSET($A$1, 3008 - 1, 54 - 1) = "1", OFFSET($A$1, 3008 - 1, 55 - 1) = "1" ), 1, IF( AND( OFFSET($A$1, 3008 - 1, 54 - 1) = "1", OFFSET($A$1, 3008 - 1, 55 - 1) = "0" ), 2, IF( AND( OFFSET($A$1, 3008 - 1, 54 - 1) = "0", OFFSET($A$1, 3008 - 1, 55 - 1) = "1" ), 3, 4 ) ) )</f>
        <v>4</v>
      </c>
    </row>
    <row r="3009" spans="53:56" x14ac:dyDescent="0.35">
      <c r="BA3009" s="3">
        <v>0.21535554575561458</v>
      </c>
      <c r="BB3009" s="3" t="str">
        <f>"1"</f>
        <v>1</v>
      </c>
      <c r="BC3009" t="str">
        <f ca="1">IF((OFFSET($A$1, 3009 - 1, 53 - 1)) &gt;= (OFFSET($A$1, 69 - 1, 7 - 1)), "1","0")</f>
        <v>0</v>
      </c>
      <c r="BD3009">
        <f ca="1" xml:space="preserve"> IF( AND( OFFSET($A$1, 3009 - 1, 54 - 1) = "1", OFFSET($A$1, 3009 - 1, 55 - 1) = "1" ), 1, IF( AND( OFFSET($A$1, 3009 - 1, 54 - 1) = "1", OFFSET($A$1, 3009 - 1, 55 - 1) = "0" ), 2, IF( AND( OFFSET($A$1, 3009 - 1, 54 - 1) = "0", OFFSET($A$1, 3009 - 1, 55 - 1) = "1" ), 3, 4 ) ) )</f>
        <v>2</v>
      </c>
    </row>
    <row r="3010" spans="53:56" x14ac:dyDescent="0.35">
      <c r="BA3010" s="3">
        <v>0.46257007012590434</v>
      </c>
      <c r="BB3010" s="3" t="str">
        <f>"1"</f>
        <v>1</v>
      </c>
      <c r="BC3010" t="str">
        <f ca="1">IF((OFFSET($A$1, 3010 - 1, 53 - 1)) &gt;= (OFFSET($A$1, 69 - 1, 7 - 1)), "1","0")</f>
        <v>0</v>
      </c>
      <c r="BD3010">
        <f ca="1" xml:space="preserve"> IF( AND( OFFSET($A$1, 3010 - 1, 54 - 1) = "1", OFFSET($A$1, 3010 - 1, 55 - 1) = "1" ), 1, IF( AND( OFFSET($A$1, 3010 - 1, 54 - 1) = "1", OFFSET($A$1, 3010 - 1, 55 - 1) = "0" ), 2, IF( AND( OFFSET($A$1, 3010 - 1, 54 - 1) = "0", OFFSET($A$1, 3010 - 1, 55 - 1) = "1" ), 3, 4 ) ) )</f>
        <v>2</v>
      </c>
    </row>
    <row r="3011" spans="53:56" x14ac:dyDescent="0.35">
      <c r="BA3011" s="3">
        <v>0.46373226151069119</v>
      </c>
      <c r="BB3011" s="3" t="str">
        <f>"0"</f>
        <v>0</v>
      </c>
      <c r="BC3011" t="str">
        <f ca="1">IF((OFFSET($A$1, 3011 - 1, 53 - 1)) &gt;= (OFFSET($A$1, 69 - 1, 7 - 1)), "1","0")</f>
        <v>0</v>
      </c>
      <c r="BD3011">
        <f ca="1" xml:space="preserve"> IF( AND( OFFSET($A$1, 3011 - 1, 54 - 1) = "1", OFFSET($A$1, 3011 - 1, 55 - 1) = "1" ), 1, IF( AND( OFFSET($A$1, 3011 - 1, 54 - 1) = "1", OFFSET($A$1, 3011 - 1, 55 - 1) = "0" ), 2, IF( AND( OFFSET($A$1, 3011 - 1, 54 - 1) = "0", OFFSET($A$1, 3011 - 1, 55 - 1) = "1" ), 3, 4 ) ) )</f>
        <v>4</v>
      </c>
    </row>
    <row r="3012" spans="53:56" x14ac:dyDescent="0.35">
      <c r="BA3012" s="3">
        <v>0.21773424790294241</v>
      </c>
      <c r="BB3012" s="3" t="str">
        <f>"1"</f>
        <v>1</v>
      </c>
      <c r="BC3012" t="str">
        <f ca="1">IF((OFFSET($A$1, 3012 - 1, 53 - 1)) &gt;= (OFFSET($A$1, 69 - 1, 7 - 1)), "1","0")</f>
        <v>0</v>
      </c>
      <c r="BD3012">
        <f ca="1" xml:space="preserve"> IF( AND( OFFSET($A$1, 3012 - 1, 54 - 1) = "1", OFFSET($A$1, 3012 - 1, 55 - 1) = "1" ), 1, IF( AND( OFFSET($A$1, 3012 - 1, 54 - 1) = "1", OFFSET($A$1, 3012 - 1, 55 - 1) = "0" ), 2, IF( AND( OFFSET($A$1, 3012 - 1, 54 - 1) = "0", OFFSET($A$1, 3012 - 1, 55 - 1) = "1" ), 3, 4 ) ) )</f>
        <v>2</v>
      </c>
    </row>
    <row r="3013" spans="53:56" x14ac:dyDescent="0.35">
      <c r="BA3013" s="3">
        <v>0.4661089152867996</v>
      </c>
      <c r="BB3013" s="3" t="str">
        <f>"0"</f>
        <v>0</v>
      </c>
      <c r="BC3013" t="str">
        <f ca="1">IF((OFFSET($A$1, 3013 - 1, 53 - 1)) &gt;= (OFFSET($A$1, 69 - 1, 7 - 1)), "1","0")</f>
        <v>0</v>
      </c>
      <c r="BD3013">
        <f ca="1" xml:space="preserve"> IF( AND( OFFSET($A$1, 3013 - 1, 54 - 1) = "1", OFFSET($A$1, 3013 - 1, 55 - 1) = "1" ), 1, IF( AND( OFFSET($A$1, 3013 - 1, 54 - 1) = "1", OFFSET($A$1, 3013 - 1, 55 - 1) = "0" ), 2, IF( AND( OFFSET($A$1, 3013 - 1, 54 - 1) = "0", OFFSET($A$1, 3013 - 1, 55 - 1) = "1" ), 3, 4 ) ) )</f>
        <v>4</v>
      </c>
    </row>
    <row r="3014" spans="53:56" x14ac:dyDescent="0.35">
      <c r="BA3014" s="3">
        <v>0.21938875237134189</v>
      </c>
      <c r="BB3014" s="3" t="str">
        <f>"1"</f>
        <v>1</v>
      </c>
      <c r="BC3014" t="str">
        <f ca="1">IF((OFFSET($A$1, 3014 - 1, 53 - 1)) &gt;= (OFFSET($A$1, 69 - 1, 7 - 1)), "1","0")</f>
        <v>0</v>
      </c>
      <c r="BD3014">
        <f ca="1" xml:space="preserve"> IF( AND( OFFSET($A$1, 3014 - 1, 54 - 1) = "1", OFFSET($A$1, 3014 - 1, 55 - 1) = "1" ), 1, IF( AND( OFFSET($A$1, 3014 - 1, 54 - 1) = "1", OFFSET($A$1, 3014 - 1, 55 - 1) = "0" ), 2, IF( AND( OFFSET($A$1, 3014 - 1, 54 - 1) = "0", OFFSET($A$1, 3014 - 1, 55 - 1) = "1" ), 3, 4 ) ) )</f>
        <v>2</v>
      </c>
    </row>
    <row r="3015" spans="53:56" x14ac:dyDescent="0.35">
      <c r="BA3015" s="3">
        <v>0.46855293243311824</v>
      </c>
      <c r="BB3015" s="3" t="str">
        <f>"0"</f>
        <v>0</v>
      </c>
      <c r="BC3015" t="str">
        <f ca="1">IF((OFFSET($A$1, 3015 - 1, 53 - 1)) &gt;= (OFFSET($A$1, 69 - 1, 7 - 1)), "1","0")</f>
        <v>0</v>
      </c>
      <c r="BD3015">
        <f ca="1" xml:space="preserve"> IF( AND( OFFSET($A$1, 3015 - 1, 54 - 1) = "1", OFFSET($A$1, 3015 - 1, 55 - 1) = "1" ), 1, IF( AND( OFFSET($A$1, 3015 - 1, 54 - 1) = "1", OFFSET($A$1, 3015 - 1, 55 - 1) = "0" ), 2, IF( AND( OFFSET($A$1, 3015 - 1, 54 - 1) = "0", OFFSET($A$1, 3015 - 1, 55 - 1) = "1" ), 3, 4 ) ) )</f>
        <v>4</v>
      </c>
    </row>
    <row r="3016" spans="53:56" x14ac:dyDescent="0.35">
      <c r="BA3016" s="3">
        <v>0.22109680247532543</v>
      </c>
      <c r="BB3016" s="3" t="str">
        <f>"1"</f>
        <v>1</v>
      </c>
      <c r="BC3016" t="str">
        <f ca="1">IF((OFFSET($A$1, 3016 - 1, 53 - 1)) &gt;= (OFFSET($A$1, 69 - 1, 7 - 1)), "1","0")</f>
        <v>0</v>
      </c>
      <c r="BD3016">
        <f ca="1" xml:space="preserve"> IF( AND( OFFSET($A$1, 3016 - 1, 54 - 1) = "1", OFFSET($A$1, 3016 - 1, 55 - 1) = "1" ), 1, IF( AND( OFFSET($A$1, 3016 - 1, 54 - 1) = "1", OFFSET($A$1, 3016 - 1, 55 - 1) = "0" ), 2, IF( AND( OFFSET($A$1, 3016 - 1, 54 - 1) = "0", OFFSET($A$1, 3016 - 1, 55 - 1) = "1" ), 3, 4 ) ) )</f>
        <v>2</v>
      </c>
    </row>
    <row r="3017" spans="53:56" x14ac:dyDescent="0.35">
      <c r="BA3017" s="3">
        <v>0.47106142781045418</v>
      </c>
      <c r="BB3017" s="3" t="str">
        <f>"1"</f>
        <v>1</v>
      </c>
      <c r="BC3017" t="str">
        <f ca="1">IF((OFFSET($A$1, 3017 - 1, 53 - 1)) &gt;= (OFFSET($A$1, 69 - 1, 7 - 1)), "1","0")</f>
        <v>0</v>
      </c>
      <c r="BD3017">
        <f ca="1" xml:space="preserve"> IF( AND( OFFSET($A$1, 3017 - 1, 54 - 1) = "1", OFFSET($A$1, 3017 - 1, 55 - 1) = "1" ), 1, IF( AND( OFFSET($A$1, 3017 - 1, 54 - 1) = "1", OFFSET($A$1, 3017 - 1, 55 - 1) = "0" ), 2, IF( AND( OFFSET($A$1, 3017 - 1, 54 - 1) = "0", OFFSET($A$1, 3017 - 1, 55 - 1) = "1" ), 3, 4 ) ) )</f>
        <v>2</v>
      </c>
    </row>
    <row r="3018" spans="53:56" x14ac:dyDescent="0.35">
      <c r="BA3018" s="3">
        <v>0.47233892647605158</v>
      </c>
      <c r="BB3018" s="3" t="str">
        <f>"0"</f>
        <v>0</v>
      </c>
      <c r="BC3018" t="str">
        <f ca="1">IF((OFFSET($A$1, 3018 - 1, 53 - 1)) &gt;= (OFFSET($A$1, 69 - 1, 7 - 1)), "1","0")</f>
        <v>0</v>
      </c>
      <c r="BD3018">
        <f ca="1" xml:space="preserve"> IF( AND( OFFSET($A$1, 3018 - 1, 54 - 1) = "1", OFFSET($A$1, 3018 - 1, 55 - 1) = "1" ), 1, IF( AND( OFFSET($A$1, 3018 - 1, 54 - 1) = "1", OFFSET($A$1, 3018 - 1, 55 - 1) = "0" ), 2, IF( AND( OFFSET($A$1, 3018 - 1, 54 - 1) = "0", OFFSET($A$1, 3018 - 1, 55 - 1) = "1" ), 3, 4 ) ) )</f>
        <v>4</v>
      </c>
    </row>
    <row r="3019" spans="53:56" x14ac:dyDescent="0.35">
      <c r="BA3019" s="3">
        <v>0.22375640423005255</v>
      </c>
      <c r="BB3019" s="3" t="str">
        <f>"0"</f>
        <v>0</v>
      </c>
      <c r="BC3019" t="str">
        <f ca="1">IF((OFFSET($A$1, 3019 - 1, 53 - 1)) &gt;= (OFFSET($A$1, 69 - 1, 7 - 1)), "1","0")</f>
        <v>0</v>
      </c>
      <c r="BD3019">
        <f ca="1" xml:space="preserve"> IF( AND( OFFSET($A$1, 3019 - 1, 54 - 1) = "1", OFFSET($A$1, 3019 - 1, 55 - 1) = "1" ), 1, IF( AND( OFFSET($A$1, 3019 - 1, 54 - 1) = "1", OFFSET($A$1, 3019 - 1, 55 - 1) = "0" ), 2, IF( AND( OFFSET($A$1, 3019 - 1, 54 - 1) = "0", OFFSET($A$1, 3019 - 1, 55 - 1) = "1" ), 3, 4 ) ) )</f>
        <v>4</v>
      </c>
    </row>
    <row r="3020" spans="53:56" x14ac:dyDescent="0.35">
      <c r="BA3020" s="3">
        <v>0.22466824841708258</v>
      </c>
      <c r="BB3020" s="3" t="str">
        <f>"0"</f>
        <v>0</v>
      </c>
      <c r="BC3020" t="str">
        <f ca="1">IF((OFFSET($A$1, 3020 - 1, 53 - 1)) &gt;= (OFFSET($A$1, 69 - 1, 7 - 1)), "1","0")</f>
        <v>0</v>
      </c>
      <c r="BD3020">
        <f ca="1" xml:space="preserve"> IF( AND( OFFSET($A$1, 3020 - 1, 54 - 1) = "1", OFFSET($A$1, 3020 - 1, 55 - 1) = "1" ), 1, IF( AND( OFFSET($A$1, 3020 - 1, 54 - 1) = "1", OFFSET($A$1, 3020 - 1, 55 - 1) = "0" ), 2, IF( AND( OFFSET($A$1, 3020 - 1, 54 - 1) = "0", OFFSET($A$1, 3020 - 1, 55 - 1) = "1" ), 3, 4 ) ) )</f>
        <v>4</v>
      </c>
    </row>
    <row r="3021" spans="53:56" x14ac:dyDescent="0.35">
      <c r="BA3021" s="3">
        <v>0.22559244231108974</v>
      </c>
      <c r="BB3021" s="3" t="str">
        <f>"0"</f>
        <v>0</v>
      </c>
      <c r="BC3021" t="str">
        <f ca="1">IF((OFFSET($A$1, 3021 - 1, 53 - 1)) &gt;= (OFFSET($A$1, 69 - 1, 7 - 1)), "1","0")</f>
        <v>0</v>
      </c>
      <c r="BD3021">
        <f ca="1" xml:space="preserve"> IF( AND( OFFSET($A$1, 3021 - 1, 54 - 1) = "1", OFFSET($A$1, 3021 - 1, 55 - 1) = "1" ), 1, IF( AND( OFFSET($A$1, 3021 - 1, 54 - 1) = "1", OFFSET($A$1, 3021 - 1, 55 - 1) = "0" ), 2, IF( AND( OFFSET($A$1, 3021 - 1, 54 - 1) = "0", OFFSET($A$1, 3021 - 1, 55 - 1) = "1" ), 3, 4 ) ) )</f>
        <v>4</v>
      </c>
    </row>
    <row r="3022" spans="53:56" x14ac:dyDescent="0.35">
      <c r="BA3022" s="3">
        <v>0.22652879476312271</v>
      </c>
      <c r="BB3022" s="3" t="str">
        <f>"0"</f>
        <v>0</v>
      </c>
      <c r="BC3022" t="str">
        <f ca="1">IF((OFFSET($A$1, 3022 - 1, 53 - 1)) &gt;= (OFFSET($A$1, 69 - 1, 7 - 1)), "1","0")</f>
        <v>0</v>
      </c>
      <c r="BD3022">
        <f ca="1" xml:space="preserve"> IF( AND( OFFSET($A$1, 3022 - 1, 54 - 1) = "1", OFFSET($A$1, 3022 - 1, 55 - 1) = "1" ), 1, IF( AND( OFFSET($A$1, 3022 - 1, 54 - 1) = "1", OFFSET($A$1, 3022 - 1, 55 - 1) = "0" ), 2, IF( AND( OFFSET($A$1, 3022 - 1, 54 - 1) = "0", OFFSET($A$1, 3022 - 1, 55 - 1) = "1" ), 3, 4 ) ) )</f>
        <v>4</v>
      </c>
    </row>
    <row r="3023" spans="53:56" x14ac:dyDescent="0.35">
      <c r="BA3023" s="3">
        <v>0.2274771092909289</v>
      </c>
      <c r="BB3023" s="3" t="str">
        <f>"0"</f>
        <v>0</v>
      </c>
      <c r="BC3023" t="str">
        <f ca="1">IF((OFFSET($A$1, 3023 - 1, 53 - 1)) &gt;= (OFFSET($A$1, 69 - 1, 7 - 1)), "1","0")</f>
        <v>0</v>
      </c>
      <c r="BD3023">
        <f ca="1" xml:space="preserve"> IF( AND( OFFSET($A$1, 3023 - 1, 54 - 1) = "1", OFFSET($A$1, 3023 - 1, 55 - 1) = "1" ), 1, IF( AND( OFFSET($A$1, 3023 - 1, 54 - 1) = "1", OFFSET($A$1, 3023 - 1, 55 - 1) = "0" ), 2, IF( AND( OFFSET($A$1, 3023 - 1, 54 - 1) = "0", OFFSET($A$1, 3023 - 1, 55 - 1) = "1" ), 3, 4 ) ) )</f>
        <v>4</v>
      </c>
    </row>
    <row r="3024" spans="53:56" x14ac:dyDescent="0.35">
      <c r="BA3024" s="3">
        <v>0.22843718403266103</v>
      </c>
      <c r="BB3024" s="3" t="str">
        <f>"1"</f>
        <v>1</v>
      </c>
      <c r="BC3024" t="str">
        <f ca="1">IF((OFFSET($A$1, 3024 - 1, 53 - 1)) &gt;= (OFFSET($A$1, 69 - 1, 7 - 1)), "1","0")</f>
        <v>0</v>
      </c>
      <c r="BD3024">
        <f ca="1" xml:space="preserve"> IF( AND( OFFSET($A$1, 3024 - 1, 54 - 1) = "1", OFFSET($A$1, 3024 - 1, 55 - 1) = "1" ), 1, IF( AND( OFFSET($A$1, 3024 - 1, 54 - 1) = "1", OFFSET($A$1, 3024 - 1, 55 - 1) = "0" ), 2, IF( AND( OFFSET($A$1, 3024 - 1, 54 - 1) = "0", OFFSET($A$1, 3024 - 1, 55 - 1) = "1" ), 3, 4 ) ) )</f>
        <v>2</v>
      </c>
    </row>
    <row r="3025" spans="53:56" x14ac:dyDescent="0.35">
      <c r="BA3025" s="3">
        <v>0.48167914392456751</v>
      </c>
      <c r="BB3025" s="3" t="str">
        <f>"0"</f>
        <v>0</v>
      </c>
      <c r="BC3025" t="str">
        <f ca="1">IF((OFFSET($A$1, 3025 - 1, 53 - 1)) &gt;= (OFFSET($A$1, 69 - 1, 7 - 1)), "1","0")</f>
        <v>0</v>
      </c>
      <c r="BD3025">
        <f ca="1" xml:space="preserve"> IF( AND( OFFSET($A$1, 3025 - 1, 54 - 1) = "1", OFFSET($A$1, 3025 - 1, 55 - 1) = "1" ), 1, IF( AND( OFFSET($A$1, 3025 - 1, 54 - 1) = "1", OFFSET($A$1, 3025 - 1, 55 - 1) = "0" ), 2, IF( AND( OFFSET($A$1, 3025 - 1, 54 - 1) = "0", OFFSET($A$1, 3025 - 1, 55 - 1) = "1" ), 3, 4 ) ) )</f>
        <v>4</v>
      </c>
    </row>
    <row r="3026" spans="53:56" x14ac:dyDescent="0.35">
      <c r="BA3026" s="3">
        <v>0.23039177956211807</v>
      </c>
      <c r="BB3026" s="3" t="str">
        <f>"1"</f>
        <v>1</v>
      </c>
      <c r="BC3026" t="str">
        <f ca="1">IF((OFFSET($A$1, 3026 - 1, 53 - 1)) &gt;= (OFFSET($A$1, 69 - 1, 7 - 1)), "1","0")</f>
        <v>0</v>
      </c>
      <c r="BD3026">
        <f ca="1" xml:space="preserve"> IF( AND( OFFSET($A$1, 3026 - 1, 54 - 1) = "1", OFFSET($A$1, 3026 - 1, 55 - 1) = "1" ), 1, IF( AND( OFFSET($A$1, 3026 - 1, 54 - 1) = "1", OFFSET($A$1, 3026 - 1, 55 - 1) = "0" ), 2, IF( AND( OFFSET($A$1, 3026 - 1, 54 - 1) = "0", OFFSET($A$1, 3026 - 1, 55 - 1) = "1" ), 3, 4 ) ) )</f>
        <v>2</v>
      </c>
    </row>
    <row r="3027" spans="53:56" x14ac:dyDescent="0.35">
      <c r="BA3027" s="3">
        <v>0.48446345767990368</v>
      </c>
      <c r="BB3027" s="3" t="str">
        <f>"0"</f>
        <v>0</v>
      </c>
      <c r="BC3027" t="str">
        <f ca="1">IF((OFFSET($A$1, 3027 - 1, 53 - 1)) &gt;= (OFFSET($A$1, 69 - 1, 7 - 1)), "1","0")</f>
        <v>0</v>
      </c>
      <c r="BD3027">
        <f ca="1" xml:space="preserve"> IF( AND( OFFSET($A$1, 3027 - 1, 54 - 1) = "1", OFFSET($A$1, 3027 - 1, 55 - 1) = "1" ), 1, IF( AND( OFFSET($A$1, 3027 - 1, 54 - 1) = "1", OFFSET($A$1, 3027 - 1, 55 - 1) = "0" ), 2, IF( AND( OFFSET($A$1, 3027 - 1, 54 - 1) = "0", OFFSET($A$1, 3027 - 1, 55 - 1) = "1" ), 3, 4 ) ) )</f>
        <v>4</v>
      </c>
    </row>
    <row r="3028" spans="53:56" x14ac:dyDescent="0.35">
      <c r="BA3028" s="3">
        <v>0.23239085735596388</v>
      </c>
      <c r="BB3028" s="3" t="str">
        <f>"1"</f>
        <v>1</v>
      </c>
      <c r="BC3028" t="str">
        <f ca="1">IF((OFFSET($A$1, 3028 - 1, 53 - 1)) &gt;= (OFFSET($A$1, 69 - 1, 7 - 1)), "1","0")</f>
        <v>0</v>
      </c>
      <c r="BD3028">
        <f ca="1" xml:space="preserve"> IF( AND( OFFSET($A$1, 3028 - 1, 54 - 1) = "1", OFFSET($A$1, 3028 - 1, 55 - 1) = "1" ), 1, IF( AND( OFFSET($A$1, 3028 - 1, 54 - 1) = "1", OFFSET($A$1, 3028 - 1, 55 - 1) = "0" ), 2, IF( AND( OFFSET($A$1, 3028 - 1, 54 - 1) = "0", OFFSET($A$1, 3028 - 1, 55 - 1) = "1" ), 3, 4 ) ) )</f>
        <v>2</v>
      </c>
    </row>
    <row r="3029" spans="53:56" x14ac:dyDescent="0.35">
      <c r="BA3029" s="3">
        <v>0.48729301365964001</v>
      </c>
      <c r="BB3029" s="3" t="str">
        <f>"0"</f>
        <v>0</v>
      </c>
      <c r="BC3029" t="str">
        <f ca="1">IF((OFFSET($A$1, 3029 - 1, 53 - 1)) &gt;= (OFFSET($A$1, 69 - 1, 7 - 1)), "1","0")</f>
        <v>0</v>
      </c>
      <c r="BD3029">
        <f ca="1" xml:space="preserve"> IF( AND( OFFSET($A$1, 3029 - 1, 54 - 1) = "1", OFFSET($A$1, 3029 - 1, 55 - 1) = "1" ), 1, IF( AND( OFFSET($A$1, 3029 - 1, 54 - 1) = "1", OFFSET($A$1, 3029 - 1, 55 - 1) = "0" ), 2, IF( AND( OFFSET($A$1, 3029 - 1, 54 - 1) = "0", OFFSET($A$1, 3029 - 1, 55 - 1) = "1" ), 3, 4 ) ) )</f>
        <v>4</v>
      </c>
    </row>
    <row r="3030" spans="53:56" x14ac:dyDescent="0.35">
      <c r="BA3030" s="3">
        <v>0.23443260506775337</v>
      </c>
      <c r="BB3030" s="3" t="str">
        <f>"0"</f>
        <v>0</v>
      </c>
      <c r="BC3030" t="str">
        <f ca="1">IF((OFFSET($A$1, 3030 - 1, 53 - 1)) &gt;= (OFFSET($A$1, 69 - 1, 7 - 1)), "1","0")</f>
        <v>0</v>
      </c>
      <c r="BD3030">
        <f ca="1" xml:space="preserve"> IF( AND( OFFSET($A$1, 3030 - 1, 54 - 1) = "1", OFFSET($A$1, 3030 - 1, 55 - 1) = "1" ), 1, IF( AND( OFFSET($A$1, 3030 - 1, 54 - 1) = "1", OFFSET($A$1, 3030 - 1, 55 - 1) = "0" ), 2, IF( AND( OFFSET($A$1, 3030 - 1, 54 - 1) = "0", OFFSET($A$1, 3030 - 1, 55 - 1) = "1" ), 3, 4 ) ) )</f>
        <v>4</v>
      </c>
    </row>
    <row r="3031" spans="53:56" x14ac:dyDescent="0.35">
      <c r="BA3031" s="3">
        <v>0.23546888944086869</v>
      </c>
      <c r="BB3031" s="3" t="str">
        <f>"0"</f>
        <v>0</v>
      </c>
      <c r="BC3031" t="str">
        <f ca="1">IF((OFFSET($A$1, 3031 - 1, 53 - 1)) &gt;= (OFFSET($A$1, 69 - 1, 7 - 1)), "1","0")</f>
        <v>0</v>
      </c>
      <c r="BD3031">
        <f ca="1" xml:space="preserve"> IF( AND( OFFSET($A$1, 3031 - 1, 54 - 1) = "1", OFFSET($A$1, 3031 - 1, 55 - 1) = "1" ), 1, IF( AND( OFFSET($A$1, 3031 - 1, 54 - 1) = "1", OFFSET($A$1, 3031 - 1, 55 - 1) = "0" ), 2, IF( AND( OFFSET($A$1, 3031 - 1, 54 - 1) = "0", OFFSET($A$1, 3031 - 1, 55 - 1) = "1" ), 3, 4 ) ) )</f>
        <v>4</v>
      </c>
    </row>
    <row r="3032" spans="53:56" x14ac:dyDescent="0.35">
      <c r="BA3032" s="3">
        <v>0.23651512127282276</v>
      </c>
      <c r="BB3032" s="3" t="str">
        <f>"0"</f>
        <v>0</v>
      </c>
      <c r="BC3032" t="str">
        <f ca="1">IF((OFFSET($A$1, 3032 - 1, 53 - 1)) &gt;= (OFFSET($A$1, 69 - 1, 7 - 1)), "1","0")</f>
        <v>0</v>
      </c>
      <c r="BD3032">
        <f ca="1" xml:space="preserve"> IF( AND( OFFSET($A$1, 3032 - 1, 54 - 1) = "1", OFFSET($A$1, 3032 - 1, 55 - 1) = "1" ), 1, IF( AND( OFFSET($A$1, 3032 - 1, 54 - 1) = "1", OFFSET($A$1, 3032 - 1, 55 - 1) = "0" ), 2, IF( AND( OFFSET($A$1, 3032 - 1, 54 - 1) = "0", OFFSET($A$1, 3032 - 1, 55 - 1) = "1" ), 3, 4 ) ) )</f>
        <v>4</v>
      </c>
    </row>
    <row r="3033" spans="53:56" x14ac:dyDescent="0.35">
      <c r="BA3033" s="3">
        <v>0.23757104889879696</v>
      </c>
      <c r="BB3033" s="3" t="str">
        <f>"0"</f>
        <v>0</v>
      </c>
      <c r="BC3033" t="str">
        <f ca="1">IF((OFFSET($A$1, 3033 - 1, 53 - 1)) &gt;= (OFFSET($A$1, 69 - 1, 7 - 1)), "1","0")</f>
        <v>0</v>
      </c>
      <c r="BD3033">
        <f ca="1" xml:space="preserve"> IF( AND( OFFSET($A$1, 3033 - 1, 54 - 1) = "1", OFFSET($A$1, 3033 - 1, 55 - 1) = "1" ), 1, IF( AND( OFFSET($A$1, 3033 - 1, 54 - 1) = "1", OFFSET($A$1, 3033 - 1, 55 - 1) = "0" ), 2, IF( AND( OFFSET($A$1, 3033 - 1, 54 - 1) = "0", OFFSET($A$1, 3033 - 1, 55 - 1) = "1" ), 3, 4 ) ) )</f>
        <v>4</v>
      </c>
    </row>
    <row r="3034" spans="53:56" x14ac:dyDescent="0.35">
      <c r="BA3034" s="3">
        <v>0.2386364150525267</v>
      </c>
      <c r="BB3034" s="3" t="str">
        <f>"0"</f>
        <v>0</v>
      </c>
      <c r="BC3034" t="str">
        <f ca="1">IF((OFFSET($A$1, 3034 - 1, 53 - 1)) &gt;= (OFFSET($A$1, 69 - 1, 7 - 1)), "1","0")</f>
        <v>0</v>
      </c>
      <c r="BD3034">
        <f ca="1" xml:space="preserve"> IF( AND( OFFSET($A$1, 3034 - 1, 54 - 1) = "1", OFFSET($A$1, 3034 - 1, 55 - 1) = "1" ), 1, IF( AND( OFFSET($A$1, 3034 - 1, 54 - 1) = "1", OFFSET($A$1, 3034 - 1, 55 - 1) = "0" ), 2, IF( AND( OFFSET($A$1, 3034 - 1, 54 - 1) = "0", OFFSET($A$1, 3034 - 1, 55 - 1) = "1" ), 3, 4 ) ) )</f>
        <v>4</v>
      </c>
    </row>
    <row r="3035" spans="53:56" x14ac:dyDescent="0.35">
      <c r="BA3035" s="3">
        <v>0.23971095687162669</v>
      </c>
      <c r="BB3035" s="3" t="str">
        <f>"0"</f>
        <v>0</v>
      </c>
      <c r="BC3035" t="str">
        <f ca="1">IF((OFFSET($A$1, 3035 - 1, 53 - 1)) &gt;= (OFFSET($A$1, 69 - 1, 7 - 1)), "1","0")</f>
        <v>0</v>
      </c>
      <c r="BD3035">
        <f ca="1" xml:space="preserve"> IF( AND( OFFSET($A$1, 3035 - 1, 54 - 1) = "1", OFFSET($A$1, 3035 - 1, 55 - 1) = "1" ), 1, IF( AND( OFFSET($A$1, 3035 - 1, 54 - 1) = "1", OFFSET($A$1, 3035 - 1, 55 - 1) = "0" ), 2, IF( AND( OFFSET($A$1, 3035 - 1, 54 - 1) = "0", OFFSET($A$1, 3035 - 1, 55 - 1) = "1" ), 3, 4 ) ) )</f>
        <v>4</v>
      </c>
    </row>
    <row r="3036" spans="53:56" x14ac:dyDescent="0.35">
      <c r="BA3036" s="3">
        <v>0.24079440590846016</v>
      </c>
      <c r="BB3036" s="3" t="str">
        <f>"0"</f>
        <v>0</v>
      </c>
      <c r="BC3036" t="str">
        <f ca="1">IF((OFFSET($A$1, 3036 - 1, 53 - 1)) &gt;= (OFFSET($A$1, 69 - 1, 7 - 1)), "1","0")</f>
        <v>0</v>
      </c>
      <c r="BD3036">
        <f ca="1" xml:space="preserve"> IF( AND( OFFSET($A$1, 3036 - 1, 54 - 1) = "1", OFFSET($A$1, 3036 - 1, 55 - 1) = "1" ), 1, IF( AND( OFFSET($A$1, 3036 - 1, 54 - 1) = "1", OFFSET($A$1, 3036 - 1, 55 - 1) = "0" ), 2, IF( AND( OFFSET($A$1, 3036 - 1, 54 - 1) = "0", OFFSET($A$1, 3036 - 1, 55 - 1) = "1" ), 3, 4 ) ) )</f>
        <v>4</v>
      </c>
    </row>
    <row r="3037" spans="53:56" x14ac:dyDescent="0.35">
      <c r="BA3037" s="3">
        <v>0.24188648814666441</v>
      </c>
      <c r="BB3037" s="3" t="str">
        <f>"0"</f>
        <v>0</v>
      </c>
      <c r="BC3037" t="str">
        <f ca="1">IF((OFFSET($A$1, 3037 - 1, 53 - 1)) &gt;= (OFFSET($A$1, 69 - 1, 7 - 1)), "1","0")</f>
        <v>0</v>
      </c>
      <c r="BD3037">
        <f ca="1" xml:space="preserve"> IF( AND( OFFSET($A$1, 3037 - 1, 54 - 1) = "1", OFFSET($A$1, 3037 - 1, 55 - 1) = "1" ), 1, IF( AND( OFFSET($A$1, 3037 - 1, 54 - 1) = "1", OFFSET($A$1, 3037 - 1, 55 - 1) = "0" ), 2, IF( AND( OFFSET($A$1, 3037 - 1, 54 - 1) = "0", OFFSET($A$1, 3037 - 1, 55 - 1) = "1" ), 3, 4 ) ) )</f>
        <v>4</v>
      </c>
    </row>
    <row r="3038" spans="53:56" x14ac:dyDescent="0.35">
      <c r="BA3038" s="3">
        <v>0.24298692402344019</v>
      </c>
      <c r="BB3038" s="3" t="str">
        <f>"0"</f>
        <v>0</v>
      </c>
      <c r="BC3038" t="str">
        <f ca="1">IF((OFFSET($A$1, 3038 - 1, 53 - 1)) &gt;= (OFFSET($A$1, 69 - 1, 7 - 1)), "1","0")</f>
        <v>0</v>
      </c>
      <c r="BD3038">
        <f ca="1" xml:space="preserve"> IF( AND( OFFSET($A$1, 3038 - 1, 54 - 1) = "1", OFFSET($A$1, 3038 - 1, 55 - 1) = "1" ), 1, IF( AND( OFFSET($A$1, 3038 - 1, 54 - 1) = "1", OFFSET($A$1, 3038 - 1, 55 - 1) = "0" ), 2, IF( AND( OFFSET($A$1, 3038 - 1, 54 - 1) = "0", OFFSET($A$1, 3038 - 1, 55 - 1) = "1" ), 3, 4 ) ) )</f>
        <v>4</v>
      </c>
    </row>
    <row r="3039" spans="53:56" x14ac:dyDescent="0.35">
      <c r="BA3039" s="3">
        <v>0.2440954284576938</v>
      </c>
      <c r="BB3039" s="3" t="str">
        <f>"1"</f>
        <v>1</v>
      </c>
      <c r="BC3039" t="str">
        <f ca="1">IF((OFFSET($A$1, 3039 - 1, 53 - 1)) &gt;= (OFFSET($A$1, 69 - 1, 7 - 1)), "1","0")</f>
        <v>0</v>
      </c>
      <c r="BD3039">
        <f ca="1" xml:space="preserve"> IF( AND( OFFSET($A$1, 3039 - 1, 54 - 1) = "1", OFFSET($A$1, 3039 - 1, 55 - 1) = "1" ), 1, IF( AND( OFFSET($A$1, 3039 - 1, 54 - 1) = "1", OFFSET($A$1, 3039 - 1, 55 - 1) = "0" ), 2, IF( AND( OFFSET($A$1, 3039 - 1, 54 - 1) = "0", OFFSET($A$1, 3039 - 1, 55 - 1) = "1" ), 3, 4 ) ) )</f>
        <v>2</v>
      </c>
    </row>
    <row r="3040" spans="53:56" x14ac:dyDescent="0.35">
      <c r="BA3040" s="3">
        <v>0.50350514226784204</v>
      </c>
      <c r="BB3040" s="3" t="str">
        <f>"1"</f>
        <v>1</v>
      </c>
      <c r="BC3040" t="str">
        <f ca="1">IF((OFFSET($A$1, 3040 - 1, 53 - 1)) &gt;= (OFFSET($A$1, 69 - 1, 7 - 1)), "1","0")</f>
        <v>1</v>
      </c>
      <c r="BD3040">
        <f ca="1" xml:space="preserve"> IF( AND( OFFSET($A$1, 3040 - 1, 54 - 1) = "1", OFFSET($A$1, 3040 - 1, 55 - 1) = "1" ), 1, IF( AND( OFFSET($A$1, 3040 - 1, 54 - 1) = "1", OFFSET($A$1, 3040 - 1, 55 - 1) = "0" ), 2, IF( AND( OFFSET($A$1, 3040 - 1, 54 - 1) = "0", OFFSET($A$1, 3040 - 1, 55 - 1) = "1" ), 3, 4 ) ) )</f>
        <v>1</v>
      </c>
    </row>
    <row r="3041" spans="53:56" x14ac:dyDescent="0.35">
      <c r="BA3041" s="3">
        <v>0.50502061113197094</v>
      </c>
      <c r="BB3041" s="3" t="str">
        <f>"0"</f>
        <v>0</v>
      </c>
      <c r="BC3041" t="str">
        <f ca="1">IF((OFFSET($A$1, 3041 - 1, 53 - 1)) &gt;= (OFFSET($A$1, 69 - 1, 7 - 1)), "1","0")</f>
        <v>1</v>
      </c>
      <c r="BD3041">
        <f ca="1" xml:space="preserve"> IF( AND( OFFSET($A$1, 3041 - 1, 54 - 1) = "1", OFFSET($A$1, 3041 - 1, 55 - 1) = "1" ), 1, IF( AND( OFFSET($A$1, 3041 - 1, 54 - 1) = "1", OFFSET($A$1, 3041 - 1, 55 - 1) = "0" ), 2, IF( AND( OFFSET($A$1, 3041 - 1, 54 - 1) = "0", OFFSET($A$1, 3041 - 1, 55 - 1) = "1" ), 3, 4 ) ) )</f>
        <v>3</v>
      </c>
    </row>
    <row r="3042" spans="53:56" x14ac:dyDescent="0.35">
      <c r="BA3042" s="3">
        <v>0.24746642027808075</v>
      </c>
      <c r="BB3042" s="3" t="str">
        <f>"1"</f>
        <v>1</v>
      </c>
      <c r="BC3042" t="str">
        <f ca="1">IF((OFFSET($A$1, 3042 - 1, 53 - 1)) &gt;= (OFFSET($A$1, 69 - 1, 7 - 1)), "1","0")</f>
        <v>0</v>
      </c>
      <c r="BD3042">
        <f ca="1" xml:space="preserve"> IF( AND( OFFSET($A$1, 3042 - 1, 54 - 1) = "1", OFFSET($A$1, 3042 - 1, 55 - 1) = "1" ), 1, IF( AND( OFFSET($A$1, 3042 - 1, 54 - 1) = "1", OFFSET($A$1, 3042 - 1, 55 - 1) = "0" ), 2, IF( AND( OFFSET($A$1, 3042 - 1, 54 - 1) = "0", OFFSET($A$1, 3042 - 1, 55 - 1) = "1" ), 3, 4 ) ) )</f>
        <v>2</v>
      </c>
    </row>
    <row r="3043" spans="53:56" x14ac:dyDescent="0.35">
      <c r="BA3043" s="3">
        <v>0.50806576841745399</v>
      </c>
      <c r="BB3043" s="3" t="str">
        <f>"0"</f>
        <v>0</v>
      </c>
      <c r="BC3043" t="str">
        <f ca="1">IF((OFFSET($A$1, 3043 - 1, 53 - 1)) &gt;= (OFFSET($A$1, 69 - 1, 7 - 1)), "1","0")</f>
        <v>1</v>
      </c>
      <c r="BD3043">
        <f ca="1" xml:space="preserve"> IF( AND( OFFSET($A$1, 3043 - 1, 54 - 1) = "1", OFFSET($A$1, 3043 - 1, 55 - 1) = "1" ), 1, IF( AND( OFFSET($A$1, 3043 - 1, 54 - 1) = "1", OFFSET($A$1, 3043 - 1, 55 - 1) = "0" ), 2, IF( AND( OFFSET($A$1, 3043 - 1, 54 - 1) = "0", OFFSET($A$1, 3043 - 1, 55 - 1) = "1" ), 3, 4 ) ) )</f>
        <v>3</v>
      </c>
    </row>
    <row r="3044" spans="53:56" x14ac:dyDescent="0.35">
      <c r="BA3044" s="3">
        <v>0.24974861967578274</v>
      </c>
      <c r="BB3044" s="3" t="str">
        <f>"0"</f>
        <v>0</v>
      </c>
      <c r="BC3044" t="str">
        <f ca="1">IF((OFFSET($A$1, 3044 - 1, 53 - 1)) &gt;= (OFFSET($A$1, 69 - 1, 7 - 1)), "1","0")</f>
        <v>0</v>
      </c>
      <c r="BD3044">
        <f ca="1" xml:space="preserve"> IF( AND( OFFSET($A$1, 3044 - 1, 54 - 1) = "1", OFFSET($A$1, 3044 - 1, 55 - 1) = "1" ), 1, IF( AND( OFFSET($A$1, 3044 - 1, 54 - 1) = "1", OFFSET($A$1, 3044 - 1, 55 - 1) = "0" ), 2, IF( AND( OFFSET($A$1, 3044 - 1, 54 - 1) = "0", OFFSET($A$1, 3044 - 1, 55 - 1) = "1" ), 3, 4 ) ) )</f>
        <v>4</v>
      </c>
    </row>
    <row r="3045" spans="53:56" x14ac:dyDescent="0.35">
      <c r="BA3045" s="3">
        <v>0.250899244786915</v>
      </c>
      <c r="BB3045" s="3" t="str">
        <f>"1"</f>
        <v>1</v>
      </c>
      <c r="BC3045" t="str">
        <f ca="1">IF((OFFSET($A$1, 3045 - 1, 53 - 1)) &gt;= (OFFSET($A$1, 69 - 1, 7 - 1)), "1","0")</f>
        <v>0</v>
      </c>
      <c r="BD3045">
        <f ca="1" xml:space="preserve"> IF( AND( OFFSET($A$1, 3045 - 1, 54 - 1) = "1", OFFSET($A$1, 3045 - 1, 55 - 1) = "1" ), 1, IF( AND( OFFSET($A$1, 3045 - 1, 54 - 1) = "1", OFFSET($A$1, 3045 - 1, 55 - 1) = "0" ), 2, IF( AND( OFFSET($A$1, 3045 - 1, 54 - 1) = "0", OFFSET($A$1, 3045 - 1, 55 - 1) = "1" ), 3, 4 ) ) )</f>
        <v>2</v>
      </c>
    </row>
    <row r="3046" spans="53:56" x14ac:dyDescent="0.35">
      <c r="BA3046" s="3">
        <v>0.51266184391316394</v>
      </c>
      <c r="BB3046" s="3" t="str">
        <f>"1"</f>
        <v>1</v>
      </c>
      <c r="BC3046" t="str">
        <f ca="1">IF((OFFSET($A$1, 3046 - 1, 53 - 1)) &gt;= (OFFSET($A$1, 69 - 1, 7 - 1)), "1","0")</f>
        <v>1</v>
      </c>
      <c r="BD3046">
        <f ca="1" xml:space="preserve"> IF( AND( OFFSET($A$1, 3046 - 1, 54 - 1) = "1", OFFSET($A$1, 3046 - 1, 55 - 1) = "1" ), 1, IF( AND( OFFSET($A$1, 3046 - 1, 54 - 1) = "1", OFFSET($A$1, 3046 - 1, 55 - 1) = "0" ), 2, IF( AND( OFFSET($A$1, 3046 - 1, 54 - 1) = "0", OFFSET($A$1, 3046 - 1, 55 - 1) = "1" ), 3, 4 ) ) )</f>
        <v>1</v>
      </c>
    </row>
    <row r="3047" spans="53:56" x14ac:dyDescent="0.35">
      <c r="BA3047" s="3">
        <v>0.51419949405798493</v>
      </c>
      <c r="BB3047" s="3" t="str">
        <f>"0"</f>
        <v>0</v>
      </c>
      <c r="BC3047" t="str">
        <f ca="1">IF((OFFSET($A$1, 3047 - 1, 53 - 1)) &gt;= (OFFSET($A$1, 69 - 1, 7 - 1)), "1","0")</f>
        <v>1</v>
      </c>
      <c r="BD3047">
        <f ca="1" xml:space="preserve"> IF( AND( OFFSET($A$1, 3047 - 1, 54 - 1) = "1", OFFSET($A$1, 3047 - 1, 55 - 1) = "1" ), 1, IF( AND( OFFSET($A$1, 3047 - 1, 54 - 1) = "1", OFFSET($A$1, 3047 - 1, 55 - 1) = "0" ), 2, IF( AND( OFFSET($A$1, 3047 - 1, 54 - 1) = "0", OFFSET($A$1, 3047 - 1, 55 - 1) = "1" ), 3, 4 ) ) )</f>
        <v>3</v>
      </c>
    </row>
    <row r="3048" spans="53:56" x14ac:dyDescent="0.35">
      <c r="BA3048" s="3">
        <v>0.25438533782792411</v>
      </c>
      <c r="BB3048" s="3" t="str">
        <f>"0"</f>
        <v>0</v>
      </c>
      <c r="BC3048" t="str">
        <f ca="1">IF((OFFSET($A$1, 3048 - 1, 53 - 1)) &gt;= (OFFSET($A$1, 69 - 1, 7 - 1)), "1","0")</f>
        <v>0</v>
      </c>
      <c r="BD3048">
        <f ca="1" xml:space="preserve"> IF( AND( OFFSET($A$1, 3048 - 1, 54 - 1) = "1", OFFSET($A$1, 3048 - 1, 55 - 1) = "1" ), 1, IF( AND( OFFSET($A$1, 3048 - 1, 54 - 1) = "1", OFFSET($A$1, 3048 - 1, 55 - 1) = "0" ), 2, IF( AND( OFFSET($A$1, 3048 - 1, 54 - 1) = "0", OFFSET($A$1, 3048 - 1, 55 - 1) = "1" ), 3, 4 ) ) )</f>
        <v>4</v>
      </c>
    </row>
    <row r="3049" spans="53:56" x14ac:dyDescent="0.35">
      <c r="BA3049" s="3">
        <v>0.25555766657649598</v>
      </c>
      <c r="BB3049" s="3" t="str">
        <f>"1"</f>
        <v>1</v>
      </c>
      <c r="BC3049" t="str">
        <f ca="1">IF((OFFSET($A$1, 3049 - 1, 53 - 1)) &gt;= (OFFSET($A$1, 69 - 1, 7 - 1)), "1","0")</f>
        <v>0</v>
      </c>
      <c r="BD3049">
        <f ca="1" xml:space="preserve"> IF( AND( OFFSET($A$1, 3049 - 1, 54 - 1) = "1", OFFSET($A$1, 3049 - 1, 55 - 1) = "1" ), 1, IF( AND( OFFSET($A$1, 3049 - 1, 54 - 1) = "1", OFFSET($A$1, 3049 - 1, 55 - 1) = "0" ), 2, IF( AND( OFFSET($A$1, 3049 - 1, 54 - 1) = "0", OFFSET($A$1, 3049 - 1, 55 - 1) = "1" ), 3, 4 ) ) )</f>
        <v>2</v>
      </c>
    </row>
    <row r="3050" spans="53:56" x14ac:dyDescent="0.35">
      <c r="BA3050" s="3">
        <v>0.51882252665750406</v>
      </c>
      <c r="BB3050" s="3" t="str">
        <f>"1"</f>
        <v>1</v>
      </c>
      <c r="BC3050" t="str">
        <f ca="1">IF((OFFSET($A$1, 3050 - 1, 53 - 1)) &gt;= (OFFSET($A$1, 69 - 1, 7 - 1)), "1","0")</f>
        <v>1</v>
      </c>
      <c r="BD3050">
        <f ca="1" xml:space="preserve"> IF( AND( OFFSET($A$1, 3050 - 1, 54 - 1) = "1", OFFSET($A$1, 3050 - 1, 55 - 1) = "1" ), 1, IF( AND( OFFSET($A$1, 3050 - 1, 54 - 1) = "1", OFFSET($A$1, 3050 - 1, 55 - 1) = "0" ), 2, IF( AND( OFFSET($A$1, 3050 - 1, 54 - 1) = "0", OFFSET($A$1, 3050 - 1, 55 - 1) = "1" ), 3, 4 ) ) )</f>
        <v>1</v>
      </c>
    </row>
    <row r="3051" spans="53:56" x14ac:dyDescent="0.35">
      <c r="BA3051" s="3">
        <v>0.52036527756154649</v>
      </c>
      <c r="BB3051" s="3" t="str">
        <f>"0"</f>
        <v>0</v>
      </c>
      <c r="BC3051" t="str">
        <f ca="1">IF((OFFSET($A$1, 3051 - 1, 53 - 1)) &gt;= (OFFSET($A$1, 69 - 1, 7 - 1)), "1","0")</f>
        <v>1</v>
      </c>
      <c r="BD3051">
        <f ca="1" xml:space="preserve"> IF( AND( OFFSET($A$1, 3051 - 1, 54 - 1) = "1", OFFSET($A$1, 3051 - 1, 55 - 1) = "1" ), 1, IF( AND( OFFSET($A$1, 3051 - 1, 54 - 1) = "1", OFFSET($A$1, 3051 - 1, 55 - 1) = "0" ), 2, IF( AND( OFFSET($A$1, 3051 - 1, 54 - 1) = "0", OFFSET($A$1, 3051 - 1, 55 - 1) = "1" ), 3, 4 ) ) )</f>
        <v>3</v>
      </c>
    </row>
    <row r="3052" spans="53:56" x14ac:dyDescent="0.35">
      <c r="BA3052" s="3">
        <v>0.25910075619845885</v>
      </c>
      <c r="BB3052" s="3" t="str">
        <f>"0"</f>
        <v>0</v>
      </c>
      <c r="BC3052" t="str">
        <f ca="1">IF((OFFSET($A$1, 3052 - 1, 53 - 1)) &gt;= (OFFSET($A$1, 69 - 1, 7 - 1)), "1","0")</f>
        <v>0</v>
      </c>
      <c r="BD3052">
        <f ca="1" xml:space="preserve"> IF( AND( OFFSET($A$1, 3052 - 1, 54 - 1) = "1", OFFSET($A$1, 3052 - 1, 55 - 1) = "1" ), 1, IF( AND( OFFSET($A$1, 3052 - 1, 54 - 1) = "1", OFFSET($A$1, 3052 - 1, 55 - 1) = "0" ), 2, IF( AND( OFFSET($A$1, 3052 - 1, 54 - 1) = "0", OFFSET($A$1, 3052 - 1, 55 - 1) = "1" ), 3, 4 ) ) )</f>
        <v>4</v>
      </c>
    </row>
    <row r="3053" spans="53:56" x14ac:dyDescent="0.35">
      <c r="BA3053" s="3">
        <v>0.26028931572312214</v>
      </c>
      <c r="BB3053" s="3" t="str">
        <f>"0"</f>
        <v>0</v>
      </c>
      <c r="BC3053" t="str">
        <f ca="1">IF((OFFSET($A$1, 3053 - 1, 53 - 1)) &gt;= (OFFSET($A$1, 69 - 1, 7 - 1)), "1","0")</f>
        <v>0</v>
      </c>
      <c r="BD3053">
        <f ca="1" xml:space="preserve"> IF( AND( OFFSET($A$1, 3053 - 1, 54 - 1) = "1", OFFSET($A$1, 3053 - 1, 55 - 1) = "1" ), 1, IF( AND( OFFSET($A$1, 3053 - 1, 54 - 1) = "1", OFFSET($A$1, 3053 - 1, 55 - 1) = "0" ), 2, IF( AND( OFFSET($A$1, 3053 - 1, 54 - 1) = "0", OFFSET($A$1, 3053 - 1, 55 - 1) = "1" ), 3, 4 ) ) )</f>
        <v>4</v>
      </c>
    </row>
    <row r="3054" spans="53:56" x14ac:dyDescent="0.35">
      <c r="BA3054" s="3">
        <v>0.26148104320290505</v>
      </c>
      <c r="BB3054" s="3" t="str">
        <f>"0"</f>
        <v>0</v>
      </c>
      <c r="BC3054" t="str">
        <f ca="1">IF((OFFSET($A$1, 3054 - 1, 53 - 1)) &gt;= (OFFSET($A$1, 69 - 1, 7 - 1)), "1","0")</f>
        <v>0</v>
      </c>
      <c r="BD3054">
        <f ca="1" xml:space="preserve"> IF( AND( OFFSET($A$1, 3054 - 1, 54 - 1) = "1", OFFSET($A$1, 3054 - 1, 55 - 1) = "1" ), 1, IF( AND( OFFSET($A$1, 3054 - 1, 54 - 1) = "1", OFFSET($A$1, 3054 - 1, 55 - 1) = "0" ), 2, IF( AND( OFFSET($A$1, 3054 - 1, 54 - 1) = "0", OFFSET($A$1, 3054 - 1, 55 - 1) = "1" ), 3, 4 ) ) )</f>
        <v>4</v>
      </c>
    </row>
    <row r="3055" spans="53:56" x14ac:dyDescent="0.35">
      <c r="BA3055" s="3">
        <v>0.26267557409382603</v>
      </c>
      <c r="BB3055" s="3" t="str">
        <f>"0"</f>
        <v>0</v>
      </c>
      <c r="BC3055" t="str">
        <f ca="1">IF((OFFSET($A$1, 3055 - 1, 53 - 1)) &gt;= (OFFSET($A$1, 69 - 1, 7 - 1)), "1","0")</f>
        <v>0</v>
      </c>
      <c r="BD3055">
        <f ca="1" xml:space="preserve"> IF( AND( OFFSET($A$1, 3055 - 1, 54 - 1) = "1", OFFSET($A$1, 3055 - 1, 55 - 1) = "1" ), 1, IF( AND( OFFSET($A$1, 3055 - 1, 54 - 1) = "1", OFFSET($A$1, 3055 - 1, 55 - 1) = "0" ), 2, IF( AND( OFFSET($A$1, 3055 - 1, 54 - 1) = "0", OFFSET($A$1, 3055 - 1, 55 - 1) = "1" ), 3, 4 ) ) )</f>
        <v>4</v>
      </c>
    </row>
    <row r="3056" spans="53:56" x14ac:dyDescent="0.35">
      <c r="BA3056" s="3">
        <v>0.26387253975371822</v>
      </c>
      <c r="BB3056" s="3" t="str">
        <f>"0"</f>
        <v>0</v>
      </c>
      <c r="BC3056" t="str">
        <f ca="1">IF((OFFSET($A$1, 3056 - 1, 53 - 1)) &gt;= (OFFSET($A$1, 69 - 1, 7 - 1)), "1","0")</f>
        <v>0</v>
      </c>
      <c r="BD3056">
        <f ca="1" xml:space="preserve"> IF( AND( OFFSET($A$1, 3056 - 1, 54 - 1) = "1", OFFSET($A$1, 3056 - 1, 55 - 1) = "1" ), 1, IF( AND( OFFSET($A$1, 3056 - 1, 54 - 1) = "1", OFFSET($A$1, 3056 - 1, 55 - 1) = "0" ), 2, IF( AND( OFFSET($A$1, 3056 - 1, 54 - 1) = "0", OFFSET($A$1, 3056 - 1, 55 - 1) = "1" ), 3, 4 ) ) )</f>
        <v>4</v>
      </c>
    </row>
    <row r="3057" spans="53:56" x14ac:dyDescent="0.35">
      <c r="BA3057" s="3">
        <v>0.26507156758077943</v>
      </c>
      <c r="BB3057" s="3" t="str">
        <f>"0"</f>
        <v>0</v>
      </c>
      <c r="BC3057" t="str">
        <f ca="1">IF((OFFSET($A$1, 3057 - 1, 53 - 1)) &gt;= (OFFSET($A$1, 69 - 1, 7 - 1)), "1","0")</f>
        <v>0</v>
      </c>
      <c r="BD3057">
        <f ca="1" xml:space="preserve"> IF( AND( OFFSET($A$1, 3057 - 1, 54 - 1) = "1", OFFSET($A$1, 3057 - 1, 55 - 1) = "1" ), 1, IF( AND( OFFSET($A$1, 3057 - 1, 54 - 1) = "1", OFFSET($A$1, 3057 - 1, 55 - 1) = "0" ), 2, IF( AND( OFFSET($A$1, 3057 - 1, 54 - 1) = "0", OFFSET($A$1, 3057 - 1, 55 - 1) = "1" ), 3, 4 ) ) )</f>
        <v>4</v>
      </c>
    </row>
    <row r="3058" spans="53:56" x14ac:dyDescent="0.35">
      <c r="BA3058" s="3">
        <v>0.26627228115784002</v>
      </c>
      <c r="BB3058" s="3" t="str">
        <f>"0"</f>
        <v>0</v>
      </c>
      <c r="BC3058" t="str">
        <f ca="1">IF((OFFSET($A$1, 3058 - 1, 53 - 1)) &gt;= (OFFSET($A$1, 69 - 1, 7 - 1)), "1","0")</f>
        <v>0</v>
      </c>
      <c r="BD3058">
        <f ca="1" xml:space="preserve"> IF( AND( OFFSET($A$1, 3058 - 1, 54 - 1) = "1", OFFSET($A$1, 3058 - 1, 55 - 1) = "1" ), 1, IF( AND( OFFSET($A$1, 3058 - 1, 54 - 1) = "1", OFFSET($A$1, 3058 - 1, 55 - 1) = "0" ), 2, IF( AND( OFFSET($A$1, 3058 - 1, 54 - 1) = "0", OFFSET($A$1, 3058 - 1, 55 - 1) = "1" ), 3, 4 ) ) )</f>
        <v>4</v>
      </c>
    </row>
    <row r="3059" spans="53:56" x14ac:dyDescent="0.35">
      <c r="BA3059" s="3">
        <v>0.2674743004022293</v>
      </c>
      <c r="BB3059" s="3" t="str">
        <f>"0"</f>
        <v>0</v>
      </c>
      <c r="BC3059" t="str">
        <f ca="1">IF((OFFSET($A$1, 3059 - 1, 53 - 1)) &gt;= (OFFSET($A$1, 69 - 1, 7 - 1)), "1","0")</f>
        <v>0</v>
      </c>
      <c r="BD3059">
        <f ca="1" xml:space="preserve"> IF( AND( OFFSET($A$1, 3059 - 1, 54 - 1) = "1", OFFSET($A$1, 3059 - 1, 55 - 1) = "1" ), 1, IF( AND( OFFSET($A$1, 3059 - 1, 54 - 1) = "1", OFFSET($A$1, 3059 - 1, 55 - 1) = "0" ), 2, IF( AND( OFFSET($A$1, 3059 - 1, 54 - 1) = "0", OFFSET($A$1, 3059 - 1, 55 - 1) = "1" ), 3, 4 ) ) )</f>
        <v>4</v>
      </c>
    </row>
    <row r="3060" spans="53:56" x14ac:dyDescent="0.35">
      <c r="BA3060" s="3">
        <v>0.26867724172111518</v>
      </c>
      <c r="BB3060" s="3" t="str">
        <f>"1"</f>
        <v>1</v>
      </c>
      <c r="BC3060" t="str">
        <f ca="1">IF((OFFSET($A$1, 3060 - 1, 53 - 1)) &gt;= (OFFSET($A$1, 69 - 1, 7 - 1)), "1","0")</f>
        <v>0</v>
      </c>
      <c r="BD3060">
        <f ca="1" xml:space="preserve"> IF( AND( OFFSET($A$1, 3060 - 1, 54 - 1) = "1", OFFSET($A$1, 3060 - 1, 55 - 1) = "1" ), 1, IF( AND( OFFSET($A$1, 3060 - 1, 54 - 1) = "1", OFFSET($A$1, 3060 - 1, 55 - 1) = "0" ), 2, IF( AND( OFFSET($A$1, 3060 - 1, 54 - 1) = "0", OFFSET($A$1, 3060 - 1, 55 - 1) = "1" ), 3, 4 ) ) )</f>
        <v>2</v>
      </c>
    </row>
    <row r="3061" spans="53:56" x14ac:dyDescent="0.35">
      <c r="BA3061" s="3">
        <v>0.53571613773856386</v>
      </c>
      <c r="BB3061" s="3" t="str">
        <f>"1"</f>
        <v>1</v>
      </c>
      <c r="BC3061" t="str">
        <f ca="1">IF((OFFSET($A$1, 3061 - 1, 53 - 1)) &gt;= (OFFSET($A$1, 69 - 1, 7 - 1)), "1","0")</f>
        <v>1</v>
      </c>
      <c r="BD3061">
        <f ca="1" xml:space="preserve"> IF( AND( OFFSET($A$1, 3061 - 1, 54 - 1) = "1", OFFSET($A$1, 3061 - 1, 55 - 1) = "1" ), 1, IF( AND( OFFSET($A$1, 3061 - 1, 54 - 1) = "1", OFFSET($A$1, 3061 - 1, 55 - 1) = "0" ), 2, IF( AND( OFFSET($A$1, 3061 - 1, 54 - 1) = "0", OFFSET($A$1, 3061 - 1, 55 - 1) = "1" ), 3, 4 ) ) )</f>
        <v>1</v>
      </c>
    </row>
    <row r="3062" spans="53:56" x14ac:dyDescent="0.35">
      <c r="BA3062" s="3">
        <v>0.53723297127159231</v>
      </c>
      <c r="BB3062" s="3" t="str">
        <f>"0"</f>
        <v>0</v>
      </c>
      <c r="BC3062" t="str">
        <f ca="1">IF((OFFSET($A$1, 3062 - 1, 53 - 1)) &gt;= (OFFSET($A$1, 69 - 1, 7 - 1)), "1","0")</f>
        <v>1</v>
      </c>
      <c r="BD3062">
        <f ca="1" xml:space="preserve"> IF( AND( OFFSET($A$1, 3062 - 1, 54 - 1) = "1", OFFSET($A$1, 3062 - 1, 55 - 1) = "1" ), 1, IF( AND( OFFSET($A$1, 3062 - 1, 54 - 1) = "1", OFFSET($A$1, 3062 - 1, 55 - 1) = "0" ), 2, IF( AND( OFFSET($A$1, 3062 - 1, 54 - 1) = "0", OFFSET($A$1, 3062 - 1, 55 - 1) = "1" ), 3, 4 ) ) )</f>
        <v>3</v>
      </c>
    </row>
    <row r="3063" spans="53:56" x14ac:dyDescent="0.35">
      <c r="BA3063" s="3">
        <v>0.27228771295413817</v>
      </c>
      <c r="BB3063" s="3" t="str">
        <f>"1"</f>
        <v>1</v>
      </c>
      <c r="BC3063" t="str">
        <f ca="1">IF((OFFSET($A$1, 3063 - 1, 53 - 1)) &gt;= (OFFSET($A$1, 69 - 1, 7 - 1)), "1","0")</f>
        <v>0</v>
      </c>
      <c r="BD3063">
        <f ca="1" xml:space="preserve"> IF( AND( OFFSET($A$1, 3063 - 1, 54 - 1) = "1", OFFSET($A$1, 3063 - 1, 55 - 1) = "1" ), 1, IF( AND( OFFSET($A$1, 3063 - 1, 54 - 1) = "1", OFFSET($A$1, 3063 - 1, 55 - 1) = "0" ), 2, IF( AND( OFFSET($A$1, 3063 - 1, 54 - 1) = "0", OFFSET($A$1, 3063 - 1, 55 - 1) = "1" ), 3, 4 ) ) )</f>
        <v>2</v>
      </c>
    </row>
    <row r="3064" spans="53:56" x14ac:dyDescent="0.35">
      <c r="BA3064" s="3">
        <v>0.54025050608010972</v>
      </c>
      <c r="BB3064" s="3" t="str">
        <f>"1"</f>
        <v>1</v>
      </c>
      <c r="BC3064" t="str">
        <f ca="1">IF((OFFSET($A$1, 3064 - 1, 53 - 1)) &gt;= (OFFSET($A$1, 69 - 1, 7 - 1)), "1","0")</f>
        <v>1</v>
      </c>
      <c r="BD3064">
        <f ca="1" xml:space="preserve"> IF( AND( OFFSET($A$1, 3064 - 1, 54 - 1) = "1", OFFSET($A$1, 3064 - 1, 55 - 1) = "1" ), 1, IF( AND( OFFSET($A$1, 3064 - 1, 54 - 1) = "1", OFFSET($A$1, 3064 - 1, 55 - 1) = "0" ), 2, IF( AND( OFFSET($A$1, 3064 - 1, 54 - 1) = "0", OFFSET($A$1, 3064 - 1, 55 - 1) = "1" ), 3, 4 ) ) )</f>
        <v>1</v>
      </c>
    </row>
    <row r="3065" spans="53:56" x14ac:dyDescent="0.35">
      <c r="BA3065" s="3">
        <v>0.54175027388290031</v>
      </c>
      <c r="BB3065" s="3" t="str">
        <f>"0"</f>
        <v>0</v>
      </c>
      <c r="BC3065" t="str">
        <f ca="1">IF((OFFSET($A$1, 3065 - 1, 53 - 1)) &gt;= (OFFSET($A$1, 69 - 1, 7 - 1)), "1","0")</f>
        <v>1</v>
      </c>
      <c r="BD3065">
        <f ca="1" xml:space="preserve"> IF( AND( OFFSET($A$1, 3065 - 1, 54 - 1) = "1", OFFSET($A$1, 3065 - 1, 55 - 1) = "1" ), 1, IF( AND( OFFSET($A$1, 3065 - 1, 54 - 1) = "1", OFFSET($A$1, 3065 - 1, 55 - 1) = "0" ), 2, IF( AND( OFFSET($A$1, 3065 - 1, 54 - 1) = "0", OFFSET($A$1, 3065 - 1, 55 - 1) = "1" ), 3, 4 ) ) )</f>
        <v>3</v>
      </c>
    </row>
    <row r="3066" spans="53:56" x14ac:dyDescent="0.35">
      <c r="BA3066" s="3">
        <v>0.27589237127705152</v>
      </c>
      <c r="BB3066" s="3" t="str">
        <f>"0"</f>
        <v>0</v>
      </c>
      <c r="BC3066" t="str">
        <f ca="1">IF((OFFSET($A$1, 3066 - 1, 53 - 1)) &gt;= (OFFSET($A$1, 69 - 1, 7 - 1)), "1","0")</f>
        <v>0</v>
      </c>
      <c r="BD3066">
        <f ca="1" xml:space="preserve"> IF( AND( OFFSET($A$1, 3066 - 1, 54 - 1) = "1", OFFSET($A$1, 3066 - 1, 55 - 1) = "1" ), 1, IF( AND( OFFSET($A$1, 3066 - 1, 54 - 1) = "1", OFFSET($A$1, 3066 - 1, 55 - 1) = "0" ), 2, IF( AND( OFFSET($A$1, 3066 - 1, 54 - 1) = "0", OFFSET($A$1, 3066 - 1, 55 - 1) = "1" ), 3, 4 ) ) )</f>
        <v>4</v>
      </c>
    </row>
    <row r="3067" spans="53:56" x14ac:dyDescent="0.35">
      <c r="BA3067" s="3">
        <v>0.27709076667637178</v>
      </c>
      <c r="BB3067" s="3" t="str">
        <f>"0"</f>
        <v>0</v>
      </c>
      <c r="BC3067" t="str">
        <f ca="1">IF((OFFSET($A$1, 3067 - 1, 53 - 1)) &gt;= (OFFSET($A$1, 69 - 1, 7 - 1)), "1","0")</f>
        <v>0</v>
      </c>
      <c r="BD3067">
        <f ca="1" xml:space="preserve"> IF( AND( OFFSET($A$1, 3067 - 1, 54 - 1) = "1", OFFSET($A$1, 3067 - 1, 55 - 1) = "1" ), 1, IF( AND( OFFSET($A$1, 3067 - 1, 54 - 1) = "1", OFFSET($A$1, 3067 - 1, 55 - 1) = "0" ), 2, IF( AND( OFFSET($A$1, 3067 - 1, 54 - 1) = "0", OFFSET($A$1, 3067 - 1, 55 - 1) = "1" ), 3, 4 ) ) )</f>
        <v>4</v>
      </c>
    </row>
    <row r="3068" spans="53:56" x14ac:dyDescent="0.35">
      <c r="BA3068" s="3">
        <v>0.27828690936828959</v>
      </c>
      <c r="BB3068" s="3" t="str">
        <f>"0"</f>
        <v>0</v>
      </c>
      <c r="BC3068" t="str">
        <f ca="1">IF((OFFSET($A$1, 3068 - 1, 53 - 1)) &gt;= (OFFSET($A$1, 69 - 1, 7 - 1)), "1","0")</f>
        <v>0</v>
      </c>
      <c r="BD3068">
        <f ca="1" xml:space="preserve"> IF( AND( OFFSET($A$1, 3068 - 1, 54 - 1) = "1", OFFSET($A$1, 3068 - 1, 55 - 1) = "1" ), 1, IF( AND( OFFSET($A$1, 3068 - 1, 54 - 1) = "1", OFFSET($A$1, 3068 - 1, 55 - 1) = "0" ), 2, IF( AND( OFFSET($A$1, 3068 - 1, 54 - 1) = "0", OFFSET($A$1, 3068 - 1, 55 - 1) = "1" ), 3, 4 ) ) )</f>
        <v>4</v>
      </c>
    </row>
    <row r="3069" spans="53:56" x14ac:dyDescent="0.35">
      <c r="BA3069" s="3">
        <v>0.27948039198486785</v>
      </c>
      <c r="BB3069" s="3" t="str">
        <f>"0"</f>
        <v>0</v>
      </c>
      <c r="BC3069" t="str">
        <f ca="1">IF((OFFSET($A$1, 3069 - 1, 53 - 1)) &gt;= (OFFSET($A$1, 69 - 1, 7 - 1)), "1","0")</f>
        <v>0</v>
      </c>
      <c r="BD3069">
        <f ca="1" xml:space="preserve"> IF( AND( OFFSET($A$1, 3069 - 1, 54 - 1) = "1", OFFSET($A$1, 3069 - 1, 55 - 1) = "1" ), 1, IF( AND( OFFSET($A$1, 3069 - 1, 54 - 1) = "1", OFFSET($A$1, 3069 - 1, 55 - 1) = "0" ), 2, IF( AND( OFFSET($A$1, 3069 - 1, 54 - 1) = "0", OFFSET($A$1, 3069 - 1, 55 - 1) = "1" ), 3, 4 ) ) )</f>
        <v>4</v>
      </c>
    </row>
    <row r="3070" spans="53:56" x14ac:dyDescent="0.35">
      <c r="BA3070" s="3">
        <v>0.28067080546697937</v>
      </c>
      <c r="BB3070" s="3" t="str">
        <f>"1"</f>
        <v>1</v>
      </c>
      <c r="BC3070" t="str">
        <f ca="1">IF((OFFSET($A$1, 3070 - 1, 53 - 1)) &gt;= (OFFSET($A$1, 69 - 1, 7 - 1)), "1","0")</f>
        <v>0</v>
      </c>
      <c r="BD3070">
        <f ca="1" xml:space="preserve"> IF( AND( OFFSET($A$1, 3070 - 1, 54 - 1) = "1", OFFSET($A$1, 3070 - 1, 55 - 1) = "1" ), 1, IF( AND( OFFSET($A$1, 3070 - 1, 54 - 1) = "1", OFFSET($A$1, 3070 - 1, 55 - 1) = "0" ), 2, IF( AND( OFFSET($A$1, 3070 - 1, 54 - 1) = "0", OFFSET($A$1, 3070 - 1, 55 - 1) = "1" ), 3, 4 ) ) )</f>
        <v>2</v>
      </c>
    </row>
    <row r="3071" spans="53:56" x14ac:dyDescent="0.35">
      <c r="BA3071" s="3">
        <v>0.55059398456707664</v>
      </c>
      <c r="BB3071" s="3" t="str">
        <f>"1"</f>
        <v>1</v>
      </c>
      <c r="BC3071" t="str">
        <f ca="1">IF((OFFSET($A$1, 3071 - 1, 53 - 1)) &gt;= (OFFSET($A$1, 69 - 1, 7 - 1)), "1","0")</f>
        <v>1</v>
      </c>
      <c r="BD3071">
        <f ca="1" xml:space="preserve"> IF( AND( OFFSET($A$1, 3071 - 1, 54 - 1) = "1", OFFSET($A$1, 3071 - 1, 55 - 1) = "1" ), 1, IF( AND( OFFSET($A$1, 3071 - 1, 54 - 1) = "1", OFFSET($A$1, 3071 - 1, 55 - 1) = "0" ), 2, IF( AND( OFFSET($A$1, 3071 - 1, 54 - 1) = "0", OFFSET($A$1, 3071 - 1, 55 - 1) = "1" ), 3, 4 ) ) )</f>
        <v>1</v>
      </c>
    </row>
    <row r="3072" spans="53:56" x14ac:dyDescent="0.35">
      <c r="BA3072" s="3">
        <v>0.55203792263599383</v>
      </c>
      <c r="BB3072" s="3" t="str">
        <f>"0"</f>
        <v>0</v>
      </c>
      <c r="BC3072" t="str">
        <f ca="1">IF((OFFSET($A$1, 3072 - 1, 53 - 1)) &gt;= (OFFSET($A$1, 69 - 1, 7 - 1)), "1","0")</f>
        <v>1</v>
      </c>
      <c r="BD3072">
        <f ca="1" xml:space="preserve"> IF( AND( OFFSET($A$1, 3072 - 1, 54 - 1) = "1", OFFSET($A$1, 3072 - 1, 55 - 1) = "1" ), 1, IF( AND( OFFSET($A$1, 3072 - 1, 54 - 1) = "1", OFFSET($A$1, 3072 - 1, 55 - 1) = "0" ), 2, IF( AND( OFFSET($A$1, 3072 - 1, 54 - 1) = "0", OFFSET($A$1, 3072 - 1, 55 - 1) = "1" ), 3, 4 ) ) )</f>
        <v>3</v>
      </c>
    </row>
    <row r="3073" spans="53:56" x14ac:dyDescent="0.35">
      <c r="BA3073" s="3">
        <v>0.28421951946029816</v>
      </c>
      <c r="BB3073" s="3" t="str">
        <f>"0"</f>
        <v>0</v>
      </c>
      <c r="BC3073" t="str">
        <f ca="1">IF((OFFSET($A$1, 3073 - 1, 53 - 1)) &gt;= (OFFSET($A$1, 69 - 1, 7 - 1)), "1","0")</f>
        <v>0</v>
      </c>
      <c r="BD3073">
        <f ca="1" xml:space="preserve"> IF( AND( OFFSET($A$1, 3073 - 1, 54 - 1) = "1", OFFSET($A$1, 3073 - 1, 55 - 1) = "1" ), 1, IF( AND( OFFSET($A$1, 3073 - 1, 54 - 1) = "1", OFFSET($A$1, 3073 - 1, 55 - 1) = "0" ), 2, IF( AND( OFFSET($A$1, 3073 - 1, 54 - 1) = "0", OFFSET($A$1, 3073 - 1, 55 - 1) = "1" ), 3, 4 ) ) )</f>
        <v>4</v>
      </c>
    </row>
    <row r="3074" spans="53:56" x14ac:dyDescent="0.35">
      <c r="BA3074" s="3">
        <v>0.28539353920646171</v>
      </c>
      <c r="BB3074" s="3" t="str">
        <f>"0"</f>
        <v>0</v>
      </c>
      <c r="BC3074" t="str">
        <f ca="1">IF((OFFSET($A$1, 3074 - 1, 53 - 1)) &gt;= (OFFSET($A$1, 69 - 1, 7 - 1)), "1","0")</f>
        <v>0</v>
      </c>
      <c r="BD3074">
        <f ca="1" xml:space="preserve"> IF( AND( OFFSET($A$1, 3074 - 1, 54 - 1) = "1", OFFSET($A$1, 3074 - 1, 55 - 1) = "1" ), 1, IF( AND( OFFSET($A$1, 3074 - 1, 54 - 1) = "1", OFFSET($A$1, 3074 - 1, 55 - 1) = "0" ), 2, IF( AND( OFFSET($A$1, 3074 - 1, 54 - 1) = "0", OFFSET($A$1, 3074 - 1, 55 - 1) = "1" ), 3, 4 ) ) )</f>
        <v>4</v>
      </c>
    </row>
    <row r="3075" spans="53:56" x14ac:dyDescent="0.35">
      <c r="BA3075" s="3">
        <v>0.28656242641349966</v>
      </c>
      <c r="BB3075" s="3" t="str">
        <f>"1"</f>
        <v>1</v>
      </c>
      <c r="BC3075" t="str">
        <f ca="1">IF((OFFSET($A$1, 3075 - 1, 53 - 1)) &gt;= (OFFSET($A$1, 69 - 1, 7 - 1)), "1","0")</f>
        <v>0</v>
      </c>
      <c r="BD3075">
        <f ca="1" xml:space="preserve"> IF( AND( OFFSET($A$1, 3075 - 1, 54 - 1) = "1", OFFSET($A$1, 3075 - 1, 55 - 1) = "1" ), 1, IF( AND( OFFSET($A$1, 3075 - 1, 54 - 1) = "1", OFFSET($A$1, 3075 - 1, 55 - 1) = "0" ), 2, IF( AND( OFFSET($A$1, 3075 - 1, 54 - 1) = "0", OFFSET($A$1, 3075 - 1, 55 - 1) = "1" ), 3, 4 ) ) )</f>
        <v>2</v>
      </c>
    </row>
    <row r="3076" spans="53:56" x14ac:dyDescent="0.35">
      <c r="BA3076" s="3">
        <v>0.55771188061426857</v>
      </c>
      <c r="BB3076" s="3" t="str">
        <f>"0"</f>
        <v>0</v>
      </c>
      <c r="BC3076" t="str">
        <f ca="1">IF((OFFSET($A$1, 3076 - 1, 53 - 1)) &gt;= (OFFSET($A$1, 69 - 1, 7 - 1)), "1","0")</f>
        <v>1</v>
      </c>
      <c r="BD3076">
        <f ca="1" xml:space="preserve"> IF( AND( OFFSET($A$1, 3076 - 1, 54 - 1) = "1", OFFSET($A$1, 3076 - 1, 55 - 1) = "1" ), 1, IF( AND( OFFSET($A$1, 3076 - 1, 54 - 1) = "1", OFFSET($A$1, 3076 - 1, 55 - 1) = "0" ), 2, IF( AND( OFFSET($A$1, 3076 - 1, 54 - 1) = "0", OFFSET($A$1, 3076 - 1, 55 - 1) = "1" ), 3, 4 ) ) )</f>
        <v>3</v>
      </c>
    </row>
    <row r="3077" spans="53:56" x14ac:dyDescent="0.35">
      <c r="BA3077" s="3">
        <v>0.28888314376417046</v>
      </c>
      <c r="BB3077" s="3" t="str">
        <f>"0"</f>
        <v>0</v>
      </c>
      <c r="BC3077" t="str">
        <f ca="1">IF((OFFSET($A$1, 3077 - 1, 53 - 1)) &gt;= (OFFSET($A$1, 69 - 1, 7 - 1)), "1","0")</f>
        <v>0</v>
      </c>
      <c r="BD3077">
        <f ca="1" xml:space="preserve"> IF( AND( OFFSET($A$1, 3077 - 1, 54 - 1) = "1", OFFSET($A$1, 3077 - 1, 55 - 1) = "1" ), 1, IF( AND( OFFSET($A$1, 3077 - 1, 54 - 1) = "1", OFFSET($A$1, 3077 - 1, 55 - 1) = "0" ), 2, IF( AND( OFFSET($A$1, 3077 - 1, 54 - 1) = "0", OFFSET($A$1, 3077 - 1, 55 - 1) = "1" ), 3, 4 ) ) )</f>
        <v>4</v>
      </c>
    </row>
    <row r="3078" spans="53:56" x14ac:dyDescent="0.35">
      <c r="BA3078" s="3">
        <v>0.29003414390270515</v>
      </c>
      <c r="BB3078" s="3" t="str">
        <f>"0"</f>
        <v>0</v>
      </c>
      <c r="BC3078" t="str">
        <f ca="1">IF((OFFSET($A$1, 3078 - 1, 53 - 1)) &gt;= (OFFSET($A$1, 69 - 1, 7 - 1)), "1","0")</f>
        <v>0</v>
      </c>
      <c r="BD3078">
        <f ca="1" xml:space="preserve"> IF( AND( OFFSET($A$1, 3078 - 1, 54 - 1) = "1", OFFSET($A$1, 3078 - 1, 55 - 1) = "1" ), 1, IF( AND( OFFSET($A$1, 3078 - 1, 54 - 1) = "1", OFFSET($A$1, 3078 - 1, 55 - 1) = "0" ), 2, IF( AND( OFFSET($A$1, 3078 - 1, 54 - 1) = "0", OFFSET($A$1, 3078 - 1, 55 - 1) = "1" ), 3, 4 ) ) )</f>
        <v>4</v>
      </c>
    </row>
    <row r="3079" spans="53:56" x14ac:dyDescent="0.35">
      <c r="BA3079" s="3">
        <v>0.29117835193718589</v>
      </c>
      <c r="BB3079" s="3" t="str">
        <f>"0"</f>
        <v>0</v>
      </c>
      <c r="BC3079" t="str">
        <f ca="1">IF((OFFSET($A$1, 3079 - 1, 53 - 1)) &gt;= (OFFSET($A$1, 69 - 1, 7 - 1)), "1","0")</f>
        <v>0</v>
      </c>
      <c r="BD3079">
        <f ca="1" xml:space="preserve"> IF( AND( OFFSET($A$1, 3079 - 1, 54 - 1) = "1", OFFSET($A$1, 3079 - 1, 55 - 1) = "1" ), 1, IF( AND( OFFSET($A$1, 3079 - 1, 54 - 1) = "1", OFFSET($A$1, 3079 - 1, 55 - 1) = "0" ), 2, IF( AND( OFFSET($A$1, 3079 - 1, 54 - 1) = "0", OFFSET($A$1, 3079 - 1, 55 - 1) = "1" ), 3, 4 ) ) )</f>
        <v>4</v>
      </c>
    </row>
    <row r="3080" spans="53:56" x14ac:dyDescent="0.35">
      <c r="BA3080" s="3">
        <v>0.29231535358724953</v>
      </c>
      <c r="BB3080" s="3" t="str">
        <f>"0"</f>
        <v>0</v>
      </c>
      <c r="BC3080" t="str">
        <f ca="1">IF((OFFSET($A$1, 3080 - 1, 53 - 1)) &gt;= (OFFSET($A$1, 69 - 1, 7 - 1)), "1","0")</f>
        <v>0</v>
      </c>
      <c r="BD3080">
        <f ca="1" xml:space="preserve"> IF( AND( OFFSET($A$1, 3080 - 1, 54 - 1) = "1", OFFSET($A$1, 3080 - 1, 55 - 1) = "1" ), 1, IF( AND( OFFSET($A$1, 3080 - 1, 54 - 1) = "1", OFFSET($A$1, 3080 - 1, 55 - 1) = "0" ), 2, IF( AND( OFFSET($A$1, 3080 - 1, 54 - 1) = "0", OFFSET($A$1, 3080 - 1, 55 - 1) = "1" ), 3, 4 ) ) )</f>
        <v>4</v>
      </c>
    </row>
    <row r="3081" spans="53:56" x14ac:dyDescent="0.35">
      <c r="BA3081" s="3">
        <v>0.29344473526658277</v>
      </c>
      <c r="BB3081" s="3" t="str">
        <f>"1"</f>
        <v>1</v>
      </c>
      <c r="BC3081" t="str">
        <f ca="1">IF((OFFSET($A$1, 3081 - 1, 53 - 1)) &gt;= (OFFSET($A$1, 69 - 1, 7 - 1)), "1","0")</f>
        <v>0</v>
      </c>
      <c r="BD3081">
        <f ca="1" xml:space="preserve"> IF( AND( OFFSET($A$1, 3081 - 1, 54 - 1) = "1", OFFSET($A$1, 3081 - 1, 55 - 1) = "1" ), 1, IF( AND( OFFSET($A$1, 3081 - 1, 54 - 1) = "1", OFFSET($A$1, 3081 - 1, 55 - 1) = "0" ), 2, IF( AND( OFFSET($A$1, 3081 - 1, 54 - 1) = "0", OFFSET($A$1, 3081 - 1, 55 - 1) = "1" ), 3, 4 ) ) )</f>
        <v>2</v>
      </c>
    </row>
    <row r="3082" spans="53:56" x14ac:dyDescent="0.35">
      <c r="BA3082" s="3">
        <v>0.56587149070947995</v>
      </c>
      <c r="BB3082" s="3" t="str">
        <f>"0"</f>
        <v>0</v>
      </c>
      <c r="BC3082" t="str">
        <f ca="1">IF((OFFSET($A$1, 3082 - 1, 53 - 1)) &gt;= (OFFSET($A$1, 69 - 1, 7 - 1)), "1","0")</f>
        <v>1</v>
      </c>
      <c r="BD3082">
        <f ca="1" xml:space="preserve"> IF( AND( OFFSET($A$1, 3082 - 1, 54 - 1) = "1", OFFSET($A$1, 3082 - 1, 55 - 1) = "1" ), 1, IF( AND( OFFSET($A$1, 3082 - 1, 54 - 1) = "1", OFFSET($A$1, 3082 - 1, 55 - 1) = "0" ), 2, IF( AND( OFFSET($A$1, 3082 - 1, 54 - 1) = "0", OFFSET($A$1, 3082 - 1, 55 - 1) = "1" ), 3, 4 ) ) )</f>
        <v>3</v>
      </c>
    </row>
    <row r="3083" spans="53:56" x14ac:dyDescent="0.35">
      <c r="BA3083" s="3">
        <v>0.29567898919741248</v>
      </c>
      <c r="BB3083" s="3" t="str">
        <f>"0"</f>
        <v>0</v>
      </c>
      <c r="BC3083" t="str">
        <f ca="1">IF((OFFSET($A$1, 3083 - 1, 53 - 1)) &gt;= (OFFSET($A$1, 69 - 1, 7 - 1)), "1","0")</f>
        <v>0</v>
      </c>
      <c r="BD3083">
        <f ca="1" xml:space="preserve"> IF( AND( OFFSET($A$1, 3083 - 1, 54 - 1) = "1", OFFSET($A$1, 3083 - 1, 55 - 1) = "1" ), 1, IF( AND( OFFSET($A$1, 3083 - 1, 54 - 1) = "1", OFFSET($A$1, 3083 - 1, 55 - 1) = "0" ), 2, IF( AND( OFFSET($A$1, 3083 - 1, 54 - 1) = "0", OFFSET($A$1, 3083 - 1, 55 - 1) = "1" ), 3, 4 ) ) )</f>
        <v>4</v>
      </c>
    </row>
    <row r="3084" spans="53:56" x14ac:dyDescent="0.35">
      <c r="BA3084" s="3">
        <v>0.29678303978713899</v>
      </c>
      <c r="BB3084" s="3" t="str">
        <f>"0"</f>
        <v>0</v>
      </c>
      <c r="BC3084" t="str">
        <f ca="1">IF((OFFSET($A$1, 3084 - 1, 53 - 1)) &gt;= (OFFSET($A$1, 69 - 1, 7 - 1)), "1","0")</f>
        <v>0</v>
      </c>
      <c r="BD3084">
        <f ca="1" xml:space="preserve"> IF( AND( OFFSET($A$1, 3084 - 1, 54 - 1) = "1", OFFSET($A$1, 3084 - 1, 55 - 1) = "1" ), 1, IF( AND( OFFSET($A$1, 3084 - 1, 54 - 1) = "1", OFFSET($A$1, 3084 - 1, 55 - 1) = "0" ), 2, IF( AND( OFFSET($A$1, 3084 - 1, 54 - 1) = "0", OFFSET($A$1, 3084 - 1, 55 - 1) = "1" ), 3, 4 ) ) )</f>
        <v>4</v>
      </c>
    </row>
    <row r="3085" spans="53:56" x14ac:dyDescent="0.35">
      <c r="BA3085" s="3">
        <v>0.29787782753717024</v>
      </c>
      <c r="BB3085" s="3" t="str">
        <f>"1"</f>
        <v>1</v>
      </c>
      <c r="BC3085" t="str">
        <f ca="1">IF((OFFSET($A$1, 3085 - 1, 53 - 1)) &gt;= (OFFSET($A$1, 69 - 1, 7 - 1)), "1","0")</f>
        <v>0</v>
      </c>
      <c r="BD3085">
        <f ca="1" xml:space="preserve"> IF( AND( OFFSET($A$1, 3085 - 1, 54 - 1) = "1", OFFSET($A$1, 3085 - 1, 55 - 1) = "1" ), 1, IF( AND( OFFSET($A$1, 3085 - 1, 54 - 1) = "1", OFFSET($A$1, 3085 - 1, 55 - 1) = "0" ), 2, IF( AND( OFFSET($A$1, 3085 - 1, 54 - 1) = "0", OFFSET($A$1, 3085 - 1, 55 - 1) = "1" ), 3, 4 ) ) )</f>
        <v>2</v>
      </c>
    </row>
    <row r="3086" spans="53:56" x14ac:dyDescent="0.35">
      <c r="BA3086" s="3">
        <v>0.57103986327064382</v>
      </c>
      <c r="BB3086" s="3" t="str">
        <f>"0"</f>
        <v>0</v>
      </c>
      <c r="BC3086" t="str">
        <f ca="1">IF((OFFSET($A$1, 3086 - 1, 53 - 1)) &gt;= (OFFSET($A$1, 69 - 1, 7 - 1)), "1","0")</f>
        <v>1</v>
      </c>
      <c r="BD3086">
        <f ca="1" xml:space="preserve"> IF( AND( OFFSET($A$1, 3086 - 1, 54 - 1) = "1", OFFSET($A$1, 3086 - 1, 55 - 1) = "1" ), 1, IF( AND( OFFSET($A$1, 3086 - 1, 54 - 1) = "1", OFFSET($A$1, 3086 - 1, 55 - 1) = "0" ), 2, IF( AND( OFFSET($A$1, 3086 - 1, 54 - 1) = "0", OFFSET($A$1, 3086 - 1, 55 - 1) = "1" ), 3, 4 ) ) )</f>
        <v>3</v>
      </c>
    </row>
    <row r="3087" spans="53:56" x14ac:dyDescent="0.35">
      <c r="BA3087" s="3">
        <v>0.30003798972502321</v>
      </c>
      <c r="BB3087" s="3" t="str">
        <f>"1"</f>
        <v>1</v>
      </c>
      <c r="BC3087" t="str">
        <f ca="1">IF((OFFSET($A$1, 3087 - 1, 53 - 1)) &gt;= (OFFSET($A$1, 69 - 1, 7 - 1)), "1","0")</f>
        <v>0</v>
      </c>
      <c r="BD3087">
        <f ca="1" xml:space="preserve"> IF( AND( OFFSET($A$1, 3087 - 1, 54 - 1) = "1", OFFSET($A$1, 3087 - 1, 55 - 1) = "1" ), 1, IF( AND( OFFSET($A$1, 3087 - 1, 54 - 1) = "1", OFFSET($A$1, 3087 - 1, 55 - 1) = "0" ), 2, IF( AND( OFFSET($A$1, 3087 - 1, 54 - 1) = "0", OFFSET($A$1, 3087 - 1, 55 - 1) = "1" ), 3, 4 ) ) )</f>
        <v>2</v>
      </c>
    </row>
    <row r="3088" spans="53:56" x14ac:dyDescent="0.35">
      <c r="BA3088" s="3">
        <v>0.573533627012212</v>
      </c>
      <c r="BB3088" s="3" t="str">
        <f>"1"</f>
        <v>1</v>
      </c>
      <c r="BC3088" t="str">
        <f ca="1">IF((OFFSET($A$1, 3088 - 1, 53 - 1)) &gt;= (OFFSET($A$1, 69 - 1, 7 - 1)), "1","0")</f>
        <v>1</v>
      </c>
      <c r="BD3088">
        <f ca="1" xml:space="preserve"> IF( AND( OFFSET($A$1, 3088 - 1, 54 - 1) = "1", OFFSET($A$1, 3088 - 1, 55 - 1) = "1" ), 1, IF( AND( OFFSET($A$1, 3088 - 1, 54 - 1) = "1", OFFSET($A$1, 3088 - 1, 55 - 1) = "0" ), 2, IF( AND( OFFSET($A$1, 3088 - 1, 54 - 1) = "0", OFFSET($A$1, 3088 - 1, 55 - 1) = "1" ), 3, 4 ) ) )</f>
        <v>1</v>
      </c>
    </row>
    <row r="3089" spans="53:56" x14ac:dyDescent="0.35">
      <c r="BA3089" s="3">
        <v>0.57475665677047727</v>
      </c>
      <c r="BB3089" s="3" t="str">
        <f>"1"</f>
        <v>1</v>
      </c>
      <c r="BC3089" t="str">
        <f ca="1">IF((OFFSET($A$1, 3089 - 1, 53 - 1)) &gt;= (OFFSET($A$1, 69 - 1, 7 - 1)), "1","0")</f>
        <v>1</v>
      </c>
      <c r="BD3089">
        <f ca="1" xml:space="preserve"> IF( AND( OFFSET($A$1, 3089 - 1, 54 - 1) = "1", OFFSET($A$1, 3089 - 1, 55 - 1) = "1" ), 1, IF( AND( OFFSET($A$1, 3089 - 1, 54 - 1) = "1", OFFSET($A$1, 3089 - 1, 55 - 1) = "0" ), 2, IF( AND( OFFSET($A$1, 3089 - 1, 54 - 1) = "0", OFFSET($A$1, 3089 - 1, 55 - 1) = "1" ), 3, 4 ) ) )</f>
        <v>1</v>
      </c>
    </row>
    <row r="3090" spans="53:56" x14ac:dyDescent="0.35">
      <c r="BA3090" s="3">
        <v>0.57596332676653139</v>
      </c>
      <c r="BB3090" s="3" t="str">
        <f>"0"</f>
        <v>0</v>
      </c>
      <c r="BC3090" t="str">
        <f ca="1">IF((OFFSET($A$1, 3090 - 1, 53 - 1)) &gt;= (OFFSET($A$1, 69 - 1, 7 - 1)), "1","0")</f>
        <v>1</v>
      </c>
      <c r="BD3090">
        <f ca="1" xml:space="preserve"> IF( AND( OFFSET($A$1, 3090 - 1, 54 - 1) = "1", OFFSET($A$1, 3090 - 1, 55 - 1) = "1" ), 1, IF( AND( OFFSET($A$1, 3090 - 1, 54 - 1) = "1", OFFSET($A$1, 3090 - 1, 55 - 1) = "0" ), 2, IF( AND( OFFSET($A$1, 3090 - 1, 54 - 1) = "0", OFFSET($A$1, 3090 - 1, 55 - 1) = "1" ), 3, 4 ) ) )</f>
        <v>3</v>
      </c>
    </row>
    <row r="3091" spans="53:56" x14ac:dyDescent="0.35">
      <c r="BA3091" s="3">
        <v>0.30422941505057888</v>
      </c>
      <c r="BB3091" s="3" t="str">
        <f>"0"</f>
        <v>0</v>
      </c>
      <c r="BC3091" t="str">
        <f ca="1">IF((OFFSET($A$1, 3091 - 1, 53 - 1)) &gt;= (OFFSET($A$1, 69 - 1, 7 - 1)), "1","0")</f>
        <v>0</v>
      </c>
      <c r="BD3091">
        <f ca="1" xml:space="preserve"> IF( AND( OFFSET($A$1, 3091 - 1, 54 - 1) = "1", OFFSET($A$1, 3091 - 1, 55 - 1) = "1" ), 1, IF( AND( OFFSET($A$1, 3091 - 1, 54 - 1) = "1", OFFSET($A$1, 3091 - 1, 55 - 1) = "0" ), 2, IF( AND( OFFSET($A$1, 3091 - 1, 54 - 1) = "0", OFFSET($A$1, 3091 - 1, 55 - 1) = "1" ), 3, 4 ) ) )</f>
        <v>4</v>
      </c>
    </row>
    <row r="3092" spans="53:56" x14ac:dyDescent="0.35">
      <c r="BA3092" s="3">
        <v>0.30524810586368611</v>
      </c>
      <c r="BB3092" s="3" t="str">
        <f>"0"</f>
        <v>0</v>
      </c>
      <c r="BC3092" t="str">
        <f ca="1">IF((OFFSET($A$1, 3092 - 1, 53 - 1)) &gt;= (OFFSET($A$1, 69 - 1, 7 - 1)), "1","0")</f>
        <v>0</v>
      </c>
      <c r="BD3092">
        <f ca="1" xml:space="preserve"> IF( AND( OFFSET($A$1, 3092 - 1, 54 - 1) = "1", OFFSET($A$1, 3092 - 1, 55 - 1) = "1" ), 1, IF( AND( OFFSET($A$1, 3092 - 1, 54 - 1) = "1", OFFSET($A$1, 3092 - 1, 55 - 1) = "0" ), 2, IF( AND( OFFSET($A$1, 3092 - 1, 54 - 1) = "0", OFFSET($A$1, 3092 - 1, 55 - 1) = "1" ), 3, 4 ) ) )</f>
        <v>4</v>
      </c>
    </row>
    <row r="3093" spans="53:56" x14ac:dyDescent="0.35">
      <c r="BA3093" s="3">
        <v>0.30625435027767939</v>
      </c>
      <c r="BB3093" s="3" t="str">
        <f>"0"</f>
        <v>0</v>
      </c>
      <c r="BC3093" t="str">
        <f ca="1">IF((OFFSET($A$1, 3093 - 1, 53 - 1)) &gt;= (OFFSET($A$1, 69 - 1, 7 - 1)), "1","0")</f>
        <v>0</v>
      </c>
      <c r="BD3093">
        <f ca="1" xml:space="preserve"> IF( AND( OFFSET($A$1, 3093 - 1, 54 - 1) = "1", OFFSET($A$1, 3093 - 1, 55 - 1) = "1" ), 1, IF( AND( OFFSET($A$1, 3093 - 1, 54 - 1) = "1", OFFSET($A$1, 3093 - 1, 55 - 1) = "0" ), 2, IF( AND( OFFSET($A$1, 3093 - 1, 54 - 1) = "0", OFFSET($A$1, 3093 - 1, 55 - 1) = "1" ), 3, 4 ) ) )</f>
        <v>4</v>
      </c>
    </row>
    <row r="3094" spans="53:56" x14ac:dyDescent="0.35">
      <c r="BA3094" s="3">
        <v>0.30724776428601808</v>
      </c>
      <c r="BB3094" s="3" t="str">
        <f>"1"</f>
        <v>1</v>
      </c>
      <c r="BC3094" t="str">
        <f ca="1">IF((OFFSET($A$1, 3094 - 1, 53 - 1)) &gt;= (OFFSET($A$1, 69 - 1, 7 - 1)), "1","0")</f>
        <v>0</v>
      </c>
      <c r="BD3094">
        <f ca="1" xml:space="preserve"> IF( AND( OFFSET($A$1, 3094 - 1, 54 - 1) = "1", OFFSET($A$1, 3094 - 1, 55 - 1) = "1" ), 1, IF( AND( OFFSET($A$1, 3094 - 1, 54 - 1) = "1", OFFSET($A$1, 3094 - 1, 55 - 1) = "0" ), 2, IF( AND( OFFSET($A$1, 3094 - 1, 54 - 1) = "0", OFFSET($A$1, 3094 - 1, 55 - 1) = "1" ), 3, 4 ) ) )</f>
        <v>2</v>
      </c>
    </row>
    <row r="3095" spans="53:56" x14ac:dyDescent="0.35">
      <c r="BA3095" s="3">
        <v>0.58173974828877761</v>
      </c>
      <c r="BB3095" s="3" t="str">
        <f>"1"</f>
        <v>1</v>
      </c>
      <c r="BC3095" t="str">
        <f ca="1">IF((OFFSET($A$1, 3095 - 1, 53 - 1)) &gt;= (OFFSET($A$1, 69 - 1, 7 - 1)), "1","0")</f>
        <v>1</v>
      </c>
      <c r="BD3095">
        <f ca="1" xml:space="preserve"> IF( AND( OFFSET($A$1, 3095 - 1, 54 - 1) = "1", OFFSET($A$1, 3095 - 1, 55 - 1) = "1" ), 1, IF( AND( OFFSET($A$1, 3095 - 1, 54 - 1) = "1", OFFSET($A$1, 3095 - 1, 55 - 1) = "0" ), 2, IF( AND( OFFSET($A$1, 3095 - 1, 54 - 1) = "0", OFFSET($A$1, 3095 - 1, 55 - 1) = "1" ), 3, 4 ) ) )</f>
        <v>1</v>
      </c>
    </row>
    <row r="3096" spans="53:56" x14ac:dyDescent="0.35">
      <c r="BA3096" s="3">
        <v>0.5828414307144878</v>
      </c>
      <c r="BB3096" s="3" t="str">
        <f>"1"</f>
        <v>1</v>
      </c>
      <c r="BC3096" t="str">
        <f ca="1">IF((OFFSET($A$1, 3096 - 1, 53 - 1)) &gt;= (OFFSET($A$1, 69 - 1, 7 - 1)), "1","0")</f>
        <v>1</v>
      </c>
      <c r="BD3096">
        <f ca="1" xml:space="preserve"> IF( AND( OFFSET($A$1, 3096 - 1, 54 - 1) = "1", OFFSET($A$1, 3096 - 1, 55 - 1) = "1" ), 1, IF( AND( OFFSET($A$1, 3096 - 1, 54 - 1) = "1", OFFSET($A$1, 3096 - 1, 55 - 1) = "0" ), 2, IF( AND( OFFSET($A$1, 3096 - 1, 54 - 1) = "0", OFFSET($A$1, 3096 - 1, 55 - 1) = "1" ), 3, 4 ) ) )</f>
        <v>1</v>
      </c>
    </row>
    <row r="3097" spans="53:56" x14ac:dyDescent="0.35">
      <c r="BA3097" s="3">
        <v>0.5839245375210812</v>
      </c>
      <c r="BB3097" s="3" t="str">
        <f>"1"</f>
        <v>1</v>
      </c>
      <c r="BC3097" t="str">
        <f ca="1">IF((OFFSET($A$1, 3097 - 1, 53 - 1)) &gt;= (OFFSET($A$1, 69 - 1, 7 - 1)), "1","0")</f>
        <v>1</v>
      </c>
      <c r="BD3097">
        <f ca="1" xml:space="preserve"> IF( AND( OFFSET($A$1, 3097 - 1, 54 - 1) = "1", OFFSET($A$1, 3097 - 1, 55 - 1) = "1" ), 1, IF( AND( OFFSET($A$1, 3097 - 1, 54 - 1) = "1", OFFSET($A$1, 3097 - 1, 55 - 1) = "0" ), 2, IF( AND( OFFSET($A$1, 3097 - 1, 54 - 1) = "0", OFFSET($A$1, 3097 - 1, 55 - 1) = "1" ), 3, 4 ) ) )</f>
        <v>1</v>
      </c>
    </row>
    <row r="3098" spans="53:56" x14ac:dyDescent="0.35">
      <c r="BA3098" s="3">
        <v>0.58498877828126528</v>
      </c>
      <c r="BB3098" s="3" t="str">
        <f>"1"</f>
        <v>1</v>
      </c>
      <c r="BC3098" t="str">
        <f ca="1">IF((OFFSET($A$1, 3098 - 1, 53 - 1)) &gt;= (OFFSET($A$1, 69 - 1, 7 - 1)), "1","0")</f>
        <v>1</v>
      </c>
      <c r="BD3098">
        <f ca="1" xml:space="preserve"> IF( AND( OFFSET($A$1, 3098 - 1, 54 - 1) = "1", OFFSET($A$1, 3098 - 1, 55 - 1) = "1" ), 1, IF( AND( OFFSET($A$1, 3098 - 1, 54 - 1) = "1", OFFSET($A$1, 3098 - 1, 55 - 1) = "0" ), 2, IF( AND( OFFSET($A$1, 3098 - 1, 54 - 1) = "0", OFFSET($A$1, 3098 - 1, 55 - 1) = "1" ), 3, 4 ) ) )</f>
        <v>1</v>
      </c>
    </row>
    <row r="3099" spans="53:56" x14ac:dyDescent="0.35">
      <c r="BA3099" s="3">
        <v>0.58603386917949296</v>
      </c>
      <c r="BB3099" s="3" t="str">
        <f>"0"</f>
        <v>0</v>
      </c>
      <c r="BC3099" t="str">
        <f ca="1">IF((OFFSET($A$1, 3099 - 1, 53 - 1)) &gt;= (OFFSET($A$1, 69 - 1, 7 - 1)), "1","0")</f>
        <v>1</v>
      </c>
      <c r="BD3099">
        <f ca="1" xml:space="preserve"> IF( AND( OFFSET($A$1, 3099 - 1, 54 - 1) = "1", OFFSET($A$1, 3099 - 1, 55 - 1) = "1" ), 1, IF( AND( OFFSET($A$1, 3099 - 1, 54 - 1) = "1", OFFSET($A$1, 3099 - 1, 55 - 1) = "0" ), 2, IF( AND( OFFSET($A$1, 3099 - 1, 54 - 1) = "0", OFFSET($A$1, 3099 - 1, 55 - 1) = "1" ), 3, 4 ) ) )</f>
        <v>3</v>
      </c>
    </row>
    <row r="3100" spans="53:56" x14ac:dyDescent="0.35">
      <c r="BA3100" s="3">
        <v>0.31291781398201785</v>
      </c>
      <c r="BB3100" s="3" t="str">
        <f>"0"</f>
        <v>0</v>
      </c>
      <c r="BC3100" t="str">
        <f ca="1">IF((OFFSET($A$1, 3100 - 1, 53 - 1)) &gt;= (OFFSET($A$1, 69 - 1, 7 - 1)), "1","0")</f>
        <v>0</v>
      </c>
      <c r="BD3100">
        <f ca="1" xml:space="preserve"> IF( AND( OFFSET($A$1, 3100 - 1, 54 - 1) = "1", OFFSET($A$1, 3100 - 1, 55 - 1) = "1" ), 1, IF( AND( OFFSET($A$1, 3100 - 1, 54 - 1) = "1", OFFSET($A$1, 3100 - 1, 55 - 1) = "0" ), 2, IF( AND( OFFSET($A$1, 3100 - 1, 54 - 1) = "0", OFFSET($A$1, 3100 - 1, 55 - 1) = "1" ), 3, 4 ) ) )</f>
        <v>4</v>
      </c>
    </row>
    <row r="3101" spans="53:56" x14ac:dyDescent="0.35">
      <c r="BA3101" s="3">
        <v>0.31381101072343093</v>
      </c>
      <c r="BB3101" s="3" t="str">
        <f>"0"</f>
        <v>0</v>
      </c>
      <c r="BC3101" t="str">
        <f ca="1">IF((OFFSET($A$1, 3101 - 1, 53 - 1)) &gt;= (OFFSET($A$1, 69 - 1, 7 - 1)), "1","0")</f>
        <v>0</v>
      </c>
      <c r="BD3101">
        <f ca="1" xml:space="preserve"> IF( AND( OFFSET($A$1, 3101 - 1, 54 - 1) = "1", OFFSET($A$1, 3101 - 1, 55 - 1) = "1" ), 1, IF( AND( OFFSET($A$1, 3101 - 1, 54 - 1) = "1", OFFSET($A$1, 3101 - 1, 55 - 1) = "0" ), 2, IF( AND( OFFSET($A$1, 3101 - 1, 54 - 1) = "0", OFFSET($A$1, 3101 - 1, 55 - 1) = "1" ), 3, 4 ) ) )</f>
        <v>4</v>
      </c>
    </row>
    <row r="3102" spans="53:56" x14ac:dyDescent="0.35">
      <c r="BA3102" s="3">
        <v>0.3146884602198346</v>
      </c>
      <c r="BB3102" s="3" t="str">
        <f>"0"</f>
        <v>0</v>
      </c>
      <c r="BC3102" t="str">
        <f ca="1">IF((OFFSET($A$1, 3102 - 1, 53 - 1)) &gt;= (OFFSET($A$1, 69 - 1, 7 - 1)), "1","0")</f>
        <v>0</v>
      </c>
      <c r="BD3102">
        <f ca="1" xml:space="preserve"> IF( AND( OFFSET($A$1, 3102 - 1, 54 - 1) = "1", OFFSET($A$1, 3102 - 1, 55 - 1) = "1" ), 1, IF( AND( OFFSET($A$1, 3102 - 1, 54 - 1) = "1", OFFSET($A$1, 3102 - 1, 55 - 1) = "0" ), 2, IF( AND( OFFSET($A$1, 3102 - 1, 54 - 1) = "0", OFFSET($A$1, 3102 - 1, 55 - 1) = "1" ), 3, 4 ) ) )</f>
        <v>4</v>
      </c>
    </row>
    <row r="3103" spans="53:56" x14ac:dyDescent="0.35">
      <c r="BA3103" s="3">
        <v>0.3155498203046444</v>
      </c>
      <c r="BB3103" s="3" t="str">
        <f>"0"</f>
        <v>0</v>
      </c>
      <c r="BC3103" t="str">
        <f ca="1">IF((OFFSET($A$1, 3103 - 1, 53 - 1)) &gt;= (OFFSET($A$1, 69 - 1, 7 - 1)), "1","0")</f>
        <v>0</v>
      </c>
      <c r="BD3103">
        <f ca="1" xml:space="preserve"> IF( AND( OFFSET($A$1, 3103 - 1, 54 - 1) = "1", OFFSET($A$1, 3103 - 1, 55 - 1) = "1" ), 1, IF( AND( OFFSET($A$1, 3103 - 1, 54 - 1) = "1", OFFSET($A$1, 3103 - 1, 55 - 1) = "0" ), 2, IF( AND( OFFSET($A$1, 3103 - 1, 54 - 1) = "0", OFFSET($A$1, 3103 - 1, 55 - 1) = "1" ), 3, 4 ) ) )</f>
        <v>4</v>
      </c>
    </row>
    <row r="3104" spans="53:56" x14ac:dyDescent="0.35">
      <c r="BA3104" s="3">
        <v>0.31639475444260601</v>
      </c>
      <c r="BB3104" s="3" t="str">
        <f>"0"</f>
        <v>0</v>
      </c>
      <c r="BC3104" t="str">
        <f ca="1">IF((OFFSET($A$1, 3104 - 1, 53 - 1)) &gt;= (OFFSET($A$1, 69 - 1, 7 - 1)), "1","0")</f>
        <v>0</v>
      </c>
      <c r="BD3104">
        <f ca="1" xml:space="preserve"> IF( AND( OFFSET($A$1, 3104 - 1, 54 - 1) = "1", OFFSET($A$1, 3104 - 1, 55 - 1) = "1" ), 1, IF( AND( OFFSET($A$1, 3104 - 1, 54 - 1) = "1", OFFSET($A$1, 3104 - 1, 55 - 1) = "0" ), 2, IF( AND( OFFSET($A$1, 3104 - 1, 54 - 1) = "0", OFFSET($A$1, 3104 - 1, 55 - 1) = "1" ), 3, 4 ) ) )</f>
        <v>4</v>
      </c>
    </row>
    <row r="3105" spans="53:56" x14ac:dyDescent="0.35">
      <c r="BA3105" s="3">
        <v>0.31722293191344719</v>
      </c>
      <c r="BB3105" s="3" t="str">
        <f>"1"</f>
        <v>1</v>
      </c>
      <c r="BC3105" t="str">
        <f ca="1">IF((OFFSET($A$1, 3105 - 1, 53 - 1)) &gt;= (OFFSET($A$1, 69 - 1, 7 - 1)), "1","0")</f>
        <v>0</v>
      </c>
      <c r="BD3105">
        <f ca="1" xml:space="preserve"> IF( AND( OFFSET($A$1, 3105 - 1, 54 - 1) = "1", OFFSET($A$1, 3105 - 1, 55 - 1) = "1" ), 1, IF( AND( OFFSET($A$1, 3105 - 1, 54 - 1) = "1", OFFSET($A$1, 3105 - 1, 55 - 1) = "0" ), 2, IF( AND( OFFSET($A$1, 3105 - 1, 54 - 1) = "0", OFFSET($A$1, 3105 - 1, 55 - 1) = "1" ), 3, 4 ) ) )</f>
        <v>2</v>
      </c>
    </row>
    <row r="3106" spans="53:56" x14ac:dyDescent="0.35">
      <c r="BA3106" s="3">
        <v>0.59279086242262991</v>
      </c>
      <c r="BB3106" s="3" t="str">
        <f>"1"</f>
        <v>1</v>
      </c>
      <c r="BC3106" t="str">
        <f ca="1">IF((OFFSET($A$1, 3106 - 1, 53 - 1)) &gt;= (OFFSET($A$1, 69 - 1, 7 - 1)), "1","0")</f>
        <v>1</v>
      </c>
      <c r="BD3106">
        <f ca="1" xml:space="preserve"> IF( AND( OFFSET($A$1, 3106 - 1, 54 - 1) = "1", OFFSET($A$1, 3106 - 1, 55 - 1) = "1" ), 1, IF( AND( OFFSET($A$1, 3106 - 1, 54 - 1) = "1", OFFSET($A$1, 3106 - 1, 55 - 1) = "0" ), 2, IF( AND( OFFSET($A$1, 3106 - 1, 54 - 1) = "0", OFFSET($A$1, 3106 - 1, 55 - 1) = "1" ), 3, 4 ) ) )</f>
        <v>1</v>
      </c>
    </row>
    <row r="3107" spans="53:56" x14ac:dyDescent="0.35">
      <c r="BA3107" s="3">
        <v>0.59367333361171182</v>
      </c>
      <c r="BB3107" s="3" t="str">
        <f>"1"</f>
        <v>1</v>
      </c>
      <c r="BC3107" t="str">
        <f ca="1">IF((OFFSET($A$1, 3107 - 1, 53 - 1)) &gt;= (OFFSET($A$1, 69 - 1, 7 - 1)), "1","0")</f>
        <v>1</v>
      </c>
      <c r="BD3107">
        <f ca="1" xml:space="preserve"> IF( AND( OFFSET($A$1, 3107 - 1, 54 - 1) = "1", OFFSET($A$1, 3107 - 1, 55 - 1) = "1" ), 1, IF( AND( OFFSET($A$1, 3107 - 1, 54 - 1) = "1", OFFSET($A$1, 3107 - 1, 55 - 1) = "0" ), 2, IF( AND( OFFSET($A$1, 3107 - 1, 54 - 1) = "0", OFFSET($A$1, 3107 - 1, 55 - 1) = "1" ), 3, 4 ) ) )</f>
        <v>1</v>
      </c>
    </row>
    <row r="3108" spans="53:56" x14ac:dyDescent="0.35">
      <c r="BA3108" s="3">
        <v>0.59453439931181185</v>
      </c>
      <c r="BB3108" s="3" t="str">
        <f>"1"</f>
        <v>1</v>
      </c>
      <c r="BC3108" t="str">
        <f ca="1">IF((OFFSET($A$1, 3108 - 1, 53 - 1)) &gt;= (OFFSET($A$1, 69 - 1, 7 - 1)), "1","0")</f>
        <v>1</v>
      </c>
      <c r="BD3108">
        <f ca="1" xml:space="preserve"> IF( AND( OFFSET($A$1, 3108 - 1, 54 - 1) = "1", OFFSET($A$1, 3108 - 1, 55 - 1) = "1" ), 1, IF( AND( OFFSET($A$1, 3108 - 1, 54 - 1) = "1", OFFSET($A$1, 3108 - 1, 55 - 1) = "0" ), 2, IF( AND( OFFSET($A$1, 3108 - 1, 54 - 1) = "0", OFFSET($A$1, 3108 - 1, 55 - 1) = "1" ), 3, 4 ) ) )</f>
        <v>1</v>
      </c>
    </row>
    <row r="3109" spans="53:56" x14ac:dyDescent="0.35">
      <c r="BA3109" s="3">
        <v>0.59537384201535537</v>
      </c>
      <c r="BB3109" s="3" t="str">
        <f>"0"</f>
        <v>0</v>
      </c>
      <c r="BC3109" t="str">
        <f ca="1">IF((OFFSET($A$1, 3109 - 1, 53 - 1)) &gt;= (OFFSET($A$1, 69 - 1, 7 - 1)), "1","0")</f>
        <v>1</v>
      </c>
      <c r="BD3109">
        <f ca="1" xml:space="preserve"> IF( AND( OFFSET($A$1, 3109 - 1, 54 - 1) = "1", OFFSET($A$1, 3109 - 1, 55 - 1) = "1" ), 1, IF( AND( OFFSET($A$1, 3109 - 1, 54 - 1) = "1", OFFSET($A$1, 3109 - 1, 55 - 1) = "0" ), 2, IF( AND( OFFSET($A$1, 3109 - 1, 54 - 1) = "0", OFFSET($A$1, 3109 - 1, 55 - 1) = "1" ), 3, 4 ) ) )</f>
        <v>3</v>
      </c>
    </row>
    <row r="3110" spans="53:56" x14ac:dyDescent="0.35">
      <c r="BA3110" s="3">
        <v>0.3211013234144689</v>
      </c>
      <c r="BB3110" s="3" t="str">
        <f>"0"</f>
        <v>0</v>
      </c>
      <c r="BC3110" t="str">
        <f ca="1">IF((OFFSET($A$1, 3110 - 1, 53 - 1)) &gt;= (OFFSET($A$1, 69 - 1, 7 - 1)), "1","0")</f>
        <v>0</v>
      </c>
      <c r="BD3110">
        <f ca="1" xml:space="preserve"> IF( AND( OFFSET($A$1, 3110 - 1, 54 - 1) = "1", OFFSET($A$1, 3110 - 1, 55 - 1) = "1" ), 1, IF( AND( OFFSET($A$1, 3110 - 1, 54 - 1) = "1", OFFSET($A$1, 3110 - 1, 55 - 1) = "0" ), 2, IF( AND( OFFSET($A$1, 3110 - 1, 54 - 1) = "0", OFFSET($A$1, 3110 - 1, 55 - 1) = "1" ), 3, 4 ) ) )</f>
        <v>4</v>
      </c>
    </row>
    <row r="3111" spans="53:56" x14ac:dyDescent="0.35">
      <c r="BA3111" s="3">
        <v>0.32182236353872212</v>
      </c>
      <c r="BB3111" s="3" t="str">
        <f>"0"</f>
        <v>0</v>
      </c>
      <c r="BC3111" t="str">
        <f ca="1">IF((OFFSET($A$1, 3111 - 1, 53 - 1)) &gt;= (OFFSET($A$1, 69 - 1, 7 - 1)), "1","0")</f>
        <v>0</v>
      </c>
      <c r="BD3111">
        <f ca="1" xml:space="preserve"> IF( AND( OFFSET($A$1, 3111 - 1, 54 - 1) = "1", OFFSET($A$1, 3111 - 1, 55 - 1) = "1" ), 1, IF( AND( OFFSET($A$1, 3111 - 1, 54 - 1) = "1", OFFSET($A$1, 3111 - 1, 55 - 1) = "0" ), 2, IF( AND( OFFSET($A$1, 3111 - 1, 54 - 1) = "0", OFFSET($A$1, 3111 - 1, 55 - 1) = "1" ), 3, 4 ) ) )</f>
        <v>4</v>
      </c>
    </row>
    <row r="3112" spans="53:56" x14ac:dyDescent="0.35">
      <c r="BA3112" s="3">
        <v>0.32252450936195315</v>
      </c>
      <c r="BB3112" s="3" t="str">
        <f>"1"</f>
        <v>1</v>
      </c>
      <c r="BC3112" t="str">
        <f ca="1">IF((OFFSET($A$1, 3112 - 1, 53 - 1)) &gt;= (OFFSET($A$1, 69 - 1, 7 - 1)), "1","0")</f>
        <v>0</v>
      </c>
      <c r="BD3112">
        <f ca="1" xml:space="preserve"> IF( AND( OFFSET($A$1, 3112 - 1, 54 - 1) = "1", OFFSET($A$1, 3112 - 1, 55 - 1) = "1" ), 1, IF( AND( OFFSET($A$1, 3112 - 1, 54 - 1) = "1", OFFSET($A$1, 3112 - 1, 55 - 1) = "0" ), 2, IF( AND( OFFSET($A$1, 3112 - 1, 54 - 1) = "0", OFFSET($A$1, 3112 - 1, 55 - 1) = "1" ), 3, 4 ) ) )</f>
        <v>2</v>
      </c>
    </row>
    <row r="3113" spans="53:56" x14ac:dyDescent="0.35">
      <c r="BA3113" s="3">
        <v>0.59851126232183505</v>
      </c>
      <c r="BB3113" s="3" t="str">
        <f>"1"</f>
        <v>1</v>
      </c>
      <c r="BC3113" t="str">
        <f ca="1">IF((OFFSET($A$1, 3113 - 1, 53 - 1)) &gt;= (OFFSET($A$1, 69 - 1, 7 - 1)), "1","0")</f>
        <v>1</v>
      </c>
      <c r="BD3113">
        <f ca="1" xml:space="preserve"> IF( AND( OFFSET($A$1, 3113 - 1, 54 - 1) = "1", OFFSET($A$1, 3113 - 1, 55 - 1) = "1" ), 1, IF( AND( OFFSET($A$1, 3113 - 1, 54 - 1) = "1", OFFSET($A$1, 3113 - 1, 55 - 1) = "0" ), 2, IF( AND( OFFSET($A$1, 3113 - 1, 54 - 1) = "0", OFFSET($A$1, 3113 - 1, 55 - 1) = "1" ), 3, 4 ) ) )</f>
        <v>1</v>
      </c>
    </row>
    <row r="3114" spans="53:56" x14ac:dyDescent="0.35">
      <c r="BA3114" s="3">
        <v>0.59923955670619389</v>
      </c>
      <c r="BB3114" s="3" t="str">
        <f>"1"</f>
        <v>1</v>
      </c>
      <c r="BC3114" t="str">
        <f ca="1">IF((OFFSET($A$1, 3114 - 1, 53 - 1)) &gt;= (OFFSET($A$1, 69 - 1, 7 - 1)), "1","0")</f>
        <v>1</v>
      </c>
      <c r="BD3114">
        <f ca="1" xml:space="preserve"> IF( AND( OFFSET($A$1, 3114 - 1, 54 - 1) = "1", OFFSET($A$1, 3114 - 1, 55 - 1) = "1" ), 1, IF( AND( OFFSET($A$1, 3114 - 1, 54 - 1) = "1", OFFSET($A$1, 3114 - 1, 55 - 1) = "0" ), 2, IF( AND( OFFSET($A$1, 3114 - 1, 54 - 1) = "0", OFFSET($A$1, 3114 - 1, 55 - 1) = "1" ), 3, 4 ) ) )</f>
        <v>1</v>
      </c>
    </row>
    <row r="3115" spans="53:56" x14ac:dyDescent="0.35">
      <c r="BA3115" s="3">
        <v>0.59994506026684502</v>
      </c>
      <c r="BB3115" s="3" t="str">
        <f>"1"</f>
        <v>1</v>
      </c>
      <c r="BC3115" t="str">
        <f ca="1">IF((OFFSET($A$1, 3115 - 1, 53 - 1)) &gt;= (OFFSET($A$1, 69 - 1, 7 - 1)), "1","0")</f>
        <v>1</v>
      </c>
      <c r="BD3115">
        <f ca="1" xml:space="preserve"> IF( AND( OFFSET($A$1, 3115 - 1, 54 - 1) = "1", OFFSET($A$1, 3115 - 1, 55 - 1) = "1" ), 1, IF( AND( OFFSET($A$1, 3115 - 1, 54 - 1) = "1", OFFSET($A$1, 3115 - 1, 55 - 1) = "0" ), 2, IF( AND( OFFSET($A$1, 3115 - 1, 54 - 1) = "0", OFFSET($A$1, 3115 - 1, 55 - 1) = "1" ), 3, 4 ) ) )</f>
        <v>1</v>
      </c>
    </row>
    <row r="3116" spans="53:56" x14ac:dyDescent="0.35">
      <c r="BA3116" s="3">
        <v>0.60062760098896328</v>
      </c>
      <c r="BB3116" s="3" t="str">
        <f>"0"</f>
        <v>0</v>
      </c>
      <c r="BC3116" t="str">
        <f ca="1">IF((OFFSET($A$1, 3116 - 1, 53 - 1)) &gt;= (OFFSET($A$1, 69 - 1, 7 - 1)), "1","0")</f>
        <v>1</v>
      </c>
      <c r="BD3116">
        <f ca="1" xml:space="preserve"> IF( AND( OFFSET($A$1, 3116 - 1, 54 - 1) = "1", OFFSET($A$1, 3116 - 1, 55 - 1) = "1" ), 1, IF( AND( OFFSET($A$1, 3116 - 1, 54 - 1) = "1", OFFSET($A$1, 3116 - 1, 55 - 1) = "0" ), 2, IF( AND( OFFSET($A$1, 3116 - 1, 54 - 1) = "0", OFFSET($A$1, 3116 - 1, 55 - 1) = "1" ), 3, 4 ) ) )</f>
        <v>3</v>
      </c>
    </row>
    <row r="3117" spans="53:56" x14ac:dyDescent="0.35">
      <c r="BA3117" s="3">
        <v>0.3257423492041972</v>
      </c>
      <c r="BB3117" s="3" t="str">
        <f>"0"</f>
        <v>0</v>
      </c>
      <c r="BC3117" t="str">
        <f ca="1">IF((OFFSET($A$1, 3117 - 1, 53 - 1)) &gt;= (OFFSET($A$1, 69 - 1, 7 - 1)), "1","0")</f>
        <v>0</v>
      </c>
      <c r="BD3117">
        <f ca="1" xml:space="preserve"> IF( AND( OFFSET($A$1, 3117 - 1, 54 - 1) = "1", OFFSET($A$1, 3117 - 1, 55 - 1) = "1" ), 1, IF( AND( OFFSET($A$1, 3117 - 1, 54 - 1) = "1", OFFSET($A$1, 3117 - 1, 55 - 1) = "0" ), 2, IF( AND( OFFSET($A$1, 3117 - 1, 54 - 1) = "0", OFFSET($A$1, 3117 - 1, 55 - 1) = "1" ), 3, 4 ) ) )</f>
        <v>4</v>
      </c>
    </row>
    <row r="3118" spans="53:56" x14ac:dyDescent="0.35">
      <c r="BA3118" s="3">
        <v>0.32632554940774289</v>
      </c>
      <c r="BB3118" s="3" t="str">
        <f>"0"</f>
        <v>0</v>
      </c>
      <c r="BC3118" t="str">
        <f ca="1">IF((OFFSET($A$1, 3118 - 1, 53 - 1)) &gt;= (OFFSET($A$1, 69 - 1, 7 - 1)), "1","0")</f>
        <v>0</v>
      </c>
      <c r="BD3118">
        <f ca="1" xml:space="preserve"> IF( AND( OFFSET($A$1, 3118 - 1, 54 - 1) = "1", OFFSET($A$1, 3118 - 1, 55 - 1) = "1" ), 1, IF( AND( OFFSET($A$1, 3118 - 1, 54 - 1) = "1", OFFSET($A$1, 3118 - 1, 55 - 1) = "0" ), 2, IF( AND( OFFSET($A$1, 3118 - 1, 54 - 1) = "0", OFFSET($A$1, 3118 - 1, 55 - 1) = "1" ), 3, 4 ) ) )</f>
        <v>4</v>
      </c>
    </row>
    <row r="3119" spans="53:56" x14ac:dyDescent="0.35">
      <c r="BA3119" s="3">
        <v>0.32688806650852337</v>
      </c>
      <c r="BB3119" s="3" t="str">
        <f>"0"</f>
        <v>0</v>
      </c>
      <c r="BC3119" t="str">
        <f ca="1">IF((OFFSET($A$1, 3119 - 1, 53 - 1)) &gt;= (OFFSET($A$1, 69 - 1, 7 - 1)), "1","0")</f>
        <v>0</v>
      </c>
      <c r="BD3119">
        <f ca="1" xml:space="preserve"> IF( AND( OFFSET($A$1, 3119 - 1, 54 - 1) = "1", OFFSET($A$1, 3119 - 1, 55 - 1) = "1" ), 1, IF( AND( OFFSET($A$1, 3119 - 1, 54 - 1) = "1", OFFSET($A$1, 3119 - 1, 55 - 1) = "0" ), 2, IF( AND( OFFSET($A$1, 3119 - 1, 54 - 1) = "0", OFFSET($A$1, 3119 - 1, 55 - 1) = "1" ), 3, 4 ) ) )</f>
        <v>4</v>
      </c>
    </row>
    <row r="3120" spans="53:56" x14ac:dyDescent="0.35">
      <c r="BA3120" s="3">
        <v>0.32742967621421837</v>
      </c>
      <c r="BB3120" s="3" t="str">
        <f>"0"</f>
        <v>0</v>
      </c>
      <c r="BC3120" t="str">
        <f ca="1">IF((OFFSET($A$1, 3120 - 1, 53 - 1)) &gt;= (OFFSET($A$1, 69 - 1, 7 - 1)), "1","0")</f>
        <v>0</v>
      </c>
      <c r="BD3120">
        <f ca="1" xml:space="preserve"> IF( AND( OFFSET($A$1, 3120 - 1, 54 - 1) = "1", OFFSET($A$1, 3120 - 1, 55 - 1) = "1" ), 1, IF( AND( OFFSET($A$1, 3120 - 1, 54 - 1) = "1", OFFSET($A$1, 3120 - 1, 55 - 1) = "0" ), 2, IF( AND( OFFSET($A$1, 3120 - 1, 54 - 1) = "0", OFFSET($A$1, 3120 - 1, 55 - 1) = "1" ), 3, 4 ) ) )</f>
        <v>4</v>
      </c>
    </row>
    <row r="3121" spans="53:56" x14ac:dyDescent="0.35">
      <c r="BA3121" s="3">
        <v>0.32795016240619235</v>
      </c>
      <c r="BB3121" s="3" t="str">
        <f>"0"</f>
        <v>0</v>
      </c>
      <c r="BC3121" t="str">
        <f ca="1">IF((OFFSET($A$1, 3121 - 1, 53 - 1)) &gt;= (OFFSET($A$1, 69 - 1, 7 - 1)), "1","0")</f>
        <v>0</v>
      </c>
      <c r="BD3121">
        <f ca="1" xml:space="preserve"> IF( AND( OFFSET($A$1, 3121 - 1, 54 - 1) = "1", OFFSET($A$1, 3121 - 1, 55 - 1) = "1" ), 1, IF( AND( OFFSET($A$1, 3121 - 1, 54 - 1) = "1", OFFSET($A$1, 3121 - 1, 55 - 1) = "0" ), 2, IF( AND( OFFSET($A$1, 3121 - 1, 54 - 1) = "0", OFFSET($A$1, 3121 - 1, 55 - 1) = "1" ), 3, 4 ) ) )</f>
        <v>4</v>
      </c>
    </row>
    <row r="3122" spans="53:56" x14ac:dyDescent="0.35">
      <c r="BA3122" s="3">
        <v>0.32844931724813575</v>
      </c>
      <c r="BB3122" s="3" t="str">
        <f>"1"</f>
        <v>1</v>
      </c>
      <c r="BC3122" t="str">
        <f ca="1">IF((OFFSET($A$1, 3122 - 1, 53 - 1)) &gt;= (OFFSET($A$1, 69 - 1, 7 - 1)), "1","0")</f>
        <v>0</v>
      </c>
      <c r="BD3122">
        <f ca="1" xml:space="preserve"> IF( AND( OFFSET($A$1, 3122 - 1, 54 - 1) = "1", OFFSET($A$1, 3122 - 1, 55 - 1) = "1" ), 1, IF( AND( OFFSET($A$1, 3122 - 1, 54 - 1) = "1", OFFSET($A$1, 3122 - 1, 55 - 1) = "0" ), 2, IF( AND( OFFSET($A$1, 3122 - 1, 54 - 1) = "0", OFFSET($A$1, 3122 - 1, 55 - 1) = "1" ), 3, 4 ) ) )</f>
        <v>2</v>
      </c>
    </row>
    <row r="3123" spans="53:56" x14ac:dyDescent="0.35">
      <c r="BA3123" s="3">
        <v>0.6047493096461225</v>
      </c>
      <c r="BB3123" s="3" t="str">
        <f>"1"</f>
        <v>1</v>
      </c>
      <c r="BC3123" t="str">
        <f ca="1">IF((OFFSET($A$1, 3123 - 1, 53 - 1)) &gt;= (OFFSET($A$1, 69 - 1, 7 - 1)), "1","0")</f>
        <v>1</v>
      </c>
      <c r="BD3123">
        <f ca="1" xml:space="preserve"> IF( AND( OFFSET($A$1, 3123 - 1, 54 - 1) = "1", OFFSET($A$1, 3123 - 1, 55 - 1) = "1" ), 1, IF( AND( OFFSET($A$1, 3123 - 1, 54 - 1) = "1", OFFSET($A$1, 3123 - 1, 55 - 1) = "0" ), 2, IF( AND( OFFSET($A$1, 3123 - 1, 54 - 1) = "0", OFFSET($A$1, 3123 - 1, 55 - 1) = "1" ), 3, 4 ) ) )</f>
        <v>1</v>
      </c>
    </row>
    <row r="3124" spans="53:56" x14ac:dyDescent="0.35">
      <c r="BA3124" s="3">
        <v>0.60524271424229437</v>
      </c>
      <c r="BB3124" s="3" t="str">
        <f>"1"</f>
        <v>1</v>
      </c>
      <c r="BC3124" t="str">
        <f ca="1">IF((OFFSET($A$1, 3124 - 1, 53 - 1)) &gt;= (OFFSET($A$1, 69 - 1, 7 - 1)), "1","0")</f>
        <v>1</v>
      </c>
      <c r="BD3124">
        <f ca="1" xml:space="preserve"> IF( AND( OFFSET($A$1, 3124 - 1, 54 - 1) = "1", OFFSET($A$1, 3124 - 1, 55 - 1) = "1" ), 1, IF( AND( OFFSET($A$1, 3124 - 1, 54 - 1) = "1", OFFSET($A$1, 3124 - 1, 55 - 1) = "0" ), 2, IF( AND( OFFSET($A$1, 3124 - 1, 54 - 1) = "0", OFFSET($A$1, 3124 - 1, 55 - 1) = "1" ), 3, 4 ) ) )</f>
        <v>1</v>
      </c>
    </row>
    <row r="3125" spans="53:56" x14ac:dyDescent="0.35">
      <c r="BA3125" s="3">
        <v>0.60571189114298252</v>
      </c>
      <c r="BB3125" s="3" t="str">
        <f>"1"</f>
        <v>1</v>
      </c>
      <c r="BC3125" t="str">
        <f ca="1">IF((OFFSET($A$1, 3125 - 1, 53 - 1)) &gt;= (OFFSET($A$1, 69 - 1, 7 - 1)), "1","0")</f>
        <v>1</v>
      </c>
      <c r="BD3125">
        <f ca="1" xml:space="preserve"> IF( AND( OFFSET($A$1, 3125 - 1, 54 - 1) = "1", OFFSET($A$1, 3125 - 1, 55 - 1) = "1" ), 1, IF( AND( OFFSET($A$1, 3125 - 1, 54 - 1) = "1", OFFSET($A$1, 3125 - 1, 55 - 1) = "0" ), 2, IF( AND( OFFSET($A$1, 3125 - 1, 54 - 1) = "0", OFFSET($A$1, 3125 - 1, 55 - 1) = "1" ), 3, 4 ) ) )</f>
        <v>1</v>
      </c>
    </row>
    <row r="3126" spans="53:56" x14ac:dyDescent="0.35">
      <c r="BA3126" s="3">
        <v>0.60615673066291564</v>
      </c>
      <c r="BB3126" s="3" t="str">
        <f>"1"</f>
        <v>1</v>
      </c>
      <c r="BC3126" t="str">
        <f ca="1">IF((OFFSET($A$1, 3126 - 1, 53 - 1)) &gt;= (OFFSET($A$1, 69 - 1, 7 - 1)), "1","0")</f>
        <v>1</v>
      </c>
      <c r="BD3126">
        <f ca="1" xml:space="preserve"> IF( AND( OFFSET($A$1, 3126 - 1, 54 - 1) = "1", OFFSET($A$1, 3126 - 1, 55 - 1) = "1" ), 1, IF( AND( OFFSET($A$1, 3126 - 1, 54 - 1) = "1", OFFSET($A$1, 3126 - 1, 55 - 1) = "0" ), 2, IF( AND( OFFSET($A$1, 3126 - 1, 54 - 1) = "0", OFFSET($A$1, 3126 - 1, 55 - 1) = "1" ), 3, 4 ) ) )</f>
        <v>1</v>
      </c>
    </row>
    <row r="3127" spans="53:56" x14ac:dyDescent="0.35">
      <c r="BA3127" s="3">
        <v>0.6065771291649863</v>
      </c>
      <c r="BB3127" s="3" t="str">
        <f>"1"</f>
        <v>1</v>
      </c>
      <c r="BC3127" t="str">
        <f ca="1">IF((OFFSET($A$1, 3127 - 1, 53 - 1)) &gt;= (OFFSET($A$1, 69 - 1, 7 - 1)), "1","0")</f>
        <v>1</v>
      </c>
      <c r="BD3127">
        <f ca="1" xml:space="preserve"> IF( AND( OFFSET($A$1, 3127 - 1, 54 - 1) = "1", OFFSET($A$1, 3127 - 1, 55 - 1) = "1" ), 1, IF( AND( OFFSET($A$1, 3127 - 1, 54 - 1) = "1", OFFSET($A$1, 3127 - 1, 55 - 1) = "0" ), 2, IF( AND( OFFSET($A$1, 3127 - 1, 54 - 1) = "0", OFFSET($A$1, 3127 - 1, 55 - 1) = "1" ), 3, 4 ) ) )</f>
        <v>1</v>
      </c>
    </row>
    <row r="3128" spans="53:56" x14ac:dyDescent="0.35">
      <c r="BA3128" s="3">
        <v>0.60697298902848096</v>
      </c>
      <c r="BB3128" s="3" t="str">
        <f>"0"</f>
        <v>0</v>
      </c>
      <c r="BC3128" t="str">
        <f ca="1">IF((OFFSET($A$1, 3128 - 1, 53 - 1)) &gt;= (OFFSET($A$1, 69 - 1, 7 - 1)), "1","0")</f>
        <v>1</v>
      </c>
      <c r="BD3128">
        <f ca="1" xml:space="preserve"> IF( AND( OFFSET($A$1, 3128 - 1, 54 - 1) = "1", OFFSET($A$1, 3128 - 1, 55 - 1) = "1" ), 1, IF( AND( OFFSET($A$1, 3128 - 1, 54 - 1) = "1", OFFSET($A$1, 3128 - 1, 55 - 1) = "0" ), 2, IF( AND( OFFSET($A$1, 3128 - 1, 54 - 1) = "0", OFFSET($A$1, 3128 - 1, 55 - 1) = "1" ), 3, 4 ) ) )</f>
        <v>3</v>
      </c>
    </row>
    <row r="3129" spans="53:56" x14ac:dyDescent="0.35">
      <c r="BA3129" s="3">
        <v>0.33133045023714158</v>
      </c>
      <c r="BB3129" s="3" t="str">
        <f>"0"</f>
        <v>0</v>
      </c>
      <c r="BC3129" t="str">
        <f ca="1">IF((OFFSET($A$1, 3129 - 1, 53 - 1)) &gt;= (OFFSET($A$1, 69 - 1, 7 - 1)), "1","0")</f>
        <v>0</v>
      </c>
      <c r="BD3129">
        <f ca="1" xml:space="preserve"> IF( AND( OFFSET($A$1, 3129 - 1, 54 - 1) = "1", OFFSET($A$1, 3129 - 1, 55 - 1) = "1" ), 1, IF( AND( OFFSET($A$1, 3129 - 1, 54 - 1) = "1", OFFSET($A$1, 3129 - 1, 55 - 1) = "0" ), 2, IF( AND( OFFSET($A$1, 3129 - 1, 54 - 1) = "0", OFFSET($A$1, 3129 - 1, 55 - 1) = "1" ), 3, 4 ) ) )</f>
        <v>4</v>
      </c>
    </row>
    <row r="3130" spans="53:56" x14ac:dyDescent="0.35">
      <c r="BA3130" s="3">
        <v>0.33165249818849685</v>
      </c>
      <c r="BB3130" s="3" t="str">
        <f>"0"</f>
        <v>0</v>
      </c>
      <c r="BC3130" t="str">
        <f ca="1">IF((OFFSET($A$1, 3130 - 1, 53 - 1)) &gt;= (OFFSET($A$1, 69 - 1, 7 - 1)), "1","0")</f>
        <v>0</v>
      </c>
      <c r="BD3130">
        <f ca="1" xml:space="preserve"> IF( AND( OFFSET($A$1, 3130 - 1, 54 - 1) = "1", OFFSET($A$1, 3130 - 1, 55 - 1) = "1" ), 1, IF( AND( OFFSET($A$1, 3130 - 1, 54 - 1) = "1", OFFSET($A$1, 3130 - 1, 55 - 1) = "0" ), 2, IF( AND( OFFSET($A$1, 3130 - 1, 54 - 1) = "0", OFFSET($A$1, 3130 - 1, 55 - 1) = "1" ), 3, 4 ) ) )</f>
        <v>4</v>
      </c>
    </row>
    <row r="3131" spans="53:56" x14ac:dyDescent="0.35">
      <c r="BA3131" s="3">
        <v>0.33195173257368588</v>
      </c>
      <c r="BB3131" s="3" t="str">
        <f>"1"</f>
        <v>1</v>
      </c>
      <c r="BC3131" t="str">
        <f ca="1">IF((OFFSET($A$1, 3131 - 1, 53 - 1)) &gt;= (OFFSET($A$1, 69 - 1, 7 - 1)), "1","0")</f>
        <v>0</v>
      </c>
      <c r="BD3131">
        <f ca="1" xml:space="preserve"> IF( AND( OFFSET($A$1, 3131 - 1, 54 - 1) = "1", OFFSET($A$1, 3131 - 1, 55 - 1) = "1" ), 1, IF( AND( OFFSET($A$1, 3131 - 1, 54 - 1) = "1", OFFSET($A$1, 3131 - 1, 55 - 1) = "0" ), 2, IF( AND( OFFSET($A$1, 3131 - 1, 54 - 1) = "0", OFFSET($A$1, 3131 - 1, 55 - 1) = "1" ), 3, 4 ) ) )</f>
        <v>2</v>
      </c>
    </row>
    <row r="3132" spans="53:56" x14ac:dyDescent="0.35">
      <c r="BA3132" s="3">
        <v>0.60830929856292393</v>
      </c>
      <c r="BB3132" s="3" t="str">
        <f>"1"</f>
        <v>1</v>
      </c>
      <c r="BC3132" t="str">
        <f ca="1">IF((OFFSET($A$1, 3132 - 1, 53 - 1)) &gt;= (OFFSET($A$1, 69 - 1, 7 - 1)), "1","0")</f>
        <v>1</v>
      </c>
      <c r="BD3132">
        <f ca="1" xml:space="preserve"> IF( AND( OFFSET($A$1, 3132 - 1, 54 - 1) = "1", OFFSET($A$1, 3132 - 1, 55 - 1) = "1" ), 1, IF( AND( OFFSET($A$1, 3132 - 1, 54 - 1) = "1", OFFSET($A$1, 3132 - 1, 55 - 1) = "0" ), 2, IF( AND( OFFSET($A$1, 3132 - 1, 54 - 1) = "0", OFFSET($A$1, 3132 - 1, 55 - 1) = "1" ), 3, 4 ) ) )</f>
        <v>1</v>
      </c>
    </row>
    <row r="3133" spans="53:56" x14ac:dyDescent="0.35">
      <c r="BA3133" s="3">
        <v>0.60858120940547389</v>
      </c>
      <c r="BB3133" s="3" t="str">
        <f>"0"</f>
        <v>0</v>
      </c>
      <c r="BC3133" t="str">
        <f ca="1">IF((OFFSET($A$1, 3133 - 1, 53 - 1)) &gt;= (OFFSET($A$1, 69 - 1, 7 - 1)), "1","0")</f>
        <v>1</v>
      </c>
      <c r="BD3133">
        <f ca="1" xml:space="preserve"> IF( AND( OFFSET($A$1, 3133 - 1, 54 - 1) = "1", OFFSET($A$1, 3133 - 1, 55 - 1) = "1" ), 1, IF( AND( OFFSET($A$1, 3133 - 1, 54 - 1) = "1", OFFSET($A$1, 3133 - 1, 55 - 1) = "0" ), 2, IF( AND( OFFSET($A$1, 3133 - 1, 54 - 1) = "0", OFFSET($A$1, 3133 - 1, 55 - 1) = "1" ), 3, 4 ) ) )</f>
        <v>3</v>
      </c>
    </row>
    <row r="3134" spans="53:56" x14ac:dyDescent="0.35">
      <c r="BA3134" s="3">
        <v>0.33271139955362822</v>
      </c>
      <c r="BB3134" s="3" t="str">
        <f>"0"</f>
        <v>0</v>
      </c>
      <c r="BC3134" t="str">
        <f ca="1">IF((OFFSET($A$1, 3134 - 1, 53 - 1)) &gt;= (OFFSET($A$1, 69 - 1, 7 - 1)), "1","0")</f>
        <v>0</v>
      </c>
      <c r="BD3134">
        <f ca="1" xml:space="preserve"> IF( AND( OFFSET($A$1, 3134 - 1, 54 - 1) = "1", OFFSET($A$1, 3134 - 1, 55 - 1) = "1" ), 1, IF( AND( OFFSET($A$1, 3134 - 1, 54 - 1) = "1", OFFSET($A$1, 3134 - 1, 55 - 1) = "0" ), 2, IF( AND( OFFSET($A$1, 3134 - 1, 54 - 1) = "0", OFFSET($A$1, 3134 - 1, 55 - 1) = "1" ), 3, 4 ) ) )</f>
        <v>4</v>
      </c>
    </row>
    <row r="3135" spans="53:56" x14ac:dyDescent="0.35">
      <c r="BA3135" s="3">
        <v>0.33291827094799775</v>
      </c>
      <c r="BB3135" s="3" t="str">
        <f>"1"</f>
        <v>1</v>
      </c>
      <c r="BC3135" t="str">
        <f ca="1">IF((OFFSET($A$1, 3135 - 1, 53 - 1)) &gt;= (OFFSET($A$1, 69 - 1, 7 - 1)), "1","0")</f>
        <v>0</v>
      </c>
      <c r="BD3135">
        <f ca="1" xml:space="preserve"> IF( AND( OFFSET($A$1, 3135 - 1, 54 - 1) = "1", OFFSET($A$1, 3135 - 1, 55 - 1) = "1" ), 1, IF( AND( OFFSET($A$1, 3135 - 1, 54 - 1) = "1", OFFSET($A$1, 3135 - 1, 55 - 1) = "0" ), 2, IF( AND( OFFSET($A$1, 3135 - 1, 54 - 1) = "0", OFFSET($A$1, 3135 - 1, 55 - 1) = "1" ), 3, 4 ) ) )</f>
        <v>2</v>
      </c>
    </row>
    <row r="3136" spans="53:56" x14ac:dyDescent="0.35">
      <c r="BA3136" s="3">
        <v>0.60924672459184126</v>
      </c>
      <c r="BB3136" s="3" t="str">
        <f>"1"</f>
        <v>1</v>
      </c>
      <c r="BC3136" t="str">
        <f ca="1">IF((OFFSET($A$1, 3136 - 1, 53 - 1)) &gt;= (OFFSET($A$1, 69 - 1, 7 - 1)), "1","0")</f>
        <v>1</v>
      </c>
      <c r="BD3136">
        <f ca="1" xml:space="preserve"> IF( AND( OFFSET($A$1, 3136 - 1, 54 - 1) = "1", OFFSET($A$1, 3136 - 1, 55 - 1) = "1" ), 1, IF( AND( OFFSET($A$1, 3136 - 1, 54 - 1) = "1", OFFSET($A$1, 3136 - 1, 55 - 1) = "0" ), 2, IF( AND( OFFSET($A$1, 3136 - 1, 54 - 1) = "0", OFFSET($A$1, 3136 - 1, 55 - 1) = "1" ), 3, 4 ) ) )</f>
        <v>1</v>
      </c>
    </row>
    <row r="3137" spans="53:56" x14ac:dyDescent="0.35">
      <c r="BA3137" s="3">
        <v>0.60941832222017878</v>
      </c>
      <c r="BB3137" s="3" t="str">
        <f>"1"</f>
        <v>1</v>
      </c>
      <c r="BC3137" t="str">
        <f ca="1">IF((OFFSET($A$1, 3137 - 1, 53 - 1)) &gt;= (OFFSET($A$1, 69 - 1, 7 - 1)), "1","0")</f>
        <v>1</v>
      </c>
      <c r="BD3137">
        <f ca="1" xml:space="preserve"> IF( AND( OFFSET($A$1, 3137 - 1, 54 - 1) = "1", OFFSET($A$1, 3137 - 1, 55 - 1) = "1" ), 1, IF( AND( OFFSET($A$1, 3137 - 1, 54 - 1) = "1", OFFSET($A$1, 3137 - 1, 55 - 1) = "0" ), 2, IF( AND( OFFSET($A$1, 3137 - 1, 54 - 1) = "0", OFFSET($A$1, 3137 - 1, 55 - 1) = "1" ), 3, 4 ) ) )</f>
        <v>1</v>
      </c>
    </row>
    <row r="3138" spans="53:56" x14ac:dyDescent="0.35">
      <c r="BA3138" s="3">
        <v>0.60956472976981402</v>
      </c>
      <c r="BB3138" s="3" t="str">
        <f>"0"</f>
        <v>0</v>
      </c>
      <c r="BC3138" t="str">
        <f ca="1">IF((OFFSET($A$1, 3138 - 1, 53 - 1)) &gt;= (OFFSET($A$1, 69 - 1, 7 - 1)), "1","0")</f>
        <v>1</v>
      </c>
      <c r="BD3138">
        <f ca="1" xml:space="preserve"> IF( AND( OFFSET($A$1, 3138 - 1, 54 - 1) = "1", OFFSET($A$1, 3138 - 1, 55 - 1) = "1" ), 1, IF( AND( OFFSET($A$1, 3138 - 1, 54 - 1) = "1", OFFSET($A$1, 3138 - 1, 55 - 1) = "0" ), 2, IF( AND( OFFSET($A$1, 3138 - 1, 54 - 1) = "0", OFFSET($A$1, 3138 - 1, 55 - 1) = "1" ), 3, 4 ) ) )</f>
        <v>3</v>
      </c>
    </row>
    <row r="3139" spans="53:56" x14ac:dyDescent="0.35">
      <c r="BA3139" s="3">
        <v>0.3335118490336289</v>
      </c>
      <c r="BB3139" s="3" t="str">
        <f>"1"</f>
        <v>1</v>
      </c>
      <c r="BC3139" t="str">
        <f ca="1">IF((OFFSET($A$1, 3139 - 1, 53 - 1)) &gt;= (OFFSET($A$1, 69 - 1, 7 - 1)), "1","0")</f>
        <v>0</v>
      </c>
      <c r="BD3139">
        <f ca="1" xml:space="preserve"> IF( AND( OFFSET($A$1, 3139 - 1, 54 - 1) = "1", OFFSET($A$1, 3139 - 1, 55 - 1) = "1" ), 1, IF( AND( OFFSET($A$1, 3139 - 1, 54 - 1) = "1", OFFSET($A$1, 3139 - 1, 55 - 1) = "0" ), 2, IF( AND( OFFSET($A$1, 3139 - 1, 54 - 1) = "0", OFFSET($A$1, 3139 - 1, 55 - 1) = "1" ), 3, 4 ) ) )</f>
        <v>2</v>
      </c>
    </row>
    <row r="3140" spans="53:56" x14ac:dyDescent="0.35">
      <c r="BA3140" s="3">
        <v>0.6097818476896476</v>
      </c>
      <c r="BB3140" s="3" t="str">
        <f>"1"</f>
        <v>1</v>
      </c>
      <c r="BC3140" t="str">
        <f ca="1">IF((OFFSET($A$1, 3140 - 1, 53 - 1)) &gt;= (OFFSET($A$1, 69 - 1, 7 - 1)), "1","0")</f>
        <v>1</v>
      </c>
      <c r="BD3140">
        <f ca="1" xml:space="preserve"> IF( AND( OFFSET($A$1, 3140 - 1, 54 - 1) = "1", OFFSET($A$1, 3140 - 1, 55 - 1) = "1" ), 1, IF( AND( OFFSET($A$1, 3140 - 1, 54 - 1) = "1", OFFSET($A$1, 3140 - 1, 55 - 1) = "0" ), 2, IF( AND( OFFSET($A$1, 3140 - 1, 54 - 1) = "0", OFFSET($A$1, 3140 - 1, 55 - 1) = "1" ), 3, 4 ) ) )</f>
        <v>1</v>
      </c>
    </row>
    <row r="3141" spans="53:56" x14ac:dyDescent="0.35">
      <c r="BA3141" s="3">
        <v>0.60985250893918364</v>
      </c>
      <c r="BB3141" s="3" t="str">
        <f>"0"</f>
        <v>0</v>
      </c>
      <c r="BC3141" t="str">
        <f ca="1">IF((OFFSET($A$1, 3141 - 1, 53 - 1)) &gt;= (OFFSET($A$1, 69 - 1, 7 - 1)), "1","0")</f>
        <v>1</v>
      </c>
      <c r="BD3141">
        <f ca="1" xml:space="preserve"> IF( AND( OFFSET($A$1, 3141 - 1, 54 - 1) = "1", OFFSET($A$1, 3141 - 1, 55 - 1) = "1" ), 1, IF( AND( OFFSET($A$1, 3141 - 1, 54 - 1) = "1", OFFSET($A$1, 3141 - 1, 55 - 1) = "0" ), 2, IF( AND( OFFSET($A$1, 3141 - 1, 54 - 1) = "0", OFFSET($A$1, 3141 - 1, 55 - 1) = "1" ), 3, 4 ) ) )</f>
        <v>3</v>
      </c>
    </row>
    <row r="3142" spans="53:56" x14ac:dyDescent="0.35">
      <c r="BA3142" s="3">
        <v>0.33370989227099673</v>
      </c>
      <c r="BB3142" s="3" t="str">
        <f>"0"</f>
        <v>0</v>
      </c>
      <c r="BC3142" t="str">
        <f ca="1">IF((OFFSET($A$1, 3142 - 1, 53 - 1)) &gt;= (OFFSET($A$1, 69 - 1, 7 - 1)), "1","0")</f>
        <v>0</v>
      </c>
      <c r="BD3142">
        <f ca="1" xml:space="preserve"> IF( AND( OFFSET($A$1, 3142 - 1, 54 - 1) = "1", OFFSET($A$1, 3142 - 1, 55 - 1) = "1" ), 1, IF( AND( OFFSET($A$1, 3142 - 1, 54 - 1) = "1", OFFSET($A$1, 3142 - 1, 55 - 1) = "0" ), 2, IF( AND( OFFSET($A$1, 3142 - 1, 54 - 1) = "0", OFFSET($A$1, 3142 - 1, 55 - 1) = "1" ), 3, 4 ) ) )</f>
        <v>4</v>
      </c>
    </row>
    <row r="3143" spans="53:56" x14ac:dyDescent="0.35">
      <c r="BA3143" s="3">
        <v>0.33372865292800702</v>
      </c>
      <c r="BB3143" s="3" t="str">
        <f>"1"</f>
        <v>1</v>
      </c>
      <c r="BC3143" t="str">
        <f ca="1">IF((OFFSET($A$1, 3143 - 1, 53 - 1)) &gt;= (OFFSET($A$1, 69 - 1, 7 - 1)), "1","0")</f>
        <v>0</v>
      </c>
      <c r="BD3143">
        <f ca="1" xml:space="preserve"> IF( AND( OFFSET($A$1, 3143 - 1, 54 - 1) = "1", OFFSET($A$1, 3143 - 1, 55 - 1) = "1" ), 1, IF( AND( OFFSET($A$1, 3143 - 1, 54 - 1) = "1", OFFSET($A$1, 3143 - 1, 55 - 1) = "0" ), 2, IF( AND( OFFSET($A$1, 3143 - 1, 54 - 1) = "0", OFFSET($A$1, 3143 - 1, 55 - 1) = "1" ), 3, 4 ) ) )</f>
        <v>2</v>
      </c>
    </row>
    <row r="3144" spans="53:56" x14ac:dyDescent="0.35">
      <c r="BA3144" s="3">
        <v>0.60991272737560265</v>
      </c>
      <c r="BB3144" s="3" t="str">
        <f>"1"</f>
        <v>1</v>
      </c>
      <c r="BC3144" t="str">
        <f ca="1">IF((OFFSET($A$1, 3144 - 1, 53 - 1)) &gt;= (OFFSET($A$1, 69 - 1, 7 - 1)), "1","0")</f>
        <v>1</v>
      </c>
      <c r="BD3144">
        <f ca="1" xml:space="preserve"> IF( AND( OFFSET($A$1, 3144 - 1, 54 - 1) = "1", OFFSET($A$1, 3144 - 1, 55 - 1) = "1" ), 1, IF( AND( OFFSET($A$1, 3144 - 1, 54 - 1) = "1", OFFSET($A$1, 3144 - 1, 55 - 1) = "0" ), 2, IF( AND( OFFSET($A$1, 3144 - 1, 54 - 1) = "0", OFFSET($A$1, 3144 - 1, 55 - 1) = "1" ), 3, 4 ) ) )</f>
        <v>1</v>
      </c>
    </row>
    <row r="3145" spans="53:56" x14ac:dyDescent="0.35">
      <c r="BA3145" s="3">
        <v>0.60988219663873355</v>
      </c>
      <c r="BB3145" s="3" t="str">
        <f>"1"</f>
        <v>1</v>
      </c>
      <c r="BC3145" t="str">
        <f ca="1">IF((OFFSET($A$1, 3145 - 1, 53 - 1)) &gt;= (OFFSET($A$1, 69 - 1, 7 - 1)), "1","0")</f>
        <v>1</v>
      </c>
      <c r="BD3145">
        <f ca="1" xml:space="preserve"> IF( AND( OFFSET($A$1, 3145 - 1, 54 - 1) = "1", OFFSET($A$1, 3145 - 1, 55 - 1) = "1" ), 1, IF( AND( OFFSET($A$1, 3145 - 1, 54 - 1) = "1", OFFSET($A$1, 3145 - 1, 55 - 1) = "0" ), 2, IF( AND( OFFSET($A$1, 3145 - 1, 54 - 1) = "0", OFFSET($A$1, 3145 - 1, 55 - 1) = "1" ), 3, 4 ) ) )</f>
        <v>1</v>
      </c>
    </row>
    <row r="3146" spans="53:56" x14ac:dyDescent="0.35">
      <c r="BA3146" s="3">
        <v>0.60982637085686864</v>
      </c>
      <c r="BB3146" s="3" t="str">
        <f>"1"</f>
        <v>1</v>
      </c>
      <c r="BC3146" t="str">
        <f ca="1">IF((OFFSET($A$1, 3146 - 1, 53 - 1)) &gt;= (OFFSET($A$1, 69 - 1, 7 - 1)), "1","0")</f>
        <v>1</v>
      </c>
      <c r="BD3146">
        <f ca="1" xml:space="preserve"> IF( AND( OFFSET($A$1, 3146 - 1, 54 - 1) = "1", OFFSET($A$1, 3146 - 1, 55 - 1) = "1" ), 1, IF( AND( OFFSET($A$1, 3146 - 1, 54 - 1) = "1", OFFSET($A$1, 3146 - 1, 55 - 1) = "0" ), 2, IF( AND( OFFSET($A$1, 3146 - 1, 54 - 1) = "0", OFFSET($A$1, 3146 - 1, 55 - 1) = "1" ), 3, 4 ) ) )</f>
        <v>1</v>
      </c>
    </row>
    <row r="3147" spans="53:56" x14ac:dyDescent="0.35">
      <c r="BA3147" s="3">
        <v>0.6097452626414438</v>
      </c>
      <c r="BB3147" s="3" t="str">
        <f>"1"</f>
        <v>1</v>
      </c>
      <c r="BC3147" t="str">
        <f ca="1">IF((OFFSET($A$1, 3147 - 1, 53 - 1)) &gt;= (OFFSET($A$1, 69 - 1, 7 - 1)), "1","0")</f>
        <v>1</v>
      </c>
      <c r="BD3147">
        <f ca="1" xml:space="preserve"> IF( AND( OFFSET($A$1, 3147 - 1, 54 - 1) = "1", OFFSET($A$1, 3147 - 1, 55 - 1) = "1" ), 1, IF( AND( OFFSET($A$1, 3147 - 1, 54 - 1) = "1", OFFSET($A$1, 3147 - 1, 55 - 1) = "0" ), 2, IF( AND( OFFSET($A$1, 3147 - 1, 54 - 1) = "0", OFFSET($A$1, 3147 - 1, 55 - 1) = "1" ), 3, 4 ) ) )</f>
        <v>1</v>
      </c>
    </row>
    <row r="3148" spans="53:56" x14ac:dyDescent="0.35">
      <c r="BA3148" s="3">
        <v>0.6096388903255836</v>
      </c>
      <c r="BB3148" s="3" t="str">
        <f>"1"</f>
        <v>1</v>
      </c>
      <c r="BC3148" t="str">
        <f ca="1">IF((OFFSET($A$1, 3148 - 1, 53 - 1)) &gt;= (OFFSET($A$1, 69 - 1, 7 - 1)), "1","0")</f>
        <v>1</v>
      </c>
      <c r="BD3148">
        <f ca="1" xml:space="preserve"> IF( AND( OFFSET($A$1, 3148 - 1, 54 - 1) = "1", OFFSET($A$1, 3148 - 1, 55 - 1) = "1" ), 1, IF( AND( OFFSET($A$1, 3148 - 1, 54 - 1) = "1", OFFSET($A$1, 3148 - 1, 55 - 1) = "0" ), 2, IF( AND( OFFSET($A$1, 3148 - 1, 54 - 1) = "0", OFFSET($A$1, 3148 - 1, 55 - 1) = "1" ), 3, 4 ) ) )</f>
        <v>1</v>
      </c>
    </row>
    <row r="3149" spans="53:56" x14ac:dyDescent="0.35">
      <c r="BA3149" s="3">
        <v>0.60950727797124715</v>
      </c>
      <c r="BB3149" s="3" t="str">
        <f>"1"</f>
        <v>1</v>
      </c>
      <c r="BC3149" t="str">
        <f ca="1">IF((OFFSET($A$1, 3149 - 1, 53 - 1)) &gt;= (OFFSET($A$1, 69 - 1, 7 - 1)), "1","0")</f>
        <v>1</v>
      </c>
      <c r="BD3149">
        <f ca="1" xml:space="preserve"> IF( AND( OFFSET($A$1, 3149 - 1, 54 - 1) = "1", OFFSET($A$1, 3149 - 1, 55 - 1) = "1" ), 1, IF( AND( OFFSET($A$1, 3149 - 1, 54 - 1) = "1", OFFSET($A$1, 3149 - 1, 55 - 1) = "0" ), 2, IF( AND( OFFSET($A$1, 3149 - 1, 54 - 1) = "0", OFFSET($A$1, 3149 - 1, 55 - 1) = "1" ), 3, 4 ) ) )</f>
        <v>1</v>
      </c>
    </row>
    <row r="3150" spans="53:56" x14ac:dyDescent="0.35">
      <c r="BA3150" s="3">
        <v>0.6093504553785577</v>
      </c>
      <c r="BB3150" s="3" t="str">
        <f>"1"</f>
        <v>1</v>
      </c>
      <c r="BC3150" t="str">
        <f ca="1">IF((OFFSET($A$1, 3150 - 1, 53 - 1)) &gt;= (OFFSET($A$1, 69 - 1, 7 - 1)), "1","0")</f>
        <v>1</v>
      </c>
      <c r="BD3150">
        <f ca="1" xml:space="preserve"> IF( AND( OFFSET($A$1, 3150 - 1, 54 - 1) = "1", OFFSET($A$1, 3150 - 1, 55 - 1) = "1" ), 1, IF( AND( OFFSET($A$1, 3150 - 1, 54 - 1) = "1", OFFSET($A$1, 3150 - 1, 55 - 1) = "0" ), 2, IF( AND( OFFSET($A$1, 3150 - 1, 54 - 1) = "0", OFFSET($A$1, 3150 - 1, 55 - 1) = "1" ), 3, 4 ) ) )</f>
        <v>1</v>
      </c>
    </row>
    <row r="3151" spans="53:56" x14ac:dyDescent="0.35">
      <c r="BA3151" s="3">
        <v>0.60916845809727571</v>
      </c>
      <c r="BB3151" s="3" t="str">
        <f>"1"</f>
        <v>1</v>
      </c>
      <c r="BC3151" t="str">
        <f ca="1">IF((OFFSET($A$1, 3151 - 1, 53 - 1)) &gt;= (OFFSET($A$1, 69 - 1, 7 - 1)), "1","0")</f>
        <v>1</v>
      </c>
      <c r="BD3151">
        <f ca="1" xml:space="preserve"> IF( AND( OFFSET($A$1, 3151 - 1, 54 - 1) = "1", OFFSET($A$1, 3151 - 1, 55 - 1) = "1" ), 1, IF( AND( OFFSET($A$1, 3151 - 1, 54 - 1) = "1", OFFSET($A$1, 3151 - 1, 55 - 1) = "0" ), 2, IF( AND( OFFSET($A$1, 3151 - 1, 54 - 1) = "0", OFFSET($A$1, 3151 - 1, 55 - 1) = "1" ), 3, 4 ) ) )</f>
        <v>1</v>
      </c>
    </row>
    <row r="3152" spans="53:56" x14ac:dyDescent="0.35">
      <c r="BA3152" s="3">
        <v>0.60896132744037268</v>
      </c>
      <c r="BB3152" s="3" t="str">
        <f>"1"</f>
        <v>1</v>
      </c>
      <c r="BC3152" t="str">
        <f ca="1">IF((OFFSET($A$1, 3152 - 1, 53 - 1)) &gt;= (OFFSET($A$1, 69 - 1, 7 - 1)), "1","0")</f>
        <v>1</v>
      </c>
      <c r="BD3152">
        <f ca="1" xml:space="preserve"> IF( AND( OFFSET($A$1, 3152 - 1, 54 - 1) = "1", OFFSET($A$1, 3152 - 1, 55 - 1) = "1" ), 1, IF( AND( OFFSET($A$1, 3152 - 1, 54 - 1) = "1", OFFSET($A$1, 3152 - 1, 55 - 1) = "0" ), 2, IF( AND( OFFSET($A$1, 3152 - 1, 54 - 1) = "0", OFFSET($A$1, 3152 - 1, 55 - 1) = "1" ), 3, 4 ) ) )</f>
        <v>1</v>
      </c>
    </row>
    <row r="3153" spans="53:56" x14ac:dyDescent="0.35">
      <c r="BA3153" s="3">
        <v>0.60872911049964717</v>
      </c>
      <c r="BB3153" s="3" t="str">
        <f>"1"</f>
        <v>1</v>
      </c>
      <c r="BC3153" t="str">
        <f ca="1">IF((OFFSET($A$1, 3153 - 1, 53 - 1)) &gt;= (OFFSET($A$1, 69 - 1, 7 - 1)), "1","0")</f>
        <v>1</v>
      </c>
      <c r="BD3153">
        <f ca="1" xml:space="preserve"> IF( AND( OFFSET($A$1, 3153 - 1, 54 - 1) = "1", OFFSET($A$1, 3153 - 1, 55 - 1) = "1" ), 1, IF( AND( OFFSET($A$1, 3153 - 1, 54 - 1) = "1", OFFSET($A$1, 3153 - 1, 55 - 1) = "0" ), 2, IF( AND( OFFSET($A$1, 3153 - 1, 54 - 1) = "0", OFFSET($A$1, 3153 - 1, 55 - 1) = "1" ), 3, 4 ) ) )</f>
        <v>1</v>
      </c>
    </row>
    <row r="3154" spans="53:56" x14ac:dyDescent="0.35">
      <c r="BA3154" s="3">
        <v>0.60847186016332488</v>
      </c>
      <c r="BB3154" s="3" t="str">
        <f>"0"</f>
        <v>0</v>
      </c>
      <c r="BC3154" t="str">
        <f ca="1">IF((OFFSET($A$1, 3154 - 1, 53 - 1)) &gt;= (OFFSET($A$1, 69 - 1, 7 - 1)), "1","0")</f>
        <v>1</v>
      </c>
      <c r="BD3154">
        <f ca="1" xml:space="preserve"> IF( AND( OFFSET($A$1, 3154 - 1, 54 - 1) = "1", OFFSET($A$1, 3154 - 1, 55 - 1) = "1" ), 1, IF( AND( OFFSET($A$1, 3154 - 1, 54 - 1) = "1", OFFSET($A$1, 3154 - 1, 55 - 1) = "0" ), 2, IF( AND( OFFSET($A$1, 3154 - 1, 54 - 1) = "0", OFFSET($A$1, 3154 - 1, 55 - 1) = "1" ), 3, 4 ) ) )</f>
        <v>3</v>
      </c>
    </row>
    <row r="3155" spans="53:56" x14ac:dyDescent="0.35">
      <c r="BA3155" s="3">
        <v>0.33211663004774677</v>
      </c>
      <c r="BB3155" s="3" t="str">
        <f>"0"</f>
        <v>0</v>
      </c>
      <c r="BC3155" t="str">
        <f ca="1">IF((OFFSET($A$1, 3155 - 1, 53 - 1)) &gt;= (OFFSET($A$1, 69 - 1, 7 - 1)), "1","0")</f>
        <v>0</v>
      </c>
      <c r="BD3155">
        <f ca="1" xml:space="preserve"> IF( AND( OFFSET($A$1, 3155 - 1, 54 - 1) = "1", OFFSET($A$1, 3155 - 1, 55 - 1) = "1" ), 1, IF( AND( OFFSET($A$1, 3155 - 1, 54 - 1) = "1", OFFSET($A$1, 3155 - 1, 55 - 1) = "0" ), 2, IF( AND( OFFSET($A$1, 3155 - 1, 54 - 1) = "0", OFFSET($A$1, 3155 - 1, 55 - 1) = "1" ), 3, 4 ) ) )</f>
        <v>4</v>
      </c>
    </row>
    <row r="3156" spans="53:56" x14ac:dyDescent="0.35">
      <c r="BA3156" s="3">
        <v>0.33183083718914308</v>
      </c>
      <c r="BB3156" s="3" t="str">
        <f>"0"</f>
        <v>0</v>
      </c>
      <c r="BC3156" t="str">
        <f ca="1">IF((OFFSET($A$1, 3156 - 1, 53 - 1)) &gt;= (OFFSET($A$1, 69 - 1, 7 - 1)), "1","0")</f>
        <v>0</v>
      </c>
      <c r="BD3156">
        <f ca="1" xml:space="preserve"> IF( AND( OFFSET($A$1, 3156 - 1, 54 - 1) = "1", OFFSET($A$1, 3156 - 1, 55 - 1) = "1" ), 1, IF( AND( OFFSET($A$1, 3156 - 1, 54 - 1) = "1", OFFSET($A$1, 3156 - 1, 55 - 1) = "0" ), 2, IF( AND( OFFSET($A$1, 3156 - 1, 54 - 1) = "0", OFFSET($A$1, 3156 - 1, 55 - 1) = "1" ), 3, 4 ) ) )</f>
        <v>4</v>
      </c>
    </row>
    <row r="3157" spans="53:56" x14ac:dyDescent="0.35">
      <c r="BA3157" s="3">
        <v>0.33152215921042233</v>
      </c>
      <c r="BB3157" s="3" t="str">
        <f>"1"</f>
        <v>1</v>
      </c>
      <c r="BC3157" t="str">
        <f ca="1">IF((OFFSET($A$1, 3157 - 1, 53 - 1)) &gt;= (OFFSET($A$1, 69 - 1, 7 - 1)), "1","0")</f>
        <v>0</v>
      </c>
      <c r="BD3157">
        <f ca="1" xml:space="preserve"> IF( AND( OFFSET($A$1, 3157 - 1, 54 - 1) = "1", OFFSET($A$1, 3157 - 1, 55 - 1) = "1" ), 1, IF( AND( OFFSET($A$1, 3157 - 1, 54 - 1) = "1", OFFSET($A$1, 3157 - 1, 55 - 1) = "0" ), 2, IF( AND( OFFSET($A$1, 3157 - 1, 54 - 1) = "0", OFFSET($A$1, 3157 - 1, 55 - 1) = "1" ), 3, 4 ) ) )</f>
        <v>2</v>
      </c>
    </row>
    <row r="3158" spans="53:56" x14ac:dyDescent="0.35">
      <c r="BA3158" s="3">
        <v>0.60719378664442747</v>
      </c>
      <c r="BB3158" s="3" t="str">
        <f>"1"</f>
        <v>1</v>
      </c>
      <c r="BC3158" t="str">
        <f ca="1">IF((OFFSET($A$1, 3158 - 1, 53 - 1)) &gt;= (OFFSET($A$1, 69 - 1, 7 - 1)), "1","0")</f>
        <v>1</v>
      </c>
      <c r="BD3158">
        <f ca="1" xml:space="preserve"> IF( AND( OFFSET($A$1, 3158 - 1, 54 - 1) = "1", OFFSET($A$1, 3158 - 1, 55 - 1) = "1" ), 1, IF( AND( OFFSET($A$1, 3158 - 1, 54 - 1) = "1", OFFSET($A$1, 3158 - 1, 55 - 1) = "0" ), 2, IF( AND( OFFSET($A$1, 3158 - 1, 54 - 1) = "0", OFFSET($A$1, 3158 - 1, 55 - 1) = "1" ), 3, 4 ) ) )</f>
        <v>1</v>
      </c>
    </row>
    <row r="3159" spans="53:56" x14ac:dyDescent="0.35">
      <c r="BA3159" s="3">
        <v>0.60681236699385066</v>
      </c>
      <c r="BB3159" s="3" t="str">
        <f>"1"</f>
        <v>1</v>
      </c>
      <c r="BC3159" t="str">
        <f ca="1">IF((OFFSET($A$1, 3159 - 1, 53 - 1)) &gt;= (OFFSET($A$1, 69 - 1, 7 - 1)), "1","0")</f>
        <v>1</v>
      </c>
      <c r="BD3159">
        <f ca="1" xml:space="preserve"> IF( AND( OFFSET($A$1, 3159 - 1, 54 - 1) = "1", OFFSET($A$1, 3159 - 1, 55 - 1) = "1" ), 1, IF( AND( OFFSET($A$1, 3159 - 1, 54 - 1) = "1", OFFSET($A$1, 3159 - 1, 55 - 1) = "0" ), 2, IF( AND( OFFSET($A$1, 3159 - 1, 54 - 1) = "0", OFFSET($A$1, 3159 - 1, 55 - 1) = "1" ), 3, 4 ) ) )</f>
        <v>1</v>
      </c>
    </row>
    <row r="3160" spans="53:56" x14ac:dyDescent="0.35">
      <c r="BA3160" s="3">
        <v>0.60640635421727207</v>
      </c>
      <c r="BB3160" s="3" t="str">
        <f>"0"</f>
        <v>0</v>
      </c>
      <c r="BC3160" t="str">
        <f ca="1">IF((OFFSET($A$1, 3160 - 1, 53 - 1)) &gt;= (OFFSET($A$1, 69 - 1, 7 - 1)), "1","0")</f>
        <v>1</v>
      </c>
      <c r="BD3160">
        <f ca="1" xml:space="preserve"> IF( AND( OFFSET($A$1, 3160 - 1, 54 - 1) = "1", OFFSET($A$1, 3160 - 1, 55 - 1) = "1" ), 1, IF( AND( OFFSET($A$1, 3160 - 1, 54 - 1) = "1", OFFSET($A$1, 3160 - 1, 55 - 1) = "0" ), 2, IF( AND( OFFSET($A$1, 3160 - 1, 54 - 1) = "0", OFFSET($A$1, 3160 - 1, 55 - 1) = "1" ), 3, 4 ) ) )</f>
        <v>3</v>
      </c>
    </row>
    <row r="3161" spans="53:56" x14ac:dyDescent="0.35">
      <c r="BA3161" s="3">
        <v>0.3300612088166951</v>
      </c>
      <c r="BB3161" s="3" t="str">
        <f>"0"</f>
        <v>0</v>
      </c>
      <c r="BC3161" t="str">
        <f ca="1">IF((OFFSET($A$1, 3161 - 1, 53 - 1)) &gt;= (OFFSET($A$1, 69 - 1, 7 - 1)), "1","0")</f>
        <v>0</v>
      </c>
      <c r="BD3161">
        <f ca="1" xml:space="preserve"> IF( AND( OFFSET($A$1, 3161 - 1, 54 - 1) = "1", OFFSET($A$1, 3161 - 1, 55 - 1) = "1" ), 1, IF( AND( OFFSET($A$1, 3161 - 1, 54 - 1) = "1", OFFSET($A$1, 3161 - 1, 55 - 1) = "0" ), 2, IF( AND( OFFSET($A$1, 3161 - 1, 54 - 1) = "0", OFFSET($A$1, 3161 - 1, 55 - 1) = "1" ), 3, 4 ) ) )</f>
        <v>4</v>
      </c>
    </row>
    <row r="3162" spans="53:56" x14ac:dyDescent="0.35">
      <c r="BA3162" s="3">
        <v>0.32964014359066607</v>
      </c>
      <c r="BB3162" s="3" t="str">
        <f>"0"</f>
        <v>0</v>
      </c>
      <c r="BC3162" t="str">
        <f ca="1">IF((OFFSET($A$1, 3162 - 1, 53 - 1)) &gt;= (OFFSET($A$1, 69 - 1, 7 - 1)), "1","0")</f>
        <v>0</v>
      </c>
      <c r="BD3162">
        <f ca="1" xml:space="preserve"> IF( AND( OFFSET($A$1, 3162 - 1, 54 - 1) = "1", OFFSET($A$1, 3162 - 1, 55 - 1) = "1" ), 1, IF( AND( OFFSET($A$1, 3162 - 1, 54 - 1) = "1", OFFSET($A$1, 3162 - 1, 55 - 1) = "0" ), 2, IF( AND( OFFSET($A$1, 3162 - 1, 54 - 1) = "0", OFFSET($A$1, 3162 - 1, 55 - 1) = "1" ), 3, 4 ) ) )</f>
        <v>4</v>
      </c>
    </row>
    <row r="3163" spans="53:56" x14ac:dyDescent="0.35">
      <c r="BA3163" s="3">
        <v>0.32919707123814729</v>
      </c>
      <c r="BB3163" s="3" t="str">
        <f>"0"</f>
        <v>0</v>
      </c>
      <c r="BC3163" t="str">
        <f ca="1">IF((OFFSET($A$1, 3163 - 1, 53 - 1)) &gt;= (OFFSET($A$1, 69 - 1, 7 - 1)), "1","0")</f>
        <v>0</v>
      </c>
      <c r="BD3163">
        <f ca="1" xml:space="preserve"> IF( AND( OFFSET($A$1, 3163 - 1, 54 - 1) = "1", OFFSET($A$1, 3163 - 1, 55 - 1) = "1" ), 1, IF( AND( OFFSET($A$1, 3163 - 1, 54 - 1) = "1", OFFSET($A$1, 3163 - 1, 55 - 1) = "0" ), 2, IF( AND( OFFSET($A$1, 3163 - 1, 54 - 1) = "0", OFFSET($A$1, 3163 - 1, 55 - 1) = "1" ), 3, 4 ) ) )</f>
        <v>4</v>
      </c>
    </row>
    <row r="3164" spans="53:56" x14ac:dyDescent="0.35">
      <c r="BA3164" s="3">
        <v>0.3287321690673411</v>
      </c>
      <c r="BB3164" s="3" t="str">
        <f>"1"</f>
        <v>1</v>
      </c>
      <c r="BC3164" t="str">
        <f ca="1">IF((OFFSET($A$1, 3164 - 1, 53 - 1)) &gt;= (OFFSET($A$1, 69 - 1, 7 - 1)), "1","0")</f>
        <v>0</v>
      </c>
      <c r="BD3164">
        <f ca="1" xml:space="preserve"> IF( AND( OFFSET($A$1, 3164 - 1, 54 - 1) = "1", OFFSET($A$1, 3164 - 1, 55 - 1) = "1" ), 1, IF( AND( OFFSET($A$1, 3164 - 1, 54 - 1) = "1", OFFSET($A$1, 3164 - 1, 55 - 1) = "0" ), 2, IF( AND( OFFSET($A$1, 3164 - 1, 54 - 1) = "0", OFFSET($A$1, 3164 - 1, 55 - 1) = "1" ), 3, 4 ) ) )</f>
        <v>2</v>
      </c>
    </row>
    <row r="3165" spans="53:56" x14ac:dyDescent="0.35">
      <c r="BA3165" s="3">
        <v>0.60401089772549543</v>
      </c>
      <c r="BB3165" s="3" t="str">
        <f>"0"</f>
        <v>0</v>
      </c>
      <c r="BC3165" t="str">
        <f ca="1">IF((OFFSET($A$1, 3165 - 1, 53 - 1)) &gt;= (OFFSET($A$1, 69 - 1, 7 - 1)), "1","0")</f>
        <v>1</v>
      </c>
      <c r="BD3165">
        <f ca="1" xml:space="preserve"> IF( AND( OFFSET($A$1, 3165 - 1, 54 - 1) = "1", OFFSET($A$1, 3165 - 1, 55 - 1) = "1" ), 1, IF( AND( OFFSET($A$1, 3165 - 1, 54 - 1) = "1", OFFSET($A$1, 3165 - 1, 55 - 1) = "0" ), 2, IF( AND( OFFSET($A$1, 3165 - 1, 54 - 1) = "0", OFFSET($A$1, 3165 - 1, 55 - 1) = "1" ), 3, 4 ) ) )</f>
        <v>3</v>
      </c>
    </row>
    <row r="3166" spans="53:56" x14ac:dyDescent="0.35">
      <c r="BA3166" s="3">
        <v>0.32773762757886715</v>
      </c>
      <c r="BB3166" s="3" t="str">
        <f>"1"</f>
        <v>1</v>
      </c>
      <c r="BC3166" t="str">
        <f ca="1">IF((OFFSET($A$1, 3166 - 1, 53 - 1)) &gt;= (OFFSET($A$1, 69 - 1, 7 - 1)), "1","0")</f>
        <v>0</v>
      </c>
      <c r="BD3166">
        <f ca="1" xml:space="preserve"> IF( AND( OFFSET($A$1, 3166 - 1, 54 - 1) = "1", OFFSET($A$1, 3166 - 1, 55 - 1) = "1" ), 1, IF( AND( OFFSET($A$1, 3166 - 1, 54 - 1) = "1", OFFSET($A$1, 3166 - 1, 55 - 1) = "0" ), 2, IF( AND( OFFSET($A$1, 3166 - 1, 54 - 1) = "0", OFFSET($A$1, 3166 - 1, 55 - 1) = "1" ), 3, 4 ) ) )</f>
        <v>2</v>
      </c>
    </row>
    <row r="3167" spans="53:56" x14ac:dyDescent="0.35">
      <c r="BA3167" s="3">
        <v>0.60288432186825236</v>
      </c>
      <c r="BB3167" s="3" t="str">
        <f>"1"</f>
        <v>1</v>
      </c>
      <c r="BC3167" t="str">
        <f ca="1">IF((OFFSET($A$1, 3167 - 1, 53 - 1)) &gt;= (OFFSET($A$1, 69 - 1, 7 - 1)), "1","0")</f>
        <v>1</v>
      </c>
      <c r="BD3167">
        <f ca="1" xml:space="preserve"> IF( AND( OFFSET($A$1, 3167 - 1, 54 - 1) = "1", OFFSET($A$1, 3167 - 1, 55 - 1) = "1" ), 1, IF( AND( OFFSET($A$1, 3167 - 1, 54 - 1) = "1", OFFSET($A$1, 3167 - 1, 55 - 1) = "0" ), 2, IF( AND( OFFSET($A$1, 3167 - 1, 54 - 1) = "0", OFFSET($A$1, 3167 - 1, 55 - 1) = "1" ), 3, 4 ) ) )</f>
        <v>1</v>
      </c>
    </row>
    <row r="3168" spans="53:56" x14ac:dyDescent="0.35">
      <c r="BA3168" s="3">
        <v>0.60228545975505854</v>
      </c>
      <c r="BB3168" s="3" t="str">
        <f>"1"</f>
        <v>1</v>
      </c>
      <c r="BC3168" t="str">
        <f ca="1">IF((OFFSET($A$1, 3168 - 1, 53 - 1)) &gt;= (OFFSET($A$1, 69 - 1, 7 - 1)), "1","0")</f>
        <v>1</v>
      </c>
      <c r="BD3168">
        <f ca="1" xml:space="preserve"> IF( AND( OFFSET($A$1, 3168 - 1, 54 - 1) = "1", OFFSET($A$1, 3168 - 1, 55 - 1) = "1" ), 1, IF( AND( OFFSET($A$1, 3168 - 1, 54 - 1) = "1", OFFSET($A$1, 3168 - 1, 55 - 1) = "0" ), 2, IF( AND( OFFSET($A$1, 3168 - 1, 54 - 1) = "0", OFFSET($A$1, 3168 - 1, 55 - 1) = "1" ), 3, 4 ) ) )</f>
        <v>1</v>
      </c>
    </row>
    <row r="3169" spans="53:56" x14ac:dyDescent="0.35">
      <c r="BA3169" s="3">
        <v>0.60166307011532905</v>
      </c>
      <c r="BB3169" s="3" t="str">
        <f>"1"</f>
        <v>1</v>
      </c>
      <c r="BC3169" t="str">
        <f ca="1">IF((OFFSET($A$1, 3169 - 1, 53 - 1)) &gt;= (OFFSET($A$1, 69 - 1, 7 - 1)), "1","0")</f>
        <v>1</v>
      </c>
      <c r="BD3169">
        <f ca="1" xml:space="preserve"> IF( AND( OFFSET($A$1, 3169 - 1, 54 - 1) = "1", OFFSET($A$1, 3169 - 1, 55 - 1) = "1" ), 1, IF( AND( OFFSET($A$1, 3169 - 1, 54 - 1) = "1", OFFSET($A$1, 3169 - 1, 55 - 1) = "0" ), 2, IF( AND( OFFSET($A$1, 3169 - 1, 54 - 1) = "0", OFFSET($A$1, 3169 - 1, 55 - 1) = "1" ), 3, 4 ) ) )</f>
        <v>1</v>
      </c>
    </row>
    <row r="3170" spans="53:56" x14ac:dyDescent="0.35">
      <c r="BA3170" s="3">
        <v>0.60101730221864169</v>
      </c>
      <c r="BB3170" s="3" t="str">
        <f>"0"</f>
        <v>0</v>
      </c>
      <c r="BC3170" t="str">
        <f ca="1">IF((OFFSET($A$1, 3170 - 1, 53 - 1)) &gt;= (OFFSET($A$1, 69 - 1, 7 - 1)), "1","0")</f>
        <v>1</v>
      </c>
      <c r="BD3170">
        <f ca="1" xml:space="preserve"> IF( AND( OFFSET($A$1, 3170 - 1, 54 - 1) = "1", OFFSET($A$1, 3170 - 1, 55 - 1) = "1" ), 1, IF( AND( OFFSET($A$1, 3170 - 1, 54 - 1) = "1", OFFSET($A$1, 3170 - 1, 55 - 1) = "0" ), 2, IF( AND( OFFSET($A$1, 3170 - 1, 54 - 1) = "0", OFFSET($A$1, 3170 - 1, 55 - 1) = "1" ), 3, 4 ) ) )</f>
        <v>3</v>
      </c>
    </row>
    <row r="3171" spans="53:56" x14ac:dyDescent="0.35">
      <c r="BA3171" s="3">
        <v>0.32488330174010532</v>
      </c>
      <c r="BB3171" s="3" t="str">
        <f>"0"</f>
        <v>0</v>
      </c>
      <c r="BC3171" t="str">
        <f ca="1">IF((OFFSET($A$1, 3171 - 1, 53 - 1)) &gt;= (OFFSET($A$1, 69 - 1, 7 - 1)), "1","0")</f>
        <v>0</v>
      </c>
      <c r="BD3171">
        <f ca="1" xml:space="preserve"> IF( AND( OFFSET($A$1, 3171 - 1, 54 - 1) = "1", OFFSET($A$1, 3171 - 1, 55 - 1) = "1" ), 1, IF( AND( OFFSET($A$1, 3171 - 1, 54 - 1) = "1", OFFSET($A$1, 3171 - 1, 55 - 1) = "0" ), 2, IF( AND( OFFSET($A$1, 3171 - 1, 54 - 1) = "0", OFFSET($A$1, 3171 - 1, 55 - 1) = "1" ), 3, 4 ) ) )</f>
        <v>4</v>
      </c>
    </row>
    <row r="3172" spans="53:56" x14ac:dyDescent="0.35">
      <c r="BA3172" s="3">
        <v>0.32425115966300677</v>
      </c>
      <c r="BB3172" s="3" t="str">
        <f>"0"</f>
        <v>0</v>
      </c>
      <c r="BC3172" t="str">
        <f ca="1">IF((OFFSET($A$1, 3172 - 1, 53 - 1)) &gt;= (OFFSET($A$1, 69 - 1, 7 - 1)), "1","0")</f>
        <v>0</v>
      </c>
      <c r="BD3172">
        <f ca="1" xml:space="preserve"> IF( AND( OFFSET($A$1, 3172 - 1, 54 - 1) = "1", OFFSET($A$1, 3172 - 1, 55 - 1) = "1" ), 1, IF( AND( OFFSET($A$1, 3172 - 1, 54 - 1) = "1", OFFSET($A$1, 3172 - 1, 55 - 1) = "0" ), 2, IF( AND( OFFSET($A$1, 3172 - 1, 54 - 1) = "0", OFFSET($A$1, 3172 - 1, 55 - 1) = "1" ), 3, 4 ) ) )</f>
        <v>4</v>
      </c>
    </row>
    <row r="3173" spans="53:56" x14ac:dyDescent="0.35">
      <c r="BA3173" s="3">
        <v>0.32359916004166067</v>
      </c>
      <c r="BB3173" s="3" t="str">
        <f>"0"</f>
        <v>0</v>
      </c>
      <c r="BC3173" t="str">
        <f ca="1">IF((OFFSET($A$1, 3173 - 1, 53 - 1)) &gt;= (OFFSET($A$1, 69 - 1, 7 - 1)), "1","0")</f>
        <v>0</v>
      </c>
      <c r="BD3173">
        <f ca="1" xml:space="preserve"> IF( AND( OFFSET($A$1, 3173 - 1, 54 - 1) = "1", OFFSET($A$1, 3173 - 1, 55 - 1) = "1" ), 1, IF( AND( OFFSET($A$1, 3173 - 1, 54 - 1) = "1", OFFSET($A$1, 3173 - 1, 55 - 1) = "0" ), 2, IF( AND( OFFSET($A$1, 3173 - 1, 54 - 1) = "0", OFFSET($A$1, 3173 - 1, 55 - 1) = "1" ), 3, 4 ) ) )</f>
        <v>4</v>
      </c>
    </row>
    <row r="3174" spans="53:56" x14ac:dyDescent="0.35">
      <c r="BA3174" s="3">
        <v>0.32292756182393495</v>
      </c>
      <c r="BB3174" s="3" t="str">
        <f>"1"</f>
        <v>1</v>
      </c>
      <c r="BC3174" t="str">
        <f ca="1">IF((OFFSET($A$1, 3174 - 1, 53 - 1)) &gt;= (OFFSET($A$1, 69 - 1, 7 - 1)), "1","0")</f>
        <v>0</v>
      </c>
      <c r="BD3174">
        <f ca="1" xml:space="preserve"> IF( AND( OFFSET($A$1, 3174 - 1, 54 - 1) = "1", OFFSET($A$1, 3174 - 1, 55 - 1) = "1" ), 1, IF( AND( OFFSET($A$1, 3174 - 1, 54 - 1) = "1", OFFSET($A$1, 3174 - 1, 55 - 1) = "0" ), 2, IF( AND( OFFSET($A$1, 3174 - 1, 54 - 1) = "0", OFFSET($A$1, 3174 - 1, 55 - 1) = "1" ), 3, 4 ) ) )</f>
        <v>2</v>
      </c>
    </row>
    <row r="3175" spans="53:56" x14ac:dyDescent="0.35">
      <c r="BA3175" s="3">
        <v>0.59744345607675009</v>
      </c>
      <c r="BB3175" s="3" t="str">
        <f>"1"</f>
        <v>1</v>
      </c>
      <c r="BC3175" t="str">
        <f ca="1">IF((OFFSET($A$1, 3175 - 1, 53 - 1)) &gt;= (OFFSET($A$1, 69 - 1, 7 - 1)), "1","0")</f>
        <v>1</v>
      </c>
      <c r="BD3175">
        <f ca="1" xml:space="preserve"> IF( AND( OFFSET($A$1, 3175 - 1, 54 - 1) = "1", OFFSET($A$1, 3175 - 1, 55 - 1) = "1" ), 1, IF( AND( OFFSET($A$1, 3175 - 1, 54 - 1) = "1", OFFSET($A$1, 3175 - 1, 55 - 1) = "0" ), 2, IF( AND( OFFSET($A$1, 3175 - 1, 54 - 1) = "0", OFFSET($A$1, 3175 - 1, 55 - 1) = "1" ), 3, 4 ) ) )</f>
        <v>1</v>
      </c>
    </row>
    <row r="3176" spans="53:56" x14ac:dyDescent="0.35">
      <c r="BA3176" s="3">
        <v>0.59666090832801899</v>
      </c>
      <c r="BB3176" s="3" t="str">
        <f>"0"</f>
        <v>0</v>
      </c>
      <c r="BC3176" t="str">
        <f ca="1">IF((OFFSET($A$1, 3176 - 1, 53 - 1)) &gt;= (OFFSET($A$1, 69 - 1, 7 - 1)), "1","0")</f>
        <v>1</v>
      </c>
      <c r="BD3176">
        <f ca="1" xml:space="preserve"> IF( AND( OFFSET($A$1, 3176 - 1, 54 - 1) = "1", OFFSET($A$1, 3176 - 1, 55 - 1) = "1" ), 1, IF( AND( OFFSET($A$1, 3176 - 1, 54 - 1) = "1", OFFSET($A$1, 3176 - 1, 55 - 1) = "0" ), 2, IF( AND( OFFSET($A$1, 3176 - 1, 54 - 1) = "0", OFFSET($A$1, 3176 - 1, 55 - 1) = "1" ), 3, 4 ) ) )</f>
        <v>3</v>
      </c>
    </row>
    <row r="3177" spans="53:56" x14ac:dyDescent="0.35">
      <c r="BA3177" s="3">
        <v>0.32079787680285804</v>
      </c>
      <c r="BB3177" s="3" t="str">
        <f>"0"</f>
        <v>0</v>
      </c>
      <c r="BC3177" t="str">
        <f ca="1">IF((OFFSET($A$1, 3177 - 1, 53 - 1)) &gt;= (OFFSET($A$1, 69 - 1, 7 - 1)), "1","0")</f>
        <v>0</v>
      </c>
      <c r="BD3177">
        <f ca="1" xml:space="preserve"> IF( AND( OFFSET($A$1, 3177 - 1, 54 - 1) = "1", OFFSET($A$1, 3177 - 1, 55 - 1) = "1" ), 1, IF( AND( OFFSET($A$1, 3177 - 1, 54 - 1) = "1", OFFSET($A$1, 3177 - 1, 55 - 1) = "0" ), 2, IF( AND( OFFSET($A$1, 3177 - 1, 54 - 1) = "0", OFFSET($A$1, 3177 - 1, 55 - 1) = "1" ), 3, 4 ) ) )</f>
        <v>4</v>
      </c>
    </row>
    <row r="3178" spans="53:56" x14ac:dyDescent="0.35">
      <c r="BA3178" s="3">
        <v>0.32005062166336762</v>
      </c>
      <c r="BB3178" s="3" t="str">
        <f>"0"</f>
        <v>0</v>
      </c>
      <c r="BC3178" t="str">
        <f ca="1">IF((OFFSET($A$1, 3178 - 1, 53 - 1)) &gt;= (OFFSET($A$1, 69 - 1, 7 - 1)), "1","0")</f>
        <v>0</v>
      </c>
      <c r="BD3178">
        <f ca="1" xml:space="preserve"> IF( AND( OFFSET($A$1, 3178 - 1, 54 - 1) = "1", OFFSET($A$1, 3178 - 1, 55 - 1) = "1" ), 1, IF( AND( OFFSET($A$1, 3178 - 1, 54 - 1) = "1", OFFSET($A$1, 3178 - 1, 55 - 1) = "0" ), 2, IF( AND( OFFSET($A$1, 3178 - 1, 54 - 1) = "0", OFFSET($A$1, 3178 - 1, 55 - 1) = "1" ), 3, 4 ) ) )</f>
        <v>4</v>
      </c>
    </row>
    <row r="3179" spans="53:56" x14ac:dyDescent="0.35">
      <c r="BA3179" s="3">
        <v>0.31928517239637938</v>
      </c>
      <c r="BB3179" s="3" t="str">
        <f>"0"</f>
        <v>0</v>
      </c>
      <c r="BC3179" t="str">
        <f ca="1">IF((OFFSET($A$1, 3179 - 1, 53 - 1)) &gt;= (OFFSET($A$1, 69 - 1, 7 - 1)), "1","0")</f>
        <v>0</v>
      </c>
      <c r="BD3179">
        <f ca="1" xml:space="preserve"> IF( AND( OFFSET($A$1, 3179 - 1, 54 - 1) = "1", OFFSET($A$1, 3179 - 1, 55 - 1) = "1" ), 1, IF( AND( OFFSET($A$1, 3179 - 1, 54 - 1) = "1", OFFSET($A$1, 3179 - 1, 55 - 1) = "0" ), 2, IF( AND( OFFSET($A$1, 3179 - 1, 54 - 1) = "0", OFFSET($A$1, 3179 - 1, 55 - 1) = "1" ), 3, 4 ) ) )</f>
        <v>4</v>
      </c>
    </row>
    <row r="3180" spans="53:56" x14ac:dyDescent="0.35">
      <c r="BA3180" s="3">
        <v>0.31850183080901179</v>
      </c>
      <c r="BB3180" s="3" t="str">
        <f>"0"</f>
        <v>0</v>
      </c>
      <c r="BC3180" t="str">
        <f ca="1">IF((OFFSET($A$1, 3180 - 1, 53 - 1)) &gt;= (OFFSET($A$1, 69 - 1, 7 - 1)), "1","0")</f>
        <v>0</v>
      </c>
      <c r="BD3180">
        <f ca="1" xml:space="preserve"> IF( AND( OFFSET($A$1, 3180 - 1, 54 - 1) = "1", OFFSET($A$1, 3180 - 1, 55 - 1) = "1" ), 1, IF( AND( OFFSET($A$1, 3180 - 1, 54 - 1) = "1", OFFSET($A$1, 3180 - 1, 55 - 1) = "0" ), 2, IF( AND( OFFSET($A$1, 3180 - 1, 54 - 1) = "0", OFFSET($A$1, 3180 - 1, 55 - 1) = "1" ), 3, 4 ) ) )</f>
        <v>4</v>
      </c>
    </row>
    <row r="3181" spans="53:56" x14ac:dyDescent="0.35">
      <c r="BA3181" s="3">
        <v>0.3177009053145598</v>
      </c>
      <c r="BB3181" s="3" t="str">
        <f>"0"</f>
        <v>0</v>
      </c>
      <c r="BC3181" t="str">
        <f ca="1">IF((OFFSET($A$1, 3181 - 1, 53 - 1)) &gt;= (OFFSET($A$1, 69 - 1, 7 - 1)), "1","0")</f>
        <v>0</v>
      </c>
      <c r="BD3181">
        <f ca="1" xml:space="preserve"> IF( AND( OFFSET($A$1, 3181 - 1, 54 - 1) = "1", OFFSET($A$1, 3181 - 1, 55 - 1) = "1" ), 1, IF( AND( OFFSET($A$1, 3181 - 1, 54 - 1) = "1", OFFSET($A$1, 3181 - 1, 55 - 1) = "0" ), 2, IF( AND( OFFSET($A$1, 3181 - 1, 54 - 1) = "0", OFFSET($A$1, 3181 - 1, 55 - 1) = "1" ), 3, 4 ) ) )</f>
        <v>4</v>
      </c>
    </row>
    <row r="3182" spans="53:56" x14ac:dyDescent="0.35">
      <c r="BA3182" s="3">
        <v>0.31688271076742192</v>
      </c>
      <c r="BB3182" s="3" t="str">
        <f>"1"</f>
        <v>1</v>
      </c>
      <c r="BC3182" t="str">
        <f ca="1">IF((OFFSET($A$1, 3182 - 1, 53 - 1)) &gt;= (OFFSET($A$1, 69 - 1, 7 - 1)), "1","0")</f>
        <v>0</v>
      </c>
      <c r="BD3182">
        <f ca="1" xml:space="preserve"> IF( AND( OFFSET($A$1, 3182 - 1, 54 - 1) = "1", OFFSET($A$1, 3182 - 1, 55 - 1) = "1" ), 1, IF( AND( OFFSET($A$1, 3182 - 1, 54 - 1) = "1", OFFSET($A$1, 3182 - 1, 55 - 1) = "0" ), 2, IF( AND( OFFSET($A$1, 3182 - 1, 54 - 1) = "0", OFFSET($A$1, 3182 - 1, 55 - 1) = "1" ), 3, 4 ) ) )</f>
        <v>2</v>
      </c>
    </row>
    <row r="3183" spans="53:56" x14ac:dyDescent="0.35">
      <c r="BA3183" s="3">
        <v>0.59057441851089598</v>
      </c>
      <c r="BB3183" s="3" t="str">
        <f>"0"</f>
        <v>0</v>
      </c>
      <c r="BC3183" t="str">
        <f ca="1">IF((OFFSET($A$1, 3183 - 1, 53 - 1)) &gt;= (OFFSET($A$1, 69 - 1, 7 - 1)), "1","0")</f>
        <v>1</v>
      </c>
      <c r="BD3183">
        <f ca="1" xml:space="preserve"> IF( AND( OFFSET($A$1, 3183 - 1, 54 - 1) = "1", OFFSET($A$1, 3183 - 1, 55 - 1) = "1" ), 1, IF( AND( OFFSET($A$1, 3183 - 1, 54 - 1) = "1", OFFSET($A$1, 3183 - 1, 55 - 1) = "0" ), 2, IF( AND( OFFSET($A$1, 3183 - 1, 54 - 1) = "0", OFFSET($A$1, 3183 - 1, 55 - 1) = "1" ), 3, 4 ) ) )</f>
        <v>3</v>
      </c>
    </row>
    <row r="3184" spans="53:56" x14ac:dyDescent="0.35">
      <c r="BA3184" s="3">
        <v>0.31519580511831685</v>
      </c>
      <c r="BB3184" s="3" t="str">
        <f>"0"</f>
        <v>0</v>
      </c>
      <c r="BC3184" t="str">
        <f ca="1">IF((OFFSET($A$1, 3184 - 1, 53 - 1)) &gt;= (OFFSET($A$1, 69 - 1, 7 - 1)), "1","0")</f>
        <v>0</v>
      </c>
      <c r="BD3184">
        <f ca="1" xml:space="preserve"> IF( AND( OFFSET($A$1, 3184 - 1, 54 - 1) = "1", OFFSET($A$1, 3184 - 1, 55 - 1) = "1" ), 1, IF( AND( OFFSET($A$1, 3184 - 1, 54 - 1) = "1", OFFSET($A$1, 3184 - 1, 55 - 1) = "0" ), 2, IF( AND( OFFSET($A$1, 3184 - 1, 54 - 1) = "0", OFFSET($A$1, 3184 - 1, 55 - 1) = "1" ), 3, 4 ) ) )</f>
        <v>4</v>
      </c>
    </row>
    <row r="3185" spans="53:56" x14ac:dyDescent="0.35">
      <c r="BA3185" s="3">
        <v>0.31432775438649263</v>
      </c>
      <c r="BB3185" s="3" t="str">
        <f>"0"</f>
        <v>0</v>
      </c>
      <c r="BC3185" t="str">
        <f ca="1">IF((OFFSET($A$1, 3185 - 1, 53 - 1)) &gt;= (OFFSET($A$1, 69 - 1, 7 - 1)), "1","0")</f>
        <v>0</v>
      </c>
      <c r="BD3185">
        <f ca="1" xml:space="preserve"> IF( AND( OFFSET($A$1, 3185 - 1, 54 - 1) = "1", OFFSET($A$1, 3185 - 1, 55 - 1) = "1" ), 1, IF( AND( OFFSET($A$1, 3185 - 1, 54 - 1) = "1", OFFSET($A$1, 3185 - 1, 55 - 1) = "0" ), 2, IF( AND( OFFSET($A$1, 3185 - 1, 54 - 1) = "0", OFFSET($A$1, 3185 - 1, 55 - 1) = "1" ), 3, 4 ) ) )</f>
        <v>4</v>
      </c>
    </row>
    <row r="3186" spans="53:56" x14ac:dyDescent="0.35">
      <c r="BA3186" s="3">
        <v>0.31344375498341764</v>
      </c>
      <c r="BB3186" s="3" t="str">
        <f>"1"</f>
        <v>1</v>
      </c>
      <c r="BC3186" t="str">
        <f ca="1">IF((OFFSET($A$1, 3186 - 1, 53 - 1)) &gt;= (OFFSET($A$1, 69 - 1, 7 - 1)), "1","0")</f>
        <v>0</v>
      </c>
      <c r="BD3186">
        <f ca="1" xml:space="preserve"> IF( AND( OFFSET($A$1, 3186 - 1, 54 - 1) = "1", OFFSET($A$1, 3186 - 1, 55 - 1) = "1" ), 1, IF( AND( OFFSET($A$1, 3186 - 1, 54 - 1) = "1", OFFSET($A$1, 3186 - 1, 55 - 1) = "0" ), 2, IF( AND( OFFSET($A$1, 3186 - 1, 54 - 1) = "0", OFFSET($A$1, 3186 - 1, 55 - 1) = "1" ), 3, 4 ) ) )</f>
        <v>2</v>
      </c>
    </row>
    <row r="3187" spans="53:56" x14ac:dyDescent="0.35">
      <c r="BA3187" s="3">
        <v>0.58663801393384274</v>
      </c>
      <c r="BB3187" s="3" t="str">
        <f>"1"</f>
        <v>1</v>
      </c>
      <c r="BC3187" t="str">
        <f ca="1">IF((OFFSET($A$1, 3187 - 1, 53 - 1)) &gt;= (OFFSET($A$1, 69 - 1, 7 - 1)), "1","0")</f>
        <v>1</v>
      </c>
      <c r="BD3187">
        <f ca="1" xml:space="preserve"> IF( AND( OFFSET($A$1, 3187 - 1, 54 - 1) = "1", OFFSET($A$1, 3187 - 1, 55 - 1) = "1" ), 1, IF( AND( OFFSET($A$1, 3187 - 1, 54 - 1) = "1", OFFSET($A$1, 3187 - 1, 55 - 1) = "0" ), 2, IF( AND( OFFSET($A$1, 3187 - 1, 54 - 1) = "0", OFFSET($A$1, 3187 - 1, 55 - 1) = "1" ), 3, 4 ) ) )</f>
        <v>1</v>
      </c>
    </row>
    <row r="3188" spans="53:56" x14ac:dyDescent="0.35">
      <c r="BA3188" s="3">
        <v>0.58560428798803887</v>
      </c>
      <c r="BB3188" s="3" t="str">
        <f>"0"</f>
        <v>0</v>
      </c>
      <c r="BC3188" t="str">
        <f ca="1">IF((OFFSET($A$1, 3188 - 1, 53 - 1)) &gt;= (OFFSET($A$1, 69 - 1, 7 - 1)), "1","0")</f>
        <v>1</v>
      </c>
      <c r="BD3188">
        <f ca="1" xml:space="preserve"> IF( AND( OFFSET($A$1, 3188 - 1, 54 - 1) = "1", OFFSET($A$1, 3188 - 1, 55 - 1) = "1" ), 1, IF( AND( OFFSET($A$1, 3188 - 1, 54 - 1) = "1", OFFSET($A$1, 3188 - 1, 55 - 1) = "0" ), 2, IF( AND( OFFSET($A$1, 3188 - 1, 54 - 1) = "0", OFFSET($A$1, 3188 - 1, 55 - 1) = "1" ), 3, 4 ) ) )</f>
        <v>3</v>
      </c>
    </row>
    <row r="3189" spans="53:56" x14ac:dyDescent="0.35">
      <c r="BA3189" s="3">
        <v>0.31069953577515569</v>
      </c>
      <c r="BB3189" s="3" t="str">
        <f>"1"</f>
        <v>1</v>
      </c>
      <c r="BC3189" t="str">
        <f ca="1">IF((OFFSET($A$1, 3189 - 1, 53 - 1)) &gt;= (OFFSET($A$1, 69 - 1, 7 - 1)), "1","0")</f>
        <v>0</v>
      </c>
      <c r="BD3189">
        <f ca="1" xml:space="preserve"> IF( AND( OFFSET($A$1, 3189 - 1, 54 - 1) = "1", OFFSET($A$1, 3189 - 1, 55 - 1) = "1" ), 1, IF( AND( OFFSET($A$1, 3189 - 1, 54 - 1) = "1", OFFSET($A$1, 3189 - 1, 55 - 1) = "0" ), 2, IF( AND( OFFSET($A$1, 3189 - 1, 54 - 1) = "0", OFFSET($A$1, 3189 - 1, 55 - 1) = "1" ), 3, 4 ) ) )</f>
        <v>2</v>
      </c>
    </row>
    <row r="3190" spans="53:56" x14ac:dyDescent="0.35">
      <c r="BA3190" s="3">
        <v>0.58347917613510092</v>
      </c>
      <c r="BB3190" s="3" t="str">
        <f>"0"</f>
        <v>0</v>
      </c>
      <c r="BC3190" t="str">
        <f ca="1">IF((OFFSET($A$1, 3190 - 1, 53 - 1)) &gt;= (OFFSET($A$1, 69 - 1, 7 - 1)), "1","0")</f>
        <v>1</v>
      </c>
      <c r="BD3190">
        <f ca="1" xml:space="preserve"> IF( AND( OFFSET($A$1, 3190 - 1, 54 - 1) = "1", OFFSET($A$1, 3190 - 1, 55 - 1) = "1" ), 1, IF( AND( OFFSET($A$1, 3190 - 1, 54 - 1) = "1", OFFSET($A$1, 3190 - 1, 55 - 1) = "0" ), 2, IF( AND( OFFSET($A$1, 3190 - 1, 54 - 1) = "0", OFFSET($A$1, 3190 - 1, 55 - 1) = "1" ), 3, 4 ) ) )</f>
        <v>3</v>
      </c>
    </row>
    <row r="3191" spans="53:56" x14ac:dyDescent="0.35">
      <c r="BA3191" s="3">
        <v>0.30879676699978581</v>
      </c>
      <c r="BB3191" s="3" t="str">
        <f>"0"</f>
        <v>0</v>
      </c>
      <c r="BC3191" t="str">
        <f ca="1">IF((OFFSET($A$1, 3191 - 1, 53 - 1)) &gt;= (OFFSET($A$1, 69 - 1, 7 - 1)), "1","0")</f>
        <v>0</v>
      </c>
      <c r="BD3191">
        <f ca="1" xml:space="preserve"> IF( AND( OFFSET($A$1, 3191 - 1, 54 - 1) = "1", OFFSET($A$1, 3191 - 1, 55 - 1) = "1" ), 1, IF( AND( OFFSET($A$1, 3191 - 1, 54 - 1) = "1", OFFSET($A$1, 3191 - 1, 55 - 1) = "0" ), 2, IF( AND( OFFSET($A$1, 3191 - 1, 54 - 1) = "0", OFFSET($A$1, 3191 - 1, 55 - 1) = "1" ), 3, 4 ) ) )</f>
        <v>4</v>
      </c>
    </row>
    <row r="3192" spans="53:56" x14ac:dyDescent="0.35">
      <c r="BA3192" s="3">
        <v>0.30782448977499466</v>
      </c>
      <c r="BB3192" s="3" t="str">
        <f>"0"</f>
        <v>0</v>
      </c>
      <c r="BC3192" t="str">
        <f ca="1">IF((OFFSET($A$1, 3192 - 1, 53 - 1)) &gt;= (OFFSET($A$1, 69 - 1, 7 - 1)), "1","0")</f>
        <v>0</v>
      </c>
      <c r="BD3192">
        <f ca="1" xml:space="preserve"> IF( AND( OFFSET($A$1, 3192 - 1, 54 - 1) = "1", OFFSET($A$1, 3192 - 1, 55 - 1) = "1" ), 1, IF( AND( OFFSET($A$1, 3192 - 1, 54 - 1) = "1", OFFSET($A$1, 3192 - 1, 55 - 1) = "0" ), 2, IF( AND( OFFSET($A$1, 3192 - 1, 54 - 1) = "0", OFFSET($A$1, 3192 - 1, 55 - 1) = "1" ), 3, 4 ) ) )</f>
        <v>4</v>
      </c>
    </row>
    <row r="3193" spans="53:56" x14ac:dyDescent="0.35">
      <c r="BA3193" s="3">
        <v>0.30683878077122945</v>
      </c>
      <c r="BB3193" s="3" t="str">
        <f>"0"</f>
        <v>0</v>
      </c>
      <c r="BC3193" t="str">
        <f ca="1">IF((OFFSET($A$1, 3193 - 1, 53 - 1)) &gt;= (OFFSET($A$1, 69 - 1, 7 - 1)), "1","0")</f>
        <v>0</v>
      </c>
      <c r="BD3193">
        <f ca="1" xml:space="preserve"> IF( AND( OFFSET($A$1, 3193 - 1, 54 - 1) = "1", OFFSET($A$1, 3193 - 1, 55 - 1) = "1" ), 1, IF( AND( OFFSET($A$1, 3193 - 1, 54 - 1) = "1", OFFSET($A$1, 3193 - 1, 55 - 1) = "0" ), 2, IF( AND( OFFSET($A$1, 3193 - 1, 54 - 1) = "0", OFFSET($A$1, 3193 - 1, 55 - 1) = "1" ), 3, 4 ) ) )</f>
        <v>4</v>
      </c>
    </row>
    <row r="3194" spans="53:56" x14ac:dyDescent="0.35">
      <c r="BA3194" s="3">
        <v>0.30584001782643316</v>
      </c>
      <c r="BB3194" s="3" t="str">
        <f>"0"</f>
        <v>0</v>
      </c>
      <c r="BC3194" t="str">
        <f ca="1">IF((OFFSET($A$1, 3194 - 1, 53 - 1)) &gt;= (OFFSET($A$1, 69 - 1, 7 - 1)), "1","0")</f>
        <v>0</v>
      </c>
      <c r="BD3194">
        <f ca="1" xml:space="preserve"> IF( AND( OFFSET($A$1, 3194 - 1, 54 - 1) = "1", OFFSET($A$1, 3194 - 1, 55 - 1) = "1" ), 1, IF( AND( OFFSET($A$1, 3194 - 1, 54 - 1) = "1", OFFSET($A$1, 3194 - 1, 55 - 1) = "0" ), 2, IF( AND( OFFSET($A$1, 3194 - 1, 54 - 1) = "0", OFFSET($A$1, 3194 - 1, 55 - 1) = "1" ), 3, 4 ) ) )</f>
        <v>4</v>
      </c>
    </row>
    <row r="3195" spans="53:56" x14ac:dyDescent="0.35">
      <c r="BA3195" s="3">
        <v>0.30482858272874747</v>
      </c>
      <c r="BB3195" s="3" t="str">
        <f>"1"</f>
        <v>1</v>
      </c>
      <c r="BC3195" t="str">
        <f ca="1">IF((OFFSET($A$1, 3195 - 1, 53 - 1)) &gt;= (OFFSET($A$1, 69 - 1, 7 - 1)), "1","0")</f>
        <v>0</v>
      </c>
      <c r="BD3195">
        <f ca="1" xml:space="preserve"> IF( AND( OFFSET($A$1, 3195 - 1, 54 - 1) = "1", OFFSET($A$1, 3195 - 1, 55 - 1) = "1" ), 1, IF( AND( OFFSET($A$1, 3195 - 1, 54 - 1) = "1", OFFSET($A$1, 3195 - 1, 55 - 1) = "0" ), 2, IF( AND( OFFSET($A$1, 3195 - 1, 54 - 1) = "0", OFFSET($A$1, 3195 - 1, 55 - 1) = "1" ), 3, 4 ) ) )</f>
        <v>2</v>
      </c>
    </row>
    <row r="3196" spans="53:56" x14ac:dyDescent="0.35">
      <c r="BA3196" s="3">
        <v>0.57666354750322735</v>
      </c>
      <c r="BB3196" s="3" t="str">
        <f>"0"</f>
        <v>0</v>
      </c>
      <c r="BC3196" t="str">
        <f ca="1">IF((OFFSET($A$1, 3196 - 1, 53 - 1)) &gt;= (OFFSET($A$1, 69 - 1, 7 - 1)), "1","0")</f>
        <v>1</v>
      </c>
      <c r="BD3196">
        <f ca="1" xml:space="preserve"> IF( AND( OFFSET($A$1, 3196 - 1, 54 - 1) = "1", OFFSET($A$1, 3196 - 1, 55 - 1) = "1" ), 1, IF( AND( OFFSET($A$1, 3196 - 1, 54 - 1) = "1", OFFSET($A$1, 3196 - 1, 55 - 1) = "0" ), 2, IF( AND( OFFSET($A$1, 3196 - 1, 54 - 1) = "0", OFFSET($A$1, 3196 - 1, 55 - 1) = "1" ), 3, 4 ) ) )</f>
        <v>3</v>
      </c>
    </row>
    <row r="3197" spans="53:56" x14ac:dyDescent="0.35">
      <c r="BA3197" s="3">
        <v>0.3027692416947686</v>
      </c>
      <c r="BB3197" s="3" t="str">
        <f>"0"</f>
        <v>0</v>
      </c>
      <c r="BC3197" t="str">
        <f ca="1">IF((OFFSET($A$1, 3197 - 1, 53 - 1)) &gt;= (OFFSET($A$1, 69 - 1, 7 - 1)), "1","0")</f>
        <v>0</v>
      </c>
      <c r="BD3197">
        <f ca="1" xml:space="preserve"> IF( AND( OFFSET($A$1, 3197 - 1, 54 - 1) = "1", OFFSET($A$1, 3197 - 1, 55 - 1) = "1" ), 1, IF( AND( OFFSET($A$1, 3197 - 1, 54 - 1) = "1", OFFSET($A$1, 3197 - 1, 55 - 1) = "0" ), 2, IF( AND( OFFSET($A$1, 3197 - 1, 54 - 1) = "0", OFFSET($A$1, 3197 - 1, 55 - 1) = "1" ), 3, 4 ) ) )</f>
        <v>4</v>
      </c>
    </row>
    <row r="3198" spans="53:56" x14ac:dyDescent="0.35">
      <c r="BA3198" s="3">
        <v>0.30172211715259917</v>
      </c>
      <c r="BB3198" s="3" t="str">
        <f>"0"</f>
        <v>0</v>
      </c>
      <c r="BC3198" t="str">
        <f ca="1">IF((OFFSET($A$1, 3198 - 1, 53 - 1)) &gt;= (OFFSET($A$1, 69 - 1, 7 - 1)), "1","0")</f>
        <v>0</v>
      </c>
      <c r="BD3198">
        <f ca="1" xml:space="preserve"> IF( AND( OFFSET($A$1, 3198 - 1, 54 - 1) = "1", OFFSET($A$1, 3198 - 1, 55 - 1) = "1" ), 1, IF( AND( OFFSET($A$1, 3198 - 1, 54 - 1) = "1", OFFSET($A$1, 3198 - 1, 55 - 1) = "0" ), 2, IF( AND( OFFSET($A$1, 3198 - 1, 54 - 1) = "0", OFFSET($A$1, 3198 - 1, 55 - 1) = "1" ), 3, 4 ) ) )</f>
        <v>4</v>
      </c>
    </row>
    <row r="3199" spans="53:56" x14ac:dyDescent="0.35">
      <c r="BA3199" s="3">
        <v>0.30066388280793921</v>
      </c>
      <c r="BB3199" s="3" t="str">
        <f>"0"</f>
        <v>0</v>
      </c>
      <c r="BC3199" t="str">
        <f ca="1">IF((OFFSET($A$1, 3199 - 1, 53 - 1)) &gt;= (OFFSET($A$1, 69 - 1, 7 - 1)), "1","0")</f>
        <v>0</v>
      </c>
      <c r="BD3199">
        <f ca="1" xml:space="preserve"> IF( AND( OFFSET($A$1, 3199 - 1, 54 - 1) = "1", OFFSET($A$1, 3199 - 1, 55 - 1) = "1" ), 1, IF( AND( OFFSET($A$1, 3199 - 1, 54 - 1) = "1", OFFSET($A$1, 3199 - 1, 55 - 1) = "0" ), 2, IF( AND( OFFSET($A$1, 3199 - 1, 54 - 1) = "0", OFFSET($A$1, 3199 - 1, 55 - 1) = "1" ), 3, 4 ) ) )</f>
        <v>4</v>
      </c>
    </row>
    <row r="3200" spans="53:56" x14ac:dyDescent="0.35">
      <c r="BA3200" s="3">
        <v>0.29959493695363087</v>
      </c>
      <c r="BB3200" s="3" t="str">
        <f>"1"</f>
        <v>1</v>
      </c>
      <c r="BC3200" t="str">
        <f ca="1">IF((OFFSET($A$1, 3200 - 1, 53 - 1)) &gt;= (OFFSET($A$1, 69 - 1, 7 - 1)), "1","0")</f>
        <v>0</v>
      </c>
      <c r="BD3200">
        <f ca="1" xml:space="preserve"> IF( AND( OFFSET($A$1, 3200 - 1, 54 - 1) = "1", OFFSET($A$1, 3200 - 1, 55 - 1) = "1" ), 1, IF( AND( OFFSET($A$1, 3200 - 1, 54 - 1) = "1", OFFSET($A$1, 3200 - 1, 55 - 1) = "0" ), 2, IF( AND( OFFSET($A$1, 3200 - 1, 54 - 1) = "0", OFFSET($A$1, 3200 - 1, 55 - 1) = "1" ), 3, 4 ) ) )</f>
        <v>2</v>
      </c>
    </row>
    <row r="3201" spans="53:56" x14ac:dyDescent="0.35">
      <c r="BA3201" s="3">
        <v>0.57051681426155776</v>
      </c>
      <c r="BB3201" s="3" t="str">
        <f>"0"</f>
        <v>0</v>
      </c>
      <c r="BC3201" t="str">
        <f ca="1">IF((OFFSET($A$1, 3201 - 1, 53 - 1)) &gt;= (OFFSET($A$1, 69 - 1, 7 - 1)), "1","0")</f>
        <v>1</v>
      </c>
      <c r="BD3201">
        <f ca="1" xml:space="preserve"> IF( AND( OFFSET($A$1, 3201 - 1, 54 - 1) = "1", OFFSET($A$1, 3201 - 1, 55 - 1) = "1" ), 1, IF( AND( OFFSET($A$1, 3201 - 1, 54 - 1) = "1", OFFSET($A$1, 3201 - 1, 55 - 1) = "0" ), 2, IF( AND( OFFSET($A$1, 3201 - 1, 54 - 1) = "0", OFFSET($A$1, 3201 - 1, 55 - 1) = "1" ), 3, 4 ) ) )</f>
        <v>3</v>
      </c>
    </row>
    <row r="3202" spans="53:56" x14ac:dyDescent="0.35">
      <c r="BA3202" s="3">
        <v>0.29742651685446614</v>
      </c>
      <c r="BB3202" s="3" t="str">
        <f>"1"</f>
        <v>1</v>
      </c>
      <c r="BC3202" t="str">
        <f ca="1">IF((OFFSET($A$1, 3202 - 1, 53 - 1)) &gt;= (OFFSET($A$1, 69 - 1, 7 - 1)), "1","0")</f>
        <v>0</v>
      </c>
      <c r="BD3202">
        <f ca="1" xml:space="preserve"> IF( AND( OFFSET($A$1, 3202 - 1, 54 - 1) = "1", OFFSET($A$1, 3202 - 1, 55 - 1) = "1" ), 1, IF( AND( OFFSET($A$1, 3202 - 1, 54 - 1) = "1", OFFSET($A$1, 3202 - 1, 55 - 1) = "0" ), 2, IF( AND( OFFSET($A$1, 3202 - 1, 54 - 1) = "0", OFFSET($A$1, 3202 - 1, 55 - 1) = "1" ), 3, 4 ) ) )</f>
        <v>2</v>
      </c>
    </row>
    <row r="3203" spans="53:56" x14ac:dyDescent="0.35">
      <c r="BA3203" s="3">
        <v>0.56794950120346011</v>
      </c>
      <c r="BB3203" s="3" t="str">
        <f>"1"</f>
        <v>1</v>
      </c>
      <c r="BC3203" t="str">
        <f ca="1">IF((OFFSET($A$1, 3203 - 1, 53 - 1)) &gt;= (OFFSET($A$1, 69 - 1, 7 - 1)), "1","0")</f>
        <v>1</v>
      </c>
      <c r="BD3203">
        <f ca="1" xml:space="preserve"> IF( AND( OFFSET($A$1, 3203 - 1, 54 - 1) = "1", OFFSET($A$1, 3203 - 1, 55 - 1) = "1" ), 1, IF( AND( OFFSET($A$1, 3203 - 1, 54 - 1) = "1", OFFSET($A$1, 3203 - 1, 55 - 1) = "0" ), 2, IF( AND( OFFSET($A$1, 3203 - 1, 54 - 1) = "0", OFFSET($A$1, 3203 - 1, 55 - 1) = "1" ), 3, 4 ) ) )</f>
        <v>1</v>
      </c>
    </row>
    <row r="3204" spans="53:56" x14ac:dyDescent="0.35">
      <c r="BA3204" s="3">
        <v>0.56664400969695372</v>
      </c>
      <c r="BB3204" s="3" t="str">
        <f>"1"</f>
        <v>1</v>
      </c>
      <c r="BC3204" t="str">
        <f ca="1">IF((OFFSET($A$1, 3204 - 1, 53 - 1)) &gt;= (OFFSET($A$1, 69 - 1, 7 - 1)), "1","0")</f>
        <v>1</v>
      </c>
      <c r="BD3204">
        <f ca="1" xml:space="preserve"> IF( AND( OFFSET($A$1, 3204 - 1, 54 - 1) = "1", OFFSET($A$1, 3204 - 1, 55 - 1) = "1" ), 1, IF( AND( OFFSET($A$1, 3204 - 1, 54 - 1) = "1", OFFSET($A$1, 3204 - 1, 55 - 1) = "0" ), 2, IF( AND( OFFSET($A$1, 3204 - 1, 54 - 1) = "0", OFFSET($A$1, 3204 - 1, 55 - 1) = "1" ), 3, 4 ) ) )</f>
        <v>1</v>
      </c>
    </row>
    <row r="3205" spans="53:56" x14ac:dyDescent="0.35">
      <c r="BA3205" s="3">
        <v>0.56532445981836787</v>
      </c>
      <c r="BB3205" s="3" t="str">
        <f>"0"</f>
        <v>0</v>
      </c>
      <c r="BC3205" t="str">
        <f ca="1">IF((OFFSET($A$1, 3205 - 1, 53 - 1)) &gt;= (OFFSET($A$1, 69 - 1, 7 - 1)), "1","0")</f>
        <v>1</v>
      </c>
      <c r="BD3205">
        <f ca="1" xml:space="preserve"> IF( AND( OFFSET($A$1, 3205 - 1, 54 - 1) = "1", OFFSET($A$1, 3205 - 1, 55 - 1) = "1" ), 1, IF( AND( OFFSET($A$1, 3205 - 1, 54 - 1) = "1", OFFSET($A$1, 3205 - 1, 55 - 1) = "0" ), 2, IF( AND( OFFSET($A$1, 3205 - 1, 54 - 1) = "0", OFFSET($A$1, 3205 - 1, 55 - 1) = "1" ), 3, 4 ) ) )</f>
        <v>3</v>
      </c>
    </row>
    <row r="3206" spans="53:56" x14ac:dyDescent="0.35">
      <c r="BA3206" s="3">
        <v>0.29297892859587066</v>
      </c>
      <c r="BB3206" s="3" t="str">
        <f>"0"</f>
        <v>0</v>
      </c>
      <c r="BC3206" t="str">
        <f ca="1">IF((OFFSET($A$1, 3206 - 1, 53 - 1)) &gt;= (OFFSET($A$1, 69 - 1, 7 - 1)), "1","0")</f>
        <v>0</v>
      </c>
      <c r="BD3206">
        <f ca="1" xml:space="preserve"> IF( AND( OFFSET($A$1, 3206 - 1, 54 - 1) = "1", OFFSET($A$1, 3206 - 1, 55 - 1) = "1" ), 1, IF( AND( OFFSET($A$1, 3206 - 1, 54 - 1) = "1", OFFSET($A$1, 3206 - 1, 55 - 1) = "0" ), 2, IF( AND( OFFSET($A$1, 3206 - 1, 54 - 1) = "0", OFFSET($A$1, 3206 - 1, 55 - 1) = "1" ), 3, 4 ) ) )</f>
        <v>4</v>
      </c>
    </row>
    <row r="3207" spans="53:56" x14ac:dyDescent="0.35">
      <c r="BA3207" s="3">
        <v>0.29184634760414907</v>
      </c>
      <c r="BB3207" s="3" t="str">
        <f>"0"</f>
        <v>0</v>
      </c>
      <c r="BC3207" t="str">
        <f ca="1">IF((OFFSET($A$1, 3207 - 1, 53 - 1)) &gt;= (OFFSET($A$1, 69 - 1, 7 - 1)), "1","0")</f>
        <v>0</v>
      </c>
      <c r="BD3207">
        <f ca="1" xml:space="preserve"> IF( AND( OFFSET($A$1, 3207 - 1, 54 - 1) = "1", OFFSET($A$1, 3207 - 1, 55 - 1) = "1" ), 1, IF( AND( OFFSET($A$1, 3207 - 1, 54 - 1) = "1", OFFSET($A$1, 3207 - 1, 55 - 1) = "0" ), 2, IF( AND( OFFSET($A$1, 3207 - 1, 54 - 1) = "0", OFFSET($A$1, 3207 - 1, 55 - 1) = "1" ), 3, 4 ) ) )</f>
        <v>4</v>
      </c>
    </row>
    <row r="3208" spans="53:56" x14ac:dyDescent="0.35">
      <c r="BA3208" s="3">
        <v>0.29070631747224385</v>
      </c>
      <c r="BB3208" s="3" t="str">
        <f>"0"</f>
        <v>0</v>
      </c>
      <c r="BC3208" t="str">
        <f ca="1">IF((OFFSET($A$1, 3208 - 1, 53 - 1)) &gt;= (OFFSET($A$1, 69 - 1, 7 - 1)), "1","0")</f>
        <v>0</v>
      </c>
      <c r="BD3208">
        <f ca="1" xml:space="preserve"> IF( AND( OFFSET($A$1, 3208 - 1, 54 - 1) = "1", OFFSET($A$1, 3208 - 1, 55 - 1) = "1" ), 1, IF( AND( OFFSET($A$1, 3208 - 1, 54 - 1) = "1", OFFSET($A$1, 3208 - 1, 55 - 1) = "0" ), 2, IF( AND( OFFSET($A$1, 3208 - 1, 54 - 1) = "0", OFFSET($A$1, 3208 - 1, 55 - 1) = "1" ), 3, 4 ) ) )</f>
        <v>4</v>
      </c>
    </row>
    <row r="3209" spans="53:56" x14ac:dyDescent="0.35">
      <c r="BA3209" s="3">
        <v>0.28955925210072753</v>
      </c>
      <c r="BB3209" s="3" t="str">
        <f>"0"</f>
        <v>0</v>
      </c>
      <c r="BC3209" t="str">
        <f ca="1">IF((OFFSET($A$1, 3209 - 1, 53 - 1)) &gt;= (OFFSET($A$1, 69 - 1, 7 - 1)), "1","0")</f>
        <v>0</v>
      </c>
      <c r="BD3209">
        <f ca="1" xml:space="preserve"> IF( AND( OFFSET($A$1, 3209 - 1, 54 - 1) = "1", OFFSET($A$1, 3209 - 1, 55 - 1) = "1" ), 1, IF( AND( OFFSET($A$1, 3209 - 1, 54 - 1) = "1", OFFSET($A$1, 3209 - 1, 55 - 1) = "0" ), 2, IF( AND( OFFSET($A$1, 3209 - 1, 54 - 1) = "0", OFFSET($A$1, 3209 - 1, 55 - 1) = "1" ), 3, 4 ) ) )</f>
        <v>4</v>
      </c>
    </row>
    <row r="3210" spans="53:56" x14ac:dyDescent="0.35">
      <c r="BA3210" s="3">
        <v>0.28840556599083861</v>
      </c>
      <c r="BB3210" s="3" t="str">
        <f>"0"</f>
        <v>0</v>
      </c>
      <c r="BC3210" t="str">
        <f ca="1">IF((OFFSET($A$1, 3210 - 1, 53 - 1)) &gt;= (OFFSET($A$1, 69 - 1, 7 - 1)), "1","0")</f>
        <v>0</v>
      </c>
      <c r="BD3210">
        <f ca="1" xml:space="preserve"> IF( AND( OFFSET($A$1, 3210 - 1, 54 - 1) = "1", OFFSET($A$1, 3210 - 1, 55 - 1) = "1" ), 1, IF( AND( OFFSET($A$1, 3210 - 1, 54 - 1) = "1", OFFSET($A$1, 3210 - 1, 55 - 1) = "0" ), 2, IF( AND( OFFSET($A$1, 3210 - 1, 54 - 1) = "0", OFFSET($A$1, 3210 - 1, 55 - 1) = "1" ), 3, 4 ) ) )</f>
        <v>4</v>
      </c>
    </row>
    <row r="3211" spans="53:56" x14ac:dyDescent="0.35">
      <c r="BA3211" s="3">
        <v>0.28724567401917939</v>
      </c>
      <c r="BB3211" s="3" t="str">
        <f>"0"</f>
        <v>0</v>
      </c>
      <c r="BC3211" t="str">
        <f ca="1">IF((OFFSET($A$1, 3211 - 1, 53 - 1)) &gt;= (OFFSET($A$1, 69 - 1, 7 - 1)), "1","0")</f>
        <v>0</v>
      </c>
      <c r="BD3211">
        <f ca="1" xml:space="preserve"> IF( AND( OFFSET($A$1, 3211 - 1, 54 - 1) = "1", OFFSET($A$1, 3211 - 1, 55 - 1) = "1" ), 1, IF( AND( OFFSET($A$1, 3211 - 1, 54 - 1) = "1", OFFSET($A$1, 3211 - 1, 55 - 1) = "0" ), 2, IF( AND( OFFSET($A$1, 3211 - 1, 54 - 1) = "0", OFFSET($A$1, 3211 - 1, 55 - 1) = "1" ), 3, 4 ) ) )</f>
        <v>4</v>
      </c>
    </row>
    <row r="3212" spans="53:56" x14ac:dyDescent="0.35">
      <c r="BA3212" s="3">
        <v>0.28607999121354177</v>
      </c>
      <c r="BB3212" s="3" t="str">
        <f>"0"</f>
        <v>0</v>
      </c>
      <c r="BC3212" t="str">
        <f ca="1">IF((OFFSET($A$1, 3212 - 1, 53 - 1)) &gt;= (OFFSET($A$1, 69 - 1, 7 - 1)), "1","0")</f>
        <v>0</v>
      </c>
      <c r="BD3212">
        <f ca="1" xml:space="preserve"> IF( AND( OFFSET($A$1, 3212 - 1, 54 - 1) = "1", OFFSET($A$1, 3212 - 1, 55 - 1) = "1" ), 1, IF( AND( OFFSET($A$1, 3212 - 1, 54 - 1) = "1", OFFSET($A$1, 3212 - 1, 55 - 1) = "0" ), 2, IF( AND( OFFSET($A$1, 3212 - 1, 54 - 1) = "0", OFFSET($A$1, 3212 - 1, 55 - 1) = "1" ), 3, 4 ) ) )</f>
        <v>4</v>
      </c>
    </row>
    <row r="3213" spans="53:56" x14ac:dyDescent="0.35">
      <c r="BA3213" s="3">
        <v>0.28490893253011318</v>
      </c>
      <c r="BB3213" s="3" t="str">
        <f>"0"</f>
        <v>0</v>
      </c>
      <c r="BC3213" t="str">
        <f ca="1">IF((OFFSET($A$1, 3213 - 1, 53 - 1)) &gt;= (OFFSET($A$1, 69 - 1, 7 - 1)), "1","0")</f>
        <v>0</v>
      </c>
      <c r="BD3213">
        <f ca="1" xml:space="preserve"> IF( AND( OFFSET($A$1, 3213 - 1, 54 - 1) = "1", OFFSET($A$1, 3213 - 1, 55 - 1) = "1" ), 1, IF( AND( OFFSET($A$1, 3213 - 1, 54 - 1) = "1", OFFSET($A$1, 3213 - 1, 55 - 1) = "0" ), 2, IF( AND( OFFSET($A$1, 3213 - 1, 54 - 1) = "0", OFFSET($A$1, 3213 - 1, 55 - 1) = "1" ), 3, 4 ) ) )</f>
        <v>4</v>
      </c>
    </row>
    <row r="3214" spans="53:56" x14ac:dyDescent="0.35">
      <c r="BA3214" s="3">
        <v>0.28373291263230926</v>
      </c>
      <c r="BB3214" s="3" t="str">
        <f>"0"</f>
        <v>0</v>
      </c>
      <c r="BC3214" t="str">
        <f ca="1">IF((OFFSET($A$1, 3214 - 1, 53 - 1)) &gt;= (OFFSET($A$1, 69 - 1, 7 - 1)), "1","0")</f>
        <v>0</v>
      </c>
      <c r="BD3214">
        <f ca="1" xml:space="preserve"> IF( AND( OFFSET($A$1, 3214 - 1, 54 - 1) = "1", OFFSET($A$1, 3214 - 1, 55 - 1) = "1" ), 1, IF( AND( OFFSET($A$1, 3214 - 1, 54 - 1) = "1", OFFSET($A$1, 3214 - 1, 55 - 1) = "0" ), 2, IF( AND( OFFSET($A$1, 3214 - 1, 54 - 1) = "0", OFFSET($A$1, 3214 - 1, 55 - 1) = "1" ), 3, 4 ) ) )</f>
        <v>4</v>
      </c>
    </row>
    <row r="3215" spans="53:56" x14ac:dyDescent="0.35">
      <c r="BA3215" s="3">
        <v>0.28255234567149146</v>
      </c>
      <c r="BB3215" s="3" t="str">
        <f>"0"</f>
        <v>0</v>
      </c>
      <c r="BC3215" t="str">
        <f ca="1">IF((OFFSET($A$1, 3215 - 1, 53 - 1)) &gt;= (OFFSET($A$1, 69 - 1, 7 - 1)), "1","0")</f>
        <v>0</v>
      </c>
      <c r="BD3215">
        <f ca="1" xml:space="preserve"> IF( AND( OFFSET($A$1, 3215 - 1, 54 - 1) = "1", OFFSET($A$1, 3215 - 1, 55 - 1) = "1" ), 1, IF( AND( OFFSET($A$1, 3215 - 1, 54 - 1) = "1", OFFSET($A$1, 3215 - 1, 55 - 1) = "0" ), 2, IF( AND( OFFSET($A$1, 3215 - 1, 54 - 1) = "0", OFFSET($A$1, 3215 - 1, 55 - 1) = "1" ), 3, 4 ) ) )</f>
        <v>4</v>
      </c>
    </row>
    <row r="3216" spans="53:56" x14ac:dyDescent="0.35">
      <c r="BA3216" s="3">
        <v>0.28136764506980572</v>
      </c>
      <c r="BB3216" s="3" t="str">
        <f>"0"</f>
        <v>0</v>
      </c>
      <c r="BC3216" t="str">
        <f ca="1">IF((OFFSET($A$1, 3216 - 1, 53 - 1)) &gt;= (OFFSET($A$1, 69 - 1, 7 - 1)), "1","0")</f>
        <v>0</v>
      </c>
      <c r="BD3216">
        <f ca="1" xml:space="preserve"> IF( AND( OFFSET($A$1, 3216 - 1, 54 - 1) = "1", OFFSET($A$1, 3216 - 1, 55 - 1) = "1" ), 1, IF( AND( OFFSET($A$1, 3216 - 1, 54 - 1) = "1", OFFSET($A$1, 3216 - 1, 55 - 1) = "0" ), 2, IF( AND( OFFSET($A$1, 3216 - 1, 54 - 1) = "0", OFFSET($A$1, 3216 - 1, 55 - 1) = "1" ), 3, 4 ) ) )</f>
        <v>4</v>
      </c>
    </row>
    <row r="3217" spans="53:56" x14ac:dyDescent="0.35">
      <c r="BA3217" s="3">
        <v>0.28017922330539685</v>
      </c>
      <c r="BB3217" s="3" t="str">
        <f>"0"</f>
        <v>0</v>
      </c>
      <c r="BC3217" t="str">
        <f ca="1">IF((OFFSET($A$1, 3217 - 1, 53 - 1)) &gt;= (OFFSET($A$1, 69 - 1, 7 - 1)), "1","0")</f>
        <v>0</v>
      </c>
      <c r="BD3217">
        <f ca="1" xml:space="preserve"> IF( AND( OFFSET($A$1, 3217 - 1, 54 - 1) = "1", OFFSET($A$1, 3217 - 1, 55 - 1) = "1" ), 1, IF( AND( OFFSET($A$1, 3217 - 1, 54 - 1) = "1", OFFSET($A$1, 3217 - 1, 55 - 1) = "0" ), 2, IF( AND( OFFSET($A$1, 3217 - 1, 54 - 1) = "0", OFFSET($A$1, 3217 - 1, 55 - 1) = "1" ), 3, 4 ) ) )</f>
        <v>4</v>
      </c>
    </row>
    <row r="3218" spans="53:56" x14ac:dyDescent="0.35">
      <c r="BA3218" s="3">
        <v>0.27898749170023718</v>
      </c>
      <c r="BB3218" s="3" t="str">
        <f>"1"</f>
        <v>1</v>
      </c>
      <c r="BC3218" t="str">
        <f ca="1">IF((OFFSET($A$1, 3218 - 1, 53 - 1)) &gt;= (OFFSET($A$1, 69 - 1, 7 - 1)), "1","0")</f>
        <v>0</v>
      </c>
      <c r="BD3218">
        <f ca="1" xml:space="preserve"> IF( AND( OFFSET($A$1, 3218 - 1, 54 - 1) = "1", OFFSET($A$1, 3218 - 1, 55 - 1) = "1" ), 1, IF( AND( OFFSET($A$1, 3218 - 1, 54 - 1) = "1", OFFSET($A$1, 3218 - 1, 55 - 1) = "0" ), 2, IF( AND( OFFSET($A$1, 3218 - 1, 54 - 1) = "0", OFFSET($A$1, 3218 - 1, 55 - 1) = "1" ), 3, 4 ) ) )</f>
        <v>2</v>
      </c>
    </row>
    <row r="3219" spans="53:56" x14ac:dyDescent="0.35">
      <c r="BA3219" s="3">
        <v>0.54559792445099742</v>
      </c>
      <c r="BB3219" s="3" t="str">
        <f>"0"</f>
        <v>0</v>
      </c>
      <c r="BC3219" t="str">
        <f ca="1">IF((OFFSET($A$1, 3219 - 1, 53 - 1)) &gt;= (OFFSET($A$1, 69 - 1, 7 - 1)), "1","0")</f>
        <v>1</v>
      </c>
      <c r="BD3219">
        <f ca="1" xml:space="preserve"> IF( AND( OFFSET($A$1, 3219 - 1, 54 - 1) = "1", OFFSET($A$1, 3219 - 1, 55 - 1) = "1" ), 1, IF( AND( OFFSET($A$1, 3219 - 1, 54 - 1) = "1", OFFSET($A$1, 3219 - 1, 55 - 1) = "0" ), 2, IF( AND( OFFSET($A$1, 3219 - 1, 54 - 1) = "0", OFFSET($A$1, 3219 - 1, 55 - 1) = "1" ), 3, 4 ) ) )</f>
        <v>3</v>
      </c>
    </row>
    <row r="3220" spans="53:56" x14ac:dyDescent="0.35">
      <c r="BA3220" s="3">
        <v>0.27659573722186576</v>
      </c>
      <c r="BB3220" s="3" t="str">
        <f>"0"</f>
        <v>0</v>
      </c>
      <c r="BC3220" t="str">
        <f ca="1">IF((OFFSET($A$1, 3220 - 1, 53 - 1)) &gt;= (OFFSET($A$1, 69 - 1, 7 - 1)), "1","0")</f>
        <v>0</v>
      </c>
      <c r="BD3220">
        <f ca="1" xml:space="preserve"> IF( AND( OFFSET($A$1, 3220 - 1, 54 - 1) = "1", OFFSET($A$1, 3220 - 1, 55 - 1) = "1" ), 1, IF( AND( OFFSET($A$1, 3220 - 1, 54 - 1) = "1", OFFSET($A$1, 3220 - 1, 55 - 1) = "0" ), 2, IF( AND( OFFSET($A$1, 3220 - 1, 54 - 1) = "0", OFFSET($A$1, 3220 - 1, 55 - 1) = "1" ), 3, 4 ) ) )</f>
        <v>4</v>
      </c>
    </row>
    <row r="3221" spans="53:56" x14ac:dyDescent="0.35">
      <c r="BA3221" s="3">
        <v>0.27539652934354475</v>
      </c>
      <c r="BB3221" s="3" t="str">
        <f>"0"</f>
        <v>0</v>
      </c>
      <c r="BC3221" t="str">
        <f ca="1">IF((OFFSET($A$1, 3221 - 1, 53 - 1)) &gt;= (OFFSET($A$1, 69 - 1, 7 - 1)), "1","0")</f>
        <v>0</v>
      </c>
      <c r="BD3221">
        <f ca="1" xml:space="preserve"> IF( AND( OFFSET($A$1, 3221 - 1, 54 - 1) = "1", OFFSET($A$1, 3221 - 1, 55 - 1) = "1" ), 1, IF( AND( OFFSET($A$1, 3221 - 1, 54 - 1) = "1", OFFSET($A$1, 3221 - 1, 55 - 1) = "0" ), 2, IF( AND( OFFSET($A$1, 3221 - 1, 54 - 1) = "0", OFFSET($A$1, 3221 - 1, 55 - 1) = "1" ), 3, 4 ) ) )</f>
        <v>4</v>
      </c>
    </row>
    <row r="3222" spans="53:56" x14ac:dyDescent="0.35">
      <c r="BA3222" s="3">
        <v>0.27419564121197565</v>
      </c>
      <c r="BB3222" s="3" t="str">
        <f>"0"</f>
        <v>0</v>
      </c>
      <c r="BC3222" t="str">
        <f ca="1">IF((OFFSET($A$1, 3222 - 1, 53 - 1)) &gt;= (OFFSET($A$1, 69 - 1, 7 - 1)), "1","0")</f>
        <v>0</v>
      </c>
      <c r="BD3222">
        <f ca="1" xml:space="preserve"> IF( AND( OFFSET($A$1, 3222 - 1, 54 - 1) = "1", OFFSET($A$1, 3222 - 1, 55 - 1) = "1" ), 1, IF( AND( OFFSET($A$1, 3222 - 1, 54 - 1) = "1", OFFSET($A$1, 3222 - 1, 55 - 1) = "0" ), 2, IF( AND( OFFSET($A$1, 3222 - 1, 54 - 1) = "0", OFFSET($A$1, 3222 - 1, 55 - 1) = "1" ), 3, 4 ) ) )</f>
        <v>4</v>
      </c>
    </row>
    <row r="3223" spans="53:56" x14ac:dyDescent="0.35">
      <c r="BA3223" s="3">
        <v>0.27299347529368911</v>
      </c>
      <c r="BB3223" s="3" t="str">
        <f>"0"</f>
        <v>0</v>
      </c>
      <c r="BC3223" t="str">
        <f ca="1">IF((OFFSET($A$1, 3223 - 1, 53 - 1)) &gt;= (OFFSET($A$1, 69 - 1, 7 - 1)), "1","0")</f>
        <v>0</v>
      </c>
      <c r="BD3223">
        <f ca="1" xml:space="preserve"> IF( AND( OFFSET($A$1, 3223 - 1, 54 - 1) = "1", OFFSET($A$1, 3223 - 1, 55 - 1) = "1" ), 1, IF( AND( OFFSET($A$1, 3223 - 1, 54 - 1) = "1", OFFSET($A$1, 3223 - 1, 55 - 1) = "0" ), 2, IF( AND( OFFSET($A$1, 3223 - 1, 54 - 1) = "0", OFFSET($A$1, 3223 - 1, 55 - 1) = "1" ), 3, 4 ) ) )</f>
        <v>4</v>
      </c>
    </row>
    <row r="3224" spans="53:56" x14ac:dyDescent="0.35">
      <c r="BA3224" s="3">
        <v>0.27179043169398637</v>
      </c>
      <c r="BB3224" s="3" t="str">
        <f>"1"</f>
        <v>1</v>
      </c>
      <c r="BC3224" t="str">
        <f ca="1">IF((OFFSET($A$1, 3224 - 1, 53 - 1)) &gt;= (OFFSET($A$1, 69 - 1, 7 - 1)), "1","0")</f>
        <v>0</v>
      </c>
      <c r="BD3224">
        <f ca="1" xml:space="preserve"> IF( AND( OFFSET($A$1, 3224 - 1, 54 - 1) = "1", OFFSET($A$1, 3224 - 1, 55 - 1) = "1" ), 1, IF( AND( OFFSET($A$1, 3224 - 1, 54 - 1) = "1", OFFSET($A$1, 3224 - 1, 55 - 1) = "0" ), 2, IF( AND( OFFSET($A$1, 3224 - 1, 54 - 1) = "0", OFFSET($A$1, 3224 - 1, 55 - 1) = "1" ), 3, 4 ) ) )</f>
        <v>2</v>
      </c>
    </row>
    <row r="3225" spans="53:56" x14ac:dyDescent="0.35">
      <c r="BA3225" s="3">
        <v>0.53660669226245794</v>
      </c>
      <c r="BB3225" s="3" t="str">
        <f>"0"</f>
        <v>0</v>
      </c>
      <c r="BC3225" t="str">
        <f ca="1">IF((OFFSET($A$1, 3225 - 1, 53 - 1)) &gt;= (OFFSET($A$1, 69 - 1, 7 - 1)), "1","0")</f>
        <v>1</v>
      </c>
      <c r="BD3225">
        <f ca="1" xml:space="preserve"> IF( AND( OFFSET($A$1, 3225 - 1, 54 - 1) = "1", OFFSET($A$1, 3225 - 1, 55 - 1) = "1" ), 1, IF( AND( OFFSET($A$1, 3225 - 1, 54 - 1) = "1", OFFSET($A$1, 3225 - 1, 55 - 1) = "0" ), 2, IF( AND( OFFSET($A$1, 3225 - 1, 54 - 1) = "0", OFFSET($A$1, 3225 - 1, 55 - 1) = "1" ), 3, 4 ) ) )</f>
        <v>3</v>
      </c>
    </row>
    <row r="3226" spans="53:56" x14ac:dyDescent="0.35">
      <c r="BA3226" s="3">
        <v>0.2693832989450784</v>
      </c>
      <c r="BB3226" s="3" t="str">
        <f>"0"</f>
        <v>0</v>
      </c>
      <c r="BC3226" t="str">
        <f ca="1">IF((OFFSET($A$1, 3226 - 1, 53 - 1)) &gt;= (OFFSET($A$1, 69 - 1, 7 - 1)), "1","0")</f>
        <v>0</v>
      </c>
      <c r="BD3226">
        <f ca="1" xml:space="preserve"> IF( AND( OFFSET($A$1, 3226 - 1, 54 - 1) = "1", OFFSET($A$1, 3226 - 1, 55 - 1) = "1" ), 1, IF( AND( OFFSET($A$1, 3226 - 1, 54 - 1) = "1", OFFSET($A$1, 3226 - 1, 55 - 1) = "0" ), 2, IF( AND( OFFSET($A$1, 3226 - 1, 54 - 1) = "0", OFFSET($A$1, 3226 - 1, 55 - 1) = "1" ), 3, 4 ) ) )</f>
        <v>4</v>
      </c>
    </row>
    <row r="3227" spans="53:56" x14ac:dyDescent="0.35">
      <c r="BA3227" s="3">
        <v>0.26817999653538932</v>
      </c>
      <c r="BB3227" s="3" t="str">
        <f>"1"</f>
        <v>1</v>
      </c>
      <c r="BC3227" t="str">
        <f ca="1">IF((OFFSET($A$1, 3227 - 1, 53 - 1)) &gt;= (OFFSET($A$1, 69 - 1, 7 - 1)), "1","0")</f>
        <v>0</v>
      </c>
      <c r="BD3227">
        <f ca="1" xml:space="preserve"> IF( AND( OFFSET($A$1, 3227 - 1, 54 - 1) = "1", OFFSET($A$1, 3227 - 1, 55 - 1) = "1" ), 1, IF( AND( OFFSET($A$1, 3227 - 1, 54 - 1) = "1", OFFSET($A$1, 3227 - 1, 55 - 1) = "0" ), 2, IF( AND( OFFSET($A$1, 3227 - 1, 54 - 1) = "0", OFFSET($A$1, 3227 - 1, 55 - 1) = "1" ), 3, 4 ) ) )</f>
        <v>2</v>
      </c>
    </row>
    <row r="3228" spans="53:56" x14ac:dyDescent="0.35">
      <c r="BA3228" s="3">
        <v>0.53203693883855518</v>
      </c>
      <c r="BB3228" s="3" t="str">
        <f>"1"</f>
        <v>1</v>
      </c>
      <c r="BC3228" t="str">
        <f ca="1">IF((OFFSET($A$1, 3228 - 1, 53 - 1)) &gt;= (OFFSET($A$1, 69 - 1, 7 - 1)), "1","0")</f>
        <v>1</v>
      </c>
      <c r="BD3228">
        <f ca="1" xml:space="preserve"> IF( AND( OFFSET($A$1, 3228 - 1, 54 - 1) = "1", OFFSET($A$1, 3228 - 1, 55 - 1) = "1" ), 1, IF( AND( OFFSET($A$1, 3228 - 1, 54 - 1) = "1", OFFSET($A$1, 3228 - 1, 55 - 1) = "0" ), 2, IF( AND( OFFSET($A$1, 3228 - 1, 54 - 1) = "0", OFFSET($A$1, 3228 - 1, 55 - 1) = "1" ), 3, 4 ) ) )</f>
        <v>1</v>
      </c>
    </row>
    <row r="3229" spans="53:56" x14ac:dyDescent="0.35">
      <c r="BA3229" s="3">
        <v>0.53050584436564951</v>
      </c>
      <c r="BB3229" s="3" t="str">
        <f>"0"</f>
        <v>0</v>
      </c>
      <c r="BC3229" t="str">
        <f ca="1">IF((OFFSET($A$1, 3229 - 1, 53 - 1)) &gt;= (OFFSET($A$1, 69 - 1, 7 - 1)), "1","0")</f>
        <v>1</v>
      </c>
      <c r="BD3229">
        <f ca="1" xml:space="preserve"> IF( AND( OFFSET($A$1, 3229 - 1, 54 - 1) = "1", OFFSET($A$1, 3229 - 1, 55 - 1) = "1" ), 1, IF( AND( OFFSET($A$1, 3229 - 1, 54 - 1) = "1", OFFSET($A$1, 3229 - 1, 55 - 1) = "0" ), 2, IF( AND( OFFSET($A$1, 3229 - 1, 54 - 1) = "0", OFFSET($A$1, 3229 - 1, 55 - 1) = "1" ), 3, 4 ) ) )</f>
        <v>3</v>
      </c>
    </row>
    <row r="3230" spans="53:56" x14ac:dyDescent="0.35">
      <c r="BA3230" s="3">
        <v>0.26457580087340749</v>
      </c>
      <c r="BB3230" s="3" t="str">
        <f>"1"</f>
        <v>1</v>
      </c>
      <c r="BC3230" t="str">
        <f ca="1">IF((OFFSET($A$1, 3230 - 1, 53 - 1)) &gt;= (OFFSET($A$1, 69 - 1, 7 - 1)), "1","0")</f>
        <v>0</v>
      </c>
      <c r="BD3230">
        <f ca="1" xml:space="preserve"> IF( AND( OFFSET($A$1, 3230 - 1, 54 - 1) = "1", OFFSET($A$1, 3230 - 1, 55 - 1) = "1" ), 1, IF( AND( OFFSET($A$1, 3230 - 1, 54 - 1) = "1", OFFSET($A$1, 3230 - 1, 55 - 1) = "0" ), 2, IF( AND( OFFSET($A$1, 3230 - 1, 54 - 1) = "0", OFFSET($A$1, 3230 - 1, 55 - 1) = "1" ), 3, 4 ) ) )</f>
        <v>2</v>
      </c>
    </row>
    <row r="3231" spans="53:56" x14ac:dyDescent="0.35">
      <c r="BA3231" s="3">
        <v>0.52743475792563144</v>
      </c>
      <c r="BB3231" s="3" t="str">
        <f>"1"</f>
        <v>1</v>
      </c>
      <c r="BC3231" t="str">
        <f ca="1">IF((OFFSET($A$1, 3231 - 1, 53 - 1)) &gt;= (OFFSET($A$1, 69 - 1, 7 - 1)), "1","0")</f>
        <v>1</v>
      </c>
      <c r="BD3231">
        <f ca="1" xml:space="preserve"> IF( AND( OFFSET($A$1, 3231 - 1, 54 - 1) = "1", OFFSET($A$1, 3231 - 1, 55 - 1) = "1" ), 1, IF( AND( OFFSET($A$1, 3231 - 1, 54 - 1) = "1", OFFSET($A$1, 3231 - 1, 55 - 1) = "0" ), 2, IF( AND( OFFSET($A$1, 3231 - 1, 54 - 1) = "0", OFFSET($A$1, 3231 - 1, 55 - 1) = "1" ), 3, 4 ) ) )</f>
        <v>1</v>
      </c>
    </row>
    <row r="3232" spans="53:56" x14ac:dyDescent="0.35">
      <c r="BA3232" s="3">
        <v>0.52589572795240436</v>
      </c>
      <c r="BB3232" s="3" t="str">
        <f>"0"</f>
        <v>0</v>
      </c>
      <c r="BC3232" t="str">
        <f ca="1">IF((OFFSET($A$1, 3232 - 1, 53 - 1)) &gt;= (OFFSET($A$1, 69 - 1, 7 - 1)), "1","0")</f>
        <v>1</v>
      </c>
      <c r="BD3232">
        <f ca="1" xml:space="preserve"> IF( AND( OFFSET($A$1, 3232 - 1, 54 - 1) = "1", OFFSET($A$1, 3232 - 1, 55 - 1) = "1" ), 1, IF( AND( OFFSET($A$1, 3232 - 1, 54 - 1) = "1", OFFSET($A$1, 3232 - 1, 55 - 1) = "0" ), 2, IF( AND( OFFSET($A$1, 3232 - 1, 54 - 1) = "0", OFFSET($A$1, 3232 - 1, 55 - 1) = "1" ), 3, 4 ) ) )</f>
        <v>3</v>
      </c>
    </row>
    <row r="3233" spans="53:56" x14ac:dyDescent="0.35">
      <c r="BA3233" s="3">
        <v>0.26098815878573156</v>
      </c>
      <c r="BB3233" s="3" t="str">
        <f>"0"</f>
        <v>0</v>
      </c>
      <c r="BC3233" t="str">
        <f ca="1">IF((OFFSET($A$1, 3233 - 1, 53 - 1)) &gt;= (OFFSET($A$1, 69 - 1, 7 - 1)), "1","0")</f>
        <v>0</v>
      </c>
      <c r="BD3233">
        <f ca="1" xml:space="preserve"> IF( AND( OFFSET($A$1, 3233 - 1, 54 - 1) = "1", OFFSET($A$1, 3233 - 1, 55 - 1) = "1" ), 1, IF( AND( OFFSET($A$1, 3233 - 1, 54 - 1) = "1", OFFSET($A$1, 3233 - 1, 55 - 1) = "0" ), 2, IF( AND( OFFSET($A$1, 3233 - 1, 54 - 1) = "0", OFFSET($A$1, 3233 - 1, 55 - 1) = "1" ), 3, 4 ) ) )</f>
        <v>4</v>
      </c>
    </row>
    <row r="3234" spans="53:56" x14ac:dyDescent="0.35">
      <c r="BA3234" s="3">
        <v>0.25979769661696178</v>
      </c>
      <c r="BB3234" s="3" t="str">
        <f>"0"</f>
        <v>0</v>
      </c>
      <c r="BC3234" t="str">
        <f ca="1">IF((OFFSET($A$1, 3234 - 1, 53 - 1)) &gt;= (OFFSET($A$1, 69 - 1, 7 - 1)), "1","0")</f>
        <v>0</v>
      </c>
      <c r="BD3234">
        <f ca="1" xml:space="preserve"> IF( AND( OFFSET($A$1, 3234 - 1, 54 - 1) = "1", OFFSET($A$1, 3234 - 1, 55 - 1) = "1" ), 1, IF( AND( OFFSET($A$1, 3234 - 1, 54 - 1) = "1", OFFSET($A$1, 3234 - 1, 55 - 1) = "0" ), 2, IF( AND( OFFSET($A$1, 3234 - 1, 54 - 1) = "0", OFFSET($A$1, 3234 - 1, 55 - 1) = "1" ), 3, 4 ) ) )</f>
        <v>4</v>
      </c>
    </row>
    <row r="3235" spans="53:56" x14ac:dyDescent="0.35">
      <c r="BA3235" s="3">
        <v>0.25861055183579262</v>
      </c>
      <c r="BB3235" s="3" t="str">
        <f>"1"</f>
        <v>1</v>
      </c>
      <c r="BC3235" t="str">
        <f ca="1">IF((OFFSET($A$1, 3235 - 1, 53 - 1)) &gt;= (OFFSET($A$1, 69 - 1, 7 - 1)), "1","0")</f>
        <v>0</v>
      </c>
      <c r="BD3235">
        <f ca="1" xml:space="preserve"> IF( AND( OFFSET($A$1, 3235 - 1, 54 - 1) = "1", OFFSET($A$1, 3235 - 1, 55 - 1) = "1" ), 1, IF( AND( OFFSET($A$1, 3235 - 1, 54 - 1) = "1", OFFSET($A$1, 3235 - 1, 55 - 1) = "0" ), 2, IF( AND( OFFSET($A$1, 3235 - 1, 54 - 1) = "0", OFFSET($A$1, 3235 - 1, 55 - 1) = "1" ), 3, 4 ) ) )</f>
        <v>2</v>
      </c>
    </row>
    <row r="3236" spans="53:56" x14ac:dyDescent="0.35">
      <c r="BA3236" s="3">
        <v>0.5197276460979785</v>
      </c>
      <c r="BB3236" s="3" t="str">
        <f>"0"</f>
        <v>0</v>
      </c>
      <c r="BC3236" t="str">
        <f ca="1">IF((OFFSET($A$1, 3236 - 1, 53 - 1)) &gt;= (OFFSET($A$1, 69 - 1, 7 - 1)), "1","0")</f>
        <v>1</v>
      </c>
      <c r="BD3236">
        <f ca="1" xml:space="preserve"> IF( AND( OFFSET($A$1, 3236 - 1, 54 - 1) = "1", OFFSET($A$1, 3236 - 1, 55 - 1) = "1" ), 1, IF( AND( OFFSET($A$1, 3236 - 1, 54 - 1) = "1", OFFSET($A$1, 3236 - 1, 55 - 1) = "0" ), 2, IF( AND( OFFSET($A$1, 3236 - 1, 54 - 1) = "0", OFFSET($A$1, 3236 - 1, 55 - 1) = "1" ), 3, 4 ) ) )</f>
        <v>3</v>
      </c>
    </row>
    <row r="3237" spans="53:56" x14ac:dyDescent="0.35">
      <c r="BA3237" s="3">
        <v>0.25624764413636131</v>
      </c>
      <c r="BB3237" s="3" t="str">
        <f>"0"</f>
        <v>0</v>
      </c>
      <c r="BC3237" t="str">
        <f ca="1">IF((OFFSET($A$1, 3237 - 1, 53 - 1)) &gt;= (OFFSET($A$1, 69 - 1, 7 - 1)), "1","0")</f>
        <v>0</v>
      </c>
      <c r="BD3237">
        <f ca="1" xml:space="preserve"> IF( AND( OFFSET($A$1, 3237 - 1, 54 - 1) = "1", OFFSET($A$1, 3237 - 1, 55 - 1) = "1" ), 1, IF( AND( OFFSET($A$1, 3237 - 1, 54 - 1) = "1", OFFSET($A$1, 3237 - 1, 55 - 1) = "0" ), 2, IF( AND( OFFSET($A$1, 3237 - 1, 54 - 1) = "0", OFFSET($A$1, 3237 - 1, 55 - 1) = "1" ), 3, 4 ) ) )</f>
        <v>4</v>
      </c>
    </row>
    <row r="3238" spans="53:56" x14ac:dyDescent="0.35">
      <c r="BA3238" s="3">
        <v>0.25507258492892715</v>
      </c>
      <c r="BB3238" s="3" t="str">
        <f>"0"</f>
        <v>0</v>
      </c>
      <c r="BC3238" t="str">
        <f ca="1">IF((OFFSET($A$1, 3238 - 1, 53 - 1)) &gt;= (OFFSET($A$1, 69 - 1, 7 - 1)), "1","0")</f>
        <v>0</v>
      </c>
      <c r="BD3238">
        <f ca="1" xml:space="preserve"> IF( AND( OFFSET($A$1, 3238 - 1, 54 - 1) = "1", OFFSET($A$1, 3238 - 1, 55 - 1) = "1" ), 1, IF( AND( OFFSET($A$1, 3238 - 1, 54 - 1) = "1", OFFSET($A$1, 3238 - 1, 55 - 1) = "0" ), 2, IF( AND( OFFSET($A$1, 3238 - 1, 54 - 1) = "0", OFFSET($A$1, 3238 - 1, 55 - 1) = "1" ), 3, 4 ) ) )</f>
        <v>4</v>
      </c>
    </row>
    <row r="3239" spans="53:56" x14ac:dyDescent="0.35">
      <c r="BA3239" s="3">
        <v>0.25390225030026575</v>
      </c>
      <c r="BB3239" s="3" t="str">
        <f>"0"</f>
        <v>0</v>
      </c>
      <c r="BC3239" t="str">
        <f ca="1">IF((OFFSET($A$1, 3239 - 1, 53 - 1)) &gt;= (OFFSET($A$1, 69 - 1, 7 - 1)), "1","0")</f>
        <v>0</v>
      </c>
      <c r="BD3239">
        <f ca="1" xml:space="preserve"> IF( AND( OFFSET($A$1, 3239 - 1, 54 - 1) = "1", OFFSET($A$1, 3239 - 1, 55 - 1) = "1" ), 1, IF( AND( OFFSET($A$1, 3239 - 1, 54 - 1) = "1", OFFSET($A$1, 3239 - 1, 55 - 1) = "0" ), 2, IF( AND( OFFSET($A$1, 3239 - 1, 54 - 1) = "0", OFFSET($A$1, 3239 - 1, 55 - 1) = "1" ), 3, 4 ) ) )</f>
        <v>4</v>
      </c>
    </row>
    <row r="3240" spans="53:56" x14ac:dyDescent="0.35">
      <c r="BA3240" s="3">
        <v>0.25273698045872495</v>
      </c>
      <c r="BB3240" s="3" t="str">
        <f>"0"</f>
        <v>0</v>
      </c>
      <c r="BC3240" t="str">
        <f ca="1">IF((OFFSET($A$1, 3240 - 1, 53 - 1)) &gt;= (OFFSET($A$1, 69 - 1, 7 - 1)), "1","0")</f>
        <v>0</v>
      </c>
      <c r="BD3240">
        <f ca="1" xml:space="preserve"> IF( AND( OFFSET($A$1, 3240 - 1, 54 - 1) = "1", OFFSET($A$1, 3240 - 1, 55 - 1) = "1" ), 1, IF( AND( OFFSET($A$1, 3240 - 1, 54 - 1) = "1", OFFSET($A$1, 3240 - 1, 55 - 1) = "0" ), 2, IF( AND( OFFSET($A$1, 3240 - 1, 54 - 1) = "0", OFFSET($A$1, 3240 - 1, 55 - 1) = "1" ), 3, 4 ) ) )</f>
        <v>4</v>
      </c>
    </row>
    <row r="3241" spans="53:56" x14ac:dyDescent="0.35">
      <c r="BA3241" s="3">
        <v>0.25157711076796219</v>
      </c>
      <c r="BB3241" s="3" t="str">
        <f>"1"</f>
        <v>1</v>
      </c>
      <c r="BC3241" t="str">
        <f ca="1">IF((OFFSET($A$1, 3241 - 1, 53 - 1)) &gt;= (OFFSET($A$1, 69 - 1, 7 - 1)), "1","0")</f>
        <v>0</v>
      </c>
      <c r="BD3241">
        <f ca="1" xml:space="preserve"> IF( AND( OFFSET($A$1, 3241 - 1, 54 - 1) = "1", OFFSET($A$1, 3241 - 1, 55 - 1) = "1" ), 1, IF( AND( OFFSET($A$1, 3241 - 1, 54 - 1) = "1", OFFSET($A$1, 3241 - 1, 55 - 1) = "0" ), 2, IF( AND( OFFSET($A$1, 3241 - 1, 54 - 1) = "0", OFFSET($A$1, 3241 - 1, 55 - 1) = "1" ), 3, 4 ) ) )</f>
        <v>2</v>
      </c>
    </row>
    <row r="3242" spans="53:56" x14ac:dyDescent="0.35">
      <c r="BA3242" s="3">
        <v>0.5104930649145546</v>
      </c>
      <c r="BB3242" s="3" t="str">
        <f>"0"</f>
        <v>0</v>
      </c>
      <c r="BC3242" t="str">
        <f ca="1">IF((OFFSET($A$1, 3242 - 1, 53 - 1)) &gt;= (OFFSET($A$1, 69 - 1, 7 - 1)), "1","0")</f>
        <v>1</v>
      </c>
      <c r="BD3242">
        <f ca="1" xml:space="preserve"> IF( AND( OFFSET($A$1, 3242 - 1, 54 - 1) = "1", OFFSET($A$1, 3242 - 1, 55 - 1) = "1" ), 1, IF( AND( OFFSET($A$1, 3242 - 1, 54 - 1) = "1", OFFSET($A$1, 3242 - 1, 55 - 1) = "0" ), 2, IF( AND( OFFSET($A$1, 3242 - 1, 54 - 1) = "0", OFFSET($A$1, 3242 - 1, 55 - 1) = "1" ), 3, 4 ) ) )</f>
        <v>3</v>
      </c>
    </row>
    <row r="3243" spans="53:56" x14ac:dyDescent="0.35">
      <c r="BA3243" s="3">
        <v>0.24927488851485519</v>
      </c>
      <c r="BB3243" s="3" t="str">
        <f>"0"</f>
        <v>0</v>
      </c>
      <c r="BC3243" t="str">
        <f ca="1">IF((OFFSET($A$1, 3243 - 1, 53 - 1)) &gt;= (OFFSET($A$1, 69 - 1, 7 - 1)), "1","0")</f>
        <v>0</v>
      </c>
      <c r="BD3243">
        <f ca="1" xml:space="preserve"> IF( AND( OFFSET($A$1, 3243 - 1, 54 - 1) = "1", OFFSET($A$1, 3243 - 1, 55 - 1) = "1" ), 1, IF( AND( OFFSET($A$1, 3243 - 1, 54 - 1) = "1", OFFSET($A$1, 3243 - 1, 55 - 1) = "0" ), 2, IF( AND( OFFSET($A$1, 3243 - 1, 54 - 1) = "0", OFFSET($A$1, 3243 - 1, 55 - 1) = "1" ), 3, 4 ) ) )</f>
        <v>4</v>
      </c>
    </row>
    <row r="3244" spans="53:56" x14ac:dyDescent="0.35">
      <c r="BA3244" s="3">
        <v>0.24813318164567516</v>
      </c>
      <c r="BB3244" s="3" t="str">
        <f>"0"</f>
        <v>0</v>
      </c>
      <c r="BC3244" t="str">
        <f ca="1">IF((OFFSET($A$1, 3244 - 1, 53 - 1)) &gt;= (OFFSET($A$1, 69 - 1, 7 - 1)), "1","0")</f>
        <v>0</v>
      </c>
      <c r="BD3244">
        <f ca="1" xml:space="preserve"> IF( AND( OFFSET($A$1, 3244 - 1, 54 - 1) = "1", OFFSET($A$1, 3244 - 1, 55 - 1) = "1" ), 1, IF( AND( OFFSET($A$1, 3244 - 1, 54 - 1) = "1", OFFSET($A$1, 3244 - 1, 55 - 1) = "0" ), 2, IF( AND( OFFSET($A$1, 3244 - 1, 54 - 1) = "0", OFFSET($A$1, 3244 - 1, 55 - 1) = "1" ), 3, 4 ) ) )</f>
        <v>4</v>
      </c>
    </row>
    <row r="3245" spans="53:56" x14ac:dyDescent="0.35">
      <c r="BA3245" s="3">
        <v>0.24699816615786144</v>
      </c>
      <c r="BB3245" s="3" t="str">
        <f>"0"</f>
        <v>0</v>
      </c>
      <c r="BC3245" t="str">
        <f ca="1">IF((OFFSET($A$1, 3245 - 1, 53 - 1)) &gt;= (OFFSET($A$1, 69 - 1, 7 - 1)), "1","0")</f>
        <v>0</v>
      </c>
      <c r="BD3245">
        <f ca="1" xml:space="preserve"> IF( AND( OFFSET($A$1, 3245 - 1, 54 - 1) = "1", OFFSET($A$1, 3245 - 1, 55 - 1) = "1" ), 1, IF( AND( OFFSET($A$1, 3245 - 1, 54 - 1) = "1", OFFSET($A$1, 3245 - 1, 55 - 1) = "0" ), 2, IF( AND( OFFSET($A$1, 3245 - 1, 54 - 1) = "0", OFFSET($A$1, 3245 - 1, 55 - 1) = "1" ), 3, 4 ) ) )</f>
        <v>4</v>
      </c>
    </row>
    <row r="3246" spans="53:56" x14ac:dyDescent="0.35">
      <c r="BA3246" s="3">
        <v>0.24587015191369027</v>
      </c>
      <c r="BB3246" s="3" t="str">
        <f>"1"</f>
        <v>1</v>
      </c>
      <c r="BC3246" t="str">
        <f ca="1">IF((OFFSET($A$1, 3246 - 1, 53 - 1)) &gt;= (OFFSET($A$1, 69 - 1, 7 - 1)), "1","0")</f>
        <v>0</v>
      </c>
      <c r="BD3246">
        <f ca="1" xml:space="preserve"> IF( AND( OFFSET($A$1, 3246 - 1, 54 - 1) = "1", OFFSET($A$1, 3246 - 1, 55 - 1) = "1" ), 1, IF( AND( OFFSET($A$1, 3246 - 1, 54 - 1) = "1", OFFSET($A$1, 3246 - 1, 55 - 1) = "0" ), 2, IF( AND( OFFSET($A$1, 3246 - 1, 54 - 1) = "0", OFFSET($A$1, 3246 - 1, 55 - 1) = "1" ), 3, 4 ) ) )</f>
        <v>2</v>
      </c>
    </row>
    <row r="3247" spans="53:56" x14ac:dyDescent="0.35">
      <c r="BA3247" s="3">
        <v>0.50288036408833459</v>
      </c>
      <c r="BB3247" s="3" t="str">
        <f>"1"</f>
        <v>1</v>
      </c>
      <c r="BC3247" t="str">
        <f ca="1">IF((OFFSET($A$1, 3247 - 1, 53 - 1)) &gt;= (OFFSET($A$1, 69 - 1, 7 - 1)), "1","0")</f>
        <v>1</v>
      </c>
      <c r="BD3247">
        <f ca="1" xml:space="preserve"> IF( AND( OFFSET($A$1, 3247 - 1, 54 - 1) = "1", OFFSET($A$1, 3247 - 1, 55 - 1) = "1" ), 1, IF( AND( OFFSET($A$1, 3247 - 1, 54 - 1) = "1", OFFSET($A$1, 3247 - 1, 55 - 1) = "0" ), 2, IF( AND( OFFSET($A$1, 3247 - 1, 54 - 1) = "0", OFFSET($A$1, 3247 - 1, 55 - 1) = "1" ), 3, 4 ) ) )</f>
        <v>1</v>
      </c>
    </row>
    <row r="3248" spans="53:56" x14ac:dyDescent="0.35">
      <c r="BA3248" s="3">
        <v>0.50137263275712796</v>
      </c>
      <c r="BB3248" s="3" t="str">
        <f>"1"</f>
        <v>1</v>
      </c>
      <c r="BC3248" t="str">
        <f ca="1">IF((OFFSET($A$1, 3248 - 1, 53 - 1)) &gt;= (OFFSET($A$1, 69 - 1, 7 - 1)), "1","0")</f>
        <v>1</v>
      </c>
      <c r="BD3248">
        <f ca="1" xml:space="preserve"> IF( AND( OFFSET($A$1, 3248 - 1, 54 - 1) = "1", OFFSET($A$1, 3248 - 1, 55 - 1) = "1" ), 1, IF( AND( OFFSET($A$1, 3248 - 1, 54 - 1) = "1", OFFSET($A$1, 3248 - 1, 55 - 1) = "0" ), 2, IF( AND( OFFSET($A$1, 3248 - 1, 54 - 1) = "0", OFFSET($A$1, 3248 - 1, 55 - 1) = "1" ), 3, 4 ) ) )</f>
        <v>1</v>
      </c>
    </row>
    <row r="3249" spans="53:56" x14ac:dyDescent="0.35">
      <c r="BA3249" s="3">
        <v>0.49987094863073933</v>
      </c>
      <c r="BB3249" s="3" t="str">
        <f>"1"</f>
        <v>1</v>
      </c>
      <c r="BC3249" t="str">
        <f ca="1">IF((OFFSET($A$1, 3249 - 1, 53 - 1)) &gt;= (OFFSET($A$1, 69 - 1, 7 - 1)), "1","0")</f>
        <v>0</v>
      </c>
      <c r="BD3249">
        <f ca="1" xml:space="preserve"> IF( AND( OFFSET($A$1, 3249 - 1, 54 - 1) = "1", OFFSET($A$1, 3249 - 1, 55 - 1) = "1" ), 1, IF( AND( OFFSET($A$1, 3249 - 1, 54 - 1) = "1", OFFSET($A$1, 3249 - 1, 55 - 1) = "0" ), 2, IF( AND( OFFSET($A$1, 3249 - 1, 54 - 1) = "0", OFFSET($A$1, 3249 - 1, 55 - 1) = "1" ), 3, 4 ) ) )</f>
        <v>2</v>
      </c>
    </row>
    <row r="3250" spans="53:56" x14ac:dyDescent="0.35">
      <c r="BA3250" s="3">
        <v>0.49837578330554794</v>
      </c>
      <c r="BB3250" s="3" t="str">
        <f>"1"</f>
        <v>1</v>
      </c>
      <c r="BC3250" t="str">
        <f ca="1">IF((OFFSET($A$1, 3250 - 1, 53 - 1)) &gt;= (OFFSET($A$1, 69 - 1, 7 - 1)), "1","0")</f>
        <v>0</v>
      </c>
      <c r="BD3250">
        <f ca="1" xml:space="preserve"> IF( AND( OFFSET($A$1, 3250 - 1, 54 - 1) = "1", OFFSET($A$1, 3250 - 1, 55 - 1) = "1" ), 1, IF( AND( OFFSET($A$1, 3250 - 1, 54 - 1) = "1", OFFSET($A$1, 3250 - 1, 55 - 1) = "0" ), 2, IF( AND( OFFSET($A$1, 3250 - 1, 54 - 1) = "0", OFFSET($A$1, 3250 - 1, 55 - 1) = "1" ), 3, 4 ) ) )</f>
        <v>2</v>
      </c>
    </row>
    <row r="3251" spans="53:56" x14ac:dyDescent="0.35">
      <c r="BA3251" s="3">
        <v>0.49688760574485485</v>
      </c>
      <c r="BB3251" s="3" t="str">
        <f>"0"</f>
        <v>0</v>
      </c>
      <c r="BC3251" t="str">
        <f ca="1">IF((OFFSET($A$1, 3251 - 1, 53 - 1)) &gt;= (OFFSET($A$1, 69 - 1, 7 - 1)), "1","0")</f>
        <v>0</v>
      </c>
      <c r="BD3251">
        <f ca="1" xml:space="preserve"> IF( AND( OFFSET($A$1, 3251 - 1, 54 - 1) = "1", OFFSET($A$1, 3251 - 1, 55 - 1) = "1" ), 1, IF( AND( OFFSET($A$1, 3251 - 1, 54 - 1) = "1", OFFSET($A$1, 3251 - 1, 55 - 1) = "0" ), 2, IF( AND( OFFSET($A$1, 3251 - 1, 54 - 1) = "0", OFFSET($A$1, 3251 - 1, 55 - 1) = "1" ), 3, 4 ) ) )</f>
        <v>4</v>
      </c>
    </row>
    <row r="3252" spans="53:56" x14ac:dyDescent="0.35">
      <c r="BA3252" s="3">
        <v>0.23926576901100169</v>
      </c>
      <c r="BB3252" s="3" t="str">
        <f>"0"</f>
        <v>0</v>
      </c>
      <c r="BC3252" t="str">
        <f ca="1">IF((OFFSET($A$1, 3252 - 1, 53 - 1)) &gt;= (OFFSET($A$1, 69 - 1, 7 - 1)), "1","0")</f>
        <v>0</v>
      </c>
      <c r="BD3252">
        <f ca="1" xml:space="preserve"> IF( AND( OFFSET($A$1, 3252 - 1, 54 - 1) = "1", OFFSET($A$1, 3252 - 1, 55 - 1) = "1" ), 1, IF( AND( OFFSET($A$1, 3252 - 1, 54 - 1) = "1", OFFSET($A$1, 3252 - 1, 55 - 1) = "0" ), 2, IF( AND( OFFSET($A$1, 3252 - 1, 54 - 1) = "0", OFFSET($A$1, 3252 - 1, 55 - 1) = "1" ), 3, 4 ) ) )</f>
        <v>4</v>
      </c>
    </row>
    <row r="3253" spans="53:56" x14ac:dyDescent="0.35">
      <c r="BA3253" s="3">
        <v>0.23819498713282061</v>
      </c>
      <c r="BB3253" s="3" t="str">
        <f>"0"</f>
        <v>0</v>
      </c>
      <c r="BC3253" t="str">
        <f ca="1">IF((OFFSET($A$1, 3253 - 1, 53 - 1)) &gt;= (OFFSET($A$1, 69 - 1, 7 - 1)), "1","0")</f>
        <v>0</v>
      </c>
      <c r="BD3253">
        <f ca="1" xml:space="preserve"> IF( AND( OFFSET($A$1, 3253 - 1, 54 - 1) = "1", OFFSET($A$1, 3253 - 1, 55 - 1) = "1" ), 1, IF( AND( OFFSET($A$1, 3253 - 1, 54 - 1) = "1", OFFSET($A$1, 3253 - 1, 55 - 1) = "0" ), 2, IF( AND( OFFSET($A$1, 3253 - 1, 54 - 1) = "0", OFFSET($A$1, 3253 - 1, 55 - 1) = "1" ), 3, 4 ) ) )</f>
        <v>4</v>
      </c>
    </row>
    <row r="3254" spans="53:56" x14ac:dyDescent="0.35">
      <c r="BA3254" s="3">
        <v>0.2371334902351116</v>
      </c>
      <c r="BB3254" s="3" t="str">
        <f>"0"</f>
        <v>0</v>
      </c>
      <c r="BC3254" t="str">
        <f ca="1">IF((OFFSET($A$1, 3254 - 1, 53 - 1)) &gt;= (OFFSET($A$1, 69 - 1, 7 - 1)), "1","0")</f>
        <v>0</v>
      </c>
      <c r="BD3254">
        <f ca="1" xml:space="preserve"> IF( AND( OFFSET($A$1, 3254 - 1, 54 - 1) = "1", OFFSET($A$1, 3254 - 1, 55 - 1) = "1" ), 1, IF( AND( OFFSET($A$1, 3254 - 1, 54 - 1) = "1", OFFSET($A$1, 3254 - 1, 55 - 1) = "0" ), 2, IF( AND( OFFSET($A$1, 3254 - 1, 54 - 1) = "0", OFFSET($A$1, 3254 - 1, 55 - 1) = "1" ), 3, 4 ) ) )</f>
        <v>4</v>
      </c>
    </row>
    <row r="3255" spans="53:56" x14ac:dyDescent="0.35">
      <c r="BA3255" s="3">
        <v>0.23608153886846311</v>
      </c>
      <c r="BB3255" s="3" t="str">
        <f>"1"</f>
        <v>1</v>
      </c>
      <c r="BC3255" t="str">
        <f ca="1">IF((OFFSET($A$1, 3255 - 1, 53 - 1)) &gt;= (OFFSET($A$1, 69 - 1, 7 - 1)), "1","0")</f>
        <v>0</v>
      </c>
      <c r="BD3255">
        <f ca="1" xml:space="preserve"> IF( AND( OFFSET($A$1, 3255 - 1, 54 - 1) = "1", OFFSET($A$1, 3255 - 1, 55 - 1) = "1" ), 1, IF( AND( OFFSET($A$1, 3255 - 1, 54 - 1) = "1", OFFSET($A$1, 3255 - 1, 55 - 1) = "0" ), 2, IF( AND( OFFSET($A$1, 3255 - 1, 54 - 1) = "0", OFFSET($A$1, 3255 - 1, 55 - 1) = "1" ), 3, 4 ) ) )</f>
        <v>2</v>
      </c>
    </row>
    <row r="3256" spans="53:56" x14ac:dyDescent="0.35">
      <c r="BA3256" s="3">
        <v>0.48956773847951462</v>
      </c>
      <c r="BB3256" s="3" t="str">
        <f>"1"</f>
        <v>1</v>
      </c>
      <c r="BC3256" t="str">
        <f ca="1">IF((OFFSET($A$1, 3256 - 1, 53 - 1)) &gt;= (OFFSET($A$1, 69 - 1, 7 - 1)), "1","0")</f>
        <v>0</v>
      </c>
      <c r="BD3256">
        <f ca="1" xml:space="preserve"> IF( AND( OFFSET($A$1, 3256 - 1, 54 - 1) = "1", OFFSET($A$1, 3256 - 1, 55 - 1) = "1" ), 1, IF( AND( OFFSET($A$1, 3256 - 1, 54 - 1) = "1", OFFSET($A$1, 3256 - 1, 55 - 1) = "0" ), 2, IF( AND( OFFSET($A$1, 3256 - 1, 54 - 1) = "0", OFFSET($A$1, 3256 - 1, 55 - 1) = "1" ), 3, 4 ) ) )</f>
        <v>2</v>
      </c>
    </row>
    <row r="3257" spans="53:56" x14ac:dyDescent="0.35">
      <c r="BA3257" s="3">
        <v>0.48813116311068205</v>
      </c>
      <c r="BB3257" s="3" t="str">
        <f>"0"</f>
        <v>0</v>
      </c>
      <c r="BC3257" t="str">
        <f ca="1">IF((OFFSET($A$1, 3257 - 1, 53 - 1)) &gt;= (OFFSET($A$1, 69 - 1, 7 - 1)), "1","0")</f>
        <v>0</v>
      </c>
      <c r="BD3257">
        <f ca="1" xml:space="preserve"> IF( AND( OFFSET($A$1, 3257 - 1, 54 - 1) = "1", OFFSET($A$1, 3257 - 1, 55 - 1) = "1" ), 1, IF( AND( OFFSET($A$1, 3257 - 1, 54 - 1) = "1", OFFSET($A$1, 3257 - 1, 55 - 1) = "0" ), 2, IF( AND( OFFSET($A$1, 3257 - 1, 54 - 1) = "0", OFFSET($A$1, 3257 - 1, 55 - 1) = "1" ), 3, 4 ) ) )</f>
        <v>4</v>
      </c>
    </row>
    <row r="3258" spans="53:56" x14ac:dyDescent="0.35">
      <c r="BA3258" s="3">
        <v>0.23298547946291834</v>
      </c>
      <c r="BB3258" s="3" t="str">
        <f>"1"</f>
        <v>1</v>
      </c>
      <c r="BC3258" t="str">
        <f ca="1">IF((OFFSET($A$1, 3258 - 1, 53 - 1)) &gt;= (OFFSET($A$1, 69 - 1, 7 - 1)), "1","0")</f>
        <v>0</v>
      </c>
      <c r="BD3258">
        <f ca="1" xml:space="preserve"> IF( AND( OFFSET($A$1, 3258 - 1, 54 - 1) = "1", OFFSET($A$1, 3258 - 1, 55 - 1) = "1" ), 1, IF( AND( OFFSET($A$1, 3258 - 1, 54 - 1) = "1", OFFSET($A$1, 3258 - 1, 55 - 1) = "0" ), 2, IF( AND( OFFSET($A$1, 3258 - 1, 54 - 1) = "0", OFFSET($A$1, 3258 - 1, 55 - 1) = "1" ), 3, 4 ) ) )</f>
        <v>2</v>
      </c>
    </row>
    <row r="3259" spans="53:56" x14ac:dyDescent="0.35">
      <c r="BA3259" s="3">
        <v>0.48528899375477152</v>
      </c>
      <c r="BB3259" s="3" t="str">
        <f>"0"</f>
        <v>0</v>
      </c>
      <c r="BC3259" t="str">
        <f ca="1">IF((OFFSET($A$1, 3259 - 1, 53 - 1)) &gt;= (OFFSET($A$1, 69 - 1, 7 - 1)), "1","0")</f>
        <v>0</v>
      </c>
      <c r="BD3259">
        <f ca="1" xml:space="preserve"> IF( AND( OFFSET($A$1, 3259 - 1, 54 - 1) = "1", OFFSET($A$1, 3259 - 1, 55 - 1) = "1" ), 1, IF( AND( OFFSET($A$1, 3259 - 1, 54 - 1) = "1", OFFSET($A$1, 3259 - 1, 55 - 1) = "0" ), 2, IF( AND( OFFSET($A$1, 3259 - 1, 54 - 1) = "0", OFFSET($A$1, 3259 - 1, 55 - 1) = "1" ), 3, 4 ) ) )</f>
        <v>4</v>
      </c>
    </row>
    <row r="3260" spans="53:56" x14ac:dyDescent="0.35">
      <c r="BA3260" s="3">
        <v>0.23097369232012468</v>
      </c>
      <c r="BB3260" s="3" t="str">
        <f>"0"</f>
        <v>0</v>
      </c>
      <c r="BC3260" t="str">
        <f ca="1">IF((OFFSET($A$1, 3260 - 1, 53 - 1)) &gt;= (OFFSET($A$1, 69 - 1, 7 - 1)), "1","0")</f>
        <v>0</v>
      </c>
      <c r="BD3260">
        <f ca="1" xml:space="preserve"> IF( AND( OFFSET($A$1, 3260 - 1, 54 - 1) = "1", OFFSET($A$1, 3260 - 1, 55 - 1) = "1" ), 1, IF( AND( OFFSET($A$1, 3260 - 1, 54 - 1) = "1", OFFSET($A$1, 3260 - 1, 55 - 1) = "0" ), 2, IF( AND( OFFSET($A$1, 3260 - 1, 54 - 1) = "0", OFFSET($A$1, 3260 - 1, 55 - 1) = "1" ), 3, 4 ) ) )</f>
        <v>4</v>
      </c>
    </row>
    <row r="3261" spans="53:56" x14ac:dyDescent="0.35">
      <c r="BA3261" s="3">
        <v>0.22998417224119438</v>
      </c>
      <c r="BB3261" s="3" t="str">
        <f>"0"</f>
        <v>0</v>
      </c>
      <c r="BC3261" t="str">
        <f ca="1">IF((OFFSET($A$1, 3261 - 1, 53 - 1)) &gt;= (OFFSET($A$1, 69 - 1, 7 - 1)), "1","0")</f>
        <v>0</v>
      </c>
      <c r="BD3261">
        <f ca="1" xml:space="preserve"> IF( AND( OFFSET($A$1, 3261 - 1, 54 - 1) = "1", OFFSET($A$1, 3261 - 1, 55 - 1) = "1" ), 1, IF( AND( OFFSET($A$1, 3261 - 1, 54 - 1) = "1", OFFSET($A$1, 3261 - 1, 55 - 1) = "0" ), 2, IF( AND( OFFSET($A$1, 3261 - 1, 54 - 1) = "0", OFFSET($A$1, 3261 - 1, 55 - 1) = "1" ), 3, 4 ) ) )</f>
        <v>4</v>
      </c>
    </row>
    <row r="3262" spans="53:56" x14ac:dyDescent="0.35">
      <c r="BA3262" s="3">
        <v>0.22900586497245351</v>
      </c>
      <c r="BB3262" s="3" t="str">
        <f>"1"</f>
        <v>1</v>
      </c>
      <c r="BC3262" t="str">
        <f ca="1">IF((OFFSET($A$1, 3262 - 1, 53 - 1)) &gt;= (OFFSET($A$1, 69 - 1, 7 - 1)), "1","0")</f>
        <v>0</v>
      </c>
      <c r="BD3262">
        <f ca="1" xml:space="preserve"> IF( AND( OFFSET($A$1, 3262 - 1, 54 - 1) = "1", OFFSET($A$1, 3262 - 1, 55 - 1) = "1" ), 1, IF( AND( OFFSET($A$1, 3262 - 1, 54 - 1) = "1", OFFSET($A$1, 3262 - 1, 55 - 1) = "0" ), 2, IF( AND( OFFSET($A$1, 3262 - 1, 54 - 1) = "0", OFFSET($A$1, 3262 - 1, 55 - 1) = "1" ), 3, 4 ) ) )</f>
        <v>2</v>
      </c>
    </row>
    <row r="3263" spans="53:56" x14ac:dyDescent="0.35">
      <c r="BA3263" s="3">
        <v>0.47974077101203505</v>
      </c>
      <c r="BB3263" s="3" t="str">
        <f>"0"</f>
        <v>0</v>
      </c>
      <c r="BC3263" t="str">
        <f ca="1">IF((OFFSET($A$1, 3263 - 1, 53 - 1)) &gt;= (OFFSET($A$1, 69 - 1, 7 - 1)), "1","0")</f>
        <v>0</v>
      </c>
      <c r="BD3263">
        <f ca="1" xml:space="preserve"> IF( AND( OFFSET($A$1, 3263 - 1, 54 - 1) = "1", OFFSET($A$1, 3263 - 1, 55 - 1) = "1" ), 1, IF( AND( OFFSET($A$1, 3263 - 1, 54 - 1) = "1", OFFSET($A$1, 3263 - 1, 55 - 1) = "0" ), 2, IF( AND( OFFSET($A$1, 3263 - 1, 54 - 1) = "0", OFFSET($A$1, 3263 - 1, 55 - 1) = "1" ), 3, 4 ) ) )</f>
        <v>4</v>
      </c>
    </row>
    <row r="3264" spans="53:56" x14ac:dyDescent="0.35">
      <c r="BA3264" s="3">
        <v>0.22708374724084415</v>
      </c>
      <c r="BB3264" s="3" t="str">
        <f>"1"</f>
        <v>1</v>
      </c>
      <c r="BC3264" t="str">
        <f ca="1">IF((OFFSET($A$1, 3264 - 1, 53 - 1)) &gt;= (OFFSET($A$1, 69 - 1, 7 - 1)), "1","0")</f>
        <v>0</v>
      </c>
      <c r="BD3264">
        <f ca="1" xml:space="preserve"> IF( AND( OFFSET($A$1, 3264 - 1, 54 - 1) = "1", OFFSET($A$1, 3264 - 1, 55 - 1) = "1" ), 1, IF( AND( OFFSET($A$1, 3264 - 1, 54 - 1) = "1", OFFSET($A$1, 3264 - 1, 55 - 1) = "0" ), 2, IF( AND( OFFSET($A$1, 3264 - 1, 54 - 1) = "0", OFFSET($A$1, 3264 - 1, 55 - 1) = "1" ), 3, 4 ) ) )</f>
        <v>2</v>
      </c>
    </row>
    <row r="3265" spans="53:56" x14ac:dyDescent="0.35">
      <c r="BA3265" s="3">
        <v>0.47704151652137261</v>
      </c>
      <c r="BB3265" s="3" t="str">
        <f>"0"</f>
        <v>0</v>
      </c>
      <c r="BC3265" t="str">
        <f ca="1">IF((OFFSET($A$1, 3265 - 1, 53 - 1)) &gt;= (OFFSET($A$1, 69 - 1, 7 - 1)), "1","0")</f>
        <v>0</v>
      </c>
      <c r="BD3265">
        <f ca="1" xml:space="preserve"> IF( AND( OFFSET($A$1, 3265 - 1, 54 - 1) = "1", OFFSET($A$1, 3265 - 1, 55 - 1) = "1" ), 1, IF( AND( OFFSET($A$1, 3265 - 1, 54 - 1) = "1", OFFSET($A$1, 3265 - 1, 55 - 1) = "0" ), 2, IF( AND( OFFSET($A$1, 3265 - 1, 54 - 1) = "0", OFFSET($A$1, 3265 - 1, 55 - 1) = "1" ), 3, 4 ) ) )</f>
        <v>4</v>
      </c>
    </row>
    <row r="3266" spans="53:56" x14ac:dyDescent="0.35">
      <c r="BA3266" s="3">
        <v>0.22520900128636057</v>
      </c>
      <c r="BB3266" s="3" t="str">
        <f>"0"</f>
        <v>0</v>
      </c>
      <c r="BC3266" t="str">
        <f ca="1">IF((OFFSET($A$1, 3266 - 1, 53 - 1)) &gt;= (OFFSET($A$1, 69 - 1, 7 - 1)), "1","0")</f>
        <v>0</v>
      </c>
      <c r="BD3266">
        <f ca="1" xml:space="preserve"> IF( AND( OFFSET($A$1, 3266 - 1, 54 - 1) = "1", OFFSET($A$1, 3266 - 1, 55 - 1) = "1" ), 1, IF( AND( OFFSET($A$1, 3266 - 1, 54 - 1) = "1", OFFSET($A$1, 3266 - 1, 55 - 1) = "0" ), 2, IF( AND( OFFSET($A$1, 3266 - 1, 54 - 1) = "0", OFFSET($A$1, 3266 - 1, 55 - 1) = "1" ), 3, 4 ) ) )</f>
        <v>4</v>
      </c>
    </row>
    <row r="3267" spans="53:56" x14ac:dyDescent="0.35">
      <c r="BA3267" s="3">
        <v>0.22428988847440595</v>
      </c>
      <c r="BB3267" s="3" t="str">
        <f>"1"</f>
        <v>1</v>
      </c>
      <c r="BC3267" t="str">
        <f ca="1">IF((OFFSET($A$1, 3267 - 1, 53 - 1)) &gt;= (OFFSET($A$1, 69 - 1, 7 - 1)), "1","0")</f>
        <v>0</v>
      </c>
      <c r="BD3267">
        <f ca="1" xml:space="preserve"> IF( AND( OFFSET($A$1, 3267 - 1, 54 - 1) = "1", OFFSET($A$1, 3267 - 1, 55 - 1) = "1" ), 1, IF( AND( OFFSET($A$1, 3267 - 1, 54 - 1) = "1", OFFSET($A$1, 3267 - 1, 55 - 1) = "0" ), 2, IF( AND( OFFSET($A$1, 3267 - 1, 54 - 1) = "0", OFFSET($A$1, 3267 - 1, 55 - 1) = "1" ), 3, 4 ) ) )</f>
        <v>2</v>
      </c>
    </row>
    <row r="3268" spans="53:56" x14ac:dyDescent="0.35">
      <c r="BA3268" s="3">
        <v>0.47309545740224379</v>
      </c>
      <c r="BB3268" s="3" t="str">
        <f>"0"</f>
        <v>0</v>
      </c>
      <c r="BC3268" t="str">
        <f ca="1">IF((OFFSET($A$1, 3268 - 1, 53 - 1)) &gt;= (OFFSET($A$1, 69 - 1, 7 - 1)), "1","0")</f>
        <v>0</v>
      </c>
      <c r="BD3268">
        <f ca="1" xml:space="preserve"> IF( AND( OFFSET($A$1, 3268 - 1, 54 - 1) = "1", OFFSET($A$1, 3268 - 1, 55 - 1) = "1" ), 1, IF( AND( OFFSET($A$1, 3268 - 1, 54 - 1) = "1", OFFSET($A$1, 3268 - 1, 55 - 1) = "0" ), 2, IF( AND( OFFSET($A$1, 3268 - 1, 54 - 1) = "0", OFFSET($A$1, 3268 - 1, 55 - 1) = "1" ), 3, 4 ) ) )</f>
        <v>4</v>
      </c>
    </row>
    <row r="3269" spans="53:56" x14ac:dyDescent="0.35">
      <c r="BA3269" s="3">
        <v>0.2224891280284145</v>
      </c>
      <c r="BB3269" s="3" t="str">
        <f>"0"</f>
        <v>0</v>
      </c>
      <c r="BC3269" t="str">
        <f ca="1">IF((OFFSET($A$1, 3269 - 1, 53 - 1)) &gt;= (OFFSET($A$1, 69 - 1, 7 - 1)), "1","0")</f>
        <v>0</v>
      </c>
      <c r="BD3269">
        <f ca="1" xml:space="preserve"> IF( AND( OFFSET($A$1, 3269 - 1, 54 - 1) = "1", OFFSET($A$1, 3269 - 1, 55 - 1) = "1" ), 1, IF( AND( OFFSET($A$1, 3269 - 1, 54 - 1) = "1", OFFSET($A$1, 3269 - 1, 55 - 1) = "0" ), 2, IF( AND( OFFSET($A$1, 3269 - 1, 54 - 1) = "0", OFFSET($A$1, 3269 - 1, 55 - 1) = "1" ), 3, 4 ) ) )</f>
        <v>4</v>
      </c>
    </row>
    <row r="3270" spans="53:56" x14ac:dyDescent="0.35">
      <c r="BA3270" s="3">
        <v>0.22160784258286459</v>
      </c>
      <c r="BB3270" s="3" t="str">
        <f>"1"</f>
        <v>1</v>
      </c>
      <c r="BC3270" t="str">
        <f ca="1">IF((OFFSET($A$1, 3270 - 1, 53 - 1)) &gt;= (OFFSET($A$1, 69 - 1, 7 - 1)), "1","0")</f>
        <v>0</v>
      </c>
      <c r="BD3270">
        <f ca="1" xml:space="preserve"> IF( AND( OFFSET($A$1, 3270 - 1, 54 - 1) = "1", OFFSET($A$1, 3270 - 1, 55 - 1) = "1" ), 1, IF( AND( OFFSET($A$1, 3270 - 1, 54 - 1) = "1", OFFSET($A$1, 3270 - 1, 55 - 1) = "0" ), 2, IF( AND( OFFSET($A$1, 3270 - 1, 54 - 1) = "0", OFFSET($A$1, 3270 - 1, 55 - 1) = "1" ), 3, 4 ) ) )</f>
        <v>2</v>
      </c>
    </row>
    <row r="3271" spans="53:56" x14ac:dyDescent="0.35">
      <c r="BA3271" s="3">
        <v>0.46928226613314172</v>
      </c>
      <c r="BB3271" s="3" t="str">
        <f>"1"</f>
        <v>1</v>
      </c>
      <c r="BC3271" t="str">
        <f ca="1">IF((OFFSET($A$1, 3271 - 1, 53 - 1)) &gt;= (OFFSET($A$1, 69 - 1, 7 - 1)), "1","0")</f>
        <v>0</v>
      </c>
      <c r="BD3271">
        <f ca="1" xml:space="preserve"> IF( AND( OFFSET($A$1, 3271 - 1, 54 - 1) = "1", OFFSET($A$1, 3271 - 1, 55 - 1) = "1" ), 1, IF( AND( OFFSET($A$1, 3271 - 1, 54 - 1) = "1", OFFSET($A$1, 3271 - 1, 55 - 1) = "0" ), 2, IF( AND( OFFSET($A$1, 3271 - 1, 54 - 1) = "0", OFFSET($A$1, 3271 - 1, 55 - 1) = "1" ), 3, 4 ) ) )</f>
        <v>2</v>
      </c>
    </row>
    <row r="3272" spans="53:56" x14ac:dyDescent="0.35">
      <c r="BA3272" s="3">
        <v>0.46804251217015425</v>
      </c>
      <c r="BB3272" s="3" t="str">
        <f>"1"</f>
        <v>1</v>
      </c>
      <c r="BC3272" t="str">
        <f ca="1">IF((OFFSET($A$1, 3272 - 1, 53 - 1)) &gt;= (OFFSET($A$1, 69 - 1, 7 - 1)), "1","0")</f>
        <v>0</v>
      </c>
      <c r="BD3272">
        <f ca="1" xml:space="preserve"> IF( AND( OFFSET($A$1, 3272 - 1, 54 - 1) = "1", OFFSET($A$1, 3272 - 1, 55 - 1) = "1" ), 1, IF( AND( OFFSET($A$1, 3272 - 1, 54 - 1) = "1", OFFSET($A$1, 3272 - 1, 55 - 1) = "0" ), 2, IF( AND( OFFSET($A$1, 3272 - 1, 54 - 1) = "0", OFFSET($A$1, 3272 - 1, 55 - 1) = "1" ), 3, 4 ) ) )</f>
        <v>2</v>
      </c>
    </row>
    <row r="3273" spans="53:56" x14ac:dyDescent="0.35">
      <c r="BA3273" s="3">
        <v>0.46681903037051536</v>
      </c>
      <c r="BB3273" s="3" t="str">
        <f>"0"</f>
        <v>0</v>
      </c>
      <c r="BC3273" t="str">
        <f ca="1">IF((OFFSET($A$1, 3273 - 1, 53 - 1)) &gt;= (OFFSET($A$1, 69 - 1, 7 - 1)), "1","0")</f>
        <v>0</v>
      </c>
      <c r="BD3273">
        <f ca="1" xml:space="preserve"> IF( AND( OFFSET($A$1, 3273 - 1, 54 - 1) = "1", OFFSET($A$1, 3273 - 1, 55 - 1) = "1" ), 1, IF( AND( OFFSET($A$1, 3273 - 1, 54 - 1) = "1", OFFSET($A$1, 3273 - 1, 55 - 1) = "0" ), 2, IF( AND( OFFSET($A$1, 3273 - 1, 54 - 1) = "0", OFFSET($A$1, 3273 - 1, 55 - 1) = "1" ), 3, 4 ) ) )</f>
        <v>4</v>
      </c>
    </row>
    <row r="3274" spans="53:56" x14ac:dyDescent="0.35">
      <c r="BA3274" s="3">
        <v>0.21821398521512575</v>
      </c>
      <c r="BB3274" s="3" t="str">
        <f>"1"</f>
        <v>1</v>
      </c>
      <c r="BC3274" t="str">
        <f ca="1">IF((OFFSET($A$1, 3274 - 1, 53 - 1)) &gt;= (OFFSET($A$1, 69 - 1, 7 - 1)), "1","0")</f>
        <v>0</v>
      </c>
      <c r="BD3274">
        <f ca="1" xml:space="preserve"> IF( AND( OFFSET($A$1, 3274 - 1, 54 - 1) = "1", OFFSET($A$1, 3274 - 1, 55 - 1) = "1" ), 1, IF( AND( OFFSET($A$1, 3274 - 1, 54 - 1) = "1", OFFSET($A$1, 3274 - 1, 55 - 1) = "0" ), 2, IF( AND( OFFSET($A$1, 3274 - 1, 54 - 1) = "0", OFFSET($A$1, 3274 - 1, 55 - 1) = "1" ), 3, 4 ) ) )</f>
        <v>2</v>
      </c>
    </row>
    <row r="3275" spans="53:56" x14ac:dyDescent="0.35">
      <c r="BA3275" s="3">
        <v>0.46442232188292049</v>
      </c>
      <c r="BB3275" s="3" t="str">
        <f>"1"</f>
        <v>1</v>
      </c>
      <c r="BC3275" t="str">
        <f ca="1">IF((OFFSET($A$1, 3275 - 1, 53 - 1)) &gt;= (OFFSET($A$1, 69 - 1, 7 - 1)), "1","0")</f>
        <v>0</v>
      </c>
      <c r="BD3275">
        <f ca="1" xml:space="preserve"> IF( AND( OFFSET($A$1, 3275 - 1, 54 - 1) = "1", OFFSET($A$1, 3275 - 1, 55 - 1) = "1" ), 1, IF( AND( OFFSET($A$1, 3275 - 1, 54 - 1) = "1", OFFSET($A$1, 3275 - 1, 55 - 1) = "0" ), 2, IF( AND( OFFSET($A$1, 3275 - 1, 54 - 1) = "0", OFFSET($A$1, 3275 - 1, 55 - 1) = "1" ), 3, 4 ) ) )</f>
        <v>2</v>
      </c>
    </row>
    <row r="3276" spans="53:56" x14ac:dyDescent="0.35">
      <c r="BA3276" s="3">
        <v>0.46324979886143763</v>
      </c>
      <c r="BB3276" s="3" t="str">
        <f>"1"</f>
        <v>1</v>
      </c>
      <c r="BC3276" t="str">
        <f ca="1">IF((OFFSET($A$1, 3276 - 1, 53 - 1)) &gt;= (OFFSET($A$1, 69 - 1, 7 - 1)), "1","0")</f>
        <v>0</v>
      </c>
      <c r="BD3276">
        <f ca="1" xml:space="preserve"> IF( AND( OFFSET($A$1, 3276 - 1, 54 - 1) = "1", OFFSET($A$1, 3276 - 1, 55 - 1) = "1" ), 1, IF( AND( OFFSET($A$1, 3276 - 1, 54 - 1) = "1", OFFSET($A$1, 3276 - 1, 55 - 1) = "0" ), 2, IF( AND( OFFSET($A$1, 3276 - 1, 54 - 1) = "0", OFFSET($A$1, 3276 - 1, 55 - 1) = "1" ), 3, 4 ) ) )</f>
        <v>2</v>
      </c>
    </row>
    <row r="3277" spans="53:56" x14ac:dyDescent="0.35">
      <c r="BA3277" s="3">
        <v>0.46209495517661736</v>
      </c>
      <c r="BB3277" s="3" t="str">
        <f>"1"</f>
        <v>1</v>
      </c>
      <c r="BC3277" t="str">
        <f ca="1">IF((OFFSET($A$1, 3277 - 1, 53 - 1)) &gt;= (OFFSET($A$1, 69 - 1, 7 - 1)), "1","0")</f>
        <v>0</v>
      </c>
      <c r="BD3277">
        <f ca="1" xml:space="preserve"> IF( AND( OFFSET($A$1, 3277 - 1, 54 - 1) = "1", OFFSET($A$1, 3277 - 1, 55 - 1) = "1" ), 1, IF( AND( OFFSET($A$1, 3277 - 1, 54 - 1) = "1", OFFSET($A$1, 3277 - 1, 55 - 1) = "0" ), 2, IF( AND( OFFSET($A$1, 3277 - 1, 54 - 1) = "0", OFFSET($A$1, 3277 - 1, 55 - 1) = "1" ), 3, 4 ) ) )</f>
        <v>2</v>
      </c>
    </row>
    <row r="3278" spans="53:56" x14ac:dyDescent="0.35">
      <c r="BA3278" s="3">
        <v>0.46095812666757807</v>
      </c>
      <c r="BB3278" s="3" t="str">
        <f>"0"</f>
        <v>0</v>
      </c>
      <c r="BC3278" t="str">
        <f ca="1">IF((OFFSET($A$1, 3278 - 1, 53 - 1)) &gt;= (OFFSET($A$1, 69 - 1, 7 - 1)), "1","0")</f>
        <v>0</v>
      </c>
      <c r="BD3278">
        <f ca="1" xml:space="preserve"> IF( AND( OFFSET($A$1, 3278 - 1, 54 - 1) = "1", OFFSET($A$1, 3278 - 1, 55 - 1) = "1" ), 1, IF( AND( OFFSET($A$1, 3278 - 1, 54 - 1) = "1", OFFSET($A$1, 3278 - 1, 55 - 1) = "0" ), 2, IF( AND( OFFSET($A$1, 3278 - 1, 54 - 1) = "0", OFFSET($A$1, 3278 - 1, 55 - 1) = "1" ), 3, 4 ) ) )</f>
        <v>4</v>
      </c>
    </row>
    <row r="3279" spans="53:56" x14ac:dyDescent="0.35">
      <c r="BA3279" s="3">
        <v>0.21427874781924169</v>
      </c>
      <c r="BB3279" s="3" t="str">
        <f>"0"</f>
        <v>0</v>
      </c>
      <c r="BC3279" t="str">
        <f ca="1">IF((OFFSET($A$1, 3279 - 1, 53 - 1)) &gt;= (OFFSET($A$1, 69 - 1, 7 - 1)), "1","0")</f>
        <v>0</v>
      </c>
      <c r="BD3279">
        <f ca="1" xml:space="preserve"> IF( AND( OFFSET($A$1, 3279 - 1, 54 - 1) = "1", OFFSET($A$1, 3279 - 1, 55 - 1) = "1" ), 1, IF( AND( OFFSET($A$1, 3279 - 1, 54 - 1) = "1", OFFSET($A$1, 3279 - 1, 55 - 1) = "0" ), 2, IF( AND( OFFSET($A$1, 3279 - 1, 54 - 1) = "0", OFFSET($A$1, 3279 - 1, 55 - 1) = "1" ), 3, 4 ) ) )</f>
        <v>4</v>
      </c>
    </row>
    <row r="3280" spans="53:56" x14ac:dyDescent="0.35">
      <c r="BA3280" s="3">
        <v>0.21353407264399876</v>
      </c>
      <c r="BB3280" s="3" t="str">
        <f>"0"</f>
        <v>0</v>
      </c>
      <c r="BC3280" t="str">
        <f ca="1">IF((OFFSET($A$1, 3280 - 1, 53 - 1)) &gt;= (OFFSET($A$1, 69 - 1, 7 - 1)), "1","0")</f>
        <v>0</v>
      </c>
      <c r="BD3280">
        <f ca="1" xml:space="preserve"> IF( AND( OFFSET($A$1, 3280 - 1, 54 - 1) = "1", OFFSET($A$1, 3280 - 1, 55 - 1) = "1" ), 1, IF( AND( OFFSET($A$1, 3280 - 1, 54 - 1) = "1", OFFSET($A$1, 3280 - 1, 55 - 1) = "0" ), 2, IF( AND( OFFSET($A$1, 3280 - 1, 54 - 1) = "0", OFFSET($A$1, 3280 - 1, 55 - 1) = "1" ), 3, 4 ) ) )</f>
        <v>4</v>
      </c>
    </row>
    <row r="3281" spans="53:56" x14ac:dyDescent="0.35">
      <c r="BA3281" s="3">
        <v>0.21280382518173102</v>
      </c>
      <c r="BB3281" s="3" t="str">
        <f>"0"</f>
        <v>0</v>
      </c>
      <c r="BC3281" t="str">
        <f ca="1">IF((OFFSET($A$1, 3281 - 1, 53 - 1)) &gt;= (OFFSET($A$1, 69 - 1, 7 - 1)), "1","0")</f>
        <v>0</v>
      </c>
      <c r="BD3281">
        <f ca="1" xml:space="preserve"> IF( AND( OFFSET($A$1, 3281 - 1, 54 - 1) = "1", OFFSET($A$1, 3281 - 1, 55 - 1) = "1" ), 1, IF( AND( OFFSET($A$1, 3281 - 1, 54 - 1) = "1", OFFSET($A$1, 3281 - 1, 55 - 1) = "0" ), 2, IF( AND( OFFSET($A$1, 3281 - 1, 54 - 1) = "0", OFFSET($A$1, 3281 - 1, 55 - 1) = "1" ), 3, 4 ) ) )</f>
        <v>4</v>
      </c>
    </row>
    <row r="3282" spans="53:56" x14ac:dyDescent="0.35">
      <c r="BA3282" s="3">
        <v>0.21208812672930752</v>
      </c>
      <c r="BB3282" s="3" t="str">
        <f>"0"</f>
        <v>0</v>
      </c>
      <c r="BC3282" t="str">
        <f ca="1">IF((OFFSET($A$1, 3282 - 1, 53 - 1)) &gt;= (OFFSET($A$1, 69 - 1, 7 - 1)), "1","0")</f>
        <v>0</v>
      </c>
      <c r="BD3282">
        <f ca="1" xml:space="preserve"> IF( AND( OFFSET($A$1, 3282 - 1, 54 - 1) = "1", OFFSET($A$1, 3282 - 1, 55 - 1) = "1" ), 1, IF( AND( OFFSET($A$1, 3282 - 1, 54 - 1) = "1", OFFSET($A$1, 3282 - 1, 55 - 1) = "0" ), 2, IF( AND( OFFSET($A$1, 3282 - 1, 54 - 1) = "0", OFFSET($A$1, 3282 - 1, 55 - 1) = "1" ), 3, 4 ) ) )</f>
        <v>4</v>
      </c>
    </row>
    <row r="3283" spans="53:56" x14ac:dyDescent="0.35">
      <c r="BA3283" s="3">
        <v>0.21138709432011552</v>
      </c>
      <c r="BB3283" s="3" t="str">
        <f>"0"</f>
        <v>0</v>
      </c>
      <c r="BC3283" t="str">
        <f ca="1">IF((OFFSET($A$1, 3283 - 1, 53 - 1)) &gt;= (OFFSET($A$1, 69 - 1, 7 - 1)), "1","0")</f>
        <v>0</v>
      </c>
      <c r="BD3283">
        <f ca="1" xml:space="preserve"> IF( AND( OFFSET($A$1, 3283 - 1, 54 - 1) = "1", OFFSET($A$1, 3283 - 1, 55 - 1) = "1" ), 1, IF( AND( OFFSET($A$1, 3283 - 1, 54 - 1) = "1", OFFSET($A$1, 3283 - 1, 55 - 1) = "0" ), 2, IF( AND( OFFSET($A$1, 3283 - 1, 54 - 1) = "0", OFFSET($A$1, 3283 - 1, 55 - 1) = "1" ), 3, 4 ) ) )</f>
        <v>4</v>
      </c>
    </row>
    <row r="3284" spans="53:56" x14ac:dyDescent="0.35">
      <c r="BA3284" s="3">
        <v>0.21070084080773008</v>
      </c>
      <c r="BB3284" s="3" t="str">
        <f>"0"</f>
        <v>0</v>
      </c>
      <c r="BC3284" t="str">
        <f ca="1">IF((OFFSET($A$1, 3284 - 1, 53 - 1)) &gt;= (OFFSET($A$1, 69 - 1, 7 - 1)), "1","0")</f>
        <v>0</v>
      </c>
      <c r="BD3284">
        <f ca="1" xml:space="preserve"> IF( AND( OFFSET($A$1, 3284 - 1, 54 - 1) = "1", OFFSET($A$1, 3284 - 1, 55 - 1) = "1" ), 1, IF( AND( OFFSET($A$1, 3284 - 1, 54 - 1) = "1", OFFSET($A$1, 3284 - 1, 55 - 1) = "0" ), 2, IF( AND( OFFSET($A$1, 3284 - 1, 54 - 1) = "0", OFFSET($A$1, 3284 - 1, 55 - 1) = "1" ), 3, 4 ) ) )</f>
        <v>4</v>
      </c>
    </row>
    <row r="3285" spans="53:56" x14ac:dyDescent="0.35">
      <c r="BA3285" s="3">
        <v>0.21002947495026436</v>
      </c>
      <c r="BB3285" s="3" t="str">
        <f>"0"</f>
        <v>0</v>
      </c>
      <c r="BC3285" t="str">
        <f ca="1">IF((OFFSET($A$1, 3285 - 1, 53 - 1)) &gt;= (OFFSET($A$1, 69 - 1, 7 - 1)), "1","0")</f>
        <v>0</v>
      </c>
      <c r="BD3285">
        <f ca="1" xml:space="preserve"> IF( AND( OFFSET($A$1, 3285 - 1, 54 - 1) = "1", OFFSET($A$1, 3285 - 1, 55 - 1) = "1" ), 1, IF( AND( OFFSET($A$1, 3285 - 1, 54 - 1) = "1", OFFSET($A$1, 3285 - 1, 55 - 1) = "0" ), 2, IF( AND( OFFSET($A$1, 3285 - 1, 54 - 1) = "0", OFFSET($A$1, 3285 - 1, 55 - 1) = "1" ), 3, 4 ) ) )</f>
        <v>4</v>
      </c>
    </row>
    <row r="3286" spans="53:56" x14ac:dyDescent="0.35">
      <c r="BA3286" s="3">
        <v>0.20937310149523169</v>
      </c>
      <c r="BB3286" s="3" t="str">
        <f>"0"</f>
        <v>0</v>
      </c>
      <c r="BC3286" t="str">
        <f ca="1">IF((OFFSET($A$1, 3286 - 1, 53 - 1)) &gt;= (OFFSET($A$1, 69 - 1, 7 - 1)), "1","0")</f>
        <v>0</v>
      </c>
      <c r="BD3286">
        <f ca="1" xml:space="preserve"> IF( AND( OFFSET($A$1, 3286 - 1, 54 - 1) = "1", OFFSET($A$1, 3286 - 1, 55 - 1) = "1" ), 1, IF( AND( OFFSET($A$1, 3286 - 1, 54 - 1) = "1", OFFSET($A$1, 3286 - 1, 55 - 1) = "0" ), 2, IF( AND( OFFSET($A$1, 3286 - 1, 54 - 1) = "0", OFFSET($A$1, 3286 - 1, 55 - 1) = "1" ), 3, 4 ) ) )</f>
        <v>4</v>
      </c>
    </row>
    <row r="3287" spans="53:56" x14ac:dyDescent="0.35">
      <c r="BA3287" s="3">
        <v>0.20873182126474443</v>
      </c>
      <c r="BB3287" s="3" t="str">
        <f>"1"</f>
        <v>1</v>
      </c>
      <c r="BC3287" t="str">
        <f ca="1">IF((OFFSET($A$1, 3287 - 1, 53 - 1)) &gt;= (OFFSET($A$1, 69 - 1, 7 - 1)), "1","0")</f>
        <v>0</v>
      </c>
      <c r="BD3287">
        <f ca="1" xml:space="preserve"> IF( AND( OFFSET($A$1, 3287 - 1, 54 - 1) = "1", OFFSET($A$1, 3287 - 1, 55 - 1) = "1" ), 1, IF( AND( OFFSET($A$1, 3287 - 1, 54 - 1) = "1", OFFSET($A$1, 3287 - 1, 55 - 1) = "0" ), 2, IF( AND( OFFSET($A$1, 3287 - 1, 54 - 1) = "0", OFFSET($A$1, 3287 - 1, 55 - 1) = "1" ), 3, 4 ) ) )</f>
        <v>2</v>
      </c>
    </row>
    <row r="3288" spans="53:56" x14ac:dyDescent="0.35">
      <c r="BA3288" s="3">
        <v>0.45064982659554154</v>
      </c>
      <c r="BB3288" s="3" t="str">
        <f>"0"</f>
        <v>0</v>
      </c>
      <c r="BC3288" t="str">
        <f ca="1">IF((OFFSET($A$1, 3288 - 1, 53 - 1)) &gt;= (OFFSET($A$1, 69 - 1, 7 - 1)), "1","0")</f>
        <v>0</v>
      </c>
      <c r="BD3288">
        <f ca="1" xml:space="preserve"> IF( AND( OFFSET($A$1, 3288 - 1, 54 - 1) = "1", OFFSET($A$1, 3288 - 1, 55 - 1) = "1" ), 1, IF( AND( OFFSET($A$1, 3288 - 1, 54 - 1) = "1", OFFSET($A$1, 3288 - 1, 55 - 1) = "0" ), 2, IF( AND( OFFSET($A$1, 3288 - 1, 54 - 1) = "0", OFFSET($A$1, 3288 - 1, 55 - 1) = "1" ), 3, 4 ) ) )</f>
        <v>4</v>
      </c>
    </row>
    <row r="3289" spans="53:56" x14ac:dyDescent="0.35">
      <c r="BA3289" s="3">
        <v>0.2074949246510974</v>
      </c>
      <c r="BB3289" s="3" t="str">
        <f>"0"</f>
        <v>0</v>
      </c>
      <c r="BC3289" t="str">
        <f ca="1">IF((OFFSET($A$1, 3289 - 1, 53 - 1)) &gt;= (OFFSET($A$1, 69 - 1, 7 - 1)), "1","0")</f>
        <v>0</v>
      </c>
      <c r="BD3289">
        <f ca="1" xml:space="preserve"> IF( AND( OFFSET($A$1, 3289 - 1, 54 - 1) = "1", OFFSET($A$1, 3289 - 1, 55 - 1) = "1" ), 1, IF( AND( OFFSET($A$1, 3289 - 1, 54 - 1) = "1", OFFSET($A$1, 3289 - 1, 55 - 1) = "0" ), 2, IF( AND( OFFSET($A$1, 3289 - 1, 54 - 1) = "0", OFFSET($A$1, 3289 - 1, 55 - 1) = "1" ), 3, 4 ) ) )</f>
        <v>4</v>
      </c>
    </row>
    <row r="3290" spans="53:56" x14ac:dyDescent="0.35">
      <c r="BA3290" s="3">
        <v>0.20689949105340014</v>
      </c>
      <c r="BB3290" s="3" t="str">
        <f>"1"</f>
        <v>1</v>
      </c>
      <c r="BC3290" t="str">
        <f ca="1">IF((OFFSET($A$1, 3290 - 1, 53 - 1)) &gt;= (OFFSET($A$1, 69 - 1, 7 - 1)), "1","0")</f>
        <v>0</v>
      </c>
      <c r="BD3290">
        <f ca="1" xml:space="preserve"> IF( AND( OFFSET($A$1, 3290 - 1, 54 - 1) = "1", OFFSET($A$1, 3290 - 1, 55 - 1) = "1" ), 1, IF( AND( OFFSET($A$1, 3290 - 1, 54 - 1) = "1", OFFSET($A$1, 3290 - 1, 55 - 1) = "0" ), 2, IF( AND( OFFSET($A$1, 3290 - 1, 54 - 1) = "0", OFFSET($A$1, 3290 - 1, 55 - 1) = "1" ), 3, 4 ) ) )</f>
        <v>2</v>
      </c>
    </row>
    <row r="3291" spans="53:56" x14ac:dyDescent="0.35">
      <c r="BA3291" s="3">
        <v>0.44795944341343202</v>
      </c>
      <c r="BB3291" s="3" t="str">
        <f>"1"</f>
        <v>1</v>
      </c>
      <c r="BC3291" t="str">
        <f ca="1">IF((OFFSET($A$1, 3291 - 1, 53 - 1)) &gt;= (OFFSET($A$1, 69 - 1, 7 - 1)), "1","0")</f>
        <v>0</v>
      </c>
      <c r="BD3291">
        <f ca="1" xml:space="preserve"> IF( AND( OFFSET($A$1, 3291 - 1, 54 - 1) = "1", OFFSET($A$1, 3291 - 1, 55 - 1) = "1" ), 1, IF( AND( OFFSET($A$1, 3291 - 1, 54 - 1) = "1", OFFSET($A$1, 3291 - 1, 55 - 1) = "0" ), 2, IF( AND( OFFSET($A$1, 3291 - 1, 54 - 1) = "0", OFFSET($A$1, 3291 - 1, 55 - 1) = "1" ), 3, 4 ) ) )</f>
        <v>2</v>
      </c>
    </row>
    <row r="3292" spans="53:56" x14ac:dyDescent="0.35">
      <c r="BA3292" s="3">
        <v>0.44710634704894009</v>
      </c>
      <c r="BB3292" s="3" t="str">
        <f>"0"</f>
        <v>0</v>
      </c>
      <c r="BC3292" t="str">
        <f ca="1">IF((OFFSET($A$1, 3292 - 1, 53 - 1)) &gt;= (OFFSET($A$1, 69 - 1, 7 - 1)), "1","0")</f>
        <v>0</v>
      </c>
      <c r="BD3292">
        <f ca="1" xml:space="preserve"> IF( AND( OFFSET($A$1, 3292 - 1, 54 - 1) = "1", OFFSET($A$1, 3292 - 1, 55 - 1) = "1" ), 1, IF( AND( OFFSET($A$1, 3292 - 1, 54 - 1) = "1", OFFSET($A$1, 3292 - 1, 55 - 1) = "0" ), 2, IF( AND( OFFSET($A$1, 3292 - 1, 54 - 1) = "0", OFFSET($A$1, 3292 - 1, 55 - 1) = "1" ), 3, 4 ) ) )</f>
        <v>4</v>
      </c>
    </row>
    <row r="3293" spans="53:56" x14ac:dyDescent="0.35">
      <c r="BA3293" s="3">
        <v>0.2052062705319061</v>
      </c>
      <c r="BB3293" s="3" t="str">
        <f>"0"</f>
        <v>0</v>
      </c>
      <c r="BC3293" t="str">
        <f ca="1">IF((OFFSET($A$1, 3293 - 1, 53 - 1)) &gt;= (OFFSET($A$1, 69 - 1, 7 - 1)), "1","0")</f>
        <v>0</v>
      </c>
      <c r="BD3293">
        <f ca="1" xml:space="preserve"> IF( AND( OFFSET($A$1, 3293 - 1, 54 - 1) = "1", OFFSET($A$1, 3293 - 1, 55 - 1) = "1" ), 1, IF( AND( OFFSET($A$1, 3293 - 1, 54 - 1) = "1", OFFSET($A$1, 3293 - 1, 55 - 1) = "0" ), 2, IF( AND( OFFSET($A$1, 3293 - 1, 54 - 1) = "0", OFFSET($A$1, 3293 - 1, 55 - 1) = "1" ), 3, 4 ) ) )</f>
        <v>4</v>
      </c>
    </row>
    <row r="3294" spans="53:56" x14ac:dyDescent="0.35">
      <c r="BA3294" s="3">
        <v>0.2046731540561598</v>
      </c>
      <c r="BB3294" s="3" t="str">
        <f>"0"</f>
        <v>0</v>
      </c>
      <c r="BC3294" t="str">
        <f ca="1">IF((OFFSET($A$1, 3294 - 1, 53 - 1)) &gt;= (OFFSET($A$1, 69 - 1, 7 - 1)), "1","0")</f>
        <v>0</v>
      </c>
      <c r="BD3294">
        <f ca="1" xml:space="preserve"> IF( AND( OFFSET($A$1, 3294 - 1, 54 - 1) = "1", OFFSET($A$1, 3294 - 1, 55 - 1) = "1" ), 1, IF( AND( OFFSET($A$1, 3294 - 1, 54 - 1) = "1", OFFSET($A$1, 3294 - 1, 55 - 1) = "0" ), 2, IF( AND( OFFSET($A$1, 3294 - 1, 54 - 1) = "0", OFFSET($A$1, 3294 - 1, 55 - 1) = "1" ), 3, 4 ) ) )</f>
        <v>4</v>
      </c>
    </row>
    <row r="3295" spans="53:56" x14ac:dyDescent="0.35">
      <c r="BA3295" s="3">
        <v>0.20415580627454791</v>
      </c>
      <c r="BB3295" s="3" t="str">
        <f>"0"</f>
        <v>0</v>
      </c>
      <c r="BC3295" t="str">
        <f ca="1">IF((OFFSET($A$1, 3295 - 1, 53 - 1)) &gt;= (OFFSET($A$1, 69 - 1, 7 - 1)), "1","0")</f>
        <v>0</v>
      </c>
      <c r="BD3295">
        <f ca="1" xml:space="preserve"> IF( AND( OFFSET($A$1, 3295 - 1, 54 - 1) = "1", OFFSET($A$1, 3295 - 1, 55 - 1) = "1" ), 1, IF( AND( OFFSET($A$1, 3295 - 1, 54 - 1) = "1", OFFSET($A$1, 3295 - 1, 55 - 1) = "0" ), 2, IF( AND( OFFSET($A$1, 3295 - 1, 54 - 1) = "0", OFFSET($A$1, 3295 - 1, 55 - 1) = "1" ), 3, 4 ) ) )</f>
        <v>4</v>
      </c>
    </row>
    <row r="3296" spans="53:56" x14ac:dyDescent="0.35">
      <c r="BA3296" s="3">
        <v>0.2036542964907854</v>
      </c>
      <c r="BB3296" s="3" t="str">
        <f>"0"</f>
        <v>0</v>
      </c>
      <c r="BC3296" t="str">
        <f ca="1">IF((OFFSET($A$1, 3296 - 1, 53 - 1)) &gt;= (OFFSET($A$1, 69 - 1, 7 - 1)), "1","0")</f>
        <v>0</v>
      </c>
      <c r="BD3296">
        <f ca="1" xml:space="preserve"> IF( AND( OFFSET($A$1, 3296 - 1, 54 - 1) = "1", OFFSET($A$1, 3296 - 1, 55 - 1) = "1" ), 1, IF( AND( OFFSET($A$1, 3296 - 1, 54 - 1) = "1", OFFSET($A$1, 3296 - 1, 55 - 1) = "0" ), 2, IF( AND( OFFSET($A$1, 3296 - 1, 54 - 1) = "0", OFFSET($A$1, 3296 - 1, 55 - 1) = "1" ), 3, 4 ) ) )</f>
        <v>4</v>
      </c>
    </row>
    <row r="3297" spans="53:56" x14ac:dyDescent="0.35">
      <c r="BA3297" s="3">
        <v>0.20316869091891213</v>
      </c>
      <c r="BB3297" s="3" t="str">
        <f>"0"</f>
        <v>0</v>
      </c>
      <c r="BC3297" t="str">
        <f ca="1">IF((OFFSET($A$1, 3297 - 1, 53 - 1)) &gt;= (OFFSET($A$1, 69 - 1, 7 - 1)), "1","0")</f>
        <v>0</v>
      </c>
      <c r="BD3297">
        <f ca="1" xml:space="preserve"> IF( AND( OFFSET($A$1, 3297 - 1, 54 - 1) = "1", OFFSET($A$1, 3297 - 1, 55 - 1) = "1" ), 1, IF( AND( OFFSET($A$1, 3297 - 1, 54 - 1) = "1", OFFSET($A$1, 3297 - 1, 55 - 1) = "0" ), 2, IF( AND( OFFSET($A$1, 3297 - 1, 54 - 1) = "0", OFFSET($A$1, 3297 - 1, 55 - 1) = "1" ), 3, 4 ) ) )</f>
        <v>4</v>
      </c>
    </row>
    <row r="3298" spans="53:56" x14ac:dyDescent="0.35">
      <c r="BA3298" s="3">
        <v>0.2026990527620095</v>
      </c>
      <c r="BB3298" s="3" t="str">
        <f>"0"</f>
        <v>0</v>
      </c>
      <c r="BC3298" t="str">
        <f ca="1">IF((OFFSET($A$1, 3298 - 1, 53 - 1)) &gt;= (OFFSET($A$1, 69 - 1, 7 - 1)), "1","0")</f>
        <v>0</v>
      </c>
      <c r="BD3298">
        <f ca="1" xml:space="preserve"> IF( AND( OFFSET($A$1, 3298 - 1, 54 - 1) = "1", OFFSET($A$1, 3298 - 1, 55 - 1) = "1" ), 1, IF( AND( OFFSET($A$1, 3298 - 1, 54 - 1) = "1", OFFSET($A$1, 3298 - 1, 55 - 1) = "0" ), 2, IF( AND( OFFSET($A$1, 3298 - 1, 54 - 1) = "0", OFFSET($A$1, 3298 - 1, 55 - 1) = "1" ), 3, 4 ) ) )</f>
        <v>4</v>
      </c>
    </row>
    <row r="3299" spans="53:56" x14ac:dyDescent="0.35">
      <c r="BA3299" s="3">
        <v>0.20224544228950256</v>
      </c>
      <c r="BB3299" s="3" t="str">
        <f>"0"</f>
        <v>0</v>
      </c>
      <c r="BC3299" t="str">
        <f ca="1">IF((OFFSET($A$1, 3299 - 1, 53 - 1)) &gt;= (OFFSET($A$1, 69 - 1, 7 - 1)), "1","0")</f>
        <v>0</v>
      </c>
      <c r="BD3299">
        <f ca="1" xml:space="preserve"> IF( AND( OFFSET($A$1, 3299 - 1, 54 - 1) = "1", OFFSET($A$1, 3299 - 1, 55 - 1) = "1" ), 1, IF( AND( OFFSET($A$1, 3299 - 1, 54 - 1) = "1", OFFSET($A$1, 3299 - 1, 55 - 1) = "0" ), 2, IF( AND( OFFSET($A$1, 3299 - 1, 54 - 1) = "0", OFFSET($A$1, 3299 - 1, 55 - 1) = "1" ), 3, 4 ) ) )</f>
        <v>4</v>
      </c>
    </row>
    <row r="3300" spans="53:56" x14ac:dyDescent="0.35">
      <c r="BA3300" s="3">
        <v>0.20180791691292313</v>
      </c>
      <c r="BB3300" s="3" t="str">
        <f>"0"</f>
        <v>0</v>
      </c>
      <c r="BC3300" t="str">
        <f ca="1">IF((OFFSET($A$1, 3300 - 1, 53 - 1)) &gt;= (OFFSET($A$1, 69 - 1, 7 - 1)), "1","0")</f>
        <v>0</v>
      </c>
      <c r="BD3300">
        <f ca="1" xml:space="preserve"> IF( AND( OFFSET($A$1, 3300 - 1, 54 - 1) = "1", OFFSET($A$1, 3300 - 1, 55 - 1) = "1" ), 1, IF( AND( OFFSET($A$1, 3300 - 1, 54 - 1) = "1", OFFSET($A$1, 3300 - 1, 55 - 1) = "0" ), 2, IF( AND( OFFSET($A$1, 3300 - 1, 54 - 1) = "0", OFFSET($A$1, 3300 - 1, 55 - 1) = "1" ), 3, 4 ) ) )</f>
        <v>4</v>
      </c>
    </row>
    <row r="3301" spans="53:56" x14ac:dyDescent="0.35">
      <c r="BA3301" s="3">
        <v>0.20138653126002265</v>
      </c>
      <c r="BB3301" s="3" t="str">
        <f>"0"</f>
        <v>0</v>
      </c>
      <c r="BC3301" t="str">
        <f ca="1">IF((OFFSET($A$1, 3301 - 1, 53 - 1)) &gt;= (OFFSET($A$1, 69 - 1, 7 - 1)), "1","0")</f>
        <v>0</v>
      </c>
      <c r="BD3301">
        <f ca="1" xml:space="preserve"> IF( AND( OFFSET($A$1, 3301 - 1, 54 - 1) = "1", OFFSET($A$1, 3301 - 1, 55 - 1) = "1" ), 1, IF( AND( OFFSET($A$1, 3301 - 1, 54 - 1) = "1", OFFSET($A$1, 3301 - 1, 55 - 1) = "0" ), 2, IF( AND( OFFSET($A$1, 3301 - 1, 54 - 1) = "0", OFFSET($A$1, 3301 - 1, 55 - 1) = "1" ), 3, 4 ) ) )</f>
        <v>4</v>
      </c>
    </row>
    <row r="3302" spans="53:56" x14ac:dyDescent="0.35">
      <c r="BA3302" s="3">
        <v>0.20098133724711784</v>
      </c>
      <c r="BB3302" s="3" t="str">
        <f>"0"</f>
        <v>0</v>
      </c>
      <c r="BC3302" t="str">
        <f ca="1">IF((OFFSET($A$1, 3302 - 1, 53 - 1)) &gt;= (OFFSET($A$1, 69 - 1, 7 - 1)), "1","0")</f>
        <v>0</v>
      </c>
      <c r="BD3302">
        <f ca="1" xml:space="preserve"> IF( AND( OFFSET($A$1, 3302 - 1, 54 - 1) = "1", OFFSET($A$1, 3302 - 1, 55 - 1) = "1" ), 1, IF( AND( OFFSET($A$1, 3302 - 1, 54 - 1) = "1", OFFSET($A$1, 3302 - 1, 55 - 1) = "0" ), 2, IF( AND( OFFSET($A$1, 3302 - 1, 54 - 1) = "0", OFFSET($A$1, 3302 - 1, 55 - 1) = "1" ), 3, 4 ) ) )</f>
        <v>4</v>
      </c>
    </row>
    <row r="3303" spans="53:56" x14ac:dyDescent="0.35">
      <c r="BA3303" s="3">
        <v>0.2005923841495707</v>
      </c>
      <c r="BB3303" s="3" t="str">
        <f>"0"</f>
        <v>0</v>
      </c>
      <c r="BC3303" t="str">
        <f ca="1">IF((OFFSET($A$1, 3303 - 1, 53 - 1)) &gt;= (OFFSET($A$1, 69 - 1, 7 - 1)), "1","0")</f>
        <v>0</v>
      </c>
      <c r="BD3303">
        <f ca="1" xml:space="preserve"> IF( AND( OFFSET($A$1, 3303 - 1, 54 - 1) = "1", OFFSET($A$1, 3303 - 1, 55 - 1) = "1" ), 1, IF( AND( OFFSET($A$1, 3303 - 1, 54 - 1) = "1", OFFSET($A$1, 3303 - 1, 55 - 1) = "0" ), 2, IF( AND( OFFSET($A$1, 3303 - 1, 54 - 1) = "0", OFFSET($A$1, 3303 - 1, 55 - 1) = "1" ), 3, 4 ) ) )</f>
        <v>4</v>
      </c>
    </row>
    <row r="3304" spans="53:56" x14ac:dyDescent="0.35">
      <c r="BA3304" s="3">
        <v>0.20021971867028948</v>
      </c>
      <c r="BB3304" s="3" t="str">
        <f>"0"</f>
        <v>0</v>
      </c>
      <c r="BC3304" t="str">
        <f ca="1">IF((OFFSET($A$1, 3304 - 1, 53 - 1)) &gt;= (OFFSET($A$1, 69 - 1, 7 - 1)), "1","0")</f>
        <v>0</v>
      </c>
      <c r="BD3304">
        <f ca="1" xml:space="preserve"> IF( AND( OFFSET($A$1, 3304 - 1, 54 - 1) = "1", OFFSET($A$1, 3304 - 1, 55 - 1) = "1" ), 1, IF( AND( OFFSET($A$1, 3304 - 1, 54 - 1) = "1", OFFSET($A$1, 3304 - 1, 55 - 1) = "0" ), 2, IF( AND( OFFSET($A$1, 3304 - 1, 54 - 1) = "0", OFFSET($A$1, 3304 - 1, 55 - 1) = "1" ), 3, 4 ) ) )</f>
        <v>4</v>
      </c>
    </row>
    <row r="3305" spans="53:56" x14ac:dyDescent="0.35">
      <c r="BA3305" s="3">
        <v>0.19986338500616141</v>
      </c>
      <c r="BB3305" s="3" t="str">
        <f>"0"</f>
        <v>0</v>
      </c>
      <c r="BC3305" t="str">
        <f ca="1">IF((OFFSET($A$1, 3305 - 1, 53 - 1)) &gt;= (OFFSET($A$1, 69 - 1, 7 - 1)), "1","0")</f>
        <v>0</v>
      </c>
      <c r="BD3305">
        <f ca="1" xml:space="preserve"> IF( AND( OFFSET($A$1, 3305 - 1, 54 - 1) = "1", OFFSET($A$1, 3305 - 1, 55 - 1) = "1" ), 1, IF( AND( OFFSET($A$1, 3305 - 1, 54 - 1) = "1", OFFSET($A$1, 3305 - 1, 55 - 1) = "0" ), 2, IF( AND( OFFSET($A$1, 3305 - 1, 54 - 1) = "0", OFFSET($A$1, 3305 - 1, 55 - 1) = "1" ), 3, 4 ) ) )</f>
        <v>4</v>
      </c>
    </row>
    <row r="3306" spans="53:56" x14ac:dyDescent="0.35">
      <c r="BA3306" s="3">
        <v>0.19952342491231986</v>
      </c>
      <c r="BB3306" s="3" t="str">
        <f>"0"</f>
        <v>0</v>
      </c>
      <c r="BC3306" t="str">
        <f ca="1">IF((OFFSET($A$1, 3306 - 1, 53 - 1)) &gt;= (OFFSET($A$1, 69 - 1, 7 - 1)), "1","0")</f>
        <v>0</v>
      </c>
      <c r="BD3306">
        <f ca="1" xml:space="preserve"> IF( AND( OFFSET($A$1, 3306 - 1, 54 - 1) = "1", OFFSET($A$1, 3306 - 1, 55 - 1) = "1" ), 1, IF( AND( OFFSET($A$1, 3306 - 1, 54 - 1) = "1", OFFSET($A$1, 3306 - 1, 55 - 1) = "0" ), 2, IF( AND( OFFSET($A$1, 3306 - 1, 54 - 1) = "0", OFFSET($A$1, 3306 - 1, 55 - 1) = "1" ), 3, 4 ) ) )</f>
        <v>4</v>
      </c>
    </row>
    <row r="3307" spans="53:56" x14ac:dyDescent="0.35">
      <c r="BA3307" s="3">
        <v>0.19919987776415399</v>
      </c>
      <c r="BB3307" s="3" t="str">
        <f>"0"</f>
        <v>0</v>
      </c>
      <c r="BC3307" t="str">
        <f ca="1">IF((OFFSET($A$1, 3307 - 1, 53 - 1)) &gt;= (OFFSET($A$1, 69 - 1, 7 - 1)), "1","0")</f>
        <v>0</v>
      </c>
      <c r="BD3307">
        <f ca="1" xml:space="preserve"> IF( AND( OFFSET($A$1, 3307 - 1, 54 - 1) = "1", OFFSET($A$1, 3307 - 1, 55 - 1) = "1" ), 1, IF( AND( OFFSET($A$1, 3307 - 1, 54 - 1) = "1", OFFSET($A$1, 3307 - 1, 55 - 1) = "0" ), 2, IF( AND( OFFSET($A$1, 3307 - 1, 54 - 1) = "0", OFFSET($A$1, 3307 - 1, 55 - 1) = "1" ), 3, 4 ) ) )</f>
        <v>4</v>
      </c>
    </row>
    <row r="3308" spans="53:56" x14ac:dyDescent="0.35">
      <c r="BA3308" s="3">
        <v>0.19889278061698237</v>
      </c>
      <c r="BB3308" s="3" t="str">
        <f>"0"</f>
        <v>0</v>
      </c>
      <c r="BC3308" t="str">
        <f ca="1">IF((OFFSET($A$1, 3308 - 1, 53 - 1)) &gt;= (OFFSET($A$1, 69 - 1, 7 - 1)), "1","0")</f>
        <v>0</v>
      </c>
      <c r="BD3308">
        <f ca="1" xml:space="preserve"> IF( AND( OFFSET($A$1, 3308 - 1, 54 - 1) = "1", OFFSET($A$1, 3308 - 1, 55 - 1) = "1" ), 1, IF( AND( OFFSET($A$1, 3308 - 1, 54 - 1) = "1", OFFSET($A$1, 3308 - 1, 55 - 1) = "0" ), 2, IF( AND( OFFSET($A$1, 3308 - 1, 54 - 1) = "0", OFFSET($A$1, 3308 - 1, 55 - 1) = "1" ), 3, 4 ) ) )</f>
        <v>4</v>
      </c>
    </row>
    <row r="3309" spans="53:56" x14ac:dyDescent="0.35">
      <c r="BA3309" s="3">
        <v>0.19860216826330088</v>
      </c>
      <c r="BB3309" s="3" t="str">
        <f>"0"</f>
        <v>0</v>
      </c>
      <c r="BC3309" t="str">
        <f ca="1">IF((OFFSET($A$1, 3309 - 1, 53 - 1)) &gt;= (OFFSET($A$1, 69 - 1, 7 - 1)), "1","0")</f>
        <v>0</v>
      </c>
      <c r="BD3309">
        <f ca="1" xml:space="preserve"> IF( AND( OFFSET($A$1, 3309 - 1, 54 - 1) = "1", OFFSET($A$1, 3309 - 1, 55 - 1) = "1" ), 1, IF( AND( OFFSET($A$1, 3309 - 1, 54 - 1) = "1", OFFSET($A$1, 3309 - 1, 55 - 1) = "0" ), 2, IF( AND( OFFSET($A$1, 3309 - 1, 54 - 1) = "0", OFFSET($A$1, 3309 - 1, 55 - 1) = "1" ), 3, 4 ) ) )</f>
        <v>4</v>
      </c>
    </row>
    <row r="3310" spans="53:56" x14ac:dyDescent="0.35">
      <c r="BA3310" s="3">
        <v>0.1983280732875356</v>
      </c>
      <c r="BB3310" s="3" t="str">
        <f>"0"</f>
        <v>0</v>
      </c>
      <c r="BC3310" t="str">
        <f ca="1">IF((OFFSET($A$1, 3310 - 1, 53 - 1)) &gt;= (OFFSET($A$1, 69 - 1, 7 - 1)), "1","0")</f>
        <v>0</v>
      </c>
      <c r="BD3310">
        <f ca="1" xml:space="preserve"> IF( AND( OFFSET($A$1, 3310 - 1, 54 - 1) = "1", OFFSET($A$1, 3310 - 1, 55 - 1) = "1" ), 1, IF( AND( OFFSET($A$1, 3310 - 1, 54 - 1) = "1", OFFSET($A$1, 3310 - 1, 55 - 1) = "0" ), 2, IF( AND( OFFSET($A$1, 3310 - 1, 54 - 1) = "0", OFFSET($A$1, 3310 - 1, 55 - 1) = "1" ), 3, 4 ) ) )</f>
        <v>4</v>
      </c>
    </row>
    <row r="3311" spans="53:56" x14ac:dyDescent="0.35">
      <c r="BA3311" s="3">
        <v>0.19807052611822423</v>
      </c>
      <c r="BB3311" s="3" t="str">
        <f>"0"</f>
        <v>0</v>
      </c>
      <c r="BC3311" t="str">
        <f ca="1">IF((OFFSET($A$1, 3311 - 1, 53 - 1)) &gt;= (OFFSET($A$1, 69 - 1, 7 - 1)), "1","0")</f>
        <v>0</v>
      </c>
      <c r="BD3311">
        <f ca="1" xml:space="preserve"> IF( AND( OFFSET($A$1, 3311 - 1, 54 - 1) = "1", OFFSET($A$1, 3311 - 1, 55 - 1) = "1" ), 1, IF( AND( OFFSET($A$1, 3311 - 1, 54 - 1) = "1", OFFSET($A$1, 3311 - 1, 55 - 1) = "0" ), 2, IF( AND( OFFSET($A$1, 3311 - 1, 54 - 1) = "0", OFFSET($A$1, 3311 - 1, 55 - 1) = "1" ), 3, 4 ) ) )</f>
        <v>4</v>
      </c>
    </row>
    <row r="3312" spans="53:56" x14ac:dyDescent="0.35">
      <c r="BA3312" s="3">
        <v>0.19782955507755923</v>
      </c>
      <c r="BB3312" s="3" t="str">
        <f>"0"</f>
        <v>0</v>
      </c>
      <c r="BC3312" t="str">
        <f ca="1">IF((OFFSET($A$1, 3312 - 1, 53 - 1)) &gt;= (OFFSET($A$1, 69 - 1, 7 - 1)), "1","0")</f>
        <v>0</v>
      </c>
      <c r="BD3312">
        <f ca="1" xml:space="preserve"> IF( AND( OFFSET($A$1, 3312 - 1, 54 - 1) = "1", OFFSET($A$1, 3312 - 1, 55 - 1) = "1" ), 1, IF( AND( OFFSET($A$1, 3312 - 1, 54 - 1) = "1", OFFSET($A$1, 3312 - 1, 55 - 1) = "0" ), 2, IF( AND( OFFSET($A$1, 3312 - 1, 54 - 1) = "0", OFFSET($A$1, 3312 - 1, 55 - 1) = "1" ), 3, 4 ) ) )</f>
        <v>4</v>
      </c>
    </row>
    <row r="3313" spans="53:56" x14ac:dyDescent="0.35">
      <c r="BA3313" s="3">
        <v>0.197605186428227</v>
      </c>
      <c r="BB3313" s="3" t="str">
        <f>"0"</f>
        <v>0</v>
      </c>
      <c r="BC3313" t="str">
        <f ca="1">IF((OFFSET($A$1, 3313 - 1, 53 - 1)) &gt;= (OFFSET($A$1, 69 - 1, 7 - 1)), "1","0")</f>
        <v>0</v>
      </c>
      <c r="BD3313">
        <f ca="1" xml:space="preserve"> IF( AND( OFFSET($A$1, 3313 - 1, 54 - 1) = "1", OFFSET($A$1, 3313 - 1, 55 - 1) = "1" ), 1, IF( AND( OFFSET($A$1, 3313 - 1, 54 - 1) = "1", OFFSET($A$1, 3313 - 1, 55 - 1) = "0" ), 2, IF( AND( OFFSET($A$1, 3313 - 1, 54 - 1) = "0", OFFSET($A$1, 3313 - 1, 55 - 1) = "1" ), 3, 4 ) ) )</f>
        <v>4</v>
      </c>
    </row>
    <row r="3314" spans="53:56" x14ac:dyDescent="0.35">
      <c r="BA3314" s="3">
        <v>0.19739744441748658</v>
      </c>
      <c r="BB3314" s="3" t="str">
        <f>"0"</f>
        <v>0</v>
      </c>
      <c r="BC3314" t="str">
        <f ca="1">IF((OFFSET($A$1, 3314 - 1, 53 - 1)) &gt;= (OFFSET($A$1, 69 - 1, 7 - 1)), "1","0")</f>
        <v>0</v>
      </c>
      <c r="BD3314">
        <f ca="1" xml:space="preserve"> IF( AND( OFFSET($A$1, 3314 - 1, 54 - 1) = "1", OFFSET($A$1, 3314 - 1, 55 - 1) = "1" ), 1, IF( AND( OFFSET($A$1, 3314 - 1, 54 - 1) = "1", OFFSET($A$1, 3314 - 1, 55 - 1) = "0" ), 2, IF( AND( OFFSET($A$1, 3314 - 1, 54 - 1) = "0", OFFSET($A$1, 3314 - 1, 55 - 1) = "1" ), 3, 4 ) ) )</f>
        <v>4</v>
      </c>
    </row>
    <row r="3315" spans="53:56" x14ac:dyDescent="0.35">
      <c r="BA3315" s="3">
        <v>0.19720635131842712</v>
      </c>
      <c r="BB3315" s="3" t="str">
        <f>"0"</f>
        <v>0</v>
      </c>
      <c r="BC3315" t="str">
        <f ca="1">IF((OFFSET($A$1, 3315 - 1, 53 - 1)) &gt;= (OFFSET($A$1, 69 - 1, 7 - 1)), "1","0")</f>
        <v>0</v>
      </c>
      <c r="BD3315">
        <f ca="1" xml:space="preserve"> IF( AND( OFFSET($A$1, 3315 - 1, 54 - 1) = "1", OFFSET($A$1, 3315 - 1, 55 - 1) = "1" ), 1, IF( AND( OFFSET($A$1, 3315 - 1, 54 - 1) = "1", OFFSET($A$1, 3315 - 1, 55 - 1) = "0" ), 2, IF( AND( OFFSET($A$1, 3315 - 1, 54 - 1) = "0", OFFSET($A$1, 3315 - 1, 55 - 1) = "1" ), 3, 4 ) ) )</f>
        <v>4</v>
      </c>
    </row>
    <row r="3316" spans="53:56" x14ac:dyDescent="0.35">
      <c r="BA3316" s="3">
        <v>0.19703192746835668</v>
      </c>
      <c r="BB3316" s="3" t="str">
        <f>"0"</f>
        <v>0</v>
      </c>
      <c r="BC3316" t="str">
        <f ca="1">IF((OFFSET($A$1, 3316 - 1, 53 - 1)) &gt;= (OFFSET($A$1, 69 - 1, 7 - 1)), "1","0")</f>
        <v>0</v>
      </c>
      <c r="BD3316">
        <f ca="1" xml:space="preserve"> IF( AND( OFFSET($A$1, 3316 - 1, 54 - 1) = "1", OFFSET($A$1, 3316 - 1, 55 - 1) = "1" ), 1, IF( AND( OFFSET($A$1, 3316 - 1, 54 - 1) = "1", OFFSET($A$1, 3316 - 1, 55 - 1) = "0" ), 2, IF( AND( OFFSET($A$1, 3316 - 1, 54 - 1) = "0", OFFSET($A$1, 3316 - 1, 55 - 1) = "1" ), 3, 4 ) ) )</f>
        <v>4</v>
      </c>
    </row>
    <row r="3317" spans="53:56" x14ac:dyDescent="0.35">
      <c r="BA3317" s="3">
        <v>0.19687419130427167</v>
      </c>
      <c r="BB3317" s="3" t="str">
        <f>"0"</f>
        <v>0</v>
      </c>
      <c r="BC3317" t="str">
        <f ca="1">IF((OFFSET($A$1, 3317 - 1, 53 - 1)) &gt;= (OFFSET($A$1, 69 - 1, 7 - 1)), "1","0")</f>
        <v>0</v>
      </c>
      <c r="BD3317">
        <f ca="1" xml:space="preserve"> IF( AND( OFFSET($A$1, 3317 - 1, 54 - 1) = "1", OFFSET($A$1, 3317 - 1, 55 - 1) = "1" ), 1, IF( AND( OFFSET($A$1, 3317 - 1, 54 - 1) = "1", OFFSET($A$1, 3317 - 1, 55 - 1) = "0" ), 2, IF( AND( OFFSET($A$1, 3317 - 1, 54 - 1) = "0", OFFSET($A$1, 3317 - 1, 55 - 1) = "1" ), 3, 4 ) ) )</f>
        <v>4</v>
      </c>
    </row>
    <row r="3318" spans="53:56" x14ac:dyDescent="0.35">
      <c r="BA3318" s="3">
        <v>0.19673315939536459</v>
      </c>
      <c r="BB3318" s="3" t="str">
        <f>"0"</f>
        <v>0</v>
      </c>
      <c r="BC3318" t="str">
        <f ca="1">IF((OFFSET($A$1, 3318 - 1, 53 - 1)) &gt;= (OFFSET($A$1, 69 - 1, 7 - 1)), "1","0")</f>
        <v>0</v>
      </c>
      <c r="BD3318">
        <f ca="1" xml:space="preserve"> IF( AND( OFFSET($A$1, 3318 - 1, 54 - 1) = "1", OFFSET($A$1, 3318 - 1, 55 - 1) = "1" ), 1, IF( AND( OFFSET($A$1, 3318 - 1, 54 - 1) = "1", OFFSET($A$1, 3318 - 1, 55 - 1) = "0" ), 2, IF( AND( OFFSET($A$1, 3318 - 1, 54 - 1) = "0", OFFSET($A$1, 3318 - 1, 55 - 1) = "1" ), 3, 4 ) ) )</f>
        <v>4</v>
      </c>
    </row>
    <row r="3319" spans="53:56" x14ac:dyDescent="0.35">
      <c r="BA3319" s="3">
        <v>0.19660884647253002</v>
      </c>
      <c r="BB3319" s="3" t="str">
        <f>"0"</f>
        <v>0</v>
      </c>
      <c r="BC3319" t="str">
        <f ca="1">IF((OFFSET($A$1, 3319 - 1, 53 - 1)) &gt;= (OFFSET($A$1, 69 - 1, 7 - 1)), "1","0")</f>
        <v>0</v>
      </c>
      <c r="BD3319">
        <f ca="1" xml:space="preserve"> IF( AND( OFFSET($A$1, 3319 - 1, 54 - 1) = "1", OFFSET($A$1, 3319 - 1, 55 - 1) = "1" ), 1, IF( AND( OFFSET($A$1, 3319 - 1, 54 - 1) = "1", OFFSET($A$1, 3319 - 1, 55 - 1) = "0" ), 2, IF( AND( OFFSET($A$1, 3319 - 1, 54 - 1) = "0", OFFSET($A$1, 3319 - 1, 55 - 1) = "1" ), 3, 4 ) ) )</f>
        <v>4</v>
      </c>
    </row>
    <row r="3320" spans="53:56" x14ac:dyDescent="0.35">
      <c r="BA3320" s="3">
        <v>0.19650126545483204</v>
      </c>
      <c r="BB3320" s="3" t="str">
        <f>"0"</f>
        <v>0</v>
      </c>
      <c r="BC3320" t="str">
        <f ca="1">IF((OFFSET($A$1, 3320 - 1, 53 - 1)) &gt;= (OFFSET($A$1, 69 - 1, 7 - 1)), "1","0")</f>
        <v>0</v>
      </c>
      <c r="BD3320">
        <f ca="1" xml:space="preserve"> IF( AND( OFFSET($A$1, 3320 - 1, 54 - 1) = "1", OFFSET($A$1, 3320 - 1, 55 - 1) = "1" ), 1, IF( AND( OFFSET($A$1, 3320 - 1, 54 - 1) = "1", OFFSET($A$1, 3320 - 1, 55 - 1) = "0" ), 2, IF( AND( OFFSET($A$1, 3320 - 1, 54 - 1) = "0", OFFSET($A$1, 3320 - 1, 55 - 1) = "1" ), 3, 4 ) ) )</f>
        <v>4</v>
      </c>
    </row>
    <row r="3321" spans="53:56" x14ac:dyDescent="0.35">
      <c r="BA3321" s="3">
        <v>0.19641042747290258</v>
      </c>
      <c r="BB3321" s="3" t="str">
        <f>"0"</f>
        <v>0</v>
      </c>
      <c r="BC3321" t="str">
        <f ca="1">IF((OFFSET($A$1, 3321 - 1, 53 - 1)) &gt;= (OFFSET($A$1, 69 - 1, 7 - 1)), "1","0")</f>
        <v>0</v>
      </c>
      <c r="BD3321">
        <f ca="1" xml:space="preserve"> IF( AND( OFFSET($A$1, 3321 - 1, 54 - 1) = "1", OFFSET($A$1, 3321 - 1, 55 - 1) = "1" ), 1, IF( AND( OFFSET($A$1, 3321 - 1, 54 - 1) = "1", OFFSET($A$1, 3321 - 1, 55 - 1) = "0" ), 2, IF( AND( OFFSET($A$1, 3321 - 1, 54 - 1) = "0", OFFSET($A$1, 3321 - 1, 55 - 1) = "1" ), 3, 4 ) ) )</f>
        <v>4</v>
      </c>
    </row>
    <row r="3322" spans="53:56" x14ac:dyDescent="0.35">
      <c r="BA3322" s="3">
        <v>0.19633634188924054</v>
      </c>
      <c r="BB3322" s="3" t="str">
        <f>"0"</f>
        <v>0</v>
      </c>
      <c r="BC3322" t="str">
        <f ca="1">IF((OFFSET($A$1, 3322 - 1, 53 - 1)) &gt;= (OFFSET($A$1, 69 - 1, 7 - 1)), "1","0")</f>
        <v>0</v>
      </c>
      <c r="BD3322">
        <f ca="1" xml:space="preserve"> IF( AND( OFFSET($A$1, 3322 - 1, 54 - 1) = "1", OFFSET($A$1, 3322 - 1, 55 - 1) = "1" ), 1, IF( AND( OFFSET($A$1, 3322 - 1, 54 - 1) = "1", OFFSET($A$1, 3322 - 1, 55 - 1) = "0" ), 2, IF( AND( OFFSET($A$1, 3322 - 1, 54 - 1) = "0", OFFSET($A$1, 3322 - 1, 55 - 1) = "1" ), 3, 4 ) ) )</f>
        <v>4</v>
      </c>
    </row>
    <row r="3323" spans="53:56" x14ac:dyDescent="0.35">
      <c r="BA3323" s="3">
        <v>0.19627901631538985</v>
      </c>
      <c r="BB3323" s="3" t="str">
        <f>"0"</f>
        <v>0</v>
      </c>
      <c r="BC3323" t="str">
        <f ca="1">IF((OFFSET($A$1, 3323 - 1, 53 - 1)) &gt;= (OFFSET($A$1, 69 - 1, 7 - 1)), "1","0")</f>
        <v>0</v>
      </c>
      <c r="BD3323">
        <f ca="1" xml:space="preserve"> IF( AND( OFFSET($A$1, 3323 - 1, 54 - 1) = "1", OFFSET($A$1, 3323 - 1, 55 - 1) = "1" ), 1, IF( AND( OFFSET($A$1, 3323 - 1, 54 - 1) = "1", OFFSET($A$1, 3323 - 1, 55 - 1) = "0" ), 2, IF( AND( OFFSET($A$1, 3323 - 1, 54 - 1) = "0", OFFSET($A$1, 3323 - 1, 55 - 1) = "1" ), 3, 4 ) ) )</f>
        <v>4</v>
      </c>
    </row>
    <row r="3324" spans="53:56" x14ac:dyDescent="0.35">
      <c r="BA3324" s="3">
        <v>0.1962384566259735</v>
      </c>
      <c r="BB3324" s="3" t="str">
        <f>"0"</f>
        <v>0</v>
      </c>
      <c r="BC3324" t="str">
        <f ca="1">IF((OFFSET($A$1, 3324 - 1, 53 - 1)) &gt;= (OFFSET($A$1, 69 - 1, 7 - 1)), "1","0")</f>
        <v>0</v>
      </c>
      <c r="BD3324">
        <f ca="1" xml:space="preserve"> IF( AND( OFFSET($A$1, 3324 - 1, 54 - 1) = "1", OFFSET($A$1, 3324 - 1, 55 - 1) = "1" ), 1, IF( AND( OFFSET($A$1, 3324 - 1, 54 - 1) = "1", OFFSET($A$1, 3324 - 1, 55 - 1) = "0" ), 2, IF( AND( OFFSET($A$1, 3324 - 1, 54 - 1) = "0", OFFSET($A$1, 3324 - 1, 55 - 1) = "1" ), 3, 4 ) ) )</f>
        <v>4</v>
      </c>
    </row>
    <row r="3325" spans="53:56" x14ac:dyDescent="0.35">
      <c r="BA3325" s="3">
        <v>0.19621466696956844</v>
      </c>
      <c r="BB3325" s="3" t="str">
        <f>"0"</f>
        <v>0</v>
      </c>
      <c r="BC3325" t="str">
        <f ca="1">IF((OFFSET($A$1, 3325 - 1, 53 - 1)) &gt;= (OFFSET($A$1, 69 - 1, 7 - 1)), "1","0")</f>
        <v>0</v>
      </c>
      <c r="BD3325">
        <f ca="1" xml:space="preserve"> IF( AND( OFFSET($A$1, 3325 - 1, 54 - 1) = "1", OFFSET($A$1, 3325 - 1, 55 - 1) = "1" ), 1, IF( AND( OFFSET($A$1, 3325 - 1, 54 - 1) = "1", OFFSET($A$1, 3325 - 1, 55 - 1) = "0" ), 2, IF( AND( OFFSET($A$1, 3325 - 1, 54 - 1) = "0", OFFSET($A$1, 3325 - 1, 55 - 1) = "1" ), 3, 4 ) ) )</f>
        <v>4</v>
      </c>
    </row>
    <row r="3326" spans="53:56" x14ac:dyDescent="0.35">
      <c r="BA3326" s="3">
        <v>0.19620764977640842</v>
      </c>
      <c r="BB3326" s="3" t="str">
        <f>"0"</f>
        <v>0</v>
      </c>
      <c r="BC3326" t="str">
        <f ca="1">IF((OFFSET($A$1, 3326 - 1, 53 - 1)) &gt;= (OFFSET($A$1, 69 - 1, 7 - 1)), "1","0")</f>
        <v>0</v>
      </c>
      <c r="BD3326">
        <f ca="1" xml:space="preserve"> IF( AND( OFFSET($A$1, 3326 - 1, 54 - 1) = "1", OFFSET($A$1, 3326 - 1, 55 - 1) = "1" ), 1, IF( AND( OFFSET($A$1, 3326 - 1, 54 - 1) = "1", OFFSET($A$1, 3326 - 1, 55 - 1) = "0" ), 2, IF( AND( OFFSET($A$1, 3326 - 1, 54 - 1) = "0", OFFSET($A$1, 3326 - 1, 55 - 1) = "1" ), 3, 4 ) ) )</f>
        <v>4</v>
      </c>
    </row>
    <row r="3327" spans="53:56" x14ac:dyDescent="0.35">
      <c r="BA3327" s="3">
        <v>0.19621740576290433</v>
      </c>
      <c r="BB3327" s="3" t="str">
        <f>"1"</f>
        <v>1</v>
      </c>
      <c r="BC3327" t="str">
        <f ca="1">IF((OFFSET($A$1, 3327 - 1, 53 - 1)) &gt;= (OFFSET($A$1, 69 - 1, 7 - 1)), "1","0")</f>
        <v>0</v>
      </c>
      <c r="BD3327">
        <f ca="1" xml:space="preserve"> IF( AND( OFFSET($A$1, 3327 - 1, 54 - 1) = "1", OFFSET($A$1, 3327 - 1, 55 - 1) = "1" ), 1, IF( AND( OFFSET($A$1, 3327 - 1, 54 - 1) = "1", OFFSET($A$1, 3327 - 1, 55 - 1) = "0" ), 2, IF( AND( OFFSET($A$1, 3327 - 1, 54 - 1) = "0", OFFSET($A$1, 3327 - 1, 55 - 1) = "1" ), 3, 4 ) ) )</f>
        <v>2</v>
      </c>
    </row>
    <row r="3328" spans="53:56" x14ac:dyDescent="0.35">
      <c r="BA3328" s="3">
        <v>0.43251403452684933</v>
      </c>
      <c r="BB3328" s="3" t="str">
        <f>"1"</f>
        <v>1</v>
      </c>
      <c r="BC3328" t="str">
        <f ca="1">IF((OFFSET($A$1, 3328 - 1, 53 - 1)) &gt;= (OFFSET($A$1, 69 - 1, 7 - 1)), "1","0")</f>
        <v>0</v>
      </c>
      <c r="BD3328">
        <f ca="1" xml:space="preserve"> IF( AND( OFFSET($A$1, 3328 - 1, 54 - 1) = "1", OFFSET($A$1, 3328 - 1, 55 - 1) = "1" ), 1, IF( AND( OFFSET($A$1, 3328 - 1, 54 - 1) = "1", OFFSET($A$1, 3328 - 1, 55 - 1) = "0" ), 2, IF( AND( OFFSET($A$1, 3328 - 1, 54 - 1) = "0", OFFSET($A$1, 3328 - 1, 55 - 1) = "1" ), 3, 4 ) ) )</f>
        <v>2</v>
      </c>
    </row>
    <row r="3329" spans="53:56" x14ac:dyDescent="0.35">
      <c r="BA3329" s="3">
        <v>0.43258140520464067</v>
      </c>
      <c r="BB3329" s="3" t="str">
        <f>"0"</f>
        <v>0</v>
      </c>
      <c r="BC3329" t="str">
        <f ca="1">IF((OFFSET($A$1, 3329 - 1, 53 - 1)) &gt;= (OFFSET($A$1, 69 - 1, 7 - 1)), "1","0")</f>
        <v>0</v>
      </c>
      <c r="BD3329">
        <f ca="1" xml:space="preserve"> IF( AND( OFFSET($A$1, 3329 - 1, 54 - 1) = "1", OFFSET($A$1, 3329 - 1, 55 - 1) = "1" ), 1, IF( AND( OFFSET($A$1, 3329 - 1, 54 - 1) = "1", OFFSET($A$1, 3329 - 1, 55 - 1) = "0" ), 2, IF( AND( OFFSET($A$1, 3329 - 1, 54 - 1) = "0", OFFSET($A$1, 3329 - 1, 55 - 1) = "1" ), 3, 4 ) ) )</f>
        <v>4</v>
      </c>
    </row>
    <row r="3330" spans="53:56" x14ac:dyDescent="0.35">
      <c r="BA3330" s="3">
        <v>0.19634729426279396</v>
      </c>
      <c r="BB3330" s="3" t="str">
        <f>"0"</f>
        <v>0</v>
      </c>
      <c r="BC3330" t="str">
        <f ca="1">IF((OFFSET($A$1, 3330 - 1, 53 - 1)) &gt;= (OFFSET($A$1, 69 - 1, 7 - 1)), "1","0")</f>
        <v>0</v>
      </c>
      <c r="BD3330">
        <f ca="1" xml:space="preserve"> IF( AND( OFFSET($A$1, 3330 - 1, 54 - 1) = "1", OFFSET($A$1, 3330 - 1, 55 - 1) = "1" ), 1, IF( AND( OFFSET($A$1, 3330 - 1, 54 - 1) = "1", OFFSET($A$1, 3330 - 1, 55 - 1) = "0" ), 2, IF( AND( OFFSET($A$1, 3330 - 1, 54 - 1) = "0", OFFSET($A$1, 3330 - 1, 55 - 1) = "1" ), 3, 4 ) ) )</f>
        <v>4</v>
      </c>
    </row>
    <row r="3331" spans="53:56" x14ac:dyDescent="0.35">
      <c r="BA3331" s="3">
        <v>0.19642411583532032</v>
      </c>
      <c r="BB3331" s="3" t="str">
        <f>"0"</f>
        <v>0</v>
      </c>
      <c r="BC3331" t="str">
        <f ca="1">IF((OFFSET($A$1, 3331 - 1, 53 - 1)) &gt;= (OFFSET($A$1, 69 - 1, 7 - 1)), "1","0")</f>
        <v>0</v>
      </c>
      <c r="BD3331">
        <f ca="1" xml:space="preserve"> IF( AND( OFFSET($A$1, 3331 - 1, 54 - 1) = "1", OFFSET($A$1, 3331 - 1, 55 - 1) = "1" ), 1, IF( AND( OFFSET($A$1, 3331 - 1, 54 - 1) = "1", OFFSET($A$1, 3331 - 1, 55 - 1) = "0" ), 2, IF( AND( OFFSET($A$1, 3331 - 1, 54 - 1) = "0", OFFSET($A$1, 3331 - 1, 55 - 1) = "1" ), 3, 4 ) ) )</f>
        <v>4</v>
      </c>
    </row>
    <row r="3332" spans="53:56" x14ac:dyDescent="0.35">
      <c r="BA3332" s="3">
        <v>0.19651768839738196</v>
      </c>
      <c r="BB3332" s="3" t="str">
        <f>"0"</f>
        <v>0</v>
      </c>
      <c r="BC3332" t="str">
        <f ca="1">IF((OFFSET($A$1, 3332 - 1, 53 - 1)) &gt;= (OFFSET($A$1, 69 - 1, 7 - 1)), "1","0")</f>
        <v>0</v>
      </c>
      <c r="BD3332">
        <f ca="1" xml:space="preserve"> IF( AND( OFFSET($A$1, 3332 - 1, 54 - 1) = "1", OFFSET($A$1, 3332 - 1, 55 - 1) = "1" ), 1, IF( AND( OFFSET($A$1, 3332 - 1, 54 - 1) = "1", OFFSET($A$1, 3332 - 1, 55 - 1) = "0" ), 2, IF( AND( OFFSET($A$1, 3332 - 1, 54 - 1) = "0", OFFSET($A$1, 3332 - 1, 55 - 1) = "1" ), 3, 4 ) ) )</f>
        <v>4</v>
      </c>
    </row>
    <row r="3333" spans="53:56" x14ac:dyDescent="0.35">
      <c r="BA3333" s="3">
        <v>0.19662800229902586</v>
      </c>
      <c r="BB3333" s="3" t="str">
        <f>"0"</f>
        <v>0</v>
      </c>
      <c r="BC3333" t="str">
        <f ca="1">IF((OFFSET($A$1, 3333 - 1, 53 - 1)) &gt;= (OFFSET($A$1, 69 - 1, 7 - 1)), "1","0")</f>
        <v>0</v>
      </c>
      <c r="BD3333">
        <f ca="1" xml:space="preserve"> IF( AND( OFFSET($A$1, 3333 - 1, 54 - 1) = "1", OFFSET($A$1, 3333 - 1, 55 - 1) = "1" ), 1, IF( AND( OFFSET($A$1, 3333 - 1, 54 - 1) = "1", OFFSET($A$1, 3333 - 1, 55 - 1) = "0" ), 2, IF( AND( OFFSET($A$1, 3333 - 1, 54 - 1) = "0", OFFSET($A$1, 3333 - 1, 55 - 1) = "1" ), 3, 4 ) ) )</f>
        <v>4</v>
      </c>
    </row>
    <row r="3334" spans="53:56" x14ac:dyDescent="0.35">
      <c r="BA3334" s="3">
        <v>0.19675504611906428</v>
      </c>
      <c r="BB3334" s="3" t="str">
        <f>"0"</f>
        <v>0</v>
      </c>
      <c r="BC3334" t="str">
        <f ca="1">IF((OFFSET($A$1, 3334 - 1, 53 - 1)) &gt;= (OFFSET($A$1, 69 - 1, 7 - 1)), "1","0")</f>
        <v>0</v>
      </c>
      <c r="BD3334">
        <f ca="1" xml:space="preserve"> IF( AND( OFFSET($A$1, 3334 - 1, 54 - 1) = "1", OFFSET($A$1, 3334 - 1, 55 - 1) = "1" ), 1, IF( AND( OFFSET($A$1, 3334 - 1, 54 - 1) = "1", OFFSET($A$1, 3334 - 1, 55 - 1) = "0" ), 2, IF( AND( OFFSET($A$1, 3334 - 1, 54 - 1) = "0", OFFSET($A$1, 3334 - 1, 55 - 1) = "1" ), 3, 4 ) ) )</f>
        <v>4</v>
      </c>
    </row>
    <row r="3335" spans="53:56" x14ac:dyDescent="0.35">
      <c r="BA3335" s="3">
        <v>0.19689880664426773</v>
      </c>
      <c r="BB3335" s="3" t="str">
        <f>"0"</f>
        <v>0</v>
      </c>
      <c r="BC3335" t="str">
        <f ca="1">IF((OFFSET($A$1, 3335 - 1, 53 - 1)) &gt;= (OFFSET($A$1, 69 - 1, 7 - 1)), "1","0")</f>
        <v>0</v>
      </c>
      <c r="BD3335">
        <f ca="1" xml:space="preserve"> IF( AND( OFFSET($A$1, 3335 - 1, 54 - 1) = "1", OFFSET($A$1, 3335 - 1, 55 - 1) = "1" ), 1, IF( AND( OFFSET($A$1, 3335 - 1, 54 - 1) = "1", OFFSET($A$1, 3335 - 1, 55 - 1) = "0" ), 2, IF( AND( OFFSET($A$1, 3335 - 1, 54 - 1) = "0", OFFSET($A$1, 3335 - 1, 55 - 1) = "1" ), 3, 4 ) ) )</f>
        <v>4</v>
      </c>
    </row>
    <row r="3336" spans="53:56" x14ac:dyDescent="0.35">
      <c r="BA3336" s="3">
        <v>0.19705926884546321</v>
      </c>
      <c r="BB3336" s="3" t="str">
        <f>"0"</f>
        <v>0</v>
      </c>
      <c r="BC3336" t="str">
        <f ca="1">IF((OFFSET($A$1, 3336 - 1, 53 - 1)) &gt;= (OFFSET($A$1, 69 - 1, 7 - 1)), "1","0")</f>
        <v>0</v>
      </c>
      <c r="BD3336">
        <f ca="1" xml:space="preserve"> IF( AND( OFFSET($A$1, 3336 - 1, 54 - 1) = "1", OFFSET($A$1, 3336 - 1, 55 - 1) = "1" ), 1, IF( AND( OFFSET($A$1, 3336 - 1, 54 - 1) = "1", OFFSET($A$1, 3336 - 1, 55 - 1) = "0" ), 2, IF( AND( OFFSET($A$1, 3336 - 1, 54 - 1) = "0", OFFSET($A$1, 3336 - 1, 55 - 1) = "1" ), 3, 4 ) ) )</f>
        <v>4</v>
      </c>
    </row>
    <row r="3337" spans="53:56" x14ac:dyDescent="0.35">
      <c r="BA3337" s="3">
        <v>0.19723641585056853</v>
      </c>
      <c r="BB3337" s="3" t="str">
        <f>"0"</f>
        <v>0</v>
      </c>
      <c r="BC3337" t="str">
        <f ca="1">IF((OFFSET($A$1, 3337 - 1, 53 - 1)) &gt;= (OFFSET($A$1, 69 - 1, 7 - 1)), "1","0")</f>
        <v>0</v>
      </c>
      <c r="BD3337">
        <f ca="1" xml:space="preserve"> IF( AND( OFFSET($A$1, 3337 - 1, 54 - 1) = "1", OFFSET($A$1, 3337 - 1, 55 - 1) = "1" ), 1, IF( AND( OFFSET($A$1, 3337 - 1, 54 - 1) = "1", OFFSET($A$1, 3337 - 1, 55 - 1) = "0" ), 2, IF( AND( OFFSET($A$1, 3337 - 1, 54 - 1) = "0", OFFSET($A$1, 3337 - 1, 55 - 1) = "1" ), 3, 4 ) ) )</f>
        <v>4</v>
      </c>
    </row>
    <row r="3338" spans="53:56" x14ac:dyDescent="0.35">
      <c r="BA3338" s="3">
        <v>0.19743022891459375</v>
      </c>
      <c r="BB3338" s="3" t="str">
        <f>"0"</f>
        <v>0</v>
      </c>
      <c r="BC3338" t="str">
        <f ca="1">IF((OFFSET($A$1, 3338 - 1, 53 - 1)) &gt;= (OFFSET($A$1, 69 - 1, 7 - 1)), "1","0")</f>
        <v>0</v>
      </c>
      <c r="BD3338">
        <f ca="1" xml:space="preserve"> IF( AND( OFFSET($A$1, 3338 - 1, 54 - 1) = "1", OFFSET($A$1, 3338 - 1, 55 - 1) = "1" ), 1, IF( AND( OFFSET($A$1, 3338 - 1, 54 - 1) = "1", OFFSET($A$1, 3338 - 1, 55 - 1) = "0" ), 2, IF( AND( OFFSET($A$1, 3338 - 1, 54 - 1) = "0", OFFSET($A$1, 3338 - 1, 55 - 1) = "1" ), 3, 4 ) ) )</f>
        <v>4</v>
      </c>
    </row>
    <row r="3339" spans="53:56" x14ac:dyDescent="0.35">
      <c r="BA3339" s="3">
        <v>0.19764068738664683</v>
      </c>
      <c r="BB3339" s="3" t="str">
        <f>"0"</f>
        <v>0</v>
      </c>
      <c r="BC3339" t="str">
        <f ca="1">IF((OFFSET($A$1, 3339 - 1, 53 - 1)) &gt;= (OFFSET($A$1, 69 - 1, 7 - 1)), "1","0")</f>
        <v>0</v>
      </c>
      <c r="BD3339">
        <f ca="1" xml:space="preserve"> IF( AND( OFFSET($A$1, 3339 - 1, 54 - 1) = "1", OFFSET($A$1, 3339 - 1, 55 - 1) = "1" ), 1, IF( AND( OFFSET($A$1, 3339 - 1, 54 - 1) = "1", OFFSET($A$1, 3339 - 1, 55 - 1) = "0" ), 2, IF( AND( OFFSET($A$1, 3339 - 1, 54 - 1) = "0", OFFSET($A$1, 3339 - 1, 55 - 1) = "1" ), 3, 4 ) ) )</f>
        <v>4</v>
      </c>
    </row>
    <row r="3340" spans="53:56" x14ac:dyDescent="0.35">
      <c r="BA3340" s="3">
        <v>0.19786776867398428</v>
      </c>
      <c r="BB3340" s="3" t="str">
        <f>"1"</f>
        <v>1</v>
      </c>
      <c r="BC3340" t="str">
        <f ca="1">IF((OFFSET($A$1, 3340 - 1, 53 - 1)) &gt;= (OFFSET($A$1, 69 - 1, 7 - 1)), "1","0")</f>
        <v>0</v>
      </c>
      <c r="BD3340">
        <f ca="1" xml:space="preserve"> IF( AND( OFFSET($A$1, 3340 - 1, 54 - 1) = "1", OFFSET($A$1, 3340 - 1, 55 - 1) = "1" ), 1, IF( AND( OFFSET($A$1, 3340 - 1, 54 - 1) = "1", OFFSET($A$1, 3340 - 1, 55 - 1) = "0" ), 2, IF( AND( OFFSET($A$1, 3340 - 1, 54 - 1) = "0", OFFSET($A$1, 3340 - 1, 55 - 1) = "1" ), 3, 4 ) ) )</f>
        <v>2</v>
      </c>
    </row>
    <row r="3341" spans="53:56" x14ac:dyDescent="0.35">
      <c r="BA3341" s="3">
        <v>0.43541194898308411</v>
      </c>
      <c r="BB3341" s="3" t="str">
        <f>"0"</f>
        <v>0</v>
      </c>
      <c r="BC3341" t="str">
        <f ca="1">IF((OFFSET($A$1, 3341 - 1, 53 - 1)) &gt;= (OFFSET($A$1, 69 - 1, 7 - 1)), "1","0")</f>
        <v>0</v>
      </c>
      <c r="BD3341">
        <f ca="1" xml:space="preserve"> IF( AND( OFFSET($A$1, 3341 - 1, 54 - 1) = "1", OFFSET($A$1, 3341 - 1, 55 - 1) = "1" ), 1, IF( AND( OFFSET($A$1, 3341 - 1, 54 - 1) = "1", OFFSET($A$1, 3341 - 1, 55 - 1) = "0" ), 2, IF( AND( OFFSET($A$1, 3341 - 1, 54 - 1) = "0", OFFSET($A$1, 3341 - 1, 55 - 1) = "1" ), 3, 4 ) ) )</f>
        <v>4</v>
      </c>
    </row>
    <row r="3342" spans="53:56" x14ac:dyDescent="0.35">
      <c r="BA3342" s="3">
        <v>0.1983716993782583</v>
      </c>
      <c r="BB3342" s="3" t="str">
        <f>"0"</f>
        <v>0</v>
      </c>
      <c r="BC3342" t="str">
        <f ca="1">IF((OFFSET($A$1, 3342 - 1, 53 - 1)) &gt;= (OFFSET($A$1, 69 - 1, 7 - 1)), "1","0")</f>
        <v>0</v>
      </c>
      <c r="BD3342">
        <f ca="1" xml:space="preserve"> IF( AND( OFFSET($A$1, 3342 - 1, 54 - 1) = "1", OFFSET($A$1, 3342 - 1, 55 - 1) = "1" ), 1, IF( AND( OFFSET($A$1, 3342 - 1, 54 - 1) = "1", OFFSET($A$1, 3342 - 1, 55 - 1) = "0" ), 2, IF( AND( OFFSET($A$1, 3342 - 1, 54 - 1) = "0", OFFSET($A$1, 3342 - 1, 55 - 1) = "1" ), 3, 4 ) ) )</f>
        <v>4</v>
      </c>
    </row>
    <row r="3343" spans="53:56" x14ac:dyDescent="0.35">
      <c r="BA3343" s="3">
        <v>0.19864849353644992</v>
      </c>
      <c r="BB3343" s="3" t="str">
        <f>"0"</f>
        <v>0</v>
      </c>
      <c r="BC3343" t="str">
        <f ca="1">IF((OFFSET($A$1, 3343 - 1, 53 - 1)) &gt;= (OFFSET($A$1, 69 - 1, 7 - 1)), "1","0")</f>
        <v>0</v>
      </c>
      <c r="BD3343">
        <f ca="1" xml:space="preserve"> IF( AND( OFFSET($A$1, 3343 - 1, 54 - 1) = "1", OFFSET($A$1, 3343 - 1, 55 - 1) = "1" ), 1, IF( AND( OFFSET($A$1, 3343 - 1, 54 - 1) = "1", OFFSET($A$1, 3343 - 1, 55 - 1) = "0" ), 2, IF( AND( OFFSET($A$1, 3343 - 1, 54 - 1) = "0", OFFSET($A$1, 3343 - 1, 55 - 1) = "1" ), 3, 4 ) ) )</f>
        <v>4</v>
      </c>
    </row>
    <row r="3344" spans="53:56" x14ac:dyDescent="0.35">
      <c r="BA3344" s="3">
        <v>0.19894179990061836</v>
      </c>
      <c r="BB3344" s="3" t="str">
        <f>"1"</f>
        <v>1</v>
      </c>
      <c r="BC3344" t="str">
        <f ca="1">IF((OFFSET($A$1, 3344 - 1, 53 - 1)) &gt;= (OFFSET($A$1, 69 - 1, 7 - 1)), "1","0")</f>
        <v>0</v>
      </c>
      <c r="BD3344">
        <f ca="1" xml:space="preserve"> IF( AND( OFFSET($A$1, 3344 - 1, 54 - 1) = "1", OFFSET($A$1, 3344 - 1, 55 - 1) = "1" ), 1, IF( AND( OFFSET($A$1, 3344 - 1, 54 - 1) = "1", OFFSET($A$1, 3344 - 1, 55 - 1) = "0" ), 2, IF( AND( OFFSET($A$1, 3344 - 1, 54 - 1) = "0", OFFSET($A$1, 3344 - 1, 55 - 1) = "1" ), 3, 4 ) ) )</f>
        <v>2</v>
      </c>
    </row>
    <row r="3345" spans="53:56" x14ac:dyDescent="0.35">
      <c r="BA3345" s="3">
        <v>0.43717322166610595</v>
      </c>
      <c r="BB3345" s="3" t="str">
        <f>"1"</f>
        <v>1</v>
      </c>
      <c r="BC3345" t="str">
        <f ca="1">IF((OFFSET($A$1, 3345 - 1, 53 - 1)) &gt;= (OFFSET($A$1, 69 - 1, 7 - 1)), "1","0")</f>
        <v>0</v>
      </c>
      <c r="BD3345">
        <f ca="1" xml:space="preserve"> IF( AND( OFFSET($A$1, 3345 - 1, 54 - 1) = "1", OFFSET($A$1, 3345 - 1, 55 - 1) = "1" ), 1, IF( AND( OFFSET($A$1, 3345 - 1, 54 - 1) = "1", OFFSET($A$1, 3345 - 1, 55 - 1) = "0" ), 2, IF( AND( OFFSET($A$1, 3345 - 1, 54 - 1) = "0", OFFSET($A$1, 3345 - 1, 55 - 1) = "1" ), 3, 4 ) ) )</f>
        <v>2</v>
      </c>
    </row>
    <row r="3346" spans="53:56" x14ac:dyDescent="0.35">
      <c r="BA3346" s="3">
        <v>0.43767607664330482</v>
      </c>
      <c r="BB3346" s="3" t="str">
        <f>"0"</f>
        <v>0</v>
      </c>
      <c r="BC3346" t="str">
        <f ca="1">IF((OFFSET($A$1, 3346 - 1, 53 - 1)) &gt;= (OFFSET($A$1, 69 - 1, 7 - 1)), "1","0")</f>
        <v>0</v>
      </c>
      <c r="BD3346">
        <f ca="1" xml:space="preserve"> IF( AND( OFFSET($A$1, 3346 - 1, 54 - 1) = "1", OFFSET($A$1, 3346 - 1, 55 - 1) = "1" ), 1, IF( AND( OFFSET($A$1, 3346 - 1, 54 - 1) = "1", OFFSET($A$1, 3346 - 1, 55 - 1) = "0" ), 2, IF( AND( OFFSET($A$1, 3346 - 1, 54 - 1) = "0", OFFSET($A$1, 3346 - 1, 55 - 1) = "1" ), 3, 4 ) ) )</f>
        <v>4</v>
      </c>
    </row>
    <row r="3347" spans="53:56" x14ac:dyDescent="0.35">
      <c r="BA3347" s="3">
        <v>0.19992045167625372</v>
      </c>
      <c r="BB3347" s="3" t="str">
        <f>"0"</f>
        <v>0</v>
      </c>
      <c r="BC3347" t="str">
        <f ca="1">IF((OFFSET($A$1, 3347 - 1, 53 - 1)) &gt;= (OFFSET($A$1, 69 - 1, 7 - 1)), "1","0")</f>
        <v>0</v>
      </c>
      <c r="BD3347">
        <f ca="1" xml:space="preserve"> IF( AND( OFFSET($A$1, 3347 - 1, 54 - 1) = "1", OFFSET($A$1, 3347 - 1, 55 - 1) = "1" ), 1, IF( AND( OFFSET($A$1, 3347 - 1, 54 - 1) = "1", OFFSET($A$1, 3347 - 1, 55 - 1) = "0" ), 2, IF( AND( OFFSET($A$1, 3347 - 1, 54 - 1) = "0", OFFSET($A$1, 3347 - 1, 55 - 1) = "1" ), 3, 4 ) ) )</f>
        <v>4</v>
      </c>
    </row>
    <row r="3348" spans="53:56" x14ac:dyDescent="0.35">
      <c r="BA3348" s="3">
        <v>0.20027945500427177</v>
      </c>
      <c r="BB3348" s="3" t="str">
        <f>"1"</f>
        <v>1</v>
      </c>
      <c r="BC3348" t="str">
        <f ca="1">IF((OFFSET($A$1, 3348 - 1, 53 - 1)) &gt;= (OFFSET($A$1, 69 - 1, 7 - 1)), "1","0")</f>
        <v>0</v>
      </c>
      <c r="BD3348">
        <f ca="1" xml:space="preserve"> IF( AND( OFFSET($A$1, 3348 - 1, 54 - 1) = "1", OFFSET($A$1, 3348 - 1, 55 - 1) = "1" ), 1, IF( AND( OFFSET($A$1, 3348 - 1, 54 - 1) = "1", OFFSET($A$1, 3348 - 1, 55 - 1) = "0" ), 2, IF( AND( OFFSET($A$1, 3348 - 1, 54 - 1) = "0", OFFSET($A$1, 3348 - 1, 55 - 1) = "1" ), 3, 4 ) ) )</f>
        <v>2</v>
      </c>
    </row>
    <row r="3349" spans="53:56" x14ac:dyDescent="0.35">
      <c r="BA3349" s="3">
        <v>0.43933266327467313</v>
      </c>
      <c r="BB3349" s="3" t="str">
        <f>"0"</f>
        <v>0</v>
      </c>
      <c r="BC3349" t="str">
        <f ca="1">IF((OFFSET($A$1, 3349 - 1, 53 - 1)) &gt;= (OFFSET($A$1, 69 - 1, 7 - 1)), "1","0")</f>
        <v>0</v>
      </c>
      <c r="BD3349">
        <f ca="1" xml:space="preserve"> IF( AND( OFFSET($A$1, 3349 - 1, 54 - 1) = "1", OFFSET($A$1, 3349 - 1, 55 - 1) = "1" ), 1, IF( AND( OFFSET($A$1, 3349 - 1, 54 - 1) = "1", OFFSET($A$1, 3349 - 1, 55 - 1) = "0" ), 2, IF( AND( OFFSET($A$1, 3349 - 1, 54 - 1) = "0", OFFSET($A$1, 3349 - 1, 55 - 1) = "1" ), 3, 4 ) ) )</f>
        <v>4</v>
      </c>
    </row>
    <row r="3350" spans="53:56" x14ac:dyDescent="0.35">
      <c r="BA3350" s="3">
        <v>0.20104639135943461</v>
      </c>
      <c r="BB3350" s="3" t="str">
        <f>"1"</f>
        <v>1</v>
      </c>
      <c r="BC3350" t="str">
        <f ca="1">IF((OFFSET($A$1, 3350 - 1, 53 - 1)) &gt;= (OFFSET($A$1, 69 - 1, 7 - 1)), "1","0")</f>
        <v>0</v>
      </c>
      <c r="BD3350">
        <f ca="1" xml:space="preserve"> IF( AND( OFFSET($A$1, 3350 - 1, 54 - 1) = "1", OFFSET($A$1, 3350 - 1, 55 - 1) = "1" ), 1, IF( AND( OFFSET($A$1, 3350 - 1, 54 - 1) = "1", OFFSET($A$1, 3350 - 1, 55 - 1) = "0" ), 2, IF( AND( OFFSET($A$1, 3350 - 1, 54 - 1) = "0", OFFSET($A$1, 3350 - 1, 55 - 1) = "1" ), 3, 4 ) ) )</f>
        <v>2</v>
      </c>
    </row>
    <row r="3351" spans="53:56" x14ac:dyDescent="0.35">
      <c r="BA3351" s="3">
        <v>0.44055894306798277</v>
      </c>
      <c r="BB3351" s="3" t="str">
        <f>"1"</f>
        <v>1</v>
      </c>
      <c r="BC3351" t="str">
        <f ca="1">IF((OFFSET($A$1, 3351 - 1, 53 - 1)) &gt;= (OFFSET($A$1, 69 - 1, 7 - 1)), "1","0")</f>
        <v>0</v>
      </c>
      <c r="BD3351">
        <f ca="1" xml:space="preserve"> IF( AND( OFFSET($A$1, 3351 - 1, 54 - 1) = "1", OFFSET($A$1, 3351 - 1, 55 - 1) = "1" ), 1, IF( AND( OFFSET($A$1, 3351 - 1, 54 - 1) = "1", OFFSET($A$1, 3351 - 1, 55 - 1) = "0" ), 2, IF( AND( OFFSET($A$1, 3351 - 1, 54 - 1) = "0", OFFSET($A$1, 3351 - 1, 55 - 1) = "1" ), 3, 4 ) ) )</f>
        <v>2</v>
      </c>
    </row>
    <row r="3352" spans="53:56" x14ac:dyDescent="0.35">
      <c r="BA3352" s="3">
        <v>0.44120817464335982</v>
      </c>
      <c r="BB3352" s="3" t="str">
        <f>"1"</f>
        <v>1</v>
      </c>
      <c r="BC3352" t="str">
        <f ca="1">IF((OFFSET($A$1, 3352 - 1, 53 - 1)) &gt;= (OFFSET($A$1, 69 - 1, 7 - 1)), "1","0")</f>
        <v>0</v>
      </c>
      <c r="BD3352">
        <f ca="1" xml:space="preserve"> IF( AND( OFFSET($A$1, 3352 - 1, 54 - 1) = "1", OFFSET($A$1, 3352 - 1, 55 - 1) = "1" ), 1, IF( AND( OFFSET($A$1, 3352 - 1, 54 - 1) = "1", OFFSET($A$1, 3352 - 1, 55 - 1) = "0" ), 2, IF( AND( OFFSET($A$1, 3352 - 1, 54 - 1) = "0", OFFSET($A$1, 3352 - 1, 55 - 1) = "1" ), 3, 4 ) ) )</f>
        <v>2</v>
      </c>
    </row>
    <row r="3353" spans="53:56" x14ac:dyDescent="0.35">
      <c r="BA3353" s="3">
        <v>0.44188124014439134</v>
      </c>
      <c r="BB3353" s="3" t="str">
        <f>"1"</f>
        <v>1</v>
      </c>
      <c r="BC3353" t="str">
        <f ca="1">IF((OFFSET($A$1, 3353 - 1, 53 - 1)) &gt;= (OFFSET($A$1, 69 - 1, 7 - 1)), "1","0")</f>
        <v>0</v>
      </c>
      <c r="BD3353">
        <f ca="1" xml:space="preserve"> IF( AND( OFFSET($A$1, 3353 - 1, 54 - 1) = "1", OFFSET($A$1, 3353 - 1, 55 - 1) = "1" ), 1, IF( AND( OFFSET($A$1, 3353 - 1, 54 - 1) = "1", OFFSET($A$1, 3353 - 1, 55 - 1) = "0" ), 2, IF( AND( OFFSET($A$1, 3353 - 1, 54 - 1) = "0", OFFSET($A$1, 3353 - 1, 55 - 1) = "1" ), 3, 4 ) ) )</f>
        <v>2</v>
      </c>
    </row>
    <row r="3354" spans="53:56" x14ac:dyDescent="0.35">
      <c r="BA3354" s="3">
        <v>0.44257796051567072</v>
      </c>
      <c r="BB3354" s="3" t="str">
        <f>"1"</f>
        <v>1</v>
      </c>
      <c r="BC3354" t="str">
        <f ca="1">IF((OFFSET($A$1, 3354 - 1, 53 - 1)) &gt;= (OFFSET($A$1, 69 - 1, 7 - 1)), "1","0")</f>
        <v>0</v>
      </c>
      <c r="BD3354">
        <f ca="1" xml:space="preserve"> IF( AND( OFFSET($A$1, 3354 - 1, 54 - 1) = "1", OFFSET($A$1, 3354 - 1, 55 - 1) = "1" ), 1, IF( AND( OFFSET($A$1, 3354 - 1, 54 - 1) = "1", OFFSET($A$1, 3354 - 1, 55 - 1) = "0" ), 2, IF( AND( OFFSET($A$1, 3354 - 1, 54 - 1) = "0", OFFSET($A$1, 3354 - 1, 55 - 1) = "1" ), 3, 4 ) ) )</f>
        <v>2</v>
      </c>
    </row>
    <row r="3355" spans="53:56" x14ac:dyDescent="0.35">
      <c r="BA3355" s="3">
        <v>0.44329814975844156</v>
      </c>
      <c r="BB3355" s="3" t="str">
        <f>"0"</f>
        <v>0</v>
      </c>
      <c r="BC3355" t="str">
        <f ca="1">IF((OFFSET($A$1, 3355 - 1, 53 - 1)) &gt;= (OFFSET($A$1, 69 - 1, 7 - 1)), "1","0")</f>
        <v>0</v>
      </c>
      <c r="BD3355">
        <f ca="1" xml:space="preserve"> IF( AND( OFFSET($A$1, 3355 - 1, 54 - 1) = "1", OFFSET($A$1, 3355 - 1, 55 - 1) = "1" ), 1, IF( AND( OFFSET($A$1, 3355 - 1, 54 - 1) = "1", OFFSET($A$1, 3355 - 1, 55 - 1) = "0" ), 2, IF( AND( OFFSET($A$1, 3355 - 1, 54 - 1) = "0", OFFSET($A$1, 3355 - 1, 55 - 1) = "1" ), 3, 4 ) ) )</f>
        <v>4</v>
      </c>
    </row>
    <row r="3356" spans="53:56" x14ac:dyDescent="0.35">
      <c r="BA3356" s="3">
        <v>0.20373510101014264</v>
      </c>
      <c r="BB3356" s="3" t="str">
        <f>"0"</f>
        <v>0</v>
      </c>
      <c r="BC3356" t="str">
        <f ca="1">IF((OFFSET($A$1, 3356 - 1, 53 - 1)) &gt;= (OFFSET($A$1, 69 - 1, 7 - 1)), "1","0")</f>
        <v>0</v>
      </c>
      <c r="BD3356">
        <f ca="1" xml:space="preserve"> IF( AND( OFFSET($A$1, 3356 - 1, 54 - 1) = "1", OFFSET($A$1, 3356 - 1, 55 - 1) = "1" ), 1, IF( AND( OFFSET($A$1, 3356 - 1, 54 - 1) = "1", OFFSET($A$1, 3356 - 1, 55 - 1) = "0" ), 2, IF( AND( OFFSET($A$1, 3356 - 1, 54 - 1) = "0", OFFSET($A$1, 3356 - 1, 55 - 1) = "1" ), 3, 4 ) ) )</f>
        <v>4</v>
      </c>
    </row>
    <row r="3357" spans="53:56" x14ac:dyDescent="0.35">
      <c r="BA3357" s="3">
        <v>0.20423920151241259</v>
      </c>
      <c r="BB3357" s="3" t="str">
        <f>"0"</f>
        <v>0</v>
      </c>
      <c r="BC3357" t="str">
        <f ca="1">IF((OFFSET($A$1, 3357 - 1, 53 - 1)) &gt;= (OFFSET($A$1, 69 - 1, 7 - 1)), "1","0")</f>
        <v>0</v>
      </c>
      <c r="BD3357">
        <f ca="1" xml:space="preserve"> IF( AND( OFFSET($A$1, 3357 - 1, 54 - 1) = "1", OFFSET($A$1, 3357 - 1, 55 - 1) = "1" ), 1, IF( AND( OFFSET($A$1, 3357 - 1, 54 - 1) = "1", OFFSET($A$1, 3357 - 1, 55 - 1) = "0" ), 2, IF( AND( OFFSET($A$1, 3357 - 1, 54 - 1) = "0", OFFSET($A$1, 3357 - 1, 55 - 1) = "1" ), 3, 4 ) ) )</f>
        <v>4</v>
      </c>
    </row>
    <row r="3358" spans="53:56" x14ac:dyDescent="0.35">
      <c r="BA3358" s="3">
        <v>0.20475912890940967</v>
      </c>
      <c r="BB3358" s="3" t="str">
        <f>"0"</f>
        <v>0</v>
      </c>
      <c r="BC3358" t="str">
        <f ca="1">IF((OFFSET($A$1, 3358 - 1, 53 - 1)) &gt;= (OFFSET($A$1, 69 - 1, 7 - 1)), "1","0")</f>
        <v>0</v>
      </c>
      <c r="BD3358">
        <f ca="1" xml:space="preserve"> IF( AND( OFFSET($A$1, 3358 - 1, 54 - 1) = "1", OFFSET($A$1, 3358 - 1, 55 - 1) = "1" ), 1, IF( AND( OFFSET($A$1, 3358 - 1, 54 - 1) = "1", OFFSET($A$1, 3358 - 1, 55 - 1) = "0" ), 2, IF( AND( OFFSET($A$1, 3358 - 1, 54 - 1) = "0", OFFSET($A$1, 3358 - 1, 55 - 1) = "1" ), 3, 4 ) ) )</f>
        <v>4</v>
      </c>
    </row>
    <row r="3359" spans="53:56" x14ac:dyDescent="0.35">
      <c r="BA3359" s="3">
        <v>0.20529481338535266</v>
      </c>
      <c r="BB3359" s="3" t="str">
        <f>"1"</f>
        <v>1</v>
      </c>
      <c r="BC3359" t="str">
        <f ca="1">IF((OFFSET($A$1, 3359 - 1, 53 - 1)) &gt;= (OFFSET($A$1, 69 - 1, 7 - 1)), "1","0")</f>
        <v>0</v>
      </c>
      <c r="BD3359">
        <f ca="1" xml:space="preserve"> IF( AND( OFFSET($A$1, 3359 - 1, 54 - 1) = "1", OFFSET($A$1, 3359 - 1, 55 - 1) = "1" ), 1, IF( AND( OFFSET($A$1, 3359 - 1, 54 - 1) = "1", OFFSET($A$1, 3359 - 1, 55 - 1) = "0" ), 2, IF( AND( OFFSET($A$1, 3359 - 1, 54 - 1) = "0", OFFSET($A$1, 3359 - 1, 55 - 1) = "1" ), 3, 4 ) ) )</f>
        <v>2</v>
      </c>
    </row>
    <row r="3360" spans="53:56" x14ac:dyDescent="0.35">
      <c r="BA3360" s="3">
        <v>0.44724413182600192</v>
      </c>
      <c r="BB3360" s="3" t="str">
        <f>"1"</f>
        <v>1</v>
      </c>
      <c r="BC3360" t="str">
        <f ca="1">IF((OFFSET($A$1, 3360 - 1, 53 - 1)) &gt;= (OFFSET($A$1, 69 - 1, 7 - 1)), "1","0")</f>
        <v>0</v>
      </c>
      <c r="BD3360">
        <f ca="1" xml:space="preserve"> IF( AND( OFFSET($A$1, 3360 - 1, 54 - 1) = "1", OFFSET($A$1, 3360 - 1, 55 - 1) = "1" ), 1, IF( AND( OFFSET($A$1, 3360 - 1, 54 - 1) = "1", OFFSET($A$1, 3360 - 1, 55 - 1) = "0" ), 2, IF( AND( OFFSET($A$1, 3360 - 1, 54 - 1) = "0", OFFSET($A$1, 3360 - 1, 55 - 1) = "1" ), 3, 4 ) ) )</f>
        <v>2</v>
      </c>
    </row>
    <row r="3361" spans="53:56" x14ac:dyDescent="0.35">
      <c r="BA3361" s="3">
        <v>0.44810083834763276</v>
      </c>
      <c r="BB3361" s="3" t="str">
        <f>"1"</f>
        <v>1</v>
      </c>
      <c r="BC3361" t="str">
        <f ca="1">IF((OFFSET($A$1, 3361 - 1, 53 - 1)) &gt;= (OFFSET($A$1, 69 - 1, 7 - 1)), "1","0")</f>
        <v>0</v>
      </c>
      <c r="BD3361">
        <f ca="1" xml:space="preserve"> IF( AND( OFFSET($A$1, 3361 - 1, 54 - 1) = "1", OFFSET($A$1, 3361 - 1, 55 - 1) = "1" ), 1, IF( AND( OFFSET($A$1, 3361 - 1, 54 - 1) = "1", OFFSET($A$1, 3361 - 1, 55 - 1) = "0" ), 2, IF( AND( OFFSET($A$1, 3361 - 1, 54 - 1) = "0", OFFSET($A$1, 3361 - 1, 55 - 1) = "1" ), 3, 4 ) ) )</f>
        <v>2</v>
      </c>
    </row>
    <row r="3362" spans="53:56" x14ac:dyDescent="0.35">
      <c r="BA3362" s="3">
        <v>0.44897951665320407</v>
      </c>
      <c r="BB3362" s="3" t="str">
        <f>"1"</f>
        <v>1</v>
      </c>
      <c r="BC3362" t="str">
        <f ca="1">IF((OFFSET($A$1, 3362 - 1, 53 - 1)) &gt;= (OFFSET($A$1, 69 - 1, 7 - 1)), "1","0")</f>
        <v>0</v>
      </c>
      <c r="BD3362">
        <f ca="1" xml:space="preserve"> IF( AND( OFFSET($A$1, 3362 - 1, 54 - 1) = "1", OFFSET($A$1, 3362 - 1, 55 - 1) = "1" ), 1, IF( AND( OFFSET($A$1, 3362 - 1, 54 - 1) = "1", OFFSET($A$1, 3362 - 1, 55 - 1) = "0" ), 2, IF( AND( OFFSET($A$1, 3362 - 1, 54 - 1) = "0", OFFSET($A$1, 3362 - 1, 55 - 1) = "1" ), 3, 4 ) ) )</f>
        <v>2</v>
      </c>
    </row>
    <row r="3363" spans="53:56" x14ac:dyDescent="0.35">
      <c r="BA3363" s="3">
        <v>0.44987992496836399</v>
      </c>
      <c r="BB3363" s="3" t="str">
        <f>"1"</f>
        <v>1</v>
      </c>
      <c r="BC3363" t="str">
        <f ca="1">IF((OFFSET($A$1, 3363 - 1, 53 - 1)) &gt;= (OFFSET($A$1, 69 - 1, 7 - 1)), "1","0")</f>
        <v>0</v>
      </c>
      <c r="BD3363">
        <f ca="1" xml:space="preserve"> IF( AND( OFFSET($A$1, 3363 - 1, 54 - 1) = "1", OFFSET($A$1, 3363 - 1, 55 - 1) = "1" ), 1, IF( AND( OFFSET($A$1, 3363 - 1, 54 - 1) = "1", OFFSET($A$1, 3363 - 1, 55 - 1) = "0" ), 2, IF( AND( OFFSET($A$1, 3363 - 1, 54 - 1) = "0", OFFSET($A$1, 3363 - 1, 55 - 1) = "1" ), 3, 4 ) ) )</f>
        <v>2</v>
      </c>
    </row>
    <row r="3364" spans="53:56" x14ac:dyDescent="0.35">
      <c r="BA3364" s="3">
        <v>0.45080181455320228</v>
      </c>
      <c r="BB3364" s="3" t="str">
        <f>"1"</f>
        <v>1</v>
      </c>
      <c r="BC3364" t="str">
        <f ca="1">IF((OFFSET($A$1, 3364 - 1, 53 - 1)) &gt;= (OFFSET($A$1, 69 - 1, 7 - 1)), "1","0")</f>
        <v>0</v>
      </c>
      <c r="BD3364">
        <f ca="1" xml:space="preserve"> IF( AND( OFFSET($A$1, 3364 - 1, 54 - 1) = "1", OFFSET($A$1, 3364 - 1, 55 - 1) = "1" ), 1, IF( AND( OFFSET($A$1, 3364 - 1, 54 - 1) = "1", OFFSET($A$1, 3364 - 1, 55 - 1) = "0" ), 2, IF( AND( OFFSET($A$1, 3364 - 1, 54 - 1) = "0", OFFSET($A$1, 3364 - 1, 55 - 1) = "1" ), 3, 4 ) ) )</f>
        <v>2</v>
      </c>
    </row>
    <row r="3365" spans="53:56" x14ac:dyDescent="0.35">
      <c r="BA3365" s="3">
        <v>0.45174492971319147</v>
      </c>
      <c r="BB3365" s="3" t="str">
        <f>"0"</f>
        <v>0</v>
      </c>
      <c r="BC3365" t="str">
        <f ca="1">IF((OFFSET($A$1, 3365 - 1, 53 - 1)) &gt;= (OFFSET($A$1, 69 - 1, 7 - 1)), "1","0")</f>
        <v>0</v>
      </c>
      <c r="BD3365">
        <f ca="1" xml:space="preserve"> IF( AND( OFFSET($A$1, 3365 - 1, 54 - 1) = "1", OFFSET($A$1, 3365 - 1, 55 - 1) = "1" ), 1, IF( AND( OFFSET($A$1, 3365 - 1, 54 - 1) = "1", OFFSET($A$1, 3365 - 1, 55 - 1) = "0" ), 2, IF( AND( OFFSET($A$1, 3365 - 1, 54 - 1) = "0", OFFSET($A$1, 3365 - 1, 55 - 1) = "1" ), 3, 4 ) ) )</f>
        <v>4</v>
      </c>
    </row>
    <row r="3366" spans="53:56" x14ac:dyDescent="0.35">
      <c r="BA3366" s="3">
        <v>0.20947924930370215</v>
      </c>
      <c r="BB3366" s="3" t="str">
        <f>"0"</f>
        <v>0</v>
      </c>
      <c r="BC3366" t="str">
        <f ca="1">IF((OFFSET($A$1, 3366 - 1, 53 - 1)) &gt;= (OFFSET($A$1, 69 - 1, 7 - 1)), "1","0")</f>
        <v>0</v>
      </c>
      <c r="BD3366">
        <f ca="1" xml:space="preserve"> IF( AND( OFFSET($A$1, 3366 - 1, 54 - 1) = "1", OFFSET($A$1, 3366 - 1, 55 - 1) = "1" ), 1, IF( AND( OFFSET($A$1, 3366 - 1, 54 - 1) = "1", OFFSET($A$1, 3366 - 1, 55 - 1) = "0" ), 2, IF( AND( OFFSET($A$1, 3366 - 1, 54 - 1) = "0", OFFSET($A$1, 3366 - 1, 55 - 1) = "1" ), 3, 4 ) ) )</f>
        <v>4</v>
      </c>
    </row>
    <row r="3367" spans="53:56" x14ac:dyDescent="0.35">
      <c r="BA3367" s="3">
        <v>0.21013807779002106</v>
      </c>
      <c r="BB3367" s="3" t="str">
        <f>"0"</f>
        <v>0</v>
      </c>
      <c r="BC3367" t="str">
        <f ca="1">IF((OFFSET($A$1, 3367 - 1, 53 - 1)) &gt;= (OFFSET($A$1, 69 - 1, 7 - 1)), "1","0")</f>
        <v>0</v>
      </c>
      <c r="BD3367">
        <f ca="1" xml:space="preserve"> IF( AND( OFFSET($A$1, 3367 - 1, 54 - 1) = "1", OFFSET($A$1, 3367 - 1, 55 - 1) = "1" ), 1, IF( AND( OFFSET($A$1, 3367 - 1, 54 - 1) = "1", OFFSET($A$1, 3367 - 1, 55 - 1) = "0" ), 2, IF( AND( OFFSET($A$1, 3367 - 1, 54 - 1) = "0", OFFSET($A$1, 3367 - 1, 55 - 1) = "1" ), 3, 4 ) ) )</f>
        <v>4</v>
      </c>
    </row>
    <row r="3368" spans="53:56" x14ac:dyDescent="0.35">
      <c r="BA3368" s="3">
        <v>0.21081188184543992</v>
      </c>
      <c r="BB3368" s="3" t="str">
        <f>"0"</f>
        <v>0</v>
      </c>
      <c r="BC3368" t="str">
        <f ca="1">IF((OFFSET($A$1, 3368 - 1, 53 - 1)) &gt;= (OFFSET($A$1, 69 - 1, 7 - 1)), "1","0")</f>
        <v>0</v>
      </c>
      <c r="BD3368">
        <f ca="1" xml:space="preserve"> IF( AND( OFFSET($A$1, 3368 - 1, 54 - 1) = "1", OFFSET($A$1, 3368 - 1, 55 - 1) = "1" ), 1, IF( AND( OFFSET($A$1, 3368 - 1, 54 - 1) = "1", OFFSET($A$1, 3368 - 1, 55 - 1) = "0" ), 2, IF( AND( OFFSET($A$1, 3368 - 1, 54 - 1) = "0", OFFSET($A$1, 3368 - 1, 55 - 1) = "1" ), 3, 4 ) ) )</f>
        <v>4</v>
      </c>
    </row>
    <row r="3369" spans="53:56" x14ac:dyDescent="0.35">
      <c r="BA3369" s="3">
        <v>0.21150055607338603</v>
      </c>
      <c r="BB3369" s="3" t="str">
        <f>"0"</f>
        <v>0</v>
      </c>
      <c r="BC3369" t="str">
        <f ca="1">IF((OFFSET($A$1, 3369 - 1, 53 - 1)) &gt;= (OFFSET($A$1, 69 - 1, 7 - 1)), "1","0")</f>
        <v>0</v>
      </c>
      <c r="BD3369">
        <f ca="1" xml:space="preserve"> IF( AND( OFFSET($A$1, 3369 - 1, 54 - 1) = "1", OFFSET($A$1, 3369 - 1, 55 - 1) = "1" ), 1, IF( AND( OFFSET($A$1, 3369 - 1, 54 - 1) = "1", OFFSET($A$1, 3369 - 1, 55 - 1) = "0" ), 2, IF( AND( OFFSET($A$1, 3369 - 1, 54 - 1) = "0", OFFSET($A$1, 3369 - 1, 55 - 1) = "1" ), 3, 4 ) ) )</f>
        <v>4</v>
      </c>
    </row>
    <row r="3370" spans="53:56" x14ac:dyDescent="0.35">
      <c r="BA3370" s="3">
        <v>0.21220399105280205</v>
      </c>
      <c r="BB3370" s="3" t="str">
        <f>"1"</f>
        <v>1</v>
      </c>
      <c r="BC3370" t="str">
        <f ca="1">IF((OFFSET($A$1, 3370 - 1, 53 - 1)) &gt;= (OFFSET($A$1, 69 - 1, 7 - 1)), "1","0")</f>
        <v>0</v>
      </c>
      <c r="BD3370">
        <f ca="1" xml:space="preserve"> IF( AND( OFFSET($A$1, 3370 - 1, 54 - 1) = "1", OFFSET($A$1, 3370 - 1, 55 - 1) = "1" ), 1, IF( AND( OFFSET($A$1, 3370 - 1, 54 - 1) = "1", OFFSET($A$1, 3370 - 1, 55 - 1) = "0" ), 2, IF( AND( OFFSET($A$1, 3370 - 1, 54 - 1) = "0", OFFSET($A$1, 3370 - 1, 55 - 1) = "1" ), 3, 4 ) ) )</f>
        <v>2</v>
      </c>
    </row>
    <row r="3371" spans="53:56" x14ac:dyDescent="0.35">
      <c r="BA3371" s="3">
        <v>0.45783416694886703</v>
      </c>
      <c r="BB3371" s="3" t="str">
        <f>"0"</f>
        <v>0</v>
      </c>
      <c r="BC3371" t="str">
        <f ca="1">IF((OFFSET($A$1, 3371 - 1, 53 - 1)) &gt;= (OFFSET($A$1, 69 - 1, 7 - 1)), "1","0")</f>
        <v>0</v>
      </c>
      <c r="BD3371">
        <f ca="1" xml:space="preserve"> IF( AND( OFFSET($A$1, 3371 - 1, 54 - 1) = "1", OFFSET($A$1, 3371 - 1, 55 - 1) = "1" ), 1, IF( AND( OFFSET($A$1, 3371 - 1, 54 - 1) = "1", OFFSET($A$1, 3371 - 1, 55 - 1) = "0" ), 2, IF( AND( OFFSET($A$1, 3371 - 1, 54 - 1) = "0", OFFSET($A$1, 3371 - 1, 55 - 1) = "1" ), 3, 4 ) ) )</f>
        <v>4</v>
      </c>
    </row>
    <row r="3372" spans="53:56" x14ac:dyDescent="0.35">
      <c r="BA3372" s="3">
        <v>0.21365468495119369</v>
      </c>
      <c r="BB3372" s="3" t="str">
        <f>"1"</f>
        <v>1</v>
      </c>
      <c r="BC3372" t="str">
        <f ca="1">IF((OFFSET($A$1, 3372 - 1, 53 - 1)) &gt;= (OFFSET($A$1, 69 - 1, 7 - 1)), "1","0")</f>
        <v>0</v>
      </c>
      <c r="BD3372">
        <f ca="1" xml:space="preserve"> IF( AND( OFFSET($A$1, 3372 - 1, 54 - 1) = "1", OFFSET($A$1, 3372 - 1, 55 - 1) = "1" ), 1, IF( AND( OFFSET($A$1, 3372 - 1, 54 - 1) = "1", OFFSET($A$1, 3372 - 1, 55 - 1) = "0" ), 2, IF( AND( OFFSET($A$1, 3372 - 1, 54 - 1) = "0", OFFSET($A$1, 3372 - 1, 55 - 1) = "1" ), 3, 4 ) ) )</f>
        <v>2</v>
      </c>
    </row>
    <row r="3373" spans="53:56" x14ac:dyDescent="0.35">
      <c r="BA3373" s="3">
        <v>0.46002100808436064</v>
      </c>
      <c r="BB3373" s="3" t="str">
        <f>"0"</f>
        <v>0</v>
      </c>
      <c r="BC3373" t="str">
        <f ca="1">IF((OFFSET($A$1, 3373 - 1, 53 - 1)) &gt;= (OFFSET($A$1, 69 - 1, 7 - 1)), "1","0")</f>
        <v>0</v>
      </c>
      <c r="BD3373">
        <f ca="1" xml:space="preserve"> IF( AND( OFFSET($A$1, 3373 - 1, 54 - 1) = "1", OFFSET($A$1, 3373 - 1, 55 - 1) = "1" ), 1, IF( AND( OFFSET($A$1, 3373 - 1, 54 - 1) = "1", OFFSET($A$1, 3373 - 1, 55 - 1) = "0" ), 2, IF( AND( OFFSET($A$1, 3373 - 1, 54 - 1) = "0", OFFSET($A$1, 3373 - 1, 55 - 1) = "1" ), 3, 4 ) ) )</f>
        <v>4</v>
      </c>
    </row>
    <row r="3374" spans="53:56" x14ac:dyDescent="0.35">
      <c r="BA3374" s="3">
        <v>0.2151630044752966</v>
      </c>
      <c r="BB3374" s="3" t="str">
        <f>"0"</f>
        <v>0</v>
      </c>
      <c r="BC3374" t="str">
        <f ca="1">IF((OFFSET($A$1, 3374 - 1, 53 - 1)) &gt;= (OFFSET($A$1, 69 - 1, 7 - 1)), "1","0")</f>
        <v>0</v>
      </c>
      <c r="BD3374">
        <f ca="1" xml:space="preserve"> IF( AND( OFFSET($A$1, 3374 - 1, 54 - 1) = "1", OFFSET($A$1, 3374 - 1, 55 - 1) = "1" ), 1, IF( AND( OFFSET($A$1, 3374 - 1, 54 - 1) = "1", OFFSET($A$1, 3374 - 1, 55 - 1) = "0" ), 2, IF( AND( OFFSET($A$1, 3374 - 1, 54 - 1) = "0", OFFSET($A$1, 3374 - 1, 55 - 1) = "1" ), 3, 4 ) ) )</f>
        <v>4</v>
      </c>
    </row>
    <row r="3375" spans="53:56" x14ac:dyDescent="0.35">
      <c r="BA3375" s="3">
        <v>0.2159384551389591</v>
      </c>
      <c r="BB3375" s="3" t="str">
        <f>"0"</f>
        <v>0</v>
      </c>
      <c r="BC3375" t="str">
        <f ca="1">IF((OFFSET($A$1, 3375 - 1, 53 - 1)) &gt;= (OFFSET($A$1, 69 - 1, 7 - 1)), "1","0")</f>
        <v>0</v>
      </c>
      <c r="BD3375">
        <f ca="1" xml:space="preserve"> IF( AND( OFFSET($A$1, 3375 - 1, 54 - 1) = "1", OFFSET($A$1, 3375 - 1, 55 - 1) = "1" ), 1, IF( AND( OFFSET($A$1, 3375 - 1, 54 - 1) = "1", OFFSET($A$1, 3375 - 1, 55 - 1) = "0" ), 2, IF( AND( OFFSET($A$1, 3375 - 1, 54 - 1) = "0", OFFSET($A$1, 3375 - 1, 55 - 1) = "1" ), 3, 4 ) ) )</f>
        <v>4</v>
      </c>
    </row>
    <row r="3376" spans="53:56" x14ac:dyDescent="0.35">
      <c r="BA3376" s="3">
        <v>0.21672792081276038</v>
      </c>
      <c r="BB3376" s="3" t="str">
        <f>"0"</f>
        <v>0</v>
      </c>
      <c r="BC3376" t="str">
        <f ca="1">IF((OFFSET($A$1, 3376 - 1, 53 - 1)) &gt;= (OFFSET($A$1, 69 - 1, 7 - 1)), "1","0")</f>
        <v>0</v>
      </c>
      <c r="BD3376">
        <f ca="1" xml:space="preserve"> IF( AND( OFFSET($A$1, 3376 - 1, 54 - 1) = "1", OFFSET($A$1, 3376 - 1, 55 - 1) = "1" ), 1, IF( AND( OFFSET($A$1, 3376 - 1, 54 - 1) = "1", OFFSET($A$1, 3376 - 1, 55 - 1) = "0" ), 2, IF( AND( OFFSET($A$1, 3376 - 1, 54 - 1) = "0", OFFSET($A$1, 3376 - 1, 55 - 1) = "1" ), 3, 4 ) ) )</f>
        <v>4</v>
      </c>
    </row>
    <row r="3377" spans="53:56" x14ac:dyDescent="0.35">
      <c r="BA3377" s="3">
        <v>0.21753126157250949</v>
      </c>
      <c r="BB3377" s="3" t="str">
        <f>"0"</f>
        <v>0</v>
      </c>
      <c r="BC3377" t="str">
        <f ca="1">IF((OFFSET($A$1, 3377 - 1, 53 - 1)) &gt;= (OFFSET($A$1, 69 - 1, 7 - 1)), "1","0")</f>
        <v>0</v>
      </c>
      <c r="BD3377">
        <f ca="1" xml:space="preserve"> IF( AND( OFFSET($A$1, 3377 - 1, 54 - 1) = "1", OFFSET($A$1, 3377 - 1, 55 - 1) = "1" ), 1, IF( AND( OFFSET($A$1, 3377 - 1, 54 - 1) = "1", OFFSET($A$1, 3377 - 1, 55 - 1) = "0" ), 2, IF( AND( OFFSET($A$1, 3377 - 1, 54 - 1) = "0", OFFSET($A$1, 3377 - 1, 55 - 1) = "1" ), 3, 4 ) ) )</f>
        <v>4</v>
      </c>
    </row>
    <row r="3378" spans="53:56" x14ac:dyDescent="0.35">
      <c r="BA3378" s="3">
        <v>0.21834833281613431</v>
      </c>
      <c r="BB3378" s="3" t="str">
        <f>"0"</f>
        <v>0</v>
      </c>
      <c r="BC3378" t="str">
        <f ca="1">IF((OFFSET($A$1, 3378 - 1, 53 - 1)) &gt;= (OFFSET($A$1, 69 - 1, 7 - 1)), "1","0")</f>
        <v>0</v>
      </c>
      <c r="BD3378">
        <f ca="1" xml:space="preserve"> IF( AND( OFFSET($A$1, 3378 - 1, 54 - 1) = "1", OFFSET($A$1, 3378 - 1, 55 - 1) = "1" ), 1, IF( AND( OFFSET($A$1, 3378 - 1, 54 - 1) = "1", OFFSET($A$1, 3378 - 1, 55 - 1) = "0" ), 2, IF( AND( OFFSET($A$1, 3378 - 1, 54 - 1) = "0", OFFSET($A$1, 3378 - 1, 55 - 1) = "1" ), 3, 4 ) ) )</f>
        <v>4</v>
      </c>
    </row>
    <row r="3379" spans="53:56" x14ac:dyDescent="0.35">
      <c r="BA3379" s="3">
        <v>0.21917898518817466</v>
      </c>
      <c r="BB3379" s="3" t="str">
        <f>"0"</f>
        <v>0</v>
      </c>
      <c r="BC3379" t="str">
        <f ca="1">IF((OFFSET($A$1, 3379 - 1, 53 - 1)) &gt;= (OFFSET($A$1, 69 - 1, 7 - 1)), "1","0")</f>
        <v>0</v>
      </c>
      <c r="BD3379">
        <f ca="1" xml:space="preserve"> IF( AND( OFFSET($A$1, 3379 - 1, 54 - 1) = "1", OFFSET($A$1, 3379 - 1, 55 - 1) = "1" ), 1, IF( AND( OFFSET($A$1, 3379 - 1, 54 - 1) = "1", OFFSET($A$1, 3379 - 1, 55 - 1) = "0" ), 2, IF( AND( OFFSET($A$1, 3379 - 1, 54 - 1) = "0", OFFSET($A$1, 3379 - 1, 55 - 1) = "1" ), 3, 4 ) ) )</f>
        <v>4</v>
      </c>
    </row>
    <row r="3380" spans="53:56" x14ac:dyDescent="0.35">
      <c r="BA3380" s="3">
        <v>0.220023064506257</v>
      </c>
      <c r="BB3380" s="3" t="str">
        <f>"0"</f>
        <v>0</v>
      </c>
      <c r="BC3380" t="str">
        <f ca="1">IF((OFFSET($A$1, 3380 - 1, 53 - 1)) &gt;= (OFFSET($A$1, 69 - 1, 7 - 1)), "1","0")</f>
        <v>0</v>
      </c>
      <c r="BD3380">
        <f ca="1" xml:space="preserve"> IF( AND( OFFSET($A$1, 3380 - 1, 54 - 1) = "1", OFFSET($A$1, 3380 - 1, 55 - 1) = "1" ), 1, IF( AND( OFFSET($A$1, 3380 - 1, 54 - 1) = "1", OFFSET($A$1, 3380 - 1, 55 - 1) = "0" ), 2, IF( AND( OFFSET($A$1, 3380 - 1, 54 - 1) = "0", OFFSET($A$1, 3380 - 1, 55 - 1) = "1" ), 3, 4 ) ) )</f>
        <v>4</v>
      </c>
    </row>
    <row r="3381" spans="53:56" x14ac:dyDescent="0.35">
      <c r="BA3381" s="3">
        <v>0.22088041168974334</v>
      </c>
      <c r="BB3381" s="3" t="str">
        <f>"0"</f>
        <v>0</v>
      </c>
      <c r="BC3381" t="str">
        <f ca="1">IF((OFFSET($A$1, 3381 - 1, 53 - 1)) &gt;= (OFFSET($A$1, 69 - 1, 7 - 1)), "1","0")</f>
        <v>0</v>
      </c>
      <c r="BD3381">
        <f ca="1" xml:space="preserve"> IF( AND( OFFSET($A$1, 3381 - 1, 54 - 1) = "1", OFFSET($A$1, 3381 - 1, 55 - 1) = "1" ), 1, IF( AND( OFFSET($A$1, 3381 - 1, 54 - 1) = "1", OFFSET($A$1, 3381 - 1, 55 - 1) = "0" ), 2, IF( AND( OFFSET($A$1, 3381 - 1, 54 - 1) = "0", OFFSET($A$1, 3381 - 1, 55 - 1) = "1" ), 3, 4 ) ) )</f>
        <v>4</v>
      </c>
    </row>
    <row r="3382" spans="53:56" x14ac:dyDescent="0.35">
      <c r="BA3382" s="3">
        <v>0.22175086269073968</v>
      </c>
      <c r="BB3382" s="3" t="str">
        <f>"1"</f>
        <v>1</v>
      </c>
      <c r="BC3382" t="str">
        <f ca="1">IF((OFFSET($A$1, 3382 - 1, 53 - 1)) &gt;= (OFFSET($A$1, 69 - 1, 7 - 1)), "1","0")</f>
        <v>0</v>
      </c>
      <c r="BD3382">
        <f ca="1" xml:space="preserve"> IF( AND( OFFSET($A$1, 3382 - 1, 54 - 1) = "1", OFFSET($A$1, 3382 - 1, 55 - 1) = "1" ), 1, IF( AND( OFFSET($A$1, 3382 - 1, 54 - 1) = "1", OFFSET($A$1, 3382 - 1, 55 - 1) = "0" ), 2, IF( AND( OFFSET($A$1, 3382 - 1, 54 - 1) = "0", OFFSET($A$1, 3382 - 1, 55 - 1) = "1" ), 3, 4 ) ) )</f>
        <v>2</v>
      </c>
    </row>
    <row r="3383" spans="53:56" x14ac:dyDescent="0.35">
      <c r="BA3383" s="3">
        <v>0.47201813114696667</v>
      </c>
      <c r="BB3383" s="3" t="str">
        <f>"0"</f>
        <v>0</v>
      </c>
      <c r="BC3383" t="str">
        <f ca="1">IF((OFFSET($A$1, 3383 - 1, 53 - 1)) &gt;= (OFFSET($A$1, 69 - 1, 7 - 1)), "1","0")</f>
        <v>0</v>
      </c>
      <c r="BD3383">
        <f ca="1" xml:space="preserve"> IF( AND( OFFSET($A$1, 3383 - 1, 54 - 1) = "1", OFFSET($A$1, 3383 - 1, 55 - 1) = "1" ), 1, IF( AND( OFFSET($A$1, 3383 - 1, 54 - 1) = "1", OFFSET($A$1, 3383 - 1, 55 - 1) = "0" ), 2, IF( AND( OFFSET($A$1, 3383 - 1, 54 - 1) = "0", OFFSET($A$1, 3383 - 1, 55 - 1) = "1" ), 3, 4 ) ) )</f>
        <v>4</v>
      </c>
    </row>
    <row r="3384" spans="53:56" x14ac:dyDescent="0.35">
      <c r="BA3384" s="3">
        <v>0.22353039472147829</v>
      </c>
      <c r="BB3384" s="3" t="str">
        <f>"1"</f>
        <v>1</v>
      </c>
      <c r="BC3384" t="str">
        <f ca="1">IF((OFFSET($A$1, 3384 - 1, 53 - 1)) &gt;= (OFFSET($A$1, 69 - 1, 7 - 1)), "1","0")</f>
        <v>0</v>
      </c>
      <c r="BD3384">
        <f ca="1" xml:space="preserve"> IF( AND( OFFSET($A$1, 3384 - 1, 54 - 1) = "1", OFFSET($A$1, 3384 - 1, 55 - 1) = "1" ), 1, IF( AND( OFFSET($A$1, 3384 - 1, 54 - 1) = "1", OFFSET($A$1, 3384 - 1, 55 - 1) = "0" ), 2, IF( AND( OFFSET($A$1, 3384 - 1, 54 - 1) = "0", OFFSET($A$1, 3384 - 1, 55 - 1) = "1" ), 3, 4 ) ) )</f>
        <v>2</v>
      </c>
    </row>
    <row r="3385" spans="53:56" x14ac:dyDescent="0.35">
      <c r="BA3385" s="3">
        <v>0.47461039457250304</v>
      </c>
      <c r="BB3385" s="3" t="str">
        <f>"1"</f>
        <v>1</v>
      </c>
      <c r="BC3385" t="str">
        <f ca="1">IF((OFFSET($A$1, 3385 - 1, 53 - 1)) &gt;= (OFFSET($A$1, 69 - 1, 7 - 1)), "1","0")</f>
        <v>0</v>
      </c>
      <c r="BD3385">
        <f ca="1" xml:space="preserve"> IF( AND( OFFSET($A$1, 3385 - 1, 54 - 1) = "1", OFFSET($A$1, 3385 - 1, 55 - 1) = "1" ), 1, IF( AND( OFFSET($A$1, 3385 - 1, 54 - 1) = "1", OFFSET($A$1, 3385 - 1, 55 - 1) = "0" ), 2, IF( AND( OFFSET($A$1, 3385 - 1, 54 - 1) = "0", OFFSET($A$1, 3385 - 1, 55 - 1) = "1" ), 3, 4 ) ) )</f>
        <v>2</v>
      </c>
    </row>
    <row r="3386" spans="53:56" x14ac:dyDescent="0.35">
      <c r="BA3386" s="3">
        <v>0.47592818966572625</v>
      </c>
      <c r="BB3386" s="3" t="str">
        <f>"1"</f>
        <v>1</v>
      </c>
      <c r="BC3386" t="str">
        <f ca="1">IF((OFFSET($A$1, 3386 - 1, 53 - 1)) &gt;= (OFFSET($A$1, 69 - 1, 7 - 1)), "1","0")</f>
        <v>0</v>
      </c>
      <c r="BD3386">
        <f ca="1" xml:space="preserve"> IF( AND( OFFSET($A$1, 3386 - 1, 54 - 1) = "1", OFFSET($A$1, 3386 - 1, 55 - 1) = "1" ), 1, IF( AND( OFFSET($A$1, 3386 - 1, 54 - 1) = "1", OFFSET($A$1, 3386 - 1, 55 - 1) = "0" ), 2, IF( AND( OFFSET($A$1, 3386 - 1, 54 - 1) = "0", OFFSET($A$1, 3386 - 1, 55 - 1) = "1" ), 3, 4 ) ) )</f>
        <v>2</v>
      </c>
    </row>
    <row r="3387" spans="53:56" x14ac:dyDescent="0.35">
      <c r="BA3387" s="3">
        <v>0.47725989898128091</v>
      </c>
      <c r="BB3387" s="3" t="str">
        <f>"0"</f>
        <v>0</v>
      </c>
      <c r="BC3387" t="str">
        <f ca="1">IF((OFFSET($A$1, 3387 - 1, 53 - 1)) &gt;= (OFFSET($A$1, 69 - 1, 7 - 1)), "1","0")</f>
        <v>0</v>
      </c>
      <c r="BD3387">
        <f ca="1" xml:space="preserve"> IF( AND( OFFSET($A$1, 3387 - 1, 54 - 1) = "1", OFFSET($A$1, 3387 - 1, 55 - 1) = "1" ), 1, IF( AND( OFFSET($A$1, 3387 - 1, 54 - 1) = "1", OFFSET($A$1, 3387 - 1, 55 - 1) = "0" ), 2, IF( AND( OFFSET($A$1, 3387 - 1, 54 - 1) = "0", OFFSET($A$1, 3387 - 1, 55 - 1) = "1" ), 3, 4 ) ) )</f>
        <v>4</v>
      </c>
    </row>
    <row r="3388" spans="53:56" x14ac:dyDescent="0.35">
      <c r="BA3388" s="3">
        <v>0.22723892016134409</v>
      </c>
      <c r="BB3388" s="3" t="str">
        <f>"0"</f>
        <v>0</v>
      </c>
      <c r="BC3388" t="str">
        <f ca="1">IF((OFFSET($A$1, 3388 - 1, 53 - 1)) &gt;= (OFFSET($A$1, 69 - 1, 7 - 1)), "1","0")</f>
        <v>0</v>
      </c>
      <c r="BD3388">
        <f ca="1" xml:space="preserve"> IF( AND( OFFSET($A$1, 3388 - 1, 54 - 1) = "1", OFFSET($A$1, 3388 - 1, 55 - 1) = "1" ), 1, IF( AND( OFFSET($A$1, 3388 - 1, 54 - 1) = "1", OFFSET($A$1, 3388 - 1, 55 - 1) = "0" ), 2, IF( AND( OFFSET($A$1, 3388 - 1, 54 - 1) = "0", OFFSET($A$1, 3388 - 1, 55 - 1) = "1" ), 3, 4 ) ) )</f>
        <v>4</v>
      </c>
    </row>
    <row r="3389" spans="53:56" x14ac:dyDescent="0.35">
      <c r="BA3389" s="3">
        <v>0.22819607406997136</v>
      </c>
      <c r="BB3389" s="3" t="str">
        <f>"0"</f>
        <v>0</v>
      </c>
      <c r="BC3389" t="str">
        <f ca="1">IF((OFFSET($A$1, 3389 - 1, 53 - 1)) &gt;= (OFFSET($A$1, 69 - 1, 7 - 1)), "1","0")</f>
        <v>0</v>
      </c>
      <c r="BD3389">
        <f ca="1" xml:space="preserve"> IF( AND( OFFSET($A$1, 3389 - 1, 54 - 1) = "1", OFFSET($A$1, 3389 - 1, 55 - 1) = "1" ), 1, IF( AND( OFFSET($A$1, 3389 - 1, 54 - 1) = "1", OFFSET($A$1, 3389 - 1, 55 - 1) = "0" ), 2, IF( AND( OFFSET($A$1, 3389 - 1, 54 - 1) = "0", OFFSET($A$1, 3389 - 1, 55 - 1) = "1" ), 3, 4 ) ) )</f>
        <v>4</v>
      </c>
    </row>
    <row r="3390" spans="53:56" x14ac:dyDescent="0.35">
      <c r="BA3390" s="3">
        <v>0.22916483324011497</v>
      </c>
      <c r="BB3390" s="3" t="str">
        <f>"0"</f>
        <v>0</v>
      </c>
      <c r="BC3390" t="str">
        <f ca="1">IF((OFFSET($A$1, 3390 - 1, 53 - 1)) &gt;= (OFFSET($A$1, 69 - 1, 7 - 1)), "1","0")</f>
        <v>0</v>
      </c>
      <c r="BD3390">
        <f ca="1" xml:space="preserve"> IF( AND( OFFSET($A$1, 3390 - 1, 54 - 1) = "1", OFFSET($A$1, 3390 - 1, 55 - 1) = "1" ), 1, IF( AND( OFFSET($A$1, 3390 - 1, 54 - 1) = "1", OFFSET($A$1, 3390 - 1, 55 - 1) = "0" ), 2, IF( AND( OFFSET($A$1, 3390 - 1, 54 - 1) = "0", OFFSET($A$1, 3390 - 1, 55 - 1) = "1" ), 3, 4 ) ) )</f>
        <v>4</v>
      </c>
    </row>
    <row r="3391" spans="53:56" x14ac:dyDescent="0.35">
      <c r="BA3391" s="3">
        <v>0.23014498629601468</v>
      </c>
      <c r="BB3391" s="3" t="str">
        <f>"0"</f>
        <v>0</v>
      </c>
      <c r="BC3391" t="str">
        <f ca="1">IF((OFFSET($A$1, 3391 - 1, 53 - 1)) &gt;= (OFFSET($A$1, 69 - 1, 7 - 1)), "1","0")</f>
        <v>0</v>
      </c>
      <c r="BD3391">
        <f ca="1" xml:space="preserve"> IF( AND( OFFSET($A$1, 3391 - 1, 54 - 1) = "1", OFFSET($A$1, 3391 - 1, 55 - 1) = "1" ), 1, IF( AND( OFFSET($A$1, 3391 - 1, 54 - 1) = "1", OFFSET($A$1, 3391 - 1, 55 - 1) = "0" ), 2, IF( AND( OFFSET($A$1, 3391 - 1, 54 - 1) = "0", OFFSET($A$1, 3391 - 1, 55 - 1) = "1" ), 3, 4 ) ) )</f>
        <v>4</v>
      </c>
    </row>
    <row r="3392" spans="53:56" x14ac:dyDescent="0.35">
      <c r="BA3392" s="3">
        <v>0.2311363163755506</v>
      </c>
      <c r="BB3392" s="3" t="str">
        <f>"0"</f>
        <v>0</v>
      </c>
      <c r="BC3392" t="str">
        <f ca="1">IF((OFFSET($A$1, 3392 - 1, 53 - 1)) &gt;= (OFFSET($A$1, 69 - 1, 7 - 1)), "1","0")</f>
        <v>0</v>
      </c>
      <c r="BD3392">
        <f ca="1" xml:space="preserve"> IF( AND( OFFSET($A$1, 3392 - 1, 54 - 1) = "1", OFFSET($A$1, 3392 - 1, 55 - 1) = "1" ), 1, IF( AND( OFFSET($A$1, 3392 - 1, 54 - 1) = "1", OFFSET($A$1, 3392 - 1, 55 - 1) = "0" ), 2, IF( AND( OFFSET($A$1, 3392 - 1, 54 - 1) = "0", OFFSET($A$1, 3392 - 1, 55 - 1) = "1" ), 3, 4 ) ) )</f>
        <v>4</v>
      </c>
    </row>
    <row r="3393" spans="53:56" x14ac:dyDescent="0.35">
      <c r="BA3393" s="3">
        <v>0.23213860109940063</v>
      </c>
      <c r="BB3393" s="3" t="str">
        <f>"1"</f>
        <v>1</v>
      </c>
      <c r="BC3393" t="str">
        <f ca="1">IF((OFFSET($A$1, 3393 - 1, 53 - 1)) &gt;= (OFFSET($A$1, 69 - 1, 7 - 1)), "1","0")</f>
        <v>0</v>
      </c>
      <c r="BD3393">
        <f ca="1" xml:space="preserve"> IF( AND( OFFSET($A$1, 3393 - 1, 54 - 1) = "1", OFFSET($A$1, 3393 - 1, 55 - 1) = "1" ), 1, IF( AND( OFFSET($A$1, 3393 - 1, 54 - 1) = "1", OFFSET($A$1, 3393 - 1, 55 - 1) = "0" ), 2, IF( AND( OFFSET($A$1, 3393 - 1, 54 - 1) = "0", OFFSET($A$1, 3393 - 1, 55 - 1) = "1" ), 3, 4 ) ) )</f>
        <v>2</v>
      </c>
    </row>
    <row r="3394" spans="53:56" x14ac:dyDescent="0.35">
      <c r="BA3394" s="3">
        <v>0.48693696355709687</v>
      </c>
      <c r="BB3394" s="3" t="str">
        <f>"0"</f>
        <v>0</v>
      </c>
      <c r="BC3394" t="str">
        <f ca="1">IF((OFFSET($A$1, 3394 - 1, 53 - 1)) &gt;= (OFFSET($A$1, 69 - 1, 7 - 1)), "1","0")</f>
        <v>0</v>
      </c>
      <c r="BD3394">
        <f ca="1" xml:space="preserve"> IF( AND( OFFSET($A$1, 3394 - 1, 54 - 1) = "1", OFFSET($A$1, 3394 - 1, 55 - 1) = "1" ), 1, IF( AND( OFFSET($A$1, 3394 - 1, 54 - 1) = "1", OFFSET($A$1, 3394 - 1, 55 - 1) = "0" ), 2, IF( AND( OFFSET($A$1, 3394 - 1, 54 - 1) = "0", OFFSET($A$1, 3394 - 1, 55 - 1) = "1" ), 3, 4 ) ) )</f>
        <v>4</v>
      </c>
    </row>
    <row r="3395" spans="53:56" x14ac:dyDescent="0.35">
      <c r="BA3395" s="3">
        <v>0.23417511722350146</v>
      </c>
      <c r="BB3395" s="3" t="str">
        <f>"0"</f>
        <v>0</v>
      </c>
      <c r="BC3395" t="str">
        <f ca="1">IF((OFFSET($A$1, 3395 - 1, 53 - 1)) &gt;= (OFFSET($A$1, 69 - 1, 7 - 1)), "1","0")</f>
        <v>0</v>
      </c>
      <c r="BD3395">
        <f ca="1" xml:space="preserve"> IF( AND( OFFSET($A$1, 3395 - 1, 54 - 1) = "1", OFFSET($A$1, 3395 - 1, 55 - 1) = "1" ), 1, IF( AND( OFFSET($A$1, 3395 - 1, 54 - 1) = "1", OFFSET($A$1, 3395 - 1, 55 - 1) = "0" ), 2, IF( AND( OFFSET($A$1, 3395 - 1, 54 - 1) = "0", OFFSET($A$1, 3395 - 1, 55 - 1) = "1" ), 3, 4 ) ) )</f>
        <v>4</v>
      </c>
    </row>
    <row r="3396" spans="53:56" x14ac:dyDescent="0.35">
      <c r="BA3396" s="3">
        <v>0.23520887606576604</v>
      </c>
      <c r="BB3396" s="3" t="str">
        <f>"0"</f>
        <v>0</v>
      </c>
      <c r="BC3396" t="str">
        <f ca="1">IF((OFFSET($A$1, 3396 - 1, 53 - 1)) &gt;= (OFFSET($A$1, 69 - 1, 7 - 1)), "1","0")</f>
        <v>0</v>
      </c>
      <c r="BD3396">
        <f ca="1" xml:space="preserve"> IF( AND( OFFSET($A$1, 3396 - 1, 54 - 1) = "1", OFFSET($A$1, 3396 - 1, 55 - 1) = "1" ), 1, IF( AND( OFFSET($A$1, 3396 - 1, 54 - 1) = "1", OFFSET($A$1, 3396 - 1, 55 - 1) = "0" ), 2, IF( AND( OFFSET($A$1, 3396 - 1, 54 - 1) = "0", OFFSET($A$1, 3396 - 1, 55 - 1) = "1" ), 3, 4 ) ) )</f>
        <v>4</v>
      </c>
    </row>
    <row r="3397" spans="53:56" x14ac:dyDescent="0.35">
      <c r="BA3397" s="3">
        <v>0.2362526444077418</v>
      </c>
      <c r="BB3397" s="3" t="str">
        <f>"0"</f>
        <v>0</v>
      </c>
      <c r="BC3397" t="str">
        <f ca="1">IF((OFFSET($A$1, 3397 - 1, 53 - 1)) &gt;= (OFFSET($A$1, 69 - 1, 7 - 1)), "1","0")</f>
        <v>0</v>
      </c>
      <c r="BD3397">
        <f ca="1" xml:space="preserve"> IF( AND( OFFSET($A$1, 3397 - 1, 54 - 1) = "1", OFFSET($A$1, 3397 - 1, 55 - 1) = "1" ), 1, IF( AND( OFFSET($A$1, 3397 - 1, 54 - 1) = "1", OFFSET($A$1, 3397 - 1, 55 - 1) = "0" ), 2, IF( AND( OFFSET($A$1, 3397 - 1, 54 - 1) = "0", OFFSET($A$1, 3397 - 1, 55 - 1) = "1" ), 3, 4 ) ) )</f>
        <v>4</v>
      </c>
    </row>
    <row r="3398" spans="53:56" x14ac:dyDescent="0.35">
      <c r="BA3398" s="3">
        <v>0.23730617198516557</v>
      </c>
      <c r="BB3398" s="3" t="str">
        <f>"0"</f>
        <v>0</v>
      </c>
      <c r="BC3398" t="str">
        <f ca="1">IF((OFFSET($A$1, 3398 - 1, 53 - 1)) &gt;= (OFFSET($A$1, 69 - 1, 7 - 1)), "1","0")</f>
        <v>0</v>
      </c>
      <c r="BD3398">
        <f ca="1" xml:space="preserve"> IF( AND( OFFSET($A$1, 3398 - 1, 54 - 1) = "1", OFFSET($A$1, 3398 - 1, 55 - 1) = "1" ), 1, IF( AND( OFFSET($A$1, 3398 - 1, 54 - 1) = "1", OFFSET($A$1, 3398 - 1, 55 - 1) = "0" ), 2, IF( AND( OFFSET($A$1, 3398 - 1, 54 - 1) = "0", OFFSET($A$1, 3398 - 1, 55 - 1) = "1" ), 3, 4 ) ) )</f>
        <v>4</v>
      </c>
    </row>
    <row r="3399" spans="53:56" x14ac:dyDescent="0.35">
      <c r="BA3399" s="3">
        <v>0.23836920293184971</v>
      </c>
      <c r="BB3399" s="3" t="str">
        <f>"0"</f>
        <v>0</v>
      </c>
      <c r="BC3399" t="str">
        <f ca="1">IF((OFFSET($A$1, 3399 - 1, 53 - 1)) &gt;= (OFFSET($A$1, 69 - 1, 7 - 1)), "1","0")</f>
        <v>0</v>
      </c>
      <c r="BD3399">
        <f ca="1" xml:space="preserve"> IF( AND( OFFSET($A$1, 3399 - 1, 54 - 1) = "1", OFFSET($A$1, 3399 - 1, 55 - 1) = "1" ), 1, IF( AND( OFFSET($A$1, 3399 - 1, 54 - 1) = "1", OFFSET($A$1, 3399 - 1, 55 - 1) = "0" ), 2, IF( AND( OFFSET($A$1, 3399 - 1, 54 - 1) = "0", OFFSET($A$1, 3399 - 1, 55 - 1) = "1" ), 3, 4 ) ) )</f>
        <v>4</v>
      </c>
    </row>
    <row r="3400" spans="53:56" x14ac:dyDescent="0.35">
      <c r="BA3400" s="3">
        <v>0.23944147578363695</v>
      </c>
      <c r="BB3400" s="3" t="str">
        <f>"0"</f>
        <v>0</v>
      </c>
      <c r="BC3400" t="str">
        <f ca="1">IF((OFFSET($A$1, 3400 - 1, 53 - 1)) &gt;= (OFFSET($A$1, 69 - 1, 7 - 1)), "1","0")</f>
        <v>0</v>
      </c>
      <c r="BD3400">
        <f ca="1" xml:space="preserve"> IF( AND( OFFSET($A$1, 3400 - 1, 54 - 1) = "1", OFFSET($A$1, 3400 - 1, 55 - 1) = "1" ), 1, IF( AND( OFFSET($A$1, 3400 - 1, 54 - 1) = "1", OFFSET($A$1, 3400 - 1, 55 - 1) = "0" ), 2, IF( AND( OFFSET($A$1, 3400 - 1, 54 - 1) = "0", OFFSET($A$1, 3400 - 1, 55 - 1) = "1" ), 3, 4 ) ) )</f>
        <v>4</v>
      </c>
    </row>
    <row r="3401" spans="53:56" x14ac:dyDescent="0.35">
      <c r="BA3401" s="3">
        <v>0.24052272348787881</v>
      </c>
      <c r="BB3401" s="3" t="str">
        <f>"0"</f>
        <v>0</v>
      </c>
      <c r="BC3401" t="str">
        <f ca="1">IF((OFFSET($A$1, 3401 - 1, 53 - 1)) &gt;= (OFFSET($A$1, 69 - 1, 7 - 1)), "1","0")</f>
        <v>0</v>
      </c>
      <c r="BD3401">
        <f ca="1" xml:space="preserve"> IF( AND( OFFSET($A$1, 3401 - 1, 54 - 1) = "1", OFFSET($A$1, 3401 - 1, 55 - 1) = "1" ), 1, IF( AND( OFFSET($A$1, 3401 - 1, 54 - 1) = "1", OFFSET($A$1, 3401 - 1, 55 - 1) = "0" ), 2, IF( AND( OFFSET($A$1, 3401 - 1, 54 - 1) = "0", OFFSET($A$1, 3401 - 1, 55 - 1) = "1" ), 3, 4 ) ) )</f>
        <v>4</v>
      </c>
    </row>
    <row r="3402" spans="53:56" x14ac:dyDescent="0.35">
      <c r="BA3402" s="3">
        <v>0.24161267341853115</v>
      </c>
      <c r="BB3402" s="3" t="str">
        <f>"0"</f>
        <v>0</v>
      </c>
      <c r="BC3402" t="str">
        <f ca="1">IF((OFFSET($A$1, 3402 - 1, 53 - 1)) &gt;= (OFFSET($A$1, 69 - 1, 7 - 1)), "1","0")</f>
        <v>0</v>
      </c>
      <c r="BD3402">
        <f ca="1" xml:space="preserve"> IF( AND( OFFSET($A$1, 3402 - 1, 54 - 1) = "1", OFFSET($A$1, 3402 - 1, 55 - 1) = "1" ), 1, IF( AND( OFFSET($A$1, 3402 - 1, 54 - 1) = "1", OFFSET($A$1, 3402 - 1, 55 - 1) = "0" ), 2, IF( AND( OFFSET($A$1, 3402 - 1, 54 - 1) = "0", OFFSET($A$1, 3402 - 1, 55 - 1) = "1" ), 3, 4 ) ) )</f>
        <v>4</v>
      </c>
    </row>
    <row r="3403" spans="53:56" x14ac:dyDescent="0.35">
      <c r="BA3403" s="3">
        <v>0.24271104739699492</v>
      </c>
      <c r="BB3403" s="3" t="str">
        <f>"1"</f>
        <v>1</v>
      </c>
      <c r="BC3403" t="str">
        <f ca="1">IF((OFFSET($A$1, 3403 - 1, 53 - 1)) &gt;= (OFFSET($A$1, 69 - 1, 7 - 1)), "1","0")</f>
        <v>0</v>
      </c>
      <c r="BD3403">
        <f ca="1" xml:space="preserve"> IF( AND( OFFSET($A$1, 3403 - 1, 54 - 1) = "1", OFFSET($A$1, 3403 - 1, 55 - 1) = "1" ), 1, IF( AND( OFFSET($A$1, 3403 - 1, 54 - 1) = "1", OFFSET($A$1, 3403 - 1, 55 - 1) = "0" ), 2, IF( AND( OFFSET($A$1, 3403 - 1, 54 - 1) = "0", OFFSET($A$1, 3403 - 1, 55 - 1) = "1" ), 3, 4 ) ) )</f>
        <v>2</v>
      </c>
    </row>
    <row r="3404" spans="53:56" x14ac:dyDescent="0.35">
      <c r="BA3404" s="3">
        <v>0.50161842276347401</v>
      </c>
      <c r="BB3404" s="3" t="str">
        <f>"1"</f>
        <v>1</v>
      </c>
      <c r="BC3404" t="str">
        <f ca="1">IF((OFFSET($A$1, 3404 - 1, 53 - 1)) &gt;= (OFFSET($A$1, 69 - 1, 7 - 1)), "1","0")</f>
        <v>1</v>
      </c>
      <c r="BD3404">
        <f ca="1" xml:space="preserve"> IF( AND( OFFSET($A$1, 3404 - 1, 54 - 1) = "1", OFFSET($A$1, 3404 - 1, 55 - 1) = "1" ), 1, IF( AND( OFFSET($A$1, 3404 - 1, 54 - 1) = "1", OFFSET($A$1, 3404 - 1, 55 - 1) = "0" ), 2, IF( AND( OFFSET($A$1, 3404 - 1, 54 - 1) = "0", OFFSET($A$1, 3404 - 1, 55 - 1) = "1" ), 3, 4 ) ) )</f>
        <v>1</v>
      </c>
    </row>
    <row r="3405" spans="53:56" x14ac:dyDescent="0.35">
      <c r="BA3405" s="3">
        <v>0.50312709655672205</v>
      </c>
      <c r="BB3405" s="3" t="str">
        <f>"1"</f>
        <v>1</v>
      </c>
      <c r="BC3405" t="str">
        <f ca="1">IF((OFFSET($A$1, 3405 - 1, 53 - 1)) &gt;= (OFFSET($A$1, 69 - 1, 7 - 1)), "1","0")</f>
        <v>1</v>
      </c>
      <c r="BD3405">
        <f ca="1" xml:space="preserve"> IF( AND( OFFSET($A$1, 3405 - 1, 54 - 1) = "1", OFFSET($A$1, 3405 - 1, 55 - 1) = "1" ), 1, IF( AND( OFFSET($A$1, 3405 - 1, 54 - 1) = "1", OFFSET($A$1, 3405 - 1, 55 - 1) = "0" ), 2, IF( AND( OFFSET($A$1, 3405 - 1, 54 - 1) = "0", OFFSET($A$1, 3405 - 1, 55 - 1) = "1" ), 3, 4 ) ) )</f>
        <v>1</v>
      </c>
    </row>
    <row r="3406" spans="53:56" x14ac:dyDescent="0.35">
      <c r="BA3406" s="3">
        <v>0.5046412659148708</v>
      </c>
      <c r="BB3406" s="3" t="str">
        <f>"1"</f>
        <v>1</v>
      </c>
      <c r="BC3406" t="str">
        <f ca="1">IF((OFFSET($A$1, 3406 - 1, 53 - 1)) &gt;= (OFFSET($A$1, 69 - 1, 7 - 1)), "1","0")</f>
        <v>1</v>
      </c>
      <c r="BD3406">
        <f ca="1" xml:space="preserve"> IF( AND( OFFSET($A$1, 3406 - 1, 54 - 1) = "1", OFFSET($A$1, 3406 - 1, 55 - 1) = "1" ), 1, IF( AND( OFFSET($A$1, 3406 - 1, 54 - 1) = "1", OFFSET($A$1, 3406 - 1, 55 - 1) = "0" ), 2, IF( AND( OFFSET($A$1, 3406 - 1, 54 - 1) = "0", OFFSET($A$1, 3406 - 1, 55 - 1) = "1" ), 3, 4 ) ) )</f>
        <v>1</v>
      </c>
    </row>
    <row r="3407" spans="53:56" x14ac:dyDescent="0.35">
      <c r="BA3407" s="3">
        <v>0.50616045425661194</v>
      </c>
      <c r="BB3407" s="3" t="str">
        <f>"1"</f>
        <v>1</v>
      </c>
      <c r="BC3407" t="str">
        <f ca="1">IF((OFFSET($A$1, 3407 - 1, 53 - 1)) &gt;= (OFFSET($A$1, 69 - 1, 7 - 1)), "1","0")</f>
        <v>1</v>
      </c>
      <c r="BD3407">
        <f ca="1" xml:space="preserve"> IF( AND( OFFSET($A$1, 3407 - 1, 54 - 1) = "1", OFFSET($A$1, 3407 - 1, 55 - 1) = "1" ), 1, IF( AND( OFFSET($A$1, 3407 - 1, 54 - 1) = "1", OFFSET($A$1, 3407 - 1, 55 - 1) = "0" ), 2, IF( AND( OFFSET($A$1, 3407 - 1, 54 - 1) = "0", OFFSET($A$1, 3407 - 1, 55 - 1) = "1" ), 3, 4 ) ) )</f>
        <v>1</v>
      </c>
    </row>
    <row r="3408" spans="53:56" x14ac:dyDescent="0.35">
      <c r="BA3408" s="3">
        <v>0.50768418303135621</v>
      </c>
      <c r="BB3408" s="3" t="str">
        <f>"0"</f>
        <v>0</v>
      </c>
      <c r="BC3408" t="str">
        <f ca="1">IF((OFFSET($A$1, 3408 - 1, 53 - 1)) &gt;= (OFFSET($A$1, 69 - 1, 7 - 1)), "1","0")</f>
        <v>1</v>
      </c>
      <c r="BD3408">
        <f ca="1" xml:space="preserve"> IF( AND( OFFSET($A$1, 3408 - 1, 54 - 1) = "1", OFFSET($A$1, 3408 - 1, 55 - 1) = "1" ), 1, IF( AND( OFFSET($A$1, 3408 - 1, 54 - 1) = "1", OFFSET($A$1, 3408 - 1, 55 - 1) = "0" ), 2, IF( AND( OFFSET($A$1, 3408 - 1, 54 - 1) = "0", OFFSET($A$1, 3408 - 1, 55 - 1) = "1" ), 3, 4 ) ) )</f>
        <v>3</v>
      </c>
    </row>
    <row r="3409" spans="53:56" x14ac:dyDescent="0.35">
      <c r="BA3409" s="3">
        <v>0.24946192662273331</v>
      </c>
      <c r="BB3409" s="3" t="str">
        <f>"0"</f>
        <v>0</v>
      </c>
      <c r="BC3409" t="str">
        <f ca="1">IF((OFFSET($A$1, 3409 - 1, 53 - 1)) &gt;= (OFFSET($A$1, 69 - 1, 7 - 1)), "1","0")</f>
        <v>0</v>
      </c>
      <c r="BD3409">
        <f ca="1" xml:space="preserve"> IF( AND( OFFSET($A$1, 3409 - 1, 54 - 1) = "1", OFFSET($A$1, 3409 - 1, 55 - 1) = "1" ), 1, IF( AND( OFFSET($A$1, 3409 - 1, 54 - 1) = "1", OFFSET($A$1, 3409 - 1, 55 - 1) = "0" ), 2, IF( AND( OFFSET($A$1, 3409 - 1, 54 - 1) = "0", OFFSET($A$1, 3409 - 1, 55 - 1) = "1" ), 3, 4 ) ) )</f>
        <v>4</v>
      </c>
    </row>
    <row r="3410" spans="53:56" x14ac:dyDescent="0.35">
      <c r="BA3410" s="3">
        <v>0.25061102062994622</v>
      </c>
      <c r="BB3410" s="3" t="str">
        <f>"0"</f>
        <v>0</v>
      </c>
      <c r="BC3410" t="str">
        <f ca="1">IF((OFFSET($A$1, 3410 - 1, 53 - 1)) &gt;= (OFFSET($A$1, 69 - 1, 7 - 1)), "1","0")</f>
        <v>0</v>
      </c>
      <c r="BD3410">
        <f ca="1" xml:space="preserve"> IF( AND( OFFSET($A$1, 3410 - 1, 54 - 1) = "1", OFFSET($A$1, 3410 - 1, 55 - 1) = "1" ), 1, IF( AND( OFFSET($A$1, 3410 - 1, 54 - 1) = "1", OFFSET($A$1, 3410 - 1, 55 - 1) = "0" ), 2, IF( AND( OFFSET($A$1, 3410 - 1, 54 - 1) = "0", OFFSET($A$1, 3410 - 1, 55 - 1) = "1" ), 3, 4 ) ) )</f>
        <v>4</v>
      </c>
    </row>
    <row r="3411" spans="53:56" x14ac:dyDescent="0.35">
      <c r="BA3411" s="3">
        <v>0.25176611782691383</v>
      </c>
      <c r="BB3411" s="3" t="str">
        <f>"0"</f>
        <v>0</v>
      </c>
      <c r="BC3411" t="str">
        <f ca="1">IF((OFFSET($A$1, 3411 - 1, 53 - 1)) &gt;= (OFFSET($A$1, 69 - 1, 7 - 1)), "1","0")</f>
        <v>0</v>
      </c>
      <c r="BD3411">
        <f ca="1" xml:space="preserve"> IF( AND( OFFSET($A$1, 3411 - 1, 54 - 1) = "1", OFFSET($A$1, 3411 - 1, 55 - 1) = "1" ), 1, IF( AND( OFFSET($A$1, 3411 - 1, 54 - 1) = "1", OFFSET($A$1, 3411 - 1, 55 - 1) = "0" ), 2, IF( AND( OFFSET($A$1, 3411 - 1, 54 - 1) = "0", OFFSET($A$1, 3411 - 1, 55 - 1) = "1" ), 3, 4 ) ) )</f>
        <v>4</v>
      </c>
    </row>
    <row r="3412" spans="53:56" x14ac:dyDescent="0.35">
      <c r="BA3412" s="3">
        <v>0.25292689198747842</v>
      </c>
      <c r="BB3412" s="3" t="str">
        <f>"0"</f>
        <v>0</v>
      </c>
      <c r="BC3412" t="str">
        <f ca="1">IF((OFFSET($A$1, 3412 - 1, 53 - 1)) &gt;= (OFFSET($A$1, 69 - 1, 7 - 1)), "1","0")</f>
        <v>0</v>
      </c>
      <c r="BD3412">
        <f ca="1" xml:space="preserve"> IF( AND( OFFSET($A$1, 3412 - 1, 54 - 1) = "1", OFFSET($A$1, 3412 - 1, 55 - 1) = "1" ), 1, IF( AND( OFFSET($A$1, 3412 - 1, 54 - 1) = "1", OFFSET($A$1, 3412 - 1, 55 - 1) = "0" ), 2, IF( AND( OFFSET($A$1, 3412 - 1, 54 - 1) = "0", OFFSET($A$1, 3412 - 1, 55 - 1) = "1" ), 3, 4 ) ) )</f>
        <v>4</v>
      </c>
    </row>
    <row r="3413" spans="53:56" x14ac:dyDescent="0.35">
      <c r="BA3413" s="3">
        <v>0.25409301187375699</v>
      </c>
      <c r="BB3413" s="3" t="str">
        <f>"0"</f>
        <v>0</v>
      </c>
      <c r="BC3413" t="str">
        <f ca="1">IF((OFFSET($A$1, 3413 - 1, 53 - 1)) &gt;= (OFFSET($A$1, 69 - 1, 7 - 1)), "1","0")</f>
        <v>0</v>
      </c>
      <c r="BD3413">
        <f ca="1" xml:space="preserve"> IF( AND( OFFSET($A$1, 3413 - 1, 54 - 1) = "1", OFFSET($A$1, 3413 - 1, 55 - 1) = "1" ), 1, IF( AND( OFFSET($A$1, 3413 - 1, 54 - 1) = "1", OFFSET($A$1, 3413 - 1, 55 - 1) = "0" ), 2, IF( AND( OFFSET($A$1, 3413 - 1, 54 - 1) = "0", OFFSET($A$1, 3413 - 1, 55 - 1) = "1" ), 3, 4 ) ) )</f>
        <v>4</v>
      </c>
    </row>
    <row r="3414" spans="53:56" x14ac:dyDescent="0.35">
      <c r="BA3414" s="3">
        <v>0.25526414132446623</v>
      </c>
      <c r="BB3414" s="3" t="str">
        <f>"0"</f>
        <v>0</v>
      </c>
      <c r="BC3414" t="str">
        <f ca="1">IF((OFFSET($A$1, 3414 - 1, 53 - 1)) &gt;= (OFFSET($A$1, 69 - 1, 7 - 1)), "1","0")</f>
        <v>0</v>
      </c>
      <c r="BD3414">
        <f ca="1" xml:space="preserve"> IF( AND( OFFSET($A$1, 3414 - 1, 54 - 1) = "1", OFFSET($A$1, 3414 - 1, 55 - 1) = "1" ), 1, IF( AND( OFFSET($A$1, 3414 - 1, 54 - 1) = "1", OFFSET($A$1, 3414 - 1, 55 - 1) = "0" ), 2, IF( AND( OFFSET($A$1, 3414 - 1, 54 - 1) = "0", OFFSET($A$1, 3414 - 1, 55 - 1) = "1" ), 3, 4 ) ) )</f>
        <v>4</v>
      </c>
    </row>
    <row r="3415" spans="53:56" x14ac:dyDescent="0.35">
      <c r="BA3415" s="3">
        <v>0.25643993934950643</v>
      </c>
      <c r="BB3415" s="3" t="str">
        <f>"0"</f>
        <v>0</v>
      </c>
      <c r="BC3415" t="str">
        <f ca="1">IF((OFFSET($A$1, 3415 - 1, 53 - 1)) &gt;= (OFFSET($A$1, 69 - 1, 7 - 1)), "1","0")</f>
        <v>0</v>
      </c>
      <c r="BD3415">
        <f ca="1" xml:space="preserve"> IF( AND( OFFSET($A$1, 3415 - 1, 54 - 1) = "1", OFFSET($A$1, 3415 - 1, 55 - 1) = "1" ), 1, IF( AND( OFFSET($A$1, 3415 - 1, 54 - 1) = "1", OFFSET($A$1, 3415 - 1, 55 - 1) = "0" ), 2, IF( AND( OFFSET($A$1, 3415 - 1, 54 - 1) = "0", OFFSET($A$1, 3415 - 1, 55 - 1) = "1" ), 3, 4 ) ) )</f>
        <v>4</v>
      </c>
    </row>
    <row r="3416" spans="53:56" x14ac:dyDescent="0.35">
      <c r="BA3416" s="3">
        <v>0.25762006023078887</v>
      </c>
      <c r="BB3416" s="3" t="str">
        <f>"1"</f>
        <v>1</v>
      </c>
      <c r="BC3416" t="str">
        <f ca="1">IF((OFFSET($A$1, 3416 - 1, 53 - 1)) &gt;= (OFFSET($A$1, 69 - 1, 7 - 1)), "1","0")</f>
        <v>0</v>
      </c>
      <c r="BD3416">
        <f ca="1" xml:space="preserve"> IF( AND( OFFSET($A$1, 3416 - 1, 54 - 1) = "1", OFFSET($A$1, 3416 - 1, 55 - 1) = "1" ), 1, IF( AND( OFFSET($A$1, 3416 - 1, 54 - 1) = "1", OFFSET($A$1, 3416 - 1, 55 - 1) = "0" ), 2, IF( AND( OFFSET($A$1, 3416 - 1, 54 - 1) = "0", OFFSET($A$1, 3416 - 1, 55 - 1) = "1" ), 3, 4 ) ) )</f>
        <v>2</v>
      </c>
    </row>
    <row r="3417" spans="53:56" x14ac:dyDescent="0.35">
      <c r="BA3417" s="3">
        <v>0.52152240632681635</v>
      </c>
      <c r="BB3417" s="3" t="str">
        <f>"1"</f>
        <v>1</v>
      </c>
      <c r="BC3417" t="str">
        <f ca="1">IF((OFFSET($A$1, 3417 - 1, 53 - 1)) &gt;= (OFFSET($A$1, 69 - 1, 7 - 1)), "1","0")</f>
        <v>1</v>
      </c>
      <c r="BD3417">
        <f ca="1" xml:space="preserve"> IF( AND( OFFSET($A$1, 3417 - 1, 54 - 1) = "1", OFFSET($A$1, 3417 - 1, 55 - 1) = "1" ), 1, IF( AND( OFFSET($A$1, 3417 - 1, 54 - 1) = "1", OFFSET($A$1, 3417 - 1, 55 - 1) = "0" ), 2, IF( AND( OFFSET($A$1, 3417 - 1, 54 - 1) = "0", OFFSET($A$1, 3417 - 1, 55 - 1) = "1" ), 3, 4 ) ) )</f>
        <v>1</v>
      </c>
    </row>
    <row r="3418" spans="53:56" x14ac:dyDescent="0.35">
      <c r="BA3418" s="3">
        <v>0.52306494224850519</v>
      </c>
      <c r="BB3418" s="3" t="str">
        <f>"0"</f>
        <v>0</v>
      </c>
      <c r="BC3418" t="str">
        <f ca="1">IF((OFFSET($A$1, 3418 - 1, 53 - 1)) &gt;= (OFFSET($A$1, 69 - 1, 7 - 1)), "1","0")</f>
        <v>1</v>
      </c>
      <c r="BD3418">
        <f ca="1" xml:space="preserve"> IF( AND( OFFSET($A$1, 3418 - 1, 54 - 1) = "1", OFFSET($A$1, 3418 - 1, 55 - 1) = "1" ), 1, IF( AND( OFFSET($A$1, 3418 - 1, 54 - 1) = "1", OFFSET($A$1, 3418 - 1, 55 - 1) = "0" ), 2, IF( AND( OFFSET($A$1, 3418 - 1, 54 - 1) = "0", OFFSET($A$1, 3418 - 1, 55 - 1) = "1" ), 3, 4 ) ) )</f>
        <v>3</v>
      </c>
    </row>
    <row r="3419" spans="53:56" x14ac:dyDescent="0.35">
      <c r="BA3419" s="3">
        <v>0.26118283420208743</v>
      </c>
      <c r="BB3419" s="3" t="str">
        <f>"1"</f>
        <v>1</v>
      </c>
      <c r="BC3419" t="str">
        <f ca="1">IF((OFFSET($A$1, 3419 - 1, 53 - 1)) &gt;= (OFFSET($A$1, 69 - 1, 7 - 1)), "1","0")</f>
        <v>0</v>
      </c>
      <c r="BD3419">
        <f ca="1" xml:space="preserve"> IF( AND( OFFSET($A$1, 3419 - 1, 54 - 1) = "1", OFFSET($A$1, 3419 - 1, 55 - 1) = "1" ), 1, IF( AND( OFFSET($A$1, 3419 - 1, 54 - 1) = "1", OFFSET($A$1, 3419 - 1, 55 - 1) = "0" ), 2, IF( AND( OFFSET($A$1, 3419 - 1, 54 - 1) = "0", OFFSET($A$1, 3419 - 1, 55 - 1) = "1" ), 3, 4 ) ) )</f>
        <v>2</v>
      </c>
    </row>
    <row r="3420" spans="53:56" x14ac:dyDescent="0.35">
      <c r="BA3420" s="3">
        <v>0.52614715676856771</v>
      </c>
      <c r="BB3420" s="3" t="str">
        <f>"0"</f>
        <v>0</v>
      </c>
      <c r="BC3420" t="str">
        <f ca="1">IF((OFFSET($A$1, 3420 - 1, 53 - 1)) &gt;= (OFFSET($A$1, 69 - 1, 7 - 1)), "1","0")</f>
        <v>1</v>
      </c>
      <c r="BD3420">
        <f ca="1" xml:space="preserve"> IF( AND( OFFSET($A$1, 3420 - 1, 54 - 1) = "1", OFFSET($A$1, 3420 - 1, 55 - 1) = "1" ), 1, IF( AND( OFFSET($A$1, 3420 - 1, 54 - 1) = "1", OFFSET($A$1, 3420 - 1, 55 - 1) = "0" ), 2, IF( AND( OFFSET($A$1, 3420 - 1, 54 - 1) = "0", OFFSET($A$1, 3420 - 1, 55 - 1) = "1" ), 3, 4 ) ) )</f>
        <v>3</v>
      </c>
    </row>
    <row r="3421" spans="53:56" x14ac:dyDescent="0.35">
      <c r="BA3421" s="3">
        <v>0.26357309038948212</v>
      </c>
      <c r="BB3421" s="3" t="str">
        <f>"1"</f>
        <v>1</v>
      </c>
      <c r="BC3421" t="str">
        <f ca="1">IF((OFFSET($A$1, 3421 - 1, 53 - 1)) &gt;= (OFFSET($A$1, 69 - 1, 7 - 1)), "1","0")</f>
        <v>0</v>
      </c>
      <c r="BD3421">
        <f ca="1" xml:space="preserve"> IF( AND( OFFSET($A$1, 3421 - 1, 54 - 1) = "1", OFFSET($A$1, 3421 - 1, 55 - 1) = "1" ), 1, IF( AND( OFFSET($A$1, 3421 - 1, 54 - 1) = "1", OFFSET($A$1, 3421 - 1, 55 - 1) = "0" ), 2, IF( AND( OFFSET($A$1, 3421 - 1, 54 - 1) = "0", OFFSET($A$1, 3421 - 1, 55 - 1) = "1" ), 3, 4 ) ) )</f>
        <v>2</v>
      </c>
    </row>
    <row r="3422" spans="53:56" x14ac:dyDescent="0.35">
      <c r="BA3422" s="3">
        <v>0.52922233330668489</v>
      </c>
      <c r="BB3422" s="3" t="str">
        <f>"0"</f>
        <v>0</v>
      </c>
      <c r="BC3422" t="str">
        <f ca="1">IF((OFFSET($A$1, 3422 - 1, 53 - 1)) &gt;= (OFFSET($A$1, 69 - 1, 7 - 1)), "1","0")</f>
        <v>1</v>
      </c>
      <c r="BD3422">
        <f ca="1" xml:space="preserve"> IF( AND( OFFSET($A$1, 3422 - 1, 54 - 1) = "1", OFFSET($A$1, 3422 - 1, 55 - 1) = "1" ), 1, IF( AND( OFFSET($A$1, 3422 - 1, 54 - 1) = "1", OFFSET($A$1, 3422 - 1, 55 - 1) = "0" ), 2, IF( AND( OFFSET($A$1, 3422 - 1, 54 - 1) = "0", OFFSET($A$1, 3422 - 1, 55 - 1) = "1" ), 3, 4 ) ) )</f>
        <v>3</v>
      </c>
    </row>
    <row r="3423" spans="53:56" x14ac:dyDescent="0.35">
      <c r="BA3423" s="3">
        <v>0.26597196544908153</v>
      </c>
      <c r="BB3423" s="3" t="str">
        <f>"0"</f>
        <v>0</v>
      </c>
      <c r="BC3423" t="str">
        <f ca="1">IF((OFFSET($A$1, 3423 - 1, 53 - 1)) &gt;= (OFFSET($A$1, 69 - 1, 7 - 1)), "1","0")</f>
        <v>0</v>
      </c>
      <c r="BD3423">
        <f ca="1" xml:space="preserve"> IF( AND( OFFSET($A$1, 3423 - 1, 54 - 1) = "1", OFFSET($A$1, 3423 - 1, 55 - 1) = "1" ), 1, IF( AND( OFFSET($A$1, 3423 - 1, 54 - 1) = "1", OFFSET($A$1, 3423 - 1, 55 - 1) = "0" ), 2, IF( AND( OFFSET($A$1, 3423 - 1, 54 - 1) = "0", OFFSET($A$1, 3423 - 1, 55 - 1) = "1" ), 3, 4 ) ) )</f>
        <v>4</v>
      </c>
    </row>
    <row r="3424" spans="53:56" x14ac:dyDescent="0.35">
      <c r="BA3424" s="3">
        <v>0.26717369410405667</v>
      </c>
      <c r="BB3424" s="3" t="str">
        <f>"1"</f>
        <v>1</v>
      </c>
      <c r="BC3424" t="str">
        <f ca="1">IF((OFFSET($A$1, 3424 - 1, 53 - 1)) &gt;= (OFFSET($A$1, 69 - 1, 7 - 1)), "1","0")</f>
        <v>0</v>
      </c>
      <c r="BD3424">
        <f ca="1" xml:space="preserve"> IF( AND( OFFSET($A$1, 3424 - 1, 54 - 1) = "1", OFFSET($A$1, 3424 - 1, 55 - 1) = "1" ), 1, IF( AND( OFFSET($A$1, 3424 - 1, 54 - 1) = "1", OFFSET($A$1, 3424 - 1, 55 - 1) = "0" ), 2, IF( AND( OFFSET($A$1, 3424 - 1, 54 - 1) = "0", OFFSET($A$1, 3424 - 1, 55 - 1) = "1" ), 3, 4 ) ) )</f>
        <v>2</v>
      </c>
    </row>
    <row r="3425" spans="53:56" x14ac:dyDescent="0.35">
      <c r="BA3425" s="3">
        <v>0.53381347085047759</v>
      </c>
      <c r="BB3425" s="3" t="str">
        <f>"0"</f>
        <v>0</v>
      </c>
      <c r="BC3425" t="str">
        <f ca="1">IF((OFFSET($A$1, 3425 - 1, 53 - 1)) &gt;= (OFFSET($A$1, 69 - 1, 7 - 1)), "1","0")</f>
        <v>1</v>
      </c>
      <c r="BD3425">
        <f ca="1" xml:space="preserve"> IF( AND( OFFSET($A$1, 3425 - 1, 54 - 1) = "1", OFFSET($A$1, 3425 - 1, 55 - 1) = "1" ), 1, IF( AND( OFFSET($A$1, 3425 - 1, 54 - 1) = "1", OFFSET($A$1, 3425 - 1, 55 - 1) = "0" ), 2, IF( AND( OFFSET($A$1, 3425 - 1, 54 - 1) = "0", OFFSET($A$1, 3425 - 1, 55 - 1) = "1" ), 3, 4 ) ) )</f>
        <v>3</v>
      </c>
    </row>
    <row r="3426" spans="53:56" x14ac:dyDescent="0.35">
      <c r="BA3426" s="3">
        <v>0.26957982017296045</v>
      </c>
      <c r="BB3426" s="3" t="str">
        <f>"0"</f>
        <v>0</v>
      </c>
      <c r="BC3426" t="str">
        <f ca="1">IF((OFFSET($A$1, 3426 - 1, 53 - 1)) &gt;= (OFFSET($A$1, 69 - 1, 7 - 1)), "1","0")</f>
        <v>0</v>
      </c>
      <c r="BD3426">
        <f ca="1" xml:space="preserve"> IF( AND( OFFSET($A$1, 3426 - 1, 54 - 1) = "1", OFFSET($A$1, 3426 - 1, 55 - 1) = "1" ), 1, IF( AND( OFFSET($A$1, 3426 - 1, 54 - 1) = "1", OFFSET($A$1, 3426 - 1, 55 - 1) = "0" ), 2, IF( AND( OFFSET($A$1, 3426 - 1, 54 - 1) = "0", OFFSET($A$1, 3426 - 1, 55 - 1) = "1" ), 3, 4 ) ) )</f>
        <v>4</v>
      </c>
    </row>
    <row r="3427" spans="53:56" x14ac:dyDescent="0.35">
      <c r="BA3427" s="3">
        <v>0.27078344212070121</v>
      </c>
      <c r="BB3427" s="3" t="str">
        <f>"0"</f>
        <v>0</v>
      </c>
      <c r="BC3427" t="str">
        <f ca="1">IF((OFFSET($A$1, 3427 - 1, 53 - 1)) &gt;= (OFFSET($A$1, 69 - 1, 7 - 1)), "1","0")</f>
        <v>0</v>
      </c>
      <c r="BD3427">
        <f ca="1" xml:space="preserve"> IF( AND( OFFSET($A$1, 3427 - 1, 54 - 1) = "1", OFFSET($A$1, 3427 - 1, 55 - 1) = "1" ), 1, IF( AND( OFFSET($A$1, 3427 - 1, 54 - 1) = "1", OFFSET($A$1, 3427 - 1, 55 - 1) = "0" ), 2, IF( AND( OFFSET($A$1, 3427 - 1, 54 - 1) = "0", OFFSET($A$1, 3427 - 1, 55 - 1) = "1" ), 3, 4 ) ) )</f>
        <v>4</v>
      </c>
    </row>
    <row r="3428" spans="53:56" x14ac:dyDescent="0.35">
      <c r="BA3428" s="3">
        <v>0.27198691449350515</v>
      </c>
      <c r="BB3428" s="3" t="str">
        <f>"0"</f>
        <v>0</v>
      </c>
      <c r="BC3428" t="str">
        <f ca="1">IF((OFFSET($A$1, 3428 - 1, 53 - 1)) &gt;= (OFFSET($A$1, 69 - 1, 7 - 1)), "1","0")</f>
        <v>0</v>
      </c>
      <c r="BD3428">
        <f ca="1" xml:space="preserve"> IF( AND( OFFSET($A$1, 3428 - 1, 54 - 1) = "1", OFFSET($A$1, 3428 - 1, 55 - 1) = "1" ), 1, IF( AND( OFFSET($A$1, 3428 - 1, 54 - 1) = "1", OFFSET($A$1, 3428 - 1, 55 - 1) = "0" ), 2, IF( AND( OFFSET($A$1, 3428 - 1, 54 - 1) = "0", OFFSET($A$1, 3428 - 1, 55 - 1) = "1" ), 3, 4 ) ) )</f>
        <v>4</v>
      </c>
    </row>
    <row r="3429" spans="53:56" x14ac:dyDescent="0.35">
      <c r="BA3429" s="3">
        <v>0.27318984200812357</v>
      </c>
      <c r="BB3429" s="3" t="str">
        <f>"0"</f>
        <v>0</v>
      </c>
      <c r="BC3429" t="str">
        <f ca="1">IF((OFFSET($A$1, 3429 - 1, 53 - 1)) &gt;= (OFFSET($A$1, 69 - 1, 7 - 1)), "1","0")</f>
        <v>0</v>
      </c>
      <c r="BD3429">
        <f ca="1" xml:space="preserve"> IF( AND( OFFSET($A$1, 3429 - 1, 54 - 1) = "1", OFFSET($A$1, 3429 - 1, 55 - 1) = "1" ), 1, IF( AND( OFFSET($A$1, 3429 - 1, 54 - 1) = "1", OFFSET($A$1, 3429 - 1, 55 - 1) = "0" ), 2, IF( AND( OFFSET($A$1, 3429 - 1, 54 - 1) = "0", OFFSET($A$1, 3429 - 1, 55 - 1) = "1" ), 3, 4 ) ) )</f>
        <v>4</v>
      </c>
    </row>
    <row r="3430" spans="53:56" x14ac:dyDescent="0.35">
      <c r="BA3430" s="3">
        <v>0.27439182667914674</v>
      </c>
      <c r="BB3430" s="3" t="str">
        <f>"0"</f>
        <v>0</v>
      </c>
      <c r="BC3430" t="str">
        <f ca="1">IF((OFFSET($A$1, 3430 - 1, 53 - 1)) &gt;= (OFFSET($A$1, 69 - 1, 7 - 1)), "1","0")</f>
        <v>0</v>
      </c>
      <c r="BD3430">
        <f ca="1" xml:space="preserve"> IF( AND( OFFSET($A$1, 3430 - 1, 54 - 1) = "1", OFFSET($A$1, 3430 - 1, 55 - 1) = "1" ), 1, IF( AND( OFFSET($A$1, 3430 - 1, 54 - 1) = "1", OFFSET($A$1, 3430 - 1, 55 - 1) = "0" ), 2, IF( AND( OFFSET($A$1, 3430 - 1, 54 - 1) = "0", OFFSET($A$1, 3430 - 1, 55 - 1) = "1" ), 3, 4 ) ) )</f>
        <v>4</v>
      </c>
    </row>
    <row r="3431" spans="53:56" x14ac:dyDescent="0.35">
      <c r="BA3431" s="3">
        <v>0.27559246800280152</v>
      </c>
      <c r="BB3431" s="3" t="str">
        <f>"0"</f>
        <v>0</v>
      </c>
      <c r="BC3431" t="str">
        <f ca="1">IF((OFFSET($A$1, 3431 - 1, 53 - 1)) &gt;= (OFFSET($A$1, 69 - 1, 7 - 1)), "1","0")</f>
        <v>0</v>
      </c>
      <c r="BD3431">
        <f ca="1" xml:space="preserve"> IF( AND( OFFSET($A$1, 3431 - 1, 54 - 1) = "1", OFFSET($A$1, 3431 - 1, 55 - 1) = "1" ), 1, IF( AND( OFFSET($A$1, 3431 - 1, 54 - 1) = "1", OFFSET($A$1, 3431 - 1, 55 - 1) = "0" ), 2, IF( AND( OFFSET($A$1, 3431 - 1, 54 - 1) = "0", OFFSET($A$1, 3431 - 1, 55 - 1) = "1" ), 3, 4 ) ) )</f>
        <v>4</v>
      </c>
    </row>
    <row r="3432" spans="53:56" x14ac:dyDescent="0.35">
      <c r="BA3432" s="3">
        <v>0.2767913631450945</v>
      </c>
      <c r="BB3432" s="3" t="str">
        <f>"0"</f>
        <v>0</v>
      </c>
      <c r="BC3432" t="str">
        <f ca="1">IF((OFFSET($A$1, 3432 - 1, 53 - 1)) &gt;= (OFFSET($A$1, 69 - 1, 7 - 1)), "1","0")</f>
        <v>0</v>
      </c>
      <c r="BD3432">
        <f ca="1" xml:space="preserve"> IF( AND( OFFSET($A$1, 3432 - 1, 54 - 1) = "1", OFFSET($A$1, 3432 - 1, 55 - 1) = "1" ), 1, IF( AND( OFFSET($A$1, 3432 - 1, 54 - 1) = "1", OFFSET($A$1, 3432 - 1, 55 - 1) = "0" ), 2, IF( AND( OFFSET($A$1, 3432 - 1, 54 - 1) = "0", OFFSET($A$1, 3432 - 1, 55 - 1) = "1" ), 3, 4 ) ) )</f>
        <v>4</v>
      </c>
    </row>
    <row r="3433" spans="53:56" x14ac:dyDescent="0.35">
      <c r="BA3433" s="3">
        <v>0.27798810713410377</v>
      </c>
      <c r="BB3433" s="3" t="str">
        <f>"0"</f>
        <v>0</v>
      </c>
      <c r="BC3433" t="str">
        <f ca="1">IF((OFFSET($A$1, 3433 - 1, 53 - 1)) &gt;= (OFFSET($A$1, 69 - 1, 7 - 1)), "1","0")</f>
        <v>0</v>
      </c>
      <c r="BD3433">
        <f ca="1" xml:space="preserve"> IF( AND( OFFSET($A$1, 3433 - 1, 54 - 1) = "1", OFFSET($A$1, 3433 - 1, 55 - 1) = "1" ), 1, IF( AND( OFFSET($A$1, 3433 - 1, 54 - 1) = "1", OFFSET($A$1, 3433 - 1, 55 - 1) = "0" ), 2, IF( AND( OFFSET($A$1, 3433 - 1, 54 - 1) = "0", OFFSET($A$1, 3433 - 1, 55 - 1) = "1" ), 3, 4 ) ) )</f>
        <v>4</v>
      </c>
    </row>
    <row r="3434" spans="53:56" x14ac:dyDescent="0.35">
      <c r="BA3434" s="3">
        <v>0.27918229305621334</v>
      </c>
      <c r="BB3434" s="3" t="str">
        <f>"1"</f>
        <v>1</v>
      </c>
      <c r="BC3434" t="str">
        <f ca="1">IF((OFFSET($A$1, 3434 - 1, 53 - 1)) &gt;= (OFFSET($A$1, 69 - 1, 7 - 1)), "1","0")</f>
        <v>0</v>
      </c>
      <c r="BD3434">
        <f ca="1" xml:space="preserve"> IF( AND( OFFSET($A$1, 3434 - 1, 54 - 1) = "1", OFFSET($A$1, 3434 - 1, 55 - 1) = "1" ), 1, IF( AND( OFFSET($A$1, 3434 - 1, 54 - 1) = "1", OFFSET($A$1, 3434 - 1, 55 - 1) = "0" ), 2, IF( AND( OFFSET($A$1, 3434 - 1, 54 - 1) = "0", OFFSET($A$1, 3434 - 1, 55 - 1) = "1" ), 3, 4 ) ) )</f>
        <v>2</v>
      </c>
    </row>
    <row r="3435" spans="53:56" x14ac:dyDescent="0.35">
      <c r="BA3435" s="3">
        <v>0.54877601391993847</v>
      </c>
      <c r="BB3435" s="3" t="str">
        <f>"0"</f>
        <v>0</v>
      </c>
      <c r="BC3435" t="str">
        <f ca="1">IF((OFFSET($A$1, 3435 - 1, 53 - 1)) &gt;= (OFFSET($A$1, 69 - 1, 7 - 1)), "1","0")</f>
        <v>1</v>
      </c>
      <c r="BD3435">
        <f ca="1" xml:space="preserve"> IF( AND( OFFSET($A$1, 3435 - 1, 54 - 1) = "1", OFFSET($A$1, 3435 - 1, 55 - 1) = "1" ), 1, IF( AND( OFFSET($A$1, 3435 - 1, 54 - 1) = "1", OFFSET($A$1, 3435 - 1, 55 - 1) = "0" ), 2, IF( AND( OFFSET($A$1, 3435 - 1, 54 - 1) = "0", OFFSET($A$1, 3435 - 1, 55 - 1) = "1" ), 3, 4 ) ) )</f>
        <v>3</v>
      </c>
    </row>
    <row r="3436" spans="53:56" x14ac:dyDescent="0.35">
      <c r="BA3436" s="3">
        <v>0.2815613545400602</v>
      </c>
      <c r="BB3436" s="3" t="str">
        <f>"1"</f>
        <v>1</v>
      </c>
      <c r="BC3436" t="str">
        <f ca="1">IF((OFFSET($A$1, 3436 - 1, 53 - 1)) &gt;= (OFFSET($A$1, 69 - 1, 7 - 1)), "1","0")</f>
        <v>0</v>
      </c>
      <c r="BD3436">
        <f ca="1" xml:space="preserve"> IF( AND( OFFSET($A$1, 3436 - 1, 54 - 1) = "1", OFFSET($A$1, 3436 - 1, 55 - 1) = "1" ), 1, IF( AND( OFFSET($A$1, 3436 - 1, 54 - 1) = "1", OFFSET($A$1, 3436 - 1, 55 - 1) = "0" ), 2, IF( AND( OFFSET($A$1, 3436 - 1, 54 - 1) = "0", OFFSET($A$1, 3436 - 1, 55 - 1) = "1" ), 3, 4 ) ) )</f>
        <v>2</v>
      </c>
    </row>
    <row r="3437" spans="53:56" x14ac:dyDescent="0.35">
      <c r="BA3437" s="3">
        <v>0.55167783531287673</v>
      </c>
      <c r="BB3437" s="3" t="str">
        <f>"1"</f>
        <v>1</v>
      </c>
      <c r="BC3437" t="str">
        <f ca="1">IF((OFFSET($A$1, 3437 - 1, 53 - 1)) &gt;= (OFFSET($A$1, 69 - 1, 7 - 1)), "1","0")</f>
        <v>1</v>
      </c>
      <c r="BD3437">
        <f ca="1" xml:space="preserve"> IF( AND( OFFSET($A$1, 3437 - 1, 54 - 1) = "1", OFFSET($A$1, 3437 - 1, 55 - 1) = "1" ), 1, IF( AND( OFFSET($A$1, 3437 - 1, 54 - 1) = "1", OFFSET($A$1, 3437 - 1, 55 - 1) = "0" ), 2, IF( AND( OFFSET($A$1, 3437 - 1, 54 - 1) = "0", OFFSET($A$1, 3437 - 1, 55 - 1) = "1" ), 3, 4 ) ) )</f>
        <v>1</v>
      </c>
    </row>
    <row r="3438" spans="53:56" x14ac:dyDescent="0.35">
      <c r="BA3438" s="3">
        <v>0.55311450091952374</v>
      </c>
      <c r="BB3438" s="3" t="str">
        <f>"0"</f>
        <v>0</v>
      </c>
      <c r="BC3438" t="str">
        <f ca="1">IF((OFFSET($A$1, 3438 - 1, 53 - 1)) &gt;= (OFFSET($A$1, 69 - 1, 7 - 1)), "1","0")</f>
        <v>1</v>
      </c>
      <c r="BD3438">
        <f ca="1" xml:space="preserve"> IF( AND( OFFSET($A$1, 3438 - 1, 54 - 1) = "1", OFFSET($A$1, 3438 - 1, 55 - 1) = "1" ), 1, IF( AND( OFFSET($A$1, 3438 - 1, 54 - 1) = "1", OFFSET($A$1, 3438 - 1, 55 - 1) = "0" ), 2, IF( AND( OFFSET($A$1, 3438 - 1, 54 - 1) = "0", OFFSET($A$1, 3438 - 1, 55 - 1) = "1" ), 3, 4 ) ) )</f>
        <v>3</v>
      </c>
    </row>
    <row r="3439" spans="53:56" x14ac:dyDescent="0.35">
      <c r="BA3439" s="3">
        <v>0.28510049924948472</v>
      </c>
      <c r="BB3439" s="3" t="str">
        <f>"0"</f>
        <v>0</v>
      </c>
      <c r="BC3439" t="str">
        <f ca="1">IF((OFFSET($A$1, 3439 - 1, 53 - 1)) &gt;= (OFFSET($A$1, 69 - 1, 7 - 1)), "1","0")</f>
        <v>0</v>
      </c>
      <c r="BD3439">
        <f ca="1" xml:space="preserve"> IF( AND( OFFSET($A$1, 3439 - 1, 54 - 1) = "1", OFFSET($A$1, 3439 - 1, 55 - 1) = "1" ), 1, IF( AND( OFFSET($A$1, 3439 - 1, 54 - 1) = "1", OFFSET($A$1, 3439 - 1, 55 - 1) = "0" ), 2, IF( AND( OFFSET($A$1, 3439 - 1, 54 - 1) = "0", OFFSET($A$1, 3439 - 1, 55 - 1) = "1" ), 3, 4 ) ) )</f>
        <v>4</v>
      </c>
    </row>
    <row r="3440" spans="53:56" x14ac:dyDescent="0.35">
      <c r="BA3440" s="3">
        <v>0.28627070846712177</v>
      </c>
      <c r="BB3440" s="3" t="str">
        <f>"0"</f>
        <v>0</v>
      </c>
      <c r="BC3440" t="str">
        <f ca="1">IF((OFFSET($A$1, 3440 - 1, 53 - 1)) &gt;= (OFFSET($A$1, 69 - 1, 7 - 1)), "1","0")</f>
        <v>0</v>
      </c>
      <c r="BD3440">
        <f ca="1" xml:space="preserve"> IF( AND( OFFSET($A$1, 3440 - 1, 54 - 1) = "1", OFFSET($A$1, 3440 - 1, 55 - 1) = "1" ), 1, IF( AND( OFFSET($A$1, 3440 - 1, 54 - 1) = "1", OFFSET($A$1, 3440 - 1, 55 - 1) = "0" ), 2, IF( AND( OFFSET($A$1, 3440 - 1, 54 - 1) = "0", OFFSET($A$1, 3440 - 1, 55 - 1) = "1" ), 3, 4 ) ) )</f>
        <v>4</v>
      </c>
    </row>
    <row r="3441" spans="53:56" x14ac:dyDescent="0.35">
      <c r="BA3441" s="3">
        <v>0.28743547406482678</v>
      </c>
      <c r="BB3441" s="3" t="str">
        <f>"1"</f>
        <v>1</v>
      </c>
      <c r="BC3441" t="str">
        <f ca="1">IF((OFFSET($A$1, 3441 - 1, 53 - 1)) &gt;= (OFFSET($A$1, 69 - 1, 7 - 1)), "1","0")</f>
        <v>0</v>
      </c>
      <c r="BD3441">
        <f ca="1" xml:space="preserve"> IF( AND( OFFSET($A$1, 3441 - 1, 54 - 1) = "1", OFFSET($A$1, 3441 - 1, 55 - 1) = "1" ), 1, IF( AND( OFFSET($A$1, 3441 - 1, 54 - 1) = "1", OFFSET($A$1, 3441 - 1, 55 - 1) = "0" ), 2, IF( AND( OFFSET($A$1, 3441 - 1, 54 - 1) = "0", OFFSET($A$1, 3441 - 1, 55 - 1) = "1" ), 3, 4 ) ) )</f>
        <v>2</v>
      </c>
    </row>
    <row r="3442" spans="53:56" x14ac:dyDescent="0.35">
      <c r="BA3442" s="3">
        <v>0.55875616724365951</v>
      </c>
      <c r="BB3442" s="3" t="str">
        <f>"1"</f>
        <v>1</v>
      </c>
      <c r="BC3442" t="str">
        <f ca="1">IF((OFFSET($A$1, 3442 - 1, 53 - 1)) &gt;= (OFFSET($A$1, 69 - 1, 7 - 1)), "1","0")</f>
        <v>1</v>
      </c>
      <c r="BD3442">
        <f ca="1" xml:space="preserve"> IF( AND( OFFSET($A$1, 3442 - 1, 54 - 1) = "1", OFFSET($A$1, 3442 - 1, 55 - 1) = "1" ), 1, IF( AND( OFFSET($A$1, 3442 - 1, 54 - 1) = "1", OFFSET($A$1, 3442 - 1, 55 - 1) = "0" ), 2, IF( AND( OFFSET($A$1, 3442 - 1, 54 - 1) = "0", OFFSET($A$1, 3442 - 1, 55 - 1) = "1" ), 3, 4 ) ) )</f>
        <v>1</v>
      </c>
    </row>
    <row r="3443" spans="53:56" x14ac:dyDescent="0.35">
      <c r="BA3443" s="3">
        <v>0.5601382332810958</v>
      </c>
      <c r="BB3443" s="3" t="str">
        <f>"1"</f>
        <v>1</v>
      </c>
      <c r="BC3443" t="str">
        <f ca="1">IF((OFFSET($A$1, 3443 - 1, 53 - 1)) &gt;= (OFFSET($A$1, 69 - 1, 7 - 1)), "1","0")</f>
        <v>1</v>
      </c>
      <c r="BD3443">
        <f ca="1" xml:space="preserve"> IF( AND( OFFSET($A$1, 3443 - 1, 54 - 1) = "1", OFFSET($A$1, 3443 - 1, 55 - 1) = "1" ), 1, IF( AND( OFFSET($A$1, 3443 - 1, 54 - 1) = "1", OFFSET($A$1, 3443 - 1, 55 - 1) = "0" ), 2, IF( AND( OFFSET($A$1, 3443 - 1, 54 - 1) = "0", OFFSET($A$1, 3443 - 1, 55 - 1) = "1" ), 3, 4 ) ) )</f>
        <v>1</v>
      </c>
    </row>
    <row r="3444" spans="53:56" x14ac:dyDescent="0.35">
      <c r="BA3444" s="3">
        <v>0.56150813602014182</v>
      </c>
      <c r="BB3444" s="3" t="str">
        <f>"0"</f>
        <v>0</v>
      </c>
      <c r="BC3444" t="str">
        <f ca="1">IF((OFFSET($A$1, 3444 - 1, 53 - 1)) &gt;= (OFFSET($A$1, 69 - 1, 7 - 1)), "1","0")</f>
        <v>1</v>
      </c>
      <c r="BD3444">
        <f ca="1" xml:space="preserve"> IF( AND( OFFSET($A$1, 3444 - 1, 54 - 1) = "1", OFFSET($A$1, 3444 - 1, 55 - 1) = "1" ), 1, IF( AND( OFFSET($A$1, 3444 - 1, 54 - 1) = "1", OFFSET($A$1, 3444 - 1, 55 - 1) = "0" ), 2, IF( AND( OFFSET($A$1, 3444 - 1, 54 - 1) = "0", OFFSET($A$1, 3444 - 1, 55 - 1) = "1" ), 3, 4 ) ) )</f>
        <v>3</v>
      </c>
    </row>
    <row r="3445" spans="53:56" x14ac:dyDescent="0.35">
      <c r="BA3445" s="3">
        <v>0.29203180140526119</v>
      </c>
      <c r="BB3445" s="3" t="str">
        <f>"0"</f>
        <v>0</v>
      </c>
      <c r="BC3445" t="str">
        <f ca="1">IF((OFFSET($A$1, 3445 - 1, 53 - 1)) &gt;= (OFFSET($A$1, 69 - 1, 7 - 1)), "1","0")</f>
        <v>0</v>
      </c>
      <c r="BD3445">
        <f ca="1" xml:space="preserve"> IF( AND( OFFSET($A$1, 3445 - 1, 54 - 1) = "1", OFFSET($A$1, 3445 - 1, 55 - 1) = "1" ), 1, IF( AND( OFFSET($A$1, 3445 - 1, 54 - 1) = "1", OFFSET($A$1, 3445 - 1, 55 - 1) = "0" ), 2, IF( AND( OFFSET($A$1, 3445 - 1, 54 - 1) = "0", OFFSET($A$1, 3445 - 1, 55 - 1) = "1" ), 3, 4 ) ) )</f>
        <v>4</v>
      </c>
    </row>
    <row r="3446" spans="53:56" x14ac:dyDescent="0.35">
      <c r="BA3446" s="3">
        <v>0.29316312680452972</v>
      </c>
      <c r="BB3446" s="3" t="str">
        <f>"1"</f>
        <v>1</v>
      </c>
      <c r="BC3446" t="str">
        <f ca="1">IF((OFFSET($A$1, 3446 - 1, 53 - 1)) &gt;= (OFFSET($A$1, 69 - 1, 7 - 1)), "1","0")</f>
        <v>0</v>
      </c>
      <c r="BD3446">
        <f ca="1" xml:space="preserve"> IF( AND( OFFSET($A$1, 3446 - 1, 54 - 1) = "1", OFFSET($A$1, 3446 - 1, 55 - 1) = "1" ), 1, IF( AND( OFFSET($A$1, 3446 - 1, 54 - 1) = "1", OFFSET($A$1, 3446 - 1, 55 - 1) = "0" ), 2, IF( AND( OFFSET($A$1, 3446 - 1, 54 - 1) = "0", OFFSET($A$1, 3446 - 1, 55 - 1) = "1" ), 3, 4 ) ) )</f>
        <v>2</v>
      </c>
    </row>
    <row r="3447" spans="53:56" x14ac:dyDescent="0.35">
      <c r="BA3447" s="3">
        <v>0.56554086758588207</v>
      </c>
      <c r="BB3447" s="3" t="str">
        <f>"1"</f>
        <v>1</v>
      </c>
      <c r="BC3447" t="str">
        <f ca="1">IF((OFFSET($A$1, 3447 - 1, 53 - 1)) &gt;= (OFFSET($A$1, 69 - 1, 7 - 1)), "1","0")</f>
        <v>1</v>
      </c>
      <c r="BD3447">
        <f ca="1" xml:space="preserve"> IF( AND( OFFSET($A$1, 3447 - 1, 54 - 1) = "1", OFFSET($A$1, 3447 - 1, 55 - 1) = "1" ), 1, IF( AND( OFFSET($A$1, 3447 - 1, 54 - 1) = "1", OFFSET($A$1, 3447 - 1, 55 - 1) = "0" ), 2, IF( AND( OFFSET($A$1, 3447 - 1, 54 - 1) = "0", OFFSET($A$1, 3447 - 1, 55 - 1) = "1" ), 3, 4 ) ) )</f>
        <v>1</v>
      </c>
    </row>
    <row r="3448" spans="53:56" x14ac:dyDescent="0.35">
      <c r="BA3448" s="3">
        <v>0.5668581478116258</v>
      </c>
      <c r="BB3448" s="3" t="str">
        <f>"1"</f>
        <v>1</v>
      </c>
      <c r="BC3448" t="str">
        <f ca="1">IF((OFFSET($A$1, 3448 - 1, 53 - 1)) &gt;= (OFFSET($A$1, 69 - 1, 7 - 1)), "1","0")</f>
        <v>1</v>
      </c>
      <c r="BD3448">
        <f ca="1" xml:space="preserve"> IF( AND( OFFSET($A$1, 3448 - 1, 54 - 1) = "1", OFFSET($A$1, 3448 - 1, 55 - 1) = "1" ), 1, IF( AND( OFFSET($A$1, 3448 - 1, 54 - 1) = "1", OFFSET($A$1, 3448 - 1, 55 - 1) = "0" ), 2, IF( AND( OFFSET($A$1, 3448 - 1, 54 - 1) = "0", OFFSET($A$1, 3448 - 1, 55 - 1) = "1" ), 3, 4 ) ) )</f>
        <v>1</v>
      </c>
    </row>
    <row r="3449" spans="53:56" x14ac:dyDescent="0.35">
      <c r="BA3449" s="3">
        <v>0.56816130800185072</v>
      </c>
      <c r="BB3449" s="3" t="str">
        <f>"1"</f>
        <v>1</v>
      </c>
      <c r="BC3449" t="str">
        <f ca="1">IF((OFFSET($A$1, 3449 - 1, 53 - 1)) &gt;= (OFFSET($A$1, 69 - 1, 7 - 1)), "1","0")</f>
        <v>1</v>
      </c>
      <c r="BD3449">
        <f ca="1" xml:space="preserve"> IF( AND( OFFSET($A$1, 3449 - 1, 54 - 1) = "1", OFFSET($A$1, 3449 - 1, 55 - 1) = "1" ), 1, IF( AND( OFFSET($A$1, 3449 - 1, 54 - 1) = "1", OFFSET($A$1, 3449 - 1, 55 - 1) = "0" ), 2, IF( AND( OFFSET($A$1, 3449 - 1, 54 - 1) = "0", OFFSET($A$1, 3449 - 1, 55 - 1) = "1" ), 3, 4 ) ) )</f>
        <v>1</v>
      </c>
    </row>
    <row r="3450" spans="53:56" x14ac:dyDescent="0.35">
      <c r="BA3450" s="3">
        <v>0.5694499739275557</v>
      </c>
      <c r="BB3450" s="3" t="str">
        <f>"1"</f>
        <v>1</v>
      </c>
      <c r="BC3450" t="str">
        <f ca="1">IF((OFFSET($A$1, 3450 - 1, 53 - 1)) &gt;= (OFFSET($A$1, 69 - 1, 7 - 1)), "1","0")</f>
        <v>1</v>
      </c>
      <c r="BD3450">
        <f ca="1" xml:space="preserve"> IF( AND( OFFSET($A$1, 3450 - 1, 54 - 1) = "1", OFFSET($A$1, 3450 - 1, 55 - 1) = "1" ), 1, IF( AND( OFFSET($A$1, 3450 - 1, 54 - 1) = "1", OFFSET($A$1, 3450 - 1, 55 - 1) = "0" ), 2, IF( AND( OFFSET($A$1, 3450 - 1, 54 - 1) = "0", OFFSET($A$1, 3450 - 1, 55 - 1) = "1" ), 3, 4 ) ) )</f>
        <v>1</v>
      </c>
    </row>
    <row r="3451" spans="53:56" x14ac:dyDescent="0.35">
      <c r="BA3451" s="3">
        <v>0.57072377729243606</v>
      </c>
      <c r="BB3451" s="3" t="str">
        <f>"0"</f>
        <v>0</v>
      </c>
      <c r="BC3451" t="str">
        <f ca="1">IF((OFFSET($A$1, 3451 - 1, 53 - 1)) &gt;= (OFFSET($A$1, 69 - 1, 7 - 1)), "1","0")</f>
        <v>1</v>
      </c>
      <c r="BD3451">
        <f ca="1" xml:space="preserve"> IF( AND( OFFSET($A$1, 3451 - 1, 54 - 1) = "1", OFFSET($A$1, 3451 - 1, 55 - 1) = "1" ), 1, IF( AND( OFFSET($A$1, 3451 - 1, 54 - 1) = "1", OFFSET($A$1, 3451 - 1, 55 - 1) = "0" ), 2, IF( AND( OFFSET($A$1, 3451 - 1, 54 - 1) = "0", OFFSET($A$1, 3451 - 1, 55 - 1) = "1" ), 3, 4 ) ) )</f>
        <v>3</v>
      </c>
    </row>
    <row r="3452" spans="53:56" x14ac:dyDescent="0.35">
      <c r="BA3452" s="3">
        <v>0.29977019523059706</v>
      </c>
      <c r="BB3452" s="3" t="str">
        <f>"0"</f>
        <v>0</v>
      </c>
      <c r="BC3452" t="str">
        <f ca="1">IF((OFFSET($A$1, 3452 - 1, 53 - 1)) &gt;= (OFFSET($A$1, 69 - 1, 7 - 1)), "1","0")</f>
        <v>0</v>
      </c>
      <c r="BD3452">
        <f ca="1" xml:space="preserve"> IF( AND( OFFSET($A$1, 3452 - 1, 54 - 1) = "1", OFFSET($A$1, 3452 - 1, 55 - 1) = "1" ), 1, IF( AND( OFFSET($A$1, 3452 - 1, 54 - 1) = "1", OFFSET($A$1, 3452 - 1, 55 - 1) = "0" ), 2, IF( AND( OFFSET($A$1, 3452 - 1, 54 - 1) = "0", OFFSET($A$1, 3452 - 1, 55 - 1) = "1" ), 3, 4 ) ) )</f>
        <v>4</v>
      </c>
    </row>
    <row r="3453" spans="53:56" x14ac:dyDescent="0.35">
      <c r="BA3453" s="3">
        <v>0.3008374193724504</v>
      </c>
      <c r="BB3453" s="3" t="str">
        <f>"1"</f>
        <v>1</v>
      </c>
      <c r="BC3453" t="str">
        <f ca="1">IF((OFFSET($A$1, 3453 - 1, 53 - 1)) &gt;= (OFFSET($A$1, 69 - 1, 7 - 1)), "1","0")</f>
        <v>0</v>
      </c>
      <c r="BD3453">
        <f ca="1" xml:space="preserve"> IF( AND( OFFSET($A$1, 3453 - 1, 54 - 1) = "1", OFFSET($A$1, 3453 - 1, 55 - 1) = "1" ), 1, IF( AND( OFFSET($A$1, 3453 - 1, 54 - 1) = "1", OFFSET($A$1, 3453 - 1, 55 - 1) = "0" ), 2, IF( AND( OFFSET($A$1, 3453 - 1, 54 - 1) = "0", OFFSET($A$1, 3453 - 1, 55 - 1) = "1" ), 3, 4 ) ) )</f>
        <v>2</v>
      </c>
    </row>
    <row r="3454" spans="53:56" x14ac:dyDescent="0.35">
      <c r="BA3454" s="3">
        <v>0.57445241979885031</v>
      </c>
      <c r="BB3454" s="3" t="str">
        <f>"0"</f>
        <v>0</v>
      </c>
      <c r="BC3454" t="str">
        <f ca="1">IF((OFFSET($A$1, 3454 - 1, 53 - 1)) &gt;= (OFFSET($A$1, 69 - 1, 7 - 1)), "1","0")</f>
        <v>1</v>
      </c>
      <c r="BD3454">
        <f ca="1" xml:space="preserve"> IF( AND( OFFSET($A$1, 3454 - 1, 54 - 1) = "1", OFFSET($A$1, 3454 - 1, 55 - 1) = "1" ), 1, IF( AND( OFFSET($A$1, 3454 - 1, 54 - 1) = "1", OFFSET($A$1, 3454 - 1, 55 - 1) = "0" ), 2, IF( AND( OFFSET($A$1, 3454 - 1, 54 - 1) = "0", OFFSET($A$1, 3454 - 1, 55 - 1) = "1" ), 3, 4 ) ) )</f>
        <v>3</v>
      </c>
    </row>
    <row r="3455" spans="53:56" x14ac:dyDescent="0.35">
      <c r="BA3455" s="3">
        <v>0.30293913962166769</v>
      </c>
      <c r="BB3455" s="3" t="str">
        <f>"0"</f>
        <v>0</v>
      </c>
      <c r="BC3455" t="str">
        <f ca="1">IF((OFFSET($A$1, 3455 - 1, 53 - 1)) &gt;= (OFFSET($A$1, 69 - 1, 7 - 1)), "1","0")</f>
        <v>0</v>
      </c>
      <c r="BD3455">
        <f ca="1" xml:space="preserve"> IF( AND( OFFSET($A$1, 3455 - 1, 54 - 1) = "1", OFFSET($A$1, 3455 - 1, 55 - 1) = "1" ), 1, IF( AND( OFFSET($A$1, 3455 - 1, 54 - 1) = "1", OFFSET($A$1, 3455 - 1, 55 - 1) = "0" ), 2, IF( AND( OFFSET($A$1, 3455 - 1, 54 - 1) = "0", OFFSET($A$1, 3455 - 1, 55 - 1) = "1" ), 3, 4 ) ) )</f>
        <v>4</v>
      </c>
    </row>
    <row r="3456" spans="53:56" x14ac:dyDescent="0.35">
      <c r="BA3456" s="3">
        <v>0.30397284294505228</v>
      </c>
      <c r="BB3456" s="3" t="str">
        <f>"0"</f>
        <v>0</v>
      </c>
      <c r="BC3456" t="str">
        <f ca="1">IF((OFFSET($A$1, 3456 - 1, 53 - 1)) &gt;= (OFFSET($A$1, 69 - 1, 7 - 1)), "1","0")</f>
        <v>0</v>
      </c>
      <c r="BD3456">
        <f ca="1" xml:space="preserve"> IF( AND( OFFSET($A$1, 3456 - 1, 54 - 1) = "1", OFFSET($A$1, 3456 - 1, 55 - 1) = "1" ), 1, IF( AND( OFFSET($A$1, 3456 - 1, 54 - 1) = "1", OFFSET($A$1, 3456 - 1, 55 - 1) = "0" ), 2, IF( AND( OFFSET($A$1, 3456 - 1, 54 - 1) = "0", OFFSET($A$1, 3456 - 1, 55 - 1) = "1" ), 3, 4 ) ) )</f>
        <v>4</v>
      </c>
    </row>
    <row r="3457" spans="53:56" x14ac:dyDescent="0.35">
      <c r="BA3457" s="3">
        <v>0.30499458492908049</v>
      </c>
      <c r="BB3457" s="3" t="str">
        <f>"0"</f>
        <v>0</v>
      </c>
      <c r="BC3457" t="str">
        <f ca="1">IF((OFFSET($A$1, 3457 - 1, 53 - 1)) &gt;= (OFFSET($A$1, 69 - 1, 7 - 1)), "1","0")</f>
        <v>0</v>
      </c>
      <c r="BD3457">
        <f ca="1" xml:space="preserve"> IF( AND( OFFSET($A$1, 3457 - 1, 54 - 1) = "1", OFFSET($A$1, 3457 - 1, 55 - 1) = "1" ), 1, IF( AND( OFFSET($A$1, 3457 - 1, 54 - 1) = "1", OFFSET($A$1, 3457 - 1, 55 - 1) = "0" ), 2, IF( AND( OFFSET($A$1, 3457 - 1, 54 - 1) = "0", OFFSET($A$1, 3457 - 1, 55 - 1) = "1" ), 3, 4 ) ) )</f>
        <v>4</v>
      </c>
    </row>
    <row r="3458" spans="53:56" x14ac:dyDescent="0.35">
      <c r="BA3458" s="3">
        <v>0.30600397708818311</v>
      </c>
      <c r="BB3458" s="3" t="str">
        <f>"0"</f>
        <v>0</v>
      </c>
      <c r="BC3458" t="str">
        <f ca="1">IF((OFFSET($A$1, 3458 - 1, 53 - 1)) &gt;= (OFFSET($A$1, 69 - 1, 7 - 1)), "1","0")</f>
        <v>0</v>
      </c>
      <c r="BD3458">
        <f ca="1" xml:space="preserve"> IF( AND( OFFSET($A$1, 3458 - 1, 54 - 1) = "1", OFFSET($A$1, 3458 - 1, 55 - 1) = "1" ), 1, IF( AND( OFFSET($A$1, 3458 - 1, 54 - 1) = "1", OFFSET($A$1, 3458 - 1, 55 - 1) = "0" ), 2, IF( AND( OFFSET($A$1, 3458 - 1, 54 - 1) = "0", OFFSET($A$1, 3458 - 1, 55 - 1) = "1" ), 3, 4 ) ) )</f>
        <v>4</v>
      </c>
    </row>
    <row r="3459" spans="53:56" x14ac:dyDescent="0.35">
      <c r="BA3459" s="3">
        <v>0.30700063449300891</v>
      </c>
      <c r="BB3459" s="3" t="str">
        <f>"0"</f>
        <v>0</v>
      </c>
      <c r="BC3459" t="str">
        <f ca="1">IF((OFFSET($A$1, 3459 - 1, 53 - 1)) &gt;= (OFFSET($A$1, 69 - 1, 7 - 1)), "1","0")</f>
        <v>0</v>
      </c>
      <c r="BD3459">
        <f ca="1" xml:space="preserve"> IF( AND( OFFSET($A$1, 3459 - 1, 54 - 1) = "1", OFFSET($A$1, 3459 - 1, 55 - 1) = "1" ), 1, IF( AND( OFFSET($A$1, 3459 - 1, 54 - 1) = "1", OFFSET($A$1, 3459 - 1, 55 - 1) = "0" ), 2, IF( AND( OFFSET($A$1, 3459 - 1, 54 - 1) = "0", OFFSET($A$1, 3459 - 1, 55 - 1) = "1" ), 3, 4 ) ) )</f>
        <v>4</v>
      </c>
    </row>
    <row r="3460" spans="53:56" x14ac:dyDescent="0.35">
      <c r="BA3460" s="3">
        <v>0.30798417598590283</v>
      </c>
      <c r="BB3460" s="3" t="str">
        <f>"0"</f>
        <v>0</v>
      </c>
      <c r="BC3460" t="str">
        <f ca="1">IF((OFFSET($A$1, 3460 - 1, 53 - 1)) &gt;= (OFFSET($A$1, 69 - 1, 7 - 1)), "1","0")</f>
        <v>0</v>
      </c>
      <c r="BD3460">
        <f ca="1" xml:space="preserve"> IF( AND( OFFSET($A$1, 3460 - 1, 54 - 1) = "1", OFFSET($A$1, 3460 - 1, 55 - 1) = "1" ), 1, IF( AND( OFFSET($A$1, 3460 - 1, 54 - 1) = "1", OFFSET($A$1, 3460 - 1, 55 - 1) = "0" ), 2, IF( AND( OFFSET($A$1, 3460 - 1, 54 - 1) = "0", OFFSET($A$1, 3460 - 1, 55 - 1) = "1" ), 3, 4 ) ) )</f>
        <v>4</v>
      </c>
    </row>
    <row r="3461" spans="53:56" x14ac:dyDescent="0.35">
      <c r="BA3461" s="3">
        <v>0.30895422439404197</v>
      </c>
      <c r="BB3461" s="3" t="str">
        <f>"1"</f>
        <v>1</v>
      </c>
      <c r="BC3461" t="str">
        <f ca="1">IF((OFFSET($A$1, 3461 - 1, 53 - 1)) &gt;= (OFFSET($A$1, 69 - 1, 7 - 1)), "1","0")</f>
        <v>0</v>
      </c>
      <c r="BD3461">
        <f ca="1" xml:space="preserve"> IF( AND( OFFSET($A$1, 3461 - 1, 54 - 1) = "1", OFFSET($A$1, 3461 - 1, 55 - 1) = "1" ), 1, IF( AND( OFFSET($A$1, 3461 - 1, 54 - 1) = "1", OFFSET($A$1, 3461 - 1, 55 - 1) = "0" ), 2, IF( AND( OFFSET($A$1, 3461 - 1, 54 - 1) = "0", OFFSET($A$1, 3461 - 1, 55 - 1) = "1" ), 3, 4 ) ) )</f>
        <v>2</v>
      </c>
    </row>
    <row r="3462" spans="53:56" x14ac:dyDescent="0.35">
      <c r="BA3462" s="3">
        <v>0.58365551827932516</v>
      </c>
      <c r="BB3462" s="3" t="str">
        <f>"0"</f>
        <v>0</v>
      </c>
      <c r="BC3462" t="str">
        <f ca="1">IF((OFFSET($A$1, 3462 - 1, 53 - 1)) &gt;= (OFFSET($A$1, 69 - 1, 7 - 1)), "1","0")</f>
        <v>1</v>
      </c>
      <c r="BD3462">
        <f ca="1" xml:space="preserve"> IF( AND( OFFSET($A$1, 3462 - 1, 54 - 1) = "1", OFFSET($A$1, 3462 - 1, 55 - 1) = "1" ), 1, IF( AND( OFFSET($A$1, 3462 - 1, 54 - 1) = "1", OFFSET($A$1, 3462 - 1, 55 - 1) = "0" ), 2, IF( AND( OFFSET($A$1, 3462 - 1, 54 - 1) = "0", OFFSET($A$1, 3462 - 1, 55 - 1) = "1" ), 3, 4 ) ) )</f>
        <v>3</v>
      </c>
    </row>
    <row r="3463" spans="53:56" x14ac:dyDescent="0.35">
      <c r="BA3463" s="3">
        <v>0.31085235444984283</v>
      </c>
      <c r="BB3463" s="3" t="str">
        <f>"1"</f>
        <v>1</v>
      </c>
      <c r="BC3463" t="str">
        <f ca="1">IF((OFFSET($A$1, 3463 - 1, 53 - 1)) &gt;= (OFFSET($A$1, 69 - 1, 7 - 1)), "1","0")</f>
        <v>0</v>
      </c>
      <c r="BD3463">
        <f ca="1" xml:space="preserve"> IF( AND( OFFSET($A$1, 3463 - 1, 54 - 1) = "1", OFFSET($A$1, 3463 - 1, 55 - 1) = "1" ), 1, IF( AND( OFFSET($A$1, 3463 - 1, 54 - 1) = "1", OFFSET($A$1, 3463 - 1, 55 - 1) = "0" ), 2, IF( AND( OFFSET($A$1, 3463 - 1, 54 - 1) = "0", OFFSET($A$1, 3463 - 1, 55 - 1) = "1" ), 3, 4 ) ) )</f>
        <v>2</v>
      </c>
    </row>
    <row r="3464" spans="53:56" x14ac:dyDescent="0.35">
      <c r="BA3464" s="3">
        <v>0.58577440702661476</v>
      </c>
      <c r="BB3464" s="3" t="str">
        <f>"0"</f>
        <v>0</v>
      </c>
      <c r="BC3464" t="str">
        <f ca="1">IF((OFFSET($A$1, 3464 - 1, 53 - 1)) &gt;= (OFFSET($A$1, 69 - 1, 7 - 1)), "1","0")</f>
        <v>1</v>
      </c>
      <c r="BD3464">
        <f ca="1" xml:space="preserve"> IF( AND( OFFSET($A$1, 3464 - 1, 54 - 1) = "1", OFFSET($A$1, 3464 - 1, 55 - 1) = "1" ), 1, IF( AND( OFFSET($A$1, 3464 - 1, 54 - 1) = "1", OFFSET($A$1, 3464 - 1, 55 - 1) = "0" ), 2, IF( AND( OFFSET($A$1, 3464 - 1, 54 - 1) = "0", OFFSET($A$1, 3464 - 1, 55 - 1) = "1" ), 3, 4 ) ) )</f>
        <v>3</v>
      </c>
    </row>
    <row r="3465" spans="53:56" x14ac:dyDescent="0.35">
      <c r="BA3465" s="3">
        <v>0.31269209490833383</v>
      </c>
      <c r="BB3465" s="3" t="str">
        <f>"0"</f>
        <v>0</v>
      </c>
      <c r="BC3465" t="str">
        <f ca="1">IF((OFFSET($A$1, 3465 - 1, 53 - 1)) &gt;= (OFFSET($A$1, 69 - 1, 7 - 1)), "1","0")</f>
        <v>0</v>
      </c>
      <c r="BD3465">
        <f ca="1" xml:space="preserve"> IF( AND( OFFSET($A$1, 3465 - 1, 54 - 1) = "1", OFFSET($A$1, 3465 - 1, 55 - 1) = "1" ), 1, IF( AND( OFFSET($A$1, 3465 - 1, 54 - 1) = "1", OFFSET($A$1, 3465 - 1, 55 - 1) = "0" ), 2, IF( AND( OFFSET($A$1, 3465 - 1, 54 - 1) = "0", OFFSET($A$1, 3465 - 1, 55 - 1) = "1" ), 3, 4 ) ) )</f>
        <v>4</v>
      </c>
    </row>
    <row r="3466" spans="53:56" x14ac:dyDescent="0.35">
      <c r="BA3466" s="3">
        <v>0.31358917435534067</v>
      </c>
      <c r="BB3466" s="3" t="str">
        <f>"0"</f>
        <v>0</v>
      </c>
      <c r="BC3466" t="str">
        <f ca="1">IF((OFFSET($A$1, 3466 - 1, 53 - 1)) &gt;= (OFFSET($A$1, 69 - 1, 7 - 1)), "1","0")</f>
        <v>0</v>
      </c>
      <c r="BD3466">
        <f ca="1" xml:space="preserve"> IF( AND( OFFSET($A$1, 3466 - 1, 54 - 1) = "1", OFFSET($A$1, 3466 - 1, 55 - 1) = "1" ), 1, IF( AND( OFFSET($A$1, 3466 - 1, 54 - 1) = "1", OFFSET($A$1, 3466 - 1, 55 - 1) = "0" ), 2, IF( AND( OFFSET($A$1, 3466 - 1, 54 - 1) = "0", OFFSET($A$1, 3466 - 1, 55 - 1) = "1" ), 3, 4 ) ) )</f>
        <v>4</v>
      </c>
    </row>
    <row r="3467" spans="53:56" x14ac:dyDescent="0.35">
      <c r="BA3467" s="3">
        <v>0.31447059295699831</v>
      </c>
      <c r="BB3467" s="3" t="str">
        <f>"0"</f>
        <v>0</v>
      </c>
      <c r="BC3467" t="str">
        <f ca="1">IF((OFFSET($A$1, 3467 - 1, 53 - 1)) &gt;= (OFFSET($A$1, 69 - 1, 7 - 1)), "1","0")</f>
        <v>0</v>
      </c>
      <c r="BD3467">
        <f ca="1" xml:space="preserve"> IF( AND( OFFSET($A$1, 3467 - 1, 54 - 1) = "1", OFFSET($A$1, 3467 - 1, 55 - 1) = "1" ), 1, IF( AND( OFFSET($A$1, 3467 - 1, 54 - 1) = "1", OFFSET($A$1, 3467 - 1, 55 - 1) = "0" ), 2, IF( AND( OFFSET($A$1, 3467 - 1, 54 - 1) = "0", OFFSET($A$1, 3467 - 1, 55 - 1) = "1" ), 3, 4 ) ) )</f>
        <v>4</v>
      </c>
    </row>
    <row r="3468" spans="53:56" x14ac:dyDescent="0.35">
      <c r="BA3468" s="3">
        <v>0.31533600716802906</v>
      </c>
      <c r="BB3468" s="3" t="str">
        <f>"0"</f>
        <v>0</v>
      </c>
      <c r="BC3468" t="str">
        <f ca="1">IF((OFFSET($A$1, 3468 - 1, 53 - 1)) &gt;= (OFFSET($A$1, 69 - 1, 7 - 1)), "1","0")</f>
        <v>0</v>
      </c>
      <c r="BD3468">
        <f ca="1" xml:space="preserve"> IF( AND( OFFSET($A$1, 3468 - 1, 54 - 1) = "1", OFFSET($A$1, 3468 - 1, 55 - 1) = "1" ), 1, IF( AND( OFFSET($A$1, 3468 - 1, 54 - 1) = "1", OFFSET($A$1, 3468 - 1, 55 - 1) = "0" ), 2, IF( AND( OFFSET($A$1, 3468 - 1, 54 - 1) = "0", OFFSET($A$1, 3468 - 1, 55 - 1) = "1" ), 3, 4 ) ) )</f>
        <v>4</v>
      </c>
    </row>
    <row r="3469" spans="53:56" x14ac:dyDescent="0.35">
      <c r="BA3469" s="3">
        <v>0.31618507902797865</v>
      </c>
      <c r="BB3469" s="3" t="str">
        <f>"0"</f>
        <v>0</v>
      </c>
      <c r="BC3469" t="str">
        <f ca="1">IF((OFFSET($A$1, 3469 - 1, 53 - 1)) &gt;= (OFFSET($A$1, 69 - 1, 7 - 1)), "1","0")</f>
        <v>0</v>
      </c>
      <c r="BD3469">
        <f ca="1" xml:space="preserve"> IF( AND( OFFSET($A$1, 3469 - 1, 54 - 1) = "1", OFFSET($A$1, 3469 - 1, 55 - 1) = "1" ), 1, IF( AND( OFFSET($A$1, 3469 - 1, 54 - 1) = "1", OFFSET($A$1, 3469 - 1, 55 - 1) = "0" ), 2, IF( AND( OFFSET($A$1, 3469 - 1, 54 - 1) = "0", OFFSET($A$1, 3469 - 1, 55 - 1) = "1" ), 3, 4 ) ) )</f>
        <v>4</v>
      </c>
    </row>
    <row r="3470" spans="53:56" x14ac:dyDescent="0.35">
      <c r="BA3470" s="3">
        <v>0.31701747634582217</v>
      </c>
      <c r="BB3470" s="3" t="str">
        <f>"1"</f>
        <v>1</v>
      </c>
      <c r="BC3470" t="str">
        <f ca="1">IF((OFFSET($A$1, 3470 - 1, 53 - 1)) &gt;= (OFFSET($A$1, 69 - 1, 7 - 1)), "1","0")</f>
        <v>0</v>
      </c>
      <c r="BD3470">
        <f ca="1" xml:space="preserve"> IF( AND( OFFSET($A$1, 3470 - 1, 54 - 1) = "1", OFFSET($A$1, 3470 - 1, 55 - 1) = "1" ), 1, IF( AND( OFFSET($A$1, 3470 - 1, 54 - 1) = "1", OFFSET($A$1, 3470 - 1, 55 - 1) = "0" ), 2, IF( AND( OFFSET($A$1, 3470 - 1, 54 - 1) = "0", OFFSET($A$1, 3470 - 1, 55 - 1) = "1" ), 3, 4 ) ) )</f>
        <v>2</v>
      </c>
    </row>
    <row r="3471" spans="53:56" x14ac:dyDescent="0.35">
      <c r="BA3471" s="3">
        <v>0.59256692613437512</v>
      </c>
      <c r="BB3471" s="3" t="str">
        <f>"1"</f>
        <v>1</v>
      </c>
      <c r="BC3471" t="str">
        <f ca="1">IF((OFFSET($A$1, 3471 - 1, 53 - 1)) &gt;= (OFFSET($A$1, 69 - 1, 7 - 1)), "1","0")</f>
        <v>1</v>
      </c>
      <c r="BD3471">
        <f ca="1" xml:space="preserve"> IF( AND( OFFSET($A$1, 3471 - 1, 54 - 1) = "1", OFFSET($A$1, 3471 - 1, 55 - 1) = "1" ), 1, IF( AND( OFFSET($A$1, 3471 - 1, 54 - 1) = "1", OFFSET($A$1, 3471 - 1, 55 - 1) = "0" ), 2, IF( AND( OFFSET($A$1, 3471 - 1, 54 - 1) = "0", OFFSET($A$1, 3471 - 1, 55 - 1) = "1" ), 3, 4 ) ) )</f>
        <v>1</v>
      </c>
    </row>
    <row r="3472" spans="53:56" x14ac:dyDescent="0.35">
      <c r="BA3472" s="3">
        <v>0.59345471393791616</v>
      </c>
      <c r="BB3472" s="3" t="str">
        <f>"1"</f>
        <v>1</v>
      </c>
      <c r="BC3472" t="str">
        <f ca="1">IF((OFFSET($A$1, 3472 - 1, 53 - 1)) &gt;= (OFFSET($A$1, 69 - 1, 7 - 1)), "1","0")</f>
        <v>1</v>
      </c>
      <c r="BD3472">
        <f ca="1" xml:space="preserve"> IF( AND( OFFSET($A$1, 3472 - 1, 54 - 1) = "1", OFFSET($A$1, 3472 - 1, 55 - 1) = "1" ), 1, IF( AND( OFFSET($A$1, 3472 - 1, 54 - 1) = "1", OFFSET($A$1, 3472 - 1, 55 - 1) = "0" ), 2, IF( AND( OFFSET($A$1, 3472 - 1, 54 - 1) = "0", OFFSET($A$1, 3472 - 1, 55 - 1) = "1" ), 3, 4 ) ) )</f>
        <v>1</v>
      </c>
    </row>
    <row r="3473" spans="53:56" x14ac:dyDescent="0.35">
      <c r="BA3473" s="3">
        <v>0.59432115165882482</v>
      </c>
      <c r="BB3473" s="3" t="str">
        <f>"1"</f>
        <v>1</v>
      </c>
      <c r="BC3473" t="str">
        <f ca="1">IF((OFFSET($A$1, 3473 - 1, 53 - 1)) &gt;= (OFFSET($A$1, 69 - 1, 7 - 1)), "1","0")</f>
        <v>1</v>
      </c>
      <c r="BD3473">
        <f ca="1" xml:space="preserve"> IF( AND( OFFSET($A$1, 3473 - 1, 54 - 1) = "1", OFFSET($A$1, 3473 - 1, 55 - 1) = "1" ), 1, IF( AND( OFFSET($A$1, 3473 - 1, 54 - 1) = "1", OFFSET($A$1, 3473 - 1, 55 - 1) = "0" ), 2, IF( AND( OFFSET($A$1, 3473 - 1, 54 - 1) = "0", OFFSET($A$1, 3473 - 1, 55 - 1) = "1" ), 3, 4 ) ) )</f>
        <v>1</v>
      </c>
    </row>
    <row r="3474" spans="53:56" x14ac:dyDescent="0.35">
      <c r="BA3474" s="3">
        <v>0.59516602014299147</v>
      </c>
      <c r="BB3474" s="3" t="str">
        <f>"1"</f>
        <v>1</v>
      </c>
      <c r="BC3474" t="str">
        <f ca="1">IF((OFFSET($A$1, 3474 - 1, 53 - 1)) &gt;= (OFFSET($A$1, 69 - 1, 7 - 1)), "1","0")</f>
        <v>1</v>
      </c>
      <c r="BD3474">
        <f ca="1" xml:space="preserve"> IF( AND( OFFSET($A$1, 3474 - 1, 54 - 1) = "1", OFFSET($A$1, 3474 - 1, 55 - 1) = "1" ), 1, IF( AND( OFFSET($A$1, 3474 - 1, 54 - 1) = "1", OFFSET($A$1, 3474 - 1, 55 - 1) = "0" ), 2, IF( AND( OFFSET($A$1, 3474 - 1, 54 - 1) = "0", OFFSET($A$1, 3474 - 1, 55 - 1) = "1" ), 3, 4 ) ) )</f>
        <v>1</v>
      </c>
    </row>
    <row r="3475" spans="53:56" x14ac:dyDescent="0.35">
      <c r="BA3475" s="3">
        <v>0.59598910681504857</v>
      </c>
      <c r="BB3475" s="3" t="str">
        <f>"0"</f>
        <v>0</v>
      </c>
      <c r="BC3475" t="str">
        <f ca="1">IF((OFFSET($A$1, 3475 - 1, 53 - 1)) &gt;= (OFFSET($A$1, 69 - 1, 7 - 1)), "1","0")</f>
        <v>1</v>
      </c>
      <c r="BD3475">
        <f ca="1" xml:space="preserve"> IF( AND( OFFSET($A$1, 3475 - 1, 54 - 1) = "1", OFFSET($A$1, 3475 - 1, 55 - 1) = "1" ), 1, IF( AND( OFFSET($A$1, 3475 - 1, 54 - 1) = "1", OFFSET($A$1, 3475 - 1, 55 - 1) = "0" ), 2, IF( AND( OFFSET($A$1, 3475 - 1, 54 - 1) = "0", OFFSET($A$1, 3475 - 1, 55 - 1) = "1" ), 3, 4 ) ) )</f>
        <v>3</v>
      </c>
    </row>
    <row r="3476" spans="53:56" x14ac:dyDescent="0.35">
      <c r="BA3476" s="3">
        <v>0.32164386382816534</v>
      </c>
      <c r="BB3476" s="3" t="str">
        <f>"1"</f>
        <v>1</v>
      </c>
      <c r="BC3476" t="str">
        <f ca="1">IF((OFFSET($A$1, 3476 - 1, 53 - 1)) &gt;= (OFFSET($A$1, 69 - 1, 7 - 1)), "1","0")</f>
        <v>0</v>
      </c>
      <c r="BD3476">
        <f ca="1" xml:space="preserve"> IF( AND( OFFSET($A$1, 3476 - 1, 54 - 1) = "1", OFFSET($A$1, 3476 - 1, 55 - 1) = "1" ), 1, IF( AND( OFFSET($A$1, 3476 - 1, 54 - 1) = "1", OFFSET($A$1, 3476 - 1, 55 - 1) = "0" ), 2, IF( AND( OFFSET($A$1, 3476 - 1, 54 - 1) = "0", OFFSET($A$1, 3476 - 1, 55 - 1) = "1" ), 3, 4 ) ) )</f>
        <v>2</v>
      </c>
    </row>
    <row r="3477" spans="53:56" x14ac:dyDescent="0.35">
      <c r="BA3477" s="3">
        <v>0.59756911718634198</v>
      </c>
      <c r="BB3477" s="3" t="str">
        <f>"0"</f>
        <v>0</v>
      </c>
      <c r="BC3477" t="str">
        <f ca="1">IF((OFFSET($A$1, 3477 - 1, 53 - 1)) &gt;= (OFFSET($A$1, 69 - 1, 7 - 1)), "1","0")</f>
        <v>1</v>
      </c>
      <c r="BD3477">
        <f ca="1" xml:space="preserve"> IF( AND( OFFSET($A$1, 3477 - 1, 54 - 1) = "1", OFFSET($A$1, 3477 - 1, 55 - 1) = "1" ), 1, IF( AND( OFFSET($A$1, 3477 - 1, 54 - 1) = "1", OFFSET($A$1, 3477 - 1, 55 - 1) = "0" ), 2, IF( AND( OFFSET($A$1, 3477 - 1, 54 - 1) = "0", OFFSET($A$1, 3477 - 1, 55 - 1) = "1" ), 3, 4 ) ) )</f>
        <v>3</v>
      </c>
    </row>
    <row r="3478" spans="53:56" x14ac:dyDescent="0.35">
      <c r="BA3478" s="3">
        <v>0.32303855179309482</v>
      </c>
      <c r="BB3478" s="3" t="str">
        <f>"0"</f>
        <v>0</v>
      </c>
      <c r="BC3478" t="str">
        <f ca="1">IF((OFFSET($A$1, 3478 - 1, 53 - 1)) &gt;= (OFFSET($A$1, 69 - 1, 7 - 1)), "1","0")</f>
        <v>0</v>
      </c>
      <c r="BD3478">
        <f ca="1" xml:space="preserve"> IF( AND( OFFSET($A$1, 3478 - 1, 54 - 1) = "1", OFFSET($A$1, 3478 - 1, 55 - 1) = "1" ), 1, IF( AND( OFFSET($A$1, 3478 - 1, 54 - 1) = "1", OFFSET($A$1, 3478 - 1, 55 - 1) = "0" ), 2, IF( AND( OFFSET($A$1, 3478 - 1, 54 - 1) = "0", OFFSET($A$1, 3478 - 1, 55 - 1) = "1" ), 3, 4 ) ) )</f>
        <v>4</v>
      </c>
    </row>
    <row r="3479" spans="53:56" x14ac:dyDescent="0.35">
      <c r="BA3479" s="3">
        <v>0.32370696785007341</v>
      </c>
      <c r="BB3479" s="3" t="str">
        <f>"0"</f>
        <v>0</v>
      </c>
      <c r="BC3479" t="str">
        <f ca="1">IF((OFFSET($A$1, 3479 - 1, 53 - 1)) &gt;= (OFFSET($A$1, 69 - 1, 7 - 1)), "1","0")</f>
        <v>0</v>
      </c>
      <c r="BD3479">
        <f ca="1" xml:space="preserve"> IF( AND( OFFSET($A$1, 3479 - 1, 54 - 1) = "1", OFFSET($A$1, 3479 - 1, 55 - 1) = "1" ), 1, IF( AND( OFFSET($A$1, 3479 - 1, 54 - 1) = "1", OFFSET($A$1, 3479 - 1, 55 - 1) = "0" ), 2, IF( AND( OFFSET($A$1, 3479 - 1, 54 - 1) = "0", OFFSET($A$1, 3479 - 1, 55 - 1) = "1" ), 3, 4 ) ) )</f>
        <v>4</v>
      </c>
    </row>
    <row r="3480" spans="53:56" x14ac:dyDescent="0.35">
      <c r="BA3480" s="3">
        <v>0.32435574251201049</v>
      </c>
      <c r="BB3480" s="3" t="str">
        <f>"1"</f>
        <v>1</v>
      </c>
      <c r="BC3480" t="str">
        <f ca="1">IF((OFFSET($A$1, 3480 - 1, 53 - 1)) &gt;= (OFFSET($A$1, 69 - 1, 7 - 1)), "1","0")</f>
        <v>0</v>
      </c>
      <c r="BD3480">
        <f ca="1" xml:space="preserve"> IF( AND( OFFSET($A$1, 3480 - 1, 54 - 1) = "1", OFFSET($A$1, 3480 - 1, 55 - 1) = "1" ), 1, IF( AND( OFFSET($A$1, 3480 - 1, 54 - 1) = "1", OFFSET($A$1, 3480 - 1, 55 - 1) = "0" ), 2, IF( AND( OFFSET($A$1, 3480 - 1, 54 - 1) = "0", OFFSET($A$1, 3480 - 1, 55 - 1) = "1" ), 3, 4 ) ) )</f>
        <v>2</v>
      </c>
    </row>
    <row r="3481" spans="53:56" x14ac:dyDescent="0.35">
      <c r="BA3481" s="3">
        <v>0.60045912774128163</v>
      </c>
      <c r="BB3481" s="3" t="str">
        <f>"1"</f>
        <v>1</v>
      </c>
      <c r="BC3481" t="str">
        <f ca="1">IF((OFFSET($A$1, 3481 - 1, 53 - 1)) &gt;= (OFFSET($A$1, 69 - 1, 7 - 1)), "1","0")</f>
        <v>1</v>
      </c>
      <c r="BD3481">
        <f ca="1" xml:space="preserve"> IF( AND( OFFSET($A$1, 3481 - 1, 54 - 1) = "1", OFFSET($A$1, 3481 - 1, 55 - 1) = "1" ), 1, IF( AND( OFFSET($A$1, 3481 - 1, 54 - 1) = "1", OFFSET($A$1, 3481 - 1, 55 - 1) = "0" ), 2, IF( AND( OFFSET($A$1, 3481 - 1, 54 - 1) = "0", OFFSET($A$1, 3481 - 1, 55 - 1) = "1" ), 3, 4 ) ) )</f>
        <v>1</v>
      </c>
    </row>
    <row r="3482" spans="53:56" x14ac:dyDescent="0.35">
      <c r="BA3482" s="3">
        <v>0.6011243372913565</v>
      </c>
      <c r="BB3482" s="3" t="str">
        <f>"0"</f>
        <v>0</v>
      </c>
      <c r="BC3482" t="str">
        <f ca="1">IF((OFFSET($A$1, 3482 - 1, 53 - 1)) &gt;= (OFFSET($A$1, 69 - 1, 7 - 1)), "1","0")</f>
        <v>1</v>
      </c>
      <c r="BD3482">
        <f ca="1" xml:space="preserve"> IF( AND( OFFSET($A$1, 3482 - 1, 54 - 1) = "1", OFFSET($A$1, 3482 - 1, 55 - 1) = "1" ), 1, IF( AND( OFFSET($A$1, 3482 - 1, 54 - 1) = "1", OFFSET($A$1, 3482 - 1, 55 - 1) = "0" ), 2, IF( AND( OFFSET($A$1, 3482 - 1, 54 - 1) = "0", OFFSET($A$1, 3482 - 1, 55 - 1) = "1" ), 3, 4 ) ) )</f>
        <v>3</v>
      </c>
    </row>
    <row r="3483" spans="53:56" x14ac:dyDescent="0.35">
      <c r="BA3483" s="3">
        <v>0.32618167945832333</v>
      </c>
      <c r="BB3483" s="3" t="str">
        <f>"1"</f>
        <v>1</v>
      </c>
      <c r="BC3483" t="str">
        <f ca="1">IF((OFFSET($A$1, 3483 - 1, 53 - 1)) &gt;= (OFFSET($A$1, 69 - 1, 7 - 1)), "1","0")</f>
        <v>0</v>
      </c>
      <c r="BD3483">
        <f ca="1" xml:space="preserve"> IF( AND( OFFSET($A$1, 3483 - 1, 54 - 1) = "1", OFFSET($A$1, 3483 - 1, 55 - 1) = "1" ), 1, IF( AND( OFFSET($A$1, 3483 - 1, 54 - 1) = "1", OFFSET($A$1, 3483 - 1, 55 - 1) = "0" ), 2, IF( AND( OFFSET($A$1, 3483 - 1, 54 - 1) = "0", OFFSET($A$1, 3483 - 1, 55 - 1) = "1" ), 3, 4 ) ) )</f>
        <v>2</v>
      </c>
    </row>
    <row r="3484" spans="53:56" x14ac:dyDescent="0.35">
      <c r="BA3484" s="3">
        <v>0.60238485628666183</v>
      </c>
      <c r="BB3484" s="3" t="str">
        <f>"0"</f>
        <v>0</v>
      </c>
      <c r="BC3484" t="str">
        <f ca="1">IF((OFFSET($A$1, 3484 - 1, 53 - 1)) &gt;= (OFFSET($A$1, 69 - 1, 7 - 1)), "1","0")</f>
        <v>1</v>
      </c>
      <c r="BD3484">
        <f ca="1" xml:space="preserve"> IF( AND( OFFSET($A$1, 3484 - 1, 54 - 1) = "1", OFFSET($A$1, 3484 - 1, 55 - 1) = "1" ), 1, IF( AND( OFFSET($A$1, 3484 - 1, 54 - 1) = "1", OFFSET($A$1, 3484 - 1, 55 - 1) = "0" ), 2, IF( AND( OFFSET($A$1, 3484 - 1, 54 - 1) = "0", OFFSET($A$1, 3484 - 1, 55 - 1) = "1" ), 3, 4 ) ) )</f>
        <v>3</v>
      </c>
    </row>
    <row r="3485" spans="53:56" x14ac:dyDescent="0.35">
      <c r="BA3485" s="3">
        <v>0.32729624581579658</v>
      </c>
      <c r="BB3485" s="3" t="str">
        <f>"0"</f>
        <v>0</v>
      </c>
      <c r="BC3485" t="str">
        <f ca="1">IF((OFFSET($A$1, 3485 - 1, 53 - 1)) &gt;= (OFFSET($A$1, 69 - 1, 7 - 1)), "1","0")</f>
        <v>0</v>
      </c>
      <c r="BD3485">
        <f ca="1" xml:space="preserve"> IF( AND( OFFSET($A$1, 3485 - 1, 54 - 1) = "1", OFFSET($A$1, 3485 - 1, 55 - 1) = "1" ), 1, IF( AND( OFFSET($A$1, 3485 - 1, 54 - 1) = "1", OFFSET($A$1, 3485 - 1, 55 - 1) = "0" ), 2, IF( AND( OFFSET($A$1, 3485 - 1, 54 - 1) = "0", OFFSET($A$1, 3485 - 1, 55 - 1) = "1" ), 3, 4 ) ) )</f>
        <v>4</v>
      </c>
    </row>
    <row r="3486" spans="53:56" x14ac:dyDescent="0.35">
      <c r="BA3486" s="3">
        <v>0.32782203269619575</v>
      </c>
      <c r="BB3486" s="3" t="str">
        <f>"0"</f>
        <v>0</v>
      </c>
      <c r="BC3486" t="str">
        <f ca="1">IF((OFFSET($A$1, 3486 - 1, 53 - 1)) &gt;= (OFFSET($A$1, 69 - 1, 7 - 1)), "1","0")</f>
        <v>0</v>
      </c>
      <c r="BD3486">
        <f ca="1" xml:space="preserve"> IF( AND( OFFSET($A$1, 3486 - 1, 54 - 1) = "1", OFFSET($A$1, 3486 - 1, 55 - 1) = "1" ), 1, IF( AND( OFFSET($A$1, 3486 - 1, 54 - 1) = "1", OFFSET($A$1, 3486 - 1, 55 - 1) = "0" ), 2, IF( AND( OFFSET($A$1, 3486 - 1, 54 - 1) = "0", OFFSET($A$1, 3486 - 1, 55 - 1) = "1" ), 3, 4 ) ) )</f>
        <v>4</v>
      </c>
    </row>
    <row r="3487" spans="53:56" x14ac:dyDescent="0.35">
      <c r="BA3487" s="3">
        <v>0.32832653940340889</v>
      </c>
      <c r="BB3487" s="3" t="str">
        <f>"0"</f>
        <v>0</v>
      </c>
      <c r="BC3487" t="str">
        <f ca="1">IF((OFFSET($A$1, 3487 - 1, 53 - 1)) &gt;= (OFFSET($A$1, 69 - 1, 7 - 1)), "1","0")</f>
        <v>0</v>
      </c>
      <c r="BD3487">
        <f ca="1" xml:space="preserve"> IF( AND( OFFSET($A$1, 3487 - 1, 54 - 1) = "1", OFFSET($A$1, 3487 - 1, 55 - 1) = "1" ), 1, IF( AND( OFFSET($A$1, 3487 - 1, 54 - 1) = "1", OFFSET($A$1, 3487 - 1, 55 - 1) = "0" ), 2, IF( AND( OFFSET($A$1, 3487 - 1, 54 - 1) = "0", OFFSET($A$1, 3487 - 1, 55 - 1) = "1" ), 3, 4 ) ) )</f>
        <v>4</v>
      </c>
    </row>
    <row r="3488" spans="53:56" x14ac:dyDescent="0.35">
      <c r="BA3488" s="3">
        <v>0.3288095643813424</v>
      </c>
      <c r="BB3488" s="3" t="str">
        <f>"0"</f>
        <v>0</v>
      </c>
      <c r="BC3488" t="str">
        <f ca="1">IF((OFFSET($A$1, 3488 - 1, 53 - 1)) &gt;= (OFFSET($A$1, 69 - 1, 7 - 1)), "1","0")</f>
        <v>0</v>
      </c>
      <c r="BD3488">
        <f ca="1" xml:space="preserve"> IF( AND( OFFSET($A$1, 3488 - 1, 54 - 1) = "1", OFFSET($A$1, 3488 - 1, 55 - 1) = "1" ), 1, IF( AND( OFFSET($A$1, 3488 - 1, 54 - 1) = "1", OFFSET($A$1, 3488 - 1, 55 - 1) = "0" ), 2, IF( AND( OFFSET($A$1, 3488 - 1, 54 - 1) = "0", OFFSET($A$1, 3488 - 1, 55 - 1) = "1" ), 3, 4 ) ) )</f>
        <v>4</v>
      </c>
    </row>
    <row r="3489" spans="53:56" x14ac:dyDescent="0.35">
      <c r="BA3489" s="3">
        <v>0.32927091453505825</v>
      </c>
      <c r="BB3489" s="3" t="str">
        <f>"0"</f>
        <v>0</v>
      </c>
      <c r="BC3489" t="str">
        <f ca="1">IF((OFFSET($A$1, 3489 - 1, 53 - 1)) &gt;= (OFFSET($A$1, 69 - 1, 7 - 1)), "1","0")</f>
        <v>0</v>
      </c>
      <c r="BD3489">
        <f ca="1" xml:space="preserve"> IF( AND( OFFSET($A$1, 3489 - 1, 54 - 1) = "1", OFFSET($A$1, 3489 - 1, 55 - 1) = "1" ), 1, IF( AND( OFFSET($A$1, 3489 - 1, 54 - 1) = "1", OFFSET($A$1, 3489 - 1, 55 - 1) = "0" ), 2, IF( AND( OFFSET($A$1, 3489 - 1, 54 - 1) = "0", OFFSET($A$1, 3489 - 1, 55 - 1) = "1" ), 3, 4 ) ) )</f>
        <v>4</v>
      </c>
    </row>
    <row r="3490" spans="53:56" x14ac:dyDescent="0.35">
      <c r="BA3490" s="3">
        <v>0.32971040532651197</v>
      </c>
      <c r="BB3490" s="3" t="str">
        <f>"0"</f>
        <v>0</v>
      </c>
      <c r="BC3490" t="str">
        <f ca="1">IF((OFFSET($A$1, 3490 - 1, 53 - 1)) &gt;= (OFFSET($A$1, 69 - 1, 7 - 1)), "1","0")</f>
        <v>0</v>
      </c>
      <c r="BD3490">
        <f ca="1" xml:space="preserve"> IF( AND( OFFSET($A$1, 3490 - 1, 54 - 1) = "1", OFFSET($A$1, 3490 - 1, 55 - 1) = "1" ), 1, IF( AND( OFFSET($A$1, 3490 - 1, 54 - 1) = "1", OFFSET($A$1, 3490 - 1, 55 - 1) = "0" ), 2, IF( AND( OFFSET($A$1, 3490 - 1, 54 - 1) = "0", OFFSET($A$1, 3490 - 1, 55 - 1) = "1" ), 3, 4 ) ) )</f>
        <v>4</v>
      </c>
    </row>
    <row r="3491" spans="53:56" x14ac:dyDescent="0.35">
      <c r="BA3491" s="3">
        <v>0.3301278608656098</v>
      </c>
      <c r="BB3491" s="3" t="str">
        <f>"0"</f>
        <v>0</v>
      </c>
      <c r="BC3491" t="str">
        <f ca="1">IF((OFFSET($A$1, 3491 - 1, 53 - 1)) &gt;= (OFFSET($A$1, 69 - 1, 7 - 1)), "1","0")</f>
        <v>0</v>
      </c>
      <c r="BD3491">
        <f ca="1" xml:space="preserve"> IF( AND( OFFSET($A$1, 3491 - 1, 54 - 1) = "1", OFFSET($A$1, 3491 - 1, 55 - 1) = "1" ), 1, IF( AND( OFFSET($A$1, 3491 - 1, 54 - 1) = "1", OFFSET($A$1, 3491 - 1, 55 - 1) = "0" ), 2, IF( AND( OFFSET($A$1, 3491 - 1, 54 - 1) = "0", OFFSET($A$1, 3491 - 1, 55 - 1) = "1" ), 3, 4 ) ) )</f>
        <v>4</v>
      </c>
    </row>
    <row r="3492" spans="53:56" x14ac:dyDescent="0.35">
      <c r="BA3492" s="3">
        <v>0.33052311399658929</v>
      </c>
      <c r="BB3492" s="3" t="str">
        <f>"1"</f>
        <v>1</v>
      </c>
      <c r="BC3492" t="str">
        <f ca="1">IF((OFFSET($A$1, 3492 - 1, 53 - 1)) &gt;= (OFFSET($A$1, 69 - 1, 7 - 1)), "1","0")</f>
        <v>0</v>
      </c>
      <c r="BD3492">
        <f ca="1" xml:space="preserve"> IF( AND( OFFSET($A$1, 3492 - 1, 54 - 1) = "1", OFFSET($A$1, 3492 - 1, 55 - 1) = "1" ), 1, IF( AND( OFFSET($A$1, 3492 - 1, 54 - 1) = "1", OFFSET($A$1, 3492 - 1, 55 - 1) = "0" ), 2, IF( AND( OFFSET($A$1, 3492 - 1, 54 - 1) = "0", OFFSET($A$1, 3492 - 1, 55 - 1) = "1" ), 3, 4 ) ) )</f>
        <v>2</v>
      </c>
    </row>
    <row r="3493" spans="53:56" x14ac:dyDescent="0.35">
      <c r="BA3493" s="3">
        <v>0.6068763296732792</v>
      </c>
      <c r="BB3493" s="3" t="str">
        <f>"0"</f>
        <v>0</v>
      </c>
      <c r="BC3493" t="str">
        <f ca="1">IF((OFFSET($A$1, 3493 - 1, 53 - 1)) &gt;= (OFFSET($A$1, 69 - 1, 7 - 1)), "1","0")</f>
        <v>1</v>
      </c>
      <c r="BD3493">
        <f ca="1" xml:space="preserve"> IF( AND( OFFSET($A$1, 3493 - 1, 54 - 1) = "1", OFFSET($A$1, 3493 - 1, 55 - 1) = "1" ), 1, IF( AND( OFFSET($A$1, 3493 - 1, 54 - 1) = "1", OFFSET($A$1, 3493 - 1, 55 - 1) = "0" ), 2, IF( AND( OFFSET($A$1, 3493 - 1, 54 - 1) = "0", OFFSET($A$1, 3493 - 1, 55 - 1) = "1" ), 3, 4 ) ) )</f>
        <v>3</v>
      </c>
    </row>
    <row r="3494" spans="53:56" x14ac:dyDescent="0.35">
      <c r="BA3494" s="3">
        <v>0.33124638856845134</v>
      </c>
      <c r="BB3494" s="3" t="str">
        <f>"0"</f>
        <v>0</v>
      </c>
      <c r="BC3494" t="str">
        <f ca="1">IF((OFFSET($A$1, 3494 - 1, 53 - 1)) &gt;= (OFFSET($A$1, 69 - 1, 7 - 1)), "1","0")</f>
        <v>0</v>
      </c>
      <c r="BD3494">
        <f ca="1" xml:space="preserve"> IF( AND( OFFSET($A$1, 3494 - 1, 54 - 1) = "1", OFFSET($A$1, 3494 - 1, 55 - 1) = "1" ), 1, IF( AND( OFFSET($A$1, 3494 - 1, 54 - 1) = "1", OFFSET($A$1, 3494 - 1, 55 - 1) = "0" ), 2, IF( AND( OFFSET($A$1, 3494 - 1, 54 - 1) = "0", OFFSET($A$1, 3494 - 1, 55 - 1) = "1" ), 3, 4 ) ) )</f>
        <v>4</v>
      </c>
    </row>
    <row r="3495" spans="53:56" x14ac:dyDescent="0.35">
      <c r="BA3495" s="3">
        <v>0.33157412008167414</v>
      </c>
      <c r="BB3495" s="3" t="str">
        <f>"0"</f>
        <v>0</v>
      </c>
      <c r="BC3495" t="str">
        <f ca="1">IF((OFFSET($A$1, 3495 - 1, 53 - 1)) &gt;= (OFFSET($A$1, 69 - 1, 7 - 1)), "1","0")</f>
        <v>0</v>
      </c>
      <c r="BD3495">
        <f ca="1" xml:space="preserve"> IF( AND( OFFSET($A$1, 3495 - 1, 54 - 1) = "1", OFFSET($A$1, 3495 - 1, 55 - 1) = "1" ), 1, IF( AND( OFFSET($A$1, 3495 - 1, 54 - 1) = "1", OFFSET($A$1, 3495 - 1, 55 - 1) = "0" ), 2, IF( AND( OFFSET($A$1, 3495 - 1, 54 - 1) = "0", OFFSET($A$1, 3495 - 1, 55 - 1) = "1" ), 3, 4 ) ) )</f>
        <v>4</v>
      </c>
    </row>
    <row r="3496" spans="53:56" x14ac:dyDescent="0.35">
      <c r="BA3496" s="3">
        <v>0.33187906947169149</v>
      </c>
      <c r="BB3496" s="3" t="str">
        <f>"0"</f>
        <v>0</v>
      </c>
      <c r="BC3496" t="str">
        <f ca="1">IF((OFFSET($A$1, 3496 - 1, 53 - 1)) &gt;= (OFFSET($A$1, 69 - 1, 7 - 1)), "1","0")</f>
        <v>0</v>
      </c>
      <c r="BD3496">
        <f ca="1" xml:space="preserve"> IF( AND( OFFSET($A$1, 3496 - 1, 54 - 1) = "1", OFFSET($A$1, 3496 - 1, 55 - 1) = "1" ), 1, IF( AND( OFFSET($A$1, 3496 - 1, 54 - 1) = "1", OFFSET($A$1, 3496 - 1, 55 - 1) = "0" ), 2, IF( AND( OFFSET($A$1, 3496 - 1, 54 - 1) = "0", OFFSET($A$1, 3496 - 1, 55 - 1) = "1" ), 3, 4 ) ) )</f>
        <v>4</v>
      </c>
    </row>
    <row r="3497" spans="53:56" x14ac:dyDescent="0.35">
      <c r="BA3497" s="3">
        <v>0.33216111438733403</v>
      </c>
      <c r="BB3497" s="3" t="str">
        <f>"0"</f>
        <v>0</v>
      </c>
      <c r="BC3497" t="str">
        <f ca="1">IF((OFFSET($A$1, 3497 - 1, 53 - 1)) &gt;= (OFFSET($A$1, 69 - 1, 7 - 1)), "1","0")</f>
        <v>0</v>
      </c>
      <c r="BD3497">
        <f ca="1" xml:space="preserve"> IF( AND( OFFSET($A$1, 3497 - 1, 54 - 1) = "1", OFFSET($A$1, 3497 - 1, 55 - 1) = "1" ), 1, IF( AND( OFFSET($A$1, 3497 - 1, 54 - 1) = "1", OFFSET($A$1, 3497 - 1, 55 - 1) = "0" ), 2, IF( AND( OFFSET($A$1, 3497 - 1, 54 - 1) = "0", OFFSET($A$1, 3497 - 1, 55 - 1) = "1" ), 3, 4 ) ) )</f>
        <v>4</v>
      </c>
    </row>
    <row r="3498" spans="53:56" x14ac:dyDescent="0.35">
      <c r="BA3498" s="3">
        <v>0.33242014163258521</v>
      </c>
      <c r="BB3498" s="3" t="str">
        <f>"0"</f>
        <v>0</v>
      </c>
      <c r="BC3498" t="str">
        <f ca="1">IF((OFFSET($A$1, 3498 - 1, 53 - 1)) &gt;= (OFFSET($A$1, 69 - 1, 7 - 1)), "1","0")</f>
        <v>0</v>
      </c>
      <c r="BD3498">
        <f ca="1" xml:space="preserve"> IF( AND( OFFSET($A$1, 3498 - 1, 54 - 1) = "1", OFFSET($A$1, 3498 - 1, 55 - 1) = "1" ), 1, IF( AND( OFFSET($A$1, 3498 - 1, 54 - 1) = "1", OFFSET($A$1, 3498 - 1, 55 - 1) = "0" ), 2, IF( AND( OFFSET($A$1, 3498 - 1, 54 - 1) = "0", OFFSET($A$1, 3498 - 1, 55 - 1) = "1" ), 3, 4 ) ) )</f>
        <v>4</v>
      </c>
    </row>
    <row r="3499" spans="53:56" x14ac:dyDescent="0.35">
      <c r="BA3499" s="3">
        <v>0.33265604722061592</v>
      </c>
      <c r="BB3499" s="3" t="str">
        <f>"1"</f>
        <v>1</v>
      </c>
      <c r="BC3499" t="str">
        <f ca="1">IF((OFFSET($A$1, 3499 - 1, 53 - 1)) &gt;= (OFFSET($A$1, 69 - 1, 7 - 1)), "1","0")</f>
        <v>0</v>
      </c>
      <c r="BD3499">
        <f ca="1" xml:space="preserve"> IF( AND( OFFSET($A$1, 3499 - 1, 54 - 1) = "1", OFFSET($A$1, 3499 - 1, 55 - 1) = "1" ), 1, IF( AND( OFFSET($A$1, 3499 - 1, 54 - 1) = "1", OFFSET($A$1, 3499 - 1, 55 - 1) = "0" ), 2, IF( AND( OFFSET($A$1, 3499 - 1, 54 - 1) = "0", OFFSET($A$1, 3499 - 1, 55 - 1) = "1" ), 3, 4 ) ) )</f>
        <v>2</v>
      </c>
    </row>
    <row r="3500" spans="53:56" x14ac:dyDescent="0.35">
      <c r="BA3500" s="3">
        <v>0.60899686386402552</v>
      </c>
      <c r="BB3500" s="3" t="str">
        <f>"1"</f>
        <v>1</v>
      </c>
      <c r="BC3500" t="str">
        <f ca="1">IF((OFFSET($A$1, 3500 - 1, 53 - 1)) &gt;= (OFFSET($A$1, 69 - 1, 7 - 1)), "1","0")</f>
        <v>1</v>
      </c>
      <c r="BD3500">
        <f ca="1" xml:space="preserve"> IF( AND( OFFSET($A$1, 3500 - 1, 54 - 1) = "1", OFFSET($A$1, 3500 - 1, 55 - 1) = "1" ), 1, IF( AND( OFFSET($A$1, 3500 - 1, 54 - 1) = "1", OFFSET($A$1, 3500 - 1, 55 - 1) = "0" ), 2, IF( AND( OFFSET($A$1, 3500 - 1, 54 - 1) = "0", OFFSET($A$1, 3500 - 1, 55 - 1) = "1" ), 3, 4 ) ) )</f>
        <v>1</v>
      </c>
    </row>
    <row r="3501" spans="53:56" x14ac:dyDescent="0.35">
      <c r="BA3501" s="3">
        <v>0.60919989367028526</v>
      </c>
      <c r="BB3501" s="3" t="str">
        <f>"1"</f>
        <v>1</v>
      </c>
      <c r="BC3501" t="str">
        <f ca="1">IF((OFFSET($A$1, 3501 - 1, 53 - 1)) &gt;= (OFFSET($A$1, 69 - 1, 7 - 1)), "1","0")</f>
        <v>1</v>
      </c>
      <c r="BD3501">
        <f ca="1" xml:space="preserve"> IF( AND( OFFSET($A$1, 3501 - 1, 54 - 1) = "1", OFFSET($A$1, 3501 - 1, 55 - 1) = "1" ), 1, IF( AND( OFFSET($A$1, 3501 - 1, 54 - 1) = "1", OFFSET($A$1, 3501 - 1, 55 - 1) = "0" ), 2, IF( AND( OFFSET($A$1, 3501 - 1, 54 - 1) = "0", OFFSET($A$1, 3501 - 1, 55 - 1) = "1" ), 3, 4 ) ) )</f>
        <v>1</v>
      </c>
    </row>
    <row r="3502" spans="53:56" x14ac:dyDescent="0.35">
      <c r="BA3502" s="3">
        <v>0.60937778296079403</v>
      </c>
      <c r="BB3502" s="3" t="str">
        <f>"1"</f>
        <v>1</v>
      </c>
      <c r="BC3502" t="str">
        <f ca="1">IF((OFFSET($A$1, 3502 - 1, 53 - 1)) &gt;= (OFFSET($A$1, 69 - 1, 7 - 1)), "1","0")</f>
        <v>1</v>
      </c>
      <c r="BD3502">
        <f ca="1" xml:space="preserve"> IF( AND( OFFSET($A$1, 3502 - 1, 54 - 1) = "1", OFFSET($A$1, 3502 - 1, 55 - 1) = "1" ), 1, IF( AND( OFFSET($A$1, 3502 - 1, 54 - 1) = "1", OFFSET($A$1, 3502 - 1, 55 - 1) = "0" ), 2, IF( AND( OFFSET($A$1, 3502 - 1, 54 - 1) = "0", OFFSET($A$1, 3502 - 1, 55 - 1) = "1" ), 3, 4 ) ) )</f>
        <v>1</v>
      </c>
    </row>
    <row r="3503" spans="53:56" x14ac:dyDescent="0.35">
      <c r="BA3503" s="3">
        <v>0.6095304913646421</v>
      </c>
      <c r="BB3503" s="3" t="str">
        <f>"1"</f>
        <v>1</v>
      </c>
      <c r="BC3503" t="str">
        <f ca="1">IF((OFFSET($A$1, 3503 - 1, 53 - 1)) &gt;= (OFFSET($A$1, 69 - 1, 7 - 1)), "1","0")</f>
        <v>1</v>
      </c>
      <c r="BD3503">
        <f ca="1" xml:space="preserve"> IF( AND( OFFSET($A$1, 3503 - 1, 54 - 1) = "1", OFFSET($A$1, 3503 - 1, 55 - 1) = "1" ), 1, IF( AND( OFFSET($A$1, 3503 - 1, 54 - 1) = "1", OFFSET($A$1, 3503 - 1, 55 - 1) = "0" ), 2, IF( AND( OFFSET($A$1, 3503 - 1, 54 - 1) = "0", OFFSET($A$1, 3503 - 1, 55 - 1) = "1" ), 3, 4 ) ) )</f>
        <v>1</v>
      </c>
    </row>
    <row r="3504" spans="53:56" x14ac:dyDescent="0.35">
      <c r="BA3504" s="3">
        <v>0.60965798427177353</v>
      </c>
      <c r="BB3504" s="3" t="str">
        <f>"0"</f>
        <v>0</v>
      </c>
      <c r="BC3504" t="str">
        <f ca="1">IF((OFFSET($A$1, 3504 - 1, 53 - 1)) &gt;= (OFFSET($A$1, 69 - 1, 7 - 1)), "1","0")</f>
        <v>1</v>
      </c>
      <c r="BD3504">
        <f ca="1" xml:space="preserve"> IF( AND( OFFSET($A$1, 3504 - 1, 54 - 1) = "1", OFFSET($A$1, 3504 - 1, 55 - 1) = "1" ), 1, IF( AND( OFFSET($A$1, 3504 - 1, 54 - 1) = "1", OFFSET($A$1, 3504 - 1, 55 - 1) = "0" ), 2, IF( AND( OFFSET($A$1, 3504 - 1, 54 - 1) = "0", OFFSET($A$1, 3504 - 1, 55 - 1) = "1" ), 3, 4 ) ) )</f>
        <v>3</v>
      </c>
    </row>
    <row r="3505" spans="53:56" x14ac:dyDescent="0.35">
      <c r="BA3505" s="3">
        <v>0.33358127455930869</v>
      </c>
      <c r="BB3505" s="3" t="str">
        <f>"1"</f>
        <v>1</v>
      </c>
      <c r="BC3505" t="str">
        <f ca="1">IF((OFFSET($A$1, 3505 - 1, 53 - 1)) &gt;= (OFFSET($A$1, 69 - 1, 7 - 1)), "1","0")</f>
        <v>0</v>
      </c>
      <c r="BD3505">
        <f ca="1" xml:space="preserve"> IF( AND( OFFSET($A$1, 3505 - 1, 54 - 1) = "1", OFFSET($A$1, 3505 - 1, 55 - 1) = "1" ), 1, IF( AND( OFFSET($A$1, 3505 - 1, 54 - 1) = "1", OFFSET($A$1, 3505 - 1, 55 - 1) = "0" ), 2, IF( AND( OFFSET($A$1, 3505 - 1, 54 - 1) = "0", OFFSET($A$1, 3505 - 1, 55 - 1) = "1" ), 3, 4 ) ) )</f>
        <v>2</v>
      </c>
    </row>
    <row r="3506" spans="53:56" x14ac:dyDescent="0.35">
      <c r="BA3506" s="3">
        <v>0.60983721388263101</v>
      </c>
      <c r="BB3506" s="3" t="str">
        <f>"0"</f>
        <v>0</v>
      </c>
      <c r="BC3506" t="str">
        <f ca="1">IF((OFFSET($A$1, 3506 - 1, 53 - 1)) &gt;= (OFFSET($A$1, 69 - 1, 7 - 1)), "1","0")</f>
        <v>1</v>
      </c>
      <c r="BD3506">
        <f ca="1" xml:space="preserve"> IF( AND( OFFSET($A$1, 3506 - 1, 54 - 1) = "1", OFFSET($A$1, 3506 - 1, 55 - 1) = "1" ), 1, IF( AND( OFFSET($A$1, 3506 - 1, 54 - 1) = "1", OFFSET($A$1, 3506 - 1, 55 - 1) = "0" ), 2, IF( AND( OFFSET($A$1, 3506 - 1, 54 - 1) = "0", OFFSET($A$1, 3506 - 1, 55 - 1) = "1" ), 3, 4 ) ) )</f>
        <v>3</v>
      </c>
    </row>
    <row r="3507" spans="53:56" x14ac:dyDescent="0.35">
      <c r="BA3507" s="3">
        <v>0.33370150788088382</v>
      </c>
      <c r="BB3507" s="3" t="str">
        <f>"1"</f>
        <v>1</v>
      </c>
      <c r="BC3507" t="str">
        <f ca="1">IF((OFFSET($A$1, 3507 - 1, 53 - 1)) &gt;= (OFFSET($A$1, 69 - 1, 7 - 1)), "1","0")</f>
        <v>0</v>
      </c>
      <c r="BD3507">
        <f ca="1" xml:space="preserve"> IF( AND( OFFSET($A$1, 3507 - 1, 54 - 1) = "1", OFFSET($A$1, 3507 - 1, 55 - 1) = "1" ), 1, IF( AND( OFFSET($A$1, 3507 - 1, 54 - 1) = "1", OFFSET($A$1, 3507 - 1, 55 - 1) = "0" ), 2, IF( AND( OFFSET($A$1, 3507 - 1, 54 - 1) = "0", OFFSET($A$1, 3507 - 1, 55 - 1) = "1" ), 3, 4 ) ) )</f>
        <v>2</v>
      </c>
    </row>
    <row r="3508" spans="53:56" x14ac:dyDescent="0.35">
      <c r="BA3508" s="3">
        <v>0.60991530968012342</v>
      </c>
      <c r="BB3508" s="3" t="str">
        <f>"0"</f>
        <v>0</v>
      </c>
      <c r="BC3508" t="str">
        <f ca="1">IF((OFFSET($A$1, 3508 - 1, 53 - 1)) &gt;= (OFFSET($A$1, 69 - 1, 7 - 1)), "1","0")</f>
        <v>1</v>
      </c>
      <c r="BD3508">
        <f ca="1" xml:space="preserve"> IF( AND( OFFSET($A$1, 3508 - 1, 54 - 1) = "1", OFFSET($A$1, 3508 - 1, 55 - 1) = "1" ), 1, IF( AND( OFFSET($A$1, 3508 - 1, 54 - 1) = "1", OFFSET($A$1, 3508 - 1, 55 - 1) = "0" ), 2, IF( AND( OFFSET($A$1, 3508 - 1, 54 - 1) = "0", OFFSET($A$1, 3508 - 1, 55 - 1) = "1" ), 3, 4 ) ) )</f>
        <v>3</v>
      </c>
    </row>
    <row r="3509" spans="53:56" x14ac:dyDescent="0.35">
      <c r="BA3509" s="3">
        <v>0.33372720489232366</v>
      </c>
      <c r="BB3509" s="3" t="str">
        <f>"0"</f>
        <v>0</v>
      </c>
      <c r="BC3509" t="str">
        <f ca="1">IF((OFFSET($A$1, 3509 - 1, 53 - 1)) &gt;= (OFFSET($A$1, 69 - 1, 7 - 1)), "1","0")</f>
        <v>0</v>
      </c>
      <c r="BD3509">
        <f ca="1" xml:space="preserve"> IF( AND( OFFSET($A$1, 3509 - 1, 54 - 1) = "1", OFFSET($A$1, 3509 - 1, 55 - 1) = "1" ), 1, IF( AND( OFFSET($A$1, 3509 - 1, 54 - 1) = "1", OFFSET($A$1, 3509 - 1, 55 - 1) = "0" ), 2, IF( AND( OFFSET($A$1, 3509 - 1, 54 - 1) = "0", OFFSET($A$1, 3509 - 1, 55 - 1) = "1" ), 3, 4 ) ) )</f>
        <v>4</v>
      </c>
    </row>
    <row r="3510" spans="53:56" x14ac:dyDescent="0.35">
      <c r="BA3510" s="3">
        <v>0.33370458342937559</v>
      </c>
      <c r="BB3510" s="3" t="str">
        <f>"0"</f>
        <v>0</v>
      </c>
      <c r="BC3510" t="str">
        <f ca="1">IF((OFFSET($A$1, 3510 - 1, 53 - 1)) &gt;= (OFFSET($A$1, 69 - 1, 7 - 1)), "1","0")</f>
        <v>0</v>
      </c>
      <c r="BD3510">
        <f ca="1" xml:space="preserve"> IF( AND( OFFSET($A$1, 3510 - 1, 54 - 1) = "1", OFFSET($A$1, 3510 - 1, 55 - 1) = "1" ), 1, IF( AND( OFFSET($A$1, 3510 - 1, 54 - 1) = "1", OFFSET($A$1, 3510 - 1, 55 - 1) = "0" ), 2, IF( AND( OFFSET($A$1, 3510 - 1, 54 - 1) = "0", OFFSET($A$1, 3510 - 1, 55 - 1) = "1" ), 3, 4 ) ) )</f>
        <v>4</v>
      </c>
    </row>
    <row r="3511" spans="53:56" x14ac:dyDescent="0.35">
      <c r="BA3511" s="3">
        <v>0.33365832427719633</v>
      </c>
      <c r="BB3511" s="3" t="str">
        <f>"1"</f>
        <v>1</v>
      </c>
      <c r="BC3511" t="str">
        <f ca="1">IF((OFFSET($A$1, 3511 - 1, 53 - 1)) &gt;= (OFFSET($A$1, 69 - 1, 7 - 1)), "1","0")</f>
        <v>0</v>
      </c>
      <c r="BD3511">
        <f ca="1" xml:space="preserve"> IF( AND( OFFSET($A$1, 3511 - 1, 54 - 1) = "1", OFFSET($A$1, 3511 - 1, 55 - 1) = "1" ), 1, IF( AND( OFFSET($A$1, 3511 - 1, 54 - 1) = "1", OFFSET($A$1, 3511 - 1, 55 - 1) = "0" ), 2, IF( AND( OFFSET($A$1, 3511 - 1, 54 - 1) = "0", OFFSET($A$1, 3511 - 1, 55 - 1) = "1" ), 3, 4 ) ) )</f>
        <v>2</v>
      </c>
    </row>
    <row r="3512" spans="53:56" x14ac:dyDescent="0.35">
      <c r="BA3512" s="3">
        <v>0.60976790901869571</v>
      </c>
      <c r="BB3512" s="3" t="str">
        <f>"1"</f>
        <v>1</v>
      </c>
      <c r="BC3512" t="str">
        <f ca="1">IF((OFFSET($A$1, 3512 - 1, 53 - 1)) &gt;= (OFFSET($A$1, 69 - 1, 7 - 1)), "1","0")</f>
        <v>1</v>
      </c>
      <c r="BD3512">
        <f ca="1" xml:space="preserve"> IF( AND( OFFSET($A$1, 3512 - 1, 54 - 1) = "1", OFFSET($A$1, 3512 - 1, 55 - 1) = "1" ), 1, IF( AND( OFFSET($A$1, 3512 - 1, 54 - 1) = "1", OFFSET($A$1, 3512 - 1, 55 - 1) = "0" ), 2, IF( AND( OFFSET($A$1, 3512 - 1, 54 - 1) = "0", OFFSET($A$1, 3512 - 1, 55 - 1) = "1" ), 3, 4 ) ) )</f>
        <v>1</v>
      </c>
    </row>
    <row r="3513" spans="53:56" x14ac:dyDescent="0.35">
      <c r="BA3513" s="3">
        <v>0.609667850696061</v>
      </c>
      <c r="BB3513" s="3" t="str">
        <f>"1"</f>
        <v>1</v>
      </c>
      <c r="BC3513" t="str">
        <f ca="1">IF((OFFSET($A$1, 3513 - 1, 53 - 1)) &gt;= (OFFSET($A$1, 69 - 1, 7 - 1)), "1","0")</f>
        <v>1</v>
      </c>
      <c r="BD3513">
        <f ca="1" xml:space="preserve"> IF( AND( OFFSET($A$1, 3513 - 1, 54 - 1) = "1", OFFSET($A$1, 3513 - 1, 55 - 1) = "1" ), 1, IF( AND( OFFSET($A$1, 3513 - 1, 54 - 1) = "1", OFFSET($A$1, 3513 - 1, 55 - 1) = "0" ), 2, IF( AND( OFFSET($A$1, 3513 - 1, 54 - 1) = "0", OFFSET($A$1, 3513 - 1, 55 - 1) = "1" ), 3, 4 ) ) )</f>
        <v>1</v>
      </c>
    </row>
    <row r="3514" spans="53:56" x14ac:dyDescent="0.35">
      <c r="BA3514" s="3">
        <v>0.60954254578190881</v>
      </c>
      <c r="BB3514" s="3" t="str">
        <f>"1"</f>
        <v>1</v>
      </c>
      <c r="BC3514" t="str">
        <f ca="1">IF((OFFSET($A$1, 3514 - 1, 53 - 1)) &gt;= (OFFSET($A$1, 69 - 1, 7 - 1)), "1","0")</f>
        <v>1</v>
      </c>
      <c r="BD3514">
        <f ca="1" xml:space="preserve"> IF( AND( OFFSET($A$1, 3514 - 1, 54 - 1) = "1", OFFSET($A$1, 3514 - 1, 55 - 1) = "1" ), 1, IF( AND( OFFSET($A$1, 3514 - 1, 54 - 1) = "1", OFFSET($A$1, 3514 - 1, 55 - 1) = "0" ), 2, IF( AND( OFFSET($A$1, 3514 - 1, 54 - 1) = "0", OFFSET($A$1, 3514 - 1, 55 - 1) = "1" ), 3, 4 ) ) )</f>
        <v>1</v>
      </c>
    </row>
    <row r="3515" spans="53:56" x14ac:dyDescent="0.35">
      <c r="BA3515" s="3">
        <v>0.60939202264082881</v>
      </c>
      <c r="BB3515" s="3" t="str">
        <f>"0"</f>
        <v>0</v>
      </c>
      <c r="BC3515" t="str">
        <f ca="1">IF((OFFSET($A$1, 3515 - 1, 53 - 1)) &gt;= (OFFSET($A$1, 69 - 1, 7 - 1)), "1","0")</f>
        <v>1</v>
      </c>
      <c r="BD3515">
        <f ca="1" xml:space="preserve"> IF( AND( OFFSET($A$1, 3515 - 1, 54 - 1) = "1", OFFSET($A$1, 3515 - 1, 55 - 1) = "1" ), 1, IF( AND( OFFSET($A$1, 3515 - 1, 54 - 1) = "1", OFFSET($A$1, 3515 - 1, 55 - 1) = "0" ), 2, IF( AND( OFFSET($A$1, 3515 - 1, 54 - 1) = "0", OFFSET($A$1, 3515 - 1, 55 - 1) = "1" ), 3, 4 ) ) )</f>
        <v>3</v>
      </c>
    </row>
    <row r="3516" spans="53:56" x14ac:dyDescent="0.35">
      <c r="BA3516" s="3">
        <v>0.33307344598589689</v>
      </c>
      <c r="BB3516" s="3" t="str">
        <f>"0"</f>
        <v>0</v>
      </c>
      <c r="BC3516" t="str">
        <f ca="1">IF((OFFSET($A$1, 3516 - 1, 53 - 1)) &gt;= (OFFSET($A$1, 69 - 1, 7 - 1)), "1","0")</f>
        <v>0</v>
      </c>
      <c r="BD3516">
        <f ca="1" xml:space="preserve"> IF( AND( OFFSET($A$1, 3516 - 1, 54 - 1) = "1", OFFSET($A$1, 3516 - 1, 55 - 1) = "1" ), 1, IF( AND( OFFSET($A$1, 3516 - 1, 54 - 1) = "1", OFFSET($A$1, 3516 - 1, 55 - 1) = "0" ), 2, IF( AND( OFFSET($A$1, 3516 - 1, 54 - 1) = "0", OFFSET($A$1, 3516 - 1, 55 - 1) = "1" ), 3, 4 ) ) )</f>
        <v>4</v>
      </c>
    </row>
    <row r="3517" spans="53:56" x14ac:dyDescent="0.35">
      <c r="BA3517" s="3">
        <v>0.33288608291839494</v>
      </c>
      <c r="BB3517" s="3" t="str">
        <f>"1"</f>
        <v>1</v>
      </c>
      <c r="BC3517" t="str">
        <f ca="1">IF((OFFSET($A$1, 3517 - 1, 53 - 1)) &gt;= (OFFSET($A$1, 69 - 1, 7 - 1)), "1","0")</f>
        <v>0</v>
      </c>
      <c r="BD3517">
        <f ca="1" xml:space="preserve"> IF( AND( OFFSET($A$1, 3517 - 1, 54 - 1) = "1", OFFSET($A$1, 3517 - 1, 55 - 1) = "1" ), 1, IF( AND( OFFSET($A$1, 3517 - 1, 54 - 1) = "1", OFFSET($A$1, 3517 - 1, 55 - 1) = "0" ), 2, IF( AND( OFFSET($A$1, 3517 - 1, 54 - 1) = "0", OFFSET($A$1, 3517 - 1, 55 - 1) = "1" ), 3, 4 ) ) )</f>
        <v>2</v>
      </c>
    </row>
    <row r="3518" spans="53:56" x14ac:dyDescent="0.35">
      <c r="BA3518" s="3">
        <v>0.60878951378084878</v>
      </c>
      <c r="BB3518" s="3" t="str">
        <f>"0"</f>
        <v>0</v>
      </c>
      <c r="BC3518" t="str">
        <f ca="1">IF((OFFSET($A$1, 3518 - 1, 53 - 1)) &gt;= (OFFSET($A$1, 69 - 1, 7 - 1)), "1","0")</f>
        <v>1</v>
      </c>
      <c r="BD3518">
        <f ca="1" xml:space="preserve"> IF( AND( OFFSET($A$1, 3518 - 1, 54 - 1) = "1", OFFSET($A$1, 3518 - 1, 55 - 1) = "1" ), 1, IF( AND( OFFSET($A$1, 3518 - 1, 54 - 1) = "1", OFFSET($A$1, 3518 - 1, 55 - 1) = "0" ), 2, IF( AND( OFFSET($A$1, 3518 - 1, 54 - 1) = "0", OFFSET($A$1, 3518 - 1, 55 - 1) = "1" ), 3, 4 ) ) )</f>
        <v>3</v>
      </c>
    </row>
    <row r="3519" spans="53:56" x14ac:dyDescent="0.35">
      <c r="BA3519" s="3">
        <v>0.33244151506588554</v>
      </c>
      <c r="BB3519" s="3" t="str">
        <f>"0"</f>
        <v>0</v>
      </c>
      <c r="BC3519" t="str">
        <f ca="1">IF((OFFSET($A$1, 3519 - 1, 53 - 1)) &gt;= (OFFSET($A$1, 69 - 1, 7 - 1)), "1","0")</f>
        <v>0</v>
      </c>
      <c r="BD3519">
        <f ca="1" xml:space="preserve"> IF( AND( OFFSET($A$1, 3519 - 1, 54 - 1) = "1", OFFSET($A$1, 3519 - 1, 55 - 1) = "1" ), 1, IF( AND( OFFSET($A$1, 3519 - 1, 54 - 1) = "1", OFFSET($A$1, 3519 - 1, 55 - 1) = "0" ), 2, IF( AND( OFFSET($A$1, 3519 - 1, 54 - 1) = "0", OFFSET($A$1, 3519 - 1, 55 - 1) = "1" ), 3, 4 ) ) )</f>
        <v>4</v>
      </c>
    </row>
    <row r="3520" spans="53:56" x14ac:dyDescent="0.35">
      <c r="BA3520" s="3">
        <v>0.33218448881982932</v>
      </c>
      <c r="BB3520" s="3" t="str">
        <f>"1"</f>
        <v>1</v>
      </c>
      <c r="BC3520" t="str">
        <f ca="1">IF((OFFSET($A$1, 3520 - 1, 53 - 1)) &gt;= (OFFSET($A$1, 69 - 1, 7 - 1)), "1","0")</f>
        <v>0</v>
      </c>
      <c r="BD3520">
        <f ca="1" xml:space="preserve"> IF( AND( OFFSET($A$1, 3520 - 1, 54 - 1) = "1", OFFSET($A$1, 3520 - 1, 55 - 1) = "1" ), 1, IF( AND( OFFSET($A$1, 3520 - 1, 54 - 1) = "1", OFFSET($A$1, 3520 - 1, 55 - 1) = "0" ), 2, IF( AND( OFFSET($A$1, 3520 - 1, 54 - 1) = "0", OFFSET($A$1, 3520 - 1, 55 - 1) = "1" ), 3, 4 ) ) )</f>
        <v>2</v>
      </c>
    </row>
    <row r="3521" spans="53:56" x14ac:dyDescent="0.35">
      <c r="BA3521" s="3">
        <v>0.60796161532908544</v>
      </c>
      <c r="BB3521" s="3" t="str">
        <f>"1"</f>
        <v>1</v>
      </c>
      <c r="BC3521" t="str">
        <f ca="1">IF((OFFSET($A$1, 3521 - 1, 53 - 1)) &gt;= (OFFSET($A$1, 69 - 1, 7 - 1)), "1","0")</f>
        <v>1</v>
      </c>
      <c r="BD3521">
        <f ca="1" xml:space="preserve"> IF( AND( OFFSET($A$1, 3521 - 1, 54 - 1) = "1", OFFSET($A$1, 3521 - 1, 55 - 1) = "1" ), 1, IF( AND( OFFSET($A$1, 3521 - 1, 54 - 1) = "1", OFFSET($A$1, 3521 - 1, 55 - 1) = "0" ), 2, IF( AND( OFFSET($A$1, 3521 - 1, 54 - 1) = "0", OFFSET($A$1, 3521 - 1, 55 - 1) = "1" ), 3, 4 ) ) )</f>
        <v>1</v>
      </c>
    </row>
    <row r="3522" spans="53:56" x14ac:dyDescent="0.35">
      <c r="BA3522" s="3">
        <v>0.60763584341857801</v>
      </c>
      <c r="BB3522" s="3" t="str">
        <f>"1"</f>
        <v>1</v>
      </c>
      <c r="BC3522" t="str">
        <f ca="1">IF((OFFSET($A$1, 3522 - 1, 53 - 1)) &gt;= (OFFSET($A$1, 69 - 1, 7 - 1)), "1","0")</f>
        <v>1</v>
      </c>
      <c r="BD3522">
        <f ca="1" xml:space="preserve"> IF( AND( OFFSET($A$1, 3522 - 1, 54 - 1) = "1", OFFSET($A$1, 3522 - 1, 55 - 1) = "1" ), 1, IF( AND( OFFSET($A$1, 3522 - 1, 54 - 1) = "1", OFFSET($A$1, 3522 - 1, 55 - 1) = "0" ), 2, IF( AND( OFFSET($A$1, 3522 - 1, 54 - 1) = "0", OFFSET($A$1, 3522 - 1, 55 - 1) = "1" ), 3, 4 ) ) )</f>
        <v>1</v>
      </c>
    </row>
    <row r="3523" spans="53:56" x14ac:dyDescent="0.35">
      <c r="BA3523" s="3">
        <v>0.60728528842184182</v>
      </c>
      <c r="BB3523" s="3" t="str">
        <f>"0"</f>
        <v>0</v>
      </c>
      <c r="BC3523" t="str">
        <f ca="1">IF((OFFSET($A$1, 3523 - 1, 53 - 1)) &gt;= (OFFSET($A$1, 69 - 1, 7 - 1)), "1","0")</f>
        <v>1</v>
      </c>
      <c r="BD3523">
        <f ca="1" xml:space="preserve"> IF( AND( OFFSET($A$1, 3523 - 1, 54 - 1) = "1", OFFSET($A$1, 3523 - 1, 55 - 1) = "1" ), 1, IF( AND( OFFSET($A$1, 3523 - 1, 54 - 1) = "1", OFFSET($A$1, 3523 - 1, 55 - 1) = "0" ), 2, IF( AND( OFFSET($A$1, 3523 - 1, 54 - 1) = "0", OFFSET($A$1, 3523 - 1, 55 - 1) = "1" ), 3, 4 ) ) )</f>
        <v>3</v>
      </c>
    </row>
    <row r="3524" spans="53:56" x14ac:dyDescent="0.35">
      <c r="BA3524" s="3">
        <v>0.33092728304303121</v>
      </c>
      <c r="BB3524" s="3" t="str">
        <f>"1"</f>
        <v>1</v>
      </c>
      <c r="BC3524" t="str">
        <f ca="1">IF((OFFSET($A$1, 3524 - 1, 53 - 1)) &gt;= (OFFSET($A$1, 69 - 1, 7 - 1)), "1","0")</f>
        <v>0</v>
      </c>
      <c r="BD3524">
        <f ca="1" xml:space="preserve"> IF( AND( OFFSET($A$1, 3524 - 1, 54 - 1) = "1", OFFSET($A$1, 3524 - 1, 55 - 1) = "1" ), 1, IF( AND( OFFSET($A$1, 3524 - 1, 54 - 1) = "1", OFFSET($A$1, 3524 - 1, 55 - 1) = "0" ), 2, IF( AND( OFFSET($A$1, 3524 - 1, 54 - 1) = "0", OFFSET($A$1, 3524 - 1, 55 - 1) = "1" ), 3, 4 ) ) )</f>
        <v>2</v>
      </c>
    </row>
    <row r="3525" spans="53:56" x14ac:dyDescent="0.35">
      <c r="BA3525" s="3">
        <v>0.60651015797287255</v>
      </c>
      <c r="BB3525" s="3" t="str">
        <f>"1"</f>
        <v>1</v>
      </c>
      <c r="BC3525" t="str">
        <f ca="1">IF((OFFSET($A$1, 3525 - 1, 53 - 1)) &gt;= (OFFSET($A$1, 69 - 1, 7 - 1)), "1","0")</f>
        <v>1</v>
      </c>
      <c r="BD3525">
        <f ca="1" xml:space="preserve"> IF( AND( OFFSET($A$1, 3525 - 1, 54 - 1) = "1", OFFSET($A$1, 3525 - 1, 55 - 1) = "1" ), 1, IF( AND( OFFSET($A$1, 3525 - 1, 54 - 1) = "1", OFFSET($A$1, 3525 - 1, 55 - 1) = "0" ), 2, IF( AND( OFFSET($A$1, 3525 - 1, 54 - 1) = "0", OFFSET($A$1, 3525 - 1, 55 - 1) = "1" ), 3, 4 ) ) )</f>
        <v>1</v>
      </c>
    </row>
    <row r="3526" spans="53:56" x14ac:dyDescent="0.35">
      <c r="BA3526" s="3">
        <v>0.60608576178083973</v>
      </c>
      <c r="BB3526" s="3" t="str">
        <f>"1"</f>
        <v>1</v>
      </c>
      <c r="BC3526" t="str">
        <f ca="1">IF((OFFSET($A$1, 3526 - 1, 53 - 1)) &gt;= (OFFSET($A$1, 69 - 1, 7 - 1)), "1","0")</f>
        <v>1</v>
      </c>
      <c r="BD3526">
        <f ca="1" xml:space="preserve"> IF( AND( OFFSET($A$1, 3526 - 1, 54 - 1) = "1", OFFSET($A$1, 3526 - 1, 55 - 1) = "1" ), 1, IF( AND( OFFSET($A$1, 3526 - 1, 54 - 1) = "1", OFFSET($A$1, 3526 - 1, 55 - 1) = "0" ), 2, IF( AND( OFFSET($A$1, 3526 - 1, 54 - 1) = "0", OFFSET($A$1, 3526 - 1, 55 - 1) = "1" ), 3, 4 ) ) )</f>
        <v>1</v>
      </c>
    </row>
    <row r="3527" spans="53:56" x14ac:dyDescent="0.35">
      <c r="BA3527" s="3">
        <v>0.60563694108155486</v>
      </c>
      <c r="BB3527" s="3" t="str">
        <f>"0"</f>
        <v>0</v>
      </c>
      <c r="BC3527" t="str">
        <f ca="1">IF((OFFSET($A$1, 3527 - 1, 53 - 1)) &gt;= (OFFSET($A$1, 69 - 1, 7 - 1)), "1","0")</f>
        <v>1</v>
      </c>
      <c r="BD3527">
        <f ca="1" xml:space="preserve"> IF( AND( OFFSET($A$1, 3527 - 1, 54 - 1) = "1", OFFSET($A$1, 3527 - 1, 55 - 1) = "1" ), 1, IF( AND( OFFSET($A$1, 3527 - 1, 54 - 1) = "1", OFFSET($A$1, 3527 - 1, 55 - 1) = "0" ), 2, IF( AND( OFFSET($A$1, 3527 - 1, 54 - 1) = "0", OFFSET($A$1, 3527 - 1, 55 - 1) = "1" ), 3, 4 ) ) )</f>
        <v>3</v>
      </c>
    </row>
    <row r="3528" spans="53:56" x14ac:dyDescent="0.35">
      <c r="BA3528" s="3">
        <v>0.32930989294607305</v>
      </c>
      <c r="BB3528" s="3" t="str">
        <f>"0"</f>
        <v>0</v>
      </c>
      <c r="BC3528" t="str">
        <f ca="1">IF((OFFSET($A$1, 3528 - 1, 53 - 1)) &gt;= (OFFSET($A$1, 69 - 1, 7 - 1)), "1","0")</f>
        <v>0</v>
      </c>
      <c r="BD3528">
        <f ca="1" xml:space="preserve"> IF( AND( OFFSET($A$1, 3528 - 1, 54 - 1) = "1", OFFSET($A$1, 3528 - 1, 55 - 1) = "1" ), 1, IF( AND( OFFSET($A$1, 3528 - 1, 54 - 1) = "1", OFFSET($A$1, 3528 - 1, 55 - 1) = "0" ), 2, IF( AND( OFFSET($A$1, 3528 - 1, 54 - 1) = "0", OFFSET($A$1, 3528 - 1, 55 - 1) = "1" ), 3, 4 ) ) )</f>
        <v>4</v>
      </c>
    </row>
    <row r="3529" spans="53:56" x14ac:dyDescent="0.35">
      <c r="BA3529" s="3">
        <v>0.3288504311335223</v>
      </c>
      <c r="BB3529" s="3" t="str">
        <f>"0"</f>
        <v>0</v>
      </c>
      <c r="BC3529" t="str">
        <f ca="1">IF((OFFSET($A$1, 3529 - 1, 53 - 1)) &gt;= (OFFSET($A$1, 69 - 1, 7 - 1)), "1","0")</f>
        <v>0</v>
      </c>
      <c r="BD3529">
        <f ca="1" xml:space="preserve"> IF( AND( OFFSET($A$1, 3529 - 1, 54 - 1) = "1", OFFSET($A$1, 3529 - 1, 55 - 1) = "1" ), 1, IF( AND( OFFSET($A$1, 3529 - 1, 54 - 1) = "1", OFFSET($A$1, 3529 - 1, 55 - 1) = "0" ), 2, IF( AND( OFFSET($A$1, 3529 - 1, 54 - 1) = "0", OFFSET($A$1, 3529 - 1, 55 - 1) = "1" ), 3, 4 ) ) )</f>
        <v>4</v>
      </c>
    </row>
    <row r="3530" spans="53:56" x14ac:dyDescent="0.35">
      <c r="BA3530" s="3">
        <v>0.32836927815444783</v>
      </c>
      <c r="BB3530" s="3" t="str">
        <f>"1"</f>
        <v>1</v>
      </c>
      <c r="BC3530" t="str">
        <f ca="1">IF((OFFSET($A$1, 3530 - 1, 53 - 1)) &gt;= (OFFSET($A$1, 69 - 1, 7 - 1)), "1","0")</f>
        <v>0</v>
      </c>
      <c r="BD3530">
        <f ca="1" xml:space="preserve"> IF( AND( OFFSET($A$1, 3530 - 1, 54 - 1) = "1", OFFSET($A$1, 3530 - 1, 55 - 1) = "1" ), 1, IF( AND( OFFSET($A$1, 3530 - 1, 54 - 1) = "1", OFFSET($A$1, 3530 - 1, 55 - 1) = "0" ), 2, IF( AND( OFFSET($A$1, 3530 - 1, 54 - 1) = "0", OFFSET($A$1, 3530 - 1, 55 - 1) = "1" ), 3, 4 ) ) )</f>
        <v>2</v>
      </c>
    </row>
    <row r="3531" spans="53:56" x14ac:dyDescent="0.35">
      <c r="BA3531" s="3">
        <v>0.60359959666012464</v>
      </c>
      <c r="BB3531" s="3" t="str">
        <f>"0"</f>
        <v>0</v>
      </c>
      <c r="BC3531" t="str">
        <f ca="1">IF((OFFSET($A$1, 3531 - 1, 53 - 1)) &gt;= (OFFSET($A$1, 69 - 1, 7 - 1)), "1","0")</f>
        <v>1</v>
      </c>
      <c r="BD3531">
        <f ca="1" xml:space="preserve"> IF( AND( OFFSET($A$1, 3531 - 1, 54 - 1) = "1", OFFSET($A$1, 3531 - 1, 55 - 1) = "1" ), 1, IF( AND( OFFSET($A$1, 3531 - 1, 54 - 1) = "1", OFFSET($A$1, 3531 - 1, 55 - 1) = "0" ), 2, IF( AND( OFFSET($A$1, 3531 - 1, 54 - 1) = "0", OFFSET($A$1, 3531 - 1, 55 - 1) = "1" ), 3, 4 ) ) )</f>
        <v>3</v>
      </c>
    </row>
    <row r="3532" spans="53:56" x14ac:dyDescent="0.35">
      <c r="BA3532" s="3">
        <v>0.32734267659299038</v>
      </c>
      <c r="BB3532" s="3" t="str">
        <f>"1"</f>
        <v>1</v>
      </c>
      <c r="BC3532" t="str">
        <f ca="1">IF((OFFSET($A$1, 3532 - 1, 53 - 1)) &gt;= (OFFSET($A$1, 69 - 1, 7 - 1)), "1","0")</f>
        <v>0</v>
      </c>
      <c r="BD3532">
        <f ca="1" xml:space="preserve"> IF( AND( OFFSET($A$1, 3532 - 1, 54 - 1) = "1", OFFSET($A$1, 3532 - 1, 55 - 1) = "1" ), 1, IF( AND( OFFSET($A$1, 3532 - 1, 54 - 1) = "1", OFFSET($A$1, 3532 - 1, 55 - 1) = "0" ), 2, IF( AND( OFFSET($A$1, 3532 - 1, 54 - 1) = "0", OFFSET($A$1, 3532 - 1, 55 - 1) = "1" ), 3, 4 ) ) )</f>
        <v>2</v>
      </c>
    </row>
    <row r="3533" spans="53:56" x14ac:dyDescent="0.35">
      <c r="BA3533" s="3">
        <v>0.60243738668190006</v>
      </c>
      <c r="BB3533" s="3" t="str">
        <f>"0"</f>
        <v>0</v>
      </c>
      <c r="BC3533" t="str">
        <f ca="1">IF((OFFSET($A$1, 3533 - 1, 53 - 1)) &gt;= (OFFSET($A$1, 69 - 1, 7 - 1)), "1","0")</f>
        <v>1</v>
      </c>
      <c r="BD3533">
        <f ca="1" xml:space="preserve"> IF( AND( OFFSET($A$1, 3533 - 1, 54 - 1) = "1", OFFSET($A$1, 3533 - 1, 55 - 1) = "1" ), 1, IF( AND( OFFSET($A$1, 3533 - 1, 54 - 1) = "1", OFFSET($A$1, 3533 - 1, 55 - 1) = "0" ), 2, IF( AND( OFFSET($A$1, 3533 - 1, 54 - 1) = "0", OFFSET($A$1, 3533 - 1, 55 - 1) = "1" ), 3, 4 ) ) )</f>
        <v>3</v>
      </c>
    </row>
    <row r="3534" spans="53:56" x14ac:dyDescent="0.35">
      <c r="BA3534" s="3">
        <v>0.32623172814582613</v>
      </c>
      <c r="BB3534" s="3" t="str">
        <f>"0"</f>
        <v>0</v>
      </c>
      <c r="BC3534" t="str">
        <f ca="1">IF((OFFSET($A$1, 3534 - 1, 53 - 1)) &gt;= (OFFSET($A$1, 69 - 1, 7 - 1)), "1","0")</f>
        <v>0</v>
      </c>
      <c r="BD3534">
        <f ca="1" xml:space="preserve"> IF( AND( OFFSET($A$1, 3534 - 1, 54 - 1) = "1", OFFSET($A$1, 3534 - 1, 55 - 1) = "1" ), 1, IF( AND( OFFSET($A$1, 3534 - 1, 54 - 1) = "1", OFFSET($A$1, 3534 - 1, 55 - 1) = "0" ), 2, IF( AND( OFFSET($A$1, 3534 - 1, 54 - 1) = "0", OFFSET($A$1, 3534 - 1, 55 - 1) = "1" ), 3, 4 ) ) )</f>
        <v>4</v>
      </c>
    </row>
    <row r="3535" spans="53:56" x14ac:dyDescent="0.35">
      <c r="BA3535" s="3">
        <v>0.32564517254832676</v>
      </c>
      <c r="BB3535" s="3" t="str">
        <f>"1"</f>
        <v>1</v>
      </c>
      <c r="BC3535" t="str">
        <f ca="1">IF((OFFSET($A$1, 3535 - 1, 53 - 1)) &gt;= (OFFSET($A$1, 69 - 1, 7 - 1)), "1","0")</f>
        <v>0</v>
      </c>
      <c r="BD3535">
        <f ca="1" xml:space="preserve"> IF( AND( OFFSET($A$1, 3535 - 1, 54 - 1) = "1", OFFSET($A$1, 3535 - 1, 55 - 1) = "1" ), 1, IF( AND( OFFSET($A$1, 3535 - 1, 54 - 1) = "1", OFFSET($A$1, 3535 - 1, 55 - 1) = "0" ), 2, IF( AND( OFFSET($A$1, 3535 - 1, 54 - 1) = "0", OFFSET($A$1, 3535 - 1, 55 - 1) = "1" ), 3, 4 ) ) )</f>
        <v>2</v>
      </c>
    </row>
    <row r="3536" spans="53:56" x14ac:dyDescent="0.35">
      <c r="BA3536" s="3">
        <v>0.60051772766121203</v>
      </c>
      <c r="BB3536" s="3" t="str">
        <f>"1"</f>
        <v>1</v>
      </c>
      <c r="BC3536" t="str">
        <f ca="1">IF((OFFSET($A$1, 3536 - 1, 53 - 1)) &gt;= (OFFSET($A$1, 69 - 1, 7 - 1)), "1","0")</f>
        <v>1</v>
      </c>
      <c r="BD3536">
        <f ca="1" xml:space="preserve"> IF( AND( OFFSET($A$1, 3536 - 1, 54 - 1) = "1", OFFSET($A$1, 3536 - 1, 55 - 1) = "1" ), 1, IF( AND( OFFSET($A$1, 3536 - 1, 54 - 1) = "1", OFFSET($A$1, 3536 - 1, 55 - 1) = "0" ), 2, IF( AND( OFFSET($A$1, 3536 - 1, 54 - 1) = "0", OFFSET($A$1, 3536 - 1, 55 - 1) = "1" ), 3, 4 ) ) )</f>
        <v>1</v>
      </c>
    </row>
    <row r="3537" spans="53:56" x14ac:dyDescent="0.35">
      <c r="BA3537" s="3">
        <v>0.59983142595868255</v>
      </c>
      <c r="BB3537" s="3" t="str">
        <f>"0"</f>
        <v>0</v>
      </c>
      <c r="BC3537" t="str">
        <f ca="1">IF((OFFSET($A$1, 3537 - 1, 53 - 1)) &gt;= (OFFSET($A$1, 69 - 1, 7 - 1)), "1","0")</f>
        <v>1</v>
      </c>
      <c r="BD3537">
        <f ca="1" xml:space="preserve"> IF( AND( OFFSET($A$1, 3537 - 1, 54 - 1) = "1", OFFSET($A$1, 3537 - 1, 55 - 1) = "1" ), 1, IF( AND( OFFSET($A$1, 3537 - 1, 54 - 1) = "1", OFFSET($A$1, 3537 - 1, 55 - 1) = "0" ), 2, IF( AND( OFFSET($A$1, 3537 - 1, 54 - 1) = "0", OFFSET($A$1, 3537 - 1, 55 - 1) = "1" ), 3, 4 ) ) )</f>
        <v>3</v>
      </c>
    </row>
    <row r="3538" spans="53:56" x14ac:dyDescent="0.35">
      <c r="BA3538" s="3">
        <v>0.32376400755985507</v>
      </c>
      <c r="BB3538" s="3" t="str">
        <f>"1"</f>
        <v>1</v>
      </c>
      <c r="BC3538" t="str">
        <f ca="1">IF((OFFSET($A$1, 3538 - 1, 53 - 1)) &gt;= (OFFSET($A$1, 69 - 1, 7 - 1)), "1","0")</f>
        <v>0</v>
      </c>
      <c r="BD3538">
        <f ca="1" xml:space="preserve"> IF( AND( OFFSET($A$1, 3538 - 1, 54 - 1) = "1", OFFSET($A$1, 3538 - 1, 55 - 1) = "1" ), 1, IF( AND( OFFSET($A$1, 3538 - 1, 54 - 1) = "1", OFFSET($A$1, 3538 - 1, 55 - 1) = "0" ), 2, IF( AND( OFFSET($A$1, 3538 - 1, 54 - 1) = "0", OFFSET($A$1, 3538 - 1, 55 - 1) = "1" ), 3, 4 ) ) )</f>
        <v>2</v>
      </c>
    </row>
    <row r="3539" spans="53:56" x14ac:dyDescent="0.35">
      <c r="BA3539" s="3">
        <v>0.59839019004998795</v>
      </c>
      <c r="BB3539" s="3" t="str">
        <f>"1"</f>
        <v>1</v>
      </c>
      <c r="BC3539" t="str">
        <f ca="1">IF((OFFSET($A$1, 3539 - 1, 53 - 1)) &gt;= (OFFSET($A$1, 69 - 1, 7 - 1)), "1","0")</f>
        <v>1</v>
      </c>
      <c r="BD3539">
        <f ca="1" xml:space="preserve"> IF( AND( OFFSET($A$1, 3539 - 1, 54 - 1) = "1", OFFSET($A$1, 3539 - 1, 55 - 1) = "1" ), 1, IF( AND( OFFSET($A$1, 3539 - 1, 54 - 1) = "1", OFFSET($A$1, 3539 - 1, 55 - 1) = "0" ), 2, IF( AND( OFFSET($A$1, 3539 - 1, 54 - 1) = "0", OFFSET($A$1, 3539 - 1, 55 - 1) = "1" ), 3, 4 ) ) )</f>
        <v>1</v>
      </c>
    </row>
    <row r="3540" spans="53:56" x14ac:dyDescent="0.35">
      <c r="BA3540" s="3">
        <v>0.59763560838490082</v>
      </c>
      <c r="BB3540" s="3" t="str">
        <f>"1"</f>
        <v>1</v>
      </c>
      <c r="BC3540" t="str">
        <f ca="1">IF((OFFSET($A$1, 3540 - 1, 53 - 1)) &gt;= (OFFSET($A$1, 69 - 1, 7 - 1)), "1","0")</f>
        <v>1</v>
      </c>
      <c r="BD3540">
        <f ca="1" xml:space="preserve"> IF( AND( OFFSET($A$1, 3540 - 1, 54 - 1) = "1", OFFSET($A$1, 3540 - 1, 55 - 1) = "1" ), 1, IF( AND( OFFSET($A$1, 3540 - 1, 54 - 1) = "1", OFFSET($A$1, 3540 - 1, 55 - 1) = "0" ), 2, IF( AND( OFFSET($A$1, 3540 - 1, 54 - 1) = "0", OFFSET($A$1, 3540 - 1, 55 - 1) = "1" ), 3, 4 ) ) )</f>
        <v>1</v>
      </c>
    </row>
    <row r="3541" spans="53:56" x14ac:dyDescent="0.35">
      <c r="BA3541" s="3">
        <v>0.59685863000448514</v>
      </c>
      <c r="BB3541" s="3" t="str">
        <f>"0"</f>
        <v>0</v>
      </c>
      <c r="BC3541" t="str">
        <f ca="1">IF((OFFSET($A$1, 3541 - 1, 53 - 1)) &gt;= (OFFSET($A$1, 69 - 1, 7 - 1)), "1","0")</f>
        <v>1</v>
      </c>
      <c r="BD3541">
        <f ca="1" xml:space="preserve"> IF( AND( OFFSET($A$1, 3541 - 1, 54 - 1) = "1", OFFSET($A$1, 3541 - 1, 55 - 1) = "1" ), 1, IF( AND( OFFSET($A$1, 3541 - 1, 54 - 1) = "1", OFFSET($A$1, 3541 - 1, 55 - 1) = "0" ), 2, IF( AND( OFFSET($A$1, 3541 - 1, 54 - 1) = "0", OFFSET($A$1, 3541 - 1, 55 - 1) = "1" ), 3, 4 ) ) )</f>
        <v>3</v>
      </c>
    </row>
    <row r="3542" spans="53:56" x14ac:dyDescent="0.35">
      <c r="BA3542" s="3">
        <v>0.32098181302935103</v>
      </c>
      <c r="BB3542" s="3" t="str">
        <f>"0"</f>
        <v>0</v>
      </c>
      <c r="BC3542" t="str">
        <f ca="1">IF((OFFSET($A$1, 3542 - 1, 53 - 1)) &gt;= (OFFSET($A$1, 69 - 1, 7 - 1)), "1","0")</f>
        <v>0</v>
      </c>
      <c r="BD3542">
        <f ca="1" xml:space="preserve"> IF( AND( OFFSET($A$1, 3542 - 1, 54 - 1) = "1", OFFSET($A$1, 3542 - 1, 55 - 1) = "1" ), 1, IF( AND( OFFSET($A$1, 3542 - 1, 54 - 1) = "1", OFFSET($A$1, 3542 - 1, 55 - 1) = "0" ), 2, IF( AND( OFFSET($A$1, 3542 - 1, 54 - 1) = "0", OFFSET($A$1, 3542 - 1, 55 - 1) = "1" ), 3, 4 ) ) )</f>
        <v>4</v>
      </c>
    </row>
    <row r="3543" spans="53:56" x14ac:dyDescent="0.35">
      <c r="BA3543" s="3">
        <v>0.32023915278956383</v>
      </c>
      <c r="BB3543" s="3" t="str">
        <f>"0"</f>
        <v>0</v>
      </c>
      <c r="BC3543" t="str">
        <f ca="1">IF((OFFSET($A$1, 3543 - 1, 53 - 1)) &gt;= (OFFSET($A$1, 69 - 1, 7 - 1)), "1","0")</f>
        <v>0</v>
      </c>
      <c r="BD3543">
        <f ca="1" xml:space="preserve"> IF( AND( OFFSET($A$1, 3543 - 1, 54 - 1) = "1", OFFSET($A$1, 3543 - 1, 55 - 1) = "1" ), 1, IF( AND( OFFSET($A$1, 3543 - 1, 54 - 1) = "1", OFFSET($A$1, 3543 - 1, 55 - 1) = "0" ), 2, IF( AND( OFFSET($A$1, 3543 - 1, 54 - 1) = "0", OFFSET($A$1, 3543 - 1, 55 - 1) = "1" ), 3, 4 ) ) )</f>
        <v>4</v>
      </c>
    </row>
    <row r="3544" spans="53:56" x14ac:dyDescent="0.35">
      <c r="BA3544" s="3">
        <v>0.31947822402165327</v>
      </c>
      <c r="BB3544" s="3" t="str">
        <f>"0"</f>
        <v>0</v>
      </c>
      <c r="BC3544" t="str">
        <f ca="1">IF((OFFSET($A$1, 3544 - 1, 53 - 1)) &gt;= (OFFSET($A$1, 69 - 1, 7 - 1)), "1","0")</f>
        <v>0</v>
      </c>
      <c r="BD3544">
        <f ca="1" xml:space="preserve"> IF( AND( OFFSET($A$1, 3544 - 1, 54 - 1) = "1", OFFSET($A$1, 3544 - 1, 55 - 1) = "1" ), 1, IF( AND( OFFSET($A$1, 3544 - 1, 54 - 1) = "1", OFFSET($A$1, 3544 - 1, 55 - 1) = "0" ), 2, IF( AND( OFFSET($A$1, 3544 - 1, 54 - 1) = "0", OFFSET($A$1, 3544 - 1, 55 - 1) = "1" ), 3, 4 ) ) )</f>
        <v>4</v>
      </c>
    </row>
    <row r="3545" spans="53:56" x14ac:dyDescent="0.35">
      <c r="BA3545" s="3">
        <v>0.31869932685589908</v>
      </c>
      <c r="BB3545" s="3" t="str">
        <f>"0"</f>
        <v>0</v>
      </c>
      <c r="BC3545" t="str">
        <f ca="1">IF((OFFSET($A$1, 3545 - 1, 53 - 1)) &gt;= (OFFSET($A$1, 69 - 1, 7 - 1)), "1","0")</f>
        <v>0</v>
      </c>
      <c r="BD3545">
        <f ca="1" xml:space="preserve"> IF( AND( OFFSET($A$1, 3545 - 1, 54 - 1) = "1", OFFSET($A$1, 3545 - 1, 55 - 1) = "1" ), 1, IF( AND( OFFSET($A$1, 3545 - 1, 54 - 1) = "1", OFFSET($A$1, 3545 - 1, 55 - 1) = "0" ), 2, IF( AND( OFFSET($A$1, 3545 - 1, 54 - 1) = "0", OFFSET($A$1, 3545 - 1, 55 - 1) = "1" ), 3, 4 ) ) )</f>
        <v>4</v>
      </c>
    </row>
    <row r="3546" spans="53:56" x14ac:dyDescent="0.35">
      <c r="BA3546" s="3">
        <v>0.31790276806936268</v>
      </c>
      <c r="BB3546" s="3" t="str">
        <f>"0"</f>
        <v>0</v>
      </c>
      <c r="BC3546" t="str">
        <f ca="1">IF((OFFSET($A$1, 3546 - 1, 53 - 1)) &gt;= (OFFSET($A$1, 69 - 1, 7 - 1)), "1","0")</f>
        <v>0</v>
      </c>
      <c r="BD3546">
        <f ca="1" xml:space="preserve"> IF( AND( OFFSET($A$1, 3546 - 1, 54 - 1) = "1", OFFSET($A$1, 3546 - 1, 55 - 1) = "1" ), 1, IF( AND( OFFSET($A$1, 3546 - 1, 54 - 1) = "1", OFFSET($A$1, 3546 - 1, 55 - 1) = "0" ), 2, IF( AND( OFFSET($A$1, 3546 - 1, 54 - 1) = "0", OFFSET($A$1, 3546 - 1, 55 - 1) = "1" ), 3, 4 ) ) )</f>
        <v>4</v>
      </c>
    </row>
    <row r="3547" spans="53:56" x14ac:dyDescent="0.35">
      <c r="BA3547" s="3">
        <v>0.31708886092187455</v>
      </c>
      <c r="BB3547" s="3" t="str">
        <f>"0"</f>
        <v>0</v>
      </c>
      <c r="BC3547" t="str">
        <f ca="1">IF((OFFSET($A$1, 3547 - 1, 53 - 1)) &gt;= (OFFSET($A$1, 69 - 1, 7 - 1)), "1","0")</f>
        <v>0</v>
      </c>
      <c r="BD3547">
        <f ca="1" xml:space="preserve"> IF( AND( OFFSET($A$1, 3547 - 1, 54 - 1) = "1", OFFSET($A$1, 3547 - 1, 55 - 1) = "1" ), 1, IF( AND( OFFSET($A$1, 3547 - 1, 54 - 1) = "1", OFFSET($A$1, 3547 - 1, 55 - 1) = "0" ), 2, IF( AND( OFFSET($A$1, 3547 - 1, 54 - 1) = "0", OFFSET($A$1, 3547 - 1, 55 - 1) = "1" ), 3, 4 ) ) )</f>
        <v>4</v>
      </c>
    </row>
    <row r="3548" spans="53:56" x14ac:dyDescent="0.35">
      <c r="BA3548" s="3">
        <v>0.31625792498778899</v>
      </c>
      <c r="BB3548" s="3" t="str">
        <f>"0"</f>
        <v>0</v>
      </c>
      <c r="BC3548" t="str">
        <f ca="1">IF((OFFSET($A$1, 3548 - 1, 53 - 1)) &gt;= (OFFSET($A$1, 69 - 1, 7 - 1)), "1","0")</f>
        <v>0</v>
      </c>
      <c r="BD3548">
        <f ca="1" xml:space="preserve"> IF( AND( OFFSET($A$1, 3548 - 1, 54 - 1) = "1", OFFSET($A$1, 3548 - 1, 55 - 1) = "1" ), 1, IF( AND( OFFSET($A$1, 3548 - 1, 54 - 1) = "1", OFFSET($A$1, 3548 - 1, 55 - 1) = "0" ), 2, IF( AND( OFFSET($A$1, 3548 - 1, 54 - 1) = "0", OFFSET($A$1, 3548 - 1, 55 - 1) = "1" ), 3, 4 ) ) )</f>
        <v>4</v>
      </c>
    </row>
    <row r="3549" spans="53:56" x14ac:dyDescent="0.35">
      <c r="BA3549" s="3">
        <v>0.3154102859835905</v>
      </c>
      <c r="BB3549" s="3" t="str">
        <f>"1"</f>
        <v>1</v>
      </c>
      <c r="BC3549" t="str">
        <f ca="1">IF((OFFSET($A$1, 3549 - 1, 53 - 1)) &gt;= (OFFSET($A$1, 69 - 1, 7 - 1)), "1","0")</f>
        <v>0</v>
      </c>
      <c r="BD3549">
        <f ca="1" xml:space="preserve"> IF( AND( OFFSET($A$1, 3549 - 1, 54 - 1) = "1", OFFSET($A$1, 3549 - 1, 55 - 1) = "1" ), 1, IF( AND( OFFSET($A$1, 3549 - 1, 54 - 1) = "1", OFFSET($A$1, 3549 - 1, 55 - 1) = "0" ), 2, IF( AND( OFFSET($A$1, 3549 - 1, 54 - 1) = "0", OFFSET($A$1, 3549 - 1, 55 - 1) = "1" ), 3, 4 ) ) )</f>
        <v>2</v>
      </c>
    </row>
    <row r="3550" spans="53:56" x14ac:dyDescent="0.35">
      <c r="BA3550" s="3">
        <v>0.58889187824040268</v>
      </c>
      <c r="BB3550" s="3" t="str">
        <f>"0"</f>
        <v>0</v>
      </c>
      <c r="BC3550" t="str">
        <f ca="1">IF((OFFSET($A$1, 3550 - 1, 53 - 1)) &gt;= (OFFSET($A$1, 69 - 1, 7 - 1)), "1","0")</f>
        <v>1</v>
      </c>
      <c r="BD3550">
        <f ca="1" xml:space="preserve"> IF( AND( OFFSET($A$1, 3550 - 1, 54 - 1) = "1", OFFSET($A$1, 3550 - 1, 55 - 1) = "1" ), 1, IF( AND( OFFSET($A$1, 3550 - 1, 54 - 1) = "1", OFFSET($A$1, 3550 - 1, 55 - 1) = "0" ), 2, IF( AND( OFFSET($A$1, 3550 - 1, 54 - 1) = "0", OFFSET($A$1, 3550 - 1, 55 - 1) = "1" ), 3, 4 ) ) )</f>
        <v>3</v>
      </c>
    </row>
    <row r="3551" spans="53:56" x14ac:dyDescent="0.35">
      <c r="BA3551" s="3">
        <v>0.31366623127874516</v>
      </c>
      <c r="BB3551" s="3" t="str">
        <f>"1"</f>
        <v>1</v>
      </c>
      <c r="BC3551" t="str">
        <f ca="1">IF((OFFSET($A$1, 3551 - 1, 53 - 1)) &gt;= (OFFSET($A$1, 69 - 1, 7 - 1)), "1","0")</f>
        <v>0</v>
      </c>
      <c r="BD3551">
        <f ca="1" xml:space="preserve"> IF( AND( OFFSET($A$1, 3551 - 1, 54 - 1) = "1", OFFSET($A$1, 3551 - 1, 55 - 1) = "1" ), 1, IF( AND( OFFSET($A$1, 3551 - 1, 54 - 1) = "1", OFFSET($A$1, 3551 - 1, 55 - 1) = "0" ), 2, IF( AND( OFFSET($A$1, 3551 - 1, 54 - 1) = "0", OFFSET($A$1, 3551 - 1, 55 - 1) = "1" ), 3, 4 ) ) )</f>
        <v>2</v>
      </c>
    </row>
    <row r="3552" spans="53:56" x14ac:dyDescent="0.35">
      <c r="BA3552" s="3">
        <v>0.58689339554501552</v>
      </c>
      <c r="BB3552" s="3" t="str">
        <f>"0"</f>
        <v>0</v>
      </c>
      <c r="BC3552" t="str">
        <f ca="1">IF((OFFSET($A$1, 3552 - 1, 53 - 1)) &gt;= (OFFSET($A$1, 69 - 1, 7 - 1)), "1","0")</f>
        <v>1</v>
      </c>
      <c r="BD3552">
        <f ca="1" xml:space="preserve"> IF( AND( OFFSET($A$1, 3552 - 1, 54 - 1) = "1", OFFSET($A$1, 3552 - 1, 55 - 1) = "1" ), 1, IF( AND( OFFSET($A$1, 3552 - 1, 54 - 1) = "1", OFFSET($A$1, 3552 - 1, 55 - 1) = "0" ), 2, IF( AND( OFFSET($A$1, 3552 - 1, 54 - 1) = "0", OFFSET($A$1, 3552 - 1, 55 - 1) = "1" ), 3, 4 ) ) )</f>
        <v>3</v>
      </c>
    </row>
    <row r="3553" spans="53:56" x14ac:dyDescent="0.35">
      <c r="BA3553" s="3">
        <v>0.31185941857829202</v>
      </c>
      <c r="BB3553" s="3" t="str">
        <f>"1"</f>
        <v>1</v>
      </c>
      <c r="BC3553" t="str">
        <f ca="1">IF((OFFSET($A$1, 3553 - 1, 53 - 1)) &gt;= (OFFSET($A$1, 69 - 1, 7 - 1)), "1","0")</f>
        <v>0</v>
      </c>
      <c r="BD3553">
        <f ca="1" xml:space="preserve"> IF( AND( OFFSET($A$1, 3553 - 1, 54 - 1) = "1", OFFSET($A$1, 3553 - 1, 55 - 1) = "1" ), 1, IF( AND( OFFSET($A$1, 3553 - 1, 54 - 1) = "1", OFFSET($A$1, 3553 - 1, 55 - 1) = "0" ), 2, IF( AND( OFFSET($A$1, 3553 - 1, 54 - 1) = "0", OFFSET($A$1, 3553 - 1, 55 - 1) = "1" ), 3, 4 ) ) )</f>
        <v>2</v>
      </c>
    </row>
    <row r="3554" spans="53:56" x14ac:dyDescent="0.35">
      <c r="BA3554" s="3">
        <v>0.58481630398234352</v>
      </c>
      <c r="BB3554" s="3" t="str">
        <f>"0"</f>
        <v>0</v>
      </c>
      <c r="BC3554" t="str">
        <f ca="1">IF((OFFSET($A$1, 3554 - 1, 53 - 1)) &gt;= (OFFSET($A$1, 69 - 1, 7 - 1)), "1","0")</f>
        <v>1</v>
      </c>
      <c r="BD3554">
        <f ca="1" xml:space="preserve"> IF( AND( OFFSET($A$1, 3554 - 1, 54 - 1) = "1", OFFSET($A$1, 3554 - 1, 55 - 1) = "1" ), 1, IF( AND( OFFSET($A$1, 3554 - 1, 54 - 1) = "1", OFFSET($A$1, 3554 - 1, 55 - 1) = "0" ), 2, IF( AND( OFFSET($A$1, 3554 - 1, 54 - 1) = "0", OFFSET($A$1, 3554 - 1, 55 - 1) = "1" ), 3, 4 ) ) )</f>
        <v>3</v>
      </c>
    </row>
    <row r="3555" spans="53:56" x14ac:dyDescent="0.35">
      <c r="BA3555" s="3">
        <v>0.30999265623157035</v>
      </c>
      <c r="BB3555" s="3" t="str">
        <f>"1"</f>
        <v>1</v>
      </c>
      <c r="BC3555" t="str">
        <f ca="1">IF((OFFSET($A$1, 3555 - 1, 53 - 1)) &gt;= (OFFSET($A$1, 69 - 1, 7 - 1)), "1","0")</f>
        <v>0</v>
      </c>
      <c r="BD3555">
        <f ca="1" xml:space="preserve"> IF( AND( OFFSET($A$1, 3555 - 1, 54 - 1) = "1", OFFSET($A$1, 3555 - 1, 55 - 1) = "1" ), 1, IF( AND( OFFSET($A$1, 3555 - 1, 54 - 1) = "1", OFFSET($A$1, 3555 - 1, 55 - 1) = "0" ), 2, IF( AND( OFFSET($A$1, 3555 - 1, 54 - 1) = "0", OFFSET($A$1, 3555 - 1, 55 - 1) = "1" ), 3, 4 ) ) )</f>
        <v>2</v>
      </c>
    </row>
    <row r="3556" spans="53:56" x14ac:dyDescent="0.35">
      <c r="BA3556" s="3">
        <v>0.58266280315905405</v>
      </c>
      <c r="BB3556" s="3" t="str">
        <f>"1"</f>
        <v>1</v>
      </c>
      <c r="BC3556" t="str">
        <f ca="1">IF((OFFSET($A$1, 3556 - 1, 53 - 1)) &gt;= (OFFSET($A$1, 69 - 1, 7 - 1)), "1","0")</f>
        <v>1</v>
      </c>
      <c r="BD3556">
        <f ca="1" xml:space="preserve"> IF( AND( OFFSET($A$1, 3556 - 1, 54 - 1) = "1", OFFSET($A$1, 3556 - 1, 55 - 1) = "1" ), 1, IF( AND( OFFSET($A$1, 3556 - 1, 54 - 1) = "1", OFFSET($A$1, 3556 - 1, 55 - 1) = "0" ), 2, IF( AND( OFFSET($A$1, 3556 - 1, 54 - 1) = "0", OFFSET($A$1, 3556 - 1, 55 - 1) = "1" ), 3, 4 ) ) )</f>
        <v>1</v>
      </c>
    </row>
    <row r="3557" spans="53:56" x14ac:dyDescent="0.35">
      <c r="BA3557" s="3">
        <v>0.58155811563997017</v>
      </c>
      <c r="BB3557" s="3" t="str">
        <f>"1"</f>
        <v>1</v>
      </c>
      <c r="BC3557" t="str">
        <f ca="1">IF((OFFSET($A$1, 3557 - 1, 53 - 1)) &gt;= (OFFSET($A$1, 69 - 1, 7 - 1)), "1","0")</f>
        <v>1</v>
      </c>
      <c r="BD3557">
        <f ca="1" xml:space="preserve"> IF( AND( OFFSET($A$1, 3557 - 1, 54 - 1) = "1", OFFSET($A$1, 3557 - 1, 55 - 1) = "1" ), 1, IF( AND( OFFSET($A$1, 3557 - 1, 54 - 1) = "1", OFFSET($A$1, 3557 - 1, 55 - 1) = "0" ), 2, IF( AND( OFFSET($A$1, 3557 - 1, 54 - 1) = "0", OFFSET($A$1, 3557 - 1, 55 - 1) = "1" ), 3, 4 ) ) )</f>
        <v>1</v>
      </c>
    </row>
    <row r="3558" spans="53:56" x14ac:dyDescent="0.35">
      <c r="BA3558" s="3">
        <v>0.58043519864444171</v>
      </c>
      <c r="BB3558" s="3" t="str">
        <f>"1"</f>
        <v>1</v>
      </c>
      <c r="BC3558" t="str">
        <f ca="1">IF((OFFSET($A$1, 3558 - 1, 53 - 1)) &gt;= (OFFSET($A$1, 69 - 1, 7 - 1)), "1","0")</f>
        <v>1</v>
      </c>
      <c r="BD3558">
        <f ca="1" xml:space="preserve"> IF( AND( OFFSET($A$1, 3558 - 1, 54 - 1) = "1", OFFSET($A$1, 3558 - 1, 55 - 1) = "1" ), 1, IF( AND( OFFSET($A$1, 3558 - 1, 54 - 1) = "1", OFFSET($A$1, 3558 - 1, 55 - 1) = "0" ), 2, IF( AND( OFFSET($A$1, 3558 - 1, 54 - 1) = "0", OFFSET($A$1, 3558 - 1, 55 - 1) = "1" ), 3, 4 ) ) )</f>
        <v>1</v>
      </c>
    </row>
    <row r="3559" spans="53:56" x14ac:dyDescent="0.35">
      <c r="BA3559" s="3">
        <v>0.57929435682909858</v>
      </c>
      <c r="BB3559" s="3" t="str">
        <f>"1"</f>
        <v>1</v>
      </c>
      <c r="BC3559" t="str">
        <f ca="1">IF((OFFSET($A$1, 3559 - 1, 53 - 1)) &gt;= (OFFSET($A$1, 69 - 1, 7 - 1)), "1","0")</f>
        <v>1</v>
      </c>
      <c r="BD3559">
        <f ca="1" xml:space="preserve"> IF( AND( OFFSET($A$1, 3559 - 1, 54 - 1) = "1", OFFSET($A$1, 3559 - 1, 55 - 1) = "1" ), 1, IF( AND( OFFSET($A$1, 3559 - 1, 54 - 1) = "1", OFFSET($A$1, 3559 - 1, 55 - 1) = "0" ), 2, IF( AND( OFFSET($A$1, 3559 - 1, 54 - 1) = "0", OFFSET($A$1, 3559 - 1, 55 - 1) = "1" ), 3, 4 ) ) )</f>
        <v>1</v>
      </c>
    </row>
    <row r="3560" spans="53:56" x14ac:dyDescent="0.35">
      <c r="BA3560" s="3">
        <v>0.57813590138374427</v>
      </c>
      <c r="BB3560" s="3" t="str">
        <f>"1"</f>
        <v>1</v>
      </c>
      <c r="BC3560" t="str">
        <f ca="1">IF((OFFSET($A$1, 3560 - 1, 53 - 1)) &gt;= (OFFSET($A$1, 69 - 1, 7 - 1)), "1","0")</f>
        <v>1</v>
      </c>
      <c r="BD3560">
        <f ca="1" xml:space="preserve"> IF( AND( OFFSET($A$1, 3560 - 1, 54 - 1) = "1", OFFSET($A$1, 3560 - 1, 55 - 1) = "1" ), 1, IF( AND( OFFSET($A$1, 3560 - 1, 54 - 1) = "1", OFFSET($A$1, 3560 - 1, 55 - 1) = "0" ), 2, IF( AND( OFFSET($A$1, 3560 - 1, 54 - 1) = "0", OFFSET($A$1, 3560 - 1, 55 - 1) = "1" ), 3, 4 ) ) )</f>
        <v>1</v>
      </c>
    </row>
    <row r="3561" spans="53:56" x14ac:dyDescent="0.35">
      <c r="BA3561" s="3">
        <v>0.57696014999639811</v>
      </c>
      <c r="BB3561" s="3" t="str">
        <f>"0"</f>
        <v>0</v>
      </c>
      <c r="BC3561" t="str">
        <f ca="1">IF((OFFSET($A$1, 3561 - 1, 53 - 1)) &gt;= (OFFSET($A$1, 69 - 1, 7 - 1)), "1","0")</f>
        <v>1</v>
      </c>
      <c r="BD3561">
        <f ca="1" xml:space="preserve"> IF( AND( OFFSET($A$1, 3561 - 1, 54 - 1) = "1", OFFSET($A$1, 3561 - 1, 55 - 1) = "1" ), 1, IF( AND( OFFSET($A$1, 3561 - 1, 54 - 1) = "1", OFFSET($A$1, 3561 - 1, 55 - 1) = "0" ), 2, IF( AND( OFFSET($A$1, 3561 - 1, 54 - 1) = "0", OFFSET($A$1, 3561 - 1, 55 - 1) = "1" ), 3, 4 ) ) )</f>
        <v>3</v>
      </c>
    </row>
    <row r="3562" spans="53:56" x14ac:dyDescent="0.35">
      <c r="BA3562" s="3">
        <v>0.30302924051800334</v>
      </c>
      <c r="BB3562" s="3" t="str">
        <f>"0"</f>
        <v>0</v>
      </c>
      <c r="BC3562" t="str">
        <f ca="1">IF((OFFSET($A$1, 3562 - 1, 53 - 1)) &gt;= (OFFSET($A$1, 69 - 1, 7 - 1)), "1","0")</f>
        <v>0</v>
      </c>
      <c r="BD3562">
        <f ca="1" xml:space="preserve"> IF( AND( OFFSET($A$1, 3562 - 1, 54 - 1) = "1", OFFSET($A$1, 3562 - 1, 55 - 1) = "1" ), 1, IF( AND( OFFSET($A$1, 3562 - 1, 54 - 1) = "1", OFFSET($A$1, 3562 - 1, 55 - 1) = "0" ), 2, IF( AND( OFFSET($A$1, 3562 - 1, 54 - 1) = "0", OFFSET($A$1, 3562 - 1, 55 - 1) = "1" ), 3, 4 ) ) )</f>
        <v>4</v>
      </c>
    </row>
    <row r="3563" spans="53:56" x14ac:dyDescent="0.35">
      <c r="BA3563" s="3">
        <v>0.3019849553292771</v>
      </c>
      <c r="BB3563" s="3" t="str">
        <f>"0"</f>
        <v>0</v>
      </c>
      <c r="BC3563" t="str">
        <f ca="1">IF((OFFSET($A$1, 3563 - 1, 53 - 1)) &gt;= (OFFSET($A$1, 69 - 1, 7 - 1)), "1","0")</f>
        <v>0</v>
      </c>
      <c r="BD3563">
        <f ca="1" xml:space="preserve"> IF( AND( OFFSET($A$1, 3563 - 1, 54 - 1) = "1", OFFSET($A$1, 3563 - 1, 55 - 1) = "1" ), 1, IF( AND( OFFSET($A$1, 3563 - 1, 54 - 1) = "1", OFFSET($A$1, 3563 - 1, 55 - 1) = "0" ), 2, IF( AND( OFFSET($A$1, 3563 - 1, 54 - 1) = "0", OFFSET($A$1, 3563 - 1, 55 - 1) = "1" ), 3, 4 ) ) )</f>
        <v>4</v>
      </c>
    </row>
    <row r="3564" spans="53:56" x14ac:dyDescent="0.35">
      <c r="BA3564" s="3">
        <v>0.30092946120325637</v>
      </c>
      <c r="BB3564" s="3" t="str">
        <f>"0"</f>
        <v>0</v>
      </c>
      <c r="BC3564" t="str">
        <f ca="1">IF((OFFSET($A$1, 3564 - 1, 53 - 1)) &gt;= (OFFSET($A$1, 69 - 1, 7 - 1)), "1","0")</f>
        <v>0</v>
      </c>
      <c r="BD3564">
        <f ca="1" xml:space="preserve"> IF( AND( OFFSET($A$1, 3564 - 1, 54 - 1) = "1", OFFSET($A$1, 3564 - 1, 55 - 1) = "1" ), 1, IF( AND( OFFSET($A$1, 3564 - 1, 54 - 1) = "1", OFFSET($A$1, 3564 - 1, 55 - 1) = "0" ), 2, IF( AND( OFFSET($A$1, 3564 - 1, 54 - 1) = "0", OFFSET($A$1, 3564 - 1, 55 - 1) = "1" ), 3, 4 ) ) )</f>
        <v>4</v>
      </c>
    </row>
    <row r="3565" spans="53:56" x14ac:dyDescent="0.35">
      <c r="BA3565" s="3">
        <v>0.29986315573830014</v>
      </c>
      <c r="BB3565" s="3" t="str">
        <f>"0"</f>
        <v>0</v>
      </c>
      <c r="BC3565" t="str">
        <f ca="1">IF((OFFSET($A$1, 3565 - 1, 53 - 1)) &gt;= (OFFSET($A$1, 69 - 1, 7 - 1)), "1","0")</f>
        <v>0</v>
      </c>
      <c r="BD3565">
        <f ca="1" xml:space="preserve"> IF( AND( OFFSET($A$1, 3565 - 1, 54 - 1) = "1", OFFSET($A$1, 3565 - 1, 55 - 1) = "1" ), 1, IF( AND( OFFSET($A$1, 3565 - 1, 54 - 1) = "1", OFFSET($A$1, 3565 - 1, 55 - 1) = "0" ), 2, IF( AND( OFFSET($A$1, 3565 - 1, 54 - 1) = "0", OFFSET($A$1, 3565 - 1, 55 - 1) = "1" ), 3, 4 ) ) )</f>
        <v>4</v>
      </c>
    </row>
    <row r="3566" spans="53:56" x14ac:dyDescent="0.35">
      <c r="BA3566" s="3">
        <v>0.29878643922694953</v>
      </c>
      <c r="BB3566" s="3" t="str">
        <f>"0"</f>
        <v>0</v>
      </c>
      <c r="BC3566" t="str">
        <f ca="1">IF((OFFSET($A$1, 3566 - 1, 53 - 1)) &gt;= (OFFSET($A$1, 69 - 1, 7 - 1)), "1","0")</f>
        <v>0</v>
      </c>
      <c r="BD3566">
        <f ca="1" xml:space="preserve"> IF( AND( OFFSET($A$1, 3566 - 1, 54 - 1) = "1", OFFSET($A$1, 3566 - 1, 55 - 1) = "1" ), 1, IF( AND( OFFSET($A$1, 3566 - 1, 54 - 1) = "1", OFFSET($A$1, 3566 - 1, 55 - 1) = "0" ), 2, IF( AND( OFFSET($A$1, 3566 - 1, 54 - 1) = "0", OFFSET($A$1, 3566 - 1, 55 - 1) = "1" ), 3, 4 ) ) )</f>
        <v>4</v>
      </c>
    </row>
    <row r="3567" spans="53:56" x14ac:dyDescent="0.35">
      <c r="BA3567" s="3">
        <v>0.29769971443185289</v>
      </c>
      <c r="BB3567" s="3" t="str">
        <f>"1"</f>
        <v>1</v>
      </c>
      <c r="BC3567" t="str">
        <f ca="1">IF((OFFSET($A$1, 3567 - 1, 53 - 1)) &gt;= (OFFSET($A$1, 69 - 1, 7 - 1)), "1","0")</f>
        <v>0</v>
      </c>
      <c r="BD3567">
        <f ca="1" xml:space="preserve"> IF( AND( OFFSET($A$1, 3567 - 1, 54 - 1) = "1", OFFSET($A$1, 3567 - 1, 55 - 1) = "1" ), 1, IF( AND( OFFSET($A$1, 3567 - 1, 54 - 1) = "1", OFFSET($A$1, 3567 - 1, 55 - 1) = "0" ), 2, IF( AND( OFFSET($A$1, 3567 - 1, 54 - 1) = "0", OFFSET($A$1, 3567 - 1, 55 - 1) = "1" ), 3, 4 ) ) )</f>
        <v>2</v>
      </c>
    </row>
    <row r="3568" spans="53:56" x14ac:dyDescent="0.35">
      <c r="BA3568" s="3">
        <v>0.56827363336260728</v>
      </c>
      <c r="BB3568" s="3" t="str">
        <f>"1"</f>
        <v>1</v>
      </c>
      <c r="BC3568" t="str">
        <f ca="1">IF((OFFSET($A$1, 3568 - 1, 53 - 1)) &gt;= (OFFSET($A$1, 69 - 1, 7 - 1)), "1","0")</f>
        <v>1</v>
      </c>
      <c r="BD3568">
        <f ca="1" xml:space="preserve"> IF( AND( OFFSET($A$1, 3568 - 1, 54 - 1) = "1", OFFSET($A$1, 3568 - 1, 55 - 1) = "1" ), 1, IF( AND( OFFSET($A$1, 3568 - 1, 54 - 1) = "1", OFFSET($A$1, 3568 - 1, 55 - 1) = "0" ), 2, IF( AND( OFFSET($A$1, 3568 - 1, 54 - 1) = "0", OFFSET($A$1, 3568 - 1, 55 - 1) = "1" ), 3, 4 ) ) )</f>
        <v>1</v>
      </c>
    </row>
    <row r="3569" spans="53:56" x14ac:dyDescent="0.35">
      <c r="BA3569" s="3">
        <v>0.56697171530208768</v>
      </c>
      <c r="BB3569" s="3" t="str">
        <f>"1"</f>
        <v>1</v>
      </c>
      <c r="BC3569" t="str">
        <f ca="1">IF((OFFSET($A$1, 3569 - 1, 53 - 1)) &gt;= (OFFSET($A$1, 69 - 1, 7 - 1)), "1","0")</f>
        <v>1</v>
      </c>
      <c r="BD3569">
        <f ca="1" xml:space="preserve"> IF( AND( OFFSET($A$1, 3569 - 1, 54 - 1) = "1", OFFSET($A$1, 3569 - 1, 55 - 1) = "1" ), 1, IF( AND( OFFSET($A$1, 3569 - 1, 54 - 1) = "1", OFFSET($A$1, 3569 - 1, 55 - 1) = "0" ), 2, IF( AND( OFFSET($A$1, 3569 - 1, 54 - 1) = "0", OFFSET($A$1, 3569 - 1, 55 - 1) = "1" ), 3, 4 ) ) )</f>
        <v>1</v>
      </c>
    </row>
    <row r="3570" spans="53:56" x14ac:dyDescent="0.35">
      <c r="BA3570" s="3">
        <v>0.56565564452228778</v>
      </c>
      <c r="BB3570" s="3" t="str">
        <f>"0"</f>
        <v>0</v>
      </c>
      <c r="BC3570" t="str">
        <f ca="1">IF((OFFSET($A$1, 3570 - 1, 53 - 1)) &gt;= (OFFSET($A$1, 69 - 1, 7 - 1)), "1","0")</f>
        <v>1</v>
      </c>
      <c r="BD3570">
        <f ca="1" xml:space="preserve"> IF( AND( OFFSET($A$1, 3570 - 1, 54 - 1) = "1", OFFSET($A$1, 3570 - 1, 55 - 1) = "1" ), 1, IF( AND( OFFSET($A$1, 3570 - 1, 54 - 1) = "1", OFFSET($A$1, 3570 - 1, 55 - 1) = "0" ), 2, IF( AND( OFFSET($A$1, 3570 - 1, 54 - 1) = "0", OFFSET($A$1, 3570 - 1, 55 - 1) = "1" ), 3, 4 ) ) )</f>
        <v>3</v>
      </c>
    </row>
    <row r="3571" spans="53:56" x14ac:dyDescent="0.35">
      <c r="BA3571" s="3">
        <v>0.29326086148716557</v>
      </c>
      <c r="BB3571" s="3" t="str">
        <f>"0"</f>
        <v>0</v>
      </c>
      <c r="BC3571" t="str">
        <f ca="1">IF((OFFSET($A$1, 3571 - 1, 53 - 1)) &gt;= (OFFSET($A$1, 69 - 1, 7 - 1)), "1","0")</f>
        <v>0</v>
      </c>
      <c r="BD3571">
        <f ca="1" xml:space="preserve"> IF( AND( OFFSET($A$1, 3571 - 1, 54 - 1) = "1", OFFSET($A$1, 3571 - 1, 55 - 1) = "1" ), 1, IF( AND( OFFSET($A$1, 3571 - 1, 54 - 1) = "1", OFFSET($A$1, 3571 - 1, 55 - 1) = "0" ), 2, IF( AND( OFFSET($A$1, 3571 - 1, 54 - 1) = "0", OFFSET($A$1, 3571 - 1, 55 - 1) = "1" ), 3, 4 ) ) )</f>
        <v>4</v>
      </c>
    </row>
    <row r="3572" spans="53:56" x14ac:dyDescent="0.35">
      <c r="BA3572" s="3">
        <v>0.29213020736053741</v>
      </c>
      <c r="BB3572" s="3" t="str">
        <f>"0"</f>
        <v>0</v>
      </c>
      <c r="BC3572" t="str">
        <f ca="1">IF((OFFSET($A$1, 3572 - 1, 53 - 1)) &gt;= (OFFSET($A$1, 69 - 1, 7 - 1)), "1","0")</f>
        <v>0</v>
      </c>
      <c r="BD3572">
        <f ca="1" xml:space="preserve"> IF( AND( OFFSET($A$1, 3572 - 1, 54 - 1) = "1", OFFSET($A$1, 3572 - 1, 55 - 1) = "1" ), 1, IF( AND( OFFSET($A$1, 3572 - 1, 54 - 1) = "1", OFFSET($A$1, 3572 - 1, 55 - 1) = "0" ), 2, IF( AND( OFFSET($A$1, 3572 - 1, 54 - 1) = "0", OFFSET($A$1, 3572 - 1, 55 - 1) = "1" ), 3, 4 ) ) )</f>
        <v>4</v>
      </c>
    </row>
    <row r="3573" spans="53:56" x14ac:dyDescent="0.35">
      <c r="BA3573" s="3">
        <v>0.29099200073892645</v>
      </c>
      <c r="BB3573" s="3" t="str">
        <f>"1"</f>
        <v>1</v>
      </c>
      <c r="BC3573" t="str">
        <f ca="1">IF((OFFSET($A$1, 3573 - 1, 53 - 1)) &gt;= (OFFSET($A$1, 69 - 1, 7 - 1)), "1","0")</f>
        <v>0</v>
      </c>
      <c r="BD3573">
        <f ca="1" xml:space="preserve"> IF( AND( OFFSET($A$1, 3573 - 1, 54 - 1) = "1", OFFSET($A$1, 3573 - 1, 55 - 1) = "1" ), 1, IF( AND( OFFSET($A$1, 3573 - 1, 54 - 1) = "1", OFFSET($A$1, 3573 - 1, 55 - 1) = "0" ), 2, IF( AND( OFFSET($A$1, 3573 - 1, 54 - 1) = "0", OFFSET($A$1, 3573 - 1, 55 - 1) = "1" ), 3, 4 ) ) )</f>
        <v>2</v>
      </c>
    </row>
    <row r="3574" spans="53:56" x14ac:dyDescent="0.35">
      <c r="BA3574" s="3">
        <v>0.56025751124081924</v>
      </c>
      <c r="BB3574" s="3" t="str">
        <f>"1"</f>
        <v>1</v>
      </c>
      <c r="BC3574" t="str">
        <f ca="1">IF((OFFSET($A$1, 3574 - 1, 53 - 1)) &gt;= (OFFSET($A$1, 69 - 1, 7 - 1)), "1","0")</f>
        <v>1</v>
      </c>
      <c r="BD3574">
        <f ca="1" xml:space="preserve"> IF( AND( OFFSET($A$1, 3574 - 1, 54 - 1) = "1", OFFSET($A$1, 3574 - 1, 55 - 1) = "1" ), 1, IF( AND( OFFSET($A$1, 3574 - 1, 54 - 1) = "1", OFFSET($A$1, 3574 - 1, 55 - 1) = "0" ), 2, IF( AND( OFFSET($A$1, 3574 - 1, 54 - 1) = "0", OFFSET($A$1, 3574 - 1, 55 - 1) = "1" ), 3, 4 ) ) )</f>
        <v>1</v>
      </c>
    </row>
    <row r="3575" spans="53:56" x14ac:dyDescent="0.35">
      <c r="BA3575" s="3">
        <v>0.55887648386952771</v>
      </c>
      <c r="BB3575" s="3" t="str">
        <f>"1"</f>
        <v>1</v>
      </c>
      <c r="BC3575" t="str">
        <f ca="1">IF((OFFSET($A$1, 3575 - 1, 53 - 1)) &gt;= (OFFSET($A$1, 69 - 1, 7 - 1)), "1","0")</f>
        <v>1</v>
      </c>
      <c r="BD3575">
        <f ca="1" xml:space="preserve"> IF( AND( OFFSET($A$1, 3575 - 1, 54 - 1) = "1", OFFSET($A$1, 3575 - 1, 55 - 1) = "1" ), 1, IF( AND( OFFSET($A$1, 3575 - 1, 54 - 1) = "1", OFFSET($A$1, 3575 - 1, 55 - 1) = "0" ), 2, IF( AND( OFFSET($A$1, 3575 - 1, 54 - 1) = "0", OFFSET($A$1, 3575 - 1, 55 - 1) = "1" ), 3, 4 ) ) )</f>
        <v>1</v>
      </c>
    </row>
    <row r="3576" spans="53:56" x14ac:dyDescent="0.35">
      <c r="BA3576" s="3">
        <v>0.5574836653425207</v>
      </c>
      <c r="BB3576" s="3" t="str">
        <f>"1"</f>
        <v>1</v>
      </c>
      <c r="BC3576" t="str">
        <f ca="1">IF((OFFSET($A$1, 3576 - 1, 53 - 1)) &gt;= (OFFSET($A$1, 69 - 1, 7 - 1)), "1","0")</f>
        <v>1</v>
      </c>
      <c r="BD3576">
        <f ca="1" xml:space="preserve"> IF( AND( OFFSET($A$1, 3576 - 1, 54 - 1) = "1", OFFSET($A$1, 3576 - 1, 55 - 1) = "1" ), 1, IF( AND( OFFSET($A$1, 3576 - 1, 54 - 1) = "1", OFFSET($A$1, 3576 - 1, 55 - 1) = "0" ), 2, IF( AND( OFFSET($A$1, 3576 - 1, 54 - 1) = "0", OFFSET($A$1, 3576 - 1, 55 - 1) = "1" ), 3, 4 ) ) )</f>
        <v>1</v>
      </c>
    </row>
    <row r="3577" spans="53:56" x14ac:dyDescent="0.35">
      <c r="BA3577" s="3">
        <v>0.55607946808966424</v>
      </c>
      <c r="BB3577" s="3" t="str">
        <f>"1"</f>
        <v>1</v>
      </c>
      <c r="BC3577" t="str">
        <f ca="1">IF((OFFSET($A$1, 3577 - 1, 53 - 1)) &gt;= (OFFSET($A$1, 69 - 1, 7 - 1)), "1","0")</f>
        <v>1</v>
      </c>
      <c r="BD3577">
        <f ca="1" xml:space="preserve"> IF( AND( OFFSET($A$1, 3577 - 1, 54 - 1) = "1", OFFSET($A$1, 3577 - 1, 55 - 1) = "1" ), 1, IF( AND( OFFSET($A$1, 3577 - 1, 54 - 1) = "1", OFFSET($A$1, 3577 - 1, 55 - 1) = "0" ), 2, IF( AND( OFFSET($A$1, 3577 - 1, 54 - 1) = "0", OFFSET($A$1, 3577 - 1, 55 - 1) = "1" ), 3, 4 ) ) )</f>
        <v>1</v>
      </c>
    </row>
    <row r="3578" spans="53:56" x14ac:dyDescent="0.35">
      <c r="BA3578" s="3">
        <v>0.55466430958999668</v>
      </c>
      <c r="BB3578" s="3" t="str">
        <f>"1"</f>
        <v>1</v>
      </c>
      <c r="BC3578" t="str">
        <f ca="1">IF((OFFSET($A$1, 3578 - 1, 53 - 1)) &gt;= (OFFSET($A$1, 69 - 1, 7 - 1)), "1","0")</f>
        <v>1</v>
      </c>
      <c r="BD3578">
        <f ca="1" xml:space="preserve"> IF( AND( OFFSET($A$1, 3578 - 1, 54 - 1) = "1", OFFSET($A$1, 3578 - 1, 55 - 1) = "1" ), 1, IF( AND( OFFSET($A$1, 3578 - 1, 54 - 1) = "1", OFFSET($A$1, 3578 - 1, 55 - 1) = "0" ), 2, IF( AND( OFFSET($A$1, 3578 - 1, 54 - 1) = "0", OFFSET($A$1, 3578 - 1, 55 - 1) = "1" ), 3, 4 ) ) )</f>
        <v>1</v>
      </c>
    </row>
    <row r="3579" spans="53:56" x14ac:dyDescent="0.35">
      <c r="BA3579" s="3">
        <v>0.55323861223393822</v>
      </c>
      <c r="BB3579" s="3" t="str">
        <f>"0"</f>
        <v>0</v>
      </c>
      <c r="BC3579" t="str">
        <f ca="1">IF((OFFSET($A$1, 3579 - 1, 53 - 1)) &gt;= (OFFSET($A$1, 69 - 1, 7 - 1)), "1","0")</f>
        <v>1</v>
      </c>
      <c r="BD3579">
        <f ca="1" xml:space="preserve"> IF( AND( OFFSET($A$1, 3579 - 1, 54 - 1) = "1", OFFSET($A$1, 3579 - 1, 55 - 1) = "1" ), 1, IF( AND( OFFSET($A$1, 3579 - 1, 54 - 1) = "1", OFFSET($A$1, 3579 - 1, 55 - 1) = "0" ), 2, IF( AND( OFFSET($A$1, 3579 - 1, 54 - 1) = "0", OFFSET($A$1, 3579 - 1, 55 - 1) = "1" ), 3, 4 ) ) )</f>
        <v>3</v>
      </c>
    </row>
    <row r="3580" spans="53:56" x14ac:dyDescent="0.35">
      <c r="BA3580" s="3">
        <v>0.28284789107533959</v>
      </c>
      <c r="BB3580" s="3" t="str">
        <f>"0"</f>
        <v>0</v>
      </c>
      <c r="BC3580" t="str">
        <f ca="1">IF((OFFSET($A$1, 3580 - 1, 53 - 1)) &gt;= (OFFSET($A$1, 69 - 1, 7 - 1)), "1","0")</f>
        <v>0</v>
      </c>
      <c r="BD3580">
        <f ca="1" xml:space="preserve"> IF( AND( OFFSET($A$1, 3580 - 1, 54 - 1) = "1", OFFSET($A$1, 3580 - 1, 55 - 1) = "1" ), 1, IF( AND( OFFSET($A$1, 3580 - 1, 54 - 1) = "1", OFFSET($A$1, 3580 - 1, 55 - 1) = "0" ), 2, IF( AND( OFFSET($A$1, 3580 - 1, 54 - 1) = "0", OFFSET($A$1, 3580 - 1, 55 - 1) = "1" ), 3, 4 ) ) )</f>
        <v>4</v>
      </c>
    </row>
    <row r="3581" spans="53:56" x14ac:dyDescent="0.35">
      <c r="BA3581" s="3">
        <v>0.28166418517352276</v>
      </c>
      <c r="BB3581" s="3" t="str">
        <f>"0"</f>
        <v>0</v>
      </c>
      <c r="BC3581" t="str">
        <f ca="1">IF((OFFSET($A$1, 3581 - 1, 53 - 1)) &gt;= (OFFSET($A$1, 69 - 1, 7 - 1)), "1","0")</f>
        <v>0</v>
      </c>
      <c r="BD3581">
        <f ca="1" xml:space="preserve"> IF( AND( OFFSET($A$1, 3581 - 1, 54 - 1) = "1", OFFSET($A$1, 3581 - 1, 55 - 1) = "1" ), 1, IF( AND( OFFSET($A$1, 3581 - 1, 54 - 1) = "1", OFFSET($A$1, 3581 - 1, 55 - 1) = "0" ), 2, IF( AND( OFFSET($A$1, 3581 - 1, 54 - 1) = "0", OFFSET($A$1, 3581 - 1, 55 - 1) = "1" ), 3, 4 ) ) )</f>
        <v>4</v>
      </c>
    </row>
    <row r="3582" spans="53:56" x14ac:dyDescent="0.35">
      <c r="BA3582" s="3">
        <v>0.2804766550895974</v>
      </c>
      <c r="BB3582" s="3" t="str">
        <f>"0"</f>
        <v>0</v>
      </c>
      <c r="BC3582" t="str">
        <f ca="1">IF((OFFSET($A$1, 3582 - 1, 53 - 1)) &gt;= (OFFSET($A$1, 69 - 1, 7 - 1)), "1","0")</f>
        <v>0</v>
      </c>
      <c r="BD3582">
        <f ca="1" xml:space="preserve"> IF( AND( OFFSET($A$1, 3582 - 1, 54 - 1) = "1", OFFSET($A$1, 3582 - 1, 55 - 1) = "1" ), 1, IF( AND( OFFSET($A$1, 3582 - 1, 54 - 1) = "1", OFFSET($A$1, 3582 - 1, 55 - 1) = "0" ), 2, IF( AND( OFFSET($A$1, 3582 - 1, 54 - 1) = "0", OFFSET($A$1, 3582 - 1, 55 - 1) = "1" ), 3, 4 ) ) )</f>
        <v>4</v>
      </c>
    </row>
    <row r="3583" spans="53:56" x14ac:dyDescent="0.35">
      <c r="BA3583" s="3">
        <v>0.27928571245431649</v>
      </c>
      <c r="BB3583" s="3" t="str">
        <f>"0"</f>
        <v>0</v>
      </c>
      <c r="BC3583" t="str">
        <f ca="1">IF((OFFSET($A$1, 3583 - 1, 53 - 1)) &gt;= (OFFSET($A$1, 69 - 1, 7 - 1)), "1","0")</f>
        <v>0</v>
      </c>
      <c r="BD3583">
        <f ca="1" xml:space="preserve"> IF( AND( OFFSET($A$1, 3583 - 1, 54 - 1) = "1", OFFSET($A$1, 3583 - 1, 55 - 1) = "1" ), 1, IF( AND( OFFSET($A$1, 3583 - 1, 54 - 1) = "1", OFFSET($A$1, 3583 - 1, 55 - 1) = "0" ), 2, IF( AND( OFFSET($A$1, 3583 - 1, 54 - 1) = "0", OFFSET($A$1, 3583 - 1, 55 - 1) = "1" ), 3, 4 ) ) )</f>
        <v>4</v>
      </c>
    </row>
    <row r="3584" spans="53:56" x14ac:dyDescent="0.35">
      <c r="BA3584" s="3">
        <v>0.27809176758499271</v>
      </c>
      <c r="BB3584" s="3" t="str">
        <f>"0"</f>
        <v>0</v>
      </c>
      <c r="BC3584" t="str">
        <f ca="1">IF((OFFSET($A$1, 3584 - 1, 53 - 1)) &gt;= (OFFSET($A$1, 69 - 1, 7 - 1)), "1","0")</f>
        <v>0</v>
      </c>
      <c r="BD3584">
        <f ca="1" xml:space="preserve"> IF( AND( OFFSET($A$1, 3584 - 1, 54 - 1) = "1", OFFSET($A$1, 3584 - 1, 55 - 1) = "1" ), 1, IF( AND( OFFSET($A$1, 3584 - 1, 54 - 1) = "1", OFFSET($A$1, 3584 - 1, 55 - 1) = "0" ), 2, IF( AND( OFFSET($A$1, 3584 - 1, 54 - 1) = "0", OFFSET($A$1, 3584 - 1, 55 - 1) = "1" ), 3, 4 ) ) )</f>
        <v>4</v>
      </c>
    </row>
    <row r="3585" spans="53:56" x14ac:dyDescent="0.35">
      <c r="BA3585" s="3">
        <v>0.27689522927847315</v>
      </c>
      <c r="BB3585" s="3" t="str">
        <f>"0"</f>
        <v>0</v>
      </c>
      <c r="BC3585" t="str">
        <f ca="1">IF((OFFSET($A$1, 3585 - 1, 53 - 1)) &gt;= (OFFSET($A$1, 69 - 1, 7 - 1)), "1","0")</f>
        <v>0</v>
      </c>
      <c r="BD3585">
        <f ca="1" xml:space="preserve"> IF( AND( OFFSET($A$1, 3585 - 1, 54 - 1) = "1", OFFSET($A$1, 3585 - 1, 55 - 1) = "1" ), 1, IF( AND( OFFSET($A$1, 3585 - 1, 54 - 1) = "1", OFFSET($A$1, 3585 - 1, 55 - 1) = "0" ), 2, IF( AND( OFFSET($A$1, 3585 - 1, 54 - 1) = "0", OFFSET($A$1, 3585 - 1, 55 - 1) = "1" ), 3, 4 ) ) )</f>
        <v>4</v>
      </c>
    </row>
    <row r="3586" spans="53:56" x14ac:dyDescent="0.35">
      <c r="BA3586" s="3">
        <v>0.27569650460737805</v>
      </c>
      <c r="BB3586" s="3" t="str">
        <f>"0"</f>
        <v>0</v>
      </c>
      <c r="BC3586" t="str">
        <f ca="1">IF((OFFSET($A$1, 3586 - 1, 53 - 1)) &gt;= (OFFSET($A$1, 69 - 1, 7 - 1)), "1","0")</f>
        <v>0</v>
      </c>
      <c r="BD3586">
        <f ca="1" xml:space="preserve"> IF( AND( OFFSET($A$1, 3586 - 1, 54 - 1) = "1", OFFSET($A$1, 3586 - 1, 55 - 1) = "1" ), 1, IF( AND( OFFSET($A$1, 3586 - 1, 54 - 1) = "1", OFFSET($A$1, 3586 - 1, 55 - 1) = "0" ), 2, IF( AND( OFFSET($A$1, 3586 - 1, 54 - 1) = "0", OFFSET($A$1, 3586 - 1, 55 - 1) = "1" ), 3, 4 ) ) )</f>
        <v>4</v>
      </c>
    </row>
    <row r="3587" spans="53:56" x14ac:dyDescent="0.35">
      <c r="BA3587" s="3">
        <v>0.27449599871982794</v>
      </c>
      <c r="BB3587" s="3" t="str">
        <f>"0"</f>
        <v>0</v>
      </c>
      <c r="BC3587" t="str">
        <f ca="1">IF((OFFSET($A$1, 3587 - 1, 53 - 1)) &gt;= (OFFSET($A$1, 69 - 1, 7 - 1)), "1","0")</f>
        <v>0</v>
      </c>
      <c r="BD3587">
        <f ca="1" xml:space="preserve"> IF( AND( OFFSET($A$1, 3587 - 1, 54 - 1) = "1", OFFSET($A$1, 3587 - 1, 55 - 1) = "1" ), 1, IF( AND( OFFSET($A$1, 3587 - 1, 54 - 1) = "1", OFFSET($A$1, 3587 - 1, 55 - 1) = "0" ), 2, IF( AND( OFFSET($A$1, 3587 - 1, 54 - 1) = "0", OFFSET($A$1, 3587 - 1, 55 - 1) = "1" ), 3, 4 ) ) )</f>
        <v>4</v>
      </c>
    </row>
    <row r="3588" spans="53:56" x14ac:dyDescent="0.35">
      <c r="BA3588" s="3">
        <v>0.27329411464287695</v>
      </c>
      <c r="BB3588" s="3" t="str">
        <f>"0"</f>
        <v>0</v>
      </c>
      <c r="BC3588" t="str">
        <f ca="1">IF((OFFSET($A$1, 3588 - 1, 53 - 1)) &gt;= (OFFSET($A$1, 69 - 1, 7 - 1)), "1","0")</f>
        <v>0</v>
      </c>
      <c r="BD3588">
        <f ca="1" xml:space="preserve"> IF( AND( OFFSET($A$1, 3588 - 1, 54 - 1) = "1", OFFSET($A$1, 3588 - 1, 55 - 1) = "1" ), 1, IF( AND( OFFSET($A$1, 3588 - 1, 54 - 1) = "1", OFFSET($A$1, 3588 - 1, 55 - 1) = "0" ), 2, IF( AND( OFFSET($A$1, 3588 - 1, 54 - 1) = "0", OFFSET($A$1, 3588 - 1, 55 - 1) = "1" ), 3, 4 ) ) )</f>
        <v>4</v>
      </c>
    </row>
    <row r="3589" spans="53:56" x14ac:dyDescent="0.35">
      <c r="BA3589" s="3">
        <v>0.27209125308987381</v>
      </c>
      <c r="BB3589" s="3" t="str">
        <f>"0"</f>
        <v>0</v>
      </c>
      <c r="BC3589" t="str">
        <f ca="1">IF((OFFSET($A$1, 3589 - 1, 53 - 1)) &gt;= (OFFSET($A$1, 69 - 1, 7 - 1)), "1","0")</f>
        <v>0</v>
      </c>
      <c r="BD3589">
        <f ca="1" xml:space="preserve"> IF( AND( OFFSET($A$1, 3589 - 1, 54 - 1) = "1", OFFSET($A$1, 3589 - 1, 55 - 1) = "1" ), 1, IF( AND( OFFSET($A$1, 3589 - 1, 54 - 1) = "1", OFFSET($A$1, 3589 - 1, 55 - 1) = "0" ), 2, IF( AND( OFFSET($A$1, 3589 - 1, 54 - 1) = "0", OFFSET($A$1, 3589 - 1, 55 - 1) = "1" ), 3, 4 ) ) )</f>
        <v>4</v>
      </c>
    </row>
    <row r="3590" spans="53:56" x14ac:dyDescent="0.35">
      <c r="BA3590" s="3">
        <v>0.27088781227194803</v>
      </c>
      <c r="BB3590" s="3" t="str">
        <f>"0"</f>
        <v>0</v>
      </c>
      <c r="BC3590" t="str">
        <f ca="1">IF((OFFSET($A$1, 3590 - 1, 53 - 1)) &gt;= (OFFSET($A$1, 69 - 1, 7 - 1)), "1","0")</f>
        <v>0</v>
      </c>
      <c r="BD3590">
        <f ca="1" xml:space="preserve"> IF( AND( OFFSET($A$1, 3590 - 1, 54 - 1) = "1", OFFSET($A$1, 3590 - 1, 55 - 1) = "1" ), 1, IF( AND( OFFSET($A$1, 3590 - 1, 54 - 1) = "1", OFFSET($A$1, 3590 - 1, 55 - 1) = "0" ), 2, IF( AND( OFFSET($A$1, 3590 - 1, 54 - 1) = "0", OFFSET($A$1, 3590 - 1, 55 - 1) = "1" ), 3, 4 ) ) )</f>
        <v>4</v>
      </c>
    </row>
    <row r="3591" spans="53:56" x14ac:dyDescent="0.35">
      <c r="BA3591" s="3">
        <v>0.2696841877138304</v>
      </c>
      <c r="BB3591" s="3" t="str">
        <f>"1"</f>
        <v>1</v>
      </c>
      <c r="BC3591" t="str">
        <f ca="1">IF((OFFSET($A$1, 3591 - 1, 53 - 1)) &gt;= (OFFSET($A$1, 69 - 1, 7 - 1)), "1","0")</f>
        <v>0</v>
      </c>
      <c r="BD3591">
        <f ca="1" xml:space="preserve"> IF( AND( OFFSET($A$1, 3591 - 1, 54 - 1) = "1", OFFSET($A$1, 3591 - 1, 55 - 1) = "1" ), 1, IF( AND( OFFSET($A$1, 3591 - 1, 54 - 1) = "1", OFFSET($A$1, 3591 - 1, 55 - 1) = "0" ), 2, IF( AND( OFFSET($A$1, 3591 - 1, 54 - 1) = "0", OFFSET($A$1, 3591 - 1, 55 - 1) = "1" ), 3, 4 ) ) )</f>
        <v>2</v>
      </c>
    </row>
    <row r="3592" spans="53:56" x14ac:dyDescent="0.35">
      <c r="BA3592" s="3">
        <v>0.53394568239882001</v>
      </c>
      <c r="BB3592" s="3" t="str">
        <f>"1"</f>
        <v>1</v>
      </c>
      <c r="BC3592" t="str">
        <f ca="1">IF((OFFSET($A$1, 3592 - 1, 53 - 1)) &gt;= (OFFSET($A$1, 69 - 1, 7 - 1)), "1","0")</f>
        <v>1</v>
      </c>
      <c r="BD3592">
        <f ca="1" xml:space="preserve"> IF( AND( OFFSET($A$1, 3592 - 1, 54 - 1) = "1", OFFSET($A$1, 3592 - 1, 55 - 1) = "1" ), 1, IF( AND( OFFSET($A$1, 3592 - 1, 54 - 1) = "1", OFFSET($A$1, 3592 - 1, 55 - 1) = "0" ), 2, IF( AND( OFFSET($A$1, 3592 - 1, 54 - 1) = "0", OFFSET($A$1, 3592 - 1, 55 - 1) = "1" ), 3, 4 ) ) )</f>
        <v>1</v>
      </c>
    </row>
    <row r="3593" spans="53:56" x14ac:dyDescent="0.35">
      <c r="BA3593" s="3">
        <v>0.5324191679221626</v>
      </c>
      <c r="BB3593" s="3" t="str">
        <f>"1"</f>
        <v>1</v>
      </c>
      <c r="BC3593" t="str">
        <f ca="1">IF((OFFSET($A$1, 3593 - 1, 53 - 1)) &gt;= (OFFSET($A$1, 69 - 1, 7 - 1)), "1","0")</f>
        <v>1</v>
      </c>
      <c r="BD3593">
        <f ca="1" xml:space="preserve"> IF( AND( OFFSET($A$1, 3593 - 1, 54 - 1) = "1", OFFSET($A$1, 3593 - 1, 55 - 1) = "1" ), 1, IF( AND( OFFSET($A$1, 3593 - 1, 54 - 1) = "1", OFFSET($A$1, 3593 - 1, 55 - 1) = "0" ), 2, IF( AND( OFFSET($A$1, 3593 - 1, 54 - 1) = "0", OFFSET($A$1, 3593 - 1, 55 - 1) = "1" ), 3, 4 ) ) )</f>
        <v>1</v>
      </c>
    </row>
    <row r="3594" spans="53:56" x14ac:dyDescent="0.35">
      <c r="BA3594" s="3">
        <v>0.53088892975933732</v>
      </c>
      <c r="BB3594" s="3" t="str">
        <f>"0"</f>
        <v>0</v>
      </c>
      <c r="BC3594" t="str">
        <f ca="1">IF((OFFSET($A$1, 3594 - 1, 53 - 1)) &gt;= (OFFSET($A$1, 69 - 1, 7 - 1)), "1","0")</f>
        <v>1</v>
      </c>
      <c r="BD3594">
        <f ca="1" xml:space="preserve"> IF( AND( OFFSET($A$1, 3594 - 1, 54 - 1) = "1", OFFSET($A$1, 3594 - 1, 55 - 1) = "1" ), 1, IF( AND( OFFSET($A$1, 3594 - 1, 54 - 1) = "1", OFFSET($A$1, 3594 - 1, 55 - 1) = "0" ), 2, IF( AND( OFFSET($A$1, 3594 - 1, 54 - 1) = "0", OFFSET($A$1, 3594 - 1, 55 - 1) = "1" ), 3, 4 ) ) )</f>
        <v>3</v>
      </c>
    </row>
    <row r="3595" spans="53:56" x14ac:dyDescent="0.35">
      <c r="BA3595" s="3">
        <v>0.26487565862250662</v>
      </c>
      <c r="BB3595" s="3" t="str">
        <f>"1"</f>
        <v>1</v>
      </c>
      <c r="BC3595" t="str">
        <f ca="1">IF((OFFSET($A$1, 3595 - 1, 53 - 1)) &gt;= (OFFSET($A$1, 69 - 1, 7 - 1)), "1","0")</f>
        <v>0</v>
      </c>
      <c r="BD3595">
        <f ca="1" xml:space="preserve"> IF( AND( OFFSET($A$1, 3595 - 1, 54 - 1) = "1", OFFSET($A$1, 3595 - 1, 55 - 1) = "1" ), 1, IF( AND( OFFSET($A$1, 3595 - 1, 54 - 1) = "1", OFFSET($A$1, 3595 - 1, 55 - 1) = "0" ), 2, IF( AND( OFFSET($A$1, 3595 - 1, 54 - 1) = "0", OFFSET($A$1, 3595 - 1, 55 - 1) = "1" ), 3, 4 ) ) )</f>
        <v>2</v>
      </c>
    </row>
    <row r="3596" spans="53:56" x14ac:dyDescent="0.35">
      <c r="BA3596" s="3">
        <v>0.52781919615107808</v>
      </c>
      <c r="BB3596" s="3" t="str">
        <f>"0"</f>
        <v>0</v>
      </c>
      <c r="BC3596" t="str">
        <f ca="1">IF((OFFSET($A$1, 3596 - 1, 53 - 1)) &gt;= (OFFSET($A$1, 69 - 1, 7 - 1)), "1","0")</f>
        <v>1</v>
      </c>
      <c r="BD3596">
        <f ca="1" xml:space="preserve"> IF( AND( OFFSET($A$1, 3596 - 1, 54 - 1) = "1", OFFSET($A$1, 3596 - 1, 55 - 1) = "1" ), 1, IF( AND( OFFSET($A$1, 3596 - 1, 54 - 1) = "1", OFFSET($A$1, 3596 - 1, 55 - 1) = "0" ), 2, IF( AND( OFFSET($A$1, 3596 - 1, 54 - 1) = "0", OFFSET($A$1, 3596 - 1, 55 - 1) = "1" ), 3, 4 ) ) )</f>
        <v>3</v>
      </c>
    </row>
    <row r="3597" spans="53:56" x14ac:dyDescent="0.35">
      <c r="BA3597" s="3">
        <v>0.26248034845545443</v>
      </c>
      <c r="BB3597" s="3" t="str">
        <f>"0"</f>
        <v>0</v>
      </c>
      <c r="BC3597" t="str">
        <f ca="1">IF((OFFSET($A$1, 3597 - 1, 53 - 1)) &gt;= (OFFSET($A$1, 69 - 1, 7 - 1)), "1","0")</f>
        <v>0</v>
      </c>
      <c r="BD3597">
        <f ca="1" xml:space="preserve"> IF( AND( OFFSET($A$1, 3597 - 1, 54 - 1) = "1", OFFSET($A$1, 3597 - 1, 55 - 1) = "1" ), 1, IF( AND( OFFSET($A$1, 3597 - 1, 54 - 1) = "1", OFFSET($A$1, 3597 - 1, 55 - 1) = "0" ), 2, IF( AND( OFFSET($A$1, 3597 - 1, 54 - 1) = "0", OFFSET($A$1, 3597 - 1, 55 - 1) = "1" ), 3, 4 ) ) )</f>
        <v>4</v>
      </c>
    </row>
    <row r="3598" spans="53:56" x14ac:dyDescent="0.35">
      <c r="BA3598" s="3">
        <v>0.26128625024509883</v>
      </c>
      <c r="BB3598" s="3" t="str">
        <f>"0"</f>
        <v>0</v>
      </c>
      <c r="BC3598" t="str">
        <f ca="1">IF((OFFSET($A$1, 3598 - 1, 53 - 1)) &gt;= (OFFSET($A$1, 69 - 1, 7 - 1)), "1","0")</f>
        <v>0</v>
      </c>
      <c r="BD3598">
        <f ca="1" xml:space="preserve"> IF( AND( OFFSET($A$1, 3598 - 1, 54 - 1) = "1", OFFSET($A$1, 3598 - 1, 55 - 1) = "1" ), 1, IF( AND( OFFSET($A$1, 3598 - 1, 54 - 1) = "1", OFFSET($A$1, 3598 - 1, 55 - 1) = "0" ), 2, IF( AND( OFFSET($A$1, 3598 - 1, 54 - 1) = "0", OFFSET($A$1, 3598 - 1, 55 - 1) = "1" ), 3, 4 ) ) )</f>
        <v>4</v>
      </c>
    </row>
    <row r="3599" spans="53:56" x14ac:dyDescent="0.35">
      <c r="BA3599" s="3">
        <v>0.26009501525414591</v>
      </c>
      <c r="BB3599" s="3" t="str">
        <f>"0"</f>
        <v>0</v>
      </c>
      <c r="BC3599" t="str">
        <f ca="1">IF((OFFSET($A$1, 3599 - 1, 53 - 1)) &gt;= (OFFSET($A$1, 69 - 1, 7 - 1)), "1","0")</f>
        <v>0</v>
      </c>
      <c r="BD3599">
        <f ca="1" xml:space="preserve"> IF( AND( OFFSET($A$1, 3599 - 1, 54 - 1) = "1", OFFSET($A$1, 3599 - 1, 55 - 1) = "1" ), 1, IF( AND( OFFSET($A$1, 3599 - 1, 54 - 1) = "1", OFFSET($A$1, 3599 - 1, 55 - 1) = "0" ), 2, IF( AND( OFFSET($A$1, 3599 - 1, 54 - 1) = "0", OFFSET($A$1, 3599 - 1, 55 - 1) = "1" ), 3, 4 ) ) )</f>
        <v>4</v>
      </c>
    </row>
    <row r="3600" spans="53:56" x14ac:dyDescent="0.35">
      <c r="BA3600" s="3">
        <v>0.258907007344642</v>
      </c>
      <c r="BB3600" s="3" t="str">
        <f>"0"</f>
        <v>0</v>
      </c>
      <c r="BC3600" t="str">
        <f ca="1">IF((OFFSET($A$1, 3600 - 1, 53 - 1)) &gt;= (OFFSET($A$1, 69 - 1, 7 - 1)), "1","0")</f>
        <v>0</v>
      </c>
      <c r="BD3600">
        <f ca="1" xml:space="preserve"> IF( AND( OFFSET($A$1, 3600 - 1, 54 - 1) = "1", OFFSET($A$1, 3600 - 1, 55 - 1) = "1" ), 1, IF( AND( OFFSET($A$1, 3600 - 1, 54 - 1) = "1", OFFSET($A$1, 3600 - 1, 55 - 1) = "0" ), 2, IF( AND( OFFSET($A$1, 3600 - 1, 54 - 1) = "0", OFFSET($A$1, 3600 - 1, 55 - 1) = "1" ), 3, 4 ) ) )</f>
        <v>4</v>
      </c>
    </row>
    <row r="3601" spans="53:56" x14ac:dyDescent="0.35">
      <c r="BA3601" s="3">
        <v>0.25772258612660914</v>
      </c>
      <c r="BB3601" s="3" t="str">
        <f>"0"</f>
        <v>0</v>
      </c>
      <c r="BC3601" t="str">
        <f ca="1">IF((OFFSET($A$1, 3601 - 1, 53 - 1)) &gt;= (OFFSET($A$1, 69 - 1, 7 - 1)), "1","0")</f>
        <v>0</v>
      </c>
      <c r="BD3601">
        <f ca="1" xml:space="preserve"> IF( AND( OFFSET($A$1, 3601 - 1, 54 - 1) = "1", OFFSET($A$1, 3601 - 1, 55 - 1) = "1" ), 1, IF( AND( OFFSET($A$1, 3601 - 1, 54 - 1) = "1", OFFSET($A$1, 3601 - 1, 55 - 1) = "0" ), 2, IF( AND( OFFSET($A$1, 3601 - 1, 54 - 1) = "0", OFFSET($A$1, 3601 - 1, 55 - 1) = "1" ), 3, 4 ) ) )</f>
        <v>4</v>
      </c>
    </row>
    <row r="3602" spans="53:56" x14ac:dyDescent="0.35">
      <c r="BA3602" s="3">
        <v>0.25654210683221568</v>
      </c>
      <c r="BB3602" s="3" t="str">
        <f>"0"</f>
        <v>0</v>
      </c>
      <c r="BC3602" t="str">
        <f ca="1">IF((OFFSET($A$1, 3602 - 1, 53 - 1)) &gt;= (OFFSET($A$1, 69 - 1, 7 - 1)), "1","0")</f>
        <v>0</v>
      </c>
      <c r="BD3602">
        <f ca="1" xml:space="preserve"> IF( AND( OFFSET($A$1, 3602 - 1, 54 - 1) = "1", OFFSET($A$1, 3602 - 1, 55 - 1) = "1" ), 1, IF( AND( OFFSET($A$1, 3602 - 1, 54 - 1) = "1", OFFSET($A$1, 3602 - 1, 55 - 1) = "0" ), 2, IF( AND( OFFSET($A$1, 3602 - 1, 54 - 1) = "0", OFFSET($A$1, 3602 - 1, 55 - 1) = "1" ), 3, 4 ) ) )</f>
        <v>4</v>
      </c>
    </row>
    <row r="3603" spans="53:56" x14ac:dyDescent="0.35">
      <c r="BA3603" s="3">
        <v>0.25536592019596543</v>
      </c>
      <c r="BB3603" s="3" t="str">
        <f>"0"</f>
        <v>0</v>
      </c>
      <c r="BC3603" t="str">
        <f ca="1">IF((OFFSET($A$1, 3603 - 1, 53 - 1)) &gt;= (OFFSET($A$1, 69 - 1, 7 - 1)), "1","0")</f>
        <v>0</v>
      </c>
      <c r="BD3603">
        <f ca="1" xml:space="preserve"> IF( AND( OFFSET($A$1, 3603 - 1, 54 - 1) = "1", OFFSET($A$1, 3603 - 1, 55 - 1) = "1" ), 1, IF( AND( OFFSET($A$1, 3603 - 1, 54 - 1) = "1", OFFSET($A$1, 3603 - 1, 55 - 1) = "0" ), 2, IF( AND( OFFSET($A$1, 3603 - 1, 54 - 1) = "0", OFFSET($A$1, 3603 - 1, 55 - 1) = "1" ), 3, 4 ) ) )</f>
        <v>4</v>
      </c>
    </row>
    <row r="3604" spans="53:56" x14ac:dyDescent="0.35">
      <c r="BA3604" s="3">
        <v>0.25419437234097847</v>
      </c>
      <c r="BB3604" s="3" t="str">
        <f>"0"</f>
        <v>0</v>
      </c>
      <c r="BC3604" t="str">
        <f ca="1">IF((OFFSET($A$1, 3604 - 1, 53 - 1)) &gt;= (OFFSET($A$1, 69 - 1, 7 - 1)), "1","0")</f>
        <v>0</v>
      </c>
      <c r="BD3604">
        <f ca="1" xml:space="preserve"> IF( AND( OFFSET($A$1, 3604 - 1, 54 - 1) = "1", OFFSET($A$1, 3604 - 1, 55 - 1) = "1" ), 1, IF( AND( OFFSET($A$1, 3604 - 1, 54 - 1) = "1", OFFSET($A$1, 3604 - 1, 55 - 1) = "0" ), 2, IF( AND( OFFSET($A$1, 3604 - 1, 54 - 1) = "0", OFFSET($A$1, 3604 - 1, 55 - 1) = "1" ), 3, 4 ) ) )</f>
        <v>4</v>
      </c>
    </row>
    <row r="3605" spans="53:56" x14ac:dyDescent="0.35">
      <c r="BA3605" s="3">
        <v>0.253027804671421</v>
      </c>
      <c r="BB3605" s="3" t="str">
        <f>"0"</f>
        <v>0</v>
      </c>
      <c r="BC3605" t="str">
        <f ca="1">IF((OFFSET($A$1, 3605 - 1, 53 - 1)) &gt;= (OFFSET($A$1, 69 - 1, 7 - 1)), "1","0")</f>
        <v>0</v>
      </c>
      <c r="BD3605">
        <f ca="1" xml:space="preserve"> IF( AND( OFFSET($A$1, 3605 - 1, 54 - 1) = "1", OFFSET($A$1, 3605 - 1, 55 - 1) = "1" ), 1, IF( AND( OFFSET($A$1, 3605 - 1, 54 - 1) = "1", OFFSET($A$1, 3605 - 1, 55 - 1) = "0" ), 2, IF( AND( OFFSET($A$1, 3605 - 1, 54 - 1) = "0", OFFSET($A$1, 3605 - 1, 55 - 1) = "1" ), 3, 4 ) ) )</f>
        <v>4</v>
      </c>
    </row>
    <row r="3606" spans="53:56" x14ac:dyDescent="0.35">
      <c r="BA3606" s="3">
        <v>0.25186655377114098</v>
      </c>
      <c r="BB3606" s="3" t="str">
        <f>"0"</f>
        <v>0</v>
      </c>
      <c r="BC3606" t="str">
        <f ca="1">IF((OFFSET($A$1, 3606 - 1, 53 - 1)) &gt;= (OFFSET($A$1, 69 - 1, 7 - 1)), "1","0")</f>
        <v>0</v>
      </c>
      <c r="BD3606">
        <f ca="1" xml:space="preserve"> IF( AND( OFFSET($A$1, 3606 - 1, 54 - 1) = "1", OFFSET($A$1, 3606 - 1, 55 - 1) = "1" ), 1, IF( AND( OFFSET($A$1, 3606 - 1, 54 - 1) = "1", OFFSET($A$1, 3606 - 1, 55 - 1) = "0" ), 2, IF( AND( OFFSET($A$1, 3606 - 1, 54 - 1) = "0", OFFSET($A$1, 3606 - 1, 55 - 1) = "1" ), 3, 4 ) ) )</f>
        <v>4</v>
      </c>
    </row>
    <row r="3607" spans="53:56" x14ac:dyDescent="0.35">
      <c r="BA3607" s="3">
        <v>0.25071095130853754</v>
      </c>
      <c r="BB3607" s="3" t="str">
        <f>"0"</f>
        <v>0</v>
      </c>
      <c r="BC3607" t="str">
        <f ca="1">IF((OFFSET($A$1, 3607 - 1, 53 - 1)) &gt;= (OFFSET($A$1, 69 - 1, 7 - 1)), "1","0")</f>
        <v>0</v>
      </c>
      <c r="BD3607">
        <f ca="1" xml:space="preserve"> IF( AND( OFFSET($A$1, 3607 - 1, 54 - 1) = "1", OFFSET($A$1, 3607 - 1, 55 - 1) = "1" ), 1, IF( AND( OFFSET($A$1, 3607 - 1, 54 - 1) = "1", OFFSET($A$1, 3607 - 1, 55 - 1) = "0" ), 2, IF( AND( OFFSET($A$1, 3607 - 1, 54 - 1) = "0", OFFSET($A$1, 3607 - 1, 55 - 1) = "1" ), 3, 4 ) ) )</f>
        <v>4</v>
      </c>
    </row>
    <row r="3608" spans="53:56" x14ac:dyDescent="0.35">
      <c r="BA3608" s="3">
        <v>0.24956132394769856</v>
      </c>
      <c r="BB3608" s="3" t="str">
        <f>"0"</f>
        <v>0</v>
      </c>
      <c r="BC3608" t="str">
        <f ca="1">IF((OFFSET($A$1, 3608 - 1, 53 - 1)) &gt;= (OFFSET($A$1, 69 - 1, 7 - 1)), "1","0")</f>
        <v>0</v>
      </c>
      <c r="BD3608">
        <f ca="1" xml:space="preserve"> IF( AND( OFFSET($A$1, 3608 - 1, 54 - 1) = "1", OFFSET($A$1, 3608 - 1, 55 - 1) = "1" ), 1, IF( AND( OFFSET($A$1, 3608 - 1, 54 - 1) = "1", OFFSET($A$1, 3608 - 1, 55 - 1) = "0" ), 2, IF( AND( OFFSET($A$1, 3608 - 1, 54 - 1) = "0", OFFSET($A$1, 3608 - 1, 55 - 1) = "1" ), 3, 4 ) ) )</f>
        <v>4</v>
      </c>
    </row>
    <row r="3609" spans="53:56" x14ac:dyDescent="0.35">
      <c r="BA3609" s="3">
        <v>0.24841799326581798</v>
      </c>
      <c r="BB3609" s="3" t="str">
        <f>"0"</f>
        <v>0</v>
      </c>
      <c r="BC3609" t="str">
        <f ca="1">IF((OFFSET($A$1, 3609 - 1, 53 - 1)) &gt;= (OFFSET($A$1, 69 - 1, 7 - 1)), "1","0")</f>
        <v>0</v>
      </c>
      <c r="BD3609">
        <f ca="1" xml:space="preserve"> IF( AND( OFFSET($A$1, 3609 - 1, 54 - 1) = "1", OFFSET($A$1, 3609 - 1, 55 - 1) = "1" ), 1, IF( AND( OFFSET($A$1, 3609 - 1, 54 - 1) = "1", OFFSET($A$1, 3609 - 1, 55 - 1) = "0" ), 2, IF( AND( OFFSET($A$1, 3609 - 1, 54 - 1) = "0", OFFSET($A$1, 3609 - 1, 55 - 1) = "1" ), 3, 4 ) ) )</f>
        <v>4</v>
      </c>
    </row>
    <row r="3610" spans="53:56" x14ac:dyDescent="0.35">
      <c r="BA3610" s="3">
        <v>0.24728127567689534</v>
      </c>
      <c r="BB3610" s="3" t="str">
        <f>"0"</f>
        <v>0</v>
      </c>
      <c r="BC3610" t="str">
        <f ca="1">IF((OFFSET($A$1, 3610 - 1, 53 - 1)) &gt;= (OFFSET($A$1, 69 - 1, 7 - 1)), "1","0")</f>
        <v>0</v>
      </c>
      <c r="BD3610">
        <f ca="1" xml:space="preserve"> IF( AND( OFFSET($A$1, 3610 - 1, 54 - 1) = "1", OFFSET($A$1, 3610 - 1, 55 - 1) = "1" ), 1, IF( AND( OFFSET($A$1, 3610 - 1, 54 - 1) = "1", OFFSET($A$1, 3610 - 1, 55 - 1) = "0" ), 2, IF( AND( OFFSET($A$1, 3610 - 1, 54 - 1) = "0", OFFSET($A$1, 3610 - 1, 55 - 1) = "1" ), 3, 4 ) ) )</f>
        <v>4</v>
      </c>
    </row>
    <row r="3611" spans="53:56" x14ac:dyDescent="0.35">
      <c r="BA3611" s="3">
        <v>0.24615148236171694</v>
      </c>
      <c r="BB3611" s="3" t="str">
        <f>"0"</f>
        <v>0</v>
      </c>
      <c r="BC3611" t="str">
        <f ca="1">IF((OFFSET($A$1, 3611 - 1, 53 - 1)) &gt;= (OFFSET($A$1, 69 - 1, 7 - 1)), "1","0")</f>
        <v>0</v>
      </c>
      <c r="BD3611">
        <f ca="1" xml:space="preserve"> IF( AND( OFFSET($A$1, 3611 - 1, 54 - 1) = "1", OFFSET($A$1, 3611 - 1, 55 - 1) = "1" ), 1, IF( AND( OFFSET($A$1, 3611 - 1, 54 - 1) = "1", OFFSET($A$1, 3611 - 1, 55 - 1) = "0" ), 2, IF( AND( OFFSET($A$1, 3611 - 1, 54 - 1) = "0", OFFSET($A$1, 3611 - 1, 55 - 1) = "1" ), 3, 4 ) ) )</f>
        <v>4</v>
      </c>
    </row>
    <row r="3612" spans="53:56" x14ac:dyDescent="0.35">
      <c r="BA3612" s="3">
        <v>0.24502891920409123</v>
      </c>
      <c r="BB3612" s="3" t="str">
        <f>"0"</f>
        <v>0</v>
      </c>
      <c r="BC3612" t="str">
        <f ca="1">IF((OFFSET($A$1, 3612 - 1, 53 - 1)) &gt;= (OFFSET($A$1, 69 - 1, 7 - 1)), "1","0")</f>
        <v>0</v>
      </c>
      <c r="BD3612">
        <f ca="1" xml:space="preserve"> IF( AND( OFFSET($A$1, 3612 - 1, 54 - 1) = "1", OFFSET($A$1, 3612 - 1, 55 - 1) = "1" ), 1, IF( AND( OFFSET($A$1, 3612 - 1, 54 - 1) = "1", OFFSET($A$1, 3612 - 1, 55 - 1) = "0" ), 2, IF( AND( OFFSET($A$1, 3612 - 1, 54 - 1) = "0", OFFSET($A$1, 3612 - 1, 55 - 1) = "1" ), 3, 4 ) ) )</f>
        <v>4</v>
      </c>
    </row>
    <row r="3613" spans="53:56" x14ac:dyDescent="0.35">
      <c r="BA3613" s="3">
        <v>0.24391388673331557</v>
      </c>
      <c r="BB3613" s="3" t="str">
        <f>"1"</f>
        <v>1</v>
      </c>
      <c r="BC3613" t="str">
        <f ca="1">IF((OFFSET($A$1, 3613 - 1, 53 - 1)) &gt;= (OFFSET($A$1, 69 - 1, 7 - 1)), "1","0")</f>
        <v>0</v>
      </c>
      <c r="BD3613">
        <f ca="1" xml:space="preserve"> IF( AND( OFFSET($A$1, 3613 - 1, 54 - 1) = "1", OFFSET($A$1, 3613 - 1, 55 - 1) = "1" ), 1, IF( AND( OFFSET($A$1, 3613 - 1, 54 - 1) = "1", OFFSET($A$1, 3613 - 1, 55 - 1) = "0" ), 2, IF( AND( OFFSET($A$1, 3613 - 1, 54 - 1) = "0", OFFSET($A$1, 3613 - 1, 55 - 1) = "1" ), 3, 4 ) ) )</f>
        <v>2</v>
      </c>
    </row>
    <row r="3614" spans="53:56" x14ac:dyDescent="0.35">
      <c r="BA3614" s="3">
        <v>0.5002457769030374</v>
      </c>
      <c r="BB3614" s="3" t="str">
        <f>"1"</f>
        <v>1</v>
      </c>
      <c r="BC3614" t="str">
        <f ca="1">IF((OFFSET($A$1, 3614 - 1, 53 - 1)) &gt;= (OFFSET($A$1, 69 - 1, 7 - 1)), "1","0")</f>
        <v>1</v>
      </c>
      <c r="BD3614">
        <f ca="1" xml:space="preserve"> IF( AND( OFFSET($A$1, 3614 - 1, 54 - 1) = "1", OFFSET($A$1, 3614 - 1, 55 - 1) = "1" ), 1, IF( AND( OFFSET($A$1, 3614 - 1, 54 - 1) = "1", OFFSET($A$1, 3614 - 1, 55 - 1) = "0" ), 2, IF( AND( OFFSET($A$1, 3614 - 1, 54 - 1) = "0", OFFSET($A$1, 3614 - 1, 55 - 1) = "1" ), 3, 4 ) ) )</f>
        <v>1</v>
      </c>
    </row>
    <row r="3615" spans="53:56" x14ac:dyDescent="0.35">
      <c r="BA3615" s="3">
        <v>0.49874893780588092</v>
      </c>
      <c r="BB3615" s="3" t="str">
        <f>"1"</f>
        <v>1</v>
      </c>
      <c r="BC3615" t="str">
        <f ca="1">IF((OFFSET($A$1, 3615 - 1, 53 - 1)) &gt;= (OFFSET($A$1, 69 - 1, 7 - 1)), "1","0")</f>
        <v>0</v>
      </c>
      <c r="BD3615">
        <f ca="1" xml:space="preserve"> IF( AND( OFFSET($A$1, 3615 - 1, 54 - 1) = "1", OFFSET($A$1, 3615 - 1, 55 - 1) = "1" ), 1, IF( AND( OFFSET($A$1, 3615 - 1, 54 - 1) = "1", OFFSET($A$1, 3615 - 1, 55 - 1) = "0" ), 2, IF( AND( OFFSET($A$1, 3615 - 1, 54 - 1) = "0", OFFSET($A$1, 3615 - 1, 55 - 1) = "1" ), 3, 4 ) ) )</f>
        <v>2</v>
      </c>
    </row>
    <row r="3616" spans="53:56" x14ac:dyDescent="0.35">
      <c r="BA3616" s="3">
        <v>0.49725896949042975</v>
      </c>
      <c r="BB3616" s="3" t="str">
        <f>"0"</f>
        <v>0</v>
      </c>
      <c r="BC3616" t="str">
        <f ca="1">IF((OFFSET($A$1, 3616 - 1, 53 - 1)) &gt;= (OFFSET($A$1, 69 - 1, 7 - 1)), "1","0")</f>
        <v>0</v>
      </c>
      <c r="BD3616">
        <f ca="1" xml:space="preserve"> IF( AND( OFFSET($A$1, 3616 - 1, 54 - 1) = "1", OFFSET($A$1, 3616 - 1, 55 - 1) = "1" ), 1, IF( AND( OFFSET($A$1, 3616 - 1, 54 - 1) = "1", OFFSET($A$1, 3616 - 1, 55 - 1) = "0" ), 2, IF( AND( OFFSET($A$1, 3616 - 1, 54 - 1) = "0", OFFSET($A$1, 3616 - 1, 55 - 1) = "1" ), 3, 4 ) ) )</f>
        <v>4</v>
      </c>
    </row>
    <row r="3617" spans="53:56" x14ac:dyDescent="0.35">
      <c r="BA3617" s="3">
        <v>0.23953488419300359</v>
      </c>
      <c r="BB3617" s="3" t="str">
        <f>"0"</f>
        <v>0</v>
      </c>
      <c r="BC3617" t="str">
        <f ca="1">IF((OFFSET($A$1, 3617 - 1, 53 - 1)) &gt;= (OFFSET($A$1, 69 - 1, 7 - 1)), "1","0")</f>
        <v>0</v>
      </c>
      <c r="BD3617">
        <f ca="1" xml:space="preserve"> IF( AND( OFFSET($A$1, 3617 - 1, 54 - 1) = "1", OFFSET($A$1, 3617 - 1, 55 - 1) = "1" ), 1, IF( AND( OFFSET($A$1, 3617 - 1, 54 - 1) = "1", OFFSET($A$1, 3617 - 1, 55 - 1) = "0" ), 2, IF( AND( OFFSET($A$1, 3617 - 1, 54 - 1) = "0", OFFSET($A$1, 3617 - 1, 55 - 1) = "1" ), 3, 4 ) ) )</f>
        <v>4</v>
      </c>
    </row>
    <row r="3618" spans="53:56" x14ac:dyDescent="0.35">
      <c r="BA3618" s="3">
        <v>0.23846182243612957</v>
      </c>
      <c r="BB3618" s="3" t="str">
        <f>"1"</f>
        <v>1</v>
      </c>
      <c r="BC3618" t="str">
        <f ca="1">IF((OFFSET($A$1, 3618 - 1, 53 - 1)) &gt;= (OFFSET($A$1, 69 - 1, 7 - 1)), "1","0")</f>
        <v>0</v>
      </c>
      <c r="BD3618">
        <f ca="1" xml:space="preserve"> IF( AND( OFFSET($A$1, 3618 - 1, 54 - 1) = "1", OFFSET($A$1, 3618 - 1, 55 - 1) = "1" ), 1, IF( AND( OFFSET($A$1, 3618 - 1, 54 - 1) = "1", OFFSET($A$1, 3618 - 1, 55 - 1) = "0" ), 2, IF( AND( OFFSET($A$1, 3618 - 1, 54 - 1) = "0", OFFSET($A$1, 3618 - 1, 55 - 1) = "1" ), 3, 4 ) ) )</f>
        <v>2</v>
      </c>
    </row>
    <row r="3619" spans="53:56" x14ac:dyDescent="0.35">
      <c r="BA3619" s="3">
        <v>0.49283494265133304</v>
      </c>
      <c r="BB3619" s="3" t="str">
        <f>"1"</f>
        <v>1</v>
      </c>
      <c r="BC3619" t="str">
        <f ca="1">IF((OFFSET($A$1, 3619 - 1, 53 - 1)) &gt;= (OFFSET($A$1, 69 - 1, 7 - 1)), "1","0")</f>
        <v>0</v>
      </c>
      <c r="BD3619">
        <f ca="1" xml:space="preserve"> IF( AND( OFFSET($A$1, 3619 - 1, 54 - 1) = "1", OFFSET($A$1, 3619 - 1, 55 - 1) = "1" ), 1, IF( AND( OFFSET($A$1, 3619 - 1, 54 - 1) = "1", OFFSET($A$1, 3619 - 1, 55 - 1) = "0" ), 2, IF( AND( OFFSET($A$1, 3619 - 1, 54 - 1) = "0", OFFSET($A$1, 3619 - 1, 55 - 1) = "1" ), 3, 4 ) ) )</f>
        <v>2</v>
      </c>
    </row>
    <row r="3620" spans="53:56" x14ac:dyDescent="0.35">
      <c r="BA3620" s="3">
        <v>0.49137709516108163</v>
      </c>
      <c r="BB3620" s="3" t="str">
        <f>"1"</f>
        <v>1</v>
      </c>
      <c r="BC3620" t="str">
        <f ca="1">IF((OFFSET($A$1, 3620 - 1, 53 - 1)) &gt;= (OFFSET($A$1, 69 - 1, 7 - 1)), "1","0")</f>
        <v>0</v>
      </c>
      <c r="BD3620">
        <f ca="1" xml:space="preserve"> IF( AND( OFFSET($A$1, 3620 - 1, 54 - 1) = "1", OFFSET($A$1, 3620 - 1, 55 - 1) = "1" ), 1, IF( AND( OFFSET($A$1, 3620 - 1, 54 - 1) = "1", OFFSET($A$1, 3620 - 1, 55 - 1) = "0" ), 2, IF( AND( OFFSET($A$1, 3620 - 1, 54 - 1) = "0", OFFSET($A$1, 3620 - 1, 55 - 1) = "1" ), 3, 4 ) ) )</f>
        <v>2</v>
      </c>
    </row>
    <row r="3621" spans="53:56" x14ac:dyDescent="0.35">
      <c r="BA3621" s="3">
        <v>0.48992842090682576</v>
      </c>
      <c r="BB3621" s="3" t="str">
        <f>"1"</f>
        <v>1</v>
      </c>
      <c r="BC3621" t="str">
        <f ca="1">IF((OFFSET($A$1, 3621 - 1, 53 - 1)) &gt;= (OFFSET($A$1, 69 - 1, 7 - 1)), "1","0")</f>
        <v>0</v>
      </c>
      <c r="BD3621">
        <f ca="1" xml:space="preserve"> IF( AND( OFFSET($A$1, 3621 - 1, 54 - 1) = "1", OFFSET($A$1, 3621 - 1, 55 - 1) = "1" ), 1, IF( AND( OFFSET($A$1, 3621 - 1, 54 - 1) = "1", OFFSET($A$1, 3621 - 1, 55 - 1) = "0" ), 2, IF( AND( OFFSET($A$1, 3621 - 1, 54 - 1) = "0", OFFSET($A$1, 3621 - 1, 55 - 1) = "1" ), 3, 4 ) ) )</f>
        <v>2</v>
      </c>
    </row>
    <row r="3622" spans="53:56" x14ac:dyDescent="0.35">
      <c r="BA3622" s="3">
        <v>0.4884893698777435</v>
      </c>
      <c r="BB3622" s="3" t="str">
        <f>"1"</f>
        <v>1</v>
      </c>
      <c r="BC3622" t="str">
        <f ca="1">IF((OFFSET($A$1, 3622 - 1, 53 - 1)) &gt;= (OFFSET($A$1, 69 - 1, 7 - 1)), "1","0")</f>
        <v>0</v>
      </c>
      <c r="BD3622">
        <f ca="1" xml:space="preserve"> IF( AND( OFFSET($A$1, 3622 - 1, 54 - 1) = "1", OFFSET($A$1, 3622 - 1, 55 - 1) = "1" ), 1, IF( AND( OFFSET($A$1, 3622 - 1, 54 - 1) = "1", OFFSET($A$1, 3622 - 1, 55 - 1) = "0" ), 2, IF( AND( OFFSET($A$1, 3622 - 1, 54 - 1) = "0", OFFSET($A$1, 3622 - 1, 55 - 1) = "1" ), 3, 4 ) ) )</f>
        <v>2</v>
      </c>
    </row>
    <row r="3623" spans="53:56" x14ac:dyDescent="0.35">
      <c r="BA3623" s="3">
        <v>0.48706038813125602</v>
      </c>
      <c r="BB3623" s="3" t="str">
        <f>"0"</f>
        <v>0</v>
      </c>
      <c r="BC3623" t="str">
        <f ca="1">IF((OFFSET($A$1, 3623 - 1, 53 - 1)) &gt;= (OFFSET($A$1, 69 - 1, 7 - 1)), "1","0")</f>
        <v>0</v>
      </c>
      <c r="BD3623">
        <f ca="1" xml:space="preserve"> IF( AND( OFFSET($A$1, 3623 - 1, 54 - 1) = "1", OFFSET($A$1, 3623 - 1, 55 - 1) = "1" ), 1, IF( AND( OFFSET($A$1, 3623 - 1, 54 - 1) = "1", OFFSET($A$1, 3623 - 1, 55 - 1) = "0" ), 2, IF( AND( OFFSET($A$1, 3623 - 1, 54 - 1) = "0", OFFSET($A$1, 3623 - 1, 55 - 1) = "1" ), 3, 4 ) ) )</f>
        <v>4</v>
      </c>
    </row>
    <row r="3624" spans="53:56" x14ac:dyDescent="0.35">
      <c r="BA3624" s="3">
        <v>0.23222602250036786</v>
      </c>
      <c r="BB3624" s="3" t="str">
        <f>"0"</f>
        <v>0</v>
      </c>
      <c r="BC3624" t="str">
        <f ca="1">IF((OFFSET($A$1, 3624 - 1, 53 - 1)) &gt;= (OFFSET($A$1, 69 - 1, 7 - 1)), "1","0")</f>
        <v>0</v>
      </c>
      <c r="BD3624">
        <f ca="1" xml:space="preserve"> IF( AND( OFFSET($A$1, 3624 - 1, 54 - 1) = "1", OFFSET($A$1, 3624 - 1, 55 - 1) = "1" ), 1, IF( AND( OFFSET($A$1, 3624 - 1, 54 - 1) = "1", OFFSET($A$1, 3624 - 1, 55 - 1) = "0" ), 2, IF( AND( OFFSET($A$1, 3624 - 1, 54 - 1) = "0", OFFSET($A$1, 3624 - 1, 55 - 1) = "1" ), 3, 4 ) ) )</f>
        <v>4</v>
      </c>
    </row>
    <row r="3625" spans="53:56" x14ac:dyDescent="0.35">
      <c r="BA3625" s="3">
        <v>0.23122279850869823</v>
      </c>
      <c r="BB3625" s="3" t="str">
        <f>"0"</f>
        <v>0</v>
      </c>
      <c r="BC3625" t="str">
        <f ca="1">IF((OFFSET($A$1, 3625 - 1, 53 - 1)) &gt;= (OFFSET($A$1, 69 - 1, 7 - 1)), "1","0")</f>
        <v>0</v>
      </c>
      <c r="BD3625">
        <f ca="1" xml:space="preserve"> IF( AND( OFFSET($A$1, 3625 - 1, 54 - 1) = "1", OFFSET($A$1, 3625 - 1, 55 - 1) = "1" ), 1, IF( AND( OFFSET($A$1, 3625 - 1, 54 - 1) = "1", OFFSET($A$1, 3625 - 1, 55 - 1) = "0" ), 2, IF( AND( OFFSET($A$1, 3625 - 1, 54 - 1) = "0", OFFSET($A$1, 3625 - 1, 55 - 1) = "1" ), 3, 4 ) ) )</f>
        <v>4</v>
      </c>
    </row>
    <row r="3626" spans="53:56" x14ac:dyDescent="0.35">
      <c r="BA3626" s="3">
        <v>0.23023050961696734</v>
      </c>
      <c r="BB3626" s="3" t="str">
        <f>"0"</f>
        <v>0</v>
      </c>
      <c r="BC3626" t="str">
        <f ca="1">IF((OFFSET($A$1, 3626 - 1, 53 - 1)) &gt;= (OFFSET($A$1, 69 - 1, 7 - 1)), "1","0")</f>
        <v>0</v>
      </c>
      <c r="BD3626">
        <f ca="1" xml:space="preserve"> IF( AND( OFFSET($A$1, 3626 - 1, 54 - 1) = "1", OFFSET($A$1, 3626 - 1, 55 - 1) = "1" ), 1, IF( AND( OFFSET($A$1, 3626 - 1, 54 - 1) = "1", OFFSET($A$1, 3626 - 1, 55 - 1) = "0" ), 2, IF( AND( OFFSET($A$1, 3626 - 1, 54 - 1) = "0", OFFSET($A$1, 3626 - 1, 55 - 1) = "1" ), 3, 4 ) ) )</f>
        <v>4</v>
      </c>
    </row>
    <row r="3627" spans="53:56" x14ac:dyDescent="0.35">
      <c r="BA3627" s="3">
        <v>0.22924937868422343</v>
      </c>
      <c r="BB3627" s="3" t="str">
        <f>"0"</f>
        <v>0</v>
      </c>
      <c r="BC3627" t="str">
        <f ca="1">IF((OFFSET($A$1, 3627 - 1, 53 - 1)) &gt;= (OFFSET($A$1, 69 - 1, 7 - 1)), "1","0")</f>
        <v>0</v>
      </c>
      <c r="BD3627">
        <f ca="1" xml:space="preserve"> IF( AND( OFFSET($A$1, 3627 - 1, 54 - 1) = "1", OFFSET($A$1, 3627 - 1, 55 - 1) = "1" ), 1, IF( AND( OFFSET($A$1, 3627 - 1, 54 - 1) = "1", OFFSET($A$1, 3627 - 1, 55 - 1) = "0" ), 2, IF( AND( OFFSET($A$1, 3627 - 1, 54 - 1) = "0", OFFSET($A$1, 3627 - 1, 55 - 1) = "1" ), 3, 4 ) ) )</f>
        <v>4</v>
      </c>
    </row>
    <row r="3628" spans="53:56" x14ac:dyDescent="0.35">
      <c r="BA3628" s="3">
        <v>0.22827962304985155</v>
      </c>
      <c r="BB3628" s="3" t="str">
        <f>"0"</f>
        <v>0</v>
      </c>
      <c r="BC3628" t="str">
        <f ca="1">IF((OFFSET($A$1, 3628 - 1, 53 - 1)) &gt;= (OFFSET($A$1, 69 - 1, 7 - 1)), "1","0")</f>
        <v>0</v>
      </c>
      <c r="BD3628">
        <f ca="1" xml:space="preserve"> IF( AND( OFFSET($A$1, 3628 - 1, 54 - 1) = "1", OFFSET($A$1, 3628 - 1, 55 - 1) = "1" ), 1, IF( AND( OFFSET($A$1, 3628 - 1, 54 - 1) = "1", OFFSET($A$1, 3628 - 1, 55 - 1) = "0" ), 2, IF( AND( OFFSET($A$1, 3628 - 1, 54 - 1) = "0", OFFSET($A$1, 3628 - 1, 55 - 1) = "1" ), 3, 4 ) ) )</f>
        <v>4</v>
      </c>
    </row>
    <row r="3629" spans="53:56" x14ac:dyDescent="0.35">
      <c r="BA3629" s="3">
        <v>0.22732145456402603</v>
      </c>
      <c r="BB3629" s="3" t="str">
        <f>"0"</f>
        <v>0</v>
      </c>
      <c r="BC3629" t="str">
        <f ca="1">IF((OFFSET($A$1, 3629 - 1, 53 - 1)) &gt;= (OFFSET($A$1, 69 - 1, 7 - 1)), "1","0")</f>
        <v>0</v>
      </c>
      <c r="BD3629">
        <f ca="1" xml:space="preserve"> IF( AND( OFFSET($A$1, 3629 - 1, 54 - 1) = "1", OFFSET($A$1, 3629 - 1, 55 - 1) = "1" ), 1, IF( AND( OFFSET($A$1, 3629 - 1, 54 - 1) = "1", OFFSET($A$1, 3629 - 1, 55 - 1) = "0" ), 2, IF( AND( OFFSET($A$1, 3629 - 1, 54 - 1) = "0", OFFSET($A$1, 3629 - 1, 55 - 1) = "1" ), 3, 4 ) ) )</f>
        <v>4</v>
      </c>
    </row>
    <row r="3630" spans="53:56" x14ac:dyDescent="0.35">
      <c r="BA3630" s="3">
        <v>0.22637507962253872</v>
      </c>
      <c r="BB3630" s="3" t="str">
        <f>"1"</f>
        <v>1</v>
      </c>
      <c r="BC3630" t="str">
        <f ca="1">IF((OFFSET($A$1, 3630 - 1, 53 - 1)) &gt;= (OFFSET($A$1, 69 - 1, 7 - 1)), "1","0")</f>
        <v>0</v>
      </c>
      <c r="BD3630">
        <f ca="1" xml:space="preserve"> IF( AND( OFFSET($A$1, 3630 - 1, 54 - 1) = "1", OFFSET($A$1, 3630 - 1, 55 - 1) = "1" ), 1, IF( AND( OFFSET($A$1, 3630 - 1, 54 - 1) = "1", OFFSET($A$1, 3630 - 1, 55 - 1) = "0" ), 2, IF( AND( OFFSET($A$1, 3630 - 1, 54 - 1) = "0", OFFSET($A$1, 3630 - 1, 55 - 1) = "1" ), 3, 4 ) ) )</f>
        <v>2</v>
      </c>
    </row>
    <row r="3631" spans="53:56" x14ac:dyDescent="0.35">
      <c r="BA3631" s="3">
        <v>0.47604312302610163</v>
      </c>
      <c r="BB3631" s="3" t="str">
        <f>"1"</f>
        <v>1</v>
      </c>
      <c r="BC3631" t="str">
        <f ca="1">IF((OFFSET($A$1, 3631 - 1, 53 - 1)) &gt;= (OFFSET($A$1, 69 - 1, 7 - 1)), "1","0")</f>
        <v>0</v>
      </c>
      <c r="BD3631">
        <f ca="1" xml:space="preserve"> IF( AND( OFFSET($A$1, 3631 - 1, 54 - 1) = "1", OFFSET($A$1, 3631 - 1, 55 - 1) = "1" ), 1, IF( AND( OFFSET($A$1, 3631 - 1, 54 - 1) = "1", OFFSET($A$1, 3631 - 1, 55 - 1) = "0" ), 2, IF( AND( OFFSET($A$1, 3631 - 1, 54 - 1) = "0", OFFSET($A$1, 3631 - 1, 55 - 1) = "1" ), 3, 4 ) ) )</f>
        <v>2</v>
      </c>
    </row>
    <row r="3632" spans="53:56" x14ac:dyDescent="0.35">
      <c r="BA3632" s="3">
        <v>0.47472410555093425</v>
      </c>
      <c r="BB3632" s="3" t="str">
        <f>"0"</f>
        <v>0</v>
      </c>
      <c r="BC3632" t="str">
        <f ca="1">IF((OFFSET($A$1, 3632 - 1, 53 - 1)) &gt;= (OFFSET($A$1, 69 - 1, 7 - 1)), "1","0")</f>
        <v>0</v>
      </c>
      <c r="BD3632">
        <f ca="1" xml:space="preserve"> IF( AND( OFFSET($A$1, 3632 - 1, 54 - 1) = "1", OFFSET($A$1, 3632 - 1, 55 - 1) = "1" ), 1, IF( AND( OFFSET($A$1, 3632 - 1, 54 - 1) = "1", OFFSET($A$1, 3632 - 1, 55 - 1) = "0" ), 2, IF( AND( OFFSET($A$1, 3632 - 1, 54 - 1) = "0", OFFSET($A$1, 3632 - 1, 55 - 1) = "1" ), 3, 4 ) ) )</f>
        <v>4</v>
      </c>
    </row>
    <row r="3633" spans="53:56" x14ac:dyDescent="0.35">
      <c r="BA3633" s="3">
        <v>0.22360869905388789</v>
      </c>
      <c r="BB3633" s="3" t="str">
        <f>"1"</f>
        <v>1</v>
      </c>
      <c r="BC3633" t="str">
        <f ca="1">IF((OFFSET($A$1, 3633 - 1, 53 - 1)) &gt;= (OFFSET($A$1, 69 - 1, 7 - 1)), "1","0")</f>
        <v>0</v>
      </c>
      <c r="BD3633">
        <f ca="1" xml:space="preserve"> IF( AND( OFFSET($A$1, 3633 - 1, 54 - 1) = "1", OFFSET($A$1, 3633 - 1, 55 - 1) = "1" ), 1, IF( AND( OFFSET($A$1, 3633 - 1, 54 - 1) = "1", OFFSET($A$1, 3633 - 1, 55 - 1) = "0" ), 2, IF( AND( OFFSET($A$1, 3633 - 1, 54 - 1) = "0", OFFSET($A$1, 3633 - 1, 55 - 1) = "1" ), 3, 4 ) ) )</f>
        <v>2</v>
      </c>
    </row>
    <row r="3634" spans="53:56" x14ac:dyDescent="0.35">
      <c r="BA3634" s="3">
        <v>0.47212929512377494</v>
      </c>
      <c r="BB3634" s="3" t="str">
        <f>"0"</f>
        <v>0</v>
      </c>
      <c r="BC3634" t="str">
        <f ca="1">IF((OFFSET($A$1, 3634 - 1, 53 - 1)) &gt;= (OFFSET($A$1, 69 - 1, 7 - 1)), "1","0")</f>
        <v>0</v>
      </c>
      <c r="BD3634">
        <f ca="1" xml:space="preserve"> IF( AND( OFFSET($A$1, 3634 - 1, 54 - 1) = "1", OFFSET($A$1, 3634 - 1, 55 - 1) = "1" ), 1, IF( AND( OFFSET($A$1, 3634 - 1, 54 - 1) = "1", OFFSET($A$1, 3634 - 1, 55 - 1) = "0" ), 2, IF( AND( OFFSET($A$1, 3634 - 1, 54 - 1) = "0", OFFSET($A$1, 3634 - 1, 55 - 1) = "1" ), 3, 4 ) ) )</f>
        <v>4</v>
      </c>
    </row>
    <row r="3635" spans="53:56" x14ac:dyDescent="0.35">
      <c r="BA3635" s="3">
        <v>0.2218269553757348</v>
      </c>
      <c r="BB3635" s="3" t="str">
        <f>"0"</f>
        <v>0</v>
      </c>
      <c r="BC3635" t="str">
        <f ca="1">IF((OFFSET($A$1, 3635 - 1, 53 - 1)) &gt;= (OFFSET($A$1, 69 - 1, 7 - 1)), "1","0")</f>
        <v>0</v>
      </c>
      <c r="BD3635">
        <f ca="1" xml:space="preserve"> IF( AND( OFFSET($A$1, 3635 - 1, 54 - 1) = "1", OFFSET($A$1, 3635 - 1, 55 - 1) = "1" ), 1, IF( AND( OFFSET($A$1, 3635 - 1, 54 - 1) = "1", OFFSET($A$1, 3635 - 1, 55 - 1) = "0" ), 2, IF( AND( OFFSET($A$1, 3635 - 1, 54 - 1) = "0", OFFSET($A$1, 3635 - 1, 55 - 1) = "1" ), 3, 4 ) ) )</f>
        <v>4</v>
      </c>
    </row>
    <row r="3636" spans="53:56" x14ac:dyDescent="0.35">
      <c r="BA3636" s="3">
        <v>0.22095537597689091</v>
      </c>
      <c r="BB3636" s="3" t="str">
        <f>"0"</f>
        <v>0</v>
      </c>
      <c r="BC3636" t="str">
        <f ca="1">IF((OFFSET($A$1, 3636 - 1, 53 - 1)) &gt;= (OFFSET($A$1, 69 - 1, 7 - 1)), "1","0")</f>
        <v>0</v>
      </c>
      <c r="BD3636">
        <f ca="1" xml:space="preserve"> IF( AND( OFFSET($A$1, 3636 - 1, 54 - 1) = "1", OFFSET($A$1, 3636 - 1, 55 - 1) = "1" ), 1, IF( AND( OFFSET($A$1, 3636 - 1, 54 - 1) = "1", OFFSET($A$1, 3636 - 1, 55 - 1) = "0" ), 2, IF( AND( OFFSET($A$1, 3636 - 1, 54 - 1) = "0", OFFSET($A$1, 3636 - 1, 55 - 1) = "1" ), 3, 4 ) ) )</f>
        <v>4</v>
      </c>
    </row>
    <row r="3637" spans="53:56" x14ac:dyDescent="0.35">
      <c r="BA3637" s="3">
        <v>0.22009688593397664</v>
      </c>
      <c r="BB3637" s="3" t="str">
        <f>"0"</f>
        <v>0</v>
      </c>
      <c r="BC3637" t="str">
        <f ca="1">IF((OFFSET($A$1, 3637 - 1, 53 - 1)) &gt;= (OFFSET($A$1, 69 - 1, 7 - 1)), "1","0")</f>
        <v>0</v>
      </c>
      <c r="BD3637">
        <f ca="1" xml:space="preserve"> IF( AND( OFFSET($A$1, 3637 - 1, 54 - 1) = "1", OFFSET($A$1, 3637 - 1, 55 - 1) = "1" ), 1, IF( AND( OFFSET($A$1, 3637 - 1, 54 - 1) = "1", OFFSET($A$1, 3637 - 1, 55 - 1) = "0" ), 2, IF( AND( OFFSET($A$1, 3637 - 1, 54 - 1) = "0", OFFSET($A$1, 3637 - 1, 55 - 1) = "1" ), 3, 4 ) ) )</f>
        <v>4</v>
      </c>
    </row>
    <row r="3638" spans="53:56" x14ac:dyDescent="0.35">
      <c r="BA3638" s="3">
        <v>0.21925164972878736</v>
      </c>
      <c r="BB3638" s="3" t="str">
        <f>"0"</f>
        <v>0</v>
      </c>
      <c r="BC3638" t="str">
        <f ca="1">IF((OFFSET($A$1, 3638 - 1, 53 - 1)) &gt;= (OFFSET($A$1, 69 - 1, 7 - 1)), "1","0")</f>
        <v>0</v>
      </c>
      <c r="BD3638">
        <f ca="1" xml:space="preserve"> IF( AND( OFFSET($A$1, 3638 - 1, 54 - 1) = "1", OFFSET($A$1, 3638 - 1, 55 - 1) = "1" ), 1, IF( AND( OFFSET($A$1, 3638 - 1, 54 - 1) = "1", OFFSET($A$1, 3638 - 1, 55 - 1) = "0" ), 2, IF( AND( OFFSET($A$1, 3638 - 1, 54 - 1) = "0", OFFSET($A$1, 3638 - 1, 55 - 1) = "1" ), 3, 4 ) ) )</f>
        <v>4</v>
      </c>
    </row>
    <row r="3639" spans="53:56" x14ac:dyDescent="0.35">
      <c r="BA3639" s="3">
        <v>0.21841982686999806</v>
      </c>
      <c r="BB3639" s="3" t="str">
        <f>"0"</f>
        <v>0</v>
      </c>
      <c r="BC3639" t="str">
        <f ca="1">IF((OFFSET($A$1, 3639 - 1, 53 - 1)) &gt;= (OFFSET($A$1, 69 - 1, 7 - 1)), "1","0")</f>
        <v>0</v>
      </c>
      <c r="BD3639">
        <f ca="1" xml:space="preserve"> IF( AND( OFFSET($A$1, 3639 - 1, 54 - 1) = "1", OFFSET($A$1, 3639 - 1, 55 - 1) = "1" ), 1, IF( AND( OFFSET($A$1, 3639 - 1, 54 - 1) = "1", OFFSET($A$1, 3639 - 1, 55 - 1) = "0" ), 2, IF( AND( OFFSET($A$1, 3639 - 1, 54 - 1) = "0", OFFSET($A$1, 3639 - 1, 55 - 1) = "1" ), 3, 4 ) ) )</f>
        <v>4</v>
      </c>
    </row>
    <row r="3640" spans="53:56" x14ac:dyDescent="0.35">
      <c r="BA3640" s="3">
        <v>0.21760157196194033</v>
      </c>
      <c r="BB3640" s="3" t="str">
        <f>"1"</f>
        <v>1</v>
      </c>
      <c r="BC3640" t="str">
        <f ca="1">IF((OFFSET($A$1, 3640 - 1, 53 - 1)) &gt;= (OFFSET($A$1, 69 - 1, 7 - 1)), "1","0")</f>
        <v>0</v>
      </c>
      <c r="BD3640">
        <f ca="1" xml:space="preserve"> IF( AND( OFFSET($A$1, 3640 - 1, 54 - 1) = "1", OFFSET($A$1, 3640 - 1, 55 - 1) = "1" ), 1, IF( AND( OFFSET($A$1, 3640 - 1, 54 - 1) = "1", OFFSET($A$1, 3640 - 1, 55 - 1) = "0" ), 2, IF( AND( OFFSET($A$1, 3640 - 1, 54 - 1) = "0", OFFSET($A$1, 3640 - 1, 55 - 1) = "1" ), 3, 4 ) ) )</f>
        <v>2</v>
      </c>
    </row>
    <row r="3641" spans="53:56" x14ac:dyDescent="0.35">
      <c r="BA3641" s="3">
        <v>0.46354128544010315</v>
      </c>
      <c r="BB3641" s="3" t="str">
        <f>"1"</f>
        <v>1</v>
      </c>
      <c r="BC3641" t="str">
        <f ca="1">IF((OFFSET($A$1, 3641 - 1, 53 - 1)) &gt;= (OFFSET($A$1, 69 - 1, 7 - 1)), "1","0")</f>
        <v>0</v>
      </c>
      <c r="BD3641">
        <f ca="1" xml:space="preserve"> IF( AND( OFFSET($A$1, 3641 - 1, 54 - 1) = "1", OFFSET($A$1, 3641 - 1, 55 - 1) = "1" ), 1, IF( AND( OFFSET($A$1, 3641 - 1, 54 - 1) = "1", OFFSET($A$1, 3641 - 1, 55 - 1) = "0" ), 2, IF( AND( OFFSET($A$1, 3641 - 1, 54 - 1) = "0", OFFSET($A$1, 3641 - 1, 55 - 1) = "1" ), 3, 4 ) ) )</f>
        <v>2</v>
      </c>
    </row>
    <row r="3642" spans="53:56" x14ac:dyDescent="0.35">
      <c r="BA3642" s="3">
        <v>0.46238199018283077</v>
      </c>
      <c r="BB3642" s="3" t="str">
        <f>"0"</f>
        <v>0</v>
      </c>
      <c r="BC3642" t="str">
        <f ca="1">IF((OFFSET($A$1, 3642 - 1, 53 - 1)) &gt;= (OFFSET($A$1, 69 - 1, 7 - 1)), "1","0")</f>
        <v>0</v>
      </c>
      <c r="BD3642">
        <f ca="1" xml:space="preserve"> IF( AND( OFFSET($A$1, 3642 - 1, 54 - 1) = "1", OFFSET($A$1, 3642 - 1, 55 - 1) = "1" ), 1, IF( AND( OFFSET($A$1, 3642 - 1, 54 - 1) = "1", OFFSET($A$1, 3642 - 1, 55 - 1) = "0" ), 2, IF( AND( OFFSET($A$1, 3642 - 1, 54 - 1) = "0", OFFSET($A$1, 3642 - 1, 55 - 1) = "1" ), 3, 4 ) ) )</f>
        <v>4</v>
      </c>
    </row>
    <row r="3643" spans="53:56" x14ac:dyDescent="0.35">
      <c r="BA3643" s="3">
        <v>0.2152296889296991</v>
      </c>
      <c r="BB3643" s="3" t="str">
        <f>"0"</f>
        <v>0</v>
      </c>
      <c r="BC3643" t="str">
        <f ca="1">IF((OFFSET($A$1, 3643 - 1, 53 - 1)) &gt;= (OFFSET($A$1, 69 - 1, 7 - 1)), "1","0")</f>
        <v>0</v>
      </c>
      <c r="BD3643">
        <f ca="1" xml:space="preserve"> IF( AND( OFFSET($A$1, 3643 - 1, 54 - 1) = "1", OFFSET($A$1, 3643 - 1, 55 - 1) = "1" ), 1, IF( AND( OFFSET($A$1, 3643 - 1, 54 - 1) = "1", OFFSET($A$1, 3643 - 1, 55 - 1) = "0" ), 2, IF( AND( OFFSET($A$1, 3643 - 1, 54 - 1) = "0", OFFSET($A$1, 3643 - 1, 55 - 1) = "1" ), 3, 4 ) ) )</f>
        <v>4</v>
      </c>
    </row>
    <row r="3644" spans="53:56" x14ac:dyDescent="0.35">
      <c r="BA3644" s="3">
        <v>0.21446715631606883</v>
      </c>
      <c r="BB3644" s="3" t="str">
        <f>"0"</f>
        <v>0</v>
      </c>
      <c r="BC3644" t="str">
        <f ca="1">IF((OFFSET($A$1, 3644 - 1, 53 - 1)) &gt;= (OFFSET($A$1, 69 - 1, 7 - 1)), "1","0")</f>
        <v>0</v>
      </c>
      <c r="BD3644">
        <f ca="1" xml:space="preserve"> IF( AND( OFFSET($A$1, 3644 - 1, 54 - 1) = "1", OFFSET($A$1, 3644 - 1, 55 - 1) = "1" ), 1, IF( AND( OFFSET($A$1, 3644 - 1, 54 - 1) = "1", OFFSET($A$1, 3644 - 1, 55 - 1) = "0" ), 2, IF( AND( OFFSET($A$1, 3644 - 1, 54 - 1) = "0", OFFSET($A$1, 3644 - 1, 55 - 1) = "1" ), 3, 4 ) ) )</f>
        <v>4</v>
      </c>
    </row>
    <row r="3645" spans="53:56" x14ac:dyDescent="0.35">
      <c r="BA3645" s="3">
        <v>0.21371889367274355</v>
      </c>
      <c r="BB3645" s="3" t="str">
        <f>"0"</f>
        <v>0</v>
      </c>
      <c r="BC3645" t="str">
        <f ca="1">IF((OFFSET($A$1, 3645 - 1, 53 - 1)) &gt;= (OFFSET($A$1, 69 - 1, 7 - 1)), "1","0")</f>
        <v>0</v>
      </c>
      <c r="BD3645">
        <f ca="1" xml:space="preserve"> IF( AND( OFFSET($A$1, 3645 - 1, 54 - 1) = "1", OFFSET($A$1, 3645 - 1, 55 - 1) = "1" ), 1, IF( AND( OFFSET($A$1, 3645 - 1, 54 - 1) = "1", OFFSET($A$1, 3645 - 1, 55 - 1) = "0" ), 2, IF( AND( OFFSET($A$1, 3645 - 1, 54 - 1) = "0", OFFSET($A$1, 3645 - 1, 55 - 1) = "1" ), 3, 4 ) ) )</f>
        <v>4</v>
      </c>
    </row>
    <row r="3646" spans="53:56" x14ac:dyDescent="0.35">
      <c r="BA3646" s="3">
        <v>0.2129850277422814</v>
      </c>
      <c r="BB3646" s="3" t="str">
        <f>"0"</f>
        <v>0</v>
      </c>
      <c r="BC3646" t="str">
        <f ca="1">IF((OFFSET($A$1, 3646 - 1, 53 - 1)) &gt;= (OFFSET($A$1, 69 - 1, 7 - 1)), "1","0")</f>
        <v>0</v>
      </c>
      <c r="BD3646">
        <f ca="1" xml:space="preserve"> IF( AND( OFFSET($A$1, 3646 - 1, 54 - 1) = "1", OFFSET($A$1, 3646 - 1, 55 - 1) = "1" ), 1, IF( AND( OFFSET($A$1, 3646 - 1, 54 - 1) = "1", OFFSET($A$1, 3646 - 1, 55 - 1) = "0" ), 2, IF( AND( OFFSET($A$1, 3646 - 1, 54 - 1) = "0", OFFSET($A$1, 3646 - 1, 55 - 1) = "1" ), 3, 4 ) ) )</f>
        <v>4</v>
      </c>
    </row>
    <row r="3647" spans="53:56" x14ac:dyDescent="0.35">
      <c r="BA3647" s="3">
        <v>0.21226568090039843</v>
      </c>
      <c r="BB3647" s="3" t="str">
        <f>"1"</f>
        <v>1</v>
      </c>
      <c r="BC3647" t="str">
        <f ca="1">IF((OFFSET($A$1, 3647 - 1, 53 - 1)) &gt;= (OFFSET($A$1, 69 - 1, 7 - 1)), "1","0")</f>
        <v>0</v>
      </c>
      <c r="BD3647">
        <f ca="1" xml:space="preserve"> IF( AND( OFFSET($A$1, 3647 - 1, 54 - 1) = "1", OFFSET($A$1, 3647 - 1, 55 - 1) = "1" ), 1, IF( AND( OFFSET($A$1, 3647 - 1, 54 - 1) = "1", OFFSET($A$1, 3647 - 1, 55 - 1) = "0" ), 2, IF( AND( OFFSET($A$1, 3647 - 1, 54 - 1) = "0", OFFSET($A$1, 3647 - 1, 55 - 1) = "1" ), 3, 4 ) ) )</f>
        <v>2</v>
      </c>
    </row>
    <row r="3648" spans="53:56" x14ac:dyDescent="0.35">
      <c r="BA3648" s="3">
        <v>0.45581413922638192</v>
      </c>
      <c r="BB3648" s="3" t="str">
        <f>"0"</f>
        <v>0</v>
      </c>
      <c r="BC3648" t="str">
        <f ca="1">IF((OFFSET($A$1, 3648 - 1, 53 - 1)) &gt;= (OFFSET($A$1, 69 - 1, 7 - 1)), "1","0")</f>
        <v>0</v>
      </c>
      <c r="BD3648">
        <f ca="1" xml:space="preserve"> IF( AND( OFFSET($A$1, 3648 - 1, 54 - 1) = "1", OFFSET($A$1, 3648 - 1, 55 - 1) = "1" ), 1, IF( AND( OFFSET($A$1, 3648 - 1, 54 - 1) = "1", OFFSET($A$1, 3648 - 1, 55 - 1) = "0" ), 2, IF( AND( OFFSET($A$1, 3648 - 1, 54 - 1) = "0", OFFSET($A$1, 3648 - 1, 55 - 1) = "1" ), 3, 4 ) ) )</f>
        <v>4</v>
      </c>
    </row>
    <row r="3649" spans="53:56" x14ac:dyDescent="0.35">
      <c r="BA3649" s="3">
        <v>0.21087101264734673</v>
      </c>
      <c r="BB3649" s="3" t="str">
        <f>"0"</f>
        <v>0</v>
      </c>
      <c r="BC3649" t="str">
        <f ca="1">IF((OFFSET($A$1, 3649 - 1, 53 - 1)) &gt;= (OFFSET($A$1, 69 - 1, 7 - 1)), "1","0")</f>
        <v>0</v>
      </c>
      <c r="BD3649">
        <f ca="1" xml:space="preserve"> IF( AND( OFFSET($A$1, 3649 - 1, 54 - 1) = "1", OFFSET($A$1, 3649 - 1, 55 - 1) = "1" ), 1, IF( AND( OFFSET($A$1, 3649 - 1, 54 - 1) = "1", OFFSET($A$1, 3649 - 1, 55 - 1) = "0" ), 2, IF( AND( OFFSET($A$1, 3649 - 1, 54 - 1) = "0", OFFSET($A$1, 3649 - 1, 55 - 1) = "1" ), 3, 4 ) ) )</f>
        <v>4</v>
      </c>
    </row>
    <row r="3650" spans="53:56" x14ac:dyDescent="0.35">
      <c r="BA3650" s="3">
        <v>0.21019591490086162</v>
      </c>
      <c r="BB3650" s="3" t="str">
        <f>"0"</f>
        <v>0</v>
      </c>
      <c r="BC3650" t="str">
        <f ca="1">IF((OFFSET($A$1, 3650 - 1, 53 - 1)) &gt;= (OFFSET($A$1, 69 - 1, 7 - 1)), "1","0")</f>
        <v>0</v>
      </c>
      <c r="BD3650">
        <f ca="1" xml:space="preserve"> IF( AND( OFFSET($A$1, 3650 - 1, 54 - 1) = "1", OFFSET($A$1, 3650 - 1, 55 - 1) = "1" ), 1, IF( AND( OFFSET($A$1, 3650 - 1, 54 - 1) = "1", OFFSET($A$1, 3650 - 1, 55 - 1) = "0" ), 2, IF( AND( OFFSET($A$1, 3650 - 1, 54 - 1) = "0", OFFSET($A$1, 3650 - 1, 55 - 1) = "1" ), 3, 4 ) ) )</f>
        <v>4</v>
      </c>
    </row>
    <row r="3651" spans="53:56" x14ac:dyDescent="0.35">
      <c r="BA3651" s="3">
        <v>0.20953578374126999</v>
      </c>
      <c r="BB3651" s="3" t="str">
        <f>"0"</f>
        <v>0</v>
      </c>
      <c r="BC3651" t="str">
        <f ca="1">IF((OFFSET($A$1, 3651 - 1, 53 - 1)) &gt;= (OFFSET($A$1, 69 - 1, 7 - 1)), "1","0")</f>
        <v>0</v>
      </c>
      <c r="BD3651">
        <f ca="1" xml:space="preserve"> IF( AND( OFFSET($A$1, 3651 - 1, 54 - 1) = "1", OFFSET($A$1, 3651 - 1, 55 - 1) = "1" ), 1, IF( AND( OFFSET($A$1, 3651 - 1, 54 - 1) = "1", OFFSET($A$1, 3651 - 1, 55 - 1) = "0" ), 2, IF( AND( OFFSET($A$1, 3651 - 1, 54 - 1) = "0", OFFSET($A$1, 3651 - 1, 55 - 1) = "1" ), 3, 4 ) ) )</f>
        <v>4</v>
      </c>
    </row>
    <row r="3652" spans="53:56" x14ac:dyDescent="0.35">
      <c r="BA3652" s="3">
        <v>0.20889072096403452</v>
      </c>
      <c r="BB3652" s="3" t="str">
        <f>"0"</f>
        <v>0</v>
      </c>
      <c r="BC3652" t="str">
        <f ca="1">IF((OFFSET($A$1, 3652 - 1, 53 - 1)) &gt;= (OFFSET($A$1, 69 - 1, 7 - 1)), "1","0")</f>
        <v>0</v>
      </c>
      <c r="BD3652">
        <f ca="1" xml:space="preserve"> IF( AND( OFFSET($A$1, 3652 - 1, 54 - 1) = "1", OFFSET($A$1, 3652 - 1, 55 - 1) = "1" ), 1, IF( AND( OFFSET($A$1, 3652 - 1, 54 - 1) = "1", OFFSET($A$1, 3652 - 1, 55 - 1) = "0" ), 2, IF( AND( OFFSET($A$1, 3652 - 1, 54 - 1) = "0", OFFSET($A$1, 3652 - 1, 55 - 1) = "1" ), 3, 4 ) ) )</f>
        <v>4</v>
      </c>
    </row>
    <row r="3653" spans="53:56" x14ac:dyDescent="0.35">
      <c r="BA3653" s="3">
        <v>0.20826082450323999</v>
      </c>
      <c r="BB3653" s="3" t="str">
        <f>"0"</f>
        <v>0</v>
      </c>
      <c r="BC3653" t="str">
        <f ca="1">IF((OFFSET($A$1, 3653 - 1, 53 - 1)) &gt;= (OFFSET($A$1, 69 - 1, 7 - 1)), "1","0")</f>
        <v>0</v>
      </c>
      <c r="BD3653">
        <f ca="1" xml:space="preserve"> IF( AND( OFFSET($A$1, 3653 - 1, 54 - 1) = "1", OFFSET($A$1, 3653 - 1, 55 - 1) = "1" ), 1, IF( AND( OFFSET($A$1, 3653 - 1, 54 - 1) = "1", OFFSET($A$1, 3653 - 1, 55 - 1) = "0" ), 2, IF( AND( OFFSET($A$1, 3653 - 1, 54 - 1) = "0", OFFSET($A$1, 3653 - 1, 55 - 1) = "1" ), 3, 4 ) ) )</f>
        <v>4</v>
      </c>
    </row>
  </sheetData>
  <mergeCells count="68">
    <mergeCell ref="B3:I3"/>
    <mergeCell ref="L3:O3"/>
    <mergeCell ref="B4:C4"/>
    <mergeCell ref="D4:E4"/>
    <mergeCell ref="F4:G4"/>
    <mergeCell ref="H4:I4"/>
    <mergeCell ref="B5:C5"/>
    <mergeCell ref="D5:E5"/>
    <mergeCell ref="F5:G5"/>
    <mergeCell ref="H5:I5"/>
    <mergeCell ref="C107:E107"/>
    <mergeCell ref="C108:D108"/>
    <mergeCell ref="C109:D109"/>
    <mergeCell ref="C110:D110"/>
    <mergeCell ref="C111:D111"/>
    <mergeCell ref="C112:D112"/>
    <mergeCell ref="C88:D88"/>
    <mergeCell ref="C93:F93"/>
    <mergeCell ref="H93:M93"/>
    <mergeCell ref="C95:E95"/>
    <mergeCell ref="D96:E96"/>
    <mergeCell ref="C101:F101"/>
    <mergeCell ref="C77:F77"/>
    <mergeCell ref="C83:E83"/>
    <mergeCell ref="C84:D84"/>
    <mergeCell ref="C85:D85"/>
    <mergeCell ref="C86:D86"/>
    <mergeCell ref="C87:D87"/>
    <mergeCell ref="C50:D50"/>
    <mergeCell ref="E50:F50"/>
    <mergeCell ref="C69:F69"/>
    <mergeCell ref="H69:M69"/>
    <mergeCell ref="C71:E71"/>
    <mergeCell ref="D72:E72"/>
    <mergeCell ref="C31:G31"/>
    <mergeCell ref="C32:G32"/>
    <mergeCell ref="C33:G33"/>
    <mergeCell ref="C34:G34"/>
    <mergeCell ref="C39:G39"/>
    <mergeCell ref="C48:E48"/>
    <mergeCell ref="C29:F29"/>
    <mergeCell ref="G24:J24"/>
    <mergeCell ref="G25:J25"/>
    <mergeCell ref="G26:J26"/>
    <mergeCell ref="G27:J27"/>
    <mergeCell ref="G28:J28"/>
    <mergeCell ref="G29:J29"/>
    <mergeCell ref="C23:J23"/>
    <mergeCell ref="C24:F24"/>
    <mergeCell ref="C25:F25"/>
    <mergeCell ref="C26:F26"/>
    <mergeCell ref="C27:F27"/>
    <mergeCell ref="C28:F28"/>
    <mergeCell ref="C18:G18"/>
    <mergeCell ref="C19:D19"/>
    <mergeCell ref="C20:D20"/>
    <mergeCell ref="C21:D21"/>
    <mergeCell ref="E19:G19"/>
    <mergeCell ref="E21:G21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LR_Output'!$B$10:$B$10" display="Inputs"/>
    <hyperlink ref="D4" location="'LR_Output'!$B$37:$B$37" display="Prior Class Prob."/>
    <hyperlink ref="F4" location="'LR_Output'!$B$46:$B$46" display="Predictors"/>
    <hyperlink ref="H4" location="'LR_Output'!$B$58:$B$58" display="Regress. Model"/>
    <hyperlink ref="B5" location="'LR_Output'!$B$67:$B$67" display="Train. Score Summary"/>
    <hyperlink ref="D5" location="'LR_Output'!$B$91:$B$91" display="Valid. Score Summary"/>
    <hyperlink ref="F5" location="'LR_ValidationScore'!$B$10:$B$10" display="Valid. Score - Detailed Rep.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83"/>
  <sheetViews>
    <sheetView showGridLines="0" workbookViewId="0">
      <selection activeCell="G8" sqref="G8"/>
    </sheetView>
  </sheetViews>
  <sheetFormatPr defaultRowHeight="14.5" x14ac:dyDescent="0.35"/>
  <cols>
    <col min="1" max="1" width="10.453125" bestFit="1" customWidth="1"/>
    <col min="4" max="4" width="11.81640625" bestFit="1" customWidth="1"/>
    <col min="7" max="7" width="12.453125" bestFit="1" customWidth="1"/>
    <col min="8" max="8" width="13.36328125" bestFit="1" customWidth="1"/>
    <col min="12" max="12" width="13" bestFit="1" customWidth="1"/>
  </cols>
  <sheetData>
    <row r="1" spans="1:15" ht="18.5" x14ac:dyDescent="0.45">
      <c r="B1" s="5" t="s">
        <v>107</v>
      </c>
      <c r="N1" t="s">
        <v>101</v>
      </c>
    </row>
    <row r="3" spans="1:15" ht="15.5" x14ac:dyDescent="0.35">
      <c r="B3" s="12" t="s">
        <v>35</v>
      </c>
      <c r="C3" s="13"/>
      <c r="D3" s="13"/>
      <c r="E3" s="13"/>
      <c r="F3" s="13"/>
      <c r="G3" s="13"/>
      <c r="H3" s="13"/>
      <c r="I3" s="14"/>
      <c r="L3" s="12" t="s">
        <v>36</v>
      </c>
      <c r="M3" s="13"/>
      <c r="N3" s="13"/>
      <c r="O3" s="14"/>
    </row>
    <row r="4" spans="1:15" x14ac:dyDescent="0.35">
      <c r="B4" s="29" t="s">
        <v>41</v>
      </c>
      <c r="C4" s="23"/>
      <c r="D4" s="29" t="s">
        <v>115</v>
      </c>
      <c r="E4" s="23"/>
      <c r="F4" s="29" t="s">
        <v>97</v>
      </c>
      <c r="G4" s="23"/>
      <c r="H4" s="29" t="s">
        <v>98</v>
      </c>
      <c r="I4" s="23"/>
      <c r="L4" s="11" t="s">
        <v>108</v>
      </c>
      <c r="M4" s="11" t="s">
        <v>109</v>
      </c>
      <c r="N4" s="11" t="s">
        <v>39</v>
      </c>
      <c r="O4" s="11" t="s">
        <v>40</v>
      </c>
    </row>
    <row r="5" spans="1:15" x14ac:dyDescent="0.35">
      <c r="B5" s="29" t="s">
        <v>116</v>
      </c>
      <c r="C5" s="23"/>
      <c r="D5" s="29" t="s">
        <v>117</v>
      </c>
      <c r="E5" s="23"/>
      <c r="F5" s="29" t="s">
        <v>118</v>
      </c>
      <c r="G5" s="23"/>
      <c r="H5" s="21"/>
      <c r="I5" s="23"/>
      <c r="L5" s="3">
        <v>31</v>
      </c>
      <c r="M5" s="3">
        <v>15</v>
      </c>
      <c r="N5" s="3">
        <v>63</v>
      </c>
      <c r="O5" s="3">
        <v>109</v>
      </c>
    </row>
    <row r="10" spans="1:15" x14ac:dyDescent="0.35">
      <c r="B10" s="4" t="s">
        <v>43</v>
      </c>
      <c r="C10" s="21" t="s">
        <v>44</v>
      </c>
      <c r="D10" s="22"/>
      <c r="E10" s="22"/>
      <c r="F10" s="23"/>
    </row>
    <row r="11" spans="1:15" x14ac:dyDescent="0.35">
      <c r="B11" s="4" t="s">
        <v>45</v>
      </c>
      <c r="C11" s="21" t="s">
        <v>110</v>
      </c>
      <c r="D11" s="22"/>
      <c r="E11" s="22"/>
      <c r="F11" s="23"/>
    </row>
    <row r="14" spans="1:15" ht="39" x14ac:dyDescent="0.35">
      <c r="B14" s="9" t="s">
        <v>111</v>
      </c>
      <c r="C14" s="9" t="s">
        <v>112</v>
      </c>
      <c r="D14" s="9" t="s">
        <v>113</v>
      </c>
      <c r="E14" s="7" t="s">
        <v>114</v>
      </c>
      <c r="F14" s="7" t="s">
        <v>7</v>
      </c>
      <c r="G14" s="7" t="s">
        <v>9</v>
      </c>
      <c r="H14" s="7" t="s">
        <v>10</v>
      </c>
    </row>
    <row r="15" spans="1:15" x14ac:dyDescent="0.35">
      <c r="A15" s="1">
        <v>40179</v>
      </c>
      <c r="B15" s="30">
        <v>0</v>
      </c>
      <c r="C15" s="30">
        <v>1</v>
      </c>
      <c r="D15" s="30">
        <v>0.2076461885169866</v>
      </c>
      <c r="E15" s="30">
        <v>-1.3391999999999999</v>
      </c>
      <c r="F15" s="30">
        <v>0</v>
      </c>
      <c r="G15" s="30">
        <v>2.5800772391536914E-2</v>
      </c>
      <c r="H15" s="30">
        <v>0.99966710466234709</v>
      </c>
    </row>
    <row r="16" spans="1:15" x14ac:dyDescent="0.35">
      <c r="A16" s="1">
        <v>40180</v>
      </c>
      <c r="B16" s="30">
        <v>0</v>
      </c>
      <c r="C16" s="30">
        <v>1</v>
      </c>
      <c r="D16" s="30">
        <v>0.44905673822897263</v>
      </c>
      <c r="E16" s="30">
        <v>-0.20449999999999999</v>
      </c>
      <c r="F16" s="30">
        <v>1</v>
      </c>
      <c r="G16" s="30">
        <v>4.2992804053718976E-2</v>
      </c>
      <c r="H16" s="30">
        <v>0.99907538194052126</v>
      </c>
    </row>
    <row r="17" spans="1:8" x14ac:dyDescent="0.35">
      <c r="A17" s="1">
        <v>40181</v>
      </c>
      <c r="B17" s="3">
        <v>0</v>
      </c>
      <c r="C17" s="3">
        <v>0</v>
      </c>
      <c r="D17" s="3">
        <v>0.44817616594151843</v>
      </c>
      <c r="E17" s="3">
        <v>-0.20799999999999999</v>
      </c>
      <c r="F17" s="3">
        <v>1</v>
      </c>
      <c r="G17" s="3">
        <v>6.0172113453493832E-2</v>
      </c>
      <c r="H17" s="3">
        <v>0.998188016739602</v>
      </c>
    </row>
    <row r="18" spans="1:8" x14ac:dyDescent="0.35">
      <c r="A18" s="1">
        <v>40182</v>
      </c>
      <c r="B18" s="3">
        <v>0</v>
      </c>
      <c r="C18" s="3">
        <v>0</v>
      </c>
      <c r="D18" s="3">
        <v>0.20589473013565504</v>
      </c>
      <c r="E18" s="3">
        <v>-1.3499000000000001</v>
      </c>
      <c r="F18" s="3">
        <v>0</v>
      </c>
      <c r="G18" s="3">
        <v>7.7333616956821574E-2</v>
      </c>
      <c r="H18" s="3">
        <v>0.99700527164522834</v>
      </c>
    </row>
    <row r="19" spans="1:8" x14ac:dyDescent="0.35">
      <c r="A19" s="1">
        <v>40183</v>
      </c>
      <c r="B19" s="3">
        <v>0</v>
      </c>
      <c r="C19" s="3">
        <v>0</v>
      </c>
      <c r="D19" s="3">
        <v>0.20534200508712558</v>
      </c>
      <c r="E19" s="3">
        <v>-1.3532</v>
      </c>
      <c r="F19" s="3">
        <v>0</v>
      </c>
      <c r="G19" s="3">
        <v>9.4472236198713547E-2</v>
      </c>
      <c r="H19" s="3">
        <v>0.9955274966507025</v>
      </c>
    </row>
    <row r="20" spans="1:8" x14ac:dyDescent="0.35">
      <c r="A20" s="1">
        <v>40184</v>
      </c>
      <c r="B20" s="3">
        <v>0</v>
      </c>
      <c r="C20" s="3">
        <v>0</v>
      </c>
      <c r="D20" s="3">
        <v>0.20480495763622403</v>
      </c>
      <c r="E20" s="3">
        <v>-1.3565</v>
      </c>
      <c r="F20" s="3">
        <v>0</v>
      </c>
      <c r="G20" s="3">
        <v>0.11158289958599511</v>
      </c>
      <c r="H20" s="3">
        <v>0.99375512905342112</v>
      </c>
    </row>
    <row r="21" spans="1:8" x14ac:dyDescent="0.35">
      <c r="A21" s="1">
        <v>40185</v>
      </c>
      <c r="B21" s="3">
        <v>0</v>
      </c>
      <c r="C21" s="3">
        <v>0</v>
      </c>
      <c r="D21" s="3">
        <v>0.20428366106141582</v>
      </c>
      <c r="E21" s="3">
        <v>-1.3596999999999999</v>
      </c>
      <c r="F21" s="3">
        <v>0</v>
      </c>
      <c r="G21" s="3">
        <v>0.12866054379810002</v>
      </c>
      <c r="H21" s="3">
        <v>0.99168869332546949</v>
      </c>
    </row>
    <row r="22" spans="1:8" x14ac:dyDescent="0.35">
      <c r="A22" s="1">
        <v>40186</v>
      </c>
      <c r="B22" s="3">
        <v>0</v>
      </c>
      <c r="C22" s="3">
        <v>0</v>
      </c>
      <c r="D22" s="3">
        <v>0.20377818545128978</v>
      </c>
      <c r="E22" s="3">
        <v>-1.3628</v>
      </c>
      <c r="F22" s="3">
        <v>0</v>
      </c>
      <c r="G22" s="3">
        <v>0.14570011528534596</v>
      </c>
      <c r="H22" s="3">
        <v>0.98932880095842601</v>
      </c>
    </row>
    <row r="23" spans="1:8" x14ac:dyDescent="0.35">
      <c r="A23" s="1">
        <v>40187</v>
      </c>
      <c r="B23" s="3">
        <v>0</v>
      </c>
      <c r="C23" s="3">
        <v>0</v>
      </c>
      <c r="D23" s="3">
        <v>0.20328859778487218</v>
      </c>
      <c r="E23" s="3">
        <v>-1.3658999999999999</v>
      </c>
      <c r="F23" s="3">
        <v>0</v>
      </c>
      <c r="G23" s="3">
        <v>0.16269657176438954</v>
      </c>
      <c r="H23" s="3">
        <v>0.98667615028240896</v>
      </c>
    </row>
    <row r="24" spans="1:8" x14ac:dyDescent="0.35">
      <c r="A24" s="1">
        <v>40188</v>
      </c>
      <c r="B24" s="3">
        <v>0</v>
      </c>
      <c r="C24" s="3">
        <v>0</v>
      </c>
      <c r="D24" s="3">
        <v>0.20281496201067953</v>
      </c>
      <c r="E24" s="3">
        <v>-1.3688</v>
      </c>
      <c r="F24" s="3">
        <v>0</v>
      </c>
      <c r="G24" s="3">
        <v>0.17964488371031184</v>
      </c>
      <c r="H24" s="3">
        <v>0.9837315262594305</v>
      </c>
    </row>
    <row r="25" spans="1:8" x14ac:dyDescent="0.35">
      <c r="A25" s="1">
        <v>40189</v>
      </c>
      <c r="B25" s="3">
        <v>0</v>
      </c>
      <c r="C25" s="3">
        <v>0</v>
      </c>
      <c r="D25" s="3">
        <v>0.202357339124386</v>
      </c>
      <c r="E25" s="3">
        <v>-1.3715999999999999</v>
      </c>
      <c r="F25" s="3">
        <v>0</v>
      </c>
      <c r="G25" s="3">
        <v>0.19654003584492907</v>
      </c>
      <c r="H25" s="3">
        <v>0.98049580025111482</v>
      </c>
    </row>
    <row r="26" spans="1:8" x14ac:dyDescent="0.35">
      <c r="A26" s="1">
        <v>40190</v>
      </c>
      <c r="B26" s="3">
        <v>0</v>
      </c>
      <c r="C26" s="3">
        <v>0</v>
      </c>
      <c r="D26" s="3">
        <v>0.20191578724498194</v>
      </c>
      <c r="E26" s="3">
        <v>-1.3744000000000001</v>
      </c>
      <c r="F26" s="3">
        <v>0</v>
      </c>
      <c r="G26" s="3">
        <v>0.21337702862092162</v>
      </c>
      <c r="H26" s="3">
        <v>0.97696992976084296</v>
      </c>
    </row>
    <row r="27" spans="1:8" x14ac:dyDescent="0.35">
      <c r="A27" s="1">
        <v>40191</v>
      </c>
      <c r="B27" s="30">
        <v>0</v>
      </c>
      <c r="C27" s="30">
        <v>1</v>
      </c>
      <c r="D27" s="30">
        <v>0.2014903616893105</v>
      </c>
      <c r="E27" s="30">
        <v>-1.377</v>
      </c>
      <c r="F27" s="30">
        <v>0</v>
      </c>
      <c r="G27" s="30">
        <v>0.23015087970123896</v>
      </c>
      <c r="H27" s="30">
        <v>0.97315495815042008</v>
      </c>
    </row>
    <row r="28" spans="1:8" x14ac:dyDescent="0.35">
      <c r="A28" s="1">
        <v>40192</v>
      </c>
      <c r="B28" s="3">
        <v>0</v>
      </c>
      <c r="C28" s="3">
        <v>0</v>
      </c>
      <c r="D28" s="3">
        <v>0.43998697889850091</v>
      </c>
      <c r="E28" s="3">
        <v>-0.2412</v>
      </c>
      <c r="F28" s="3">
        <v>1</v>
      </c>
      <c r="G28" s="3">
        <v>0.24685662543348108</v>
      </c>
      <c r="H28" s="3">
        <v>0.96905201433132271</v>
      </c>
    </row>
    <row r="29" spans="1:8" x14ac:dyDescent="0.35">
      <c r="A29" s="1">
        <v>40193</v>
      </c>
      <c r="B29" s="3">
        <v>0</v>
      </c>
      <c r="C29" s="3">
        <v>0</v>
      </c>
      <c r="D29" s="3">
        <v>0.20068809724074663</v>
      </c>
      <c r="E29" s="3">
        <v>-1.3819999999999999</v>
      </c>
      <c r="F29" s="3">
        <v>0</v>
      </c>
      <c r="G29" s="3">
        <v>0.26348932231871619</v>
      </c>
      <c r="H29" s="3">
        <v>0.96466231243063683</v>
      </c>
    </row>
    <row r="30" spans="1:8" x14ac:dyDescent="0.35">
      <c r="A30" s="1">
        <v>40194</v>
      </c>
      <c r="B30" s="3">
        <v>0</v>
      </c>
      <c r="C30" s="3">
        <v>0</v>
      </c>
      <c r="D30" s="3">
        <v>0.20031135561666449</v>
      </c>
      <c r="E30" s="3">
        <v>-1.3843000000000001</v>
      </c>
      <c r="F30" s="3">
        <v>0</v>
      </c>
      <c r="G30" s="3">
        <v>0.28004404847434167</v>
      </c>
      <c r="H30" s="3">
        <v>0.9599871514317786</v>
      </c>
    </row>
    <row r="31" spans="1:8" x14ac:dyDescent="0.35">
      <c r="A31" s="1">
        <v>40195</v>
      </c>
      <c r="B31" s="3">
        <v>0</v>
      </c>
      <c r="C31" s="3">
        <v>0</v>
      </c>
      <c r="D31" s="3">
        <v>0.19995093498990096</v>
      </c>
      <c r="E31" s="3">
        <v>-1.3866000000000001</v>
      </c>
      <c r="F31" s="3">
        <v>0</v>
      </c>
      <c r="G31" s="3">
        <v>0.29651590509054127</v>
      </c>
      <c r="H31" s="3">
        <v>0.95502791479010551</v>
      </c>
    </row>
    <row r="32" spans="1:8" x14ac:dyDescent="0.35">
      <c r="A32" s="1">
        <v>40196</v>
      </c>
      <c r="B32" s="30">
        <v>0</v>
      </c>
      <c r="C32" s="30">
        <v>1</v>
      </c>
      <c r="D32" s="30">
        <v>0.19960687772012412</v>
      </c>
      <c r="E32" s="30">
        <v>-1.3888</v>
      </c>
      <c r="F32" s="30">
        <v>0</v>
      </c>
      <c r="G32" s="30">
        <v>0.3129000178799492</v>
      </c>
      <c r="H32" s="30">
        <v>0.94978607002352244</v>
      </c>
    </row>
    <row r="33" spans="1:8" x14ac:dyDescent="0.35">
      <c r="A33" s="1">
        <v>40197</v>
      </c>
      <c r="B33" s="30">
        <v>0</v>
      </c>
      <c r="C33" s="30">
        <v>1</v>
      </c>
      <c r="D33" s="30">
        <v>0.43721584259945795</v>
      </c>
      <c r="E33" s="30">
        <v>-0.2525</v>
      </c>
      <c r="F33" s="30">
        <v>1</v>
      </c>
      <c r="G33" s="30">
        <v>0.32919153851998922</v>
      </c>
      <c r="H33" s="30">
        <v>0.94426316827823087</v>
      </c>
    </row>
    <row r="34" spans="1:8" x14ac:dyDescent="0.35">
      <c r="A34" s="1">
        <v>40198</v>
      </c>
      <c r="B34" s="3">
        <v>0</v>
      </c>
      <c r="C34" s="3">
        <v>0</v>
      </c>
      <c r="D34" s="3">
        <v>0.43673571801397149</v>
      </c>
      <c r="E34" s="3">
        <v>-0.25440000000000002</v>
      </c>
      <c r="F34" s="3">
        <v>1</v>
      </c>
      <c r="G34" s="3">
        <v>0.34538564608759859</v>
      </c>
      <c r="H34" s="3">
        <v>0.93846084386971207</v>
      </c>
    </row>
    <row r="35" spans="1:8" x14ac:dyDescent="0.35">
      <c r="A35" s="1">
        <v>40199</v>
      </c>
      <c r="B35" s="3">
        <v>0</v>
      </c>
      <c r="C35" s="3">
        <v>0</v>
      </c>
      <c r="D35" s="3">
        <v>0.19867327408313482</v>
      </c>
      <c r="E35" s="3">
        <v>-1.3946000000000001</v>
      </c>
      <c r="F35" s="3">
        <v>0</v>
      </c>
      <c r="G35" s="3">
        <v>0.36147754848580993</v>
      </c>
      <c r="H35" s="3">
        <v>0.93238081379910909</v>
      </c>
    </row>
    <row r="36" spans="1:8" x14ac:dyDescent="0.35">
      <c r="A36" s="1">
        <v>40200</v>
      </c>
      <c r="B36" s="3">
        <v>0</v>
      </c>
      <c r="C36" s="3">
        <v>0</v>
      </c>
      <c r="D36" s="3">
        <v>0.19839504682686804</v>
      </c>
      <c r="E36" s="3">
        <v>-1.3964000000000001</v>
      </c>
      <c r="F36" s="3">
        <v>0</v>
      </c>
      <c r="G36" s="3">
        <v>0.37746248386180314</v>
      </c>
      <c r="H36" s="3">
        <v>0.92602487724514071</v>
      </c>
    </row>
    <row r="37" spans="1:8" x14ac:dyDescent="0.35">
      <c r="A37" s="1">
        <v>40201</v>
      </c>
      <c r="B37" s="3">
        <v>0</v>
      </c>
      <c r="C37" s="3">
        <v>0</v>
      </c>
      <c r="D37" s="3">
        <v>0.19813335996928008</v>
      </c>
      <c r="E37" s="3">
        <v>-1.3979999999999999</v>
      </c>
      <c r="F37" s="3">
        <v>0</v>
      </c>
      <c r="G37" s="3">
        <v>0.39333572201604089</v>
      </c>
      <c r="H37" s="3">
        <v>0.91939491503168524</v>
      </c>
    </row>
    <row r="38" spans="1:8" x14ac:dyDescent="0.35">
      <c r="A38" s="1">
        <v>40202</v>
      </c>
      <c r="B38" s="3">
        <v>0</v>
      </c>
      <c r="C38" s="3">
        <v>0</v>
      </c>
      <c r="D38" s="3">
        <v>0.19788824235465177</v>
      </c>
      <c r="E38" s="3">
        <v>-1.3995</v>
      </c>
      <c r="F38" s="3">
        <v>0</v>
      </c>
      <c r="G38" s="3">
        <v>0.40909256580197079</v>
      </c>
      <c r="H38" s="3">
        <v>0.91249288907123005</v>
      </c>
    </row>
    <row r="39" spans="1:8" x14ac:dyDescent="0.35">
      <c r="A39" s="1">
        <v>40203</v>
      </c>
      <c r="B39" s="3">
        <v>0</v>
      </c>
      <c r="C39" s="3">
        <v>0</v>
      </c>
      <c r="D39" s="3">
        <v>0.19765972075630511</v>
      </c>
      <c r="E39" s="3">
        <v>-1.401</v>
      </c>
      <c r="F39" s="3">
        <v>0</v>
      </c>
      <c r="G39" s="3">
        <v>0.42472835251601337</v>
      </c>
      <c r="H39" s="3">
        <v>0.90532084178429972</v>
      </c>
    </row>
    <row r="40" spans="1:8" x14ac:dyDescent="0.35">
      <c r="A40" s="1">
        <v>40204</v>
      </c>
      <c r="B40" s="3">
        <v>0</v>
      </c>
      <c r="C40" s="3">
        <v>0</v>
      </c>
      <c r="D40" s="3">
        <v>0.19744781992137689</v>
      </c>
      <c r="E40" s="3">
        <v>-1.4023000000000001</v>
      </c>
      <c r="F40" s="3">
        <v>0</v>
      </c>
      <c r="G40" s="3">
        <v>0.44023845527733069</v>
      </c>
      <c r="H40" s="3">
        <v>0.89788089549507055</v>
      </c>
    </row>
    <row r="41" spans="1:8" x14ac:dyDescent="0.35">
      <c r="A41" s="1">
        <v>40205</v>
      </c>
      <c r="B41" s="3">
        <v>0</v>
      </c>
      <c r="C41" s="3">
        <v>0</v>
      </c>
      <c r="D41" s="3">
        <v>0.19725256261278692</v>
      </c>
      <c r="E41" s="3">
        <v>-1.4036</v>
      </c>
      <c r="F41" s="3">
        <v>0</v>
      </c>
      <c r="G41" s="3">
        <v>0.45561828439696933</v>
      </c>
      <c r="H41" s="3">
        <v>0.89017525180335266</v>
      </c>
    </row>
    <row r="42" spans="1:8" x14ac:dyDescent="0.35">
      <c r="A42" s="1">
        <v>40206</v>
      </c>
      <c r="B42" s="3">
        <v>0</v>
      </c>
      <c r="C42" s="3">
        <v>0</v>
      </c>
      <c r="D42" s="3">
        <v>0.1970739696483485</v>
      </c>
      <c r="E42" s="3">
        <v>-1.4047000000000001</v>
      </c>
      <c r="F42" s="3">
        <v>0</v>
      </c>
      <c r="G42" s="3">
        <v>0.47086328873604905</v>
      </c>
      <c r="H42" s="3">
        <v>0.88220619093309027</v>
      </c>
    </row>
    <row r="43" spans="1:8" x14ac:dyDescent="0.35">
      <c r="A43" s="1">
        <v>40207</v>
      </c>
      <c r="B43" s="3">
        <v>0</v>
      </c>
      <c r="C43" s="3">
        <v>0</v>
      </c>
      <c r="D43" s="3">
        <v>0.19691205993697164</v>
      </c>
      <c r="E43" s="3">
        <v>-1.4056999999999999</v>
      </c>
      <c r="F43" s="3">
        <v>0</v>
      </c>
      <c r="G43" s="3">
        <v>0.48596895705254251</v>
      </c>
      <c r="H43" s="3">
        <v>0.87397607105759145</v>
      </c>
    </row>
    <row r="44" spans="1:8" x14ac:dyDescent="0.35">
      <c r="A44" s="1">
        <v>40208</v>
      </c>
      <c r="B44" s="3">
        <v>0</v>
      </c>
      <c r="C44" s="3">
        <v>0</v>
      </c>
      <c r="D44" s="3">
        <v>0.19676685051191597</v>
      </c>
      <c r="E44" s="3">
        <v>-1.4066000000000001</v>
      </c>
      <c r="F44" s="3">
        <v>0</v>
      </c>
      <c r="G44" s="3">
        <v>0.50093081933615535</v>
      </c>
      <c r="H44" s="3">
        <v>0.86548732760174374</v>
      </c>
    </row>
    <row r="45" spans="1:8" x14ac:dyDescent="0.35">
      <c r="A45" s="1">
        <v>40209</v>
      </c>
      <c r="B45" s="3">
        <v>0</v>
      </c>
      <c r="C45" s="3">
        <v>0</v>
      </c>
      <c r="D45" s="3">
        <v>0.19663835656104992</v>
      </c>
      <c r="E45" s="3">
        <v>-1.4074</v>
      </c>
      <c r="F45" s="3">
        <v>0</v>
      </c>
      <c r="G45" s="3">
        <v>0.51574444813113085</v>
      </c>
      <c r="H45" s="3">
        <v>0.85674247252130276</v>
      </c>
    </row>
    <row r="46" spans="1:8" x14ac:dyDescent="0.35">
      <c r="A46" s="1">
        <v>40210</v>
      </c>
      <c r="B46" s="30">
        <v>0</v>
      </c>
      <c r="C46" s="30">
        <v>1</v>
      </c>
      <c r="D46" s="30">
        <v>0.1965265914540813</v>
      </c>
      <c r="E46" s="30">
        <v>-1.4080999999999999</v>
      </c>
      <c r="F46" s="30">
        <v>0</v>
      </c>
      <c r="G46" s="30">
        <v>0.53040545984636789</v>
      </c>
      <c r="H46" s="30">
        <v>0.84774409355958535</v>
      </c>
    </row>
    <row r="47" spans="1:8" x14ac:dyDescent="0.35">
      <c r="A47" s="1">
        <v>40211</v>
      </c>
      <c r="B47" s="3">
        <v>0</v>
      </c>
      <c r="C47" s="3">
        <v>0</v>
      </c>
      <c r="D47" s="3">
        <v>0.43280592614048552</v>
      </c>
      <c r="E47" s="3">
        <v>-0.27039999999999997</v>
      </c>
      <c r="F47" s="3">
        <v>1</v>
      </c>
      <c r="G47" s="3">
        <v>0.54490951605262106</v>
      </c>
      <c r="H47" s="3">
        <v>0.83849485348170039</v>
      </c>
    </row>
    <row r="48" spans="1:8" x14ac:dyDescent="0.35">
      <c r="A48" s="1">
        <v>40212</v>
      </c>
      <c r="B48" s="3">
        <v>0</v>
      </c>
      <c r="C48" s="3">
        <v>0</v>
      </c>
      <c r="D48" s="3">
        <v>0.19635329230178167</v>
      </c>
      <c r="E48" s="3">
        <v>-1.4092</v>
      </c>
      <c r="F48" s="3">
        <v>0</v>
      </c>
      <c r="G48" s="3">
        <v>0.55925232476633524</v>
      </c>
      <c r="H48" s="3">
        <v>0.82899748928657768</v>
      </c>
    </row>
    <row r="49" spans="1:8" x14ac:dyDescent="0.35">
      <c r="A49" s="1">
        <v>40213</v>
      </c>
      <c r="B49" s="3">
        <v>0</v>
      </c>
      <c r="C49" s="3">
        <v>0</v>
      </c>
      <c r="D49" s="3">
        <v>0.19629177610709395</v>
      </c>
      <c r="E49" s="3">
        <v>-1.4096</v>
      </c>
      <c r="F49" s="3">
        <v>0</v>
      </c>
      <c r="G49" s="3">
        <v>0.57342964171965216</v>
      </c>
      <c r="H49" s="3">
        <v>0.81925481139708378</v>
      </c>
    </row>
    <row r="50" spans="1:8" x14ac:dyDescent="0.35">
      <c r="A50" s="1">
        <v>40214</v>
      </c>
      <c r="B50" s="30">
        <v>0</v>
      </c>
      <c r="C50" s="30">
        <v>1</v>
      </c>
      <c r="D50" s="30">
        <v>0.19624702449037232</v>
      </c>
      <c r="E50" s="30">
        <v>-1.4098999999999999</v>
      </c>
      <c r="F50" s="30">
        <v>0</v>
      </c>
      <c r="G50" s="30">
        <v>0.58743727161638248</v>
      </c>
      <c r="H50" s="30">
        <v>0.80926970282835897</v>
      </c>
    </row>
    <row r="51" spans="1:8" x14ac:dyDescent="0.35">
      <c r="A51" s="1">
        <v>40215</v>
      </c>
      <c r="B51" s="30">
        <v>0</v>
      </c>
      <c r="C51" s="30">
        <v>1</v>
      </c>
      <c r="D51" s="30">
        <v>0.43247529903249649</v>
      </c>
      <c r="E51" s="30">
        <v>-0.27179999999999999</v>
      </c>
      <c r="F51" s="30">
        <v>1</v>
      </c>
      <c r="G51" s="30">
        <v>0.60127106937348462</v>
      </c>
      <c r="H51" s="30">
        <v>0.79904511833466962</v>
      </c>
    </row>
    <row r="52" spans="1:8" x14ac:dyDescent="0.35">
      <c r="A52" s="1">
        <v>40216</v>
      </c>
      <c r="B52" s="3">
        <v>0</v>
      </c>
      <c r="C52" s="3">
        <v>0</v>
      </c>
      <c r="D52" s="3">
        <v>0.43245785297573797</v>
      </c>
      <c r="E52" s="3">
        <v>-0.27179999999999999</v>
      </c>
      <c r="F52" s="3">
        <v>1</v>
      </c>
      <c r="G52" s="3">
        <v>0.61492694134763781</v>
      </c>
      <c r="H52" s="3">
        <v>0.78858408353506526</v>
      </c>
    </row>
    <row r="53" spans="1:8" x14ac:dyDescent="0.35">
      <c r="A53" s="1">
        <v>40217</v>
      </c>
      <c r="B53" s="3">
        <v>0</v>
      </c>
      <c r="C53" s="3">
        <v>0</v>
      </c>
      <c r="D53" s="3">
        <v>0.19621339430588819</v>
      </c>
      <c r="E53" s="3">
        <v>-1.4100999999999999</v>
      </c>
      <c r="F53" s="3">
        <v>0</v>
      </c>
      <c r="G53" s="3">
        <v>0.62840084654661743</v>
      </c>
      <c r="H53" s="3">
        <v>0.77788969401804942</v>
      </c>
    </row>
    <row r="54" spans="1:8" x14ac:dyDescent="0.35">
      <c r="A54" s="1">
        <v>40218</v>
      </c>
      <c r="B54" s="3">
        <v>0</v>
      </c>
      <c r="C54" s="3">
        <v>0</v>
      </c>
      <c r="D54" s="3">
        <v>0.19623572961714153</v>
      </c>
      <c r="E54" s="3">
        <v>-1.41</v>
      </c>
      <c r="F54" s="3">
        <v>0</v>
      </c>
      <c r="G54" s="3">
        <v>0.64168879782511212</v>
      </c>
      <c r="H54" s="3">
        <v>0.76696511442552739</v>
      </c>
    </row>
    <row r="55" spans="1:8" x14ac:dyDescent="0.35">
      <c r="A55" s="1">
        <v>40219</v>
      </c>
      <c r="B55" s="3">
        <v>0</v>
      </c>
      <c r="C55" s="3">
        <v>0</v>
      </c>
      <c r="D55" s="3">
        <v>0.19627483524009845</v>
      </c>
      <c r="E55" s="3">
        <v>-1.4097</v>
      </c>
      <c r="F55" s="3">
        <v>0</v>
      </c>
      <c r="G55" s="3">
        <v>0.65478686306455025</v>
      </c>
      <c r="H55" s="3">
        <v>0.75581357751636469</v>
      </c>
    </row>
    <row r="56" spans="1:8" x14ac:dyDescent="0.35">
      <c r="A56" s="1">
        <v>40220</v>
      </c>
      <c r="B56" s="3">
        <v>0</v>
      </c>
      <c r="C56" s="3">
        <v>0</v>
      </c>
      <c r="D56" s="3">
        <v>0.19633070717544657</v>
      </c>
      <c r="E56" s="3">
        <v>-1.4094</v>
      </c>
      <c r="F56" s="3">
        <v>0</v>
      </c>
      <c r="G56" s="3">
        <v>0.6676911663367</v>
      </c>
      <c r="H56" s="3">
        <v>0.74443838320974376</v>
      </c>
    </row>
    <row r="57" spans="1:8" x14ac:dyDescent="0.35">
      <c r="A57" s="1">
        <v>40221</v>
      </c>
      <c r="B57" s="30">
        <v>0</v>
      </c>
      <c r="C57" s="30">
        <v>1</v>
      </c>
      <c r="D57" s="30">
        <v>0.19640333969862159</v>
      </c>
      <c r="E57" s="30">
        <v>-1.4089</v>
      </c>
      <c r="F57" s="30">
        <v>0</v>
      </c>
      <c r="G57" s="30">
        <v>0.6803978890506126</v>
      </c>
      <c r="H57" s="30">
        <v>0.73284289760866905</v>
      </c>
    </row>
    <row r="58" spans="1:8" x14ac:dyDescent="0.35">
      <c r="A58" s="1">
        <v>40222</v>
      </c>
      <c r="B58" s="3">
        <v>0</v>
      </c>
      <c r="C58" s="3">
        <v>0</v>
      </c>
      <c r="D58" s="3">
        <v>0.432901032240401</v>
      </c>
      <c r="E58" s="3">
        <v>-0.27</v>
      </c>
      <c r="F58" s="3">
        <v>1</v>
      </c>
      <c r="G58" s="3">
        <v>0.69290327108260075</v>
      </c>
      <c r="H58" s="3">
        <v>0.72103055200388833</v>
      </c>
    </row>
    <row r="59" spans="1:8" x14ac:dyDescent="0.35">
      <c r="A59" s="1">
        <v>40223</v>
      </c>
      <c r="B59" s="30">
        <v>0</v>
      </c>
      <c r="C59" s="30">
        <v>1</v>
      </c>
      <c r="D59" s="30">
        <v>0.1965988549171705</v>
      </c>
      <c r="E59" s="30">
        <v>-1.4077</v>
      </c>
      <c r="F59" s="30">
        <v>0</v>
      </c>
      <c r="G59" s="30">
        <v>0.70520361188893887</v>
      </c>
      <c r="H59" s="30">
        <v>0.70900484185849877</v>
      </c>
    </row>
    <row r="60" spans="1:8" x14ac:dyDescent="0.35">
      <c r="A60" s="1">
        <v>40224</v>
      </c>
      <c r="B60" s="3">
        <v>0</v>
      </c>
      <c r="C60" s="3">
        <v>0</v>
      </c>
      <c r="D60" s="3">
        <v>0.43325697712633032</v>
      </c>
      <c r="E60" s="3">
        <v>-0.26860000000000001</v>
      </c>
      <c r="F60" s="3">
        <v>1</v>
      </c>
      <c r="G60" s="3">
        <v>0.71729527160088402</v>
      </c>
      <c r="H60" s="3">
        <v>0.69676932577361217</v>
      </c>
    </row>
    <row r="61" spans="1:8" x14ac:dyDescent="0.35">
      <c r="A61" s="1">
        <v>40225</v>
      </c>
      <c r="B61" s="3">
        <v>0</v>
      </c>
      <c r="C61" s="3">
        <v>0</v>
      </c>
      <c r="D61" s="3">
        <v>0.19686130011248867</v>
      </c>
      <c r="E61" s="3">
        <v>-1.4059999999999999</v>
      </c>
      <c r="F61" s="3">
        <v>0</v>
      </c>
      <c r="G61" s="3">
        <v>0.7291746721017911</v>
      </c>
      <c r="H61" s="3">
        <v>0.68432762443528861</v>
      </c>
    </row>
    <row r="62" spans="1:8" x14ac:dyDescent="0.35">
      <c r="A62" s="1">
        <v>40226</v>
      </c>
      <c r="B62" s="3">
        <v>0</v>
      </c>
      <c r="C62" s="3">
        <v>0</v>
      </c>
      <c r="D62" s="3">
        <v>0.19701758840396574</v>
      </c>
      <c r="E62" s="3">
        <v>-1.405</v>
      </c>
      <c r="F62" s="3">
        <v>0</v>
      </c>
      <c r="G62" s="3">
        <v>0.74083829808593094</v>
      </c>
      <c r="H62" s="3">
        <v>0.67168341954312183</v>
      </c>
    </row>
    <row r="63" spans="1:8" x14ac:dyDescent="0.35">
      <c r="A63" s="1">
        <v>40227</v>
      </c>
      <c r="B63" s="3">
        <v>0</v>
      </c>
      <c r="C63" s="3">
        <v>0</v>
      </c>
      <c r="D63" s="3">
        <v>0.19719056589173503</v>
      </c>
      <c r="E63" s="3">
        <v>-1.4038999999999999</v>
      </c>
      <c r="F63" s="3">
        <v>0</v>
      </c>
      <c r="G63" s="3">
        <v>0.75228269809872494</v>
      </c>
      <c r="H63" s="3">
        <v>0.65884045272076508</v>
      </c>
    </row>
    <row r="64" spans="1:8" x14ac:dyDescent="0.35">
      <c r="A64" s="1">
        <v>40228</v>
      </c>
      <c r="B64" s="3">
        <v>0</v>
      </c>
      <c r="C64" s="3">
        <v>0</v>
      </c>
      <c r="D64" s="3">
        <v>0.19738021430201025</v>
      </c>
      <c r="E64" s="3">
        <v>-1.4027000000000001</v>
      </c>
      <c r="F64" s="3">
        <v>0</v>
      </c>
      <c r="G64" s="3">
        <v>0.76350448555808215</v>
      </c>
      <c r="H64" s="3">
        <v>0.64580252440872998</v>
      </c>
    </row>
    <row r="65" spans="1:8" x14ac:dyDescent="0.35">
      <c r="A65" s="1">
        <v>40229</v>
      </c>
      <c r="B65" s="3">
        <v>0</v>
      </c>
      <c r="C65" s="3">
        <v>0</v>
      </c>
      <c r="D65" s="3">
        <v>0.1975865134636306</v>
      </c>
      <c r="E65" s="3">
        <v>-1.4014</v>
      </c>
      <c r="F65" s="3">
        <v>0</v>
      </c>
      <c r="G65" s="3">
        <v>0.7745003397565613</v>
      </c>
      <c r="H65" s="3">
        <v>0.63257349273975361</v>
      </c>
    </row>
    <row r="66" spans="1:8" x14ac:dyDescent="0.35">
      <c r="A66" s="1">
        <v>40230</v>
      </c>
      <c r="B66" s="3">
        <v>0</v>
      </c>
      <c r="C66" s="3">
        <v>0</v>
      </c>
      <c r="D66" s="3">
        <v>0.19780944127284564</v>
      </c>
      <c r="E66" s="3">
        <v>-1.4</v>
      </c>
      <c r="F66" s="3">
        <v>0</v>
      </c>
      <c r="G66" s="3">
        <v>0.78526700684399431</v>
      </c>
      <c r="H66" s="3">
        <v>0.61915727239714646</v>
      </c>
    </row>
    <row r="67" spans="1:8" x14ac:dyDescent="0.35">
      <c r="A67" s="1">
        <v>40231</v>
      </c>
      <c r="B67" s="3">
        <v>0</v>
      </c>
      <c r="C67" s="3">
        <v>0</v>
      </c>
      <c r="D67" s="3">
        <v>0.19804897365517887</v>
      </c>
      <c r="E67" s="3">
        <v>-1.3985000000000001</v>
      </c>
      <c r="F67" s="3">
        <v>0</v>
      </c>
      <c r="G67" s="3">
        <v>0.7958013007903707</v>
      </c>
      <c r="H67" s="3">
        <v>0.60555783345635439</v>
      </c>
    </row>
    <row r="68" spans="1:8" x14ac:dyDescent="0.35">
      <c r="A68" s="1">
        <v>40232</v>
      </c>
      <c r="B68" s="3">
        <v>0</v>
      </c>
      <c r="C68" s="3">
        <v>0</v>
      </c>
      <c r="D68" s="3">
        <v>0.19830508452441567</v>
      </c>
      <c r="E68" s="3">
        <v>-1.3969</v>
      </c>
      <c r="F68" s="3">
        <v>0</v>
      </c>
      <c r="G68" s="3">
        <v>0.80610010432863155</v>
      </c>
      <c r="H68" s="3">
        <v>0.59177920021015384</v>
      </c>
    </row>
    <row r="69" spans="1:8" x14ac:dyDescent="0.35">
      <c r="A69" s="1">
        <v>40233</v>
      </c>
      <c r="B69" s="3">
        <v>0</v>
      </c>
      <c r="C69" s="3">
        <v>0</v>
      </c>
      <c r="D69" s="3">
        <v>0.19857774573876827</v>
      </c>
      <c r="E69" s="3">
        <v>-1.3952</v>
      </c>
      <c r="F69" s="3">
        <v>0</v>
      </c>
      <c r="G69" s="3">
        <v>0.81616036987711371</v>
      </c>
      <c r="H69" s="3">
        <v>0.57782544997780516</v>
      </c>
    </row>
    <row r="70" spans="1:8" x14ac:dyDescent="0.35">
      <c r="A70" s="1">
        <v>40234</v>
      </c>
      <c r="B70" s="3">
        <v>0</v>
      </c>
      <c r="C70" s="3">
        <v>0</v>
      </c>
      <c r="D70" s="3">
        <v>0.19886692705427356</v>
      </c>
      <c r="E70" s="3">
        <v>-1.3934</v>
      </c>
      <c r="F70" s="3">
        <v>0</v>
      </c>
      <c r="G70" s="3">
        <v>0.82597912044139565</v>
      </c>
      <c r="H70" s="3">
        <v>0.56370071189848459</v>
      </c>
    </row>
    <row r="71" spans="1:8" x14ac:dyDescent="0.35">
      <c r="A71" s="1">
        <v>40235</v>
      </c>
      <c r="B71" s="3">
        <v>0</v>
      </c>
      <c r="C71" s="3">
        <v>0</v>
      </c>
      <c r="D71" s="3">
        <v>0.19917259607548107</v>
      </c>
      <c r="E71" s="3">
        <v>-1.3915</v>
      </c>
      <c r="F71" s="3">
        <v>0</v>
      </c>
      <c r="G71" s="3">
        <v>0.8355534504952129</v>
      </c>
      <c r="H71" s="3">
        <v>0.54940916570944087</v>
      </c>
    </row>
    <row r="72" spans="1:8" x14ac:dyDescent="0.35">
      <c r="A72" s="1">
        <v>40236</v>
      </c>
      <c r="B72" s="3">
        <v>0</v>
      </c>
      <c r="C72" s="3">
        <v>0</v>
      </c>
      <c r="D72" s="3">
        <v>0.19949471820349821</v>
      </c>
      <c r="E72" s="3">
        <v>-1.3895</v>
      </c>
      <c r="F72" s="3">
        <v>0</v>
      </c>
      <c r="G72" s="3">
        <v>0.84488052684026604</v>
      </c>
      <c r="H72" s="3">
        <v>0.53495504050912024</v>
      </c>
    </row>
    <row r="73" spans="1:8" x14ac:dyDescent="0.35">
      <c r="A73" s="1">
        <v>40237</v>
      </c>
      <c r="B73" s="3">
        <v>0</v>
      </c>
      <c r="C73" s="3">
        <v>0</v>
      </c>
      <c r="D73" s="3">
        <v>0.19983325658145829</v>
      </c>
      <c r="E73" s="3">
        <v>-1.3873</v>
      </c>
      <c r="F73" s="3">
        <v>0</v>
      </c>
      <c r="G73" s="3">
        <v>0.85395758944460654</v>
      </c>
      <c r="H73" s="3">
        <v>0.52034261350571398</v>
      </c>
    </row>
    <row r="74" spans="1:8" x14ac:dyDescent="0.35">
      <c r="A74" s="1">
        <v>40238</v>
      </c>
      <c r="B74" s="30">
        <v>0</v>
      </c>
      <c r="C74" s="30">
        <v>1</v>
      </c>
      <c r="D74" s="30">
        <v>0.20018817203748401</v>
      </c>
      <c r="E74" s="30">
        <v>-1.3851</v>
      </c>
      <c r="F74" s="30">
        <v>0</v>
      </c>
      <c r="G74" s="30">
        <v>0.86278195225937393</v>
      </c>
      <c r="H74" s="30">
        <v>0.50557620875146358</v>
      </c>
    </row>
    <row r="75" spans="1:8" x14ac:dyDescent="0.35">
      <c r="A75" s="1">
        <v>40239</v>
      </c>
      <c r="B75" s="3">
        <v>0</v>
      </c>
      <c r="C75" s="3">
        <v>0</v>
      </c>
      <c r="D75" s="3">
        <v>0.43918619516938373</v>
      </c>
      <c r="E75" s="3">
        <v>-0.2445</v>
      </c>
      <c r="F75" s="3">
        <v>1</v>
      </c>
      <c r="G75" s="3">
        <v>0.8713510040136373</v>
      </c>
      <c r="H75" s="3">
        <v>0.49066019586311083</v>
      </c>
    </row>
    <row r="76" spans="1:8" x14ac:dyDescent="0.35">
      <c r="A76" s="1">
        <v>40240</v>
      </c>
      <c r="B76" s="3">
        <v>0</v>
      </c>
      <c r="C76" s="3">
        <v>0</v>
      </c>
      <c r="D76" s="3">
        <v>0.20094696556203748</v>
      </c>
      <c r="E76" s="3">
        <v>-1.3804000000000001</v>
      </c>
      <c r="F76" s="3">
        <v>0</v>
      </c>
      <c r="G76" s="3">
        <v>0.87966220898712699</v>
      </c>
      <c r="H76" s="3">
        <v>0.47559898872883249</v>
      </c>
    </row>
    <row r="77" spans="1:8" x14ac:dyDescent="0.35">
      <c r="A77" s="1">
        <v>40241</v>
      </c>
      <c r="B77" s="3">
        <v>0</v>
      </c>
      <c r="C77" s="3">
        <v>0</v>
      </c>
      <c r="D77" s="3">
        <v>0.20135075316492695</v>
      </c>
      <c r="E77" s="3">
        <v>-1.3778999999999999</v>
      </c>
      <c r="F77" s="3">
        <v>0</v>
      </c>
      <c r="G77" s="3">
        <v>0.88771310776057333</v>
      </c>
      <c r="H77" s="3">
        <v>0.46039704420213734</v>
      </c>
    </row>
    <row r="78" spans="1:8" x14ac:dyDescent="0.35">
      <c r="A78" s="1">
        <v>40242</v>
      </c>
      <c r="B78" s="30">
        <v>0</v>
      </c>
      <c r="C78" s="30">
        <v>1</v>
      </c>
      <c r="D78" s="30">
        <v>0.20177073678428295</v>
      </c>
      <c r="E78" s="30">
        <v>-1.3753</v>
      </c>
      <c r="F78" s="30">
        <v>0</v>
      </c>
      <c r="G78" s="30">
        <v>0.89550131794350263</v>
      </c>
      <c r="H78" s="30">
        <v>0.44505886078298662</v>
      </c>
    </row>
    <row r="79" spans="1:8" x14ac:dyDescent="0.35">
      <c r="A79" s="1">
        <v>40243</v>
      </c>
      <c r="B79" s="30">
        <v>0</v>
      </c>
      <c r="C79" s="30">
        <v>1</v>
      </c>
      <c r="D79" s="30">
        <v>0.44171074901212548</v>
      </c>
      <c r="E79" s="30">
        <v>-0.23419999999999999</v>
      </c>
      <c r="F79" s="30">
        <v>1</v>
      </c>
      <c r="G79" s="30">
        <v>0.90302453487922163</v>
      </c>
      <c r="H79" s="30">
        <v>0.4295889772866216</v>
      </c>
    </row>
    <row r="80" spans="1:8" x14ac:dyDescent="0.35">
      <c r="A80" s="1">
        <v>40244</v>
      </c>
      <c r="B80" s="30">
        <v>0</v>
      </c>
      <c r="C80" s="30">
        <v>1</v>
      </c>
      <c r="D80" s="30">
        <v>0.44240157283180287</v>
      </c>
      <c r="E80" s="30">
        <v>-0.23139999999999999</v>
      </c>
      <c r="F80" s="30">
        <v>1</v>
      </c>
      <c r="G80" s="30">
        <v>0.91028053232679906</v>
      </c>
      <c r="H80" s="30">
        <v>0.41399197150046191</v>
      </c>
    </row>
    <row r="81" spans="1:8" x14ac:dyDescent="0.35">
      <c r="A81" s="1">
        <v>40245</v>
      </c>
      <c r="B81" s="30">
        <v>0</v>
      </c>
      <c r="C81" s="30">
        <v>1</v>
      </c>
      <c r="D81" s="30">
        <v>0.4431159126742239</v>
      </c>
      <c r="E81" s="30">
        <v>-0.22850000000000001</v>
      </c>
      <c r="F81" s="30">
        <v>1</v>
      </c>
      <c r="G81" s="30">
        <v>0.91726716311985856</v>
      </c>
      <c r="H81" s="30">
        <v>0.3982724588294384</v>
      </c>
    </row>
    <row r="82" spans="1:8" x14ac:dyDescent="0.35">
      <c r="A82" s="1">
        <v>40246</v>
      </c>
      <c r="B82" s="30">
        <v>0</v>
      </c>
      <c r="C82" s="30">
        <v>1</v>
      </c>
      <c r="D82" s="30">
        <v>0.44385357732587255</v>
      </c>
      <c r="E82" s="30">
        <v>-0.22550000000000001</v>
      </c>
      <c r="F82" s="30">
        <v>1</v>
      </c>
      <c r="G82" s="30">
        <v>0.92398235980194132</v>
      </c>
      <c r="H82" s="30">
        <v>0.38243509093025951</v>
      </c>
    </row>
    <row r="83" spans="1:8" x14ac:dyDescent="0.35">
      <c r="A83" s="1">
        <v>40247</v>
      </c>
      <c r="B83" s="3">
        <v>0</v>
      </c>
      <c r="C83" s="3">
        <v>0</v>
      </c>
      <c r="D83" s="3">
        <v>0.44461436861187698</v>
      </c>
      <c r="E83" s="3">
        <v>-0.2225</v>
      </c>
      <c r="F83" s="3">
        <v>1</v>
      </c>
      <c r="G83" s="3">
        <v>0.93042413523831446</v>
      </c>
      <c r="H83" s="3">
        <v>0.36648455433487881</v>
      </c>
    </row>
    <row r="84" spans="1:8" x14ac:dyDescent="0.35">
      <c r="A84" s="1">
        <v>40248</v>
      </c>
      <c r="B84" s="30">
        <v>0</v>
      </c>
      <c r="C84" s="30">
        <v>1</v>
      </c>
      <c r="D84" s="30">
        <v>0.20462766705305663</v>
      </c>
      <c r="E84" s="30">
        <v>-1.3575999999999999</v>
      </c>
      <c r="F84" s="30">
        <v>0</v>
      </c>
      <c r="G84" s="30">
        <v>0.93659058320398036</v>
      </c>
      <c r="H84" s="30">
        <v>0.35042556906371414</v>
      </c>
    </row>
    <row r="85" spans="1:8" x14ac:dyDescent="0.35">
      <c r="A85" s="1">
        <v>40249</v>
      </c>
      <c r="B85" s="3">
        <v>0</v>
      </c>
      <c r="C85" s="3">
        <v>0</v>
      </c>
      <c r="D85" s="3">
        <v>0.44620450353546537</v>
      </c>
      <c r="E85" s="3">
        <v>-0.216</v>
      </c>
      <c r="F85" s="3">
        <v>1</v>
      </c>
      <c r="G85" s="3">
        <v>0.94247987894778773</v>
      </c>
      <c r="H85" s="3">
        <v>0.33426288722884484</v>
      </c>
    </row>
    <row r="86" spans="1:8" x14ac:dyDescent="0.35">
      <c r="A86" s="1">
        <v>40250</v>
      </c>
      <c r="B86" s="3">
        <v>0</v>
      </c>
      <c r="C86" s="3">
        <v>0</v>
      </c>
      <c r="D86" s="3">
        <v>0.20570687353407535</v>
      </c>
      <c r="E86" s="3">
        <v>-1.351</v>
      </c>
      <c r="F86" s="3">
        <v>0</v>
      </c>
      <c r="G86" s="3">
        <v>0.94809027973236637</v>
      </c>
      <c r="H86" s="3">
        <v>0.31800129162788521</v>
      </c>
    </row>
    <row r="87" spans="1:8" x14ac:dyDescent="0.35">
      <c r="A87" s="1">
        <v>40251</v>
      </c>
      <c r="B87" s="3">
        <v>0</v>
      </c>
      <c r="C87" s="3">
        <v>0</v>
      </c>
      <c r="D87" s="3">
        <v>0.20626995528463457</v>
      </c>
      <c r="E87" s="3">
        <v>-1.3475999999999999</v>
      </c>
      <c r="F87" s="3">
        <v>0</v>
      </c>
      <c r="G87" s="3">
        <v>0.95342012534986653</v>
      </c>
      <c r="H87" s="3">
        <v>0.30164559432858412</v>
      </c>
    </row>
    <row r="88" spans="1:8" x14ac:dyDescent="0.35">
      <c r="A88" s="1">
        <v>40252</v>
      </c>
      <c r="B88" s="3">
        <v>0</v>
      </c>
      <c r="C88" s="3">
        <v>0</v>
      </c>
      <c r="D88" s="3">
        <v>0.2068485854638214</v>
      </c>
      <c r="E88" s="3">
        <v>-1.3440000000000001</v>
      </c>
      <c r="F88" s="3">
        <v>0</v>
      </c>
      <c r="G88" s="3">
        <v>0.95846783861322515</v>
      </c>
      <c r="H88" s="3">
        <v>0.28520063524489669</v>
      </c>
    </row>
    <row r="89" spans="1:8" x14ac:dyDescent="0.35">
      <c r="A89" s="1">
        <v>40253</v>
      </c>
      <c r="B89" s="3">
        <v>0</v>
      </c>
      <c r="C89" s="3">
        <v>0</v>
      </c>
      <c r="D89" s="3">
        <v>0.20744268189767104</v>
      </c>
      <c r="E89" s="3">
        <v>-1.3404</v>
      </c>
      <c r="F89" s="3">
        <v>0</v>
      </c>
      <c r="G89" s="3">
        <v>0.96323192582286921</v>
      </c>
      <c r="H89" s="3">
        <v>0.26867128070481688</v>
      </c>
    </row>
    <row r="90" spans="1:8" x14ac:dyDescent="0.35">
      <c r="A90" s="1">
        <v>40254</v>
      </c>
      <c r="B90" s="3">
        <v>0</v>
      </c>
      <c r="C90" s="3">
        <v>0</v>
      </c>
      <c r="D90" s="3">
        <v>0.20805215891949186</v>
      </c>
      <c r="E90" s="3">
        <v>-1.3367</v>
      </c>
      <c r="F90" s="3">
        <v>0</v>
      </c>
      <c r="G90" s="3">
        <v>0.96771097720875465</v>
      </c>
      <c r="H90" s="3">
        <v>0.25206242201025758</v>
      </c>
    </row>
    <row r="91" spans="1:8" x14ac:dyDescent="0.35">
      <c r="A91" s="1">
        <v>40255</v>
      </c>
      <c r="B91" s="3">
        <v>0</v>
      </c>
      <c r="C91" s="3">
        <v>0</v>
      </c>
      <c r="D91" s="3">
        <v>0.20867692728544418</v>
      </c>
      <c r="E91" s="3">
        <v>-1.3329</v>
      </c>
      <c r="F91" s="3">
        <v>0</v>
      </c>
      <c r="G91" s="3">
        <v>0.97190366734750777</v>
      </c>
      <c r="H91" s="3">
        <v>0.23537897398974478</v>
      </c>
    </row>
    <row r="92" spans="1:8" x14ac:dyDescent="0.35">
      <c r="A92" s="1">
        <v>40256</v>
      </c>
      <c r="B92" s="3">
        <v>0</v>
      </c>
      <c r="C92" s="3">
        <v>0</v>
      </c>
      <c r="D92" s="3">
        <v>0.20931689408965348</v>
      </c>
      <c r="E92" s="3">
        <v>-1.329</v>
      </c>
      <c r="F92" s="3">
        <v>0</v>
      </c>
      <c r="G92" s="3">
        <v>0.97580875555466662</v>
      </c>
      <c r="H92" s="3">
        <v>0.21862587354394489</v>
      </c>
    </row>
    <row r="93" spans="1:8" x14ac:dyDescent="0.35">
      <c r="A93" s="1">
        <v>40257</v>
      </c>
      <c r="B93" s="30">
        <v>0</v>
      </c>
      <c r="C93" s="30">
        <v>1</v>
      </c>
      <c r="D93" s="30">
        <v>0.20997196267899823</v>
      </c>
      <c r="E93" s="30">
        <v>-1.3250999999999999</v>
      </c>
      <c r="F93" s="30">
        <v>0</v>
      </c>
      <c r="G93" s="30">
        <v>0.97942508625180658</v>
      </c>
      <c r="H93" s="30">
        <v>0.2018080781847974</v>
      </c>
    </row>
    <row r="94" spans="1:8" x14ac:dyDescent="0.35">
      <c r="A94" s="1">
        <v>40258</v>
      </c>
      <c r="B94" s="3">
        <v>0</v>
      </c>
      <c r="C94" s="3">
        <v>0</v>
      </c>
      <c r="D94" s="3">
        <v>0.45444577189386515</v>
      </c>
      <c r="E94" s="3">
        <v>-0.1827</v>
      </c>
      <c r="F94" s="3">
        <v>1</v>
      </c>
      <c r="G94" s="3">
        <v>0.98275158930848727</v>
      </c>
      <c r="H94" s="3">
        <v>0.18493056456854917</v>
      </c>
    </row>
    <row r="95" spans="1:8" x14ac:dyDescent="0.35">
      <c r="A95" s="1">
        <v>40259</v>
      </c>
      <c r="B95" s="3">
        <v>0</v>
      </c>
      <c r="C95" s="3">
        <v>0</v>
      </c>
      <c r="D95" s="3">
        <v>0.21132699935211299</v>
      </c>
      <c r="E95" s="3">
        <v>-1.3169</v>
      </c>
      <c r="F95" s="3">
        <v>0</v>
      </c>
      <c r="G95" s="3">
        <v>0.98578728035894148</v>
      </c>
      <c r="H95" s="3">
        <v>0.16799832702298442</v>
      </c>
    </row>
    <row r="96" spans="1:8" x14ac:dyDescent="0.35">
      <c r="A96" s="1">
        <v>40260</v>
      </c>
      <c r="B96" s="3">
        <v>0</v>
      </c>
      <c r="C96" s="3">
        <v>0</v>
      </c>
      <c r="D96" s="3">
        <v>0.21202675462516665</v>
      </c>
      <c r="E96" s="3">
        <v>-1.3128</v>
      </c>
      <c r="F96" s="3">
        <v>0</v>
      </c>
      <c r="G96" s="3">
        <v>0.98853126109334288</v>
      </c>
      <c r="H96" s="3">
        <v>0.15101637606963442</v>
      </c>
    </row>
    <row r="97" spans="1:8" x14ac:dyDescent="0.35">
      <c r="A97" s="1">
        <v>40261</v>
      </c>
      <c r="B97" s="3">
        <v>0</v>
      </c>
      <c r="C97" s="3">
        <v>0</v>
      </c>
      <c r="D97" s="3">
        <v>0.21274118589180463</v>
      </c>
      <c r="E97" s="3">
        <v>-1.3085</v>
      </c>
      <c r="F97" s="3">
        <v>0</v>
      </c>
      <c r="G97" s="3">
        <v>0.99098271952364814</v>
      </c>
      <c r="H97" s="3">
        <v>0.13398973694098557</v>
      </c>
    </row>
    <row r="98" spans="1:8" x14ac:dyDescent="0.35">
      <c r="A98" s="1">
        <v>40262</v>
      </c>
      <c r="B98" s="3">
        <v>0</v>
      </c>
      <c r="C98" s="3">
        <v>0</v>
      </c>
      <c r="D98" s="3">
        <v>0.21347017648441496</v>
      </c>
      <c r="E98" s="3">
        <v>-1.3041</v>
      </c>
      <c r="F98" s="3">
        <v>0</v>
      </c>
      <c r="G98" s="3">
        <v>0.9931409302238694</v>
      </c>
      <c r="H98" s="3">
        <v>0.11692344809347423</v>
      </c>
    </row>
    <row r="99" spans="1:8" x14ac:dyDescent="0.35">
      <c r="A99" s="1">
        <v>40263</v>
      </c>
      <c r="B99" s="3">
        <v>0</v>
      </c>
      <c r="C99" s="3">
        <v>0</v>
      </c>
      <c r="D99" s="3">
        <v>0.21421360547912605</v>
      </c>
      <c r="E99" s="3">
        <v>-1.2997000000000001</v>
      </c>
      <c r="F99" s="3">
        <v>0</v>
      </c>
      <c r="G99" s="3">
        <v>0.99500525454473454</v>
      </c>
      <c r="H99" s="3">
        <v>9.9822559716568726E-2</v>
      </c>
    </row>
    <row r="100" spans="1:8" x14ac:dyDescent="0.35">
      <c r="A100" s="1">
        <v>40264</v>
      </c>
      <c r="B100" s="3">
        <v>0</v>
      </c>
      <c r="C100" s="3">
        <v>0</v>
      </c>
      <c r="D100" s="3">
        <v>0.21497134761291761</v>
      </c>
      <c r="E100" s="3">
        <v>-1.2951999999999999</v>
      </c>
      <c r="F100" s="3">
        <v>0</v>
      </c>
      <c r="G100" s="3">
        <v>0.99657514080268617</v>
      </c>
      <c r="H100" s="3">
        <v>8.2692132238238403E-2</v>
      </c>
    </row>
    <row r="101" spans="1:8" x14ac:dyDescent="0.35">
      <c r="A101" s="1">
        <v>40265</v>
      </c>
      <c r="B101" s="3">
        <v>0</v>
      </c>
      <c r="C101" s="3">
        <v>0</v>
      </c>
      <c r="D101" s="3">
        <v>0.21574327320174252</v>
      </c>
      <c r="E101" s="3">
        <v>-1.2906</v>
      </c>
      <c r="F101" s="3">
        <v>0</v>
      </c>
      <c r="G101" s="3">
        <v>0.99785012444312071</v>
      </c>
      <c r="H101" s="3">
        <v>6.5537234827604457E-2</v>
      </c>
    </row>
    <row r="102" spans="1:8" x14ac:dyDescent="0.35">
      <c r="A102" s="1">
        <v>40266</v>
      </c>
      <c r="B102" s="30">
        <v>0</v>
      </c>
      <c r="C102" s="30">
        <v>1</v>
      </c>
      <c r="D102" s="30">
        <v>0.21652924805985752</v>
      </c>
      <c r="E102" s="30">
        <v>-1.286</v>
      </c>
      <c r="F102" s="30">
        <v>0</v>
      </c>
      <c r="G102" s="30">
        <v>0.99882982817786792</v>
      </c>
      <c r="H102" s="30">
        <v>4.8362943894792322E-2</v>
      </c>
    </row>
    <row r="103" spans="1:8" x14ac:dyDescent="0.35">
      <c r="A103" s="1">
        <v>40267</v>
      </c>
      <c r="B103" s="30">
        <v>0</v>
      </c>
      <c r="C103" s="30">
        <v>1</v>
      </c>
      <c r="D103" s="30">
        <v>0.46431995560588513</v>
      </c>
      <c r="E103" s="30">
        <v>-0.14299999999999999</v>
      </c>
      <c r="F103" s="30">
        <v>1</v>
      </c>
      <c r="G103" s="30">
        <v>0.9995139620968313</v>
      </c>
      <c r="H103" s="30">
        <v>3.1174341588782576E-2</v>
      </c>
    </row>
    <row r="104" spans="1:8" x14ac:dyDescent="0.35">
      <c r="A104" s="1">
        <v>40268</v>
      </c>
      <c r="B104" s="3">
        <v>0</v>
      </c>
      <c r="C104" s="3">
        <v>0</v>
      </c>
      <c r="D104" s="3">
        <v>0.4655083260106585</v>
      </c>
      <c r="E104" s="3">
        <v>-0.13819999999999999</v>
      </c>
      <c r="F104" s="3">
        <v>1</v>
      </c>
      <c r="G104" s="3">
        <v>0.99990232375377641</v>
      </c>
      <c r="H104" s="3">
        <v>1.3976514293563979E-2</v>
      </c>
    </row>
    <row r="105" spans="1:8" x14ac:dyDescent="0.35">
      <c r="A105" s="1">
        <v>40269</v>
      </c>
      <c r="B105" s="3">
        <v>0</v>
      </c>
      <c r="C105" s="3">
        <v>0</v>
      </c>
      <c r="D105" s="3">
        <v>0.21897005721305454</v>
      </c>
      <c r="E105" s="3">
        <v>-1.2717000000000001</v>
      </c>
      <c r="F105" s="3">
        <v>0</v>
      </c>
      <c r="G105" s="3">
        <v>0.99999479822624138</v>
      </c>
      <c r="H105" s="3">
        <v>-3.2254488771087842E-3</v>
      </c>
    </row>
    <row r="106" spans="1:8" x14ac:dyDescent="0.35">
      <c r="A106" s="1">
        <v>40270</v>
      </c>
      <c r="B106" s="3">
        <v>0</v>
      </c>
      <c r="C106" s="3">
        <v>0</v>
      </c>
      <c r="D106" s="3">
        <v>0.21981079451589952</v>
      </c>
      <c r="E106" s="3">
        <v>-1.2667999999999999</v>
      </c>
      <c r="F106" s="3">
        <v>0</v>
      </c>
      <c r="G106" s="3">
        <v>0.9997913581495419</v>
      </c>
      <c r="H106" s="3">
        <v>-2.0426457585552119E-2</v>
      </c>
    </row>
    <row r="107" spans="1:8" x14ac:dyDescent="0.35">
      <c r="A107" s="1">
        <v>40271</v>
      </c>
      <c r="B107" s="3">
        <v>0</v>
      </c>
      <c r="C107" s="3">
        <v>0</v>
      </c>
      <c r="D107" s="3">
        <v>0.22066483991733615</v>
      </c>
      <c r="E107" s="3">
        <v>-1.2618</v>
      </c>
      <c r="F107" s="3">
        <v>0</v>
      </c>
      <c r="G107" s="3">
        <v>0.99929206372486956</v>
      </c>
      <c r="H107" s="3">
        <v>-3.762142177657999E-2</v>
      </c>
    </row>
    <row r="108" spans="1:8" x14ac:dyDescent="0.35">
      <c r="A108" s="1">
        <v>40272</v>
      </c>
      <c r="B108" s="3">
        <v>0</v>
      </c>
      <c r="C108" s="3">
        <v>0</v>
      </c>
      <c r="D108" s="3">
        <v>0.22153203061761467</v>
      </c>
      <c r="E108" s="3">
        <v>-1.2567999999999999</v>
      </c>
      <c r="F108" s="3">
        <v>0</v>
      </c>
      <c r="G108" s="3">
        <v>0.99849706270147809</v>
      </c>
      <c r="H108" s="3">
        <v>-5.48052531836195E-2</v>
      </c>
    </row>
    <row r="109" spans="1:8" x14ac:dyDescent="0.35">
      <c r="A109" s="1">
        <v>40273</v>
      </c>
      <c r="B109" s="3">
        <v>0</v>
      </c>
      <c r="C109" s="3">
        <v>0</v>
      </c>
      <c r="D109" s="3">
        <v>0.22241219879964946</v>
      </c>
      <c r="E109" s="3">
        <v>-1.2517</v>
      </c>
      <c r="F109" s="3">
        <v>0</v>
      </c>
      <c r="G109" s="3">
        <v>0.99740659033296042</v>
      </c>
      <c r="H109" s="3">
        <v>-7.1972866834510249E-2</v>
      </c>
    </row>
    <row r="110" spans="1:8" x14ac:dyDescent="0.35">
      <c r="A110" s="1">
        <v>40274</v>
      </c>
      <c r="B110" s="3">
        <v>0</v>
      </c>
      <c r="C110" s="3">
        <v>0</v>
      </c>
      <c r="D110" s="3">
        <v>0.22330517156460769</v>
      </c>
      <c r="E110" s="3">
        <v>-1.2464999999999999</v>
      </c>
      <c r="F110" s="3">
        <v>0</v>
      </c>
      <c r="G110" s="3">
        <v>0.99602096930763317</v>
      </c>
      <c r="H110" s="3">
        <v>-8.9119182556186755E-2</v>
      </c>
    </row>
    <row r="111" spans="1:8" x14ac:dyDescent="0.35">
      <c r="A111" s="1">
        <v>40275</v>
      </c>
      <c r="B111" s="30">
        <v>0</v>
      </c>
      <c r="C111" s="30">
        <v>1</v>
      </c>
      <c r="D111" s="30">
        <v>0.22421077087037522</v>
      </c>
      <c r="E111" s="30">
        <v>-1.2413000000000001</v>
      </c>
      <c r="F111" s="30">
        <v>0</v>
      </c>
      <c r="G111" s="30">
        <v>0.99434060965305249</v>
      </c>
      <c r="H111" s="30">
        <v>-0.10623912647794095</v>
      </c>
    </row>
    <row r="112" spans="1:8" x14ac:dyDescent="0.35">
      <c r="A112" s="1">
        <v>40276</v>
      </c>
      <c r="B112" s="30">
        <v>0</v>
      </c>
      <c r="C112" s="30">
        <v>1</v>
      </c>
      <c r="D112" s="30">
        <v>0.47559742081532763</v>
      </c>
      <c r="E112" s="30">
        <v>-9.7699999999999995E-2</v>
      </c>
      <c r="F112" s="30">
        <v>1</v>
      </c>
      <c r="G112" s="30">
        <v>0.99236600861467184</v>
      </c>
      <c r="H112" s="30">
        <v>-0.12332763253296126</v>
      </c>
    </row>
    <row r="113" spans="1:8" x14ac:dyDescent="0.35">
      <c r="A113" s="1">
        <v>40277</v>
      </c>
      <c r="B113" s="3">
        <v>0</v>
      </c>
      <c r="C113" s="3">
        <v>0</v>
      </c>
      <c r="D113" s="3">
        <v>0.47692568913493288</v>
      </c>
      <c r="E113" s="3">
        <v>-9.2399999999999996E-2</v>
      </c>
      <c r="F113" s="3">
        <v>1</v>
      </c>
      <c r="G113" s="3">
        <v>0.99009775050870996</v>
      </c>
      <c r="H113" s="3">
        <v>-0.14037964395735014</v>
      </c>
    </row>
    <row r="114" spans="1:8" x14ac:dyDescent="0.35">
      <c r="A114" s="1">
        <v>40278</v>
      </c>
      <c r="B114" s="30">
        <v>0</v>
      </c>
      <c r="C114" s="30">
        <v>1</v>
      </c>
      <c r="D114" s="30">
        <v>0.22700146925731829</v>
      </c>
      <c r="E114" s="30">
        <v>-1.2253000000000001</v>
      </c>
      <c r="F114" s="30">
        <v>0</v>
      </c>
      <c r="G114" s="30">
        <v>0.98753650654923164</v>
      </c>
      <c r="H114" s="30">
        <v>-0.15739011478660078</v>
      </c>
    </row>
    <row r="115" spans="1:8" x14ac:dyDescent="0.35">
      <c r="A115" s="1">
        <v>40279</v>
      </c>
      <c r="B115" s="30">
        <v>0</v>
      </c>
      <c r="C115" s="30">
        <v>1</v>
      </c>
      <c r="D115" s="30">
        <v>0.47962265653835739</v>
      </c>
      <c r="E115" s="30">
        <v>-8.1600000000000006E-2</v>
      </c>
      <c r="F115" s="30">
        <v>1</v>
      </c>
      <c r="G115" s="30">
        <v>0.98468303464952855</v>
      </c>
      <c r="H115" s="30">
        <v>-0.17435401134873665</v>
      </c>
    </row>
    <row r="116" spans="1:8" x14ac:dyDescent="0.35">
      <c r="A116" s="1">
        <v>40280</v>
      </c>
      <c r="B116" s="30">
        <v>0</v>
      </c>
      <c r="C116" s="30">
        <v>1</v>
      </c>
      <c r="D116" s="30">
        <v>0.48099053655507107</v>
      </c>
      <c r="E116" s="30">
        <v>-7.6100000000000001E-2</v>
      </c>
      <c r="F116" s="30">
        <v>1</v>
      </c>
      <c r="G116" s="30">
        <v>0.98153817919784836</v>
      </c>
      <c r="H116" s="30">
        <v>-0.19126631375381409</v>
      </c>
    </row>
    <row r="117" spans="1:8" x14ac:dyDescent="0.35">
      <c r="A117" s="1">
        <v>40281</v>
      </c>
      <c r="B117" s="30">
        <v>0</v>
      </c>
      <c r="C117" s="30">
        <v>1</v>
      </c>
      <c r="D117" s="30">
        <v>0.48237079280339251</v>
      </c>
      <c r="E117" s="30">
        <v>-7.0499999999999993E-2</v>
      </c>
      <c r="F117" s="30">
        <v>1</v>
      </c>
      <c r="G117" s="30">
        <v>0.97810287080751002</v>
      </c>
      <c r="H117" s="30">
        <v>-0.20812201737948666</v>
      </c>
    </row>
    <row r="118" spans="1:8" x14ac:dyDescent="0.35">
      <c r="A118" s="1">
        <v>40282</v>
      </c>
      <c r="B118" s="3">
        <v>0</v>
      </c>
      <c r="C118" s="3">
        <v>0</v>
      </c>
      <c r="D118" s="3">
        <v>0.48376300306159248</v>
      </c>
      <c r="E118" s="3">
        <v>-6.5000000000000002E-2</v>
      </c>
      <c r="F118" s="3">
        <v>1</v>
      </c>
      <c r="G118" s="3">
        <v>0.97437812604154062</v>
      </c>
      <c r="H118" s="3">
        <v>-0.22491613435184141</v>
      </c>
    </row>
    <row r="119" spans="1:8" x14ac:dyDescent="0.35">
      <c r="A119" s="1">
        <v>40283</v>
      </c>
      <c r="B119" s="3">
        <v>0</v>
      </c>
      <c r="C119" s="3">
        <v>0</v>
      </c>
      <c r="D119" s="3">
        <v>0.2318870152901055</v>
      </c>
      <c r="E119" s="3">
        <v>-1.1977</v>
      </c>
      <c r="F119" s="3">
        <v>0</v>
      </c>
      <c r="G119" s="3">
        <v>0.97036504711183913</v>
      </c>
      <c r="H119" s="3">
        <v>-0.24164369502148886</v>
      </c>
    </row>
    <row r="120" spans="1:8" x14ac:dyDescent="0.35">
      <c r="A120" s="1">
        <v>40284</v>
      </c>
      <c r="B120" s="3">
        <v>0</v>
      </c>
      <c r="C120" s="3">
        <v>0</v>
      </c>
      <c r="D120" s="3">
        <v>0.23289736672684497</v>
      </c>
      <c r="E120" s="3">
        <v>-1.1919999999999999</v>
      </c>
      <c r="F120" s="3">
        <v>0</v>
      </c>
      <c r="G120" s="3">
        <v>0.96606482155302131</v>
      </c>
      <c r="H120" s="3">
        <v>-0.25829974943412004</v>
      </c>
    </row>
    <row r="121" spans="1:8" x14ac:dyDescent="0.35">
      <c r="A121" s="1">
        <v>40285</v>
      </c>
      <c r="B121" s="3">
        <v>0</v>
      </c>
      <c r="C121" s="3">
        <v>0</v>
      </c>
      <c r="D121" s="3">
        <v>0.23391827029178441</v>
      </c>
      <c r="E121" s="3">
        <v>-1.1862999999999999</v>
      </c>
      <c r="F121" s="3">
        <v>0</v>
      </c>
      <c r="G121" s="3">
        <v>0.96147872187102112</v>
      </c>
      <c r="H121" s="3">
        <v>-0.2748793687952365</v>
      </c>
    </row>
    <row r="122" spans="1:8" x14ac:dyDescent="0.35">
      <c r="A122" s="1">
        <v>40286</v>
      </c>
      <c r="B122" s="3">
        <v>0</v>
      </c>
      <c r="C122" s="3">
        <v>0</v>
      </c>
      <c r="D122" s="3">
        <v>0.23494948831174536</v>
      </c>
      <c r="E122" s="3">
        <v>-1.1806000000000001</v>
      </c>
      <c r="F122" s="3">
        <v>0</v>
      </c>
      <c r="G122" s="3">
        <v>0.95660810516651018</v>
      </c>
      <c r="H122" s="3">
        <v>-0.29137764692875634</v>
      </c>
    </row>
    <row r="123" spans="1:8" x14ac:dyDescent="0.35">
      <c r="A123" s="1">
        <v>40287</v>
      </c>
      <c r="B123" s="3">
        <v>0</v>
      </c>
      <c r="C123" s="3">
        <v>0</v>
      </c>
      <c r="D123" s="3">
        <v>0.23599077752223374</v>
      </c>
      <c r="E123" s="3">
        <v>-1.1748000000000001</v>
      </c>
      <c r="F123" s="3">
        <v>0</v>
      </c>
      <c r="G123" s="3">
        <v>0.95145441273333575</v>
      </c>
      <c r="H123" s="3">
        <v>-0.30778970172873432</v>
      </c>
    </row>
    <row r="124" spans="1:8" x14ac:dyDescent="0.35">
      <c r="A124" s="1">
        <v>40288</v>
      </c>
      <c r="B124" s="3">
        <v>0</v>
      </c>
      <c r="C124" s="3">
        <v>0</v>
      </c>
      <c r="D124" s="3">
        <v>0.23704188905944992</v>
      </c>
      <c r="E124" s="3">
        <v>-1.169</v>
      </c>
      <c r="F124" s="3">
        <v>0</v>
      </c>
      <c r="G124" s="3">
        <v>0.94601916963201282</v>
      </c>
      <c r="H124" s="3">
        <v>-0.32411067660408366</v>
      </c>
    </row>
    <row r="125" spans="1:8" x14ac:dyDescent="0.35">
      <c r="A125" s="1">
        <v>40289</v>
      </c>
      <c r="B125" s="30">
        <v>0</v>
      </c>
      <c r="C125" s="30">
        <v>1</v>
      </c>
      <c r="D125" s="30">
        <v>0.23810256845753219</v>
      </c>
      <c r="E125" s="30">
        <v>-1.1631</v>
      </c>
      <c r="F125" s="30">
        <v>0</v>
      </c>
      <c r="G125" s="30">
        <v>0.94030398423840189</v>
      </c>
      <c r="H125" s="30">
        <v>-0.34033574191581345</v>
      </c>
    </row>
    <row r="126" spans="1:8" x14ac:dyDescent="0.35">
      <c r="A126" s="1">
        <v>40290</v>
      </c>
      <c r="B126" s="3">
        <v>0</v>
      </c>
      <c r="C126" s="3">
        <v>0</v>
      </c>
      <c r="D126" s="3">
        <v>0.49527884817877776</v>
      </c>
      <c r="E126" s="3">
        <v>-1.89E-2</v>
      </c>
      <c r="F126" s="3">
        <v>1</v>
      </c>
      <c r="G126" s="3">
        <v>0.9343105477678233</v>
      </c>
      <c r="H126" s="3">
        <v>-0.35646009640602133</v>
      </c>
    </row>
    <row r="127" spans="1:8" x14ac:dyDescent="0.35">
      <c r="A127" s="1">
        <v>40291</v>
      </c>
      <c r="B127" s="3">
        <v>0</v>
      </c>
      <c r="C127" s="3">
        <v>0</v>
      </c>
      <c r="D127" s="3">
        <v>0.24025158498356497</v>
      </c>
      <c r="E127" s="3">
        <v>-1.1513</v>
      </c>
      <c r="F127" s="3">
        <v>0</v>
      </c>
      <c r="G127" s="3">
        <v>0.92804063377454371</v>
      </c>
      <c r="H127" s="3">
        <v>-0.37247896861882451</v>
      </c>
    </row>
    <row r="128" spans="1:8" x14ac:dyDescent="0.35">
      <c r="A128" s="1">
        <v>40292</v>
      </c>
      <c r="B128" s="30">
        <v>0</v>
      </c>
      <c r="C128" s="30">
        <v>1</v>
      </c>
      <c r="D128" s="30">
        <v>0.24133938522037268</v>
      </c>
      <c r="E128" s="30">
        <v>-1.1454</v>
      </c>
      <c r="F128" s="30">
        <v>0</v>
      </c>
      <c r="G128" s="30">
        <v>0.92149609762699192</v>
      </c>
      <c r="H128" s="30">
        <v>-0.38838761831220286</v>
      </c>
    </row>
    <row r="129" spans="1:8" x14ac:dyDescent="0.35">
      <c r="A129" s="1">
        <v>40293</v>
      </c>
      <c r="B129" s="30">
        <v>0</v>
      </c>
      <c r="C129" s="30">
        <v>1</v>
      </c>
      <c r="D129" s="30">
        <v>0.49974103115266721</v>
      </c>
      <c r="E129" s="30">
        <v>-1E-3</v>
      </c>
      <c r="F129" s="30">
        <v>1</v>
      </c>
      <c r="G129" s="30">
        <v>0.91467887595871111</v>
      </c>
      <c r="H129" s="30">
        <v>-0.40418133786075361</v>
      </c>
    </row>
    <row r="130" spans="1:8" x14ac:dyDescent="0.35">
      <c r="A130" s="1">
        <v>40294</v>
      </c>
      <c r="B130" s="30">
        <v>1</v>
      </c>
      <c r="C130" s="30">
        <v>0</v>
      </c>
      <c r="D130" s="30">
        <v>0.50124216864178728</v>
      </c>
      <c r="E130" s="30">
        <v>5.0000000000000001E-3</v>
      </c>
      <c r="F130" s="30">
        <v>1</v>
      </c>
      <c r="G130" s="30">
        <v>0.90759098609526634</v>
      </c>
      <c r="H130" s="30">
        <v>-0.41985545364877902</v>
      </c>
    </row>
    <row r="131" spans="1:8" x14ac:dyDescent="0.35">
      <c r="A131" s="1">
        <v>40295</v>
      </c>
      <c r="B131" s="3">
        <v>0</v>
      </c>
      <c r="C131" s="3">
        <v>0</v>
      </c>
      <c r="D131" s="3">
        <v>0.24465261579538994</v>
      </c>
      <c r="E131" s="3">
        <v>-1.1273</v>
      </c>
      <c r="F131" s="3">
        <v>0</v>
      </c>
      <c r="G131" s="3">
        <v>0.9002345254573012</v>
      </c>
      <c r="H131" s="3">
        <v>-0.43540532745324512</v>
      </c>
    </row>
    <row r="132" spans="1:8" x14ac:dyDescent="0.35">
      <c r="A132" s="1">
        <v>40296</v>
      </c>
      <c r="B132" s="30">
        <v>0</v>
      </c>
      <c r="C132" s="30">
        <v>1</v>
      </c>
      <c r="D132" s="30">
        <v>0.24577267655291546</v>
      </c>
      <c r="E132" s="30">
        <v>-1.1213</v>
      </c>
      <c r="F132" s="30">
        <v>0</v>
      </c>
      <c r="G132" s="30">
        <v>0.89261167093986626</v>
      </c>
      <c r="H132" s="30">
        <v>-0.45082635781633246</v>
      </c>
    </row>
    <row r="133" spans="1:8" x14ac:dyDescent="0.35">
      <c r="A133" s="1">
        <v>40297</v>
      </c>
      <c r="B133" s="3">
        <v>1</v>
      </c>
      <c r="C133" s="3">
        <v>1</v>
      </c>
      <c r="D133" s="3">
        <v>0.50578021278056295</v>
      </c>
      <c r="E133" s="3">
        <v>2.3099999999999999E-2</v>
      </c>
      <c r="F133" s="3">
        <v>1</v>
      </c>
      <c r="G133" s="3">
        <v>0.88472467826825907</v>
      </c>
      <c r="H133" s="3">
        <v>-0.46611398140704319</v>
      </c>
    </row>
    <row r="134" spans="1:8" x14ac:dyDescent="0.35">
      <c r="A134" s="1">
        <v>40298</v>
      </c>
      <c r="B134" s="3">
        <v>1</v>
      </c>
      <c r="C134" s="3">
        <v>1</v>
      </c>
      <c r="D134" s="3">
        <v>0.50730285141079212</v>
      </c>
      <c r="E134" s="3">
        <v>2.92E-2</v>
      </c>
      <c r="F134" s="3">
        <v>1</v>
      </c>
      <c r="G134" s="3">
        <v>0.87657588133050757</v>
      </c>
      <c r="H134" s="3">
        <v>-0.48126367437159007</v>
      </c>
    </row>
    <row r="135" spans="1:8" x14ac:dyDescent="0.35">
      <c r="A135" s="1">
        <v>40299</v>
      </c>
      <c r="B135" s="30">
        <v>1</v>
      </c>
      <c r="C135" s="30">
        <v>0</v>
      </c>
      <c r="D135" s="30">
        <v>0.50882967039821603</v>
      </c>
      <c r="E135" s="30">
        <v>3.5299999999999998E-2</v>
      </c>
      <c r="F135" s="30">
        <v>1</v>
      </c>
      <c r="G135" s="30">
        <v>0.86816769148672068</v>
      </c>
      <c r="H135" s="30">
        <v>-0.49627095367210255</v>
      </c>
    </row>
    <row r="136" spans="1:8" x14ac:dyDescent="0.35">
      <c r="A136" s="1">
        <v>40300</v>
      </c>
      <c r="B136" s="3">
        <v>0</v>
      </c>
      <c r="C136" s="3">
        <v>0</v>
      </c>
      <c r="D136" s="3">
        <v>0.25032317169721258</v>
      </c>
      <c r="E136" s="3">
        <v>-1.0969</v>
      </c>
      <c r="F136" s="3">
        <v>0</v>
      </c>
      <c r="G136" s="3">
        <v>0.85950259685554076</v>
      </c>
      <c r="H136" s="3">
        <v>-0.51113137841320389</v>
      </c>
    </row>
    <row r="137" spans="1:8" x14ac:dyDescent="0.35">
      <c r="A137" s="1">
        <v>40301</v>
      </c>
      <c r="B137" s="3">
        <v>0</v>
      </c>
      <c r="C137" s="3">
        <v>0</v>
      </c>
      <c r="D137" s="3">
        <v>0.25147679848282295</v>
      </c>
      <c r="E137" s="3">
        <v>-1.0908</v>
      </c>
      <c r="F137" s="3">
        <v>0</v>
      </c>
      <c r="G137" s="3">
        <v>0.85058316157789138</v>
      </c>
      <c r="H137" s="3">
        <v>-0.52584055115610739</v>
      </c>
    </row>
    <row r="138" spans="1:8" x14ac:dyDescent="0.35">
      <c r="A138" s="1">
        <v>40302</v>
      </c>
      <c r="B138" s="3">
        <v>0</v>
      </c>
      <c r="C138" s="3">
        <v>0</v>
      </c>
      <c r="D138" s="3">
        <v>0.25263618426173073</v>
      </c>
      <c r="E138" s="3">
        <v>-1.0846</v>
      </c>
      <c r="F138" s="3">
        <v>0</v>
      </c>
      <c r="G138" s="3">
        <v>0.84141202505815638</v>
      </c>
      <c r="H138" s="3">
        <v>-0.54039411921997482</v>
      </c>
    </row>
    <row r="139" spans="1:8" x14ac:dyDescent="0.35">
      <c r="A139" s="1">
        <v>40303</v>
      </c>
      <c r="B139" s="30">
        <v>0</v>
      </c>
      <c r="C139" s="30">
        <v>1</v>
      </c>
      <c r="D139" s="30">
        <v>0.25380099904094849</v>
      </c>
      <c r="E139" s="30">
        <v>-1.0784</v>
      </c>
      <c r="F139" s="30">
        <v>0</v>
      </c>
      <c r="G139" s="30">
        <v>0.83199190118319666</v>
      </c>
      <c r="H139" s="30">
        <v>-0.55478777596984774</v>
      </c>
    </row>
    <row r="140" spans="1:8" x14ac:dyDescent="0.35">
      <c r="A140" s="1">
        <v>40304</v>
      </c>
      <c r="B140" s="3">
        <v>1</v>
      </c>
      <c r="C140" s="3">
        <v>1</v>
      </c>
      <c r="D140" s="3">
        <v>0.51650957561882693</v>
      </c>
      <c r="E140" s="3">
        <v>6.6100000000000006E-2</v>
      </c>
      <c r="F140" s="3">
        <v>1</v>
      </c>
      <c r="G140" s="3">
        <v>0.82232557751920621</v>
      </c>
      <c r="H140" s="3">
        <v>-0.569017262091146</v>
      </c>
    </row>
    <row r="141" spans="1:8" x14ac:dyDescent="0.35">
      <c r="A141" s="1">
        <v>40305</v>
      </c>
      <c r="B141" s="30">
        <v>1</v>
      </c>
      <c r="C141" s="30">
        <v>0</v>
      </c>
      <c r="D141" s="30">
        <v>0.51805132546550292</v>
      </c>
      <c r="E141" s="30">
        <v>7.22E-2</v>
      </c>
      <c r="F141" s="30">
        <v>1</v>
      </c>
      <c r="G141" s="30">
        <v>0.81241591448688955</v>
      </c>
      <c r="H141" s="30">
        <v>-0.58307836684997238</v>
      </c>
    </row>
    <row r="142" spans="1:8" x14ac:dyDescent="0.35">
      <c r="A142" s="1">
        <v>40306</v>
      </c>
      <c r="B142" s="30">
        <v>0</v>
      </c>
      <c r="C142" s="30">
        <v>1</v>
      </c>
      <c r="D142" s="30">
        <v>0.25732464382393228</v>
      </c>
      <c r="E142" s="30">
        <v>-1.0599000000000001</v>
      </c>
      <c r="F142" s="30">
        <v>0</v>
      </c>
      <c r="G142" s="30">
        <v>0.80226584451496119</v>
      </c>
      <c r="H142" s="30">
        <v>-0.59696692933921902</v>
      </c>
    </row>
    <row r="143" spans="1:8" x14ac:dyDescent="0.35">
      <c r="A143" s="1">
        <v>40307</v>
      </c>
      <c r="B143" s="30">
        <v>1</v>
      </c>
      <c r="C143" s="30">
        <v>0</v>
      </c>
      <c r="D143" s="30">
        <v>0.52113670568604664</v>
      </c>
      <c r="E143" s="30">
        <v>8.4599999999999995E-2</v>
      </c>
      <c r="F143" s="30">
        <v>1</v>
      </c>
      <c r="G143" s="30">
        <v>0.79187837117241611</v>
      </c>
      <c r="H143" s="30">
        <v>-0.61067883970981118</v>
      </c>
    </row>
    <row r="144" spans="1:8" x14ac:dyDescent="0.35">
      <c r="A144" s="1">
        <v>40308</v>
      </c>
      <c r="B144" s="3">
        <v>0</v>
      </c>
      <c r="C144" s="3">
        <v>0</v>
      </c>
      <c r="D144" s="3">
        <v>0.25969461734615662</v>
      </c>
      <c r="E144" s="3">
        <v>-1.0476000000000001</v>
      </c>
      <c r="F144" s="3">
        <v>0</v>
      </c>
      <c r="G144" s="3">
        <v>0.78125656827975176</v>
      </c>
      <c r="H144" s="3">
        <v>-0.62421004038684413</v>
      </c>
    </row>
    <row r="145" spans="1:8" x14ac:dyDescent="0.35">
      <c r="A145" s="1">
        <v>40309</v>
      </c>
      <c r="B145" s="30">
        <v>0</v>
      </c>
      <c r="C145" s="30">
        <v>1</v>
      </c>
      <c r="D145" s="30">
        <v>0.26088480615498788</v>
      </c>
      <c r="E145" s="30">
        <v>-1.0414000000000001</v>
      </c>
      <c r="F145" s="30">
        <v>0</v>
      </c>
      <c r="G145" s="30">
        <v>0.770403578999315</v>
      </c>
      <c r="H145" s="30">
        <v>-0.63755652727036394</v>
      </c>
    </row>
    <row r="146" spans="1:8" x14ac:dyDescent="0.35">
      <c r="A146" s="1">
        <v>40310</v>
      </c>
      <c r="B146" s="30">
        <v>1</v>
      </c>
      <c r="C146" s="30">
        <v>0</v>
      </c>
      <c r="D146" s="30">
        <v>0.52576218551135823</v>
      </c>
      <c r="E146" s="30">
        <v>0.1031</v>
      </c>
      <c r="F146" s="30">
        <v>1</v>
      </c>
      <c r="G146" s="30">
        <v>0.75932261490525954</v>
      </c>
      <c r="H146" s="30">
        <v>-0.65071435092015517</v>
      </c>
    </row>
    <row r="147" spans="1:8" x14ac:dyDescent="0.35">
      <c r="A147" s="1">
        <v>40311</v>
      </c>
      <c r="B147" s="30">
        <v>0</v>
      </c>
      <c r="C147" s="30">
        <v>1</v>
      </c>
      <c r="D147" s="30">
        <v>0.26327377577412214</v>
      </c>
      <c r="E147" s="30">
        <v>-1.0289999999999999</v>
      </c>
      <c r="F147" s="30">
        <v>0</v>
      </c>
      <c r="G147" s="30">
        <v>0.74801695503312771</v>
      </c>
      <c r="H147" s="30">
        <v>-0.66367961772452211</v>
      </c>
    </row>
    <row r="148" spans="1:8" x14ac:dyDescent="0.35">
      <c r="A148" s="1">
        <v>40312</v>
      </c>
      <c r="B148" s="3">
        <v>1</v>
      </c>
      <c r="C148" s="3">
        <v>1</v>
      </c>
      <c r="D148" s="3">
        <v>0.52883845318361655</v>
      </c>
      <c r="E148" s="3">
        <v>0.11550000000000001</v>
      </c>
      <c r="F148" s="3">
        <v>1</v>
      </c>
      <c r="G148" s="3">
        <v>0.73648994490955655</v>
      </c>
      <c r="H148" s="3">
        <v>-0.67644849105243665</v>
      </c>
    </row>
    <row r="149" spans="1:8" x14ac:dyDescent="0.35">
      <c r="A149" s="1">
        <v>40313</v>
      </c>
      <c r="B149" s="30">
        <v>1</v>
      </c>
      <c r="C149" s="30">
        <v>0</v>
      </c>
      <c r="D149" s="30">
        <v>0.53037292202132413</v>
      </c>
      <c r="E149" s="30">
        <v>0.1216</v>
      </c>
      <c r="F149" s="30">
        <v>1</v>
      </c>
      <c r="G149" s="30">
        <v>0.72474499556231231</v>
      </c>
      <c r="H149" s="30">
        <v>-0.68901719238882853</v>
      </c>
    </row>
    <row r="150" spans="1:8" x14ac:dyDescent="0.35">
      <c r="A150" s="1">
        <v>40314</v>
      </c>
      <c r="B150" s="3">
        <v>0</v>
      </c>
      <c r="C150" s="3">
        <v>0</v>
      </c>
      <c r="D150" s="3">
        <v>0.26687315146575874</v>
      </c>
      <c r="E150" s="3">
        <v>-1.0105</v>
      </c>
      <c r="F150" s="3">
        <v>0</v>
      </c>
      <c r="G150" s="3">
        <v>0.71278558251084567</v>
      </c>
      <c r="H150" s="3">
        <v>-0.70138200245278215</v>
      </c>
    </row>
    <row r="151" spans="1:8" x14ac:dyDescent="0.35">
      <c r="A151" s="1">
        <v>40315</v>
      </c>
      <c r="B151" s="3">
        <v>0</v>
      </c>
      <c r="C151" s="3">
        <v>0</v>
      </c>
      <c r="D151" s="3">
        <v>0.26807567990967074</v>
      </c>
      <c r="E151" s="3">
        <v>-1.0044</v>
      </c>
      <c r="F151" s="3">
        <v>0</v>
      </c>
      <c r="G151" s="3">
        <v>0.70061524473790671</v>
      </c>
      <c r="H151" s="3">
        <v>-0.71353926229804843</v>
      </c>
    </row>
    <row r="152" spans="1:8" x14ac:dyDescent="0.35">
      <c r="A152" s="1">
        <v>40316</v>
      </c>
      <c r="B152" s="3">
        <v>0</v>
      </c>
      <c r="C152" s="3">
        <v>0</v>
      </c>
      <c r="D152" s="3">
        <v>0.26927893736535591</v>
      </c>
      <c r="E152" s="3">
        <v>-0.99829999999999997</v>
      </c>
      <c r="F152" s="3">
        <v>0</v>
      </c>
      <c r="G152" s="3">
        <v>0.68823758364223442</v>
      </c>
      <c r="H152" s="3">
        <v>-0.72548537439585803</v>
      </c>
    </row>
    <row r="153" spans="1:8" x14ac:dyDescent="0.35">
      <c r="A153" s="1">
        <v>40317</v>
      </c>
      <c r="B153" s="3">
        <v>0</v>
      </c>
      <c r="C153" s="3">
        <v>0</v>
      </c>
      <c r="D153" s="3">
        <v>0.27048253527761745</v>
      </c>
      <c r="E153" s="3">
        <v>-0.99219999999999997</v>
      </c>
      <c r="F153" s="3">
        <v>0</v>
      </c>
      <c r="G153" s="3">
        <v>0.67565626197287421</v>
      </c>
      <c r="H153" s="3">
        <v>-0.73721680369945641</v>
      </c>
    </row>
    <row r="154" spans="1:8" x14ac:dyDescent="0.35">
      <c r="A154" s="1">
        <v>40318</v>
      </c>
      <c r="B154" s="3">
        <v>0</v>
      </c>
      <c r="C154" s="3">
        <v>0</v>
      </c>
      <c r="D154" s="3">
        <v>0.27168608199243255</v>
      </c>
      <c r="E154" s="3">
        <v>-0.98609999999999998</v>
      </c>
      <c r="F154" s="3">
        <v>0</v>
      </c>
      <c r="G154" s="3">
        <v>0.66287500274534261</v>
      </c>
      <c r="H154" s="3">
        <v>-0.74873007869015251</v>
      </c>
    </row>
    <row r="155" spans="1:8" x14ac:dyDescent="0.35">
      <c r="A155" s="1">
        <v>40319</v>
      </c>
      <c r="B155" s="3">
        <v>0</v>
      </c>
      <c r="C155" s="3">
        <v>0</v>
      </c>
      <c r="D155" s="3">
        <v>0.27288918293028375</v>
      </c>
      <c r="E155" s="3">
        <v>-0.98</v>
      </c>
      <c r="F155" s="3">
        <v>0</v>
      </c>
      <c r="G155" s="3">
        <v>0.64989758813985476</v>
      </c>
      <c r="H155" s="3">
        <v>-0.76002179240466505</v>
      </c>
    </row>
    <row r="156" spans="1:8" x14ac:dyDescent="0.35">
      <c r="A156" s="1">
        <v>40320</v>
      </c>
      <c r="B156" s="3">
        <v>0</v>
      </c>
      <c r="C156" s="3">
        <v>0</v>
      </c>
      <c r="D156" s="3">
        <v>0.27409144076424302</v>
      </c>
      <c r="E156" s="3">
        <v>-0.97399999999999998</v>
      </c>
      <c r="F156" s="3">
        <v>0</v>
      </c>
      <c r="G156" s="3">
        <v>0.63672785838220025</v>
      </c>
      <c r="H156" s="3">
        <v>-0.77108860344322083</v>
      </c>
    </row>
    <row r="157" spans="1:8" x14ac:dyDescent="0.35">
      <c r="A157" s="1">
        <v>40321</v>
      </c>
      <c r="B157" s="3">
        <v>0</v>
      </c>
      <c r="C157" s="3">
        <v>0</v>
      </c>
      <c r="D157" s="3">
        <v>0.27529245560265708</v>
      </c>
      <c r="E157" s="3">
        <v>-0.96789999999999998</v>
      </c>
      <c r="F157" s="3">
        <v>0</v>
      </c>
      <c r="G157" s="3">
        <v>0.62336971060728441</v>
      </c>
      <c r="H157" s="3">
        <v>-0.78192723695839528</v>
      </c>
    </row>
    <row r="158" spans="1:8" x14ac:dyDescent="0.35">
      <c r="A158" s="1">
        <v>40322</v>
      </c>
      <c r="B158" s="3">
        <v>0</v>
      </c>
      <c r="C158" s="3">
        <v>0</v>
      </c>
      <c r="D158" s="3">
        <v>0.2764918251762199</v>
      </c>
      <c r="E158" s="3">
        <v>-0.96189999999999998</v>
      </c>
      <c r="F158" s="3">
        <v>0</v>
      </c>
      <c r="G158" s="3">
        <v>0.60982709770593446</v>
      </c>
      <c r="H158" s="3">
        <v>-0.79253448562416295</v>
      </c>
    </row>
    <row r="159" spans="1:8" x14ac:dyDescent="0.35">
      <c r="A159" s="1">
        <v>40323</v>
      </c>
      <c r="B159" s="30">
        <v>0</v>
      </c>
      <c r="C159" s="30">
        <v>1</v>
      </c>
      <c r="D159" s="30">
        <v>0.27768914502924341</v>
      </c>
      <c r="E159" s="30">
        <v>-0.95599999999999996</v>
      </c>
      <c r="F159" s="30">
        <v>0</v>
      </c>
      <c r="G159" s="30">
        <v>0.59610402715521005</v>
      </c>
      <c r="H159" s="30">
        <v>-0.80290721058497205</v>
      </c>
    </row>
    <row r="160" spans="1:8" x14ac:dyDescent="0.35">
      <c r="A160" s="1">
        <v>40324</v>
      </c>
      <c r="B160" s="3">
        <v>1</v>
      </c>
      <c r="C160" s="3">
        <v>1</v>
      </c>
      <c r="D160" s="3">
        <v>0.54694434867741493</v>
      </c>
      <c r="E160" s="3">
        <v>0.1883</v>
      </c>
      <c r="F160" s="3">
        <v>1</v>
      </c>
      <c r="G160" s="3">
        <v>0.58220455983244734</v>
      </c>
      <c r="H160" s="3">
        <v>-0.81304234238464246</v>
      </c>
    </row>
    <row r="161" spans="1:8" x14ac:dyDescent="0.35">
      <c r="A161" s="1">
        <v>40325</v>
      </c>
      <c r="B161" s="30">
        <v>1</v>
      </c>
      <c r="C161" s="30">
        <v>0</v>
      </c>
      <c r="D161" s="30">
        <v>0.54841074873531892</v>
      </c>
      <c r="E161" s="30">
        <v>0.1943</v>
      </c>
      <c r="F161" s="30">
        <v>1</v>
      </c>
      <c r="G161" s="30">
        <v>0.56813280881367112</v>
      </c>
      <c r="H161" s="30">
        <v>-0.82293688187459957</v>
      </c>
    </row>
    <row r="162" spans="1:8" x14ac:dyDescent="0.35">
      <c r="A162" s="1">
        <v>40326</v>
      </c>
      <c r="B162" s="30">
        <v>0</v>
      </c>
      <c r="C162" s="30">
        <v>1</v>
      </c>
      <c r="D162" s="30">
        <v>0.28126473303941324</v>
      </c>
      <c r="E162" s="30">
        <v>-0.93820000000000003</v>
      </c>
      <c r="F162" s="30">
        <v>0</v>
      </c>
      <c r="G162" s="30">
        <v>0.55389293815637719</v>
      </c>
      <c r="H162" s="30">
        <v>-0.83258790110143666</v>
      </c>
    </row>
    <row r="163" spans="1:8" x14ac:dyDescent="0.35">
      <c r="A163" s="1">
        <v>40327</v>
      </c>
      <c r="B163" s="3">
        <v>1</v>
      </c>
      <c r="C163" s="3">
        <v>1</v>
      </c>
      <c r="D163" s="3">
        <v>0.55131714532634135</v>
      </c>
      <c r="E163" s="3">
        <v>0.20599999999999999</v>
      </c>
      <c r="F163" s="3">
        <v>1</v>
      </c>
      <c r="G163" s="3">
        <v>0.53948916166741412</v>
      </c>
      <c r="H163" s="3">
        <v>-0.84199254417327873</v>
      </c>
    </row>
    <row r="164" spans="1:8" x14ac:dyDescent="0.35">
      <c r="A164" s="1">
        <v>40328</v>
      </c>
      <c r="B164" s="3">
        <v>1</v>
      </c>
      <c r="C164" s="3">
        <v>1</v>
      </c>
      <c r="D164" s="3">
        <v>0.55275626219224572</v>
      </c>
      <c r="E164" s="3">
        <v>0.21179999999999999</v>
      </c>
      <c r="F164" s="3">
        <v>1</v>
      </c>
      <c r="G164" s="3">
        <v>0.52492574165596784</v>
      </c>
      <c r="H164" s="3">
        <v>-0.85114802810494261</v>
      </c>
    </row>
    <row r="165" spans="1:8" x14ac:dyDescent="0.35">
      <c r="A165" s="1">
        <v>40329</v>
      </c>
      <c r="B165" s="30">
        <v>1</v>
      </c>
      <c r="C165" s="30">
        <v>0</v>
      </c>
      <c r="D165" s="30">
        <v>0.55418541223754381</v>
      </c>
      <c r="E165" s="30">
        <v>0.21759999999999999</v>
      </c>
      <c r="F165" s="30">
        <v>1</v>
      </c>
      <c r="G165" s="30">
        <v>0.51020698767231021</v>
      </c>
      <c r="H165" s="30">
        <v>-0.8600516436414426</v>
      </c>
    </row>
    <row r="166" spans="1:8" x14ac:dyDescent="0.35">
      <c r="A166" s="1">
        <v>40330</v>
      </c>
      <c r="B166" s="3">
        <v>0</v>
      </c>
      <c r="C166" s="3">
        <v>0</v>
      </c>
      <c r="D166" s="3">
        <v>0.28597865029575259</v>
      </c>
      <c r="E166" s="3">
        <v>-0.91500000000000004</v>
      </c>
      <c r="F166" s="3">
        <v>0</v>
      </c>
      <c r="G166" s="3">
        <v>0.49533725523257155</v>
      </c>
      <c r="H166" s="3">
        <v>-0.86870075605968144</v>
      </c>
    </row>
    <row r="167" spans="1:8" x14ac:dyDescent="0.35">
      <c r="A167" s="1">
        <v>40331</v>
      </c>
      <c r="B167" s="3">
        <v>0</v>
      </c>
      <c r="C167" s="3">
        <v>0</v>
      </c>
      <c r="D167" s="3">
        <v>0.2871448156968413</v>
      </c>
      <c r="E167" s="3">
        <v>-0.9093</v>
      </c>
      <c r="F167" s="3">
        <v>0</v>
      </c>
      <c r="G167" s="3">
        <v>0.48032094452978707</v>
      </c>
      <c r="H167" s="3">
        <v>-0.87709280594815808</v>
      </c>
    </row>
    <row r="168" spans="1:8" x14ac:dyDescent="0.35">
      <c r="A168" s="1">
        <v>40332</v>
      </c>
      <c r="B168" s="3">
        <v>0</v>
      </c>
      <c r="C168" s="3">
        <v>0</v>
      </c>
      <c r="D168" s="3">
        <v>0.28830522625271365</v>
      </c>
      <c r="E168" s="3">
        <v>-0.90359999999999996</v>
      </c>
      <c r="F168" s="3">
        <v>0</v>
      </c>
      <c r="G168" s="3">
        <v>0.46516249913190771</v>
      </c>
      <c r="H168" s="3">
        <v>-0.88522530996428128</v>
      </c>
    </row>
    <row r="169" spans="1:8" x14ac:dyDescent="0.35">
      <c r="A169" s="1">
        <v>40333</v>
      </c>
      <c r="B169" s="3">
        <v>0</v>
      </c>
      <c r="C169" s="3">
        <v>0</v>
      </c>
      <c r="D169" s="3">
        <v>0.28945946693298746</v>
      </c>
      <c r="E169" s="3">
        <v>-0.89800000000000002</v>
      </c>
      <c r="F169" s="3">
        <v>0</v>
      </c>
      <c r="G169" s="3">
        <v>0.44986640466679034</v>
      </c>
      <c r="H169" s="3">
        <v>-0.89309586156928067</v>
      </c>
    </row>
    <row r="170" spans="1:8" x14ac:dyDescent="0.35">
      <c r="A170" s="1">
        <v>40334</v>
      </c>
      <c r="B170" s="3">
        <v>0</v>
      </c>
      <c r="C170" s="3">
        <v>0</v>
      </c>
      <c r="D170" s="3">
        <v>0.29060712283909224</v>
      </c>
      <c r="E170" s="3">
        <v>-0.89239999999999997</v>
      </c>
      <c r="F170" s="3">
        <v>0</v>
      </c>
      <c r="G170" s="3">
        <v>0.43443718749486487</v>
      </c>
      <c r="H170" s="3">
        <v>-0.9007021317403171</v>
      </c>
    </row>
    <row r="171" spans="1:8" x14ac:dyDescent="0.35">
      <c r="A171" s="1">
        <v>40335</v>
      </c>
      <c r="B171" s="30">
        <v>0</v>
      </c>
      <c r="C171" s="30">
        <v>1</v>
      </c>
      <c r="D171" s="30">
        <v>0.29174777942833124</v>
      </c>
      <c r="E171" s="30">
        <v>-0.88690000000000002</v>
      </c>
      <c r="F171" s="30">
        <v>0</v>
      </c>
      <c r="G171" s="30">
        <v>0.41887941336975021</v>
      </c>
      <c r="H171" s="30">
        <v>-0.9080418696596616</v>
      </c>
    </row>
    <row r="172" spans="1:8" x14ac:dyDescent="0.35">
      <c r="A172" s="1">
        <v>40336</v>
      </c>
      <c r="B172" s="3">
        <v>1</v>
      </c>
      <c r="C172" s="3">
        <v>1</v>
      </c>
      <c r="D172" s="3">
        <v>0.56387499056586954</v>
      </c>
      <c r="E172" s="3">
        <v>0.25690000000000002</v>
      </c>
      <c r="F172" s="3">
        <v>1</v>
      </c>
      <c r="G172" s="3">
        <v>0.40319768608708478</v>
      </c>
      <c r="H172" s="3">
        <v>-0.91511290338079088</v>
      </c>
    </row>
    <row r="173" spans="1:8" x14ac:dyDescent="0.35">
      <c r="A173" s="1">
        <v>40337</v>
      </c>
      <c r="B173" s="30">
        <v>1</v>
      </c>
      <c r="C173" s="30">
        <v>0</v>
      </c>
      <c r="D173" s="30">
        <v>0.56520938568642032</v>
      </c>
      <c r="E173" s="30">
        <v>0.26229999999999998</v>
      </c>
      <c r="F173" s="30">
        <v>1</v>
      </c>
      <c r="G173" s="30">
        <v>0.38739664612229213</v>
      </c>
      <c r="H173" s="30">
        <v>-0.92191314047105299</v>
      </c>
    </row>
    <row r="174" spans="1:8" x14ac:dyDescent="0.35">
      <c r="A174" s="1">
        <v>40338</v>
      </c>
      <c r="B174" s="30">
        <v>0</v>
      </c>
      <c r="C174" s="30">
        <v>1</v>
      </c>
      <c r="D174" s="30">
        <v>0.29512361794160741</v>
      </c>
      <c r="E174" s="30">
        <v>-0.87060000000000004</v>
      </c>
      <c r="F174" s="30">
        <v>0</v>
      </c>
      <c r="G174" s="30">
        <v>0.37148096925729929</v>
      </c>
      <c r="H174" s="30">
        <v>-0.92844056863089386</v>
      </c>
    </row>
    <row r="175" spans="1:8" x14ac:dyDescent="0.35">
      <c r="A175" s="1">
        <v>40339</v>
      </c>
      <c r="B175" s="3">
        <v>1</v>
      </c>
      <c r="C175" s="3">
        <v>1</v>
      </c>
      <c r="D175" s="3">
        <v>0.56783686227398134</v>
      </c>
      <c r="E175" s="3">
        <v>0.27300000000000002</v>
      </c>
      <c r="F175" s="3">
        <v>1</v>
      </c>
      <c r="G175" s="3">
        <v>0.35545536519693594</v>
      </c>
      <c r="H175" s="3">
        <v>-0.93469325628930955</v>
      </c>
    </row>
    <row r="176" spans="1:8" x14ac:dyDescent="0.35">
      <c r="A176" s="1">
        <v>40340</v>
      </c>
      <c r="B176" s="3">
        <v>1</v>
      </c>
      <c r="C176" s="3">
        <v>1</v>
      </c>
      <c r="D176" s="3">
        <v>0.56912918652684308</v>
      </c>
      <c r="E176" s="3">
        <v>0.27829999999999999</v>
      </c>
      <c r="F176" s="3">
        <v>1</v>
      </c>
      <c r="G176" s="3">
        <v>0.3393245761752971</v>
      </c>
      <c r="H176" s="3">
        <v>-0.94066935317541567</v>
      </c>
    </row>
    <row r="177" spans="1:8" x14ac:dyDescent="0.35">
      <c r="A177" s="1">
        <v>40341</v>
      </c>
      <c r="B177" s="3">
        <v>1</v>
      </c>
      <c r="C177" s="3">
        <v>1</v>
      </c>
      <c r="D177" s="3">
        <v>0.57040673973200406</v>
      </c>
      <c r="E177" s="3">
        <v>0.28349999999999997</v>
      </c>
      <c r="F177" s="3">
        <v>1</v>
      </c>
      <c r="G177" s="3">
        <v>0.32309337555234718</v>
      </c>
      <c r="H177" s="3">
        <v>-0.94636709086600745</v>
      </c>
    </row>
    <row r="178" spans="1:8" x14ac:dyDescent="0.35">
      <c r="A178" s="1">
        <v>40342</v>
      </c>
      <c r="B178" s="3">
        <v>1</v>
      </c>
      <c r="C178" s="3">
        <v>1</v>
      </c>
      <c r="D178" s="3">
        <v>0.57166915809894747</v>
      </c>
      <c r="E178" s="3">
        <v>0.28870000000000001</v>
      </c>
      <c r="F178" s="3">
        <v>1</v>
      </c>
      <c r="G178" s="3">
        <v>0.30676656640149863</v>
      </c>
      <c r="H178" s="3">
        <v>-0.95178478330882921</v>
      </c>
    </row>
    <row r="179" spans="1:8" x14ac:dyDescent="0.35">
      <c r="A179" s="1">
        <v>40343</v>
      </c>
      <c r="B179" s="30">
        <v>1</v>
      </c>
      <c r="C179" s="30">
        <v>0</v>
      </c>
      <c r="D179" s="30">
        <v>0.57291608391519644</v>
      </c>
      <c r="E179" s="30">
        <v>0.29380000000000001</v>
      </c>
      <c r="F179" s="30">
        <v>1</v>
      </c>
      <c r="G179" s="30">
        <v>0.29034898008827953</v>
      </c>
      <c r="H179" s="30">
        <v>-0.95692082732151662</v>
      </c>
    </row>
    <row r="180" spans="1:8" x14ac:dyDescent="0.35">
      <c r="A180" s="1">
        <v>40344</v>
      </c>
      <c r="B180" s="3">
        <v>0</v>
      </c>
      <c r="C180" s="3">
        <v>0</v>
      </c>
      <c r="D180" s="3">
        <v>0.30163078705370805</v>
      </c>
      <c r="E180" s="3">
        <v>-0.83950000000000002</v>
      </c>
      <c r="F180" s="3">
        <v>0</v>
      </c>
      <c r="G180" s="3">
        <v>0.27384547484055927</v>
      </c>
      <c r="H180" s="3">
        <v>-0.96177370306603238</v>
      </c>
    </row>
    <row r="181" spans="1:8" x14ac:dyDescent="0.35">
      <c r="A181" s="1">
        <v>40345</v>
      </c>
      <c r="B181" s="3">
        <v>0</v>
      </c>
      <c r="C181" s="3">
        <v>0</v>
      </c>
      <c r="D181" s="3">
        <v>0.30267889067821113</v>
      </c>
      <c r="E181" s="3">
        <v>-0.83460000000000001</v>
      </c>
      <c r="F181" s="3">
        <v>0</v>
      </c>
      <c r="G181" s="3">
        <v>0.25726093431109726</v>
      </c>
      <c r="H181" s="3">
        <v>-0.96634197449835602</v>
      </c>
    </row>
    <row r="182" spans="1:8" x14ac:dyDescent="0.35">
      <c r="A182" s="1">
        <v>40346</v>
      </c>
      <c r="B182" s="3">
        <v>0</v>
      </c>
      <c r="C182" s="3">
        <v>0</v>
      </c>
      <c r="D182" s="3">
        <v>0.30371552323951378</v>
      </c>
      <c r="E182" s="3">
        <v>-0.82969999999999999</v>
      </c>
      <c r="F182" s="3">
        <v>0</v>
      </c>
      <c r="G182" s="3">
        <v>0.24060026613222846</v>
      </c>
      <c r="H182" s="3">
        <v>-0.9706242897934817</v>
      </c>
    </row>
    <row r="183" spans="1:8" x14ac:dyDescent="0.35">
      <c r="A183" s="1">
        <v>40347</v>
      </c>
      <c r="B183" s="30">
        <v>0</v>
      </c>
      <c r="C183" s="30">
        <v>1</v>
      </c>
      <c r="D183" s="30">
        <v>0.3047402921130522</v>
      </c>
      <c r="E183" s="30">
        <v>-0.82479999999999998</v>
      </c>
      <c r="F183" s="30">
        <v>0</v>
      </c>
      <c r="G183" s="30">
        <v>0.223868400463725</v>
      </c>
      <c r="H183" s="30">
        <v>-0.97461938174541407</v>
      </c>
    </row>
    <row r="184" spans="1:8" x14ac:dyDescent="0.35">
      <c r="A184" s="1">
        <v>40348</v>
      </c>
      <c r="B184" s="3">
        <v>1</v>
      </c>
      <c r="C184" s="3">
        <v>1</v>
      </c>
      <c r="D184" s="3">
        <v>0.57890623923528028</v>
      </c>
      <c r="E184" s="3">
        <v>0.31830000000000003</v>
      </c>
      <c r="F184" s="3">
        <v>1</v>
      </c>
      <c r="G184" s="3">
        <v>0.20707028853384191</v>
      </c>
      <c r="H184" s="3">
        <v>-0.97832606814216672</v>
      </c>
    </row>
    <row r="185" spans="1:8" x14ac:dyDescent="0.35">
      <c r="A185" s="1">
        <v>40349</v>
      </c>
      <c r="B185" s="3">
        <v>1</v>
      </c>
      <c r="C185" s="3">
        <v>1</v>
      </c>
      <c r="D185" s="3">
        <v>0.58005304689064452</v>
      </c>
      <c r="E185" s="3">
        <v>0.32300000000000001</v>
      </c>
      <c r="F185" s="3">
        <v>1</v>
      </c>
      <c r="G185" s="3">
        <v>0.19021090117414113</v>
      </c>
      <c r="H185" s="3">
        <v>-0.98174325211560332</v>
      </c>
    </row>
    <row r="186" spans="1:8" x14ac:dyDescent="0.35">
      <c r="A186" s="1">
        <v>40350</v>
      </c>
      <c r="B186" s="3">
        <v>1</v>
      </c>
      <c r="C186" s="3">
        <v>1</v>
      </c>
      <c r="D186" s="3">
        <v>0.58118203378041433</v>
      </c>
      <c r="E186" s="3">
        <v>0.3276</v>
      </c>
      <c r="F186" s="3">
        <v>1</v>
      </c>
      <c r="G186" s="3">
        <v>0.1732952273485838</v>
      </c>
      <c r="H186" s="3">
        <v>-0.98486992246600902</v>
      </c>
    </row>
    <row r="187" spans="1:8" x14ac:dyDescent="0.35">
      <c r="A187" s="1">
        <v>40351</v>
      </c>
      <c r="B187" s="30">
        <v>1</v>
      </c>
      <c r="C187" s="30">
        <v>0</v>
      </c>
      <c r="D187" s="30">
        <v>0.58229289304455367</v>
      </c>
      <c r="E187" s="30">
        <v>0.3322</v>
      </c>
      <c r="F187" s="30">
        <v>1</v>
      </c>
      <c r="G187" s="30">
        <v>0.15632827267718793</v>
      </c>
      <c r="H187" s="30">
        <v>-0.98770515396132608</v>
      </c>
    </row>
    <row r="188" spans="1:8" x14ac:dyDescent="0.35">
      <c r="A188" s="1">
        <v>40352</v>
      </c>
      <c r="B188" s="3">
        <v>0</v>
      </c>
      <c r="C188" s="3">
        <v>0</v>
      </c>
      <c r="D188" s="3">
        <v>0.30967268133045095</v>
      </c>
      <c r="E188" s="3">
        <v>-0.80159999999999998</v>
      </c>
      <c r="F188" s="3">
        <v>0</v>
      </c>
      <c r="G188" s="3">
        <v>0.13931505795482677</v>
      </c>
      <c r="H188" s="3">
        <v>-0.99024810761093773</v>
      </c>
    </row>
    <row r="189" spans="1:8" x14ac:dyDescent="0.35">
      <c r="A189" s="1">
        <v>40353</v>
      </c>
      <c r="B189" s="3">
        <v>0</v>
      </c>
      <c r="C189" s="3">
        <v>0</v>
      </c>
      <c r="D189" s="3">
        <v>0.31061822200457595</v>
      </c>
      <c r="E189" s="3">
        <v>-0.79720000000000002</v>
      </c>
      <c r="F189" s="3">
        <v>0</v>
      </c>
      <c r="G189" s="3">
        <v>0.12226061766546709</v>
      </c>
      <c r="H189" s="3">
        <v>-0.99249803091394517</v>
      </c>
    </row>
    <row r="190" spans="1:8" x14ac:dyDescent="0.35">
      <c r="A190" s="1">
        <v>40354</v>
      </c>
      <c r="B190" s="30">
        <v>0</v>
      </c>
      <c r="C190" s="30">
        <v>1</v>
      </c>
      <c r="D190" s="30">
        <v>0.31154925462508964</v>
      </c>
      <c r="E190" s="30">
        <v>-0.79290000000000005</v>
      </c>
      <c r="F190" s="30">
        <v>0</v>
      </c>
      <c r="G190" s="30">
        <v>0.10516999849235602</v>
      </c>
      <c r="H190" s="30">
        <v>-0.99445425808184751</v>
      </c>
    </row>
    <row r="191" spans="1:8" x14ac:dyDescent="0.35">
      <c r="A191" s="1">
        <v>40355</v>
      </c>
      <c r="B191" s="3">
        <v>1</v>
      </c>
      <c r="C191" s="3">
        <v>1</v>
      </c>
      <c r="D191" s="3">
        <v>0.58654914654976376</v>
      </c>
      <c r="E191" s="3">
        <v>0.34970000000000001</v>
      </c>
      <c r="F191" s="3">
        <v>1</v>
      </c>
      <c r="G191" s="3">
        <v>8.804825782465435E-2</v>
      </c>
      <c r="H191" s="3">
        <v>-0.99611621023555441</v>
      </c>
    </row>
    <row r="192" spans="1:8" x14ac:dyDescent="0.35">
      <c r="A192" s="1">
        <v>40356</v>
      </c>
      <c r="B192" s="3">
        <v>1</v>
      </c>
      <c r="C192" s="3">
        <v>1</v>
      </c>
      <c r="D192" s="3">
        <v>0.58756499500064252</v>
      </c>
      <c r="E192" s="3">
        <v>0.35389999999999999</v>
      </c>
      <c r="F192" s="3">
        <v>1</v>
      </c>
      <c r="G192" s="3">
        <v>7.0900462260916272E-2</v>
      </c>
      <c r="H192" s="3">
        <v>-0.99748339557668242</v>
      </c>
    </row>
    <row r="193" spans="1:8" x14ac:dyDescent="0.35">
      <c r="A193" s="1">
        <v>40357</v>
      </c>
      <c r="B193" s="30">
        <v>1</v>
      </c>
      <c r="C193" s="30">
        <v>0</v>
      </c>
      <c r="D193" s="30">
        <v>0.58856101306681474</v>
      </c>
      <c r="E193" s="30">
        <v>0.35799999999999998</v>
      </c>
      <c r="F193" s="30">
        <v>1</v>
      </c>
      <c r="G193" s="30">
        <v>5.3731686109702262E-2</v>
      </c>
      <c r="H193" s="30">
        <v>-0.99855540953309563</v>
      </c>
    </row>
    <row r="194" spans="1:8" x14ac:dyDescent="0.35">
      <c r="A194" s="1">
        <v>40358</v>
      </c>
      <c r="B194" s="3">
        <v>0</v>
      </c>
      <c r="C194" s="3">
        <v>0</v>
      </c>
      <c r="D194" s="3">
        <v>0.3151211726062973</v>
      </c>
      <c r="E194" s="3">
        <v>-0.77629999999999999</v>
      </c>
      <c r="F194" s="3">
        <v>0</v>
      </c>
      <c r="G194" s="3">
        <v>3.6547009888122865E-2</v>
      </c>
      <c r="H194" s="3">
        <v>-0.99933193487861549</v>
      </c>
    </row>
    <row r="195" spans="1:8" x14ac:dyDescent="0.35">
      <c r="A195" s="1">
        <v>40359</v>
      </c>
      <c r="B195" s="30">
        <v>0</v>
      </c>
      <c r="C195" s="30">
        <v>1</v>
      </c>
      <c r="D195" s="30">
        <v>0.31597436142541341</v>
      </c>
      <c r="E195" s="30">
        <v>-0.77229999999999999</v>
      </c>
      <c r="F195" s="30">
        <v>0</v>
      </c>
      <c r="G195" s="30">
        <v>1.9351518818318526E-2</v>
      </c>
      <c r="H195" s="30">
        <v>-0.99981274182690039</v>
      </c>
    </row>
    <row r="196" spans="1:8" x14ac:dyDescent="0.35">
      <c r="A196" s="1">
        <v>40360</v>
      </c>
      <c r="B196" s="30">
        <v>1</v>
      </c>
      <c r="C196" s="30">
        <v>0</v>
      </c>
      <c r="D196" s="30">
        <v>0.59142751237408053</v>
      </c>
      <c r="E196" s="30">
        <v>0.36990000000000001</v>
      </c>
      <c r="F196" s="30">
        <v>1</v>
      </c>
      <c r="G196" s="30">
        <v>2.150301322774053E-3</v>
      </c>
      <c r="H196" s="30">
        <v>-0.99999768809943823</v>
      </c>
    </row>
    <row r="197" spans="1:8" x14ac:dyDescent="0.35">
      <c r="A197" s="1">
        <v>40361</v>
      </c>
      <c r="B197" s="3">
        <v>0</v>
      </c>
      <c r="C197" s="3">
        <v>0</v>
      </c>
      <c r="D197" s="3">
        <v>0.31763063518297008</v>
      </c>
      <c r="E197" s="3">
        <v>-0.76470000000000005</v>
      </c>
      <c r="F197" s="3">
        <v>0</v>
      </c>
      <c r="G197" s="3">
        <v>-1.5051552481526851E-2</v>
      </c>
      <c r="H197" s="3">
        <v>-0.9998867189676518</v>
      </c>
    </row>
    <row r="198" spans="1:8" x14ac:dyDescent="0.35">
      <c r="A198" s="1">
        <v>40362</v>
      </c>
      <c r="B198" s="30">
        <v>0</v>
      </c>
      <c r="C198" s="30">
        <v>1</v>
      </c>
      <c r="D198" s="30">
        <v>0.31843307071434068</v>
      </c>
      <c r="E198" s="30">
        <v>-0.76100000000000001</v>
      </c>
      <c r="F198" s="30">
        <v>0</v>
      </c>
      <c r="G198" s="30">
        <v>-3.2248952289306486E-2</v>
      </c>
      <c r="H198" s="30">
        <v>-0.9994798672690921</v>
      </c>
    </row>
    <row r="199" spans="1:8" x14ac:dyDescent="0.35">
      <c r="A199" s="1">
        <v>40363</v>
      </c>
      <c r="B199" s="30">
        <v>1</v>
      </c>
      <c r="C199" s="30">
        <v>0</v>
      </c>
      <c r="D199" s="30">
        <v>0.59410655589641681</v>
      </c>
      <c r="E199" s="30">
        <v>0.38100000000000001</v>
      </c>
      <c r="F199" s="30">
        <v>1</v>
      </c>
      <c r="G199" s="30">
        <v>-4.9436809113253759E-2</v>
      </c>
      <c r="H199" s="30">
        <v>-0.99877725339772316</v>
      </c>
    </row>
    <row r="200" spans="1:8" x14ac:dyDescent="0.35">
      <c r="A200" s="1">
        <v>40364</v>
      </c>
      <c r="B200" s="3">
        <v>0</v>
      </c>
      <c r="C200" s="3">
        <v>0</v>
      </c>
      <c r="D200" s="3">
        <v>0.31998496222682338</v>
      </c>
      <c r="E200" s="3">
        <v>-0.75380000000000003</v>
      </c>
      <c r="F200" s="3">
        <v>0</v>
      </c>
      <c r="G200" s="3">
        <v>-6.6610036790036825E-2</v>
      </c>
      <c r="H200" s="3">
        <v>-0.99777908526829218</v>
      </c>
    </row>
    <row r="201" spans="1:8" x14ac:dyDescent="0.35">
      <c r="A201" s="1">
        <v>40365</v>
      </c>
      <c r="B201" s="3">
        <v>0</v>
      </c>
      <c r="C201" s="3">
        <v>0</v>
      </c>
      <c r="D201" s="3">
        <v>0.3207338068431061</v>
      </c>
      <c r="E201" s="3">
        <v>-0.75039999999999996</v>
      </c>
      <c r="F201" s="3">
        <v>0</v>
      </c>
      <c r="G201" s="3">
        <v>-8.3763553485267109E-2</v>
      </c>
      <c r="H201" s="3">
        <v>-0.99648565825480939</v>
      </c>
    </row>
    <row r="202" spans="1:8" x14ac:dyDescent="0.35">
      <c r="A202" s="1">
        <v>40366</v>
      </c>
      <c r="B202" s="3">
        <v>0</v>
      </c>
      <c r="C202" s="3">
        <v>0</v>
      </c>
      <c r="D202" s="3">
        <v>0.32146418760408568</v>
      </c>
      <c r="E202" s="3">
        <v>-0.74709999999999999</v>
      </c>
      <c r="F202" s="3">
        <v>0</v>
      </c>
      <c r="G202" s="3">
        <v>-0.10089228319739513</v>
      </c>
      <c r="H202" s="3">
        <v>-0.99489735510313659</v>
      </c>
    </row>
    <row r="203" spans="1:8" x14ac:dyDescent="0.35">
      <c r="A203" s="1">
        <v>40367</v>
      </c>
      <c r="B203" s="3">
        <v>0</v>
      </c>
      <c r="C203" s="3">
        <v>0</v>
      </c>
      <c r="D203" s="3">
        <v>0.32217581578657939</v>
      </c>
      <c r="E203" s="3">
        <v>-0.74380000000000002</v>
      </c>
      <c r="F203" s="3">
        <v>0</v>
      </c>
      <c r="G203" s="3">
        <v>-0.11799115725973841</v>
      </c>
      <c r="H203" s="3">
        <v>-0.99301464581772791</v>
      </c>
    </row>
    <row r="204" spans="1:8" x14ac:dyDescent="0.35">
      <c r="A204" s="1">
        <v>40368</v>
      </c>
      <c r="B204" s="3">
        <v>0</v>
      </c>
      <c r="C204" s="3">
        <v>0</v>
      </c>
      <c r="D204" s="3">
        <v>0.32286840972982206</v>
      </c>
      <c r="E204" s="3">
        <v>-0.74060000000000004</v>
      </c>
      <c r="F204" s="3">
        <v>0</v>
      </c>
      <c r="G204" s="3">
        <v>-0.13505511584033925</v>
      </c>
      <c r="H204" s="3">
        <v>-0.99083808752255409</v>
      </c>
    </row>
    <row r="205" spans="1:8" x14ac:dyDescent="0.35">
      <c r="A205" s="1">
        <v>40369</v>
      </c>
      <c r="B205" s="3">
        <v>0</v>
      </c>
      <c r="C205" s="3">
        <v>0</v>
      </c>
      <c r="D205" s="3">
        <v>0.32354169498340712</v>
      </c>
      <c r="E205" s="3">
        <v>-0.73750000000000004</v>
      </c>
      <c r="F205" s="3">
        <v>0</v>
      </c>
      <c r="G205" s="3">
        <v>-0.1520791094393491</v>
      </c>
      <c r="H205" s="3">
        <v>-0.98836832429622834</v>
      </c>
    </row>
    <row r="206" spans="1:8" x14ac:dyDescent="0.35">
      <c r="A206" s="1">
        <v>40370</v>
      </c>
      <c r="B206" s="3">
        <v>0</v>
      </c>
      <c r="C206" s="3">
        <v>0</v>
      </c>
      <c r="D206" s="3">
        <v>0.3241954044507051</v>
      </c>
      <c r="E206" s="3">
        <v>-0.73460000000000003</v>
      </c>
      <c r="F206" s="3">
        <v>0</v>
      </c>
      <c r="G206" s="3">
        <v>-0.16905810038314423</v>
      </c>
      <c r="H206" s="3">
        <v>-0.98560608698142826</v>
      </c>
    </row>
    <row r="207" spans="1:8" x14ac:dyDescent="0.35">
      <c r="A207" s="1">
        <v>40371</v>
      </c>
      <c r="B207" s="3">
        <v>0</v>
      </c>
      <c r="C207" s="3">
        <v>0</v>
      </c>
      <c r="D207" s="3">
        <v>0.32482927852773469</v>
      </c>
      <c r="E207" s="3">
        <v>-0.73170000000000002</v>
      </c>
      <c r="F207" s="3">
        <v>0</v>
      </c>
      <c r="G207" s="3">
        <v>-0.18598706431515272</v>
      </c>
      <c r="H207" s="3">
        <v>-0.9825521929686134</v>
      </c>
    </row>
    <row r="208" spans="1:8" x14ac:dyDescent="0.35">
      <c r="A208" s="1">
        <v>40372</v>
      </c>
      <c r="B208" s="3">
        <v>0</v>
      </c>
      <c r="C208" s="3">
        <v>0</v>
      </c>
      <c r="D208" s="3">
        <v>0.32544306523743666</v>
      </c>
      <c r="E208" s="3">
        <v>-0.72889999999999999</v>
      </c>
      <c r="F208" s="3">
        <v>0</v>
      </c>
      <c r="G208" s="3">
        <v>-0.20286099168260016</v>
      </c>
      <c r="H208" s="3">
        <v>-0.9792075459541516</v>
      </c>
    </row>
    <row r="209" spans="1:8" x14ac:dyDescent="0.35">
      <c r="A209" s="1">
        <v>40373</v>
      </c>
      <c r="B209" s="30">
        <v>0</v>
      </c>
      <c r="C209" s="30">
        <v>1</v>
      </c>
      <c r="D209" s="30">
        <v>0.32603652035932768</v>
      </c>
      <c r="E209" s="30">
        <v>-0.72619999999999996</v>
      </c>
      <c r="F209" s="30">
        <v>0</v>
      </c>
      <c r="G209" s="30">
        <v>-0.21967488921887529</v>
      </c>
      <c r="H209" s="30">
        <v>-0.97557313567291037</v>
      </c>
    </row>
    <row r="210" spans="1:8" x14ac:dyDescent="0.35">
      <c r="A210" s="1">
        <v>40374</v>
      </c>
      <c r="B210" s="3">
        <v>1</v>
      </c>
      <c r="C210" s="3">
        <v>1</v>
      </c>
      <c r="D210" s="3">
        <v>0.60223241904593727</v>
      </c>
      <c r="E210" s="3">
        <v>0.4148</v>
      </c>
      <c r="F210" s="3">
        <v>1</v>
      </c>
      <c r="G210" s="3">
        <v>-0.23642378142121531</v>
      </c>
      <c r="H210" s="3">
        <v>-0.97165003760535784</v>
      </c>
    </row>
    <row r="211" spans="1:8" x14ac:dyDescent="0.35">
      <c r="A211" s="1">
        <v>40375</v>
      </c>
      <c r="B211" s="30">
        <v>1</v>
      </c>
      <c r="C211" s="30">
        <v>0</v>
      </c>
      <c r="D211" s="30">
        <v>0.60283332709052706</v>
      </c>
      <c r="E211" s="30">
        <v>0.4173</v>
      </c>
      <c r="F211" s="30">
        <v>1</v>
      </c>
      <c r="G211" s="30">
        <v>-0.25310271202292606</v>
      </c>
      <c r="H211" s="30">
        <v>-0.96743941265933531</v>
      </c>
    </row>
    <row r="212" spans="1:8" x14ac:dyDescent="0.35">
      <c r="A212" s="1">
        <v>40376</v>
      </c>
      <c r="B212" s="3">
        <v>0</v>
      </c>
      <c r="C212" s="3">
        <v>0</v>
      </c>
      <c r="D212" s="3">
        <v>0.32769257293454823</v>
      </c>
      <c r="E212" s="3">
        <v>-0.71860000000000002</v>
      </c>
      <c r="F212" s="3">
        <v>0</v>
      </c>
      <c r="G212" s="3">
        <v>-0.2697067454601319</v>
      </c>
      <c r="H212" s="3">
        <v>-0.96294250682649984</v>
      </c>
    </row>
    <row r="213" spans="1:8" x14ac:dyDescent="0.35">
      <c r="A213" s="1">
        <v>40377</v>
      </c>
      <c r="B213" s="3">
        <v>0</v>
      </c>
      <c r="C213" s="3">
        <v>0</v>
      </c>
      <c r="D213" s="3">
        <v>0.32820241890928464</v>
      </c>
      <c r="E213" s="3">
        <v>-0.71630000000000005</v>
      </c>
      <c r="F213" s="3">
        <v>0</v>
      </c>
      <c r="G213" s="3">
        <v>-0.28623096833217809</v>
      </c>
      <c r="H213" s="3">
        <v>-0.95816065081364288</v>
      </c>
    </row>
    <row r="214" spans="1:8" x14ac:dyDescent="0.35">
      <c r="A214" s="1">
        <v>40378</v>
      </c>
      <c r="B214" s="30">
        <v>0</v>
      </c>
      <c r="C214" s="30">
        <v>1</v>
      </c>
      <c r="D214" s="30">
        <v>0.32869083275437455</v>
      </c>
      <c r="E214" s="30">
        <v>-0.71409999999999996</v>
      </c>
      <c r="F214" s="30">
        <v>0</v>
      </c>
      <c r="G214" s="30">
        <v>-0.30267049085568137</v>
      </c>
      <c r="H214" s="30">
        <v>-0.95309525964888786</v>
      </c>
    </row>
    <row r="215" spans="1:8" x14ac:dyDescent="0.35">
      <c r="A215" s="1">
        <v>40379</v>
      </c>
      <c r="B215" s="30">
        <v>1</v>
      </c>
      <c r="C215" s="30">
        <v>0</v>
      </c>
      <c r="D215" s="30">
        <v>0.60499903331367166</v>
      </c>
      <c r="E215" s="30">
        <v>0.42630000000000001</v>
      </c>
      <c r="F215" s="30">
        <v>1</v>
      </c>
      <c r="G215" s="30">
        <v>-0.3190204483114541</v>
      </c>
      <c r="H215" s="30">
        <v>-0.9477478322629701</v>
      </c>
    </row>
    <row r="216" spans="1:8" x14ac:dyDescent="0.35">
      <c r="A216" s="1">
        <v>40380</v>
      </c>
      <c r="B216" s="30">
        <v>0</v>
      </c>
      <c r="C216" s="30">
        <v>1</v>
      </c>
      <c r="D216" s="30">
        <v>0.3296025917114706</v>
      </c>
      <c r="E216" s="30">
        <v>-0.71</v>
      </c>
      <c r="F216" s="30">
        <v>0</v>
      </c>
      <c r="G216" s="30">
        <v>-0.33527600248401246</v>
      </c>
      <c r="H216" s="30">
        <v>-0.94211995104569379</v>
      </c>
    </row>
    <row r="217" spans="1:8" x14ac:dyDescent="0.35">
      <c r="A217" s="1">
        <v>40381</v>
      </c>
      <c r="B217" s="30">
        <v>1</v>
      </c>
      <c r="C217" s="30">
        <v>0</v>
      </c>
      <c r="D217" s="30">
        <v>0.60593735969424023</v>
      </c>
      <c r="E217" s="30">
        <v>0.43030000000000002</v>
      </c>
      <c r="F217" s="30">
        <v>1</v>
      </c>
      <c r="G217" s="30">
        <v>-0.35143234309337701</v>
      </c>
      <c r="H217" s="30">
        <v>-0.93621328137764581</v>
      </c>
    </row>
    <row r="218" spans="1:8" x14ac:dyDescent="0.35">
      <c r="A218" s="1">
        <v>40382</v>
      </c>
      <c r="B218" s="30">
        <v>0</v>
      </c>
      <c r="C218" s="30">
        <v>1</v>
      </c>
      <c r="D218" s="30">
        <v>0.3304263910002142</v>
      </c>
      <c r="E218" s="30">
        <v>-0.70630000000000004</v>
      </c>
      <c r="F218" s="30">
        <v>0</v>
      </c>
      <c r="G218" s="30">
        <v>-0.36748468921840416</v>
      </c>
      <c r="H218" s="30">
        <v>-0.9300295711374198</v>
      </c>
    </row>
    <row r="219" spans="1:8" x14ac:dyDescent="0.35">
      <c r="A219" s="1">
        <v>40383</v>
      </c>
      <c r="B219" s="30">
        <v>1</v>
      </c>
      <c r="C219" s="30">
        <v>0</v>
      </c>
      <c r="D219" s="30">
        <v>0.60677813229368427</v>
      </c>
      <c r="E219" s="30">
        <v>0.43380000000000002</v>
      </c>
      <c r="F219" s="30">
        <v>1</v>
      </c>
      <c r="G219" s="30">
        <v>-0.38342829071163154</v>
      </c>
      <c r="H219" s="30">
        <v>-0.92357065018435736</v>
      </c>
    </row>
    <row r="220" spans="1:8" x14ac:dyDescent="0.35">
      <c r="A220" s="1">
        <v>40384</v>
      </c>
      <c r="B220" s="3">
        <v>0</v>
      </c>
      <c r="C220" s="3">
        <v>0</v>
      </c>
      <c r="D220" s="3">
        <v>0.33116091118843194</v>
      </c>
      <c r="E220" s="3">
        <v>-0.70289999999999997</v>
      </c>
      <c r="F220" s="3">
        <v>0</v>
      </c>
      <c r="G220" s="3">
        <v>-0.39925842960488245</v>
      </c>
      <c r="H220" s="3">
        <v>-0.91683842981707697</v>
      </c>
    </row>
    <row r="221" spans="1:8" x14ac:dyDescent="0.35">
      <c r="A221" s="1">
        <v>40385</v>
      </c>
      <c r="B221" s="3">
        <v>0</v>
      </c>
      <c r="C221" s="3">
        <v>0</v>
      </c>
      <c r="D221" s="3">
        <v>0.33149431804773133</v>
      </c>
      <c r="E221" s="3">
        <v>-0.70140000000000002</v>
      </c>
      <c r="F221" s="3">
        <v>0</v>
      </c>
      <c r="G221" s="3">
        <v>-0.41497042150534974</v>
      </c>
      <c r="H221" s="3">
        <v>-0.90983490220790741</v>
      </c>
    </row>
    <row r="222" spans="1:8" x14ac:dyDescent="0.35">
      <c r="A222" s="1">
        <v>40386</v>
      </c>
      <c r="B222" s="3">
        <v>0</v>
      </c>
      <c r="C222" s="3">
        <v>0</v>
      </c>
      <c r="D222" s="3">
        <v>0.33180497479534288</v>
      </c>
      <c r="E222" s="3">
        <v>-0.7</v>
      </c>
      <c r="F222" s="3">
        <v>0</v>
      </c>
      <c r="G222" s="3">
        <v>-0.43055961698187439</v>
      </c>
      <c r="H222" s="3">
        <v>-0.90256213981333255</v>
      </c>
    </row>
    <row r="223" spans="1:8" x14ac:dyDescent="0.35">
      <c r="A223" s="1">
        <v>40387</v>
      </c>
      <c r="B223" s="3">
        <v>0</v>
      </c>
      <c r="C223" s="3">
        <v>0</v>
      </c>
      <c r="D223" s="3">
        <v>0.33209275680028727</v>
      </c>
      <c r="E223" s="3">
        <v>-0.69869999999999999</v>
      </c>
      <c r="F223" s="3">
        <v>0</v>
      </c>
      <c r="G223" s="3">
        <v>-0.44602140294068321</v>
      </c>
      <c r="H223" s="3">
        <v>-0.89502229476076445</v>
      </c>
    </row>
    <row r="224" spans="1:8" x14ac:dyDescent="0.35">
      <c r="A224" s="1">
        <v>40388</v>
      </c>
      <c r="B224" s="30">
        <v>0</v>
      </c>
      <c r="C224" s="30">
        <v>1</v>
      </c>
      <c r="D224" s="30">
        <v>0.33235754857251587</v>
      </c>
      <c r="E224" s="30">
        <v>-0.69750000000000001</v>
      </c>
      <c r="F224" s="30">
        <v>0</v>
      </c>
      <c r="G224" s="30">
        <v>-0.4613512039905675</v>
      </c>
      <c r="H224" s="30">
        <v>-0.8872175982116528</v>
      </c>
    </row>
    <row r="225" spans="1:8" x14ac:dyDescent="0.35">
      <c r="A225" s="1">
        <v>40389</v>
      </c>
      <c r="B225" s="30">
        <v>1</v>
      </c>
      <c r="C225" s="30">
        <v>0</v>
      </c>
      <c r="D225" s="30">
        <v>0.60870779360942562</v>
      </c>
      <c r="E225" s="30">
        <v>0.44190000000000002</v>
      </c>
      <c r="F225" s="30">
        <v>1</v>
      </c>
      <c r="G225" s="30">
        <v>-0.4765444837967765</v>
      </c>
      <c r="H225" s="30">
        <v>-0.87915035970126509</v>
      </c>
    </row>
    <row r="226" spans="1:8" x14ac:dyDescent="0.35">
      <c r="A226" s="1">
        <v>40390</v>
      </c>
      <c r="B226" s="3">
        <v>0</v>
      </c>
      <c r="C226" s="3">
        <v>0</v>
      </c>
      <c r="D226" s="3">
        <v>0.3328177454897796</v>
      </c>
      <c r="E226" s="3">
        <v>-0.69550000000000001</v>
      </c>
      <c r="F226" s="3">
        <v>0</v>
      </c>
      <c r="G226" s="3">
        <v>-0.49159674642335399</v>
      </c>
      <c r="H226" s="3">
        <v>-0.87082296645527935</v>
      </c>
    </row>
    <row r="227" spans="1:8" x14ac:dyDescent="0.35">
      <c r="A227" s="1">
        <v>40391</v>
      </c>
      <c r="B227" s="30">
        <v>0</v>
      </c>
      <c r="C227" s="30">
        <v>1</v>
      </c>
      <c r="D227" s="30">
        <v>0.33301296583317019</v>
      </c>
      <c r="E227" s="30">
        <v>-0.6946</v>
      </c>
      <c r="F227" s="30">
        <v>0</v>
      </c>
      <c r="G227" s="30">
        <v>-0.50650353766364609</v>
      </c>
      <c r="H227" s="30">
        <v>-0.86223788268331814</v>
      </c>
    </row>
    <row r="228" spans="1:8" x14ac:dyDescent="0.35">
      <c r="A228" s="1">
        <v>40392</v>
      </c>
      <c r="B228" s="3">
        <v>1</v>
      </c>
      <c r="C228" s="3">
        <v>1</v>
      </c>
      <c r="D228" s="3">
        <v>0.60933566986786503</v>
      </c>
      <c r="E228" s="3">
        <v>0.44450000000000001</v>
      </c>
      <c r="F228" s="3">
        <v>1</v>
      </c>
      <c r="G228" s="3">
        <v>-0.52126044635827284</v>
      </c>
      <c r="H228" s="3">
        <v>-0.85339764884980451</v>
      </c>
    </row>
    <row r="229" spans="1:8" x14ac:dyDescent="0.35">
      <c r="A229" s="1">
        <v>40393</v>
      </c>
      <c r="B229" s="3">
        <v>1</v>
      </c>
      <c r="C229" s="3">
        <v>1</v>
      </c>
      <c r="D229" s="3">
        <v>0.60949467696286219</v>
      </c>
      <c r="E229" s="3">
        <v>0.44519999999999998</v>
      </c>
      <c r="F229" s="3">
        <v>1</v>
      </c>
      <c r="G229" s="3">
        <v>-0.53586310570054818</v>
      </c>
      <c r="H229" s="3">
        <v>-0.84430488092214839</v>
      </c>
    </row>
    <row r="230" spans="1:8" x14ac:dyDescent="0.35">
      <c r="A230" s="1">
        <v>40394</v>
      </c>
      <c r="B230" s="30">
        <v>1</v>
      </c>
      <c r="C230" s="30">
        <v>0</v>
      </c>
      <c r="D230" s="30">
        <v>0.60962847667433617</v>
      </c>
      <c r="E230" s="30">
        <v>0.44579999999999997</v>
      </c>
      <c r="F230" s="30">
        <v>1</v>
      </c>
      <c r="G230" s="30">
        <v>-0.55030719452865029</v>
      </c>
      <c r="H230" s="30">
        <v>-0.83496226959666042</v>
      </c>
    </row>
    <row r="231" spans="1:8" x14ac:dyDescent="0.35">
      <c r="A231" s="1">
        <v>40395</v>
      </c>
      <c r="B231" s="30">
        <v>0</v>
      </c>
      <c r="C231" s="30">
        <v>1</v>
      </c>
      <c r="D231" s="30">
        <v>0.33355960628314923</v>
      </c>
      <c r="E231" s="30">
        <v>-0.69210000000000005</v>
      </c>
      <c r="F231" s="30">
        <v>0</v>
      </c>
      <c r="G231" s="30">
        <v>-0.56458843860428809</v>
      </c>
      <c r="H231" s="30">
        <v>-0.82537257950235543</v>
      </c>
    </row>
    <row r="232" spans="1:8" x14ac:dyDescent="0.35">
      <c r="A232" s="1">
        <v>40396</v>
      </c>
      <c r="B232" s="3">
        <v>1</v>
      </c>
      <c r="C232" s="3">
        <v>1</v>
      </c>
      <c r="D232" s="3">
        <v>0.60982033849292627</v>
      </c>
      <c r="E232" s="3">
        <v>0.4466</v>
      </c>
      <c r="F232" s="3">
        <v>1</v>
      </c>
      <c r="G232" s="3">
        <v>-0.57870261187759997</v>
      </c>
      <c r="H232" s="3">
        <v>-0.81553864838279977</v>
      </c>
    </row>
    <row r="233" spans="1:8" x14ac:dyDescent="0.35">
      <c r="A233" s="1">
        <v>40397</v>
      </c>
      <c r="B233" s="30">
        <v>1</v>
      </c>
      <c r="C233" s="30">
        <v>0</v>
      </c>
      <c r="D233" s="30">
        <v>0.60987835721131778</v>
      </c>
      <c r="E233" s="30">
        <v>0.44679999999999997</v>
      </c>
      <c r="F233" s="30">
        <v>1</v>
      </c>
      <c r="G233" s="30">
        <v>-0.5926455377376274</v>
      </c>
      <c r="H233" s="30">
        <v>-0.8054633862564321</v>
      </c>
    </row>
    <row r="234" spans="1:8" x14ac:dyDescent="0.35">
      <c r="A234" s="1">
        <v>40398</v>
      </c>
      <c r="B234" s="3">
        <v>0</v>
      </c>
      <c r="C234" s="3">
        <v>0</v>
      </c>
      <c r="D234" s="3">
        <v>0.33372222827158199</v>
      </c>
      <c r="E234" s="3">
        <v>-0.69140000000000001</v>
      </c>
      <c r="F234" s="3">
        <v>0</v>
      </c>
      <c r="G234" s="3">
        <v>-0.60641309024827705</v>
      </c>
      <c r="H234" s="3">
        <v>-0.7951497745554198</v>
      </c>
    </row>
    <row r="235" spans="1:8" x14ac:dyDescent="0.35">
      <c r="A235" s="1">
        <v>40399</v>
      </c>
      <c r="B235" s="3">
        <v>0</v>
      </c>
      <c r="C235" s="3">
        <v>0</v>
      </c>
      <c r="D235" s="3">
        <v>0.33372916559456106</v>
      </c>
      <c r="E235" s="3">
        <v>-0.69140000000000001</v>
      </c>
      <c r="F235" s="3">
        <v>0</v>
      </c>
      <c r="G235" s="3">
        <v>-0.62000119536927378</v>
      </c>
      <c r="H235" s="3">
        <v>-0.78460086524338701</v>
      </c>
    </row>
    <row r="236" spans="1:8" x14ac:dyDescent="0.35">
      <c r="A236" s="1">
        <v>40400</v>
      </c>
      <c r="B236" s="30">
        <v>0</v>
      </c>
      <c r="C236" s="30">
        <v>1</v>
      </c>
      <c r="D236" s="30">
        <v>0.33371245534614419</v>
      </c>
      <c r="E236" s="30">
        <v>-0.69140000000000001</v>
      </c>
      <c r="F236" s="30">
        <v>0</v>
      </c>
      <c r="G236" s="30">
        <v>-0.63340583216170088</v>
      </c>
      <c r="H236" s="30">
        <v>-0.77381977991231476</v>
      </c>
    </row>
    <row r="237" spans="1:8" x14ac:dyDescent="0.35">
      <c r="A237" s="1">
        <v>40401</v>
      </c>
      <c r="B237" s="3">
        <v>1</v>
      </c>
      <c r="C237" s="3">
        <v>1</v>
      </c>
      <c r="D237" s="3">
        <v>0.60985744497424421</v>
      </c>
      <c r="E237" s="3">
        <v>0.44669999999999999</v>
      </c>
      <c r="F237" s="3">
        <v>1</v>
      </c>
      <c r="G237" s="3">
        <v>-0.64662303397788234</v>
      </c>
      <c r="H237" s="3">
        <v>-0.76280970885879429</v>
      </c>
    </row>
    <row r="238" spans="1:8" x14ac:dyDescent="0.35">
      <c r="A238" s="1">
        <v>40402</v>
      </c>
      <c r="B238" s="3">
        <v>1</v>
      </c>
      <c r="C238" s="3">
        <v>1</v>
      </c>
      <c r="D238" s="3">
        <v>0.60978897604170601</v>
      </c>
      <c r="E238" s="3">
        <v>0.44640000000000002</v>
      </c>
      <c r="F238" s="3">
        <v>1</v>
      </c>
      <c r="G238" s="3">
        <v>-0.65964888963514523</v>
      </c>
      <c r="H238" s="3">
        <v>-0.75157391013999408</v>
      </c>
    </row>
    <row r="239" spans="1:8" x14ac:dyDescent="0.35">
      <c r="A239" s="1">
        <v>40403</v>
      </c>
      <c r="B239" s="3">
        <v>1</v>
      </c>
      <c r="C239" s="3">
        <v>1</v>
      </c>
      <c r="D239" s="3">
        <v>0.60969523312656393</v>
      </c>
      <c r="E239" s="3">
        <v>0.44600000000000001</v>
      </c>
      <c r="F239" s="3">
        <v>1</v>
      </c>
      <c r="G239" s="3">
        <v>-0.67247954457322434</v>
      </c>
      <c r="H239" s="3">
        <v>-0.74011570860953146</v>
      </c>
    </row>
    <row r="240" spans="1:8" x14ac:dyDescent="0.35">
      <c r="A240" s="1">
        <v>40404</v>
      </c>
      <c r="B240" s="30">
        <v>1</v>
      </c>
      <c r="C240" s="30">
        <v>0</v>
      </c>
      <c r="D240" s="30">
        <v>0.60957623742532951</v>
      </c>
      <c r="E240" s="30">
        <v>0.44550000000000001</v>
      </c>
      <c r="F240" s="30">
        <v>1</v>
      </c>
      <c r="G240" s="30">
        <v>-0.68511120199490882</v>
      </c>
      <c r="H240" s="30">
        <v>-0.72843849493357449</v>
      </c>
    </row>
    <row r="241" spans="1:8" x14ac:dyDescent="0.35">
      <c r="A241" s="1">
        <v>40405</v>
      </c>
      <c r="B241" s="3">
        <v>0</v>
      </c>
      <c r="C241" s="3">
        <v>0</v>
      </c>
      <c r="D241" s="3">
        <v>0.33327475807755436</v>
      </c>
      <c r="E241" s="3">
        <v>-0.69340000000000002</v>
      </c>
      <c r="F241" s="3">
        <v>0</v>
      </c>
      <c r="G241" s="3">
        <v>-0.69754012398954379</v>
      </c>
      <c r="H241" s="3">
        <v>-0.71654572458751853</v>
      </c>
    </row>
    <row r="242" spans="1:8" x14ac:dyDescent="0.35">
      <c r="A242" s="1">
        <v>40406</v>
      </c>
      <c r="B242" s="30">
        <v>0</v>
      </c>
      <c r="C242" s="30">
        <v>1</v>
      </c>
      <c r="D242" s="30">
        <v>0.33311663572980316</v>
      </c>
      <c r="E242" s="30">
        <v>-0.69410000000000005</v>
      </c>
      <c r="F242" s="30">
        <v>0</v>
      </c>
      <c r="G242" s="30">
        <v>-0.70976263263915895</v>
      </c>
      <c r="H242" s="30">
        <v>-0.7044409168334349</v>
      </c>
    </row>
    <row r="243" spans="1:8" x14ac:dyDescent="0.35">
      <c r="A243" s="1">
        <v>40407</v>
      </c>
      <c r="B243" s="3">
        <v>1</v>
      </c>
      <c r="C243" s="3">
        <v>1</v>
      </c>
      <c r="D243" s="3">
        <v>0.60906803163317735</v>
      </c>
      <c r="E243" s="3">
        <v>0.44340000000000002</v>
      </c>
      <c r="F243" s="3">
        <v>1</v>
      </c>
      <c r="G243" s="3">
        <v>-0.72177511110679327</v>
      </c>
      <c r="H243" s="3">
        <v>-0.69212765367869555</v>
      </c>
    </row>
    <row r="244" spans="1:8" x14ac:dyDescent="0.35">
      <c r="A244" s="1">
        <v>40408</v>
      </c>
      <c r="B244" s="30">
        <v>1</v>
      </c>
      <c r="C244" s="30">
        <v>0</v>
      </c>
      <c r="D244" s="30">
        <v>0.60884835158604678</v>
      </c>
      <c r="E244" s="30">
        <v>0.4425</v>
      </c>
      <c r="F244" s="30">
        <v>1</v>
      </c>
      <c r="G244" s="30">
        <v>-0.73357400470679623</v>
      </c>
      <c r="H244" s="30">
        <v>-0.67960957881597972</v>
      </c>
    </row>
    <row r="245" spans="1:8" x14ac:dyDescent="0.35">
      <c r="A245" s="1">
        <v>40409</v>
      </c>
      <c r="B245" s="3">
        <v>0</v>
      </c>
      <c r="C245" s="3">
        <v>0</v>
      </c>
      <c r="D245" s="3">
        <v>0.33250216135511185</v>
      </c>
      <c r="E245" s="3">
        <v>-0.69689999999999996</v>
      </c>
      <c r="F245" s="3">
        <v>0</v>
      </c>
      <c r="G245" s="3">
        <v>-0.74515582195674523</v>
      </c>
      <c r="H245" s="3">
        <v>-0.66689039654501503</v>
      </c>
    </row>
    <row r="246" spans="1:8" x14ac:dyDescent="0.35">
      <c r="A246" s="1">
        <v>40410</v>
      </c>
      <c r="B246" s="30">
        <v>0</v>
      </c>
      <c r="C246" s="30">
        <v>1</v>
      </c>
      <c r="D246" s="30">
        <v>0.33225090835611015</v>
      </c>
      <c r="E246" s="30">
        <v>-0.69799999999999995</v>
      </c>
      <c r="F246" s="30">
        <v>0</v>
      </c>
      <c r="G246" s="30">
        <v>-0.75651713561056344</v>
      </c>
      <c r="H246" s="30">
        <v>-0.65397387067648838</v>
      </c>
    </row>
    <row r="247" spans="1:8" x14ac:dyDescent="0.35">
      <c r="A247" s="1">
        <v>40411</v>
      </c>
      <c r="B247" s="3">
        <v>1</v>
      </c>
      <c r="C247" s="3">
        <v>1</v>
      </c>
      <c r="D247" s="3">
        <v>0.60803917705295552</v>
      </c>
      <c r="E247" s="3">
        <v>0.43909999999999999</v>
      </c>
      <c r="F247" s="3">
        <v>1</v>
      </c>
      <c r="G247" s="3">
        <v>-0.76765458367276418</v>
      </c>
      <c r="H247" s="3">
        <v>-0.64086382341820092</v>
      </c>
    </row>
    <row r="248" spans="1:8" x14ac:dyDescent="0.35">
      <c r="A248" s="1">
        <v>40412</v>
      </c>
      <c r="B248" s="3">
        <v>1</v>
      </c>
      <c r="C248" s="3">
        <v>1</v>
      </c>
      <c r="D248" s="3">
        <v>0.60771961283363296</v>
      </c>
      <c r="E248" s="3">
        <v>0.43769999999999998</v>
      </c>
      <c r="F248" s="3">
        <v>1</v>
      </c>
      <c r="G248" s="3">
        <v>-0.7785648703932907</v>
      </c>
      <c r="H248" s="3">
        <v>-0.62756413424404567</v>
      </c>
    </row>
    <row r="249" spans="1:8" x14ac:dyDescent="0.35">
      <c r="A249" s="1">
        <v>40413</v>
      </c>
      <c r="B249" s="30">
        <v>1</v>
      </c>
      <c r="C249" s="30">
        <v>0</v>
      </c>
      <c r="D249" s="30">
        <v>0.60737524627226613</v>
      </c>
      <c r="E249" s="30">
        <v>0.43630000000000002</v>
      </c>
      <c r="F249" s="30">
        <v>1</v>
      </c>
      <c r="G249" s="30">
        <v>-0.7892447672427545</v>
      </c>
      <c r="H249" s="30">
        <v>-0.61407873874604246</v>
      </c>
    </row>
    <row r="250" spans="1:8" x14ac:dyDescent="0.35">
      <c r="A250" s="1">
        <v>40414</v>
      </c>
      <c r="B250" s="30">
        <v>0</v>
      </c>
      <c r="C250" s="30">
        <v>1</v>
      </c>
      <c r="D250" s="30">
        <v>0.3310165060298117</v>
      </c>
      <c r="E250" s="30">
        <v>-0.7036</v>
      </c>
      <c r="F250" s="30">
        <v>0</v>
      </c>
      <c r="G250" s="30">
        <v>-0.79969111386787262</v>
      </c>
      <c r="H250" s="30">
        <v>-0.60041162746965626</v>
      </c>
    </row>
    <row r="251" spans="1:8" x14ac:dyDescent="0.35">
      <c r="A251" s="1">
        <v>40415</v>
      </c>
      <c r="B251" s="3">
        <v>1</v>
      </c>
      <c r="C251" s="3">
        <v>1</v>
      </c>
      <c r="D251" s="3">
        <v>0.60661242900495915</v>
      </c>
      <c r="E251" s="3">
        <v>0.43309999999999998</v>
      </c>
      <c r="F251" s="3">
        <v>1</v>
      </c>
      <c r="G251" s="3">
        <v>-0.80990081902659572</v>
      </c>
      <c r="H251" s="3">
        <v>-0.58656684473301879</v>
      </c>
    </row>
    <row r="252" spans="1:8" x14ac:dyDescent="0.35">
      <c r="A252" s="1">
        <v>40416</v>
      </c>
      <c r="B252" s="3">
        <v>1</v>
      </c>
      <c r="C252" s="3">
        <v>1</v>
      </c>
      <c r="D252" s="3">
        <v>0.60619415458066861</v>
      </c>
      <c r="E252" s="3">
        <v>0.43130000000000002</v>
      </c>
      <c r="F252" s="3">
        <v>1</v>
      </c>
      <c r="G252" s="3">
        <v>-0.81987086150291788</v>
      </c>
      <c r="H252" s="3">
        <v>-0.57254848743007203</v>
      </c>
    </row>
    <row r="253" spans="1:8" x14ac:dyDescent="0.35">
      <c r="A253" s="1">
        <v>40417</v>
      </c>
      <c r="B253" s="3">
        <v>1</v>
      </c>
      <c r="C253" s="3">
        <v>1</v>
      </c>
      <c r="D253" s="3">
        <v>0.60575143043559221</v>
      </c>
      <c r="E253" s="3">
        <v>0.42949999999999999</v>
      </c>
      <c r="F253" s="3">
        <v>1</v>
      </c>
      <c r="G253" s="3">
        <v>-0.82959829100087557</v>
      </c>
      <c r="H253" s="3">
        <v>-0.55836070381826353</v>
      </c>
    </row>
    <row r="254" spans="1:8" x14ac:dyDescent="0.35">
      <c r="A254" s="1">
        <v>40418</v>
      </c>
      <c r="B254" s="3">
        <v>1</v>
      </c>
      <c r="C254" s="3">
        <v>1</v>
      </c>
      <c r="D254" s="3">
        <v>0.60528435968388361</v>
      </c>
      <c r="E254" s="3">
        <v>0.42749999999999999</v>
      </c>
      <c r="F254" s="3">
        <v>1</v>
      </c>
      <c r="G254" s="3">
        <v>-0.83908022901756507</v>
      </c>
      <c r="H254" s="3">
        <v>-0.54400769229104706</v>
      </c>
    </row>
    <row r="255" spans="1:8" x14ac:dyDescent="0.35">
      <c r="A255" s="1">
        <v>40419</v>
      </c>
      <c r="B255" s="30">
        <v>1</v>
      </c>
      <c r="C255" s="30">
        <v>0</v>
      </c>
      <c r="D255" s="30">
        <v>0.60479305148507068</v>
      </c>
      <c r="E255" s="30">
        <v>0.42549999999999999</v>
      </c>
      <c r="F255" s="30">
        <v>1</v>
      </c>
      <c r="G255" s="30">
        <v>-0.84831386969499323</v>
      </c>
      <c r="H255" s="30">
        <v>-0.52949370013542751</v>
      </c>
    </row>
    <row r="256" spans="1:8" x14ac:dyDescent="0.35">
      <c r="A256" s="1">
        <v>40420</v>
      </c>
      <c r="B256" s="3">
        <v>0</v>
      </c>
      <c r="C256" s="3">
        <v>0</v>
      </c>
      <c r="D256" s="3">
        <v>0.32849158957206809</v>
      </c>
      <c r="E256" s="3">
        <v>-0.71499999999999997</v>
      </c>
      <c r="F256" s="3">
        <v>0</v>
      </c>
      <c r="G256" s="3">
        <v>-0.85729648065031328</v>
      </c>
      <c r="H256" s="3">
        <v>-0.51482302227521548</v>
      </c>
    </row>
    <row r="257" spans="1:8" x14ac:dyDescent="0.35">
      <c r="A257" s="1">
        <v>40421</v>
      </c>
      <c r="B257" s="3">
        <v>0</v>
      </c>
      <c r="C257" s="3">
        <v>0</v>
      </c>
      <c r="D257" s="3">
        <v>0.32799429398729907</v>
      </c>
      <c r="E257" s="3">
        <v>-0.71730000000000005</v>
      </c>
      <c r="F257" s="3">
        <v>0</v>
      </c>
      <c r="G257" s="3">
        <v>-0.86602540378443493</v>
      </c>
      <c r="H257" s="3">
        <v>-0.50000000000000633</v>
      </c>
    </row>
    <row r="258" spans="1:8" x14ac:dyDescent="0.35">
      <c r="A258" s="1">
        <v>40422</v>
      </c>
      <c r="B258" s="30">
        <v>0</v>
      </c>
      <c r="C258" s="30">
        <v>1</v>
      </c>
      <c r="D258" s="30">
        <v>0.32747564942374469</v>
      </c>
      <c r="E258" s="30">
        <v>-0.71960000000000002</v>
      </c>
      <c r="F258" s="30">
        <v>0</v>
      </c>
      <c r="G258" s="30">
        <v>-0.874498056068575</v>
      </c>
      <c r="H258" s="30">
        <v>-0.48502901968055845</v>
      </c>
    </row>
    <row r="259" spans="1:8" x14ac:dyDescent="0.35">
      <c r="A259" s="1">
        <v>40423</v>
      </c>
      <c r="B259" s="3">
        <v>1</v>
      </c>
      <c r="C259" s="3">
        <v>1</v>
      </c>
      <c r="D259" s="3">
        <v>0.60258784083670969</v>
      </c>
      <c r="E259" s="3">
        <v>0.4163</v>
      </c>
      <c r="F259" s="3">
        <v>1</v>
      </c>
      <c r="G259" s="3">
        <v>-0.88271193030859652</v>
      </c>
      <c r="H259" s="3">
        <v>-0.46991451147083285</v>
      </c>
    </row>
    <row r="260" spans="1:8" x14ac:dyDescent="0.35">
      <c r="A260" s="1">
        <v>40424</v>
      </c>
      <c r="B260" s="30">
        <v>1</v>
      </c>
      <c r="C260" s="30">
        <v>0</v>
      </c>
      <c r="D260" s="30">
        <v>0.60197719669388849</v>
      </c>
      <c r="E260" s="30">
        <v>0.41370000000000001</v>
      </c>
      <c r="F260" s="30">
        <v>1</v>
      </c>
      <c r="G260" s="30">
        <v>-0.890664595886977</v>
      </c>
      <c r="H260" s="30">
        <v>-0.454660947996953</v>
      </c>
    </row>
    <row r="261" spans="1:8" x14ac:dyDescent="0.35">
      <c r="A261" s="1">
        <v>40425</v>
      </c>
      <c r="B261" s="30">
        <v>0</v>
      </c>
      <c r="C261" s="30">
        <v>1</v>
      </c>
      <c r="D261" s="30">
        <v>0.32579373434123049</v>
      </c>
      <c r="E261" s="30">
        <v>-0.72729999999999995</v>
      </c>
      <c r="F261" s="30">
        <v>0</v>
      </c>
      <c r="G261" s="30">
        <v>-0.8983536994820126</v>
      </c>
      <c r="H261" s="30">
        <v>-0.43927284303378222</v>
      </c>
    </row>
    <row r="262" spans="1:8" x14ac:dyDescent="0.35">
      <c r="A262" s="1">
        <v>40426</v>
      </c>
      <c r="B262" s="3">
        <v>1</v>
      </c>
      <c r="C262" s="3">
        <v>1</v>
      </c>
      <c r="D262" s="3">
        <v>0.60068569979203179</v>
      </c>
      <c r="E262" s="3">
        <v>0.4083</v>
      </c>
      <c r="F262" s="3">
        <v>1</v>
      </c>
      <c r="G262" s="3">
        <v>-0.90577696576425037</v>
      </c>
      <c r="H262" s="3">
        <v>-0.42375475016913733</v>
      </c>
    </row>
    <row r="263" spans="1:8" x14ac:dyDescent="0.35">
      <c r="A263" s="1">
        <v>40427</v>
      </c>
      <c r="B263" s="3">
        <v>1</v>
      </c>
      <c r="C263" s="3">
        <v>1</v>
      </c>
      <c r="D263" s="3">
        <v>0.60000515817771971</v>
      </c>
      <c r="E263" s="3">
        <v>0.40550000000000003</v>
      </c>
      <c r="F263" s="3">
        <v>1</v>
      </c>
      <c r="G263" s="3">
        <v>-0.91293219806977444</v>
      </c>
      <c r="H263" s="3">
        <v>-0.40811126145634619</v>
      </c>
    </row>
    <row r="264" spans="1:8" x14ac:dyDescent="0.35">
      <c r="A264" s="1">
        <v>40428</v>
      </c>
      <c r="B264" s="3">
        <v>1</v>
      </c>
      <c r="C264" s="3">
        <v>1</v>
      </c>
      <c r="D264" s="3">
        <v>0.59930163910993983</v>
      </c>
      <c r="E264" s="3">
        <v>0.40260000000000001</v>
      </c>
      <c r="F264" s="3">
        <v>1</v>
      </c>
      <c r="G264" s="3">
        <v>-0.91981727905021704</v>
      </c>
      <c r="H264" s="3">
        <v>-0.39234700605542416</v>
      </c>
    </row>
    <row r="265" spans="1:8" x14ac:dyDescent="0.35">
      <c r="A265" s="1">
        <v>40429</v>
      </c>
      <c r="B265" s="30">
        <v>1</v>
      </c>
      <c r="C265" s="30">
        <v>0</v>
      </c>
      <c r="D265" s="30">
        <v>0.59857531404866737</v>
      </c>
      <c r="E265" s="30">
        <v>0.39950000000000002</v>
      </c>
      <c r="F265" s="30">
        <v>1</v>
      </c>
      <c r="G265" s="30">
        <v>-0.92643017129935734</v>
      </c>
      <c r="H265" s="30">
        <v>-0.37646664886314096</v>
      </c>
    </row>
    <row r="266" spans="1:8" x14ac:dyDescent="0.35">
      <c r="A266" s="1">
        <v>40430</v>
      </c>
      <c r="B266" s="3">
        <v>0</v>
      </c>
      <c r="C266" s="3">
        <v>0</v>
      </c>
      <c r="D266" s="3">
        <v>0.32258449621839719</v>
      </c>
      <c r="E266" s="3">
        <v>-0.7419</v>
      </c>
      <c r="F266" s="3">
        <v>0</v>
      </c>
      <c r="G266" s="3">
        <v>-0.93276891795597638</v>
      </c>
      <c r="H266" s="3">
        <v>-0.36047488913270631</v>
      </c>
    </row>
    <row r="267" spans="1:8" x14ac:dyDescent="0.35">
      <c r="A267" s="1">
        <v>40431</v>
      </c>
      <c r="B267" s="30">
        <v>0</v>
      </c>
      <c r="C267" s="30">
        <v>1</v>
      </c>
      <c r="D267" s="30">
        <v>0.32188400201164807</v>
      </c>
      <c r="E267" s="30">
        <v>-0.74509999999999998</v>
      </c>
      <c r="F267" s="30">
        <v>0</v>
      </c>
      <c r="G267" s="30">
        <v>-0.93883164328296864</v>
      </c>
      <c r="H267" s="30">
        <v>-0.34437645908308079</v>
      </c>
    </row>
    <row r="268" spans="1:8" x14ac:dyDescent="0.35">
      <c r="A268" s="1">
        <v>40432</v>
      </c>
      <c r="B268" s="3">
        <v>1</v>
      </c>
      <c r="C268" s="3">
        <v>1</v>
      </c>
      <c r="D268" s="3">
        <v>0.5962613138776518</v>
      </c>
      <c r="E268" s="3">
        <v>0.38990000000000002</v>
      </c>
      <c r="F268" s="3">
        <v>1</v>
      </c>
      <c r="G268" s="3">
        <v>-0.94461655322235971</v>
      </c>
      <c r="H268" s="3">
        <v>-0.3281761224987414</v>
      </c>
    </row>
    <row r="269" spans="1:8" x14ac:dyDescent="0.35">
      <c r="A269" s="1">
        <v>40433</v>
      </c>
      <c r="B269" s="30">
        <v>1</v>
      </c>
      <c r="C269" s="30">
        <v>0</v>
      </c>
      <c r="D269" s="30">
        <v>0.59544560814790071</v>
      </c>
      <c r="E269" s="30">
        <v>0.38650000000000001</v>
      </c>
      <c r="F269" s="30">
        <v>1</v>
      </c>
      <c r="G269" s="30">
        <v>-0.95012193592623351</v>
      </c>
      <c r="H269" s="30">
        <v>-0.31187867331990859</v>
      </c>
    </row>
    <row r="270" spans="1:8" x14ac:dyDescent="0.35">
      <c r="A270" s="1">
        <v>40434</v>
      </c>
      <c r="B270" s="3">
        <v>0</v>
      </c>
      <c r="C270" s="3">
        <v>0</v>
      </c>
      <c r="D270" s="3">
        <v>0.31967015258960357</v>
      </c>
      <c r="E270" s="3">
        <v>-0.75529999999999997</v>
      </c>
      <c r="F270" s="3">
        <v>0</v>
      </c>
      <c r="G270" s="3">
        <v>-0.95534616226327906</v>
      </c>
      <c r="H270" s="3">
        <v>-0.29548893422398154</v>
      </c>
    </row>
    <row r="271" spans="1:8" x14ac:dyDescent="0.35">
      <c r="A271" s="1">
        <v>40435</v>
      </c>
      <c r="B271" s="3">
        <v>0</v>
      </c>
      <c r="C271" s="3">
        <v>0</v>
      </c>
      <c r="D271" s="3">
        <v>0.31889571901983088</v>
      </c>
      <c r="E271" s="3">
        <v>-0.75890000000000002</v>
      </c>
      <c r="F271" s="3">
        <v>0</v>
      </c>
      <c r="G271" s="3">
        <v>-0.96028768630086492</v>
      </c>
      <c r="H271" s="3">
        <v>-0.27901175519847138</v>
      </c>
    </row>
    <row r="272" spans="1:8" x14ac:dyDescent="0.35">
      <c r="A272" s="1">
        <v>40436</v>
      </c>
      <c r="B272" s="3">
        <v>0</v>
      </c>
      <c r="C272" s="3">
        <v>0</v>
      </c>
      <c r="D272" s="3">
        <v>0.31810354652077072</v>
      </c>
      <c r="E272" s="3">
        <v>-0.76249999999999996</v>
      </c>
      <c r="F272" s="3">
        <v>0</v>
      </c>
      <c r="G272" s="3">
        <v>-0.96494504576253493</v>
      </c>
      <c r="H272" s="3">
        <v>-0.26245201210571684</v>
      </c>
    </row>
    <row r="273" spans="1:8" x14ac:dyDescent="0.35">
      <c r="A273" s="1">
        <v>40437</v>
      </c>
      <c r="B273" s="30">
        <v>0</v>
      </c>
      <c r="C273" s="30">
        <v>1</v>
      </c>
      <c r="D273" s="30">
        <v>0.31729394674717171</v>
      </c>
      <c r="E273" s="30">
        <v>-0.76619999999999999</v>
      </c>
      <c r="F273" s="30">
        <v>0</v>
      </c>
      <c r="G273" s="30">
        <v>-0.96931686246068716</v>
      </c>
      <c r="H273" s="30">
        <v>-0.24581460524014703</v>
      </c>
    </row>
    <row r="274" spans="1:8" x14ac:dyDescent="0.35">
      <c r="A274" s="1">
        <v>40438</v>
      </c>
      <c r="B274" s="3">
        <v>1</v>
      </c>
      <c r="C274" s="3">
        <v>1</v>
      </c>
      <c r="D274" s="3">
        <v>0.59104360680230883</v>
      </c>
      <c r="E274" s="3">
        <v>0.36830000000000002</v>
      </c>
      <c r="F274" s="3">
        <v>1</v>
      </c>
      <c r="G274" s="3">
        <v>-0.97340184270442864</v>
      </c>
      <c r="H274" s="3">
        <v>-0.22910445787811001</v>
      </c>
    </row>
    <row r="275" spans="1:8" x14ac:dyDescent="0.35">
      <c r="A275" s="1">
        <v>40439</v>
      </c>
      <c r="B275" s="30">
        <v>1</v>
      </c>
      <c r="C275" s="30">
        <v>0</v>
      </c>
      <c r="D275" s="30">
        <v>0.59010007678564003</v>
      </c>
      <c r="E275" s="30">
        <v>0.3644</v>
      </c>
      <c r="F275" s="30">
        <v>1</v>
      </c>
      <c r="G275" s="30">
        <v>-0.97719877768238739</v>
      </c>
      <c r="H275" s="30">
        <v>-0.21232651482103676</v>
      </c>
    </row>
    <row r="276" spans="1:8" x14ac:dyDescent="0.35">
      <c r="A276" s="1">
        <v>40440</v>
      </c>
      <c r="B276" s="30">
        <v>0</v>
      </c>
      <c r="C276" s="30">
        <v>1</v>
      </c>
      <c r="D276" s="30">
        <v>0.31476379464899745</v>
      </c>
      <c r="E276" s="30">
        <v>-0.77790000000000004</v>
      </c>
      <c r="F276" s="30">
        <v>0</v>
      </c>
      <c r="G276" s="30">
        <v>-0.98070654382041034</v>
      </c>
      <c r="H276" s="30">
        <v>-0.19548574093223667</v>
      </c>
    </row>
    <row r="277" spans="1:8" x14ac:dyDescent="0.35">
      <c r="A277" s="1">
        <v>40441</v>
      </c>
      <c r="B277" s="30">
        <v>1</v>
      </c>
      <c r="C277" s="30">
        <v>0</v>
      </c>
      <c r="D277" s="30">
        <v>0.58815179440453946</v>
      </c>
      <c r="E277" s="30">
        <v>0.35630000000000001</v>
      </c>
      <c r="F277" s="30">
        <v>1</v>
      </c>
      <c r="G277" s="30">
        <v>-0.98392410311406842</v>
      </c>
      <c r="H277" s="30">
        <v>-0.17858711966761764</v>
      </c>
    </row>
    <row r="278" spans="1:8" x14ac:dyDescent="0.35">
      <c r="A278" s="1">
        <v>40442</v>
      </c>
      <c r="B278" s="30">
        <v>0</v>
      </c>
      <c r="C278" s="30">
        <v>1</v>
      </c>
      <c r="D278" s="30">
        <v>0.3129958819556517</v>
      </c>
      <c r="E278" s="30">
        <v>-0.78620000000000001</v>
      </c>
      <c r="F278" s="30">
        <v>0</v>
      </c>
      <c r="G278" s="30">
        <v>-0.98685050343579583</v>
      </c>
      <c r="H278" s="30">
        <v>-0.16163565160111248</v>
      </c>
    </row>
    <row r="279" spans="1:8" x14ac:dyDescent="0.35">
      <c r="A279" s="1">
        <v>40443</v>
      </c>
      <c r="B279" s="30">
        <v>1</v>
      </c>
      <c r="C279" s="30">
        <v>0</v>
      </c>
      <c r="D279" s="30">
        <v>0.58612358235957562</v>
      </c>
      <c r="E279" s="30">
        <v>0.34799999999999998</v>
      </c>
      <c r="F279" s="30">
        <v>1</v>
      </c>
      <c r="G279" s="30">
        <v>-0.98948487881665892</v>
      </c>
      <c r="H279" s="30">
        <v>-0.14463635294483099</v>
      </c>
    </row>
    <row r="280" spans="1:8" x14ac:dyDescent="0.35">
      <c r="A280" s="1">
        <v>40444</v>
      </c>
      <c r="B280" s="3">
        <v>0</v>
      </c>
      <c r="C280" s="3">
        <v>0</v>
      </c>
      <c r="D280" s="3">
        <v>0.31116625457918762</v>
      </c>
      <c r="E280" s="3">
        <v>-0.79469999999999996</v>
      </c>
      <c r="F280" s="3">
        <v>0</v>
      </c>
      <c r="G280" s="3">
        <v>-0.99182644970260125</v>
      </c>
      <c r="H280" s="3">
        <v>-0.12759425406472391</v>
      </c>
    </row>
    <row r="281" spans="1:8" x14ac:dyDescent="0.35">
      <c r="A281" s="1">
        <v>40445</v>
      </c>
      <c r="B281" s="3">
        <v>0</v>
      </c>
      <c r="C281" s="3">
        <v>0</v>
      </c>
      <c r="D281" s="3">
        <v>0.31022918202274519</v>
      </c>
      <c r="E281" s="3">
        <v>-0.79900000000000004</v>
      </c>
      <c r="F281" s="3">
        <v>0</v>
      </c>
      <c r="G281" s="3">
        <v>-0.99387452318512159</v>
      </c>
      <c r="H281" s="3">
        <v>-0.110514397992059</v>
      </c>
    </row>
    <row r="282" spans="1:8" x14ac:dyDescent="0.35">
      <c r="A282" s="1">
        <v>40446</v>
      </c>
      <c r="B282" s="3">
        <v>0</v>
      </c>
      <c r="C282" s="3">
        <v>0</v>
      </c>
      <c r="D282" s="3">
        <v>0.3092777517528274</v>
      </c>
      <c r="E282" s="3">
        <v>-0.80349999999999999</v>
      </c>
      <c r="F282" s="3">
        <v>0</v>
      </c>
      <c r="G282" s="3">
        <v>-0.9956284932063294</v>
      </c>
      <c r="H282" s="3">
        <v>-9.3401838931008438E-2</v>
      </c>
    </row>
    <row r="283" spans="1:8" x14ac:dyDescent="0.35">
      <c r="A283" s="1">
        <v>40447</v>
      </c>
      <c r="B283" s="30">
        <v>0</v>
      </c>
      <c r="C283" s="30">
        <v>1</v>
      </c>
      <c r="D283" s="30">
        <v>0.30831233081454068</v>
      </c>
      <c r="E283" s="30">
        <v>-0.80800000000000005</v>
      </c>
      <c r="F283" s="30">
        <v>0</v>
      </c>
      <c r="G283" s="30">
        <v>-0.99708784073827395</v>
      </c>
      <c r="H283" s="30">
        <v>-7.6261640763141236E-2</v>
      </c>
    </row>
    <row r="284" spans="1:8" x14ac:dyDescent="0.35">
      <c r="A284" s="1">
        <v>40448</v>
      </c>
      <c r="B284" s="3">
        <v>1</v>
      </c>
      <c r="C284" s="3">
        <v>1</v>
      </c>
      <c r="D284" s="3">
        <v>0.58071762035773034</v>
      </c>
      <c r="E284" s="3">
        <v>0.32569999999999999</v>
      </c>
      <c r="F284" s="3">
        <v>1</v>
      </c>
      <c r="G284" s="3">
        <v>-0.99825213393654344</v>
      </c>
      <c r="H284" s="3">
        <v>-5.9098875548840413E-2</v>
      </c>
    </row>
    <row r="285" spans="1:8" x14ac:dyDescent="0.35">
      <c r="A285" s="1">
        <v>40449</v>
      </c>
      <c r="B285" s="3">
        <v>1</v>
      </c>
      <c r="C285" s="3">
        <v>1</v>
      </c>
      <c r="D285" s="3">
        <v>0.57958123082794</v>
      </c>
      <c r="E285" s="3">
        <v>0.3211</v>
      </c>
      <c r="F285" s="3">
        <v>1</v>
      </c>
      <c r="G285" s="3">
        <v>-0.99912102826804938</v>
      </c>
      <c r="H285" s="3">
        <v>-4.1918622026441026E-2</v>
      </c>
    </row>
    <row r="286" spans="1:8" x14ac:dyDescent="0.35">
      <c r="A286" s="1">
        <v>40450</v>
      </c>
      <c r="B286" s="3">
        <v>1</v>
      </c>
      <c r="C286" s="3">
        <v>1</v>
      </c>
      <c r="D286" s="3">
        <v>0.57842714926002825</v>
      </c>
      <c r="E286" s="3">
        <v>0.31630000000000003</v>
      </c>
      <c r="F286" s="3">
        <v>1</v>
      </c>
      <c r="G286" s="3">
        <v>-0.99969426661297855</v>
      </c>
      <c r="H286" s="3">
        <v>-2.4725964109392425E-2</v>
      </c>
    </row>
    <row r="287" spans="1:8" x14ac:dyDescent="0.35">
      <c r="A287" s="1">
        <v>40451</v>
      </c>
      <c r="B287" s="30">
        <v>1</v>
      </c>
      <c r="C287" s="30">
        <v>0</v>
      </c>
      <c r="D287" s="30">
        <v>0.57725569172101376</v>
      </c>
      <c r="E287" s="30">
        <v>0.3115</v>
      </c>
      <c r="F287" s="30">
        <v>1</v>
      </c>
      <c r="G287" s="30">
        <v>-0.99997167934088305</v>
      </c>
      <c r="H287" s="30">
        <v>-7.5259893817471437E-3</v>
      </c>
    </row>
    <row r="288" spans="1:8" x14ac:dyDescent="0.35">
      <c r="A288" s="1">
        <v>40452</v>
      </c>
      <c r="B288" s="3">
        <v>0</v>
      </c>
      <c r="C288" s="3">
        <v>0</v>
      </c>
      <c r="D288" s="3">
        <v>0.30328851409974278</v>
      </c>
      <c r="E288" s="3">
        <v>-0.83169999999999999</v>
      </c>
      <c r="F288" s="3">
        <v>0</v>
      </c>
      <c r="G288" s="3">
        <v>-0.99995318436087299</v>
      </c>
      <c r="H288" s="3">
        <v>9.6762124072377262E-3</v>
      </c>
    </row>
    <row r="289" spans="1:8" x14ac:dyDescent="0.35">
      <c r="A289" s="1">
        <v>40453</v>
      </c>
      <c r="B289" s="3">
        <v>0</v>
      </c>
      <c r="C289" s="3">
        <v>0</v>
      </c>
      <c r="D289" s="3">
        <v>0.30224709293312985</v>
      </c>
      <c r="E289" s="3">
        <v>-0.83660000000000001</v>
      </c>
      <c r="F289" s="3">
        <v>0</v>
      </c>
      <c r="G289" s="3">
        <v>-0.99963878714591081</v>
      </c>
      <c r="H289" s="3">
        <v>2.6875550849281796E-2</v>
      </c>
    </row>
    <row r="290" spans="1:8" x14ac:dyDescent="0.35">
      <c r="A290" s="1">
        <v>40454</v>
      </c>
      <c r="B290" s="3">
        <v>0</v>
      </c>
      <c r="C290" s="3">
        <v>0</v>
      </c>
      <c r="D290" s="3">
        <v>0.30119436387673398</v>
      </c>
      <c r="E290" s="3">
        <v>-0.84160000000000001</v>
      </c>
      <c r="F290" s="3">
        <v>0</v>
      </c>
      <c r="G290" s="3">
        <v>-0.99902858073119083</v>
      </c>
      <c r="H290" s="3">
        <v>4.4066936383443535E-2</v>
      </c>
    </row>
    <row r="291" spans="1:8" x14ac:dyDescent="0.35">
      <c r="A291" s="1">
        <v>40455</v>
      </c>
      <c r="B291" s="3">
        <v>0</v>
      </c>
      <c r="C291" s="3">
        <v>0</v>
      </c>
      <c r="D291" s="3">
        <v>0.30013072382050754</v>
      </c>
      <c r="E291" s="3">
        <v>-0.84670000000000001</v>
      </c>
      <c r="F291" s="3">
        <v>0</v>
      </c>
      <c r="G291" s="3">
        <v>-0.99812274568660841</v>
      </c>
      <c r="H291" s="3">
        <v>6.1245281802160587E-2</v>
      </c>
    </row>
    <row r="292" spans="1:8" x14ac:dyDescent="0.35">
      <c r="A292" s="1">
        <v>40456</v>
      </c>
      <c r="B292" s="30">
        <v>0</v>
      </c>
      <c r="C292" s="30">
        <v>1</v>
      </c>
      <c r="D292" s="30">
        <v>0.29905657240440459</v>
      </c>
      <c r="E292" s="30">
        <v>-0.8518</v>
      </c>
      <c r="F292" s="30">
        <v>0</v>
      </c>
      <c r="G292" s="30">
        <v>-0.9969215500633255</v>
      </c>
      <c r="H292" s="30">
        <v>7.8405503756664732E-2</v>
      </c>
    </row>
    <row r="293" spans="1:8" x14ac:dyDescent="0.35">
      <c r="A293" s="1">
        <v>40457</v>
      </c>
      <c r="B293" s="30">
        <v>1</v>
      </c>
      <c r="C293" s="30">
        <v>0</v>
      </c>
      <c r="D293" s="30">
        <v>0.56988055990500952</v>
      </c>
      <c r="E293" s="30">
        <v>0.28139999999999998</v>
      </c>
      <c r="F293" s="30">
        <v>1</v>
      </c>
      <c r="G293" s="30">
        <v>-0.99542534931445315</v>
      </c>
      <c r="H293" s="30">
        <v>9.5542524261183995E-2</v>
      </c>
    </row>
    <row r="294" spans="1:8" x14ac:dyDescent="0.35">
      <c r="A294" s="1">
        <v>40458</v>
      </c>
      <c r="B294" s="30">
        <v>0</v>
      </c>
      <c r="C294" s="30">
        <v>1</v>
      </c>
      <c r="D294" s="30">
        <v>0.29687834645865147</v>
      </c>
      <c r="E294" s="30">
        <v>-0.86219999999999997</v>
      </c>
      <c r="F294" s="30">
        <v>0</v>
      </c>
      <c r="G294" s="30">
        <v>-0.993634586189866</v>
      </c>
      <c r="H294" s="30">
        <v>0.11265127219562882</v>
      </c>
    </row>
    <row r="295" spans="1:8" x14ac:dyDescent="0.35">
      <c r="A295" s="1">
        <v>40459</v>
      </c>
      <c r="B295" s="30">
        <v>1</v>
      </c>
      <c r="C295" s="30">
        <v>0</v>
      </c>
      <c r="D295" s="30">
        <v>0.56729853633370098</v>
      </c>
      <c r="E295" s="30">
        <v>0.27079999999999999</v>
      </c>
      <c r="F295" s="30">
        <v>1</v>
      </c>
      <c r="G295" s="30">
        <v>-0.99154979060518234</v>
      </c>
      <c r="H295" s="30">
        <v>0.12972668480624627</v>
      </c>
    </row>
    <row r="296" spans="1:8" x14ac:dyDescent="0.35">
      <c r="A296" s="1">
        <v>40460</v>
      </c>
      <c r="B296" s="3">
        <v>0</v>
      </c>
      <c r="C296" s="3">
        <v>0</v>
      </c>
      <c r="D296" s="3">
        <v>0.29466292962873364</v>
      </c>
      <c r="E296" s="3">
        <v>-0.87280000000000002</v>
      </c>
      <c r="F296" s="3">
        <v>0</v>
      </c>
      <c r="G296" s="3">
        <v>-0.98917157948495649</v>
      </c>
      <c r="H296" s="3">
        <v>0.14676370920372794</v>
      </c>
    </row>
    <row r="297" spans="1:8" x14ac:dyDescent="0.35">
      <c r="A297" s="1">
        <v>40461</v>
      </c>
      <c r="B297" s="3">
        <v>0</v>
      </c>
      <c r="C297" s="3">
        <v>0</v>
      </c>
      <c r="D297" s="3">
        <v>0.29354229654012665</v>
      </c>
      <c r="E297" s="3">
        <v>-0.87819999999999998</v>
      </c>
      <c r="F297" s="3">
        <v>0</v>
      </c>
      <c r="G297" s="3">
        <v>-0.98650065658011854</v>
      </c>
      <c r="H297" s="3">
        <v>0.16375730385846923</v>
      </c>
    </row>
    <row r="298" spans="1:8" x14ac:dyDescent="0.35">
      <c r="A298" s="1">
        <v>40462</v>
      </c>
      <c r="B298" s="3">
        <v>0</v>
      </c>
      <c r="C298" s="3">
        <v>0</v>
      </c>
      <c r="D298" s="3">
        <v>0.29241359508167486</v>
      </c>
      <c r="E298" s="3">
        <v>-0.88370000000000004</v>
      </c>
      <c r="F298" s="3">
        <v>0</v>
      </c>
      <c r="G298" s="3">
        <v>-0.98353781225972881</v>
      </c>
      <c r="H298" s="3">
        <v>0.18070244009239708</v>
      </c>
    </row>
    <row r="299" spans="1:8" x14ac:dyDescent="0.35">
      <c r="A299" s="1">
        <v>40463</v>
      </c>
      <c r="B299" s="3">
        <v>0</v>
      </c>
      <c r="C299" s="3">
        <v>0</v>
      </c>
      <c r="D299" s="3">
        <v>0.29127723782865839</v>
      </c>
      <c r="E299" s="3">
        <v>-0.88919999999999999</v>
      </c>
      <c r="F299" s="3">
        <v>0</v>
      </c>
      <c r="G299" s="3">
        <v>-0.98028392327709224</v>
      </c>
      <c r="H299" s="3">
        <v>0.19759410356706489</v>
      </c>
    </row>
    <row r="300" spans="1:8" x14ac:dyDescent="0.35">
      <c r="A300" s="1">
        <v>40464</v>
      </c>
      <c r="B300" s="30">
        <v>0</v>
      </c>
      <c r="C300" s="30">
        <v>1</v>
      </c>
      <c r="D300" s="30">
        <v>0.29013363829654193</v>
      </c>
      <c r="E300" s="30">
        <v>-0.89470000000000005</v>
      </c>
      <c r="F300" s="30">
        <v>0</v>
      </c>
      <c r="G300" s="30">
        <v>-0.97673995251030332</v>
      </c>
      <c r="H300" s="30">
        <v>0.21442729576751771</v>
      </c>
    </row>
    <row r="301" spans="1:8" x14ac:dyDescent="0.35">
      <c r="A301" s="1">
        <v>40465</v>
      </c>
      <c r="B301" s="3">
        <v>1</v>
      </c>
      <c r="C301" s="3">
        <v>1</v>
      </c>
      <c r="D301" s="3">
        <v>0.55922286213088856</v>
      </c>
      <c r="E301" s="3">
        <v>0.23799999999999999</v>
      </c>
      <c r="F301" s="3">
        <v>1</v>
      </c>
      <c r="G301" s="3">
        <v>-0.97290694867733807</v>
      </c>
      <c r="H301" s="3">
        <v>0.23119703548132173</v>
      </c>
    </row>
    <row r="302" spans="1:8" x14ac:dyDescent="0.35">
      <c r="A302" s="1">
        <v>40466</v>
      </c>
      <c r="B302" s="3">
        <v>1</v>
      </c>
      <c r="C302" s="3">
        <v>1</v>
      </c>
      <c r="D302" s="3">
        <v>0.55783295292768764</v>
      </c>
      <c r="E302" s="3">
        <v>0.2324</v>
      </c>
      <c r="F302" s="3">
        <v>1</v>
      </c>
      <c r="G302" s="3">
        <v>-0.96878604602568508</v>
      </c>
      <c r="H302" s="3">
        <v>0.24789836027275189</v>
      </c>
    </row>
    <row r="303" spans="1:8" x14ac:dyDescent="0.35">
      <c r="A303" s="1">
        <v>40467</v>
      </c>
      <c r="B303" s="3">
        <v>1</v>
      </c>
      <c r="C303" s="3">
        <v>1</v>
      </c>
      <c r="D303" s="3">
        <v>0.55643156141255523</v>
      </c>
      <c r="E303" s="3">
        <v>0.22670000000000001</v>
      </c>
      <c r="F303" s="3">
        <v>1</v>
      </c>
      <c r="G303" s="3">
        <v>-0.96437846399674421</v>
      </c>
      <c r="H303" s="3">
        <v>0.26452632795107617</v>
      </c>
    </row>
    <row r="304" spans="1:8" x14ac:dyDescent="0.35">
      <c r="A304" s="1">
        <v>40468</v>
      </c>
      <c r="B304" s="3">
        <v>1</v>
      </c>
      <c r="C304" s="3">
        <v>1</v>
      </c>
      <c r="D304" s="3">
        <v>0.55501910381493202</v>
      </c>
      <c r="E304" s="3">
        <v>0.221</v>
      </c>
      <c r="F304" s="3">
        <v>1</v>
      </c>
      <c r="G304" s="3">
        <v>-0.95968550686495291</v>
      </c>
      <c r="H304" s="3">
        <v>0.28107601803312665</v>
      </c>
    </row>
    <row r="305" spans="1:8" x14ac:dyDescent="0.35">
      <c r="A305" s="1">
        <v>40469</v>
      </c>
      <c r="B305" s="30">
        <v>1</v>
      </c>
      <c r="C305" s="30">
        <v>0</v>
      </c>
      <c r="D305" s="30">
        <v>0.55359600131061937</v>
      </c>
      <c r="E305" s="30">
        <v>0.2152</v>
      </c>
      <c r="F305" s="30">
        <v>1</v>
      </c>
      <c r="G305" s="30">
        <v>-0.95470856335182097</v>
      </c>
      <c r="H305" s="30">
        <v>0.2975425331993764</v>
      </c>
    </row>
    <row r="306" spans="1:8" x14ac:dyDescent="0.35">
      <c r="A306" s="1">
        <v>40470</v>
      </c>
      <c r="B306" s="30">
        <v>0</v>
      </c>
      <c r="C306" s="30">
        <v>1</v>
      </c>
      <c r="D306" s="30">
        <v>0.28314317167627256</v>
      </c>
      <c r="E306" s="30">
        <v>-0.92889999999999995</v>
      </c>
      <c r="F306" s="30">
        <v>0</v>
      </c>
      <c r="G306" s="30">
        <v>-0.94944910621501366</v>
      </c>
      <c r="H306" s="30">
        <v>0.31392100074303991</v>
      </c>
    </row>
    <row r="307" spans="1:8" x14ac:dyDescent="0.35">
      <c r="A307" s="1">
        <v>40471</v>
      </c>
      <c r="B307" s="30">
        <v>1</v>
      </c>
      <c r="C307" s="30">
        <v>0</v>
      </c>
      <c r="D307" s="30">
        <v>0.5507195701589932</v>
      </c>
      <c r="E307" s="30">
        <v>0.2036</v>
      </c>
      <c r="F307" s="30">
        <v>1</v>
      </c>
      <c r="G307" s="30">
        <v>-0.94390869181251025</v>
      </c>
      <c r="H307" s="30">
        <v>0.33020657401208031</v>
      </c>
    </row>
    <row r="308" spans="1:8" x14ac:dyDescent="0.35">
      <c r="A308" s="1">
        <v>40472</v>
      </c>
      <c r="B308" s="3">
        <v>0</v>
      </c>
      <c r="C308" s="3">
        <v>0</v>
      </c>
      <c r="D308" s="3">
        <v>0.28077387359575295</v>
      </c>
      <c r="E308" s="3">
        <v>-0.94059999999999999</v>
      </c>
      <c r="F308" s="3">
        <v>0</v>
      </c>
      <c r="G308" s="3">
        <v>-0.93808895964206429</v>
      </c>
      <c r="H308" s="3">
        <v>0.34639443384337104</v>
      </c>
    </row>
    <row r="309" spans="1:8" x14ac:dyDescent="0.35">
      <c r="A309" s="1">
        <v>40473</v>
      </c>
      <c r="B309" s="3">
        <v>0</v>
      </c>
      <c r="C309" s="3">
        <v>0</v>
      </c>
      <c r="D309" s="3">
        <v>0.27958374557619481</v>
      </c>
      <c r="E309" s="3">
        <v>-0.94650000000000001</v>
      </c>
      <c r="F309" s="3">
        <v>0</v>
      </c>
      <c r="G309" s="3">
        <v>-0.93199163185606493</v>
      </c>
      <c r="H309" s="3">
        <v>0.3624797899887236</v>
      </c>
    </row>
    <row r="310" spans="1:8" x14ac:dyDescent="0.35">
      <c r="A310" s="1">
        <v>40474</v>
      </c>
      <c r="B310" s="30">
        <v>0</v>
      </c>
      <c r="C310" s="30">
        <v>1</v>
      </c>
      <c r="D310" s="30">
        <v>0.27839051287777561</v>
      </c>
      <c r="E310" s="30">
        <v>-0.95250000000000001</v>
      </c>
      <c r="F310" s="30">
        <v>0</v>
      </c>
      <c r="G310" s="30">
        <v>-0.92561851275189067</v>
      </c>
      <c r="H310" s="30">
        <v>0.37845788253249268</v>
      </c>
    </row>
    <row r="311" spans="1:8" x14ac:dyDescent="0.35">
      <c r="A311" s="1">
        <v>40475</v>
      </c>
      <c r="B311" s="3">
        <v>1</v>
      </c>
      <c r="C311" s="3">
        <v>1</v>
      </c>
      <c r="D311" s="3">
        <v>0.54485801536569434</v>
      </c>
      <c r="E311" s="3">
        <v>0.1799</v>
      </c>
      <c r="F311" s="3">
        <v>1</v>
      </c>
      <c r="G311" s="3">
        <v>-0.91897148823802854</v>
      </c>
      <c r="H311" s="3">
        <v>0.39432398330000534</v>
      </c>
    </row>
    <row r="312" spans="1:8" x14ac:dyDescent="0.35">
      <c r="A312" s="1">
        <v>40476</v>
      </c>
      <c r="B312" s="30">
        <v>1</v>
      </c>
      <c r="C312" s="30">
        <v>0</v>
      </c>
      <c r="D312" s="30">
        <v>0.54337257570702857</v>
      </c>
      <c r="E312" s="30">
        <v>0.1739</v>
      </c>
      <c r="F312" s="30">
        <v>1</v>
      </c>
      <c r="G312" s="30">
        <v>-0.91205252527596747</v>
      </c>
      <c r="H312" s="30">
        <v>0.41007339725679681</v>
      </c>
    </row>
    <row r="313" spans="1:8" x14ac:dyDescent="0.35">
      <c r="A313" s="1">
        <v>40477</v>
      </c>
      <c r="B313" s="3">
        <v>0</v>
      </c>
      <c r="C313" s="3">
        <v>0</v>
      </c>
      <c r="D313" s="3">
        <v>0.27479627010214219</v>
      </c>
      <c r="E313" s="3">
        <v>-0.97040000000000004</v>
      </c>
      <c r="F313" s="3">
        <v>0</v>
      </c>
      <c r="G313" s="3">
        <v>-0.90486367129815726</v>
      </c>
      <c r="H313" s="3">
        <v>0.42570146389790636</v>
      </c>
    </row>
    <row r="314" spans="1:8" x14ac:dyDescent="0.35">
      <c r="A314" s="1">
        <v>40478</v>
      </c>
      <c r="B314" s="30">
        <v>0</v>
      </c>
      <c r="C314" s="30">
        <v>1</v>
      </c>
      <c r="D314" s="30">
        <v>0.2735946929120322</v>
      </c>
      <c r="E314" s="30">
        <v>-0.97650000000000003</v>
      </c>
      <c r="F314" s="30">
        <v>0</v>
      </c>
      <c r="G314" s="30">
        <v>-0.89740705360215922</v>
      </c>
      <c r="H314" s="30">
        <v>0.4412035586269577</v>
      </c>
    </row>
    <row r="315" spans="1:8" x14ac:dyDescent="0.35">
      <c r="A315" s="1">
        <v>40479</v>
      </c>
      <c r="B315" s="30">
        <v>1</v>
      </c>
      <c r="C315" s="30">
        <v>0</v>
      </c>
      <c r="D315" s="30">
        <v>0.53887540085045893</v>
      </c>
      <c r="E315" s="30">
        <v>0.15579999999999999</v>
      </c>
      <c r="F315" s="30">
        <v>1</v>
      </c>
      <c r="G315" s="30">
        <v>-0.88968487872110291</v>
      </c>
      <c r="H315" s="30">
        <v>0.45657509412474134</v>
      </c>
    </row>
    <row r="316" spans="1:8" x14ac:dyDescent="0.35">
      <c r="A316" s="1">
        <v>40480</v>
      </c>
      <c r="B316" s="3">
        <v>0</v>
      </c>
      <c r="C316" s="3">
        <v>0</v>
      </c>
      <c r="D316" s="3">
        <v>0.27118870510464227</v>
      </c>
      <c r="E316" s="3">
        <v>-0.98860000000000003</v>
      </c>
      <c r="F316" s="3">
        <v>0</v>
      </c>
      <c r="G316" s="3">
        <v>-0.88169943177078614</v>
      </c>
      <c r="H316" s="3">
        <v>0.47181152170657387</v>
      </c>
    </row>
    <row r="317" spans="1:8" x14ac:dyDescent="0.35">
      <c r="A317" s="1">
        <v>40481</v>
      </c>
      <c r="B317" s="30">
        <v>0</v>
      </c>
      <c r="C317" s="30">
        <v>1</v>
      </c>
      <c r="D317" s="30">
        <v>0.26998508955484035</v>
      </c>
      <c r="E317" s="30">
        <v>-0.99470000000000003</v>
      </c>
      <c r="F317" s="30">
        <v>0</v>
      </c>
      <c r="G317" s="30">
        <v>-0.87345307577342879</v>
      </c>
      <c r="H317" s="30">
        <v>0.4869083326684161</v>
      </c>
    </row>
    <row r="318" spans="1:8" x14ac:dyDescent="0.35">
      <c r="A318" s="1">
        <v>40482</v>
      </c>
      <c r="B318" s="3">
        <v>1</v>
      </c>
      <c r="C318" s="3">
        <v>1</v>
      </c>
      <c r="D318" s="3">
        <v>0.53432667336755757</v>
      </c>
      <c r="E318" s="3">
        <v>0.13750000000000001</v>
      </c>
      <c r="F318" s="3">
        <v>1</v>
      </c>
      <c r="G318" s="3">
        <v>-0.86494825095843431</v>
      </c>
      <c r="H318" s="3">
        <v>0.50186105962103233</v>
      </c>
    </row>
    <row r="319" spans="1:8" x14ac:dyDescent="0.35">
      <c r="A319" s="1">
        <v>40483</v>
      </c>
      <c r="B319" s="3">
        <v>1</v>
      </c>
      <c r="C319" s="3">
        <v>1</v>
      </c>
      <c r="D319" s="3">
        <v>0.53280116426548296</v>
      </c>
      <c r="E319" s="3">
        <v>0.13139999999999999</v>
      </c>
      <c r="F319" s="3">
        <v>1</v>
      </c>
      <c r="G319" s="3">
        <v>-0.85618747404030915</v>
      </c>
      <c r="H319" s="3">
        <v>0.51666527781192628</v>
      </c>
    </row>
    <row r="320" spans="1:8" x14ac:dyDescent="0.35">
      <c r="A320" s="1">
        <v>40484</v>
      </c>
      <c r="B320" s="3">
        <v>1</v>
      </c>
      <c r="C320" s="3">
        <v>1</v>
      </c>
      <c r="D320" s="3">
        <v>0.53127181228817799</v>
      </c>
      <c r="E320" s="3">
        <v>0.12529999999999999</v>
      </c>
      <c r="F320" s="3">
        <v>1</v>
      </c>
      <c r="G320" s="3">
        <v>-0.84717333747387613</v>
      </c>
      <c r="H320" s="3">
        <v>0.53131660643478285</v>
      </c>
    </row>
    <row r="321" spans="1:8" x14ac:dyDescent="0.35">
      <c r="A321" s="1">
        <v>40485</v>
      </c>
      <c r="B321" s="3">
        <v>1</v>
      </c>
      <c r="C321" s="3">
        <v>1</v>
      </c>
      <c r="D321" s="3">
        <v>0.52973909493902749</v>
      </c>
      <c r="E321" s="3">
        <v>0.1191</v>
      </c>
      <c r="F321" s="3">
        <v>1</v>
      </c>
      <c r="G321" s="3">
        <v>-0.83790850868718381</v>
      </c>
      <c r="H321" s="3">
        <v>0.545810709925721</v>
      </c>
    </row>
    <row r="322" spans="1:8" x14ac:dyDescent="0.35">
      <c r="A322" s="1">
        <v>40486</v>
      </c>
      <c r="B322" s="3">
        <v>1</v>
      </c>
      <c r="C322" s="3">
        <v>1</v>
      </c>
      <c r="D322" s="3">
        <v>0.52820349158930602</v>
      </c>
      <c r="E322" s="3">
        <v>0.1129</v>
      </c>
      <c r="F322" s="3">
        <v>1</v>
      </c>
      <c r="G322" s="3">
        <v>-0.82839572929211147</v>
      </c>
      <c r="H322" s="3">
        <v>0.5601432992463542</v>
      </c>
    </row>
    <row r="323" spans="1:8" x14ac:dyDescent="0.35">
      <c r="A323" s="1">
        <v>40487</v>
      </c>
      <c r="B323" s="30">
        <v>1</v>
      </c>
      <c r="C323" s="30">
        <v>0</v>
      </c>
      <c r="D323" s="30">
        <v>0.52666548326312557</v>
      </c>
      <c r="E323" s="30">
        <v>0.10680000000000001</v>
      </c>
      <c r="F323" s="30">
        <v>1</v>
      </c>
      <c r="G323" s="30">
        <v>-0.81863781427314386</v>
      </c>
      <c r="H323" s="30">
        <v>0.57431013315288948</v>
      </c>
    </row>
    <row r="324" spans="1:8" x14ac:dyDescent="0.35">
      <c r="A324" s="1">
        <v>40488</v>
      </c>
      <c r="B324" s="3">
        <v>0</v>
      </c>
      <c r="C324" s="3">
        <v>0</v>
      </c>
      <c r="D324" s="3">
        <v>0.26158452067580096</v>
      </c>
      <c r="E324" s="3">
        <v>-1.0377000000000001</v>
      </c>
      <c r="F324" s="3">
        <v>0</v>
      </c>
      <c r="G324" s="3">
        <v>-0.80863765115431696</v>
      </c>
      <c r="H324" s="3">
        <v>0.58830701945126329</v>
      </c>
    </row>
    <row r="325" spans="1:8" x14ac:dyDescent="0.35">
      <c r="A325" s="1">
        <v>40489</v>
      </c>
      <c r="B325" s="30">
        <v>0</v>
      </c>
      <c r="C325" s="30">
        <v>1</v>
      </c>
      <c r="D325" s="30">
        <v>0.26039253560468523</v>
      </c>
      <c r="E325" s="30">
        <v>-1.0439000000000001</v>
      </c>
      <c r="F325" s="30">
        <v>0</v>
      </c>
      <c r="G325" s="30">
        <v>-0.79839819914477639</v>
      </c>
      <c r="H325" s="30">
        <v>0.60212981623764317</v>
      </c>
    </row>
    <row r="326" spans="1:8" x14ac:dyDescent="0.35">
      <c r="A326" s="1">
        <v>40490</v>
      </c>
      <c r="B326" s="30">
        <v>1</v>
      </c>
      <c r="C326" s="30">
        <v>0</v>
      </c>
      <c r="D326" s="30">
        <v>0.52204185888223442</v>
      </c>
      <c r="E326" s="30">
        <v>8.8200000000000001E-2</v>
      </c>
      <c r="F326" s="30">
        <v>1</v>
      </c>
      <c r="G326" s="30">
        <v>-0.7879224882631255</v>
      </c>
      <c r="H326" s="30">
        <v>0.61577443312404978</v>
      </c>
    </row>
    <row r="327" spans="1:8" x14ac:dyDescent="0.35">
      <c r="A327" s="1">
        <v>40491</v>
      </c>
      <c r="B327" s="3">
        <v>0</v>
      </c>
      <c r="C327" s="3">
        <v>0</v>
      </c>
      <c r="D327" s="3">
        <v>0.25801833567606808</v>
      </c>
      <c r="E327" s="3">
        <v>-1.0563</v>
      </c>
      <c r="F327" s="3">
        <v>0</v>
      </c>
      <c r="G327" s="3">
        <v>-0.77721361844073489</v>
      </c>
      <c r="H327" s="3">
        <v>0.62923683244884809</v>
      </c>
    </row>
    <row r="328" spans="1:8" x14ac:dyDescent="0.35">
      <c r="A328" s="1">
        <v>40492</v>
      </c>
      <c r="B328" s="3">
        <v>0</v>
      </c>
      <c r="C328" s="3">
        <v>0</v>
      </c>
      <c r="D328" s="3">
        <v>0.25683683784172495</v>
      </c>
      <c r="E328" s="3">
        <v>-1.0625</v>
      </c>
      <c r="F328" s="3">
        <v>0</v>
      </c>
      <c r="G328" s="3">
        <v>-0.76627475860449179</v>
      </c>
      <c r="H328" s="3">
        <v>0.64251303047146668</v>
      </c>
    </row>
    <row r="329" spans="1:8" x14ac:dyDescent="0.35">
      <c r="A329" s="1">
        <v>40493</v>
      </c>
      <c r="B329" s="3">
        <v>0</v>
      </c>
      <c r="C329" s="3">
        <v>0</v>
      </c>
      <c r="D329" s="3">
        <v>0.25565954540987884</v>
      </c>
      <c r="E329" s="3">
        <v>-1.0687</v>
      </c>
      <c r="F329" s="3">
        <v>0</v>
      </c>
      <c r="G329" s="3">
        <v>-0.75510914573900245</v>
      </c>
      <c r="H329" s="3">
        <v>0.65559909855132814</v>
      </c>
    </row>
    <row r="330" spans="1:8" x14ac:dyDescent="0.35">
      <c r="A330" s="1">
        <v>40494</v>
      </c>
      <c r="B330" s="3">
        <v>0</v>
      </c>
      <c r="C330" s="3">
        <v>0</v>
      </c>
      <c r="D330" s="3">
        <v>0.2544868056668203</v>
      </c>
      <c r="E330" s="3">
        <v>-1.0748</v>
      </c>
      <c r="F330" s="3">
        <v>0</v>
      </c>
      <c r="G330" s="3">
        <v>-0.74372008392874156</v>
      </c>
      <c r="H330" s="3">
        <v>0.66849116431036371</v>
      </c>
    </row>
    <row r="331" spans="1:8" x14ac:dyDescent="0.35">
      <c r="A331" s="1">
        <v>40495</v>
      </c>
      <c r="B331" s="30">
        <v>0</v>
      </c>
      <c r="C331" s="30">
        <v>1</v>
      </c>
      <c r="D331" s="30">
        <v>0.25331896120620256</v>
      </c>
      <c r="E331" s="30">
        <v>-1.081</v>
      </c>
      <c r="F331" s="30">
        <v>0</v>
      </c>
      <c r="G331" s="30">
        <v>-0.7321109433803501</v>
      </c>
      <c r="H331" s="30">
        <v>0.68118541277888056</v>
      </c>
    </row>
    <row r="332" spans="1:8" x14ac:dyDescent="0.35">
      <c r="A332" s="1">
        <v>40496</v>
      </c>
      <c r="B332" s="3">
        <v>1</v>
      </c>
      <c r="C332" s="3">
        <v>1</v>
      </c>
      <c r="D332" s="3">
        <v>0.5127950889410311</v>
      </c>
      <c r="E332" s="3">
        <v>5.1200000000000002E-2</v>
      </c>
      <c r="F332" s="3">
        <v>1</v>
      </c>
      <c r="G332" s="3">
        <v>-0.72028515942527016</v>
      </c>
      <c r="H332" s="3">
        <v>0.69367808752454707</v>
      </c>
    </row>
    <row r="333" spans="1:8" x14ac:dyDescent="0.35">
      <c r="A333" s="1">
        <v>40497</v>
      </c>
      <c r="B333" s="3">
        <v>1</v>
      </c>
      <c r="C333" s="3">
        <v>1</v>
      </c>
      <c r="D333" s="3">
        <v>0.51125969337584376</v>
      </c>
      <c r="E333" s="3">
        <v>4.4999999999999998E-2</v>
      </c>
      <c r="F333" s="3">
        <v>1</v>
      </c>
      <c r="G333" s="3">
        <v>-0.70824623150325217</v>
      </c>
      <c r="H333" s="3">
        <v>0.70596549176389756</v>
      </c>
    </row>
    <row r="334" spans="1:8" x14ac:dyDescent="0.35">
      <c r="A334" s="1">
        <v>40498</v>
      </c>
      <c r="B334" s="3">
        <v>1</v>
      </c>
      <c r="C334" s="3">
        <v>1</v>
      </c>
      <c r="D334" s="3">
        <v>0.50972722999678555</v>
      </c>
      <c r="E334" s="3">
        <v>3.8899999999999997E-2</v>
      </c>
      <c r="F334" s="3">
        <v>1</v>
      </c>
      <c r="G334" s="3">
        <v>-0.69599772212674638</v>
      </c>
      <c r="H334" s="3">
        <v>0.71804398945634262</v>
      </c>
    </row>
    <row r="335" spans="1:8" x14ac:dyDescent="0.35">
      <c r="A335" s="1">
        <v>40499</v>
      </c>
      <c r="B335" s="30">
        <v>1</v>
      </c>
      <c r="C335" s="30">
        <v>0</v>
      </c>
      <c r="D335" s="30">
        <v>0.5081981823552455</v>
      </c>
      <c r="E335" s="30">
        <v>3.2800000000000003E-2</v>
      </c>
      <c r="F335" s="30">
        <v>1</v>
      </c>
      <c r="G335" s="30">
        <v>-0.68354325582672648</v>
      </c>
      <c r="H335" s="30">
        <v>0.72991000638010051</v>
      </c>
    </row>
    <row r="336" spans="1:8" x14ac:dyDescent="0.35">
      <c r="A336" s="1">
        <v>40500</v>
      </c>
      <c r="B336" s="3">
        <v>0</v>
      </c>
      <c r="C336" s="3">
        <v>0</v>
      </c>
      <c r="D336" s="3">
        <v>0.24756481798890584</v>
      </c>
      <c r="E336" s="3">
        <v>-1.1115999999999999</v>
      </c>
      <c r="F336" s="3">
        <v>0</v>
      </c>
      <c r="G336" s="3">
        <v>-0.67088651808016431</v>
      </c>
      <c r="H336" s="3">
        <v>0.74156003118983793</v>
      </c>
    </row>
    <row r="337" spans="1:8" x14ac:dyDescent="0.35">
      <c r="A337" s="1">
        <v>40501</v>
      </c>
      <c r="B337" s="30">
        <v>0</v>
      </c>
      <c r="C337" s="30">
        <v>1</v>
      </c>
      <c r="D337" s="30">
        <v>0.24643326472073976</v>
      </c>
      <c r="E337" s="30">
        <v>-1.1176999999999999</v>
      </c>
      <c r="F337" s="30">
        <v>0</v>
      </c>
      <c r="G337" s="30">
        <v>-0.65803125421936537</v>
      </c>
      <c r="H337" s="30">
        <v>0.75299061645580212</v>
      </c>
    </row>
    <row r="338" spans="1:8" x14ac:dyDescent="0.35">
      <c r="A338" s="1">
        <v>40502</v>
      </c>
      <c r="B338" s="30">
        <v>1</v>
      </c>
      <c r="C338" s="30">
        <v>0</v>
      </c>
      <c r="D338" s="30">
        <v>0.5036363494126942</v>
      </c>
      <c r="E338" s="30">
        <v>1.4500000000000001E-2</v>
      </c>
      <c r="F338" s="30">
        <v>1</v>
      </c>
      <c r="G338" s="30">
        <v>-0.6449812683237488</v>
      </c>
      <c r="H338" s="30">
        <v>0.76419837968389359</v>
      </c>
    </row>
    <row r="339" spans="1:8" x14ac:dyDescent="0.35">
      <c r="A339" s="1">
        <v>40503</v>
      </c>
      <c r="B339" s="30">
        <v>0</v>
      </c>
      <c r="C339" s="30">
        <v>1</v>
      </c>
      <c r="D339" s="30">
        <v>0.2441919226167229</v>
      </c>
      <c r="E339" s="30">
        <v>-1.1297999999999999</v>
      </c>
      <c r="F339" s="30">
        <v>0</v>
      </c>
      <c r="G339" s="30">
        <v>-0.63174042209408454</v>
      </c>
      <c r="H339" s="30">
        <v>0.775180004316667</v>
      </c>
    </row>
    <row r="340" spans="1:8" x14ac:dyDescent="0.35">
      <c r="A340" s="1">
        <v>40504</v>
      </c>
      <c r="B340" s="3">
        <v>1</v>
      </c>
      <c r="C340" s="3">
        <v>1</v>
      </c>
      <c r="D340" s="3">
        <v>0.50062100525925191</v>
      </c>
      <c r="E340" s="3">
        <v>2.5000000000000001E-3</v>
      </c>
      <c r="F340" s="3">
        <v>1</v>
      </c>
      <c r="G340" s="3">
        <v>-0.61831263370978551</v>
      </c>
      <c r="H340" s="3">
        <v>0.78593224071472512</v>
      </c>
    </row>
    <row r="341" spans="1:8" x14ac:dyDescent="0.35">
      <c r="A341" s="1">
        <v>40505</v>
      </c>
      <c r="B341" s="3">
        <v>0</v>
      </c>
      <c r="C341" s="3">
        <v>0</v>
      </c>
      <c r="D341" s="3">
        <v>0.4991225217436755</v>
      </c>
      <c r="E341" s="3">
        <v>-3.5000000000000001E-3</v>
      </c>
      <c r="F341" s="3">
        <v>1</v>
      </c>
      <c r="G341" s="3">
        <v>-0.60470187666948927</v>
      </c>
      <c r="H341" s="3">
        <v>0.79645190711831293</v>
      </c>
    </row>
    <row r="342" spans="1:8" x14ac:dyDescent="0.35">
      <c r="A342" s="1">
        <v>40506</v>
      </c>
      <c r="B342" s="3">
        <v>0</v>
      </c>
      <c r="C342" s="3">
        <v>0</v>
      </c>
      <c r="D342" s="3">
        <v>0.24088876745793497</v>
      </c>
      <c r="E342" s="3">
        <v>-1.1477999999999999</v>
      </c>
      <c r="F342" s="3">
        <v>0</v>
      </c>
      <c r="G342" s="3">
        <v>-0.59091217861515744</v>
      </c>
      <c r="H342" s="3">
        <v>0.80673589058891404</v>
      </c>
    </row>
    <row r="343" spans="1:8" x14ac:dyDescent="0.35">
      <c r="A343" s="1">
        <v>40507</v>
      </c>
      <c r="B343" s="30">
        <v>0</v>
      </c>
      <c r="C343" s="30">
        <v>1</v>
      </c>
      <c r="D343" s="30">
        <v>0.23980455886672952</v>
      </c>
      <c r="E343" s="30">
        <v>-1.1537999999999999</v>
      </c>
      <c r="F343" s="30">
        <v>0</v>
      </c>
      <c r="G343" s="30">
        <v>-0.57694762014031042</v>
      </c>
      <c r="H343" s="30">
        <v>0.81678114793035728</v>
      </c>
    </row>
    <row r="344" spans="1:8" x14ac:dyDescent="0.35">
      <c r="A344" s="1">
        <v>40508</v>
      </c>
      <c r="B344" s="30">
        <v>0</v>
      </c>
      <c r="C344" s="30">
        <v>1</v>
      </c>
      <c r="D344" s="30">
        <v>0.49466946028974035</v>
      </c>
      <c r="E344" s="30">
        <v>-2.1299999999999999E-2</v>
      </c>
      <c r="F344" s="30">
        <v>1</v>
      </c>
      <c r="G344" s="30">
        <v>-0.56281233358248073</v>
      </c>
      <c r="H344" s="30">
        <v>0.82658470658937455</v>
      </c>
    </row>
    <row r="345" spans="1:8" x14ac:dyDescent="0.35">
      <c r="A345" s="1">
        <v>40509</v>
      </c>
      <c r="B345" s="30">
        <v>0</v>
      </c>
      <c r="C345" s="30">
        <v>1</v>
      </c>
      <c r="D345" s="30">
        <v>0.49320078474911105</v>
      </c>
      <c r="E345" s="30">
        <v>-2.7199999999999998E-2</v>
      </c>
      <c r="F345" s="30">
        <v>1</v>
      </c>
      <c r="G345" s="30">
        <v>-0.54851050180036454</v>
      </c>
      <c r="H345" s="30">
        <v>0.836143665535243</v>
      </c>
    </row>
    <row r="346" spans="1:8" x14ac:dyDescent="0.35">
      <c r="A346" s="1">
        <v>40510</v>
      </c>
      <c r="B346" s="30">
        <v>0</v>
      </c>
      <c r="C346" s="30">
        <v>1</v>
      </c>
      <c r="D346" s="30">
        <v>0.49174071470430514</v>
      </c>
      <c r="E346" s="30">
        <v>-3.3000000000000002E-2</v>
      </c>
      <c r="F346" s="30">
        <v>1</v>
      </c>
      <c r="G346" s="30">
        <v>-0.53404635693608016</v>
      </c>
      <c r="H346" s="30">
        <v>0.84545519611822173</v>
      </c>
    </row>
    <row r="347" spans="1:8" x14ac:dyDescent="0.35">
      <c r="A347" s="1">
        <v>40511</v>
      </c>
      <c r="B347" s="30">
        <v>0</v>
      </c>
      <c r="C347" s="30">
        <v>1</v>
      </c>
      <c r="D347" s="30">
        <v>0.49028970480491013</v>
      </c>
      <c r="E347" s="30">
        <v>-3.8800000000000001E-2</v>
      </c>
      <c r="F347" s="30">
        <v>1</v>
      </c>
      <c r="G347" s="30">
        <v>-0.51942417916278671</v>
      </c>
      <c r="H347" s="30">
        <v>0.85451654290661061</v>
      </c>
    </row>
    <row r="348" spans="1:8" x14ac:dyDescent="0.35">
      <c r="A348" s="1">
        <v>40512</v>
      </c>
      <c r="B348" s="30">
        <v>0</v>
      </c>
      <c r="C348" s="30">
        <v>1</v>
      </c>
      <c r="D348" s="30">
        <v>0.48884820599502549</v>
      </c>
      <c r="E348" s="30">
        <v>-4.4600000000000001E-2</v>
      </c>
      <c r="F348" s="30">
        <v>1</v>
      </c>
      <c r="G348" s="30">
        <v>-0.50464829541814749</v>
      </c>
      <c r="H348" s="30">
        <v>0.8633250245021038</v>
      </c>
    </row>
    <row r="349" spans="1:8" x14ac:dyDescent="0.35">
      <c r="A349" s="1">
        <v>40513</v>
      </c>
      <c r="B349" s="30">
        <v>0</v>
      </c>
      <c r="C349" s="30">
        <v>1</v>
      </c>
      <c r="D349" s="30">
        <v>0.48741666533167932</v>
      </c>
      <c r="E349" s="30">
        <v>-5.0299999999999997E-2</v>
      </c>
      <c r="F349" s="30">
        <v>1</v>
      </c>
      <c r="G349" s="30">
        <v>-0.48972307812389582</v>
      </c>
      <c r="H349" s="30">
        <v>0.87187803433327571</v>
      </c>
    </row>
    <row r="350" spans="1:8" x14ac:dyDescent="0.35">
      <c r="A350" s="1">
        <v>40514</v>
      </c>
      <c r="B350" s="30">
        <v>0</v>
      </c>
      <c r="C350" s="30">
        <v>1</v>
      </c>
      <c r="D350" s="30">
        <v>0.48599552580783484</v>
      </c>
      <c r="E350" s="30">
        <v>-5.6000000000000001E-2</v>
      </c>
      <c r="F350" s="30">
        <v>1</v>
      </c>
      <c r="G350" s="30">
        <v>-0.47465294389194068</v>
      </c>
      <c r="H350" s="30">
        <v>0.88017304142691977</v>
      </c>
    </row>
    <row r="351" spans="1:8" x14ac:dyDescent="0.35">
      <c r="A351" s="1">
        <v>40515</v>
      </c>
      <c r="B351" s="30">
        <v>0</v>
      </c>
      <c r="C351" s="30">
        <v>1</v>
      </c>
      <c r="D351" s="30">
        <v>0.48458522618015021</v>
      </c>
      <c r="E351" s="30">
        <v>-6.1699999999999998E-2</v>
      </c>
      <c r="F351" s="30">
        <v>1</v>
      </c>
      <c r="G351" s="30">
        <v>-0.4594423522174565</v>
      </c>
      <c r="H351" s="30">
        <v>0.88820759115698322</v>
      </c>
    </row>
    <row r="352" spans="1:8" x14ac:dyDescent="0.35">
      <c r="A352" s="1">
        <v>40516</v>
      </c>
      <c r="B352" s="30">
        <v>0</v>
      </c>
      <c r="C352" s="30">
        <v>1</v>
      </c>
      <c r="D352" s="30">
        <v>0.48318620080162961</v>
      </c>
      <c r="E352" s="30">
        <v>-6.7299999999999999E-2</v>
      </c>
      <c r="F352" s="30">
        <v>1</v>
      </c>
      <c r="G352" s="30">
        <v>-0.44409580415922184</v>
      </c>
      <c r="H352" s="30">
        <v>0.89597930597094377</v>
      </c>
    </row>
    <row r="353" spans="1:8" x14ac:dyDescent="0.35">
      <c r="A353" s="1">
        <v>40517</v>
      </c>
      <c r="B353" s="3">
        <v>0</v>
      </c>
      <c r="C353" s="3">
        <v>0</v>
      </c>
      <c r="D353" s="3">
        <v>0.48179887945931138</v>
      </c>
      <c r="E353" s="3">
        <v>-7.2800000000000004E-2</v>
      </c>
      <c r="F353" s="3">
        <v>1</v>
      </c>
      <c r="G353" s="3">
        <v>-0.42861784100772188</v>
      </c>
      <c r="H353" s="3">
        <v>0.90348588609334635</v>
      </c>
    </row>
    <row r="354" spans="1:8" x14ac:dyDescent="0.35">
      <c r="A354" s="1">
        <v>40518</v>
      </c>
      <c r="B354" s="3">
        <v>0</v>
      </c>
      <c r="C354" s="3">
        <v>0</v>
      </c>
      <c r="D354" s="3">
        <v>0.22852098384516795</v>
      </c>
      <c r="E354" s="3">
        <v>-1.2166999999999999</v>
      </c>
      <c r="F354" s="3">
        <v>0</v>
      </c>
      <c r="G354" s="3">
        <v>-0.4130130429412826</v>
      </c>
      <c r="H354" s="3">
        <v>0.9107251102063576</v>
      </c>
    </row>
    <row r="355" spans="1:8" x14ac:dyDescent="0.35">
      <c r="A355" s="1">
        <v>40519</v>
      </c>
      <c r="B355" s="30">
        <v>0</v>
      </c>
      <c r="C355" s="30">
        <v>1</v>
      </c>
      <c r="D355" s="30">
        <v>0.22755989901017368</v>
      </c>
      <c r="E355" s="30">
        <v>-1.2221</v>
      </c>
      <c r="F355" s="30">
        <v>0</v>
      </c>
      <c r="G355" s="30">
        <v>-0.39728602767068311</v>
      </c>
      <c r="H355" s="30">
        <v>0.91769483610710656</v>
      </c>
    </row>
    <row r="356" spans="1:8" x14ac:dyDescent="0.35">
      <c r="A356" s="1">
        <v>40520</v>
      </c>
      <c r="B356" s="30">
        <v>0</v>
      </c>
      <c r="C356" s="30">
        <v>1</v>
      </c>
      <c r="D356" s="30">
        <v>0.47771136576690687</v>
      </c>
      <c r="E356" s="30">
        <v>-8.9200000000000002E-2</v>
      </c>
      <c r="F356" s="30">
        <v>1</v>
      </c>
      <c r="G356" s="30">
        <v>-0.38144144907280447</v>
      </c>
      <c r="H356" s="30">
        <v>0.92439300134155011</v>
      </c>
    </row>
    <row r="357" spans="1:8" x14ac:dyDescent="0.35">
      <c r="A357" s="1">
        <v>40521</v>
      </c>
      <c r="B357" s="30">
        <v>0</v>
      </c>
      <c r="C357" s="30">
        <v>1</v>
      </c>
      <c r="D357" s="30">
        <v>0.47637506173080135</v>
      </c>
      <c r="E357" s="30">
        <v>-9.4600000000000004E-2</v>
      </c>
      <c r="F357" s="30">
        <v>1</v>
      </c>
      <c r="G357" s="30">
        <v>-0.3654839958133162</v>
      </c>
      <c r="H357" s="30">
        <v>0.93081762381485444</v>
      </c>
    </row>
    <row r="358" spans="1:8" x14ac:dyDescent="0.35">
      <c r="A358" s="1">
        <v>40522</v>
      </c>
      <c r="B358" s="30">
        <v>0</v>
      </c>
      <c r="C358" s="30">
        <v>1</v>
      </c>
      <c r="D358" s="30">
        <v>0.47505253686184562</v>
      </c>
      <c r="E358" s="30">
        <v>-9.9900000000000003E-2</v>
      </c>
      <c r="F358" s="30">
        <v>1</v>
      </c>
      <c r="G358" s="30">
        <v>-0.34941838995939462</v>
      </c>
      <c r="H358" s="30">
        <v>0.93696680237785612</v>
      </c>
    </row>
    <row r="359" spans="1:8" x14ac:dyDescent="0.35">
      <c r="A359" s="1">
        <v>40523</v>
      </c>
      <c r="B359" s="30">
        <v>0</v>
      </c>
      <c r="C359" s="30">
        <v>1</v>
      </c>
      <c r="D359" s="30">
        <v>0.47374419043797578</v>
      </c>
      <c r="E359" s="30">
        <v>-0.1051</v>
      </c>
      <c r="F359" s="30">
        <v>1</v>
      </c>
      <c r="G359" s="30">
        <v>-0.33324938558229594</v>
      </c>
      <c r="H359" s="30">
        <v>0.94283871738968283</v>
      </c>
    </row>
    <row r="360" spans="1:8" x14ac:dyDescent="0.35">
      <c r="A360" s="1">
        <v>40524</v>
      </c>
      <c r="B360" s="30">
        <v>0</v>
      </c>
      <c r="C360" s="30">
        <v>1</v>
      </c>
      <c r="D360" s="30">
        <v>0.47245041618431516</v>
      </c>
      <c r="E360" s="30">
        <v>-0.1103</v>
      </c>
      <c r="F360" s="30">
        <v>1</v>
      </c>
      <c r="G360" s="30">
        <v>-0.31698176735052308</v>
      </c>
      <c r="H360" s="30">
        <v>0.94843163125622232</v>
      </c>
    </row>
    <row r="361" spans="1:8" x14ac:dyDescent="0.35">
      <c r="A361" s="1">
        <v>40525</v>
      </c>
      <c r="B361" s="30">
        <v>0</v>
      </c>
      <c r="C361" s="30">
        <v>1</v>
      </c>
      <c r="D361" s="30">
        <v>0.47117160215435189</v>
      </c>
      <c r="E361" s="30">
        <v>-0.1154</v>
      </c>
      <c r="F361" s="30">
        <v>1</v>
      </c>
      <c r="G361" s="30">
        <v>-0.30062034911405833</v>
      </c>
      <c r="H361" s="30">
        <v>0.95374388894427087</v>
      </c>
    </row>
    <row r="362" spans="1:8" x14ac:dyDescent="0.35">
      <c r="A362" s="1">
        <v>40526</v>
      </c>
      <c r="B362" s="3">
        <v>0</v>
      </c>
      <c r="C362" s="3">
        <v>0</v>
      </c>
      <c r="D362" s="3">
        <v>0.46990813061673803</v>
      </c>
      <c r="E362" s="3">
        <v>-0.1205</v>
      </c>
      <c r="F362" s="3">
        <v>1</v>
      </c>
      <c r="G362" s="3">
        <v>-0.28416997247977449</v>
      </c>
      <c r="H362" s="3">
        <v>0.95877391847131732</v>
      </c>
    </row>
    <row r="363" spans="1:8" x14ac:dyDescent="0.35">
      <c r="A363" s="1">
        <v>40527</v>
      </c>
      <c r="B363" s="3">
        <v>0</v>
      </c>
      <c r="C363" s="3">
        <v>0</v>
      </c>
      <c r="D363" s="3">
        <v>0.22031027223697999</v>
      </c>
      <c r="E363" s="3">
        <v>-1.2639</v>
      </c>
      <c r="F363" s="3">
        <v>0</v>
      </c>
      <c r="G363" s="3">
        <v>-0.26763550537876502</v>
      </c>
      <c r="H363" s="3">
        <v>0.96352023137070297</v>
      </c>
    </row>
    <row r="364" spans="1:8" x14ac:dyDescent="0.35">
      <c r="A364" s="1">
        <v>40528</v>
      </c>
      <c r="B364" s="30">
        <v>0</v>
      </c>
      <c r="C364" s="30">
        <v>1</v>
      </c>
      <c r="D364" s="30">
        <v>0.21946170742531526</v>
      </c>
      <c r="E364" s="30">
        <v>-1.2687999999999999</v>
      </c>
      <c r="F364" s="30">
        <v>0</v>
      </c>
      <c r="G364" s="30">
        <v>-0.25102184062588639</v>
      </c>
      <c r="H364" s="30">
        <v>0.96798142313207236</v>
      </c>
    </row>
    <row r="365" spans="1:8" x14ac:dyDescent="0.35">
      <c r="A365" s="1">
        <v>40529</v>
      </c>
      <c r="B365" s="3">
        <v>0</v>
      </c>
      <c r="C365" s="3">
        <v>0</v>
      </c>
      <c r="D365" s="3">
        <v>0.46621350465273287</v>
      </c>
      <c r="E365" s="3">
        <v>-0.13539999999999999</v>
      </c>
      <c r="F365" s="3">
        <v>1</v>
      </c>
      <c r="G365" s="3">
        <v>-0.23433389447179975</v>
      </c>
      <c r="H365" s="3">
        <v>0.97215617361701689</v>
      </c>
    </row>
    <row r="366" spans="1:8" x14ac:dyDescent="0.35">
      <c r="A366" s="1">
        <v>40530</v>
      </c>
      <c r="B366" s="30">
        <v>0</v>
      </c>
      <c r="C366" s="30">
        <v>1</v>
      </c>
      <c r="D366" s="30">
        <v>0.21780485542104797</v>
      </c>
      <c r="E366" s="30">
        <v>-1.2785</v>
      </c>
      <c r="F366" s="30">
        <v>0</v>
      </c>
      <c r="G366" s="30">
        <v>-0.21757660514828286</v>
      </c>
      <c r="H366" s="30">
        <v>0.97604324744969584</v>
      </c>
    </row>
    <row r="367" spans="1:8" x14ac:dyDescent="0.35">
      <c r="A367" s="1">
        <v>40531</v>
      </c>
      <c r="B367" s="30">
        <v>0</v>
      </c>
      <c r="C367" s="30">
        <v>1</v>
      </c>
      <c r="D367" s="30">
        <v>0.46383387169804929</v>
      </c>
      <c r="E367" s="30">
        <v>-0.1449</v>
      </c>
      <c r="F367" s="30">
        <v>1</v>
      </c>
      <c r="G367" s="30">
        <v>-0.20075493140683168</v>
      </c>
      <c r="H367" s="30">
        <v>0.97964149438242887</v>
      </c>
    </row>
    <row r="368" spans="1:8" x14ac:dyDescent="0.35">
      <c r="A368" s="1">
        <v>40532</v>
      </c>
      <c r="B368" s="30">
        <v>0</v>
      </c>
      <c r="C368" s="30">
        <v>1</v>
      </c>
      <c r="D368" s="30">
        <v>0.46267014595987904</v>
      </c>
      <c r="E368" s="30">
        <v>-0.14960000000000001</v>
      </c>
      <c r="F368" s="30">
        <v>1</v>
      </c>
      <c r="G368" s="30">
        <v>-0.183873851051327</v>
      </c>
      <c r="H368" s="30">
        <v>0.98294984963606069</v>
      </c>
    </row>
    <row r="369" spans="1:8" x14ac:dyDescent="0.35">
      <c r="A369" s="1">
        <v>40533</v>
      </c>
      <c r="B369" s="3">
        <v>0</v>
      </c>
      <c r="C369" s="3">
        <v>0</v>
      </c>
      <c r="D369" s="3">
        <v>0.46152426828922755</v>
      </c>
      <c r="E369" s="3">
        <v>-0.1542</v>
      </c>
      <c r="F369" s="3">
        <v>1</v>
      </c>
      <c r="G369" s="3">
        <v>-0.16693835946506438</v>
      </c>
      <c r="H369" s="3">
        <v>0.98596733421504024</v>
      </c>
    </row>
    <row r="370" spans="1:8" x14ac:dyDescent="0.35">
      <c r="A370" s="1">
        <v>40534</v>
      </c>
      <c r="B370" s="30">
        <v>0</v>
      </c>
      <c r="C370" s="30">
        <v>1</v>
      </c>
      <c r="D370" s="30">
        <v>0.21465645670776112</v>
      </c>
      <c r="E370" s="30">
        <v>-1.2970999999999999</v>
      </c>
      <c r="F370" s="30">
        <v>0</v>
      </c>
      <c r="G370" s="30">
        <v>-0.14995346813244212</v>
      </c>
      <c r="H370" s="30">
        <v>0.9886930551971389</v>
      </c>
    </row>
    <row r="371" spans="1:8" x14ac:dyDescent="0.35">
      <c r="A371" s="1">
        <v>40535</v>
      </c>
      <c r="B371" s="3">
        <v>0</v>
      </c>
      <c r="C371" s="3">
        <v>0</v>
      </c>
      <c r="D371" s="3">
        <v>0.45928738093962806</v>
      </c>
      <c r="E371" s="3">
        <v>-0.16320000000000001</v>
      </c>
      <c r="F371" s="3">
        <v>1</v>
      </c>
      <c r="G371" s="3">
        <v>-0.13292420315609416</v>
      </c>
      <c r="H371" s="3">
        <v>0.99112620599766077</v>
      </c>
    </row>
    <row r="372" spans="1:8" x14ac:dyDescent="0.35">
      <c r="A372" s="1">
        <v>40536</v>
      </c>
      <c r="B372" s="3">
        <v>0</v>
      </c>
      <c r="C372" s="3">
        <v>0</v>
      </c>
      <c r="D372" s="3">
        <v>0.21316713776678839</v>
      </c>
      <c r="E372" s="3">
        <v>-1.3059000000000001</v>
      </c>
      <c r="F372" s="3">
        <v>0</v>
      </c>
      <c r="G372" s="3">
        <v>-0.11585560376948757</v>
      </c>
      <c r="H372" s="3">
        <v>0.99326606660814076</v>
      </c>
    </row>
    <row r="373" spans="1:8" x14ac:dyDescent="0.35">
      <c r="A373" s="1">
        <v>40537</v>
      </c>
      <c r="B373" s="3">
        <v>0</v>
      </c>
      <c r="C373" s="3">
        <v>0</v>
      </c>
      <c r="D373" s="3">
        <v>0.21244414991575331</v>
      </c>
      <c r="E373" s="3">
        <v>-1.3103</v>
      </c>
      <c r="F373" s="3">
        <v>0</v>
      </c>
      <c r="G373" s="3">
        <v>-9.8752720845774036E-2</v>
      </c>
      <c r="H373" s="3">
        <v>0.99511200380939868</v>
      </c>
    </row>
    <row r="374" spans="1:8" x14ac:dyDescent="0.35">
      <c r="A374" s="1">
        <v>40538</v>
      </c>
      <c r="B374" s="3">
        <v>0</v>
      </c>
      <c r="C374" s="3">
        <v>0</v>
      </c>
      <c r="D374" s="3">
        <v>0.21173577011898054</v>
      </c>
      <c r="E374" s="3">
        <v>-1.3145</v>
      </c>
      <c r="F374" s="3">
        <v>0</v>
      </c>
      <c r="G374" s="3">
        <v>-8.1620615403197871E-2</v>
      </c>
      <c r="H374" s="3">
        <v>0.9966634713589152</v>
      </c>
    </row>
    <row r="375" spans="1:8" x14ac:dyDescent="0.35">
      <c r="A375" s="1">
        <v>40539</v>
      </c>
      <c r="B375" s="30">
        <v>0</v>
      </c>
      <c r="C375" s="30">
        <v>1</v>
      </c>
      <c r="D375" s="30">
        <v>0.21104211330944464</v>
      </c>
      <c r="E375" s="30">
        <v>-1.3187</v>
      </c>
      <c r="F375" s="30">
        <v>0</v>
      </c>
      <c r="G375" s="30">
        <v>-6.4464357107360301E-2</v>
      </c>
      <c r="H375" s="30">
        <v>0.99792001015248444</v>
      </c>
    </row>
    <row r="376" spans="1:8" x14ac:dyDescent="0.35">
      <c r="A376" s="1">
        <v>40540</v>
      </c>
      <c r="B376" s="3">
        <v>0</v>
      </c>
      <c r="C376" s="3">
        <v>0</v>
      </c>
      <c r="D376" s="3">
        <v>0.45402997488940394</v>
      </c>
      <c r="E376" s="3">
        <v>-0.18440000000000001</v>
      </c>
      <c r="F376" s="3">
        <v>1</v>
      </c>
      <c r="G376" s="3">
        <v>-4.7289022771137064E-2</v>
      </c>
      <c r="H376" s="3">
        <v>0.99888124836005954</v>
      </c>
    </row>
    <row r="377" spans="1:8" x14ac:dyDescent="0.35">
      <c r="A377" s="1">
        <v>40541</v>
      </c>
      <c r="B377" s="3">
        <v>0</v>
      </c>
      <c r="C377" s="3">
        <v>0</v>
      </c>
      <c r="D377" s="3">
        <v>0.20969940778005991</v>
      </c>
      <c r="E377" s="3">
        <v>-1.3267</v>
      </c>
      <c r="F377" s="3">
        <v>0</v>
      </c>
      <c r="G377" s="3">
        <v>-3.0099694852254437E-2</v>
      </c>
      <c r="H377" s="3">
        <v>0.9995469015357914</v>
      </c>
    </row>
    <row r="378" spans="1:8" x14ac:dyDescent="0.35">
      <c r="A378" s="1">
        <v>40542</v>
      </c>
      <c r="B378" s="3">
        <v>0</v>
      </c>
      <c r="C378" s="3">
        <v>0</v>
      </c>
      <c r="D378" s="3">
        <v>0.20905056857653978</v>
      </c>
      <c r="E378" s="3">
        <v>-1.3307</v>
      </c>
      <c r="F378" s="3">
        <v>0</v>
      </c>
      <c r="G378" s="3">
        <v>-1.2901459949421705E-2</v>
      </c>
      <c r="H378" s="3">
        <v>0.99991677270219514</v>
      </c>
    </row>
    <row r="379" spans="1:8" x14ac:dyDescent="0.35">
      <c r="A379" s="1">
        <v>40543</v>
      </c>
      <c r="B379" s="3">
        <v>0</v>
      </c>
      <c r="C379" s="3">
        <v>0</v>
      </c>
      <c r="D379" s="3">
        <v>0.20841687156327265</v>
      </c>
      <c r="E379" s="3">
        <v>-1.3345</v>
      </c>
      <c r="F379" s="3">
        <v>0</v>
      </c>
      <c r="G379" s="3">
        <v>4.3005927029745924E-3</v>
      </c>
      <c r="H379" s="3">
        <v>0.9999907524084426</v>
      </c>
    </row>
    <row r="380" spans="1:8" x14ac:dyDescent="0.35">
      <c r="A380" s="1">
        <v>40544</v>
      </c>
      <c r="B380" s="3">
        <v>0</v>
      </c>
      <c r="C380" s="3">
        <v>0</v>
      </c>
      <c r="D380" s="3">
        <v>0.20779841183435241</v>
      </c>
      <c r="E380" s="3">
        <v>-1.3382000000000001</v>
      </c>
      <c r="F380" s="3">
        <v>0</v>
      </c>
      <c r="G380" s="3">
        <v>2.1501372740814404E-2</v>
      </c>
      <c r="H380" s="3">
        <v>0.99976881876274803</v>
      </c>
    </row>
    <row r="381" spans="1:8" x14ac:dyDescent="0.35">
      <c r="A381" s="1">
        <v>40545</v>
      </c>
      <c r="B381" s="3">
        <v>0</v>
      </c>
      <c r="C381" s="3">
        <v>0</v>
      </c>
      <c r="D381" s="3">
        <v>0.20719528077187255</v>
      </c>
      <c r="E381" s="3">
        <v>-1.3419000000000001</v>
      </c>
      <c r="F381" s="3">
        <v>0</v>
      </c>
      <c r="G381" s="3">
        <v>3.869579017652218E-2</v>
      </c>
      <c r="H381" s="3">
        <v>0.99925103743884824</v>
      </c>
    </row>
    <row r="382" spans="1:8" x14ac:dyDescent="0.35">
      <c r="A382" s="1">
        <v>40546</v>
      </c>
      <c r="B382" s="3">
        <v>0</v>
      </c>
      <c r="C382" s="3">
        <v>0</v>
      </c>
      <c r="D382" s="3">
        <v>0.20660756613102005</v>
      </c>
      <c r="E382" s="3">
        <v>-1.3454999999999999</v>
      </c>
      <c r="F382" s="3">
        <v>0</v>
      </c>
      <c r="G382" s="3">
        <v>5.5878756905375519E-2</v>
      </c>
      <c r="H382" s="3">
        <v>0.9984375616565665</v>
      </c>
    </row>
    <row r="383" spans="1:8" x14ac:dyDescent="0.35">
      <c r="A383" s="1">
        <v>40547</v>
      </c>
      <c r="B383" s="3">
        <v>0</v>
      </c>
      <c r="C383" s="3">
        <v>0</v>
      </c>
      <c r="D383" s="3">
        <v>0.20603535212479168</v>
      </c>
      <c r="E383" s="3">
        <v>-1.349</v>
      </c>
      <c r="F383" s="3">
        <v>0</v>
      </c>
      <c r="G383" s="3">
        <v>7.304518821104361E-2</v>
      </c>
      <c r="H383" s="3">
        <v>0.99732863213647549</v>
      </c>
    </row>
    <row r="384" spans="1:8" x14ac:dyDescent="0.35">
      <c r="A384" s="1">
        <v>40548</v>
      </c>
      <c r="B384" s="3">
        <v>0</v>
      </c>
      <c r="C384" s="3">
        <v>0</v>
      </c>
      <c r="D384" s="3">
        <v>0.20547871950816962</v>
      </c>
      <c r="E384" s="3">
        <v>-1.3524</v>
      </c>
      <c r="F384" s="3">
        <v>0</v>
      </c>
      <c r="G384" s="3">
        <v>9.0190004270336008E-2</v>
      </c>
      <c r="H384" s="3">
        <v>0.99592457702866077</v>
      </c>
    </row>
    <row r="385" spans="1:8" x14ac:dyDescent="0.35">
      <c r="A385" s="1">
        <v>40549</v>
      </c>
      <c r="B385" s="3">
        <v>0</v>
      </c>
      <c r="C385" s="3">
        <v>0</v>
      </c>
      <c r="D385" s="3">
        <v>0.2049377456616186</v>
      </c>
      <c r="E385" s="3">
        <v>-1.3556999999999999</v>
      </c>
      <c r="F385" s="3">
        <v>0</v>
      </c>
      <c r="G385" s="3">
        <v>0.10730813165636131</v>
      </c>
      <c r="H385" s="3">
        <v>0.9942258118156162</v>
      </c>
    </row>
    <row r="386" spans="1:8" x14ac:dyDescent="0.35">
      <c r="A386" s="1">
        <v>40550</v>
      </c>
      <c r="B386" s="3">
        <v>0</v>
      </c>
      <c r="C386" s="3">
        <v>0</v>
      </c>
      <c r="D386" s="3">
        <v>0.20441250467375907</v>
      </c>
      <c r="E386" s="3">
        <v>-1.3589</v>
      </c>
      <c r="F386" s="3">
        <v>0</v>
      </c>
      <c r="G386" s="3">
        <v>0.12439450483979354</v>
      </c>
      <c r="H386" s="3">
        <v>0.99223283918930172</v>
      </c>
    </row>
    <row r="387" spans="1:8" x14ac:dyDescent="0.35">
      <c r="A387" s="1">
        <v>40551</v>
      </c>
      <c r="B387" s="3">
        <v>0</v>
      </c>
      <c r="C387" s="3">
        <v>0</v>
      </c>
      <c r="D387" s="3">
        <v>0.20390306742307249</v>
      </c>
      <c r="E387" s="3">
        <v>-1.3621000000000001</v>
      </c>
      <c r="F387" s="3">
        <v>0</v>
      </c>
      <c r="G387" s="3">
        <v>0.14144406768794263</v>
      </c>
      <c r="H387" s="3">
        <v>0.98994624890237792</v>
      </c>
    </row>
    <row r="388" spans="1:8" x14ac:dyDescent="0.35">
      <c r="A388" s="1">
        <v>40552</v>
      </c>
      <c r="B388" s="30">
        <v>0</v>
      </c>
      <c r="C388" s="30">
        <v>1</v>
      </c>
      <c r="D388" s="30">
        <v>0.20340950165851371</v>
      </c>
      <c r="E388" s="30">
        <v>-1.3651</v>
      </c>
      <c r="F388" s="30">
        <v>0</v>
      </c>
      <c r="G388" s="30">
        <v>0.15845177496083254</v>
      </c>
      <c r="H388" s="30">
        <v>0.9873667175937022</v>
      </c>
    </row>
    <row r="389" spans="1:8" x14ac:dyDescent="0.35">
      <c r="A389" s="1">
        <v>40553</v>
      </c>
      <c r="B389" s="30">
        <v>0</v>
      </c>
      <c r="C389" s="30">
        <v>1</v>
      </c>
      <c r="D389" s="30">
        <v>0.44281784743287173</v>
      </c>
      <c r="E389" s="30">
        <v>-0.22969999999999999</v>
      </c>
      <c r="F389" s="30">
        <v>1</v>
      </c>
      <c r="G389" s="30">
        <v>0.17541259380426766</v>
      </c>
      <c r="H389" s="30">
        <v>0.98449500858808781</v>
      </c>
    </row>
    <row r="390" spans="1:8" x14ac:dyDescent="0.35">
      <c r="A390" s="1">
        <v>40554</v>
      </c>
      <c r="B390" s="30">
        <v>0</v>
      </c>
      <c r="C390" s="30">
        <v>1</v>
      </c>
      <c r="D390" s="30">
        <v>0.4421132036347511</v>
      </c>
      <c r="E390" s="30">
        <v>-0.2326</v>
      </c>
      <c r="F390" s="30">
        <v>1</v>
      </c>
      <c r="G390" s="30">
        <v>0.19232150523909283</v>
      </c>
      <c r="H390" s="30">
        <v>0.98133197167042796</v>
      </c>
    </row>
    <row r="391" spans="1:8" x14ac:dyDescent="0.35">
      <c r="A391" s="1">
        <v>40555</v>
      </c>
      <c r="B391" s="30">
        <v>0</v>
      </c>
      <c r="C391" s="30">
        <v>1</v>
      </c>
      <c r="D391" s="30">
        <v>0.44143215285432114</v>
      </c>
      <c r="E391" s="30">
        <v>-0.2354</v>
      </c>
      <c r="F391" s="30">
        <v>1</v>
      </c>
      <c r="G391" s="30">
        <v>0.20917350564634829</v>
      </c>
      <c r="H391" s="30">
        <v>0.97787854283424025</v>
      </c>
    </row>
    <row r="392" spans="1:8" x14ac:dyDescent="0.35">
      <c r="A392" s="1">
        <v>40556</v>
      </c>
      <c r="B392" s="30">
        <v>0</v>
      </c>
      <c r="C392" s="30">
        <v>1</v>
      </c>
      <c r="D392" s="30">
        <v>0.4407748764836007</v>
      </c>
      <c r="E392" s="30">
        <v>-0.23799999999999999</v>
      </c>
      <c r="F392" s="30">
        <v>1</v>
      </c>
      <c r="G392" s="30">
        <v>0.22596360824801878</v>
      </c>
      <c r="H392" s="30">
        <v>0.97413574400467207</v>
      </c>
    </row>
    <row r="393" spans="1:8" x14ac:dyDescent="0.35">
      <c r="A393" s="1">
        <v>40557</v>
      </c>
      <c r="B393" s="30">
        <v>0</v>
      </c>
      <c r="C393" s="30">
        <v>1</v>
      </c>
      <c r="D393" s="30">
        <v>0.44014154897932217</v>
      </c>
      <c r="E393" s="30">
        <v>-0.24060000000000001</v>
      </c>
      <c r="F393" s="30">
        <v>1</v>
      </c>
      <c r="G393" s="30">
        <v>0.24268684458258996</v>
      </c>
      <c r="H393" s="30">
        <v>0.97010468273611883</v>
      </c>
    </row>
    <row r="394" spans="1:8" x14ac:dyDescent="0.35">
      <c r="A394" s="1">
        <v>40558</v>
      </c>
      <c r="B394" s="30">
        <v>0</v>
      </c>
      <c r="C394" s="30">
        <v>1</v>
      </c>
      <c r="D394" s="30">
        <v>0.439532337876192</v>
      </c>
      <c r="E394" s="30">
        <v>-0.24310000000000001</v>
      </c>
      <c r="F394" s="30">
        <v>1</v>
      </c>
      <c r="G394" s="30">
        <v>0.25933826597539333</v>
      </c>
      <c r="H394" s="30">
        <v>0.96578655188446072</v>
      </c>
    </row>
    <row r="395" spans="1:8" x14ac:dyDescent="0.35">
      <c r="A395" s="1">
        <v>40559</v>
      </c>
      <c r="B395" s="3">
        <v>0</v>
      </c>
      <c r="C395" s="3">
        <v>0</v>
      </c>
      <c r="D395" s="3">
        <v>0.43894740380132813</v>
      </c>
      <c r="E395" s="3">
        <v>-0.24540000000000001</v>
      </c>
      <c r="F395" s="3">
        <v>1</v>
      </c>
      <c r="G395" s="3">
        <v>0.27591294500295677</v>
      </c>
      <c r="H395" s="3">
        <v>0.96118262925408471</v>
      </c>
    </row>
    <row r="396" spans="1:8" x14ac:dyDescent="0.35">
      <c r="A396" s="1">
        <v>40560</v>
      </c>
      <c r="B396" s="3">
        <v>0</v>
      </c>
      <c r="C396" s="3">
        <v>0</v>
      </c>
      <c r="D396" s="3">
        <v>0.20003950769514497</v>
      </c>
      <c r="E396" s="3">
        <v>-1.3859999999999999</v>
      </c>
      <c r="F396" s="3">
        <v>0</v>
      </c>
      <c r="G396" s="3">
        <v>0.29240597695106774</v>
      </c>
      <c r="H396" s="3">
        <v>0.95629427721977489</v>
      </c>
    </row>
    <row r="397" spans="1:8" x14ac:dyDescent="0.35">
      <c r="A397" s="1">
        <v>40561</v>
      </c>
      <c r="B397" s="3">
        <v>0</v>
      </c>
      <c r="C397" s="3">
        <v>0</v>
      </c>
      <c r="D397" s="3">
        <v>0.19969135574692859</v>
      </c>
      <c r="E397" s="3">
        <v>-1.3882000000000001</v>
      </c>
      <c r="F397" s="3">
        <v>0</v>
      </c>
      <c r="G397" s="3">
        <v>0.30881248126625266</v>
      </c>
      <c r="H397" s="3">
        <v>0.951122942323536</v>
      </c>
    </row>
    <row r="398" spans="1:8" x14ac:dyDescent="0.35">
      <c r="A398" s="1">
        <v>40562</v>
      </c>
      <c r="B398" s="3">
        <v>0</v>
      </c>
      <c r="C398" s="3">
        <v>0</v>
      </c>
      <c r="D398" s="3">
        <v>0.19935959735037628</v>
      </c>
      <c r="E398" s="3">
        <v>-1.3903000000000001</v>
      </c>
      <c r="F398" s="3">
        <v>0</v>
      </c>
      <c r="G398" s="3">
        <v>0.32512760299990229</v>
      </c>
      <c r="H398" s="3">
        <v>0.94567015484657113</v>
      </c>
    </row>
    <row r="399" spans="1:8" x14ac:dyDescent="0.35">
      <c r="A399" s="1">
        <v>40563</v>
      </c>
      <c r="B399" s="3">
        <v>0</v>
      </c>
      <c r="C399" s="3">
        <v>0</v>
      </c>
      <c r="D399" s="3">
        <v>0.19904427071353198</v>
      </c>
      <c r="E399" s="3">
        <v>-1.3923000000000001</v>
      </c>
      <c r="F399" s="3">
        <v>0</v>
      </c>
      <c r="G399" s="3">
        <v>0.34134651424503754</v>
      </c>
      <c r="H399" s="3">
        <v>0.93993752835641287</v>
      </c>
    </row>
    <row r="400" spans="1:8" x14ac:dyDescent="0.35">
      <c r="A400" s="1">
        <v>40564</v>
      </c>
      <c r="B400" s="3">
        <v>0</v>
      </c>
      <c r="C400" s="3">
        <v>0</v>
      </c>
      <c r="D400" s="3">
        <v>0.19874541175330138</v>
      </c>
      <c r="E400" s="3">
        <v>-1.3942000000000001</v>
      </c>
      <c r="F400" s="3">
        <v>0</v>
      </c>
      <c r="G400" s="3">
        <v>0.35746441556485697</v>
      </c>
      <c r="H400" s="3">
        <v>0.93392675922947788</v>
      </c>
    </row>
    <row r="401" spans="1:8" x14ac:dyDescent="0.35">
      <c r="A401" s="1">
        <v>40565</v>
      </c>
      <c r="B401" s="3">
        <v>0</v>
      </c>
      <c r="C401" s="3">
        <v>0</v>
      </c>
      <c r="D401" s="3">
        <v>0.19846305415146023</v>
      </c>
      <c r="E401" s="3">
        <v>-1.3958999999999999</v>
      </c>
      <c r="F401" s="3">
        <v>0</v>
      </c>
      <c r="G401" s="3">
        <v>0.37347653741306142</v>
      </c>
      <c r="H401" s="3">
        <v>0.92763962614905049</v>
      </c>
    </row>
    <row r="402" spans="1:8" x14ac:dyDescent="0.35">
      <c r="A402" s="1">
        <v>40566</v>
      </c>
      <c r="B402" s="3">
        <v>0</v>
      </c>
      <c r="C402" s="3">
        <v>0</v>
      </c>
      <c r="D402" s="3">
        <v>0.19819722940813103</v>
      </c>
      <c r="E402" s="3">
        <v>-1.3976</v>
      </c>
      <c r="F402" s="3">
        <v>0</v>
      </c>
      <c r="G402" s="3">
        <v>0.38937814154519879</v>
      </c>
      <c r="H402" s="3">
        <v>0.9210779895789537</v>
      </c>
    </row>
    <row r="403" spans="1:8" x14ac:dyDescent="0.35">
      <c r="A403" s="1">
        <v>40567</v>
      </c>
      <c r="B403" s="30">
        <v>0</v>
      </c>
      <c r="C403" s="30">
        <v>1</v>
      </c>
      <c r="D403" s="30">
        <v>0.19794796689265345</v>
      </c>
      <c r="E403" s="30">
        <v>-1.3992</v>
      </c>
      <c r="F403" s="30">
        <v>0</v>
      </c>
      <c r="G403" s="30">
        <v>0.40516452242076095</v>
      </c>
      <c r="H403" s="30">
        <v>0.91424379121302035</v>
      </c>
    </row>
    <row r="404" spans="1:8" x14ac:dyDescent="0.35">
      <c r="A404" s="1">
        <v>40568</v>
      </c>
      <c r="B404" s="3">
        <v>0</v>
      </c>
      <c r="C404" s="3">
        <v>0</v>
      </c>
      <c r="D404" s="3">
        <v>0.43479856857950211</v>
      </c>
      <c r="E404" s="3">
        <v>-0.26229999999999998</v>
      </c>
      <c r="F404" s="3">
        <v>1</v>
      </c>
      <c r="G404" s="3">
        <v>0.42083100859565536</v>
      </c>
      <c r="H404" s="3">
        <v>0.90713905340050449</v>
      </c>
    </row>
    <row r="405" spans="1:8" x14ac:dyDescent="0.35">
      <c r="A405" s="1">
        <v>40569</v>
      </c>
      <c r="B405" s="30">
        <v>0</v>
      </c>
      <c r="C405" s="30">
        <v>1</v>
      </c>
      <c r="D405" s="30">
        <v>0.19749923565515923</v>
      </c>
      <c r="E405" s="30">
        <v>-1.4019999999999999</v>
      </c>
      <c r="F405" s="30">
        <v>0</v>
      </c>
      <c r="G405" s="30">
        <v>0.43637296410458659</v>
      </c>
      <c r="H405" s="30">
        <v>0.89976587854762369</v>
      </c>
    </row>
    <row r="406" spans="1:8" x14ac:dyDescent="0.35">
      <c r="A406" s="1">
        <v>40570</v>
      </c>
      <c r="B406" s="30">
        <v>0</v>
      </c>
      <c r="C406" s="30">
        <v>1</v>
      </c>
      <c r="D406" s="30">
        <v>0.43415448702575832</v>
      </c>
      <c r="E406" s="30">
        <v>-0.26490000000000002</v>
      </c>
      <c r="F406" s="30">
        <v>1</v>
      </c>
      <c r="G406" s="30">
        <v>0.45178578983287343</v>
      </c>
      <c r="H406" s="30">
        <v>0.89212644849543987</v>
      </c>
    </row>
    <row r="407" spans="1:8" x14ac:dyDescent="0.35">
      <c r="A407" s="1">
        <v>40571</v>
      </c>
      <c r="B407" s="3">
        <v>0</v>
      </c>
      <c r="C407" s="3">
        <v>0</v>
      </c>
      <c r="D407" s="3">
        <v>0.43387091451329424</v>
      </c>
      <c r="E407" s="3">
        <v>-0.2661</v>
      </c>
      <c r="F407" s="3">
        <v>1</v>
      </c>
      <c r="G407" s="3">
        <v>0.46706492487742696</v>
      </c>
      <c r="H407" s="3">
        <v>0.88422302387420537</v>
      </c>
    </row>
    <row r="408" spans="1:8" x14ac:dyDescent="0.35">
      <c r="A408" s="1">
        <v>40572</v>
      </c>
      <c r="B408" s="3">
        <v>0</v>
      </c>
      <c r="C408" s="3">
        <v>0</v>
      </c>
      <c r="D408" s="3">
        <v>0.1969509723465753</v>
      </c>
      <c r="E408" s="3">
        <v>-1.4055</v>
      </c>
      <c r="F408" s="3">
        <v>0</v>
      </c>
      <c r="G408" s="3">
        <v>0.48220584789635706</v>
      </c>
      <c r="H408" s="3">
        <v>0.87605794343442567</v>
      </c>
    </row>
    <row r="409" spans="1:8" x14ac:dyDescent="0.35">
      <c r="A409" s="1">
        <v>40573</v>
      </c>
      <c r="B409" s="3">
        <v>0</v>
      </c>
      <c r="C409" s="3">
        <v>0</v>
      </c>
      <c r="D409" s="3">
        <v>0.19680158635447997</v>
      </c>
      <c r="E409" s="3">
        <v>-1.4064000000000001</v>
      </c>
      <c r="F409" s="3">
        <v>0</v>
      </c>
      <c r="G409" s="3">
        <v>0.49720407844693604</v>
      </c>
      <c r="H409" s="3">
        <v>0.86763362335477356</v>
      </c>
    </row>
    <row r="410" spans="1:8" x14ac:dyDescent="0.35">
      <c r="A410" s="1">
        <v>40574</v>
      </c>
      <c r="B410" s="3">
        <v>0</v>
      </c>
      <c r="C410" s="3">
        <v>0</v>
      </c>
      <c r="D410" s="3">
        <v>0.19666891221107116</v>
      </c>
      <c r="E410" s="3">
        <v>-1.4072</v>
      </c>
      <c r="F410" s="3">
        <v>0</v>
      </c>
      <c r="G410" s="3">
        <v>0.51205517831147052</v>
      </c>
      <c r="H410" s="3">
        <v>0.85895255652708091</v>
      </c>
    </row>
    <row r="411" spans="1:8" x14ac:dyDescent="0.35">
      <c r="A411" s="1">
        <v>40575</v>
      </c>
      <c r="B411" s="3">
        <v>0</v>
      </c>
      <c r="C411" s="3">
        <v>0</v>
      </c>
      <c r="D411" s="3">
        <v>0.19655296373821124</v>
      </c>
      <c r="E411" s="3">
        <v>-1.4079999999999999</v>
      </c>
      <c r="F411" s="3">
        <v>0</v>
      </c>
      <c r="G411" s="3">
        <v>0.52675475281054263</v>
      </c>
      <c r="H411" s="3">
        <v>0.85001731181870888</v>
      </c>
    </row>
    <row r="412" spans="1:8" x14ac:dyDescent="0.35">
      <c r="A412" s="1">
        <v>40576</v>
      </c>
      <c r="B412" s="3">
        <v>0</v>
      </c>
      <c r="C412" s="3">
        <v>0</v>
      </c>
      <c r="D412" s="3">
        <v>0.19645375295801606</v>
      </c>
      <c r="E412" s="3">
        <v>-1.4086000000000001</v>
      </c>
      <c r="F412" s="3">
        <v>0</v>
      </c>
      <c r="G412" s="3">
        <v>0.54129845210361327</v>
      </c>
      <c r="H412" s="3">
        <v>0.8408305333122913</v>
      </c>
    </row>
    <row r="413" spans="1:8" x14ac:dyDescent="0.35">
      <c r="A413" s="1">
        <v>40577</v>
      </c>
      <c r="B413" s="3">
        <v>0</v>
      </c>
      <c r="C413" s="3">
        <v>0</v>
      </c>
      <c r="D413" s="3">
        <v>0.19637129011470841</v>
      </c>
      <c r="E413" s="3">
        <v>-1.4091</v>
      </c>
      <c r="F413" s="3">
        <v>0</v>
      </c>
      <c r="G413" s="3">
        <v>0.55568197247605167</v>
      </c>
      <c r="H413" s="3">
        <v>0.83139493952340393</v>
      </c>
    </row>
    <row r="414" spans="1:8" x14ac:dyDescent="0.35">
      <c r="A414" s="1">
        <v>40578</v>
      </c>
      <c r="B414" s="30">
        <v>0</v>
      </c>
      <c r="C414" s="30">
        <v>1</v>
      </c>
      <c r="D414" s="30">
        <v>0.19630558369335865</v>
      </c>
      <c r="E414" s="30">
        <v>-1.4095</v>
      </c>
      <c r="F414" s="30">
        <v>0</v>
      </c>
      <c r="G414" s="30">
        <v>0.56990105761275922</v>
      </c>
      <c r="H414" s="30">
        <v>0.82171332259606111</v>
      </c>
    </row>
    <row r="415" spans="1:8" x14ac:dyDescent="0.35">
      <c r="A415" s="1">
        <v>40579</v>
      </c>
      <c r="B415" s="30">
        <v>0</v>
      </c>
      <c r="C415" s="30">
        <v>1</v>
      </c>
      <c r="D415" s="30">
        <v>0.43253380661716967</v>
      </c>
      <c r="E415" s="30">
        <v>-0.27150000000000002</v>
      </c>
      <c r="F415" s="30">
        <v>1</v>
      </c>
      <c r="G415" s="30">
        <v>0.58395149985770456</v>
      </c>
      <c r="H415" s="30">
        <v>0.8117885474764579</v>
      </c>
    </row>
    <row r="416" spans="1:8" x14ac:dyDescent="0.35">
      <c r="A416" s="1">
        <v>40580</v>
      </c>
      <c r="B416" s="30">
        <v>0</v>
      </c>
      <c r="C416" s="30">
        <v>1</v>
      </c>
      <c r="D416" s="30">
        <v>0.43248373877058655</v>
      </c>
      <c r="E416" s="30">
        <v>-0.2717</v>
      </c>
      <c r="F416" s="30">
        <v>1</v>
      </c>
      <c r="G416" s="30">
        <v>0.59782914145895416</v>
      </c>
      <c r="H416" s="30">
        <v>0.80162355106524263</v>
      </c>
    </row>
    <row r="417" spans="1:8" x14ac:dyDescent="0.35">
      <c r="A417" s="1">
        <v>40581</v>
      </c>
      <c r="B417" s="30">
        <v>0</v>
      </c>
      <c r="C417" s="30">
        <v>1</v>
      </c>
      <c r="D417" s="30">
        <v>0.43245976739196279</v>
      </c>
      <c r="E417" s="30">
        <v>-0.27179999999999999</v>
      </c>
      <c r="F417" s="30">
        <v>1</v>
      </c>
      <c r="G417" s="30">
        <v>0.61152987579910023</v>
      </c>
      <c r="H417" s="30">
        <v>0.79122134134838473</v>
      </c>
    </row>
    <row r="418" spans="1:8" x14ac:dyDescent="0.35">
      <c r="A418" s="1">
        <v>40582</v>
      </c>
      <c r="B418" s="30">
        <v>0</v>
      </c>
      <c r="C418" s="30">
        <v>1</v>
      </c>
      <c r="D418" s="30">
        <v>0.43246189854243572</v>
      </c>
      <c r="E418" s="30">
        <v>-0.27179999999999999</v>
      </c>
      <c r="F418" s="30">
        <v>1</v>
      </c>
      <c r="G418" s="30">
        <v>0.62504964861043888</v>
      </c>
      <c r="H418" s="30">
        <v>0.78058499650708568</v>
      </c>
    </row>
    <row r="419" spans="1:8" x14ac:dyDescent="0.35">
      <c r="A419" s="1">
        <v>40583</v>
      </c>
      <c r="B419" s="3">
        <v>0</v>
      </c>
      <c r="C419" s="3">
        <v>0</v>
      </c>
      <c r="D419" s="3">
        <v>0.43249013168318212</v>
      </c>
      <c r="E419" s="3">
        <v>-0.2717</v>
      </c>
      <c r="F419" s="3">
        <v>1</v>
      </c>
      <c r="G419" s="3">
        <v>0.63838445917466069</v>
      </c>
      <c r="H419" s="3">
        <v>0.7697176640069241</v>
      </c>
    </row>
    <row r="420" spans="1:8" x14ac:dyDescent="0.35">
      <c r="A420" s="1">
        <v>40584</v>
      </c>
      <c r="B420" s="3">
        <v>0</v>
      </c>
      <c r="C420" s="3">
        <v>0</v>
      </c>
      <c r="D420" s="3">
        <v>0.19626348680693348</v>
      </c>
      <c r="E420" s="3">
        <v>-1.4097999999999999</v>
      </c>
      <c r="F420" s="3">
        <v>0</v>
      </c>
      <c r="G420" s="3">
        <v>0.65153036150680521</v>
      </c>
      <c r="H420" s="3">
        <v>0.75862255966640724</v>
      </c>
    </row>
    <row r="421" spans="1:8" x14ac:dyDescent="0.35">
      <c r="A421" s="1">
        <v>40585</v>
      </c>
      <c r="B421" s="30">
        <v>0</v>
      </c>
      <c r="C421" s="30">
        <v>1</v>
      </c>
      <c r="D421" s="30">
        <v>0.19631516763331222</v>
      </c>
      <c r="E421" s="30">
        <v>-1.4095</v>
      </c>
      <c r="F421" s="30">
        <v>0</v>
      </c>
      <c r="G421" s="30">
        <v>0.66448346552285364</v>
      </c>
      <c r="H421" s="30">
        <v>0.74730296670543106</v>
      </c>
    </row>
    <row r="422" spans="1:8" x14ac:dyDescent="0.35">
      <c r="A422" s="1">
        <v>40586</v>
      </c>
      <c r="B422" s="30">
        <v>0</v>
      </c>
      <c r="C422" s="30">
        <v>1</v>
      </c>
      <c r="D422" s="30">
        <v>0.43273133864662594</v>
      </c>
      <c r="E422" s="30">
        <v>-0.2707</v>
      </c>
      <c r="F422" s="30">
        <v>1</v>
      </c>
      <c r="G422" s="30">
        <v>0.67723993819094297</v>
      </c>
      <c r="H422" s="30">
        <v>0.73576223477365821</v>
      </c>
    </row>
    <row r="423" spans="1:8" x14ac:dyDescent="0.35">
      <c r="A423" s="1">
        <v>40587</v>
      </c>
      <c r="B423" s="3">
        <v>0</v>
      </c>
      <c r="C423" s="3">
        <v>0</v>
      </c>
      <c r="D423" s="3">
        <v>0.43286384232605851</v>
      </c>
      <c r="E423" s="3">
        <v>-0.2702</v>
      </c>
      <c r="F423" s="3">
        <v>1</v>
      </c>
      <c r="G423" s="3">
        <v>0.6897960046655891</v>
      </c>
      <c r="H423" s="3">
        <v>0.7240037789593301</v>
      </c>
    </row>
    <row r="424" spans="1:8" x14ac:dyDescent="0.35">
      <c r="A424" s="1">
        <v>40588</v>
      </c>
      <c r="B424" s="3">
        <v>0</v>
      </c>
      <c r="C424" s="3">
        <v>0</v>
      </c>
      <c r="D424" s="3">
        <v>0.19657075335283838</v>
      </c>
      <c r="E424" s="3">
        <v>-1.4078999999999999</v>
      </c>
      <c r="F424" s="3">
        <v>0</v>
      </c>
      <c r="G424" s="3">
        <v>0.70214794940469383</v>
      </c>
      <c r="H424" s="3">
        <v>0.71203107877871696</v>
      </c>
    </row>
    <row r="425" spans="1:8" x14ac:dyDescent="0.35">
      <c r="A425" s="1">
        <v>40589</v>
      </c>
      <c r="B425" s="3">
        <v>0</v>
      </c>
      <c r="C425" s="3">
        <v>0</v>
      </c>
      <c r="D425" s="3">
        <v>0.19668943375280659</v>
      </c>
      <c r="E425" s="3">
        <v>-1.4071</v>
      </c>
      <c r="F425" s="3">
        <v>0</v>
      </c>
      <c r="G425" s="3">
        <v>0.71429211726910558</v>
      </c>
      <c r="H425" s="3">
        <v>0.69984767714640472</v>
      </c>
    </row>
    <row r="426" spans="1:8" x14ac:dyDescent="0.35">
      <c r="A426" s="1">
        <v>40590</v>
      </c>
      <c r="B426" s="3">
        <v>0</v>
      </c>
      <c r="C426" s="3">
        <v>0</v>
      </c>
      <c r="D426" s="3">
        <v>0.19682483768998144</v>
      </c>
      <c r="E426" s="3">
        <v>-1.4063000000000001</v>
      </c>
      <c r="F426" s="3">
        <v>0</v>
      </c>
      <c r="G426" s="3">
        <v>0.72622491460415228</v>
      </c>
      <c r="H426" s="3">
        <v>0.68745717932696848</v>
      </c>
    </row>
    <row r="427" spans="1:8" x14ac:dyDescent="0.35">
      <c r="A427" s="1">
        <v>40591</v>
      </c>
      <c r="B427" s="30">
        <v>0</v>
      </c>
      <c r="C427" s="30">
        <v>1</v>
      </c>
      <c r="D427" s="30">
        <v>0.19697695104634153</v>
      </c>
      <c r="E427" s="30">
        <v>-1.4053</v>
      </c>
      <c r="F427" s="30">
        <v>0</v>
      </c>
      <c r="G427" s="30">
        <v>0.73794281030313236</v>
      </c>
      <c r="H427" s="30">
        <v>0.67486325186804708</v>
      </c>
    </row>
    <row r="428" spans="1:8" x14ac:dyDescent="0.35">
      <c r="A428" s="1">
        <v>40592</v>
      </c>
      <c r="B428" s="3">
        <v>0</v>
      </c>
      <c r="C428" s="3">
        <v>0</v>
      </c>
      <c r="D428" s="3">
        <v>0.43391546098053779</v>
      </c>
      <c r="E428" s="3">
        <v>-0.26590000000000003</v>
      </c>
      <c r="F428" s="3">
        <v>1</v>
      </c>
      <c r="G428" s="3">
        <v>0.74944233685219519</v>
      </c>
      <c r="H428" s="3">
        <v>0.66206962151538173</v>
      </c>
    </row>
    <row r="429" spans="1:8" x14ac:dyDescent="0.35">
      <c r="A429" s="1">
        <v>40593</v>
      </c>
      <c r="B429" s="30">
        <v>0</v>
      </c>
      <c r="C429" s="30">
        <v>1</v>
      </c>
      <c r="D429" s="30">
        <v>0.19733124037082037</v>
      </c>
      <c r="E429" s="30">
        <v>-1.4031</v>
      </c>
      <c r="F429" s="30">
        <v>0</v>
      </c>
      <c r="G429" s="30">
        <v>0.76072009135640617</v>
      </c>
      <c r="H429" s="30">
        <v>0.64908007411004465</v>
      </c>
    </row>
    <row r="430" spans="1:8" x14ac:dyDescent="0.35">
      <c r="A430" s="1">
        <v>40594</v>
      </c>
      <c r="B430" s="3">
        <v>0</v>
      </c>
      <c r="C430" s="3">
        <v>0</v>
      </c>
      <c r="D430" s="3">
        <v>0.4345166593387943</v>
      </c>
      <c r="E430" s="3">
        <v>-0.26340000000000002</v>
      </c>
      <c r="F430" s="3">
        <v>1</v>
      </c>
      <c r="G430" s="3">
        <v>0.77177273654678458</v>
      </c>
      <c r="H430" s="3">
        <v>0.63589845346807328</v>
      </c>
    </row>
    <row r="431" spans="1:8" x14ac:dyDescent="0.35">
      <c r="A431" s="1">
        <v>40595</v>
      </c>
      <c r="B431" s="30">
        <v>0</v>
      </c>
      <c r="C431" s="30">
        <v>1</v>
      </c>
      <c r="D431" s="30">
        <v>0.19775215166734797</v>
      </c>
      <c r="E431" s="30">
        <v>-1.4004000000000001</v>
      </c>
      <c r="F431" s="30">
        <v>0</v>
      </c>
      <c r="G431" s="30">
        <v>0.78259700176778035</v>
      </c>
      <c r="H431" s="30">
        <v>0.62252866024310938</v>
      </c>
    </row>
    <row r="432" spans="1:8" x14ac:dyDescent="0.35">
      <c r="A432" s="1">
        <v>40596</v>
      </c>
      <c r="B432" s="30">
        <v>0</v>
      </c>
      <c r="C432" s="30">
        <v>1</v>
      </c>
      <c r="D432" s="30">
        <v>0.43522016803545877</v>
      </c>
      <c r="E432" s="30">
        <v>-0.2606</v>
      </c>
      <c r="F432" s="30">
        <v>1</v>
      </c>
      <c r="G432" s="30">
        <v>0.79318968394518685</v>
      </c>
      <c r="H432" s="30">
        <v>0.60897465077204527</v>
      </c>
    </row>
    <row r="433" spans="1:8" x14ac:dyDescent="0.35">
      <c r="A433" s="1">
        <v>40597</v>
      </c>
      <c r="B433" s="3">
        <v>0</v>
      </c>
      <c r="C433" s="3">
        <v>0</v>
      </c>
      <c r="D433" s="3">
        <v>0.43561006741424052</v>
      </c>
      <c r="E433" s="3">
        <v>-0.25900000000000001</v>
      </c>
      <c r="F433" s="3">
        <v>1</v>
      </c>
      <c r="G433" s="3">
        <v>0.80354764853391036</v>
      </c>
      <c r="H433" s="3">
        <v>0.59524043590436904</v>
      </c>
    </row>
    <row r="434" spans="1:8" x14ac:dyDescent="0.35">
      <c r="A434" s="1">
        <v>40598</v>
      </c>
      <c r="B434" s="3">
        <v>0</v>
      </c>
      <c r="C434" s="3">
        <v>0</v>
      </c>
      <c r="D434" s="3">
        <v>0.19850803045791224</v>
      </c>
      <c r="E434" s="3">
        <v>-1.3956</v>
      </c>
      <c r="F434" s="3">
        <v>0</v>
      </c>
      <c r="G434" s="3">
        <v>0.81366783044559432</v>
      </c>
      <c r="H434" s="3">
        <v>0.58133007981521101</v>
      </c>
    </row>
    <row r="435" spans="1:8" x14ac:dyDescent="0.35">
      <c r="A435" s="1">
        <v>40599</v>
      </c>
      <c r="B435" s="3">
        <v>0</v>
      </c>
      <c r="C435" s="3">
        <v>0</v>
      </c>
      <c r="D435" s="3">
        <v>0.19879308470029269</v>
      </c>
      <c r="E435" s="3">
        <v>-1.3938999999999999</v>
      </c>
      <c r="F435" s="3">
        <v>0</v>
      </c>
      <c r="G435" s="3">
        <v>0.823547234955601</v>
      </c>
      <c r="H435" s="3">
        <v>0.56724769880272241</v>
      </c>
    </row>
    <row r="436" spans="1:8" x14ac:dyDescent="0.35">
      <c r="A436" s="1">
        <v>40600</v>
      </c>
      <c r="B436" s="3">
        <v>0</v>
      </c>
      <c r="C436" s="3">
        <v>0</v>
      </c>
      <c r="D436" s="3">
        <v>0.1990946349517364</v>
      </c>
      <c r="E436" s="3">
        <v>-1.3919999999999999</v>
      </c>
      <c r="F436" s="3">
        <v>0</v>
      </c>
      <c r="G436" s="3">
        <v>0.83318293858917536</v>
      </c>
      <c r="H436" s="3">
        <v>0.55299746007003181</v>
      </c>
    </row>
    <row r="437" spans="1:8" x14ac:dyDescent="0.35">
      <c r="A437" s="1">
        <v>40601</v>
      </c>
      <c r="B437" s="30">
        <v>0</v>
      </c>
      <c r="C437" s="30">
        <v>1</v>
      </c>
      <c r="D437" s="30">
        <v>0.19941264716922466</v>
      </c>
      <c r="E437" s="30">
        <v>-1.39</v>
      </c>
      <c r="F437" s="30">
        <v>0</v>
      </c>
      <c r="G437" s="30">
        <v>0.84257208998660438</v>
      </c>
      <c r="H437" s="30">
        <v>0.53858358049202104</v>
      </c>
    </row>
    <row r="438" spans="1:8" x14ac:dyDescent="0.35">
      <c r="A438" s="1">
        <v>40602</v>
      </c>
      <c r="B438" s="30">
        <v>0</v>
      </c>
      <c r="C438" s="30">
        <v>1</v>
      </c>
      <c r="D438" s="30">
        <v>0.4379367987855321</v>
      </c>
      <c r="E438" s="30">
        <v>-0.2495</v>
      </c>
      <c r="F438" s="30">
        <v>1</v>
      </c>
      <c r="G438" s="30">
        <v>0.85171191074691732</v>
      </c>
      <c r="H438" s="30">
        <v>0.52401032536757808</v>
      </c>
    </row>
    <row r="439" spans="1:8" x14ac:dyDescent="0.35">
      <c r="A439" s="1">
        <v>40603</v>
      </c>
      <c r="B439" s="30">
        <v>0</v>
      </c>
      <c r="C439" s="30">
        <v>1</v>
      </c>
      <c r="D439" s="30">
        <v>0.43847674738787323</v>
      </c>
      <c r="E439" s="30">
        <v>-0.24729999999999999</v>
      </c>
      <c r="F439" s="30">
        <v>1</v>
      </c>
      <c r="G439" s="30">
        <v>0.86059969625011346</v>
      </c>
      <c r="H439" s="30">
        <v>0.50928200715734351</v>
      </c>
    </row>
    <row r="440" spans="1:8" x14ac:dyDescent="0.35">
      <c r="A440" s="1">
        <v>40604</v>
      </c>
      <c r="B440" s="30">
        <v>0</v>
      </c>
      <c r="C440" s="30">
        <v>1</v>
      </c>
      <c r="D440" s="30">
        <v>0.43904125010153888</v>
      </c>
      <c r="E440" s="30">
        <v>-0.24510000000000001</v>
      </c>
      <c r="F440" s="30">
        <v>1</v>
      </c>
      <c r="G440" s="30">
        <v>0.86923281645747863</v>
      </c>
      <c r="H440" s="30">
        <v>0.49440298420761919</v>
      </c>
    </row>
    <row r="441" spans="1:8" x14ac:dyDescent="0.35">
      <c r="A441" s="1">
        <v>40605</v>
      </c>
      <c r="B441" s="3">
        <v>0</v>
      </c>
      <c r="C441" s="3">
        <v>0</v>
      </c>
      <c r="D441" s="3">
        <v>0.4396301589458923</v>
      </c>
      <c r="E441" s="3">
        <v>-0.2427</v>
      </c>
      <c r="F441" s="3">
        <v>1</v>
      </c>
      <c r="G441" s="3">
        <v>0.87760871668983564</v>
      </c>
      <c r="H441" s="3">
        <v>0.47937765946070099</v>
      </c>
    </row>
    <row r="442" spans="1:8" x14ac:dyDescent="0.35">
      <c r="A442" s="1">
        <v>40606</v>
      </c>
      <c r="B442" s="3">
        <v>0</v>
      </c>
      <c r="C442" s="3">
        <v>0</v>
      </c>
      <c r="D442" s="3">
        <v>0.20124828592716257</v>
      </c>
      <c r="E442" s="3">
        <v>-1.3785000000000001</v>
      </c>
      <c r="F442" s="3">
        <v>0</v>
      </c>
      <c r="G442" s="3">
        <v>0.88572491838356437</v>
      </c>
      <c r="H442" s="3">
        <v>0.46421047915189095</v>
      </c>
    </row>
    <row r="443" spans="1:8" x14ac:dyDescent="0.35">
      <c r="A443" s="1">
        <v>40607</v>
      </c>
      <c r="B443" s="3">
        <v>0</v>
      </c>
      <c r="C443" s="3">
        <v>0</v>
      </c>
      <c r="D443" s="3">
        <v>0.201664225283714</v>
      </c>
      <c r="E443" s="3">
        <v>-1.3758999999999999</v>
      </c>
      <c r="F443" s="3">
        <v>0</v>
      </c>
      <c r="G443" s="3">
        <v>0.89357901982399313</v>
      </c>
      <c r="H443" s="3">
        <v>0.44890593149388403</v>
      </c>
    </row>
    <row r="444" spans="1:8" x14ac:dyDescent="0.35">
      <c r="A444" s="1">
        <v>40608</v>
      </c>
      <c r="B444" s="3">
        <v>0</v>
      </c>
      <c r="C444" s="3">
        <v>0</v>
      </c>
      <c r="D444" s="3">
        <v>0.20209632214416046</v>
      </c>
      <c r="E444" s="3">
        <v>-1.3732</v>
      </c>
      <c r="F444" s="3">
        <v>0</v>
      </c>
      <c r="G444" s="3">
        <v>0.90116869685615208</v>
      </c>
      <c r="H444" s="3">
        <v>0.43346854534854617</v>
      </c>
    </row>
    <row r="445" spans="1:8" x14ac:dyDescent="0.35">
      <c r="A445" s="1">
        <v>40609</v>
      </c>
      <c r="B445" s="3">
        <v>0</v>
      </c>
      <c r="C445" s="3">
        <v>0</v>
      </c>
      <c r="D445" s="3">
        <v>0.20254452280171861</v>
      </c>
      <c r="E445" s="3">
        <v>-1.3705000000000001</v>
      </c>
      <c r="F445" s="3">
        <v>0</v>
      </c>
      <c r="G445" s="3">
        <v>0.9084917035725073</v>
      </c>
      <c r="H445" s="3">
        <v>0.41790288888678856</v>
      </c>
    </row>
    <row r="446" spans="1:8" x14ac:dyDescent="0.35">
      <c r="A446" s="1">
        <v>40610</v>
      </c>
      <c r="B446" s="3">
        <v>0</v>
      </c>
      <c r="C446" s="3">
        <v>0</v>
      </c>
      <c r="D446" s="3">
        <v>0.20300877079038565</v>
      </c>
      <c r="E446" s="3">
        <v>-1.3675999999999999</v>
      </c>
      <c r="F446" s="3">
        <v>0</v>
      </c>
      <c r="G446" s="3">
        <v>0.91554587297754342</v>
      </c>
      <c r="H446" s="3">
        <v>0.40221356823681126</v>
      </c>
    </row>
    <row r="447" spans="1:8" x14ac:dyDescent="0.35">
      <c r="A447" s="1">
        <v>40611</v>
      </c>
      <c r="B447" s="30">
        <v>0</v>
      </c>
      <c r="C447" s="30">
        <v>1</v>
      </c>
      <c r="D447" s="30">
        <v>0.20348900681141233</v>
      </c>
      <c r="E447" s="30">
        <v>-1.3646</v>
      </c>
      <c r="F447" s="30">
        <v>0</v>
      </c>
      <c r="G447" s="30">
        <v>0.92232911762905434</v>
      </c>
      <c r="H447" s="30">
        <v>0.3864052261209856</v>
      </c>
    </row>
    <row r="448" spans="1:8" x14ac:dyDescent="0.35">
      <c r="A448" s="1">
        <v>40612</v>
      </c>
      <c r="B448" s="30">
        <v>0</v>
      </c>
      <c r="C448" s="30">
        <v>1</v>
      </c>
      <c r="D448" s="30">
        <v>0.44442201376805701</v>
      </c>
      <c r="E448" s="30">
        <v>-0.22320000000000001</v>
      </c>
      <c r="F448" s="30">
        <v>1</v>
      </c>
      <c r="G448" s="30">
        <v>0.92883943025580473</v>
      </c>
      <c r="H448" s="30">
        <v>0.3704825404821015</v>
      </c>
    </row>
    <row r="449" spans="1:8" x14ac:dyDescent="0.35">
      <c r="A449" s="1">
        <v>40613</v>
      </c>
      <c r="B449" s="30">
        <v>0</v>
      </c>
      <c r="C449" s="30">
        <v>1</v>
      </c>
      <c r="D449" s="30">
        <v>0.44520001578538354</v>
      </c>
      <c r="E449" s="30">
        <v>-0.22009999999999999</v>
      </c>
      <c r="F449" s="30">
        <v>1</v>
      </c>
      <c r="G449" s="30">
        <v>0.93507488435155317</v>
      </c>
      <c r="H449" s="30">
        <v>0.35445022309899793</v>
      </c>
    </row>
    <row r="450" spans="1:8" x14ac:dyDescent="0.35">
      <c r="A450" s="1">
        <v>40614</v>
      </c>
      <c r="B450" s="3">
        <v>0</v>
      </c>
      <c r="C450" s="3">
        <v>0</v>
      </c>
      <c r="D450" s="3">
        <v>0.44600078085772926</v>
      </c>
      <c r="E450" s="3">
        <v>-0.21679999999999999</v>
      </c>
      <c r="F450" s="3">
        <v>1</v>
      </c>
      <c r="G450" s="3">
        <v>0.9410336347451187</v>
      </c>
      <c r="H450" s="3">
        <v>0.3383130181923103</v>
      </c>
    </row>
    <row r="451" spans="1:8" x14ac:dyDescent="0.35">
      <c r="A451" s="1">
        <v>40615</v>
      </c>
      <c r="B451" s="3">
        <v>0</v>
      </c>
      <c r="C451" s="3">
        <v>0</v>
      </c>
      <c r="D451" s="3">
        <v>0.20556854184239912</v>
      </c>
      <c r="E451" s="3">
        <v>-1.3517999999999999</v>
      </c>
      <c r="F451" s="3">
        <v>0</v>
      </c>
      <c r="G451" s="3">
        <v>0.94671391814638295</v>
      </c>
      <c r="H451" s="3">
        <v>0.32207570102061989</v>
      </c>
    </row>
    <row r="452" spans="1:8" x14ac:dyDescent="0.35">
      <c r="A452" s="1">
        <v>40616</v>
      </c>
      <c r="B452" s="30">
        <v>0</v>
      </c>
      <c r="C452" s="30">
        <v>1</v>
      </c>
      <c r="D452" s="30">
        <v>0.20612772404743546</v>
      </c>
      <c r="E452" s="30">
        <v>-1.3484</v>
      </c>
      <c r="F452" s="30">
        <v>0</v>
      </c>
      <c r="G452" s="30">
        <v>0.95211405366810986</v>
      </c>
      <c r="H452" s="30">
        <v>0.30574307646728421</v>
      </c>
    </row>
    <row r="453" spans="1:8" x14ac:dyDescent="0.35">
      <c r="A453" s="1">
        <v>40617</v>
      </c>
      <c r="B453" s="30">
        <v>0</v>
      </c>
      <c r="C453" s="30">
        <v>1</v>
      </c>
      <c r="D453" s="30">
        <v>0.44853744597496131</v>
      </c>
      <c r="E453" s="30">
        <v>-0.20660000000000001</v>
      </c>
      <c r="F453" s="30">
        <v>1</v>
      </c>
      <c r="G453" s="30">
        <v>0.95723244332330981</v>
      </c>
      <c r="H453" s="30">
        <v>0.28931997761870232</v>
      </c>
    </row>
    <row r="454" spans="1:8" x14ac:dyDescent="0.35">
      <c r="A454" s="1">
        <v>40618</v>
      </c>
      <c r="B454" s="3">
        <v>0</v>
      </c>
      <c r="C454" s="3">
        <v>0</v>
      </c>
      <c r="D454" s="3">
        <v>0.44942701994268691</v>
      </c>
      <c r="E454" s="3">
        <v>-0.20300000000000001</v>
      </c>
      <c r="F454" s="3">
        <v>1</v>
      </c>
      <c r="G454" s="3">
        <v>0.96206757249814545</v>
      </c>
      <c r="H454" s="3">
        <v>0.27281126433401853</v>
      </c>
    </row>
    <row r="455" spans="1:8" x14ac:dyDescent="0.35">
      <c r="A455" s="1">
        <v>40619</v>
      </c>
      <c r="B455" s="3">
        <v>0</v>
      </c>
      <c r="C455" s="3">
        <v>0</v>
      </c>
      <c r="D455" s="3">
        <v>0.20789835255250713</v>
      </c>
      <c r="E455" s="3">
        <v>-1.3375999999999999</v>
      </c>
      <c r="F455" s="3">
        <v>0</v>
      </c>
      <c r="G455" s="3">
        <v>0.96661801040009598</v>
      </c>
      <c r="H455" s="3">
        <v>0.25622182180712083</v>
      </c>
    </row>
    <row r="456" spans="1:8" x14ac:dyDescent="0.35">
      <c r="A456" s="1">
        <v>40620</v>
      </c>
      <c r="B456" s="3">
        <v>0</v>
      </c>
      <c r="C456" s="3">
        <v>0</v>
      </c>
      <c r="D456" s="3">
        <v>0.20851930664784965</v>
      </c>
      <c r="E456" s="3">
        <v>-1.3339000000000001</v>
      </c>
      <c r="F456" s="3">
        <v>0</v>
      </c>
      <c r="G456" s="3">
        <v>0.97088241048138091</v>
      </c>
      <c r="H456" s="3">
        <v>0.23955655912093771</v>
      </c>
    </row>
    <row r="457" spans="1:8" x14ac:dyDescent="0.35">
      <c r="A457" s="1">
        <v>40621</v>
      </c>
      <c r="B457" s="3">
        <v>0</v>
      </c>
      <c r="C457" s="3">
        <v>0</v>
      </c>
      <c r="D457" s="3">
        <v>0.20915548275589022</v>
      </c>
      <c r="E457" s="3">
        <v>-1.33</v>
      </c>
      <c r="F457" s="3">
        <v>0</v>
      </c>
      <c r="G457" s="3">
        <v>0.97485951083741185</v>
      </c>
      <c r="H457" s="3">
        <v>0.22282040779480247</v>
      </c>
    </row>
    <row r="458" spans="1:8" x14ac:dyDescent="0.35">
      <c r="A458" s="1">
        <v>40622</v>
      </c>
      <c r="B458" s="30">
        <v>0</v>
      </c>
      <c r="C458" s="30">
        <v>1</v>
      </c>
      <c r="D458" s="30">
        <v>0.2098067851683183</v>
      </c>
      <c r="E458" s="30">
        <v>-1.3261000000000001</v>
      </c>
      <c r="F458" s="30">
        <v>0</v>
      </c>
      <c r="G458" s="30">
        <v>0.97854813458020429</v>
      </c>
      <c r="H458" s="30">
        <v>0.20601832032516501</v>
      </c>
    </row>
    <row r="459" spans="1:8" x14ac:dyDescent="0.35">
      <c r="A459" s="1">
        <v>40623</v>
      </c>
      <c r="B459" s="30">
        <v>0</v>
      </c>
      <c r="C459" s="30">
        <v>1</v>
      </c>
      <c r="D459" s="30">
        <v>0.45419383893286763</v>
      </c>
      <c r="E459" s="30">
        <v>-0.1837</v>
      </c>
      <c r="F459" s="30">
        <v>1</v>
      </c>
      <c r="G459" s="30">
        <v>0.98194719018664589</v>
      </c>
      <c r="H459" s="30">
        <v>0.18915526872004121</v>
      </c>
    </row>
    <row r="460" spans="1:8" x14ac:dyDescent="0.35">
      <c r="A460" s="1">
        <v>40624</v>
      </c>
      <c r="B460" s="3">
        <v>0</v>
      </c>
      <c r="C460" s="3">
        <v>0</v>
      </c>
      <c r="D460" s="3">
        <v>0.45520912998208846</v>
      </c>
      <c r="E460" s="3">
        <v>-0.17960000000000001</v>
      </c>
      <c r="F460" s="3">
        <v>1</v>
      </c>
      <c r="G460" s="3">
        <v>0.98505567182150033</v>
      </c>
      <c r="H460" s="3">
        <v>0.17223624302768753</v>
      </c>
    </row>
    <row r="461" spans="1:8" x14ac:dyDescent="0.35">
      <c r="A461" s="1">
        <v>40625</v>
      </c>
      <c r="B461" s="3">
        <v>0</v>
      </c>
      <c r="C461" s="3">
        <v>0</v>
      </c>
      <c r="D461" s="3">
        <v>0.21185043546750407</v>
      </c>
      <c r="E461" s="3">
        <v>-1.3138000000000001</v>
      </c>
      <c r="F461" s="3">
        <v>0</v>
      </c>
      <c r="G461" s="3">
        <v>0.98787265963504112</v>
      </c>
      <c r="H461" s="3">
        <v>0.15526624986000731</v>
      </c>
    </row>
    <row r="462" spans="1:8" x14ac:dyDescent="0.35">
      <c r="A462" s="1">
        <v>40626</v>
      </c>
      <c r="B462" s="3">
        <v>0</v>
      </c>
      <c r="C462" s="3">
        <v>0</v>
      </c>
      <c r="D462" s="3">
        <v>0.21256120850890939</v>
      </c>
      <c r="E462" s="3">
        <v>-1.3096000000000001</v>
      </c>
      <c r="F462" s="3">
        <v>0</v>
      </c>
      <c r="G462" s="3">
        <v>0.99039732003525527</v>
      </c>
      <c r="H462" s="3">
        <v>0.13825031091098569</v>
      </c>
    </row>
    <row r="463" spans="1:8" x14ac:dyDescent="0.35">
      <c r="A463" s="1">
        <v>40627</v>
      </c>
      <c r="B463" s="30">
        <v>0</v>
      </c>
      <c r="C463" s="30">
        <v>1</v>
      </c>
      <c r="D463" s="30">
        <v>0.21328657043895577</v>
      </c>
      <c r="E463" s="30">
        <v>-1.3051999999999999</v>
      </c>
      <c r="F463" s="30">
        <v>0</v>
      </c>
      <c r="G463" s="30">
        <v>0.99262890593450992</v>
      </c>
      <c r="H463" s="30">
        <v>0.12119346147073187</v>
      </c>
    </row>
    <row r="464" spans="1:8" x14ac:dyDescent="0.35">
      <c r="A464" s="1">
        <v>40628</v>
      </c>
      <c r="B464" s="30">
        <v>0</v>
      </c>
      <c r="C464" s="30">
        <v>1</v>
      </c>
      <c r="D464" s="30">
        <v>0.45946721790842215</v>
      </c>
      <c r="E464" s="30">
        <v>-0.16250000000000001</v>
      </c>
      <c r="F464" s="30">
        <v>1</v>
      </c>
      <c r="G464" s="30">
        <v>0.99456675697063346</v>
      </c>
      <c r="H464" s="30">
        <v>0.10410074893542764</v>
      </c>
    </row>
    <row r="465" spans="1:8" x14ac:dyDescent="0.35">
      <c r="A465" s="1">
        <v>40629</v>
      </c>
      <c r="B465" s="3">
        <v>0</v>
      </c>
      <c r="C465" s="3">
        <v>0</v>
      </c>
      <c r="D465" s="3">
        <v>0.46057945210876583</v>
      </c>
      <c r="E465" s="3">
        <v>-0.158</v>
      </c>
      <c r="F465" s="3">
        <v>1</v>
      </c>
      <c r="G465" s="3">
        <v>0.99621029970233033</v>
      </c>
      <c r="H465" s="3">
        <v>8.6977231313679293E-2</v>
      </c>
    </row>
    <row r="466" spans="1:8" x14ac:dyDescent="0.35">
      <c r="A466" s="1">
        <v>40630</v>
      </c>
      <c r="B466" s="3">
        <v>0</v>
      </c>
      <c r="C466" s="3">
        <v>0</v>
      </c>
      <c r="D466" s="3">
        <v>0.21554896936622545</v>
      </c>
      <c r="E466" s="3">
        <v>-1.2918000000000001</v>
      </c>
      <c r="F466" s="3">
        <v>0</v>
      </c>
      <c r="G466" s="3">
        <v>0.9975590477788604</v>
      </c>
      <c r="H466" s="3">
        <v>6.9827975729884459E-2</v>
      </c>
    </row>
    <row r="467" spans="1:8" x14ac:dyDescent="0.35">
      <c r="A467" s="1">
        <v>40631</v>
      </c>
      <c r="B467" s="3">
        <v>0</v>
      </c>
      <c r="C467" s="3">
        <v>0</v>
      </c>
      <c r="D467" s="3">
        <v>0.2163314447361139</v>
      </c>
      <c r="E467" s="3">
        <v>-1.2871999999999999</v>
      </c>
      <c r="F467" s="3">
        <v>0</v>
      </c>
      <c r="G467" s="3">
        <v>0.99861260208397307</v>
      </c>
      <c r="H467" s="3">
        <v>5.265805692461871E-2</v>
      </c>
    </row>
    <row r="468" spans="1:8" x14ac:dyDescent="0.35">
      <c r="A468" s="1">
        <v>40632</v>
      </c>
      <c r="B468" s="3">
        <v>0</v>
      </c>
      <c r="C468" s="3">
        <v>0</v>
      </c>
      <c r="D468" s="3">
        <v>0.21712786573398912</v>
      </c>
      <c r="E468" s="3">
        <v>-1.2825</v>
      </c>
      <c r="F468" s="3">
        <v>0</v>
      </c>
      <c r="G468" s="3">
        <v>0.99937065085399701</v>
      </c>
      <c r="H468" s="3">
        <v>3.5472555753122283E-2</v>
      </c>
    </row>
    <row r="469" spans="1:8" x14ac:dyDescent="0.35">
      <c r="A469" s="1">
        <v>40633</v>
      </c>
      <c r="B469" s="3">
        <v>0</v>
      </c>
      <c r="C469" s="3">
        <v>0</v>
      </c>
      <c r="D469" s="3">
        <v>0.2179380901062743</v>
      </c>
      <c r="E469" s="3">
        <v>-1.2777000000000001</v>
      </c>
      <c r="F469" s="3">
        <v>0</v>
      </c>
      <c r="G469" s="3">
        <v>0.99983296977010505</v>
      </c>
      <c r="H469" s="3">
        <v>1.8276557681694165E-2</v>
      </c>
    </row>
    <row r="470" spans="1:8" x14ac:dyDescent="0.35">
      <c r="A470" s="1">
        <v>40634</v>
      </c>
      <c r="B470" s="3">
        <v>0</v>
      </c>
      <c r="C470" s="3">
        <v>0</v>
      </c>
      <c r="D470" s="3">
        <v>0.21876197088352339</v>
      </c>
      <c r="E470" s="3">
        <v>-1.2728999999999999</v>
      </c>
      <c r="F470" s="3">
        <v>0</v>
      </c>
      <c r="G470" s="3">
        <v>0.9999994220246925</v>
      </c>
      <c r="H470" s="3">
        <v>1.0751512827922845E-3</v>
      </c>
    </row>
    <row r="471" spans="1:8" x14ac:dyDescent="0.35">
      <c r="A471" s="1">
        <v>40635</v>
      </c>
      <c r="B471" s="3">
        <v>0</v>
      </c>
      <c r="C471" s="3">
        <v>0</v>
      </c>
      <c r="D471" s="3">
        <v>0.21959935630587704</v>
      </c>
      <c r="E471" s="3">
        <v>-1.268</v>
      </c>
      <c r="F471" s="3">
        <v>0</v>
      </c>
      <c r="G471" s="3">
        <v>0.99986995836185921</v>
      </c>
      <c r="H471" s="3">
        <v>-1.6126573270657488E-2</v>
      </c>
    </row>
    <row r="472" spans="1:8" x14ac:dyDescent="0.35">
      <c r="A472" s="1">
        <v>40636</v>
      </c>
      <c r="B472" s="3">
        <v>0</v>
      </c>
      <c r="C472" s="3">
        <v>0</v>
      </c>
      <c r="D472" s="3">
        <v>0.22045008975060626</v>
      </c>
      <c r="E472" s="3">
        <v>-1.2629999999999999</v>
      </c>
      <c r="F472" s="3">
        <v>0</v>
      </c>
      <c r="G472" s="3">
        <v>0.99944461709198607</v>
      </c>
      <c r="H472" s="3">
        <v>-3.3323525711624856E-2</v>
      </c>
    </row>
    <row r="473" spans="1:8" x14ac:dyDescent="0.35">
      <c r="A473" s="1">
        <v>40637</v>
      </c>
      <c r="B473" s="30">
        <v>0</v>
      </c>
      <c r="C473" s="30">
        <v>1</v>
      </c>
      <c r="D473" s="30">
        <v>0.22131400966191483</v>
      </c>
      <c r="E473" s="30">
        <v>-1.258</v>
      </c>
      <c r="F473" s="30">
        <v>0</v>
      </c>
      <c r="G473" s="30">
        <v>0.99872352408039722</v>
      </c>
      <c r="H473" s="30">
        <v>-5.0510617185224385E-2</v>
      </c>
    </row>
    <row r="474" spans="1:8" x14ac:dyDescent="0.35">
      <c r="A474" s="1">
        <v>40638</v>
      </c>
      <c r="B474" s="30">
        <v>0</v>
      </c>
      <c r="C474" s="30">
        <v>1</v>
      </c>
      <c r="D474" s="30">
        <v>0.47137937584895578</v>
      </c>
      <c r="E474" s="30">
        <v>-0.11459999999999999</v>
      </c>
      <c r="F474" s="30">
        <v>1</v>
      </c>
      <c r="G474" s="30">
        <v>0.99770689271011714</v>
      </c>
      <c r="H474" s="30">
        <v>-6.7682761754546919E-2</v>
      </c>
    </row>
    <row r="475" spans="1:8" x14ac:dyDescent="0.35">
      <c r="A475" s="1">
        <v>40639</v>
      </c>
      <c r="B475" s="3">
        <v>0</v>
      </c>
      <c r="C475" s="3">
        <v>0</v>
      </c>
      <c r="D475" s="3">
        <v>0.47266065893359527</v>
      </c>
      <c r="E475" s="3">
        <v>-0.1095</v>
      </c>
      <c r="F475" s="3">
        <v>1</v>
      </c>
      <c r="G475" s="3">
        <v>0.9963950238187228</v>
      </c>
      <c r="H475" s="3">
        <v>-8.4834877905769532E-2</v>
      </c>
    </row>
    <row r="476" spans="1:8" x14ac:dyDescent="0.35">
      <c r="A476" s="1">
        <v>40640</v>
      </c>
      <c r="B476" s="3">
        <v>0</v>
      </c>
      <c r="C476" s="3">
        <v>0</v>
      </c>
      <c r="D476" s="3">
        <v>0.2239831972374533</v>
      </c>
      <c r="E476" s="3">
        <v>-1.2425999999999999</v>
      </c>
      <c r="F476" s="3">
        <v>0</v>
      </c>
      <c r="G476" s="3">
        <v>0.99478830560932718</v>
      </c>
      <c r="H476" s="3">
        <v>-0.10196189005174372</v>
      </c>
    </row>
    <row r="477" spans="1:8" x14ac:dyDescent="0.35">
      <c r="A477" s="1">
        <v>40641</v>
      </c>
      <c r="B477" s="3">
        <v>0</v>
      </c>
      <c r="C477" s="3">
        <v>0</v>
      </c>
      <c r="D477" s="3">
        <v>0.22489814648162332</v>
      </c>
      <c r="E477" s="3">
        <v>-1.2373000000000001</v>
      </c>
      <c r="F477" s="3">
        <v>0</v>
      </c>
      <c r="G477" s="3">
        <v>0.99288721353569709</v>
      </c>
      <c r="H477" s="3">
        <v>-0.11905873003404255</v>
      </c>
    </row>
    <row r="478" spans="1:8" x14ac:dyDescent="0.35">
      <c r="A478" s="1">
        <v>40642</v>
      </c>
      <c r="B478" s="3">
        <v>0</v>
      </c>
      <c r="C478" s="3">
        <v>0</v>
      </c>
      <c r="D478" s="3">
        <v>0.22582539814285676</v>
      </c>
      <c r="E478" s="3">
        <v>-1.232</v>
      </c>
      <c r="F478" s="3">
        <v>0</v>
      </c>
      <c r="G478" s="3">
        <v>0.9906923101615609</v>
      </c>
      <c r="H478" s="3">
        <v>-0.13612033862266762</v>
      </c>
    </row>
    <row r="479" spans="1:8" x14ac:dyDescent="0.35">
      <c r="A479" s="1">
        <v>40643</v>
      </c>
      <c r="B479" s="30">
        <v>0</v>
      </c>
      <c r="C479" s="30">
        <v>1</v>
      </c>
      <c r="D479" s="30">
        <v>0.22676475974342195</v>
      </c>
      <c r="E479" s="30">
        <v>-1.2266999999999999</v>
      </c>
      <c r="F479" s="30">
        <v>0</v>
      </c>
      <c r="G479" s="30">
        <v>0.98820424499414306</v>
      </c>
      <c r="H479" s="30">
        <v>-0.15314166701311452</v>
      </c>
    </row>
    <row r="480" spans="1:8" x14ac:dyDescent="0.35">
      <c r="A480" s="1">
        <v>40644</v>
      </c>
      <c r="B480" s="30">
        <v>0</v>
      </c>
      <c r="C480" s="30">
        <v>1</v>
      </c>
      <c r="D480" s="30">
        <v>0.47928266932912211</v>
      </c>
      <c r="E480" s="30">
        <v>-8.2900000000000001E-2</v>
      </c>
      <c r="F480" s="30">
        <v>1</v>
      </c>
      <c r="G480" s="30">
        <v>0.98542375429195184</v>
      </c>
      <c r="H480" s="30">
        <v>-0.17011767832049376</v>
      </c>
    </row>
    <row r="481" spans="1:8" x14ac:dyDescent="0.35">
      <c r="A481" s="1">
        <v>40645</v>
      </c>
      <c r="B481" s="30">
        <v>0</v>
      </c>
      <c r="C481" s="30">
        <v>1</v>
      </c>
      <c r="D481" s="30">
        <v>0.48064738989404293</v>
      </c>
      <c r="E481" s="30">
        <v>-7.7399999999999997E-2</v>
      </c>
      <c r="F481" s="30">
        <v>1</v>
      </c>
      <c r="G481" s="30">
        <v>0.98235166084692427</v>
      </c>
      <c r="H481" s="30">
        <v>-0.18704334906991368</v>
      </c>
    </row>
    <row r="482" spans="1:8" x14ac:dyDescent="0.35">
      <c r="A482" s="1">
        <v>40646</v>
      </c>
      <c r="B482" s="30">
        <v>0</v>
      </c>
      <c r="C482" s="30">
        <v>1</v>
      </c>
      <c r="D482" s="30">
        <v>0.48202459147643439</v>
      </c>
      <c r="E482" s="30">
        <v>-7.1900000000000006E-2</v>
      </c>
      <c r="F482" s="30">
        <v>1</v>
      </c>
      <c r="G482" s="30">
        <v>0.97898887374093368</v>
      </c>
      <c r="H482" s="30">
        <v>-0.20391367068310576</v>
      </c>
    </row>
    <row r="483" spans="1:8" x14ac:dyDescent="0.35">
      <c r="A483" s="1">
        <v>40647</v>
      </c>
      <c r="B483" s="30">
        <v>0</v>
      </c>
      <c r="C483" s="30">
        <v>1</v>
      </c>
      <c r="D483" s="30">
        <v>0.48341385308125062</v>
      </c>
      <c r="E483" s="30">
        <v>-6.6400000000000001E-2</v>
      </c>
      <c r="F483" s="30">
        <v>1</v>
      </c>
      <c r="G483" s="30">
        <v>0.97533638807678391</v>
      </c>
      <c r="H483" s="30">
        <v>-0.22072365096050109</v>
      </c>
    </row>
    <row r="484" spans="1:8" x14ac:dyDescent="0.35">
      <c r="A484" s="1">
        <v>40648</v>
      </c>
      <c r="B484" s="30">
        <v>0</v>
      </c>
      <c r="C484" s="30">
        <v>1</v>
      </c>
      <c r="D484" s="30">
        <v>0.48481474886284837</v>
      </c>
      <c r="E484" s="30">
        <v>-6.08E-2</v>
      </c>
      <c r="F484" s="30">
        <v>1</v>
      </c>
      <c r="G484" s="30">
        <v>0.97139528468375169</v>
      </c>
      <c r="H484" s="30">
        <v>-0.23746831555846126</v>
      </c>
    </row>
    <row r="485" spans="1:8" x14ac:dyDescent="0.35">
      <c r="A485" s="1">
        <v>40649</v>
      </c>
      <c r="B485" s="3">
        <v>0</v>
      </c>
      <c r="C485" s="3">
        <v>0</v>
      </c>
      <c r="D485" s="3">
        <v>0.48622684827776241</v>
      </c>
      <c r="E485" s="3">
        <v>-5.5100000000000003E-2</v>
      </c>
      <c r="F485" s="3">
        <v>1</v>
      </c>
      <c r="G485" s="3">
        <v>0.96716672979773088</v>
      </c>
      <c r="H485" s="3">
        <v>-0.25414270946136364</v>
      </c>
    </row>
    <row r="486" spans="1:8" x14ac:dyDescent="0.35">
      <c r="A486" s="1">
        <v>40650</v>
      </c>
      <c r="B486" s="3">
        <v>0</v>
      </c>
      <c r="C486" s="3">
        <v>0</v>
      </c>
      <c r="D486" s="3">
        <v>0.23366206804081116</v>
      </c>
      <c r="E486" s="3">
        <v>-1.1877</v>
      </c>
      <c r="F486" s="3">
        <v>0</v>
      </c>
      <c r="G486" s="3">
        <v>0.96265197471614994</v>
      </c>
      <c r="H486" s="3">
        <v>-0.27074189844775964</v>
      </c>
    </row>
    <row r="487" spans="1:8" x14ac:dyDescent="0.35">
      <c r="A487" s="1">
        <v>40651</v>
      </c>
      <c r="B487" s="30">
        <v>0</v>
      </c>
      <c r="C487" s="30">
        <v>1</v>
      </c>
      <c r="D487" s="30">
        <v>0.23469073003447638</v>
      </c>
      <c r="E487" s="30">
        <v>-1.1819999999999999</v>
      </c>
      <c r="F487" s="30">
        <v>0</v>
      </c>
      <c r="G487" s="30">
        <v>0.95785235542766567</v>
      </c>
      <c r="H487" s="30">
        <v>-0.28726097055060035</v>
      </c>
    </row>
    <row r="488" spans="1:8" x14ac:dyDescent="0.35">
      <c r="A488" s="1">
        <v>40652</v>
      </c>
      <c r="B488" s="3">
        <v>0</v>
      </c>
      <c r="C488" s="3">
        <v>0</v>
      </c>
      <c r="D488" s="3">
        <v>0.49052599577440381</v>
      </c>
      <c r="E488" s="3">
        <v>-3.7900000000000003E-2</v>
      </c>
      <c r="F488" s="3">
        <v>1</v>
      </c>
      <c r="G488" s="3">
        <v>0.9527692922168518</v>
      </c>
      <c r="H488" s="3">
        <v>-0.30369503751065685</v>
      </c>
    </row>
    <row r="489" spans="1:8" x14ac:dyDescent="0.35">
      <c r="A489" s="1">
        <v>40653</v>
      </c>
      <c r="B489" s="3">
        <v>0</v>
      </c>
      <c r="C489" s="3">
        <v>0</v>
      </c>
      <c r="D489" s="3">
        <v>0.23677820415238382</v>
      </c>
      <c r="E489" s="3">
        <v>-1.1704000000000001</v>
      </c>
      <c r="F489" s="3">
        <v>0</v>
      </c>
      <c r="G489" s="3">
        <v>0.9474042892438872</v>
      </c>
      <c r="H489" s="3">
        <v>-0.32003923622313074</v>
      </c>
    </row>
    <row r="490" spans="1:8" x14ac:dyDescent="0.35">
      <c r="A490" s="1">
        <v>40654</v>
      </c>
      <c r="B490" s="30">
        <v>0</v>
      </c>
      <c r="C490" s="30">
        <v>1</v>
      </c>
      <c r="D490" s="30">
        <v>0.23783651574774131</v>
      </c>
      <c r="E490" s="30">
        <v>-1.1646000000000001</v>
      </c>
      <c r="F490" s="30">
        <v>0</v>
      </c>
      <c r="G490" s="30">
        <v>0.94175893409946143</v>
      </c>
      <c r="H490" s="30">
        <v>-0.33628873017668343</v>
      </c>
    </row>
    <row r="491" spans="1:8" x14ac:dyDescent="0.35">
      <c r="A491" s="1">
        <v>40655</v>
      </c>
      <c r="B491" s="30">
        <v>0</v>
      </c>
      <c r="C491" s="30">
        <v>1</v>
      </c>
      <c r="D491" s="30">
        <v>0.49491005958836404</v>
      </c>
      <c r="E491" s="30">
        <v>-2.0400000000000001E-2</v>
      </c>
      <c r="F491" s="30">
        <v>1</v>
      </c>
      <c r="G491" s="30">
        <v>0.93583489733499614</v>
      </c>
      <c r="H491" s="30">
        <v>-0.35243871088459805</v>
      </c>
    </row>
    <row r="492" spans="1:8" x14ac:dyDescent="0.35">
      <c r="A492" s="1">
        <v>40656</v>
      </c>
      <c r="B492" s="30">
        <v>0</v>
      </c>
      <c r="C492" s="30">
        <v>1</v>
      </c>
      <c r="D492" s="30">
        <v>0.49638816905074246</v>
      </c>
      <c r="E492" s="30">
        <v>-1.44E-2</v>
      </c>
      <c r="F492" s="30">
        <v>1</v>
      </c>
      <c r="G492" s="30">
        <v>0.9296339319682686</v>
      </c>
      <c r="H492" s="30">
        <v>-0.36848439930778154</v>
      </c>
    </row>
    <row r="493" spans="1:8" x14ac:dyDescent="0.35">
      <c r="A493" s="1">
        <v>40657</v>
      </c>
      <c r="B493" s="3">
        <v>0</v>
      </c>
      <c r="C493" s="3">
        <v>0</v>
      </c>
      <c r="D493" s="3">
        <v>0.49787388868260568</v>
      </c>
      <c r="E493" s="3">
        <v>-8.5000000000000006E-3</v>
      </c>
      <c r="F493" s="3">
        <v>1</v>
      </c>
      <c r="G493" s="3">
        <v>0.92315787296470508</v>
      </c>
      <c r="H493" s="3">
        <v>-0.38442104726885273</v>
      </c>
    </row>
    <row r="494" spans="1:8" x14ac:dyDescent="0.35">
      <c r="A494" s="1">
        <v>40658</v>
      </c>
      <c r="B494" s="3">
        <v>0</v>
      </c>
      <c r="C494" s="3">
        <v>0</v>
      </c>
      <c r="D494" s="3">
        <v>0.24216082500415645</v>
      </c>
      <c r="E494" s="3">
        <v>-1.1409</v>
      </c>
      <c r="F494" s="3">
        <v>0</v>
      </c>
      <c r="G494" s="3">
        <v>0.91640863669434947</v>
      </c>
      <c r="H494" s="3">
        <v>-0.4002439388572972</v>
      </c>
    </row>
    <row r="495" spans="1:8" x14ac:dyDescent="0.35">
      <c r="A495" s="1">
        <v>40659</v>
      </c>
      <c r="B495" s="3">
        <v>0</v>
      </c>
      <c r="C495" s="3">
        <v>0</v>
      </c>
      <c r="D495" s="3">
        <v>0.24326330496151002</v>
      </c>
      <c r="E495" s="3">
        <v>-1.1349</v>
      </c>
      <c r="F495" s="3">
        <v>0</v>
      </c>
      <c r="G495" s="3">
        <v>0.90938822036479305</v>
      </c>
      <c r="H495" s="3">
        <v>-0.41594839182494103</v>
      </c>
    </row>
    <row r="496" spans="1:8" x14ac:dyDescent="0.35">
      <c r="A496" s="1">
        <v>40660</v>
      </c>
      <c r="B496" s="3">
        <v>0</v>
      </c>
      <c r="C496" s="3">
        <v>0</v>
      </c>
      <c r="D496" s="3">
        <v>0.2443737813476968</v>
      </c>
      <c r="E496" s="3">
        <v>-1.1288</v>
      </c>
      <c r="F496" s="3">
        <v>0</v>
      </c>
      <c r="G496" s="3">
        <v>0.90209870143018689</v>
      </c>
      <c r="H496" s="3">
        <v>-0.43152975897146478</v>
      </c>
    </row>
    <row r="497" spans="1:8" x14ac:dyDescent="0.35">
      <c r="A497" s="1">
        <v>40661</v>
      </c>
      <c r="B497" s="3">
        <v>0</v>
      </c>
      <c r="C497" s="3">
        <v>0</v>
      </c>
      <c r="D497" s="3">
        <v>0.2454919622324005</v>
      </c>
      <c r="E497" s="3">
        <v>-1.1228</v>
      </c>
      <c r="F497" s="3">
        <v>0</v>
      </c>
      <c r="G497" s="3">
        <v>0.89454223697644897</v>
      </c>
      <c r="H497" s="3">
        <v>-0.44698342951967551</v>
      </c>
    </row>
    <row r="498" spans="1:8" x14ac:dyDescent="0.35">
      <c r="A498" s="1">
        <v>40662</v>
      </c>
      <c r="B498" s="3">
        <v>0</v>
      </c>
      <c r="C498" s="3">
        <v>0</v>
      </c>
      <c r="D498" s="3">
        <v>0.24661755025218504</v>
      </c>
      <c r="E498" s="3">
        <v>-1.1167</v>
      </c>
      <c r="F498" s="3">
        <v>0</v>
      </c>
      <c r="G498" s="3">
        <v>0.88672106308299525</v>
      </c>
      <c r="H498" s="3">
        <v>-0.46230483047980669</v>
      </c>
    </row>
    <row r="499" spans="1:8" x14ac:dyDescent="0.35">
      <c r="A499" s="1">
        <v>40663</v>
      </c>
      <c r="B499" s="3">
        <v>0</v>
      </c>
      <c r="C499" s="3">
        <v>0</v>
      </c>
      <c r="D499" s="3">
        <v>0.24775024265823517</v>
      </c>
      <c r="E499" s="3">
        <v>-1.1106</v>
      </c>
      <c r="F499" s="3">
        <v>0</v>
      </c>
      <c r="G499" s="3">
        <v>0.87863749416100534</v>
      </c>
      <c r="H499" s="3">
        <v>-0.47748942800282951</v>
      </c>
    </row>
    <row r="500" spans="1:8" x14ac:dyDescent="0.35">
      <c r="A500" s="1">
        <v>40664</v>
      </c>
      <c r="B500" s="3">
        <v>0</v>
      </c>
      <c r="C500" s="3">
        <v>0</v>
      </c>
      <c r="D500" s="3">
        <v>0.24888973137024945</v>
      </c>
      <c r="E500" s="3">
        <v>-1.1045</v>
      </c>
      <c r="F500" s="3">
        <v>0</v>
      </c>
      <c r="G500" s="3">
        <v>0.87029392226856839</v>
      </c>
      <c r="H500" s="3">
        <v>-0.49253272872205256</v>
      </c>
    </row>
    <row r="501" spans="1:8" x14ac:dyDescent="0.35">
      <c r="A501" s="1">
        <v>40665</v>
      </c>
      <c r="B501" s="30">
        <v>0</v>
      </c>
      <c r="C501" s="30">
        <v>1</v>
      </c>
      <c r="D501" s="30">
        <v>0.25003570303654116</v>
      </c>
      <c r="E501" s="30">
        <v>-1.0984</v>
      </c>
      <c r="F501" s="30">
        <v>0</v>
      </c>
      <c r="G501" s="30">
        <v>0.86169281640285633</v>
      </c>
      <c r="H501" s="30">
        <v>-0.50743028108274468</v>
      </c>
    </row>
    <row r="502" spans="1:8" x14ac:dyDescent="0.35">
      <c r="A502" s="1">
        <v>40666</v>
      </c>
      <c r="B502" s="30">
        <v>1</v>
      </c>
      <c r="C502" s="30">
        <v>0</v>
      </c>
      <c r="D502" s="30">
        <v>0.51151021363747917</v>
      </c>
      <c r="E502" s="30">
        <v>4.5999999999999999E-2</v>
      </c>
      <c r="F502" s="30">
        <v>1</v>
      </c>
      <c r="G502" s="30">
        <v>0.85283672176945913</v>
      </c>
      <c r="H502" s="30">
        <v>-0.52217767665950854</v>
      </c>
    </row>
    <row r="503" spans="1:8" x14ac:dyDescent="0.35">
      <c r="A503" s="1">
        <v>40667</v>
      </c>
      <c r="B503" s="3">
        <v>0</v>
      </c>
      <c r="C503" s="3">
        <v>0</v>
      </c>
      <c r="D503" s="3">
        <v>0.25234581587265631</v>
      </c>
      <c r="E503" s="3">
        <v>-1.0861000000000001</v>
      </c>
      <c r="F503" s="3">
        <v>0</v>
      </c>
      <c r="G503" s="3">
        <v>0.84372825902927417</v>
      </c>
      <c r="H503" s="3">
        <v>-0.53677055146070562</v>
      </c>
    </row>
    <row r="504" spans="1:8" x14ac:dyDescent="0.35">
      <c r="A504" s="1">
        <v>40668</v>
      </c>
      <c r="B504" s="30">
        <v>0</v>
      </c>
      <c r="C504" s="30">
        <v>1</v>
      </c>
      <c r="D504" s="30">
        <v>0.25350930461066851</v>
      </c>
      <c r="E504" s="30">
        <v>-1.08</v>
      </c>
      <c r="F504" s="30">
        <v>0</v>
      </c>
      <c r="G504" s="30">
        <v>0.83437012352296025</v>
      </c>
      <c r="H504" s="30">
        <v>-0.55120458721991783</v>
      </c>
    </row>
    <row r="505" spans="1:8" x14ac:dyDescent="0.35">
      <c r="A505" s="1">
        <v>40669</v>
      </c>
      <c r="B505" s="30">
        <v>1</v>
      </c>
      <c r="C505" s="30">
        <v>0</v>
      </c>
      <c r="D505" s="30">
        <v>0.51612431843559647</v>
      </c>
      <c r="E505" s="30">
        <v>6.4500000000000002E-2</v>
      </c>
      <c r="F505" s="30">
        <v>1</v>
      </c>
      <c r="G505" s="30">
        <v>0.82476508447336361</v>
      </c>
      <c r="H505" s="30">
        <v>-0.56547551267375451</v>
      </c>
    </row>
    <row r="506" spans="1:8" x14ac:dyDescent="0.35">
      <c r="A506" s="1">
        <v>40670</v>
      </c>
      <c r="B506" s="3">
        <v>0</v>
      </c>
      <c r="C506" s="3">
        <v>0</v>
      </c>
      <c r="D506" s="3">
        <v>0.2558514782629866</v>
      </c>
      <c r="E506" s="3">
        <v>-1.0676000000000001</v>
      </c>
      <c r="F506" s="3">
        <v>0</v>
      </c>
      <c r="G506" s="3">
        <v>0.81491598416608491</v>
      </c>
      <c r="H506" s="3">
        <v>-0.57957910482575303</v>
      </c>
    </row>
    <row r="507" spans="1:8" x14ac:dyDescent="0.35">
      <c r="A507" s="1">
        <v>40671</v>
      </c>
      <c r="B507" s="3">
        <v>0</v>
      </c>
      <c r="C507" s="3">
        <v>0</v>
      </c>
      <c r="D507" s="3">
        <v>0.25702948122230024</v>
      </c>
      <c r="E507" s="3">
        <v>-1.0615000000000001</v>
      </c>
      <c r="F507" s="3">
        <v>0</v>
      </c>
      <c r="G507" s="3">
        <v>0.80482573710834582</v>
      </c>
      <c r="H507" s="3">
        <v>-0.59351119019611398</v>
      </c>
    </row>
    <row r="508" spans="1:8" x14ac:dyDescent="0.35">
      <c r="A508" s="1">
        <v>40672</v>
      </c>
      <c r="B508" s="30">
        <v>0</v>
      </c>
      <c r="C508" s="30">
        <v>1</v>
      </c>
      <c r="D508" s="30">
        <v>0.25821163243902162</v>
      </c>
      <c r="E508" s="30">
        <v>-1.0552999999999999</v>
      </c>
      <c r="F508" s="30">
        <v>0</v>
      </c>
      <c r="G508" s="30">
        <v>0.79449732916660376</v>
      </c>
      <c r="H508" s="30">
        <v>-0.60726764605660766</v>
      </c>
    </row>
    <row r="509" spans="1:8" x14ac:dyDescent="0.35">
      <c r="A509" s="1">
        <v>40673</v>
      </c>
      <c r="B509" s="30">
        <v>1</v>
      </c>
      <c r="C509" s="30">
        <v>0</v>
      </c>
      <c r="D509" s="30">
        <v>0.52229374279665053</v>
      </c>
      <c r="E509" s="30">
        <v>8.9200000000000002E-2</v>
      </c>
      <c r="F509" s="30">
        <v>1</v>
      </c>
      <c r="G509" s="30">
        <v>0.78393381668291973</v>
      </c>
      <c r="H509" s="30">
        <v>-0.62084440165064747</v>
      </c>
    </row>
    <row r="510" spans="1:8" x14ac:dyDescent="0.35">
      <c r="A510" s="1">
        <v>40674</v>
      </c>
      <c r="B510" s="30">
        <v>0</v>
      </c>
      <c r="C510" s="30">
        <v>1</v>
      </c>
      <c r="D510" s="30">
        <v>0.26058696476596915</v>
      </c>
      <c r="E510" s="30">
        <v>-1.0428999999999999</v>
      </c>
      <c r="F510" s="30">
        <v>0</v>
      </c>
      <c r="G510" s="30">
        <v>0.77313832557060558</v>
      </c>
      <c r="H510" s="30">
        <v>-0.63423743939780175</v>
      </c>
    </row>
    <row r="511" spans="1:8" x14ac:dyDescent="0.35">
      <c r="A511" s="1">
        <v>40675</v>
      </c>
      <c r="B511" s="3">
        <v>1</v>
      </c>
      <c r="C511" s="3">
        <v>1</v>
      </c>
      <c r="D511" s="3">
        <v>0.52537711181943503</v>
      </c>
      <c r="E511" s="3">
        <v>0.1016</v>
      </c>
      <c r="F511" s="3">
        <v>1</v>
      </c>
      <c r="G511" s="3">
        <v>0.76211405038915581</v>
      </c>
      <c r="H511" s="3">
        <v>-0.64744279608273914</v>
      </c>
    </row>
    <row r="512" spans="1:8" x14ac:dyDescent="0.35">
      <c r="A512" s="1">
        <v>40676</v>
      </c>
      <c r="B512" s="3">
        <v>1</v>
      </c>
      <c r="C512" s="3">
        <v>1</v>
      </c>
      <c r="D512" s="3">
        <v>0.526916761754606</v>
      </c>
      <c r="E512" s="3">
        <v>0.10780000000000001</v>
      </c>
      <c r="F512" s="3">
        <v>1</v>
      </c>
      <c r="G512" s="3">
        <v>0.75086425339895058</v>
      </c>
      <c r="H512" s="3">
        <v>-0.66045656402797348</v>
      </c>
    </row>
    <row r="513" spans="1:8" x14ac:dyDescent="0.35">
      <c r="A513" s="1">
        <v>40677</v>
      </c>
      <c r="B513" s="3">
        <v>1</v>
      </c>
      <c r="C513" s="3">
        <v>1</v>
      </c>
      <c r="D513" s="3">
        <v>0.5284544103053963</v>
      </c>
      <c r="E513" s="3">
        <v>0.1139</v>
      </c>
      <c r="F513" s="3">
        <v>1</v>
      </c>
      <c r="G513" s="3">
        <v>0.73939226359592014</v>
      </c>
      <c r="H513" s="3">
        <v>-0.67327489225018733</v>
      </c>
    </row>
    <row r="514" spans="1:8" x14ac:dyDescent="0.35">
      <c r="A514" s="1">
        <v>40678</v>
      </c>
      <c r="B514" s="3">
        <v>1</v>
      </c>
      <c r="C514" s="3">
        <v>1</v>
      </c>
      <c r="D514" s="3">
        <v>0.52998957523164747</v>
      </c>
      <c r="E514" s="3">
        <v>0.1201</v>
      </c>
      <c r="F514" s="3">
        <v>1</v>
      </c>
      <c r="G514" s="3">
        <v>0.72770147572642352</v>
      </c>
      <c r="H514" s="3">
        <v>-0.68589398759982245</v>
      </c>
    </row>
    <row r="515" spans="1:8" x14ac:dyDescent="0.35">
      <c r="A515" s="1">
        <v>40679</v>
      </c>
      <c r="B515" s="30">
        <v>1</v>
      </c>
      <c r="C515" s="30">
        <v>0</v>
      </c>
      <c r="D515" s="30">
        <v>0.53152177576434601</v>
      </c>
      <c r="E515" s="30">
        <v>0.1263</v>
      </c>
      <c r="F515" s="30">
        <v>1</v>
      </c>
      <c r="G515" s="30">
        <v>0.71579534928266875</v>
      </c>
      <c r="H515" s="30">
        <v>-0.69831011588355374</v>
      </c>
    </row>
    <row r="516" spans="1:8" x14ac:dyDescent="0.35">
      <c r="A516" s="1">
        <v>40680</v>
      </c>
      <c r="B516" s="3">
        <v>0</v>
      </c>
      <c r="C516" s="3">
        <v>0</v>
      </c>
      <c r="D516" s="3">
        <v>0.26777496434641607</v>
      </c>
      <c r="E516" s="3">
        <v>-1.0059</v>
      </c>
      <c r="F516" s="3">
        <v>0</v>
      </c>
      <c r="G516" s="3">
        <v>0.70367740747902152</v>
      </c>
      <c r="H516" s="3">
        <v>-0.71051960296926586</v>
      </c>
    </row>
    <row r="517" spans="1:8" x14ac:dyDescent="0.35">
      <c r="A517" s="1">
        <v>40681</v>
      </c>
      <c r="B517" s="3">
        <v>0</v>
      </c>
      <c r="C517" s="3">
        <v>0</v>
      </c>
      <c r="D517" s="3">
        <v>0.26897807585142247</v>
      </c>
      <c r="E517" s="3">
        <v>-0.99980000000000002</v>
      </c>
      <c r="F517" s="3">
        <v>0</v>
      </c>
      <c r="G517" s="3">
        <v>0.69135123620941019</v>
      </c>
      <c r="H517" s="3">
        <v>-0.72251883587330812</v>
      </c>
    </row>
    <row r="518" spans="1:8" x14ac:dyDescent="0.35">
      <c r="A518" s="1">
        <v>40682</v>
      </c>
      <c r="B518" s="3">
        <v>0</v>
      </c>
      <c r="C518" s="3">
        <v>0</v>
      </c>
      <c r="D518" s="3">
        <v>0.27018162524898148</v>
      </c>
      <c r="E518" s="3">
        <v>-0.99370000000000003</v>
      </c>
      <c r="F518" s="3">
        <v>0</v>
      </c>
      <c r="G518" s="3">
        <v>0.67882048298623254</v>
      </c>
      <c r="H518" s="3">
        <v>-0.7343042638296049</v>
      </c>
    </row>
    <row r="519" spans="1:8" x14ac:dyDescent="0.35">
      <c r="A519" s="1">
        <v>40683</v>
      </c>
      <c r="B519" s="3">
        <v>0</v>
      </c>
      <c r="C519" s="3">
        <v>0</v>
      </c>
      <c r="D519" s="3">
        <v>0.27138522164371814</v>
      </c>
      <c r="E519" s="3">
        <v>-0.98760000000000003</v>
      </c>
      <c r="F519" s="3">
        <v>0</v>
      </c>
      <c r="G519" s="3">
        <v>0.66608885586097821</v>
      </c>
      <c r="H519" s="3">
        <v>-0.74587239934040528</v>
      </c>
    </row>
    <row r="520" spans="1:8" x14ac:dyDescent="0.35">
      <c r="A520" s="1">
        <v>40684</v>
      </c>
      <c r="B520" s="3">
        <v>0</v>
      </c>
      <c r="C520" s="3">
        <v>0</v>
      </c>
      <c r="D520" s="3">
        <v>0.27258847117097668</v>
      </c>
      <c r="E520" s="3">
        <v>-0.98150000000000004</v>
      </c>
      <c r="F520" s="3">
        <v>0</v>
      </c>
      <c r="G520" s="3">
        <v>0.65316012232692489</v>
      </c>
      <c r="H520" s="3">
        <v>-0.75721981920831716</v>
      </c>
    </row>
    <row r="521" spans="1:8" x14ac:dyDescent="0.35">
      <c r="A521" s="1">
        <v>40685</v>
      </c>
      <c r="B521" s="3">
        <v>0</v>
      </c>
      <c r="C521" s="3">
        <v>0</v>
      </c>
      <c r="D521" s="3">
        <v>0.27379097717372958</v>
      </c>
      <c r="E521" s="3">
        <v>-0.97550000000000003</v>
      </c>
      <c r="F521" s="3">
        <v>0</v>
      </c>
      <c r="G521" s="3">
        <v>0.64003810820436069</v>
      </c>
      <c r="H521" s="3">
        <v>-0.76834316554921156</v>
      </c>
    </row>
    <row r="522" spans="1:8" x14ac:dyDescent="0.35">
      <c r="A522" s="1">
        <v>40686</v>
      </c>
      <c r="B522" s="30">
        <v>0</v>
      </c>
      <c r="C522" s="30">
        <v>1</v>
      </c>
      <c r="D522" s="30">
        <v>0.27499234038413867</v>
      </c>
      <c r="E522" s="30">
        <v>-0.96940000000000004</v>
      </c>
      <c r="F522" s="30">
        <v>0</v>
      </c>
      <c r="G522" s="30">
        <v>0.62672669650833412</v>
      </c>
      <c r="H522" s="30">
        <v>-0.77923914678598538</v>
      </c>
    </row>
    <row r="523" spans="1:8" x14ac:dyDescent="0.35">
      <c r="A523" s="1">
        <v>40687</v>
      </c>
      <c r="B523" s="3">
        <v>1</v>
      </c>
      <c r="C523" s="3">
        <v>1</v>
      </c>
      <c r="D523" s="3">
        <v>0.54361562455518497</v>
      </c>
      <c r="E523" s="3">
        <v>0.1749</v>
      </c>
      <c r="F523" s="3">
        <v>1</v>
      </c>
      <c r="G523" s="3">
        <v>0.61322982629974754</v>
      </c>
      <c r="H523" s="3">
        <v>-0.78990453862247267</v>
      </c>
    </row>
    <row r="524" spans="1:8" x14ac:dyDescent="0.35">
      <c r="A524" s="1">
        <v>40688</v>
      </c>
      <c r="B524" s="3">
        <v>1</v>
      </c>
      <c r="C524" s="3">
        <v>1</v>
      </c>
      <c r="D524" s="3">
        <v>0.54509985901077962</v>
      </c>
      <c r="E524" s="3">
        <v>0.18090000000000001</v>
      </c>
      <c r="F524" s="3">
        <v>1</v>
      </c>
      <c r="G524" s="3">
        <v>0.59955149151965093</v>
      </c>
      <c r="H524" s="3">
        <v>-0.80033618499763082</v>
      </c>
    </row>
    <row r="525" spans="1:8" x14ac:dyDescent="0.35">
      <c r="A525" s="1">
        <v>40689</v>
      </c>
      <c r="B525" s="30">
        <v>1</v>
      </c>
      <c r="C525" s="30">
        <v>0</v>
      </c>
      <c r="D525" s="30">
        <v>0.54657644868114896</v>
      </c>
      <c r="E525" s="30">
        <v>0.18679999999999999</v>
      </c>
      <c r="F525" s="30">
        <v>1</v>
      </c>
      <c r="G525" s="30">
        <v>0.58569573980734635</v>
      </c>
      <c r="H525" s="30">
        <v>-0.81053099901948555</v>
      </c>
    </row>
    <row r="526" spans="1:8" x14ac:dyDescent="0.35">
      <c r="A526" s="1">
        <v>40690</v>
      </c>
      <c r="B526" s="30">
        <v>0</v>
      </c>
      <c r="C526" s="30">
        <v>1</v>
      </c>
      <c r="D526" s="30">
        <v>0.27977829909987945</v>
      </c>
      <c r="E526" s="30">
        <v>-0.9456</v>
      </c>
      <c r="F526" s="30">
        <v>0</v>
      </c>
      <c r="G526" s="30">
        <v>0.57166667130270576</v>
      </c>
      <c r="H526" s="30">
        <v>-0.82048596387853223</v>
      </c>
    </row>
    <row r="527" spans="1:8" x14ac:dyDescent="0.35">
      <c r="A527" s="1">
        <v>40691</v>
      </c>
      <c r="B527" s="3">
        <v>1</v>
      </c>
      <c r="C527" s="3">
        <v>1</v>
      </c>
      <c r="D527" s="3">
        <v>0.54950489392702262</v>
      </c>
      <c r="E527" s="3">
        <v>0.19869999999999999</v>
      </c>
      <c r="F527" s="3">
        <v>1</v>
      </c>
      <c r="G527" s="3">
        <v>0.55746843743279462</v>
      </c>
      <c r="H527" s="3">
        <v>-0.83019813374051765</v>
      </c>
    </row>
    <row r="528" spans="1:8" x14ac:dyDescent="0.35">
      <c r="A528" s="1">
        <v>40692</v>
      </c>
      <c r="B528" s="30">
        <v>1</v>
      </c>
      <c r="C528" s="30">
        <v>0</v>
      </c>
      <c r="D528" s="30">
        <v>0.55095585947309511</v>
      </c>
      <c r="E528" s="30">
        <v>0.20449999999999999</v>
      </c>
      <c r="F528" s="30">
        <v>1</v>
      </c>
      <c r="G528" s="30">
        <v>0.5431052396834305</v>
      </c>
      <c r="H528" s="30">
        <v>-0.83966463461813345</v>
      </c>
    </row>
    <row r="529" spans="1:8" x14ac:dyDescent="0.35">
      <c r="A529" s="1">
        <v>40693</v>
      </c>
      <c r="B529" s="3">
        <v>0</v>
      </c>
      <c r="C529" s="3">
        <v>0</v>
      </c>
      <c r="D529" s="3">
        <v>0.28333588572503887</v>
      </c>
      <c r="E529" s="3">
        <v>-0.92800000000000005</v>
      </c>
      <c r="F529" s="3">
        <v>0</v>
      </c>
      <c r="G529" s="3">
        <v>0.52858132835593286</v>
      </c>
      <c r="H529" s="3">
        <v>-0.84888266522145306</v>
      </c>
    </row>
    <row r="530" spans="1:8" x14ac:dyDescent="0.35">
      <c r="A530" s="1">
        <v>40694</v>
      </c>
      <c r="B530" s="3">
        <v>0</v>
      </c>
      <c r="C530" s="3">
        <v>0</v>
      </c>
      <c r="D530" s="3">
        <v>0.28451348290119588</v>
      </c>
      <c r="E530" s="3">
        <v>-0.92220000000000002</v>
      </c>
      <c r="F530" s="3">
        <v>0</v>
      </c>
      <c r="G530" s="3">
        <v>0.51390100130930672</v>
      </c>
      <c r="H530" s="3">
        <v>-0.85784949778693231</v>
      </c>
    </row>
    <row r="531" spans="1:8" x14ac:dyDescent="0.35">
      <c r="A531" s="1">
        <v>40695</v>
      </c>
      <c r="B531" s="3">
        <v>0</v>
      </c>
      <c r="C531" s="3">
        <v>0</v>
      </c>
      <c r="D531" s="3">
        <v>0.28568625838180267</v>
      </c>
      <c r="E531" s="3">
        <v>-0.91639999999999999</v>
      </c>
      <c r="F531" s="3">
        <v>0</v>
      </c>
      <c r="G531" s="3">
        <v>0.49906860268853331</v>
      </c>
      <c r="H531" s="3">
        <v>-0.86656247888453775</v>
      </c>
    </row>
    <row r="532" spans="1:8" x14ac:dyDescent="0.35">
      <c r="A532" s="1">
        <v>40696</v>
      </c>
      <c r="B532" s="3">
        <v>0</v>
      </c>
      <c r="C532" s="3">
        <v>0</v>
      </c>
      <c r="D532" s="3">
        <v>0.28685379765147356</v>
      </c>
      <c r="E532" s="3">
        <v>-0.91069999999999995</v>
      </c>
      <c r="F532" s="3">
        <v>0</v>
      </c>
      <c r="G532" s="3">
        <v>0.48408852163898275</v>
      </c>
      <c r="H532" s="3">
        <v>-0.87501903020299177</v>
      </c>
    </row>
    <row r="533" spans="1:8" x14ac:dyDescent="0.35">
      <c r="A533" s="1">
        <v>40697</v>
      </c>
      <c r="B533" s="3">
        <v>0</v>
      </c>
      <c r="C533" s="3">
        <v>0</v>
      </c>
      <c r="D533" s="3">
        <v>0.28801568582799375</v>
      </c>
      <c r="E533" s="3">
        <v>-0.90500000000000003</v>
      </c>
      <c r="F533" s="3">
        <v>0</v>
      </c>
      <c r="G533" s="3">
        <v>0.46896519100763129</v>
      </c>
      <c r="H533" s="3">
        <v>-0.88321664931271304</v>
      </c>
    </row>
    <row r="534" spans="1:8" x14ac:dyDescent="0.35">
      <c r="A534" s="1">
        <v>40698</v>
      </c>
      <c r="B534" s="3">
        <v>0</v>
      </c>
      <c r="C534" s="3">
        <v>0</v>
      </c>
      <c r="D534" s="3">
        <v>0.28917150788287649</v>
      </c>
      <c r="E534" s="3">
        <v>-0.89939999999999998</v>
      </c>
      <c r="F534" s="3">
        <v>0</v>
      </c>
      <c r="G534" s="3">
        <v>0.45370308603134885</v>
      </c>
      <c r="H534" s="3">
        <v>-0.89115291040630651</v>
      </c>
    </row>
    <row r="535" spans="1:8" x14ac:dyDescent="0.35">
      <c r="A535" s="1">
        <v>40699</v>
      </c>
      <c r="B535" s="30">
        <v>0</v>
      </c>
      <c r="C535" s="30">
        <v>1</v>
      </c>
      <c r="D535" s="30">
        <v>0.29032084886364373</v>
      </c>
      <c r="E535" s="30">
        <v>-0.89380000000000004</v>
      </c>
      <c r="F535" s="30">
        <v>0</v>
      </c>
      <c r="G535" s="30">
        <v>0.43830672301251627</v>
      </c>
      <c r="H535" s="30">
        <v>-0.89882546501644545</v>
      </c>
    </row>
    <row r="536" spans="1:8" x14ac:dyDescent="0.35">
      <c r="A536" s="1">
        <v>40700</v>
      </c>
      <c r="B536" s="3">
        <v>1</v>
      </c>
      <c r="C536" s="3">
        <v>1</v>
      </c>
      <c r="D536" s="3">
        <v>0.56218840019053695</v>
      </c>
      <c r="E536" s="3">
        <v>0.25</v>
      </c>
      <c r="F536" s="3">
        <v>1</v>
      </c>
      <c r="G536" s="3">
        <v>0.42278065798267994</v>
      </c>
      <c r="H536" s="3">
        <v>-0.90623204271076852</v>
      </c>
    </row>
    <row r="537" spans="1:8" x14ac:dyDescent="0.35">
      <c r="A537" s="1">
        <v>40701</v>
      </c>
      <c r="B537" s="30">
        <v>1</v>
      </c>
      <c r="C537" s="30">
        <v>0</v>
      </c>
      <c r="D537" s="30">
        <v>0.56353930515849648</v>
      </c>
      <c r="E537" s="30">
        <v>0.2555</v>
      </c>
      <c r="F537" s="30">
        <v>1</v>
      </c>
      <c r="G537" s="30">
        <v>0.40712948535425991</v>
      </c>
      <c r="H537" s="30">
        <v>-0.91337045176378218</v>
      </c>
    </row>
    <row r="538" spans="1:8" x14ac:dyDescent="0.35">
      <c r="A538" s="1">
        <v>40702</v>
      </c>
      <c r="B538" s="30">
        <v>0</v>
      </c>
      <c r="C538" s="30">
        <v>1</v>
      </c>
      <c r="D538" s="30">
        <v>0.29372584168325128</v>
      </c>
      <c r="E538" s="30">
        <v>-0.87739999999999996</v>
      </c>
      <c r="F538" s="30">
        <v>0</v>
      </c>
      <c r="G538" s="30">
        <v>0.39135783656102702</v>
      </c>
      <c r="H538" s="30">
        <v>-0.92023857980540702</v>
      </c>
    </row>
    <row r="539" spans="1:8" x14ac:dyDescent="0.35">
      <c r="A539" s="1">
        <v>40703</v>
      </c>
      <c r="B539" s="3">
        <v>1</v>
      </c>
      <c r="C539" s="3">
        <v>1</v>
      </c>
      <c r="D539" s="3">
        <v>0.56620124908458724</v>
      </c>
      <c r="E539" s="3">
        <v>0.26640000000000003</v>
      </c>
      <c r="F539" s="3">
        <v>1</v>
      </c>
      <c r="G539" s="3">
        <v>0.37547037868762662</v>
      </c>
      <c r="H539" s="3">
        <v>-0.92683439444604676</v>
      </c>
    </row>
    <row r="540" spans="1:8" x14ac:dyDescent="0.35">
      <c r="A540" s="1">
        <v>40704</v>
      </c>
      <c r="B540" s="30">
        <v>1</v>
      </c>
      <c r="C540" s="30">
        <v>0</v>
      </c>
      <c r="D540" s="30">
        <v>0.56751151643849895</v>
      </c>
      <c r="E540" s="30">
        <v>0.2717</v>
      </c>
      <c r="F540" s="30">
        <v>1</v>
      </c>
      <c r="G540" s="30">
        <v>0.3594718130884218</v>
      </c>
      <c r="H540" s="30">
        <v>-0.93315594387804379</v>
      </c>
    </row>
    <row r="541" spans="1:8" x14ac:dyDescent="0.35">
      <c r="A541" s="1">
        <v>40705</v>
      </c>
      <c r="B541" s="3">
        <v>0</v>
      </c>
      <c r="C541" s="3">
        <v>0</v>
      </c>
      <c r="D541" s="3">
        <v>0.29705762103606959</v>
      </c>
      <c r="E541" s="3">
        <v>-0.86129999999999995</v>
      </c>
      <c r="F541" s="3">
        <v>0</v>
      </c>
      <c r="G541" s="3">
        <v>0.34336687399639204</v>
      </c>
      <c r="H541" s="3">
        <v>-0.93920135745320654</v>
      </c>
    </row>
    <row r="542" spans="1:8" x14ac:dyDescent="0.35">
      <c r="A542" s="1">
        <v>40706</v>
      </c>
      <c r="B542" s="3">
        <v>0</v>
      </c>
      <c r="C542" s="3">
        <v>0</v>
      </c>
      <c r="D542" s="3">
        <v>0.29815002945095481</v>
      </c>
      <c r="E542" s="3">
        <v>-0.85609999999999997</v>
      </c>
      <c r="F542" s="3">
        <v>0</v>
      </c>
      <c r="G542" s="3">
        <v>0.32716032712209159</v>
      </c>
      <c r="H542" s="3">
        <v>-0.94496884623640687</v>
      </c>
    </row>
    <row r="543" spans="1:8" x14ac:dyDescent="0.35">
      <c r="A543" s="1">
        <v>40707</v>
      </c>
      <c r="B543" s="3">
        <v>0</v>
      </c>
      <c r="C543" s="3">
        <v>0</v>
      </c>
      <c r="D543" s="3">
        <v>0.29923266694823325</v>
      </c>
      <c r="E543" s="3">
        <v>-0.85099999999999998</v>
      </c>
      <c r="F543" s="3">
        <v>0</v>
      </c>
      <c r="G543" s="3">
        <v>0.31085696824350556</v>
      </c>
      <c r="H543" s="3">
        <v>-0.9504567035349144</v>
      </c>
    </row>
    <row r="544" spans="1:8" x14ac:dyDescent="0.35">
      <c r="A544" s="1">
        <v>40708</v>
      </c>
      <c r="B544" s="30">
        <v>0</v>
      </c>
      <c r="C544" s="30">
        <v>1</v>
      </c>
      <c r="D544" s="30">
        <v>0.30030512942076898</v>
      </c>
      <c r="E544" s="30">
        <v>-0.8458</v>
      </c>
      <c r="F544" s="30">
        <v>0</v>
      </c>
      <c r="G544" s="30">
        <v>0.29446162178680868</v>
      </c>
      <c r="H544" s="30">
        <v>-0.95566330540346811</v>
      </c>
    </row>
    <row r="545" spans="1:8" x14ac:dyDescent="0.35">
      <c r="A545" s="1">
        <v>40709</v>
      </c>
      <c r="B545" s="30">
        <v>1</v>
      </c>
      <c r="C545" s="30">
        <v>0</v>
      </c>
      <c r="D545" s="30">
        <v>0.57384089957271234</v>
      </c>
      <c r="E545" s="30">
        <v>0.29749999999999999</v>
      </c>
      <c r="F545" s="30">
        <v>1</v>
      </c>
      <c r="G545" s="30">
        <v>0.27797913939877955</v>
      </c>
      <c r="H545" s="30">
        <v>-0.96058711112481299</v>
      </c>
    </row>
    <row r="546" spans="1:8" x14ac:dyDescent="0.35">
      <c r="A546" s="1">
        <v>40710</v>
      </c>
      <c r="B546" s="3">
        <v>0</v>
      </c>
      <c r="C546" s="3">
        <v>0</v>
      </c>
      <c r="D546" s="3">
        <v>0.30241792477834367</v>
      </c>
      <c r="E546" s="3">
        <v>-0.83579999999999999</v>
      </c>
      <c r="F546" s="3">
        <v>0</v>
      </c>
      <c r="G546" s="3">
        <v>0.26141439851116161</v>
      </c>
      <c r="H546" s="3">
        <v>-0.9652266636656115</v>
      </c>
    </row>
    <row r="547" spans="1:8" x14ac:dyDescent="0.35">
      <c r="A547" s="1">
        <v>40711</v>
      </c>
      <c r="B547" s="30">
        <v>0</v>
      </c>
      <c r="C547" s="30">
        <v>1</v>
      </c>
      <c r="D547" s="30">
        <v>0.30345746203745427</v>
      </c>
      <c r="E547" s="30">
        <v>-0.83089999999999997</v>
      </c>
      <c r="F547" s="30">
        <v>0</v>
      </c>
      <c r="G547" s="30">
        <v>0.24477230089725727</v>
      </c>
      <c r="H547" s="30">
        <v>-0.96958059010763131</v>
      </c>
    </row>
    <row r="548" spans="1:8" x14ac:dyDescent="0.35">
      <c r="A548" s="1">
        <v>40712</v>
      </c>
      <c r="B548" s="3">
        <v>1</v>
      </c>
      <c r="C548" s="3">
        <v>1</v>
      </c>
      <c r="D548" s="3">
        <v>0.57744814725042382</v>
      </c>
      <c r="E548" s="3">
        <v>0.31230000000000002</v>
      </c>
      <c r="F548" s="3">
        <v>1</v>
      </c>
      <c r="G548" s="3">
        <v>0.22805777122152351</v>
      </c>
      <c r="H548" s="3">
        <v>-0.97364760205398304</v>
      </c>
    </row>
    <row r="549" spans="1:8" x14ac:dyDescent="0.35">
      <c r="A549" s="1">
        <v>40713</v>
      </c>
      <c r="B549" s="30">
        <v>1</v>
      </c>
      <c r="C549" s="30">
        <v>0</v>
      </c>
      <c r="D549" s="30">
        <v>0.57861678940846517</v>
      </c>
      <c r="E549" s="30">
        <v>0.31709999999999999</v>
      </c>
      <c r="F549" s="30">
        <v>1</v>
      </c>
      <c r="G549" s="30">
        <v>0.21127575558218867</v>
      </c>
      <c r="H549" s="30">
        <v>-0.97742649601040343</v>
      </c>
    </row>
    <row r="550" spans="1:8" x14ac:dyDescent="0.35">
      <c r="A550" s="1">
        <v>40714</v>
      </c>
      <c r="B550" s="30">
        <v>0</v>
      </c>
      <c r="C550" s="30">
        <v>1</v>
      </c>
      <c r="D550" s="30">
        <v>0.30650392154814277</v>
      </c>
      <c r="E550" s="30">
        <v>-0.8165</v>
      </c>
      <c r="F550" s="30">
        <v>0</v>
      </c>
      <c r="G550" s="30">
        <v>0.19443122004766308</v>
      </c>
      <c r="H550" s="30">
        <v>-0.98091615374137719</v>
      </c>
    </row>
    <row r="551" spans="1:8" x14ac:dyDescent="0.35">
      <c r="A551" s="1">
        <v>40715</v>
      </c>
      <c r="B551" s="3">
        <v>1</v>
      </c>
      <c r="C551" s="3">
        <v>1</v>
      </c>
      <c r="D551" s="3">
        <v>0.58090147464792907</v>
      </c>
      <c r="E551" s="3">
        <v>0.32650000000000001</v>
      </c>
      <c r="F551" s="3">
        <v>1</v>
      </c>
      <c r="G551" s="3">
        <v>0.1775291491870418</v>
      </c>
      <c r="H551" s="3">
        <v>-0.98411554260103273</v>
      </c>
    </row>
    <row r="552" spans="1:8" x14ac:dyDescent="0.35">
      <c r="A552" s="1">
        <v>40716</v>
      </c>
      <c r="B552" s="3">
        <v>1</v>
      </c>
      <c r="C552" s="3">
        <v>1</v>
      </c>
      <c r="D552" s="3">
        <v>0.58201689422869873</v>
      </c>
      <c r="E552" s="3">
        <v>0.33110000000000001</v>
      </c>
      <c r="F552" s="3">
        <v>1</v>
      </c>
      <c r="G552" s="3">
        <v>0.16057454459499271</v>
      </c>
      <c r="H552" s="3">
        <v>-0.98702371583873849</v>
      </c>
    </row>
    <row r="553" spans="1:8" x14ac:dyDescent="0.35">
      <c r="A553" s="1">
        <v>40717</v>
      </c>
      <c r="B553" s="3">
        <v>1</v>
      </c>
      <c r="C553" s="3">
        <v>1</v>
      </c>
      <c r="D553" s="3">
        <v>0.58311396033806839</v>
      </c>
      <c r="E553" s="3">
        <v>0.33560000000000001</v>
      </c>
      <c r="F553" s="3">
        <v>1</v>
      </c>
      <c r="G553" s="3">
        <v>0.14357242341181597</v>
      </c>
      <c r="H553" s="3">
        <v>-0.98963981287924052</v>
      </c>
    </row>
    <row r="554" spans="1:8" x14ac:dyDescent="0.35">
      <c r="A554" s="1">
        <v>40718</v>
      </c>
      <c r="B554" s="3">
        <v>1</v>
      </c>
      <c r="C554" s="3">
        <v>1</v>
      </c>
      <c r="D554" s="3">
        <v>0.5841923776026493</v>
      </c>
      <c r="E554" s="3">
        <v>0.34</v>
      </c>
      <c r="F554" s="3">
        <v>1</v>
      </c>
      <c r="G554" s="3">
        <v>0.12652781683869355</v>
      </c>
      <c r="H554" s="3">
        <v>-0.99196305957733832</v>
      </c>
    </row>
    <row r="555" spans="1:8" x14ac:dyDescent="0.35">
      <c r="A555" s="1">
        <v>40719</v>
      </c>
      <c r="B555" s="30">
        <v>1</v>
      </c>
      <c r="C555" s="30">
        <v>0</v>
      </c>
      <c r="D555" s="30">
        <v>0.58525185724641138</v>
      </c>
      <c r="E555" s="30">
        <v>0.34439999999999998</v>
      </c>
      <c r="F555" s="30">
        <v>1</v>
      </c>
      <c r="G555" s="30">
        <v>0.1094457686489176</v>
      </c>
      <c r="H555" s="30">
        <v>-0.99399276844695783</v>
      </c>
    </row>
    <row r="556" spans="1:8" x14ac:dyDescent="0.35">
      <c r="A556" s="1">
        <v>40720</v>
      </c>
      <c r="B556" s="3">
        <v>0</v>
      </c>
      <c r="C556" s="3">
        <v>0</v>
      </c>
      <c r="D556" s="3">
        <v>0.31223779120654782</v>
      </c>
      <c r="E556" s="3">
        <v>-0.78969999999999996</v>
      </c>
      <c r="F556" s="3">
        <v>0</v>
      </c>
      <c r="G556" s="3">
        <v>9.2331333695399462E-2</v>
      </c>
      <c r="H556" s="3">
        <v>-0.99572833886458645</v>
      </c>
    </row>
    <row r="557" spans="1:8" x14ac:dyDescent="0.35">
      <c r="A557" s="1">
        <v>40721</v>
      </c>
      <c r="B557" s="3">
        <v>0</v>
      </c>
      <c r="C557" s="3">
        <v>0</v>
      </c>
      <c r="D557" s="3">
        <v>0.31314257055289413</v>
      </c>
      <c r="E557" s="3">
        <v>-0.78549999999999998</v>
      </c>
      <c r="F557" s="3">
        <v>0</v>
      </c>
      <c r="G557" s="3">
        <v>7.5189576414758388E-2</v>
      </c>
      <c r="H557" s="3">
        <v>-0.99716925724701777</v>
      </c>
    </row>
    <row r="558" spans="1:8" x14ac:dyDescent="0.35">
      <c r="A558" s="1">
        <v>40722</v>
      </c>
      <c r="B558" s="3">
        <v>0</v>
      </c>
      <c r="C558" s="3">
        <v>0</v>
      </c>
      <c r="D558" s="3">
        <v>0.31403186286212337</v>
      </c>
      <c r="E558" s="3">
        <v>-0.78129999999999999</v>
      </c>
      <c r="F558" s="3">
        <v>0</v>
      </c>
      <c r="G558" s="3">
        <v>5.8025569328786386E-2</v>
      </c>
      <c r="H558" s="3">
        <v>-0.99831509720331801</v>
      </c>
    </row>
    <row r="559" spans="1:8" x14ac:dyDescent="0.35">
      <c r="A559" s="1">
        <v>40723</v>
      </c>
      <c r="B559" s="3">
        <v>0</v>
      </c>
      <c r="C559" s="3">
        <v>0</v>
      </c>
      <c r="D559" s="3">
        <v>0.3149053218669462</v>
      </c>
      <c r="E559" s="3">
        <v>-0.77729999999999999</v>
      </c>
      <c r="F559" s="3">
        <v>0</v>
      </c>
      <c r="G559" s="3">
        <v>4.0844391543308364E-2</v>
      </c>
      <c r="H559" s="3">
        <v>-0.99916551966101042</v>
      </c>
    </row>
    <row r="560" spans="1:8" x14ac:dyDescent="0.35">
      <c r="A560" s="1">
        <v>40724</v>
      </c>
      <c r="B560" s="3">
        <v>0</v>
      </c>
      <c r="C560" s="3">
        <v>0</v>
      </c>
      <c r="D560" s="3">
        <v>0.31576260679118606</v>
      </c>
      <c r="E560" s="3">
        <v>-0.77329999999999999</v>
      </c>
      <c r="F560" s="3">
        <v>0</v>
      </c>
      <c r="G560" s="3">
        <v>2.3651127245235413E-2</v>
      </c>
      <c r="H560" s="3">
        <v>-0.9997202729664082</v>
      </c>
    </row>
    <row r="561" spans="1:8" x14ac:dyDescent="0.35">
      <c r="A561" s="1">
        <v>40725</v>
      </c>
      <c r="B561" s="3">
        <v>0</v>
      </c>
      <c r="C561" s="3">
        <v>0</v>
      </c>
      <c r="D561" s="3">
        <v>0.31660338253626447</v>
      </c>
      <c r="E561" s="3">
        <v>-0.76939999999999997</v>
      </c>
      <c r="F561" s="3">
        <v>0</v>
      </c>
      <c r="G561" s="3">
        <v>6.4508641981147518E-3</v>
      </c>
      <c r="H561" s="3">
        <v>-0.99997919295908222</v>
      </c>
    </row>
    <row r="562" spans="1:8" x14ac:dyDescent="0.35">
      <c r="A562" s="1">
        <v>40726</v>
      </c>
      <c r="B562" s="3">
        <v>0</v>
      </c>
      <c r="C562" s="3">
        <v>0</v>
      </c>
      <c r="D562" s="3">
        <v>0.31742731986390055</v>
      </c>
      <c r="E562" s="3">
        <v>-0.76559999999999995</v>
      </c>
      <c r="F562" s="3">
        <v>0</v>
      </c>
      <c r="G562" s="3">
        <v>-1.0751307763520767E-2</v>
      </c>
      <c r="H562" s="3">
        <v>-0.99994220302044157</v>
      </c>
    </row>
    <row r="563" spans="1:8" x14ac:dyDescent="0.35">
      <c r="A563" s="1">
        <v>40727</v>
      </c>
      <c r="B563" s="3">
        <v>0</v>
      </c>
      <c r="C563" s="3">
        <v>0</v>
      </c>
      <c r="D563" s="3">
        <v>0.31823409557489812</v>
      </c>
      <c r="E563" s="3">
        <v>-0.76190000000000002</v>
      </c>
      <c r="F563" s="3">
        <v>0</v>
      </c>
      <c r="G563" s="3">
        <v>-2.7950298240202943E-2</v>
      </c>
      <c r="H563" s="3">
        <v>-0.99960931409640419</v>
      </c>
    </row>
    <row r="564" spans="1:8" x14ac:dyDescent="0.35">
      <c r="A564" s="1">
        <v>40728</v>
      </c>
      <c r="B564" s="30">
        <v>0</v>
      </c>
      <c r="C564" s="30">
        <v>1</v>
      </c>
      <c r="D564" s="30">
        <v>0.3190233926839387</v>
      </c>
      <c r="E564" s="30">
        <v>-0.75829999999999997</v>
      </c>
      <c r="F564" s="30">
        <v>0</v>
      </c>
      <c r="G564" s="30">
        <v>-4.5141017773972981E-2</v>
      </c>
      <c r="H564" s="30">
        <v>-0.99898062469415783</v>
      </c>
    </row>
    <row r="565" spans="1:8" x14ac:dyDescent="0.35">
      <c r="A565" s="1">
        <v>40729</v>
      </c>
      <c r="B565" s="30">
        <v>1</v>
      </c>
      <c r="C565" s="30">
        <v>0</v>
      </c>
      <c r="D565" s="30">
        <v>0.59474629549541458</v>
      </c>
      <c r="E565" s="30">
        <v>0.3836</v>
      </c>
      <c r="F565" s="30">
        <v>1</v>
      </c>
      <c r="G565" s="30">
        <v>-6.2318379354320372E-2</v>
      </c>
      <c r="H565" s="30">
        <v>-0.99805632085301232</v>
      </c>
    </row>
    <row r="566" spans="1:8" x14ac:dyDescent="0.35">
      <c r="A566" s="1">
        <v>40730</v>
      </c>
      <c r="B566" s="30">
        <v>0</v>
      </c>
      <c r="C566" s="30">
        <v>1</v>
      </c>
      <c r="D566" s="30">
        <v>0.32054831524419836</v>
      </c>
      <c r="E566" s="30">
        <v>-0.75129999999999997</v>
      </c>
      <c r="F566" s="30">
        <v>0</v>
      </c>
      <c r="G566" s="30">
        <v>-7.9477299923610509E-2</v>
      </c>
      <c r="H566" s="30">
        <v>-0.99683667608934434</v>
      </c>
    </row>
    <row r="567" spans="1:8" x14ac:dyDescent="0.35">
      <c r="A567" s="1">
        <v>40731</v>
      </c>
      <c r="B567" s="3">
        <v>1</v>
      </c>
      <c r="C567" s="3">
        <v>1</v>
      </c>
      <c r="D567" s="3">
        <v>0.59639241733546478</v>
      </c>
      <c r="E567" s="3">
        <v>0.39050000000000001</v>
      </c>
      <c r="F567" s="3">
        <v>1</v>
      </c>
      <c r="G567" s="3">
        <v>-9.6612701881200622E-2</v>
      </c>
      <c r="H567" s="3">
        <v>-0.99532205131566043</v>
      </c>
    </row>
    <row r="568" spans="1:8" x14ac:dyDescent="0.35">
      <c r="A568" s="1">
        <v>40732</v>
      </c>
      <c r="B568" s="30">
        <v>1</v>
      </c>
      <c r="C568" s="30">
        <v>0</v>
      </c>
      <c r="D568" s="30">
        <v>0.59718244704909951</v>
      </c>
      <c r="E568" s="30">
        <v>0.39369999999999999</v>
      </c>
      <c r="F568" s="30">
        <v>1</v>
      </c>
      <c r="G568" s="30">
        <v>-0.11371951458595514</v>
      </c>
      <c r="H568" s="30">
        <v>-0.9935128947338</v>
      </c>
    </row>
    <row r="569" spans="1:8" x14ac:dyDescent="0.35">
      <c r="A569" s="1">
        <v>40733</v>
      </c>
      <c r="B569" s="3">
        <v>0</v>
      </c>
      <c r="C569" s="3">
        <v>0</v>
      </c>
      <c r="D569" s="3">
        <v>0.32269706083753591</v>
      </c>
      <c r="E569" s="3">
        <v>-0.74139999999999995</v>
      </c>
      <c r="F569" s="3">
        <v>0</v>
      </c>
      <c r="G569" s="3">
        <v>-0.13079267585675849</v>
      </c>
      <c r="H569" s="3">
        <v>-0.99140974170230389</v>
      </c>
    </row>
    <row r="570" spans="1:8" x14ac:dyDescent="0.35">
      <c r="A570" s="1">
        <v>40734</v>
      </c>
      <c r="B570" s="3">
        <v>0</v>
      </c>
      <c r="C570" s="3">
        <v>0</v>
      </c>
      <c r="D570" s="3">
        <v>0.32337519859350922</v>
      </c>
      <c r="E570" s="3">
        <v>-0.73829999999999996</v>
      </c>
      <c r="F570" s="3">
        <v>0</v>
      </c>
      <c r="G570" s="3">
        <v>-0.14782713347052406</v>
      </c>
      <c r="H570" s="3">
        <v>-0.9890132145779893</v>
      </c>
    </row>
    <row r="571" spans="1:8" x14ac:dyDescent="0.35">
      <c r="A571" s="1">
        <v>40735</v>
      </c>
      <c r="B571" s="30">
        <v>0</v>
      </c>
      <c r="C571" s="30">
        <v>1</v>
      </c>
      <c r="D571" s="30">
        <v>0.32403382664026381</v>
      </c>
      <c r="E571" s="30">
        <v>-0.73529999999999995</v>
      </c>
      <c r="F571" s="30">
        <v>0</v>
      </c>
      <c r="G571" s="30">
        <v>-0.16481784665718582</v>
      </c>
      <c r="H571" s="30">
        <v>-0.98632402253178864</v>
      </c>
    </row>
    <row r="572" spans="1:8" x14ac:dyDescent="0.35">
      <c r="A572" s="1">
        <v>40736</v>
      </c>
      <c r="B572" s="30">
        <v>1</v>
      </c>
      <c r="C572" s="30">
        <v>0</v>
      </c>
      <c r="D572" s="30">
        <v>0.60011785479229618</v>
      </c>
      <c r="E572" s="30">
        <v>0.40600000000000003</v>
      </c>
      <c r="F572" s="30">
        <v>1</v>
      </c>
      <c r="G572" s="30">
        <v>-0.18175978759137157</v>
      </c>
      <c r="H572" s="30">
        <v>-0.98334296133889088</v>
      </c>
    </row>
    <row r="573" spans="1:8" x14ac:dyDescent="0.35">
      <c r="A573" s="1">
        <v>40737</v>
      </c>
      <c r="B573" s="30">
        <v>0</v>
      </c>
      <c r="C573" s="30">
        <v>1</v>
      </c>
      <c r="D573" s="30">
        <v>0.32529151524025618</v>
      </c>
      <c r="E573" s="30">
        <v>-0.72960000000000003</v>
      </c>
      <c r="F573" s="30">
        <v>0</v>
      </c>
      <c r="G573" s="30">
        <v>-0.1986479428801752</v>
      </c>
      <c r="H573" s="30">
        <v>-0.98007091314326567</v>
      </c>
    </row>
    <row r="574" spans="1:8" x14ac:dyDescent="0.35">
      <c r="A574" s="1">
        <v>40738</v>
      </c>
      <c r="B574" s="3">
        <v>1</v>
      </c>
      <c r="C574" s="3">
        <v>1</v>
      </c>
      <c r="D574" s="3">
        <v>0.60144823367693989</v>
      </c>
      <c r="E574" s="3">
        <v>0.41149999999999998</v>
      </c>
      <c r="F574" s="3">
        <v>1</v>
      </c>
      <c r="G574" s="3">
        <v>-0.21547731504672857</v>
      </c>
      <c r="H574" s="3">
        <v>-0.97650884619661937</v>
      </c>
    </row>
    <row r="575" spans="1:8" x14ac:dyDescent="0.35">
      <c r="A575" s="1">
        <v>40739</v>
      </c>
      <c r="B575" s="3">
        <v>1</v>
      </c>
      <c r="C575" s="3">
        <v>1</v>
      </c>
      <c r="D575" s="3">
        <v>0.60207851209765673</v>
      </c>
      <c r="E575" s="3">
        <v>0.41410000000000002</v>
      </c>
      <c r="F575" s="3">
        <v>1</v>
      </c>
      <c r="G575" s="3">
        <v>-0.23224292400907681</v>
      </c>
      <c r="H575" s="3">
        <v>-0.97265781457186384</v>
      </c>
    </row>
    <row r="576" spans="1:8" x14ac:dyDescent="0.35">
      <c r="A576" s="1">
        <v>40740</v>
      </c>
      <c r="B576" s="30">
        <v>1</v>
      </c>
      <c r="C576" s="30">
        <v>0</v>
      </c>
      <c r="D576" s="30">
        <v>0.60268531255181734</v>
      </c>
      <c r="E576" s="30">
        <v>0.41670000000000001</v>
      </c>
      <c r="F576" s="30">
        <v>1</v>
      </c>
      <c r="G576" s="30">
        <v>-0.24893980855375383</v>
      </c>
      <c r="H576" s="30">
        <v>-0.96851895785122366</v>
      </c>
    </row>
    <row r="577" spans="1:8" x14ac:dyDescent="0.35">
      <c r="A577" s="1">
        <v>40741</v>
      </c>
      <c r="B577" s="3">
        <v>0</v>
      </c>
      <c r="C577" s="3">
        <v>0</v>
      </c>
      <c r="D577" s="3">
        <v>0.32756178635258865</v>
      </c>
      <c r="E577" s="3">
        <v>-0.71919999999999995</v>
      </c>
      <c r="F577" s="3">
        <v>0</v>
      </c>
      <c r="G577" s="3">
        <v>-0.26556302780405094</v>
      </c>
      <c r="H577" s="3">
        <v>-0.96409350078897682</v>
      </c>
    </row>
    <row r="578" spans="1:8" x14ac:dyDescent="0.35">
      <c r="A578" s="1">
        <v>40742</v>
      </c>
      <c r="B578" s="30">
        <v>0</v>
      </c>
      <c r="C578" s="30">
        <v>1</v>
      </c>
      <c r="D578" s="30">
        <v>0.32807695886586086</v>
      </c>
      <c r="E578" s="30">
        <v>-0.71689999999999998</v>
      </c>
      <c r="F578" s="30">
        <v>0</v>
      </c>
      <c r="G578" s="30">
        <v>-0.2821076626819225</v>
      </c>
      <c r="H578" s="30">
        <v>-0.95938275294907327</v>
      </c>
    </row>
    <row r="579" spans="1:8" x14ac:dyDescent="0.35">
      <c r="A579" s="1">
        <v>40743</v>
      </c>
      <c r="B579" s="3">
        <v>1</v>
      </c>
      <c r="C579" s="3">
        <v>1</v>
      </c>
      <c r="D579" s="3">
        <v>0.60436342618477756</v>
      </c>
      <c r="E579" s="3">
        <v>0.42370000000000002</v>
      </c>
      <c r="F579" s="3">
        <v>1</v>
      </c>
      <c r="G579" s="3">
        <v>-0.29856881736371699</v>
      </c>
      <c r="H579" s="3">
        <v>-0.9543881083175918</v>
      </c>
    </row>
    <row r="580" spans="1:8" x14ac:dyDescent="0.35">
      <c r="A580" s="1">
        <v>40744</v>
      </c>
      <c r="B580" s="3">
        <v>1</v>
      </c>
      <c r="C580" s="3">
        <v>1</v>
      </c>
      <c r="D580" s="3">
        <v>0.60487492591489223</v>
      </c>
      <c r="E580" s="3">
        <v>0.42580000000000001</v>
      </c>
      <c r="F580" s="3">
        <v>1</v>
      </c>
      <c r="G580" s="3">
        <v>-0.31494162072895671</v>
      </c>
      <c r="H580" s="3">
        <v>-0.94911104489022668</v>
      </c>
    </row>
    <row r="581" spans="1:8" x14ac:dyDescent="0.35">
      <c r="A581" s="1">
        <v>40745</v>
      </c>
      <c r="B581" s="30">
        <v>1</v>
      </c>
      <c r="C581" s="30">
        <v>0</v>
      </c>
      <c r="D581" s="30">
        <v>0.60536228420216442</v>
      </c>
      <c r="E581" s="30">
        <v>0.4279</v>
      </c>
      <c r="F581" s="30">
        <v>1</v>
      </c>
      <c r="G581" s="30">
        <v>-0.3312212278016724</v>
      </c>
      <c r="H581" s="30">
        <v>-0.94355312423495941</v>
      </c>
    </row>
    <row r="582" spans="1:8" x14ac:dyDescent="0.35">
      <c r="A582" s="1">
        <v>40746</v>
      </c>
      <c r="B582" s="30">
        <v>0</v>
      </c>
      <c r="C582" s="30">
        <v>1</v>
      </c>
      <c r="D582" s="30">
        <v>0.32992189815553163</v>
      </c>
      <c r="E582" s="30">
        <v>-0.70850000000000002</v>
      </c>
      <c r="F582" s="30">
        <v>0</v>
      </c>
      <c r="G582" s="30">
        <v>-0.34740282118427129</v>
      </c>
      <c r="H582" s="30">
        <v>-0.93771599102991154</v>
      </c>
    </row>
    <row r="583" spans="1:8" x14ac:dyDescent="0.35">
      <c r="A583" s="1">
        <v>40747</v>
      </c>
      <c r="B583" s="30">
        <v>1</v>
      </c>
      <c r="C583" s="30">
        <v>0</v>
      </c>
      <c r="D583" s="30">
        <v>0.60626412554974585</v>
      </c>
      <c r="E583" s="30">
        <v>0.43159999999999998</v>
      </c>
      <c r="F583" s="30">
        <v>1</v>
      </c>
      <c r="G583" s="30">
        <v>-0.36348161248290772</v>
      </c>
      <c r="H583" s="30">
        <v>-0.93160137257671816</v>
      </c>
    </row>
    <row r="584" spans="1:8" x14ac:dyDescent="0.35">
      <c r="A584" s="1">
        <v>40748</v>
      </c>
      <c r="B584" s="30">
        <v>0</v>
      </c>
      <c r="C584" s="30">
        <v>1</v>
      </c>
      <c r="D584" s="30">
        <v>0.33071236483135813</v>
      </c>
      <c r="E584" s="30">
        <v>-0.70499999999999996</v>
      </c>
      <c r="F584" s="30">
        <v>0</v>
      </c>
      <c r="G584" s="30">
        <v>-0.37945284372454041</v>
      </c>
      <c r="H584" s="30">
        <v>-0.92521107828935956</v>
      </c>
    </row>
    <row r="585" spans="1:8" x14ac:dyDescent="0.35">
      <c r="A585" s="1">
        <v>40749</v>
      </c>
      <c r="B585" s="3">
        <v>1</v>
      </c>
      <c r="C585" s="3">
        <v>1</v>
      </c>
      <c r="D585" s="3">
        <v>0.60706810896249586</v>
      </c>
      <c r="E585" s="3">
        <v>0.435</v>
      </c>
      <c r="F585" s="3">
        <v>1</v>
      </c>
      <c r="G585" s="3">
        <v>-0.3953117887649189</v>
      </c>
      <c r="H585" s="3">
        <v>-0.91854699915871485</v>
      </c>
    </row>
    <row r="586" spans="1:8" x14ac:dyDescent="0.35">
      <c r="A586" s="1">
        <v>40750</v>
      </c>
      <c r="B586" s="3">
        <v>1</v>
      </c>
      <c r="C586" s="3">
        <v>1</v>
      </c>
      <c r="D586" s="3">
        <v>0.60743316736446396</v>
      </c>
      <c r="E586" s="3">
        <v>0.4365</v>
      </c>
      <c r="F586" s="3">
        <v>1</v>
      </c>
      <c r="G586" s="3">
        <v>-0.41105375468703365</v>
      </c>
      <c r="H586" s="3">
        <v>-0.91161110719302452</v>
      </c>
    </row>
    <row r="587" spans="1:8" x14ac:dyDescent="0.35">
      <c r="A587" s="1">
        <v>40751</v>
      </c>
      <c r="B587" s="3">
        <v>1</v>
      </c>
      <c r="C587" s="3">
        <v>1</v>
      </c>
      <c r="D587" s="3">
        <v>0.60777348932091435</v>
      </c>
      <c r="E587" s="3">
        <v>0.438</v>
      </c>
      <c r="F587" s="3">
        <v>1</v>
      </c>
      <c r="G587" s="3">
        <v>-0.42667408318991756</v>
      </c>
      <c r="H587" s="3">
        <v>-0.90440545483430346</v>
      </c>
    </row>
    <row r="588" spans="1:8" x14ac:dyDescent="0.35">
      <c r="A588" s="1">
        <v>40752</v>
      </c>
      <c r="B588" s="3">
        <v>1</v>
      </c>
      <c r="C588" s="3">
        <v>1</v>
      </c>
      <c r="D588" s="3">
        <v>0.60808899655757365</v>
      </c>
      <c r="E588" s="3">
        <v>0.43930000000000002</v>
      </c>
      <c r="F588" s="3">
        <v>1</v>
      </c>
      <c r="G588" s="3">
        <v>-0.44216815196707254</v>
      </c>
      <c r="H588" s="3">
        <v>-0.89693217435100625</v>
      </c>
    </row>
    <row r="589" spans="1:8" x14ac:dyDescent="0.35">
      <c r="A589" s="1">
        <v>40753</v>
      </c>
      <c r="B589" s="30">
        <v>1</v>
      </c>
      <c r="C589" s="30">
        <v>0</v>
      </c>
      <c r="D589" s="30">
        <v>0.60837961669391361</v>
      </c>
      <c r="E589" s="30">
        <v>0.4405</v>
      </c>
      <c r="F589" s="30">
        <v>1</v>
      </c>
      <c r="G589" s="30">
        <v>-0.45753137607424621</v>
      </c>
      <c r="H589" s="30">
        <v>-0.88919347720707365</v>
      </c>
    </row>
    <row r="590" spans="1:8" x14ac:dyDescent="0.35">
      <c r="A590" s="1">
        <v>40754</v>
      </c>
      <c r="B590" s="3">
        <v>0</v>
      </c>
      <c r="C590" s="3">
        <v>0</v>
      </c>
      <c r="D590" s="3">
        <v>0.33254099077181215</v>
      </c>
      <c r="E590" s="3">
        <v>-0.69669999999999999</v>
      </c>
      <c r="F590" s="3">
        <v>0</v>
      </c>
      <c r="G590" s="3">
        <v>-0.47275920928628007</v>
      </c>
      <c r="H590" s="3">
        <v>-0.88119165340748162</v>
      </c>
    </row>
    <row r="591" spans="1:8" x14ac:dyDescent="0.35">
      <c r="A591" s="1">
        <v>40755</v>
      </c>
      <c r="B591" s="30">
        <v>0</v>
      </c>
      <c r="C591" s="30">
        <v>1</v>
      </c>
      <c r="D591" s="30">
        <v>0.33276529942769634</v>
      </c>
      <c r="E591" s="30">
        <v>-0.69569999999999999</v>
      </c>
      <c r="F591" s="30">
        <v>0</v>
      </c>
      <c r="G591" s="30">
        <v>-0.48784714544230928</v>
      </c>
      <c r="H591" s="30">
        <v>-0.87292907082064253</v>
      </c>
    </row>
    <row r="592" spans="1:8" x14ac:dyDescent="0.35">
      <c r="A592" s="1">
        <v>40756</v>
      </c>
      <c r="B592" s="30">
        <v>1</v>
      </c>
      <c r="C592" s="30">
        <v>0</v>
      </c>
      <c r="D592" s="30">
        <v>0.60910151858300476</v>
      </c>
      <c r="E592" s="30">
        <v>0.44350000000000001</v>
      </c>
      <c r="F592" s="30">
        <v>1</v>
      </c>
      <c r="G592" s="30">
        <v>-0.50279071977929646</v>
      </c>
      <c r="H592" s="30">
        <v>-0.86440817447766949</v>
      </c>
    </row>
    <row r="593" spans="1:8" x14ac:dyDescent="0.35">
      <c r="A593" s="1">
        <v>40757</v>
      </c>
      <c r="B593" s="30">
        <v>0</v>
      </c>
      <c r="C593" s="30">
        <v>1</v>
      </c>
      <c r="D593" s="30">
        <v>0.33314405519241058</v>
      </c>
      <c r="E593" s="30">
        <v>-0.69399999999999995</v>
      </c>
      <c r="F593" s="30">
        <v>0</v>
      </c>
      <c r="G593" s="30">
        <v>-0.51758551025318822</v>
      </c>
      <c r="H593" s="30">
        <v>-0.85563148584887105</v>
      </c>
    </row>
    <row r="594" spans="1:8" x14ac:dyDescent="0.35">
      <c r="A594" s="1">
        <v>40758</v>
      </c>
      <c r="B594" s="30">
        <v>1</v>
      </c>
      <c r="C594" s="30">
        <v>0</v>
      </c>
      <c r="D594" s="30">
        <v>0.60945728707153379</v>
      </c>
      <c r="E594" s="30">
        <v>0.44500000000000001</v>
      </c>
      <c r="F594" s="30">
        <v>1</v>
      </c>
      <c r="G594" s="30">
        <v>-0.53222713884743378</v>
      </c>
      <c r="H594" s="30">
        <v>-0.84660160209763036</v>
      </c>
    </row>
    <row r="595" spans="1:8" x14ac:dyDescent="0.35">
      <c r="A595" s="1">
        <v>40759</v>
      </c>
      <c r="B595" s="3">
        <v>0</v>
      </c>
      <c r="C595" s="3">
        <v>0</v>
      </c>
      <c r="D595" s="3">
        <v>0.33342917069190126</v>
      </c>
      <c r="E595" s="3">
        <v>-0.69269999999999998</v>
      </c>
      <c r="F595" s="3">
        <v>0</v>
      </c>
      <c r="G595" s="3">
        <v>-0.54671127286859522</v>
      </c>
      <c r="H595" s="3">
        <v>-0.83732119531181126</v>
      </c>
    </row>
    <row r="596" spans="1:8" x14ac:dyDescent="0.35">
      <c r="A596" s="1">
        <v>40760</v>
      </c>
      <c r="B596" s="3">
        <v>0</v>
      </c>
      <c r="C596" s="3">
        <v>0</v>
      </c>
      <c r="D596" s="3">
        <v>0.33353646424746197</v>
      </c>
      <c r="E596" s="3">
        <v>-0.69220000000000004</v>
      </c>
      <c r="F596" s="3">
        <v>0</v>
      </c>
      <c r="G596" s="3">
        <v>-0.56103362622836417</v>
      </c>
      <c r="H596" s="3">
        <v>-0.8277930117131046</v>
      </c>
    </row>
    <row r="597" spans="1:8" x14ac:dyDescent="0.35">
      <c r="A597" s="1">
        <v>40761</v>
      </c>
      <c r="B597" s="3">
        <v>0</v>
      </c>
      <c r="C597" s="3">
        <v>0</v>
      </c>
      <c r="D597" s="3">
        <v>0.33362018769259749</v>
      </c>
      <c r="E597" s="3">
        <v>-0.69189999999999996</v>
      </c>
      <c r="F597" s="3">
        <v>0</v>
      </c>
      <c r="G597" s="3">
        <v>-0.57518996071198092</v>
      </c>
      <c r="H597" s="3">
        <v>-0.81801987084431504</v>
      </c>
    </row>
    <row r="598" spans="1:8" x14ac:dyDescent="0.35">
      <c r="A598" s="1">
        <v>40762</v>
      </c>
      <c r="B598" s="30">
        <v>0</v>
      </c>
      <c r="C598" s="30">
        <v>1</v>
      </c>
      <c r="D598" s="30">
        <v>0.33368030737434257</v>
      </c>
      <c r="E598" s="30">
        <v>-0.69159999999999999</v>
      </c>
      <c r="F598" s="30">
        <v>0</v>
      </c>
      <c r="G598" s="30">
        <v>-0.58917608723229464</v>
      </c>
      <c r="H598" s="30">
        <v>-0.80800466473507659</v>
      </c>
    </row>
    <row r="599" spans="1:8" x14ac:dyDescent="0.35">
      <c r="A599" s="1">
        <v>40763</v>
      </c>
      <c r="B599" s="3">
        <v>1</v>
      </c>
      <c r="C599" s="3">
        <v>1</v>
      </c>
      <c r="D599" s="3">
        <v>0.60990527244773762</v>
      </c>
      <c r="E599" s="3">
        <v>0.44690000000000002</v>
      </c>
      <c r="F599" s="3">
        <v>1</v>
      </c>
      <c r="G599" s="3">
        <v>-0.60298786706946472</v>
      </c>
      <c r="H599" s="3">
        <v>-0.79775035704599817</v>
      </c>
    </row>
    <row r="600" spans="1:8" x14ac:dyDescent="0.35">
      <c r="A600" s="1">
        <v>40764</v>
      </c>
      <c r="B600" s="3">
        <v>1</v>
      </c>
      <c r="C600" s="3">
        <v>1</v>
      </c>
      <c r="D600" s="3">
        <v>0.60991902119254626</v>
      </c>
      <c r="E600" s="3">
        <v>0.44700000000000001</v>
      </c>
      <c r="F600" s="3">
        <v>1</v>
      </c>
      <c r="G600" s="3">
        <v>-0.61662121309563833</v>
      </c>
      <c r="H600" s="3">
        <v>-0.78725998219169213</v>
      </c>
    </row>
    <row r="601" spans="1:8" x14ac:dyDescent="0.35">
      <c r="A601" s="1">
        <v>40765</v>
      </c>
      <c r="B601" s="3">
        <v>1</v>
      </c>
      <c r="C601" s="3">
        <v>1</v>
      </c>
      <c r="D601" s="3">
        <v>0.6099074665765718</v>
      </c>
      <c r="E601" s="3">
        <v>0.44690000000000002</v>
      </c>
      <c r="F601" s="3">
        <v>1</v>
      </c>
      <c r="G601" s="3">
        <v>-0.63007209098436434</v>
      </c>
      <c r="H601" s="3">
        <v>-0.77653664444286907</v>
      </c>
    </row>
    <row r="602" spans="1:8" x14ac:dyDescent="0.35">
      <c r="A602" s="1">
        <v>40766</v>
      </c>
      <c r="B602" s="3">
        <v>1</v>
      </c>
      <c r="C602" s="3">
        <v>1</v>
      </c>
      <c r="D602" s="3">
        <v>0.60987061120883002</v>
      </c>
      <c r="E602" s="3">
        <v>0.44679999999999997</v>
      </c>
      <c r="F602" s="3">
        <v>1</v>
      </c>
      <c r="G602" s="3">
        <v>-0.64333652040449385</v>
      </c>
      <c r="H602" s="3">
        <v>-0.76558351700767313</v>
      </c>
    </row>
    <row r="603" spans="1:8" x14ac:dyDescent="0.35">
      <c r="A603" s="1">
        <v>40767</v>
      </c>
      <c r="B603" s="30">
        <v>1</v>
      </c>
      <c r="C603" s="30">
        <v>0</v>
      </c>
      <c r="D603" s="30">
        <v>0.609808463412851</v>
      </c>
      <c r="E603" s="30">
        <v>0.44650000000000001</v>
      </c>
      <c r="F603" s="30">
        <v>1</v>
      </c>
      <c r="G603" s="30">
        <v>-0.65641057619793552</v>
      </c>
      <c r="H603" s="30">
        <v>-0.75440384109274938</v>
      </c>
    </row>
    <row r="604" spans="1:8" x14ac:dyDescent="0.35">
      <c r="A604" s="1">
        <v>40768</v>
      </c>
      <c r="B604" s="3">
        <v>0</v>
      </c>
      <c r="C604" s="3">
        <v>0</v>
      </c>
      <c r="D604" s="3">
        <v>0.3335446581561069</v>
      </c>
      <c r="E604" s="3">
        <v>-0.69220000000000004</v>
      </c>
      <c r="F604" s="3">
        <v>0</v>
      </c>
      <c r="G604" s="3">
        <v>-0.66929038954124964</v>
      </c>
      <c r="H604" s="3">
        <v>-0.74300092494405579</v>
      </c>
    </row>
    <row r="605" spans="1:8" x14ac:dyDescent="0.35">
      <c r="A605" s="1">
        <v>40769</v>
      </c>
      <c r="B605" s="3">
        <v>0</v>
      </c>
      <c r="C605" s="3">
        <v>0</v>
      </c>
      <c r="D605" s="3">
        <v>0.33343940690045037</v>
      </c>
      <c r="E605" s="3">
        <v>-0.69269999999999998</v>
      </c>
      <c r="F605" s="3">
        <v>0</v>
      </c>
      <c r="G605" s="3">
        <v>-0.681972149090462</v>
      </c>
      <c r="H605" s="3">
        <v>-0.73137814286792613</v>
      </c>
    </row>
    <row r="606" spans="1:8" x14ac:dyDescent="0.35">
      <c r="A606" s="1">
        <v>40770</v>
      </c>
      <c r="B606" s="30">
        <v>0</v>
      </c>
      <c r="C606" s="30">
        <v>1</v>
      </c>
      <c r="D606" s="30">
        <v>0.33331062454365668</v>
      </c>
      <c r="E606" s="30">
        <v>-0.69320000000000004</v>
      </c>
      <c r="F606" s="30">
        <v>0</v>
      </c>
      <c r="G606" s="30">
        <v>-0.69445210210887132</v>
      </c>
      <c r="H606" s="30">
        <v>-0.71953893423258874</v>
      </c>
    </row>
    <row r="607" spans="1:8" x14ac:dyDescent="0.35">
      <c r="A607" s="1">
        <v>40771</v>
      </c>
      <c r="B607" s="3">
        <v>1</v>
      </c>
      <c r="C607" s="3">
        <v>1</v>
      </c>
      <c r="D607" s="3">
        <v>0.60930731467011023</v>
      </c>
      <c r="E607" s="3">
        <v>0.44440000000000002</v>
      </c>
      <c r="F607" s="3">
        <v>1</v>
      </c>
      <c r="G607" s="3">
        <v>-0.70672655557761688</v>
      </c>
      <c r="H607" s="3">
        <v>-0.7074868024503338</v>
      </c>
    </row>
    <row r="608" spans="1:8" x14ac:dyDescent="0.35">
      <c r="A608" s="1">
        <v>40772</v>
      </c>
      <c r="B608" s="30">
        <v>1</v>
      </c>
      <c r="C608" s="30">
        <v>0</v>
      </c>
      <c r="D608" s="30">
        <v>0.6091190299463789</v>
      </c>
      <c r="E608" s="30">
        <v>0.44359999999999999</v>
      </c>
      <c r="F608" s="30">
        <v>1</v>
      </c>
      <c r="G608" s="30">
        <v>-0.71879187728841998</v>
      </c>
      <c r="H608" s="30">
        <v>-0.69522531394087561</v>
      </c>
    </row>
    <row r="609" spans="1:8" x14ac:dyDescent="0.35">
      <c r="A609" s="1">
        <v>40773</v>
      </c>
      <c r="B609" s="30">
        <v>0</v>
      </c>
      <c r="C609" s="30">
        <v>1</v>
      </c>
      <c r="D609" s="30">
        <v>0.332783655523118</v>
      </c>
      <c r="E609" s="30">
        <v>-0.6956</v>
      </c>
      <c r="F609" s="30">
        <v>0</v>
      </c>
      <c r="G609" s="30">
        <v>-0.73064449691848421</v>
      </c>
      <c r="H609" s="30">
        <v>-0.68275809707592272</v>
      </c>
    </row>
    <row r="610" spans="1:8" x14ac:dyDescent="0.35">
      <c r="A610" s="1">
        <v>40774</v>
      </c>
      <c r="B610" s="3">
        <v>1</v>
      </c>
      <c r="C610" s="3">
        <v>1</v>
      </c>
      <c r="D610" s="3">
        <v>0.60866714260282373</v>
      </c>
      <c r="E610" s="3">
        <v>0.44169999999999998</v>
      </c>
      <c r="F610" s="3">
        <v>1</v>
      </c>
      <c r="G610" s="3">
        <v>-0.74228090708698036</v>
      </c>
      <c r="H610" s="3">
        <v>-0.67008884110551314</v>
      </c>
    </row>
    <row r="611" spans="1:8" x14ac:dyDescent="0.35">
      <c r="A611" s="1">
        <v>40775</v>
      </c>
      <c r="B611" s="30">
        <v>1</v>
      </c>
      <c r="C611" s="30">
        <v>0</v>
      </c>
      <c r="D611" s="30">
        <v>0.60840364286248727</v>
      </c>
      <c r="E611" s="30">
        <v>0.44059999999999999</v>
      </c>
      <c r="F611" s="30">
        <v>1</v>
      </c>
      <c r="G611" s="30">
        <v>-0.75369766439290853</v>
      </c>
      <c r="H611" s="30">
        <v>-0.65722129506633808</v>
      </c>
    </row>
    <row r="612" spans="1:8" x14ac:dyDescent="0.35">
      <c r="A612" s="1">
        <v>40776</v>
      </c>
      <c r="B612" s="3">
        <v>0</v>
      </c>
      <c r="C612" s="3">
        <v>0</v>
      </c>
      <c r="D612" s="3">
        <v>0.33204733374230788</v>
      </c>
      <c r="E612" s="3">
        <v>-0.69889999999999997</v>
      </c>
      <c r="F612" s="3">
        <v>0</v>
      </c>
      <c r="G612" s="3">
        <v>-0.76489139043412269</v>
      </c>
      <c r="H612" s="3">
        <v>-0.64415926667226842</v>
      </c>
    </row>
    <row r="613" spans="1:8" x14ac:dyDescent="0.35">
      <c r="A613" s="1">
        <v>40777</v>
      </c>
      <c r="B613" s="3">
        <v>0</v>
      </c>
      <c r="C613" s="3">
        <v>0</v>
      </c>
      <c r="D613" s="3">
        <v>0.33175580849281111</v>
      </c>
      <c r="E613" s="3">
        <v>-0.70030000000000003</v>
      </c>
      <c r="F613" s="3">
        <v>0</v>
      </c>
      <c r="G613" s="3">
        <v>-0.77585877280697901</v>
      </c>
      <c r="H613" s="3">
        <v>-0.63090662118767515</v>
      </c>
    </row>
    <row r="614" spans="1:8" x14ac:dyDescent="0.35">
      <c r="A614" s="1">
        <v>40778</v>
      </c>
      <c r="B614" s="3">
        <v>0</v>
      </c>
      <c r="C614" s="3">
        <v>0</v>
      </c>
      <c r="D614" s="3">
        <v>0.33144142822816658</v>
      </c>
      <c r="E614" s="3">
        <v>-0.70169999999999999</v>
      </c>
      <c r="F614" s="3">
        <v>0</v>
      </c>
      <c r="G614" s="3">
        <v>-0.78659656608659456</v>
      </c>
      <c r="H614" s="3">
        <v>-0.61746728028356102</v>
      </c>
    </row>
    <row r="615" spans="1:8" x14ac:dyDescent="0.35">
      <c r="A615" s="1">
        <v>40779</v>
      </c>
      <c r="B615" s="3">
        <v>0</v>
      </c>
      <c r="C615" s="3">
        <v>0</v>
      </c>
      <c r="D615" s="3">
        <v>0.33110431906638021</v>
      </c>
      <c r="E615" s="3">
        <v>-0.70320000000000005</v>
      </c>
      <c r="F615" s="3">
        <v>0</v>
      </c>
      <c r="G615" s="3">
        <v>-0.79710159278719195</v>
      </c>
      <c r="H615" s="3">
        <v>-0.60384522087710657</v>
      </c>
    </row>
    <row r="616" spans="1:8" x14ac:dyDescent="0.35">
      <c r="A616" s="1">
        <v>40780</v>
      </c>
      <c r="B616" s="3">
        <v>0</v>
      </c>
      <c r="C616" s="3">
        <v>0</v>
      </c>
      <c r="D616" s="3">
        <v>0.33074461619644119</v>
      </c>
      <c r="E616" s="3">
        <v>-0.70479999999999998</v>
      </c>
      <c r="F616" s="3">
        <v>0</v>
      </c>
      <c r="G616" s="3">
        <v>-0.80737074430234357</v>
      </c>
      <c r="H616" s="3">
        <v>-0.59004447395487036</v>
      </c>
    </row>
    <row r="617" spans="1:8" x14ac:dyDescent="0.35">
      <c r="A617" s="1">
        <v>40781</v>
      </c>
      <c r="B617" s="3">
        <v>0</v>
      </c>
      <c r="C617" s="3">
        <v>0</v>
      </c>
      <c r="D617" s="3">
        <v>0.33036246381322021</v>
      </c>
      <c r="E617" s="3">
        <v>-0.70650000000000002</v>
      </c>
      <c r="F617" s="3">
        <v>0</v>
      </c>
      <c r="G617" s="3">
        <v>-0.81740098182491827</v>
      </c>
      <c r="H617" s="3">
        <v>-0.57606912337987681</v>
      </c>
    </row>
    <row r="618" spans="1:8" x14ac:dyDescent="0.35">
      <c r="A618" s="1">
        <v>40782</v>
      </c>
      <c r="B618" s="3">
        <v>0</v>
      </c>
      <c r="C618" s="3">
        <v>0</v>
      </c>
      <c r="D618" s="3">
        <v>0.32995801504775835</v>
      </c>
      <c r="E618" s="3">
        <v>-0.70840000000000003</v>
      </c>
      <c r="F618" s="3">
        <v>0</v>
      </c>
      <c r="G618" s="3">
        <v>-0.82718933724624544</v>
      </c>
      <c r="H618" s="3">
        <v>-0.5619233046832256</v>
      </c>
    </row>
    <row r="619" spans="1:8" x14ac:dyDescent="0.35">
      <c r="A619" s="1">
        <v>40783</v>
      </c>
      <c r="B619" s="3">
        <v>0</v>
      </c>
      <c r="C619" s="3">
        <v>0</v>
      </c>
      <c r="D619" s="3">
        <v>0.32953143189292206</v>
      </c>
      <c r="E619" s="3">
        <v>-0.71030000000000004</v>
      </c>
      <c r="F619" s="3">
        <v>0</v>
      </c>
      <c r="G619" s="3">
        <v>-0.83673291403449268</v>
      </c>
      <c r="H619" s="3">
        <v>-0.54761120384023032</v>
      </c>
    </row>
    <row r="620" spans="1:8" x14ac:dyDescent="0.35">
      <c r="A620" s="1">
        <v>40784</v>
      </c>
      <c r="B620" s="30">
        <v>0</v>
      </c>
      <c r="C620" s="30">
        <v>1</v>
      </c>
      <c r="D620" s="30">
        <v>0.32908288512442002</v>
      </c>
      <c r="E620" s="30">
        <v>-0.71230000000000004</v>
      </c>
      <c r="F620" s="30">
        <v>0</v>
      </c>
      <c r="G620" s="30">
        <v>-0.84602888809173127</v>
      </c>
      <c r="H620" s="30">
        <v>-0.53313705603181338</v>
      </c>
    </row>
    <row r="621" spans="1:8" x14ac:dyDescent="0.35">
      <c r="A621" s="1">
        <v>40785</v>
      </c>
      <c r="B621" s="30">
        <v>1</v>
      </c>
      <c r="C621" s="30">
        <v>0</v>
      </c>
      <c r="D621" s="30">
        <v>0.60440873360436798</v>
      </c>
      <c r="E621" s="30">
        <v>0.4239</v>
      </c>
      <c r="F621" s="30">
        <v>1</v>
      </c>
      <c r="G621" s="30">
        <v>-0.85507450858968759</v>
      </c>
      <c r="H621" s="30">
        <v>-0.51850514439116635</v>
      </c>
    </row>
    <row r="622" spans="1:8" x14ac:dyDescent="0.35">
      <c r="A622" s="1">
        <v>40786</v>
      </c>
      <c r="B622" s="3">
        <v>0</v>
      </c>
      <c r="C622" s="3">
        <v>0</v>
      </c>
      <c r="D622" s="3">
        <v>0.32812062725692437</v>
      </c>
      <c r="E622" s="3">
        <v>-0.7167</v>
      </c>
      <c r="F622" s="3">
        <v>0</v>
      </c>
      <c r="G622" s="3">
        <v>-0.86386709878373358</v>
      </c>
      <c r="H622" s="3">
        <v>-0.50371979873633621</v>
      </c>
    </row>
    <row r="623" spans="1:8" x14ac:dyDescent="0.35">
      <c r="A623" s="1">
        <v>40787</v>
      </c>
      <c r="B623" s="3">
        <v>0</v>
      </c>
      <c r="C623" s="3">
        <v>0</v>
      </c>
      <c r="D623" s="3">
        <v>0.32760730084740763</v>
      </c>
      <c r="E623" s="3">
        <v>-0.71899999999999997</v>
      </c>
      <c r="F623" s="3">
        <v>0</v>
      </c>
      <c r="G623" s="3">
        <v>-0.87240405680496413</v>
      </c>
      <c r="H623" s="3">
        <v>-0.48878539428898748</v>
      </c>
    </row>
    <row r="624" spans="1:8" x14ac:dyDescent="0.35">
      <c r="A624" s="1">
        <v>40788</v>
      </c>
      <c r="B624" s="3">
        <v>0</v>
      </c>
      <c r="C624" s="3">
        <v>0</v>
      </c>
      <c r="D624" s="3">
        <v>0.327072780012511</v>
      </c>
      <c r="E624" s="3">
        <v>-0.72150000000000003</v>
      </c>
      <c r="F624" s="3">
        <v>0</v>
      </c>
      <c r="G624" s="3">
        <v>-0.88068285643014743</v>
      </c>
      <c r="H624" s="3">
        <v>-0.47370635037968023</v>
      </c>
    </row>
    <row r="625" spans="1:8" x14ac:dyDescent="0.35">
      <c r="A625" s="1">
        <v>40789</v>
      </c>
      <c r="B625" s="3">
        <v>0</v>
      </c>
      <c r="C625" s="3">
        <v>0</v>
      </c>
      <c r="D625" s="3">
        <v>0.32651727809398806</v>
      </c>
      <c r="E625" s="3">
        <v>-0.72399999999999998</v>
      </c>
      <c r="F625" s="3">
        <v>0</v>
      </c>
      <c r="G625" s="3">
        <v>-0.88870104782928849</v>
      </c>
      <c r="H625" s="3">
        <v>-0.45848712914009343</v>
      </c>
    </row>
    <row r="626" spans="1:8" x14ac:dyDescent="0.35">
      <c r="A626" s="1">
        <v>40790</v>
      </c>
      <c r="B626" s="3">
        <v>0</v>
      </c>
      <c r="C626" s="3">
        <v>0</v>
      </c>
      <c r="D626" s="3">
        <v>0.3259410166443828</v>
      </c>
      <c r="E626" s="3">
        <v>-0.72660000000000002</v>
      </c>
      <c r="F626" s="3">
        <v>0</v>
      </c>
      <c r="G626" s="3">
        <v>-0.89645625829055209</v>
      </c>
      <c r="H626" s="3">
        <v>-0.44313223418264552</v>
      </c>
    </row>
    <row r="627" spans="1:8" x14ac:dyDescent="0.35">
      <c r="A627" s="1">
        <v>40791</v>
      </c>
      <c r="B627" s="3">
        <v>0</v>
      </c>
      <c r="C627" s="3">
        <v>0</v>
      </c>
      <c r="D627" s="3">
        <v>0.32534422531527823</v>
      </c>
      <c r="E627" s="3">
        <v>-0.72929999999999995</v>
      </c>
      <c r="F627" s="3">
        <v>0</v>
      </c>
      <c r="G627" s="3">
        <v>-0.90394619292239942</v>
      </c>
      <c r="H627" s="3">
        <v>-0.42764620926777813</v>
      </c>
    </row>
    <row r="628" spans="1:8" x14ac:dyDescent="0.35">
      <c r="A628" s="1">
        <v>40792</v>
      </c>
      <c r="B628" s="3">
        <v>0</v>
      </c>
      <c r="C628" s="3">
        <v>0</v>
      </c>
      <c r="D628" s="3">
        <v>0.32472714174086237</v>
      </c>
      <c r="E628" s="3">
        <v>-0.73209999999999997</v>
      </c>
      <c r="F628" s="3">
        <v>0</v>
      </c>
      <c r="G628" s="3">
        <v>-0.9111686353326649</v>
      </c>
      <c r="H628" s="3">
        <v>-0.41203363695942236</v>
      </c>
    </row>
    <row r="629" spans="1:8" x14ac:dyDescent="0.35">
      <c r="A629" s="1">
        <v>40793</v>
      </c>
      <c r="B629" s="3">
        <v>0</v>
      </c>
      <c r="C629" s="3">
        <v>0</v>
      </c>
      <c r="D629" s="3">
        <v>0.3240900114168172</v>
      </c>
      <c r="E629" s="3">
        <v>-0.73499999999999999</v>
      </c>
      <c r="F629" s="3">
        <v>0</v>
      </c>
      <c r="G629" s="3">
        <v>-0.91812144828443598</v>
      </c>
      <c r="H629" s="3">
        <v>-0.39629913726891941</v>
      </c>
    </row>
    <row r="630" spans="1:8" x14ac:dyDescent="0.35">
      <c r="A630" s="1">
        <v>40794</v>
      </c>
      <c r="B630" s="3">
        <v>0</v>
      </c>
      <c r="C630" s="3">
        <v>0</v>
      </c>
      <c r="D630" s="3">
        <v>0.32343308757454647</v>
      </c>
      <c r="E630" s="3">
        <v>-0.73799999999999999</v>
      </c>
      <c r="F630" s="3">
        <v>0</v>
      </c>
      <c r="G630" s="3">
        <v>-0.92480257432851143</v>
      </c>
      <c r="H630" s="3">
        <v>-0.38044736628784553</v>
      </c>
    </row>
    <row r="631" spans="1:8" x14ac:dyDescent="0.35">
      <c r="A631" s="1">
        <v>40795</v>
      </c>
      <c r="B631" s="30">
        <v>0</v>
      </c>
      <c r="C631" s="30">
        <v>1</v>
      </c>
      <c r="D631" s="30">
        <v>0.32275663105076835</v>
      </c>
      <c r="E631" s="30">
        <v>-0.74109999999999998</v>
      </c>
      <c r="F631" s="30">
        <v>0</v>
      </c>
      <c r="G631" s="30">
        <v>-0.9312100364121898</v>
      </c>
      <c r="H631" s="30">
        <v>-0.36448301481030387</v>
      </c>
    </row>
    <row r="632" spans="1:8" x14ac:dyDescent="0.35">
      <c r="A632" s="1">
        <v>40796</v>
      </c>
      <c r="B632" s="3">
        <v>1</v>
      </c>
      <c r="C632" s="3">
        <v>1</v>
      </c>
      <c r="D632" s="3">
        <v>0.59724990691060675</v>
      </c>
      <c r="E632" s="3">
        <v>0.39400000000000002</v>
      </c>
      <c r="F632" s="3">
        <v>1</v>
      </c>
      <c r="G632" s="3">
        <v>-0.93734193846437541</v>
      </c>
      <c r="H632" s="3">
        <v>-0.34841080694468562</v>
      </c>
    </row>
    <row r="633" spans="1:8" x14ac:dyDescent="0.35">
      <c r="A633" s="1">
        <v>40797</v>
      </c>
      <c r="B633" s="3">
        <v>1</v>
      </c>
      <c r="C633" s="3">
        <v>1</v>
      </c>
      <c r="D633" s="3">
        <v>0.59646180192063614</v>
      </c>
      <c r="E633" s="3">
        <v>0.39069999999999999</v>
      </c>
      <c r="F633" s="3">
        <v>1</v>
      </c>
      <c r="G633" s="3">
        <v>-0.94319646595658757</v>
      </c>
      <c r="H633" s="3">
        <v>-0.33223549871590147</v>
      </c>
    </row>
    <row r="634" spans="1:8" x14ac:dyDescent="0.35">
      <c r="A634" s="1">
        <v>40798</v>
      </c>
      <c r="B634" s="3">
        <v>1</v>
      </c>
      <c r="C634" s="3">
        <v>1</v>
      </c>
      <c r="D634" s="3">
        <v>0.59565159127040734</v>
      </c>
      <c r="E634" s="3">
        <v>0.38740000000000002</v>
      </c>
      <c r="F634" s="3">
        <v>1</v>
      </c>
      <c r="G634" s="3">
        <v>-0.94877188643994637</v>
      </c>
      <c r="H634" s="3">
        <v>-0.31596187665790548</v>
      </c>
    </row>
    <row r="635" spans="1:8" x14ac:dyDescent="0.35">
      <c r="A635" s="1">
        <v>40799</v>
      </c>
      <c r="B635" s="30">
        <v>1</v>
      </c>
      <c r="C635" s="30">
        <v>0</v>
      </c>
      <c r="D635" s="30">
        <v>0.59481947714087036</v>
      </c>
      <c r="E635" s="30">
        <v>0.38390000000000002</v>
      </c>
      <c r="F635" s="30">
        <v>1</v>
      </c>
      <c r="G635" s="30">
        <v>-0.95406655005784025</v>
      </c>
      <c r="H635" s="30">
        <v>-0.29959475639725514</v>
      </c>
    </row>
    <row r="636" spans="1:8" x14ac:dyDescent="0.35">
      <c r="A636" s="1">
        <v>40800</v>
      </c>
      <c r="B636" s="30">
        <v>0</v>
      </c>
      <c r="C636" s="30">
        <v>1</v>
      </c>
      <c r="D636" s="30">
        <v>0.31909100246882355</v>
      </c>
      <c r="E636" s="30">
        <v>-0.75800000000000001</v>
      </c>
      <c r="F636" s="30">
        <v>0</v>
      </c>
      <c r="G636" s="30">
        <v>-0.95907889003410884</v>
      </c>
      <c r="H636" s="30">
        <v>-0.28313898122819786</v>
      </c>
    </row>
    <row r="637" spans="1:8" x14ac:dyDescent="0.35">
      <c r="A637" s="1">
        <v>40801</v>
      </c>
      <c r="B637" s="3">
        <v>1</v>
      </c>
      <c r="C637" s="3">
        <v>1</v>
      </c>
      <c r="D637" s="3">
        <v>0.59309037991129843</v>
      </c>
      <c r="E637" s="3">
        <v>0.37680000000000002</v>
      </c>
      <c r="F637" s="3">
        <v>1</v>
      </c>
      <c r="G637" s="3">
        <v>-0.96380742313672896</v>
      </c>
      <c r="H637" s="3">
        <v>-0.26659942067929981</v>
      </c>
    </row>
    <row r="638" spans="1:8" x14ac:dyDescent="0.35">
      <c r="A638" s="1">
        <v>40802</v>
      </c>
      <c r="B638" s="30">
        <v>1</v>
      </c>
      <c r="C638" s="30">
        <v>0</v>
      </c>
      <c r="D638" s="30">
        <v>0.59219383398170944</v>
      </c>
      <c r="E638" s="30">
        <v>0.373</v>
      </c>
      <c r="F638" s="30">
        <v>1</v>
      </c>
      <c r="G638" s="30">
        <v>-0.96825075011667228</v>
      </c>
      <c r="H638" s="30">
        <v>-0.24998096907265044</v>
      </c>
    </row>
    <row r="639" spans="1:8" x14ac:dyDescent="0.35">
      <c r="A639" s="1">
        <v>40803</v>
      </c>
      <c r="B639" s="3">
        <v>0</v>
      </c>
      <c r="C639" s="3">
        <v>0</v>
      </c>
      <c r="D639" s="3">
        <v>0.31667550133778433</v>
      </c>
      <c r="E639" s="3">
        <v>-0.76910000000000001</v>
      </c>
      <c r="F639" s="3">
        <v>0</v>
      </c>
      <c r="G639" s="3">
        <v>-0.97240755612199592</v>
      </c>
      <c r="H639" s="3">
        <v>-0.23328854407545913</v>
      </c>
    </row>
    <row r="640" spans="1:8" x14ac:dyDescent="0.35">
      <c r="A640" s="1">
        <v>40804</v>
      </c>
      <c r="B640" s="3">
        <v>0</v>
      </c>
      <c r="C640" s="3">
        <v>0</v>
      </c>
      <c r="D640" s="3">
        <v>0.31583617277704401</v>
      </c>
      <c r="E640" s="3">
        <v>-0.77300000000000002</v>
      </c>
      <c r="F640" s="3">
        <v>0</v>
      </c>
      <c r="G640" s="3">
        <v>-0.97627661108693298</v>
      </c>
      <c r="H640" s="3">
        <v>-0.21652708524481032</v>
      </c>
    </row>
    <row r="641" spans="1:8" x14ac:dyDescent="0.35">
      <c r="A641" s="1">
        <v>40805</v>
      </c>
      <c r="B641" s="30">
        <v>0</v>
      </c>
      <c r="C641" s="30">
        <v>1</v>
      </c>
      <c r="D641" s="30">
        <v>0.31498030625274553</v>
      </c>
      <c r="E641" s="30">
        <v>-0.77690000000000003</v>
      </c>
      <c r="F641" s="30">
        <v>0</v>
      </c>
      <c r="G641" s="30">
        <v>-0.97985677009586603</v>
      </c>
      <c r="H641" s="30">
        <v>-0.19970155256606559</v>
      </c>
    </row>
    <row r="642" spans="1:8" x14ac:dyDescent="0.35">
      <c r="A642" s="1">
        <v>40806</v>
      </c>
      <c r="B642" s="3">
        <v>1</v>
      </c>
      <c r="C642" s="3">
        <v>1</v>
      </c>
      <c r="D642" s="3">
        <v>0.58839974344463797</v>
      </c>
      <c r="E642" s="3">
        <v>0.3574</v>
      </c>
      <c r="F642" s="3">
        <v>1</v>
      </c>
      <c r="G642" s="3">
        <v>-0.98314697372214843</v>
      </c>
      <c r="H642" s="3">
        <v>-0.18281692498502758</v>
      </c>
    </row>
    <row r="643" spans="1:8" x14ac:dyDescent="0.35">
      <c r="A643" s="1">
        <v>40807</v>
      </c>
      <c r="B643" s="30">
        <v>1</v>
      </c>
      <c r="C643" s="30">
        <v>0</v>
      </c>
      <c r="D643" s="30">
        <v>0.58740046938850532</v>
      </c>
      <c r="E643" s="30">
        <v>0.35320000000000001</v>
      </c>
      <c r="F643" s="30">
        <v>1</v>
      </c>
      <c r="G643" s="30">
        <v>-0.98614624834159514</v>
      </c>
      <c r="H643" s="30">
        <v>-0.16587819893463104</v>
      </c>
    </row>
    <row r="644" spans="1:8" x14ac:dyDescent="0.35">
      <c r="A644" s="1">
        <v>40808</v>
      </c>
      <c r="B644" s="3">
        <v>0</v>
      </c>
      <c r="C644" s="3">
        <v>0</v>
      </c>
      <c r="D644" s="3">
        <v>0.31231685315613744</v>
      </c>
      <c r="E644" s="3">
        <v>-0.7893</v>
      </c>
      <c r="F644" s="3">
        <v>0</v>
      </c>
      <c r="G644" s="3">
        <v>-0.98885370642058756</v>
      </c>
      <c r="H644" s="3">
        <v>-0.14889038685646014</v>
      </c>
    </row>
    <row r="645" spans="1:8" x14ac:dyDescent="0.35">
      <c r="A645" s="1">
        <v>40809</v>
      </c>
      <c r="B645" s="3">
        <v>0</v>
      </c>
      <c r="C645" s="3">
        <v>0</v>
      </c>
      <c r="D645" s="3">
        <v>0.31139823675487804</v>
      </c>
      <c r="E645" s="3">
        <v>-0.79359999999999997</v>
      </c>
      <c r="F645" s="3">
        <v>0</v>
      </c>
      <c r="G645" s="3">
        <v>-0.991268546778726</v>
      </c>
      <c r="H645" s="3">
        <v>-0.13185851571738838</v>
      </c>
    </row>
    <row r="646" spans="1:8" x14ac:dyDescent="0.35">
      <c r="A646" s="1">
        <v>40810</v>
      </c>
      <c r="B646" s="3">
        <v>0</v>
      </c>
      <c r="C646" s="3">
        <v>0</v>
      </c>
      <c r="D646" s="3">
        <v>0.31046481043399005</v>
      </c>
      <c r="E646" s="3">
        <v>-0.79790000000000005</v>
      </c>
      <c r="F646" s="3">
        <v>0</v>
      </c>
      <c r="G646" s="3">
        <v>-0.99339005482589327</v>
      </c>
      <c r="H646" s="3">
        <v>-0.11478762552213037</v>
      </c>
    </row>
    <row r="647" spans="1:8" x14ac:dyDescent="0.35">
      <c r="A647" s="1">
        <v>40811</v>
      </c>
      <c r="B647" s="3">
        <v>0</v>
      </c>
      <c r="C647" s="3">
        <v>0</v>
      </c>
      <c r="D647" s="3">
        <v>0.30951693536118347</v>
      </c>
      <c r="E647" s="3">
        <v>-0.8024</v>
      </c>
      <c r="F647" s="3">
        <v>0</v>
      </c>
      <c r="G647" s="3">
        <v>-0.9952176027737285</v>
      </c>
      <c r="H647" s="3">
        <v>-9.7682767821725094E-2</v>
      </c>
    </row>
    <row r="648" spans="1:8" x14ac:dyDescent="0.35">
      <c r="A648" s="1">
        <v>40812</v>
      </c>
      <c r="B648" s="3">
        <v>0</v>
      </c>
      <c r="C648" s="3">
        <v>0</v>
      </c>
      <c r="D648" s="3">
        <v>0.30855497743139482</v>
      </c>
      <c r="E648" s="3">
        <v>-0.80689999999999995</v>
      </c>
      <c r="F648" s="3">
        <v>0</v>
      </c>
      <c r="G648" s="3">
        <v>-0.99675064982139283</v>
      </c>
      <c r="H648" s="3">
        <v>-8.0549004218742601E-2</v>
      </c>
    </row>
    <row r="649" spans="1:8" x14ac:dyDescent="0.35">
      <c r="A649" s="1">
        <v>40813</v>
      </c>
      <c r="B649" s="3">
        <v>0</v>
      </c>
      <c r="C649" s="3">
        <v>0</v>
      </c>
      <c r="D649" s="3">
        <v>0.30757930706353886</v>
      </c>
      <c r="E649" s="3">
        <v>-0.8115</v>
      </c>
      <c r="F649" s="3">
        <v>0</v>
      </c>
      <c r="G649" s="3">
        <v>-0.99798874231559798</v>
      </c>
      <c r="H649" s="3">
        <v>-6.3391404869517082E-2</v>
      </c>
    </row>
    <row r="650" spans="1:8" x14ac:dyDescent="0.35">
      <c r="A650" s="1">
        <v>40814</v>
      </c>
      <c r="B650" s="3">
        <v>0</v>
      </c>
      <c r="C650" s="3">
        <v>0</v>
      </c>
      <c r="D650" s="3">
        <v>0.30659029899427731</v>
      </c>
      <c r="E650" s="3">
        <v>-0.81610000000000005</v>
      </c>
      <c r="F650" s="3">
        <v>0</v>
      </c>
      <c r="G650" s="3">
        <v>-0.99893151388485779</v>
      </c>
      <c r="H650" s="3">
        <v>-4.6215046983706855E-2</v>
      </c>
    </row>
    <row r="651" spans="1:8" x14ac:dyDescent="0.35">
      <c r="A651" s="1">
        <v>40815</v>
      </c>
      <c r="B651" s="30">
        <v>0</v>
      </c>
      <c r="C651" s="30">
        <v>1</v>
      </c>
      <c r="D651" s="30">
        <v>0.30558833206898961</v>
      </c>
      <c r="E651" s="30">
        <v>-0.82079999999999997</v>
      </c>
      <c r="F651" s="30">
        <v>0</v>
      </c>
      <c r="G651" s="30">
        <v>-0.99957868554789564</v>
      </c>
      <c r="H651" s="30">
        <v>-2.902501332197973E-2</v>
      </c>
    </row>
    <row r="652" spans="1:8" x14ac:dyDescent="0.35">
      <c r="A652" s="1">
        <v>40816</v>
      </c>
      <c r="B652" s="3">
        <v>1</v>
      </c>
      <c r="C652" s="3">
        <v>1</v>
      </c>
      <c r="D652" s="3">
        <v>0.57755016757454136</v>
      </c>
      <c r="E652" s="3">
        <v>0.31269999999999998</v>
      </c>
      <c r="F652" s="3">
        <v>1</v>
      </c>
      <c r="G652" s="3">
        <v>-0.99993006579620569</v>
      </c>
      <c r="H652" s="3">
        <v>-1.1826390691828868E-2</v>
      </c>
    </row>
    <row r="653" spans="1:8" x14ac:dyDescent="0.35">
      <c r="A653" s="1">
        <v>40817</v>
      </c>
      <c r="B653" s="3">
        <v>1</v>
      </c>
      <c r="C653" s="3">
        <v>1</v>
      </c>
      <c r="D653" s="3">
        <v>0.57636588936908884</v>
      </c>
      <c r="E653" s="3">
        <v>0.30790000000000001</v>
      </c>
      <c r="F653" s="3">
        <v>1</v>
      </c>
      <c r="G653" s="3">
        <v>-0.99998555065071859</v>
      </c>
      <c r="H653" s="3">
        <v>5.3757315575818322E-3</v>
      </c>
    </row>
    <row r="654" spans="1:8" x14ac:dyDescent="0.35">
      <c r="A654" s="1">
        <v>40818</v>
      </c>
      <c r="B654" s="3">
        <v>1</v>
      </c>
      <c r="C654" s="3">
        <v>1</v>
      </c>
      <c r="D654" s="3">
        <v>0.57516480384876989</v>
      </c>
      <c r="E654" s="3">
        <v>0.30299999999999999</v>
      </c>
      <c r="F654" s="3">
        <v>1</v>
      </c>
      <c r="G654" s="3">
        <v>-0.99974512369257362</v>
      </c>
      <c r="H654" s="3">
        <v>2.2576263041537439E-2</v>
      </c>
    </row>
    <row r="655" spans="1:8" x14ac:dyDescent="0.35">
      <c r="A655" s="1">
        <v>40819</v>
      </c>
      <c r="B655" s="3">
        <v>1</v>
      </c>
      <c r="C655" s="3">
        <v>1</v>
      </c>
      <c r="D655" s="3">
        <v>0.57394724476038927</v>
      </c>
      <c r="E655" s="3">
        <v>0.29799999999999999</v>
      </c>
      <c r="F655" s="3">
        <v>1</v>
      </c>
      <c r="G655" s="3">
        <v>-0.99920885606797527</v>
      </c>
      <c r="H655" s="3">
        <v>3.9770113846056117E-2</v>
      </c>
    </row>
    <row r="656" spans="1:8" x14ac:dyDescent="0.35">
      <c r="A656" s="1">
        <v>40820</v>
      </c>
      <c r="B656" s="30">
        <v>1</v>
      </c>
      <c r="C656" s="30">
        <v>0</v>
      </c>
      <c r="D656" s="30">
        <v>0.57271355218558384</v>
      </c>
      <c r="E656" s="30">
        <v>0.29289999999999999</v>
      </c>
      <c r="F656" s="30">
        <v>1</v>
      </c>
      <c r="G656" s="30">
        <v>-0.99837690646714228</v>
      </c>
      <c r="H656" s="30">
        <v>5.6952196034033939E-2</v>
      </c>
    </row>
    <row r="657" spans="1:8" x14ac:dyDescent="0.35">
      <c r="A657" s="1">
        <v>40821</v>
      </c>
      <c r="B657" s="3">
        <v>0</v>
      </c>
      <c r="C657" s="3">
        <v>0</v>
      </c>
      <c r="D657" s="3">
        <v>0.299326073746017</v>
      </c>
      <c r="E657" s="3">
        <v>-0.85050000000000003</v>
      </c>
      <c r="F657" s="3">
        <v>0</v>
      </c>
      <c r="G657" s="3">
        <v>-0.99724952107734488</v>
      </c>
      <c r="H657" s="3">
        <v>7.4117425150946742E-2</v>
      </c>
    </row>
    <row r="658" spans="1:8" x14ac:dyDescent="0.35">
      <c r="A658" s="1">
        <v>40822</v>
      </c>
      <c r="B658" s="3">
        <v>0</v>
      </c>
      <c r="C658" s="3">
        <v>0</v>
      </c>
      <c r="D658" s="3">
        <v>0.29824430260186618</v>
      </c>
      <c r="E658" s="3">
        <v>-0.85570000000000002</v>
      </c>
      <c r="F658" s="3">
        <v>0</v>
      </c>
      <c r="G658" s="3">
        <v>-0.99582703351005974</v>
      </c>
      <c r="H658" s="3">
        <v>9.1260721729308505E-2</v>
      </c>
    </row>
    <row r="659" spans="1:8" x14ac:dyDescent="0.35">
      <c r="A659" s="1">
        <v>40823</v>
      </c>
      <c r="B659" s="3">
        <v>0</v>
      </c>
      <c r="C659" s="3">
        <v>0</v>
      </c>
      <c r="D659" s="3">
        <v>0.29715272541124843</v>
      </c>
      <c r="E659" s="3">
        <v>-0.8609</v>
      </c>
      <c r="F659" s="3">
        <v>0</v>
      </c>
      <c r="G659" s="3">
        <v>-0.99410986470224283</v>
      </c>
      <c r="H659" s="3">
        <v>0.10837701279186676</v>
      </c>
    </row>
    <row r="660" spans="1:8" x14ac:dyDescent="0.35">
      <c r="A660" s="1">
        <v>40824</v>
      </c>
      <c r="B660" s="30">
        <v>0</v>
      </c>
      <c r="C660" s="30">
        <v>1</v>
      </c>
      <c r="D660" s="30">
        <v>0.29605174821945374</v>
      </c>
      <c r="E660" s="30">
        <v>-0.86619999999999997</v>
      </c>
      <c r="F660" s="30">
        <v>0</v>
      </c>
      <c r="G660" s="30">
        <v>-0.99209852279176913</v>
      </c>
      <c r="H660" s="30">
        <v>0.12546123335273554</v>
      </c>
    </row>
    <row r="661" spans="1:8" x14ac:dyDescent="0.35">
      <c r="A661" s="1">
        <v>40825</v>
      </c>
      <c r="B661" s="3">
        <v>1</v>
      </c>
      <c r="C661" s="3">
        <v>1</v>
      </c>
      <c r="D661" s="3">
        <v>0.56631542541511326</v>
      </c>
      <c r="E661" s="3">
        <v>0.26679999999999998</v>
      </c>
      <c r="F661" s="3">
        <v>1</v>
      </c>
      <c r="G661" s="3">
        <v>-0.98979360296707264</v>
      </c>
      <c r="H661" s="3">
        <v>0.142508327916164</v>
      </c>
    </row>
    <row r="662" spans="1:8" x14ac:dyDescent="0.35">
      <c r="A662" s="1">
        <v>40826</v>
      </c>
      <c r="B662" s="3">
        <v>1</v>
      </c>
      <c r="C662" s="3">
        <v>1</v>
      </c>
      <c r="D662" s="3">
        <v>0.56499242025167706</v>
      </c>
      <c r="E662" s="3">
        <v>0.26140000000000002</v>
      </c>
      <c r="F662" s="3">
        <v>1</v>
      </c>
      <c r="G662" s="3">
        <v>-0.98719578729100832</v>
      </c>
      <c r="H662" s="3">
        <v>0.1595132519726376</v>
      </c>
    </row>
    <row r="663" spans="1:8" x14ac:dyDescent="0.35">
      <c r="A663" s="1">
        <v>40827</v>
      </c>
      <c r="B663" s="3">
        <v>1</v>
      </c>
      <c r="C663" s="3">
        <v>1</v>
      </c>
      <c r="D663" s="3">
        <v>0.56365583388426999</v>
      </c>
      <c r="E663" s="3">
        <v>0.25600000000000001</v>
      </c>
      <c r="F663" s="3">
        <v>1</v>
      </c>
      <c r="G663" s="3">
        <v>-0.98430584449903391</v>
      </c>
      <c r="H663" s="3">
        <v>0.176470973491517</v>
      </c>
    </row>
    <row r="664" spans="1:8" x14ac:dyDescent="0.35">
      <c r="A664" s="1">
        <v>40828</v>
      </c>
      <c r="B664" s="30">
        <v>1</v>
      </c>
      <c r="C664" s="30">
        <v>0</v>
      </c>
      <c r="D664" s="30">
        <v>0.56230605447222703</v>
      </c>
      <c r="E664" s="30">
        <v>0.2505</v>
      </c>
      <c r="F664" s="30">
        <v>1</v>
      </c>
      <c r="G664" s="30">
        <v>-0.98112462977171411</v>
      </c>
      <c r="H664" s="30">
        <v>0.19337647441019537</v>
      </c>
    </row>
    <row r="665" spans="1:8" x14ac:dyDescent="0.35">
      <c r="A665" s="1">
        <v>40829</v>
      </c>
      <c r="B665" s="30">
        <v>0</v>
      </c>
      <c r="C665" s="30">
        <v>1</v>
      </c>
      <c r="D665" s="30">
        <v>0.29042019450015272</v>
      </c>
      <c r="E665" s="30">
        <v>-0.89329999999999998</v>
      </c>
      <c r="F665" s="30">
        <v>0</v>
      </c>
      <c r="G665" s="30">
        <v>-0.97765308448166466</v>
      </c>
      <c r="H665" s="30">
        <v>0.21022475211898134</v>
      </c>
    </row>
    <row r="666" spans="1:8" x14ac:dyDescent="0.35">
      <c r="A666" s="1">
        <v>40830</v>
      </c>
      <c r="B666" s="30">
        <v>1</v>
      </c>
      <c r="C666" s="30">
        <v>0</v>
      </c>
      <c r="D666" s="30">
        <v>0.55956849702562272</v>
      </c>
      <c r="E666" s="30">
        <v>0.2394</v>
      </c>
      <c r="F666" s="30">
        <v>1</v>
      </c>
      <c r="G666" s="30">
        <v>-0.9738922359149943</v>
      </c>
      <c r="H666" s="30">
        <v>0.2270108209414104</v>
      </c>
    </row>
    <row r="667" spans="1:8" x14ac:dyDescent="0.35">
      <c r="A667" s="1">
        <v>40831</v>
      </c>
      <c r="B667" s="3">
        <v>0</v>
      </c>
      <c r="C667" s="3">
        <v>0</v>
      </c>
      <c r="D667" s="3">
        <v>0.28811615858630674</v>
      </c>
      <c r="E667" s="3">
        <v>-0.90459999999999996</v>
      </c>
      <c r="F667" s="3">
        <v>0</v>
      </c>
      <c r="G667" s="3">
        <v>-0.96984319696729404</v>
      </c>
      <c r="H667" s="3">
        <v>0.24372971360968382</v>
      </c>
    </row>
    <row r="668" spans="1:8" x14ac:dyDescent="0.35">
      <c r="A668" s="1">
        <v>40832</v>
      </c>
      <c r="B668" s="30">
        <v>0</v>
      </c>
      <c r="C668" s="30">
        <v>1</v>
      </c>
      <c r="D668" s="30">
        <v>0.28695477999629909</v>
      </c>
      <c r="E668" s="30">
        <v>-0.91020000000000001</v>
      </c>
      <c r="F668" s="30">
        <v>0</v>
      </c>
      <c r="G668" s="30">
        <v>-0.96550716581433793</v>
      </c>
      <c r="H668" s="30">
        <v>0.2603764827344523</v>
      </c>
    </row>
    <row r="669" spans="1:8" x14ac:dyDescent="0.35">
      <c r="A669" s="1">
        <v>40833</v>
      </c>
      <c r="B669" s="3">
        <v>1</v>
      </c>
      <c r="C669" s="3">
        <v>1</v>
      </c>
      <c r="D669" s="3">
        <v>0.55537323270973793</v>
      </c>
      <c r="E669" s="3">
        <v>0.22239999999999999</v>
      </c>
      <c r="F669" s="3">
        <v>1</v>
      </c>
      <c r="G669" s="3">
        <v>-0.96088542555750101</v>
      </c>
      <c r="H669" s="3">
        <v>0.27694620226892491</v>
      </c>
    </row>
    <row r="670" spans="1:8" x14ac:dyDescent="0.35">
      <c r="A670" s="1">
        <v>40834</v>
      </c>
      <c r="B670" s="30">
        <v>1</v>
      </c>
      <c r="C670" s="30">
        <v>0</v>
      </c>
      <c r="D670" s="30">
        <v>0.55395275168164937</v>
      </c>
      <c r="E670" s="30">
        <v>0.2167</v>
      </c>
      <c r="F670" s="30">
        <v>1</v>
      </c>
      <c r="G670" s="30">
        <v>-0.95597934384407757</v>
      </c>
      <c r="H670" s="30">
        <v>0.29343396896652385</v>
      </c>
    </row>
    <row r="671" spans="1:8" x14ac:dyDescent="0.35">
      <c r="A671" s="1">
        <v>40835</v>
      </c>
      <c r="B671" s="3">
        <v>0</v>
      </c>
      <c r="C671" s="3">
        <v>0</v>
      </c>
      <c r="D671" s="3">
        <v>0.28343818101583745</v>
      </c>
      <c r="E671" s="3">
        <v>-0.92749999999999999</v>
      </c>
      <c r="F671" s="3">
        <v>0</v>
      </c>
      <c r="G671" s="3">
        <v>-0.95079037246258613</v>
      </c>
      <c r="H671" s="3">
        <v>0.30983490383179341</v>
      </c>
    </row>
    <row r="672" spans="1:8" x14ac:dyDescent="0.35">
      <c r="A672" s="1">
        <v>40836</v>
      </c>
      <c r="B672" s="3">
        <v>0</v>
      </c>
      <c r="C672" s="3">
        <v>0</v>
      </c>
      <c r="D672" s="3">
        <v>0.28225654191969962</v>
      </c>
      <c r="E672" s="3">
        <v>-0.93330000000000002</v>
      </c>
      <c r="F672" s="3">
        <v>0</v>
      </c>
      <c r="G672" s="3">
        <v>-0.94532004691313243</v>
      </c>
      <c r="H672" s="3">
        <v>0.32614415356426835</v>
      </c>
    </row>
    <row r="673" spans="1:8" x14ac:dyDescent="0.35">
      <c r="A673" s="1">
        <v>40837</v>
      </c>
      <c r="B673" s="30">
        <v>0</v>
      </c>
      <c r="C673" s="30">
        <v>1</v>
      </c>
      <c r="D673" s="30">
        <v>0.28107087239906564</v>
      </c>
      <c r="E673" s="30">
        <v>-0.93920000000000003</v>
      </c>
      <c r="F673" s="30">
        <v>0</v>
      </c>
      <c r="G673" s="30">
        <v>-0.93956998595306462</v>
      </c>
      <c r="H673" s="30">
        <v>0.34235689199453528</v>
      </c>
    </row>
    <row r="674" spans="1:8" x14ac:dyDescent="0.35">
      <c r="A674" s="1">
        <v>40838</v>
      </c>
      <c r="B674" s="3">
        <v>1</v>
      </c>
      <c r="C674" s="3">
        <v>1</v>
      </c>
      <c r="D674" s="3">
        <v>0.54817188635026903</v>
      </c>
      <c r="E674" s="3">
        <v>0.1933</v>
      </c>
      <c r="F674" s="3">
        <v>1</v>
      </c>
      <c r="G674" s="3">
        <v>-0.93354189111792096</v>
      </c>
      <c r="H674" s="3">
        <v>0.35846832151248165</v>
      </c>
    </row>
    <row r="675" spans="1:8" x14ac:dyDescent="0.35">
      <c r="A675" s="1">
        <v>40839</v>
      </c>
      <c r="B675" s="3">
        <v>1</v>
      </c>
      <c r="C675" s="3">
        <v>1</v>
      </c>
      <c r="D675" s="3">
        <v>0.54670411550024223</v>
      </c>
      <c r="E675" s="3">
        <v>0.18740000000000001</v>
      </c>
      <c r="F675" s="3">
        <v>1</v>
      </c>
      <c r="G675" s="3">
        <v>-0.92723754621795562</v>
      </c>
      <c r="H675" s="3">
        <v>0.37447367448687846</v>
      </c>
    </row>
    <row r="676" spans="1:8" x14ac:dyDescent="0.35">
      <c r="A676" s="1">
        <v>40840</v>
      </c>
      <c r="B676" s="3">
        <v>1</v>
      </c>
      <c r="C676" s="3">
        <v>1</v>
      </c>
      <c r="D676" s="3">
        <v>0.54522821004344224</v>
      </c>
      <c r="E676" s="3">
        <v>0.18140000000000001</v>
      </c>
      <c r="F676" s="3">
        <v>1</v>
      </c>
      <c r="G676" s="3">
        <v>-0.92065881681024697</v>
      </c>
      <c r="H676" s="3">
        <v>0.39036821467629257</v>
      </c>
    </row>
    <row r="677" spans="1:8" x14ac:dyDescent="0.35">
      <c r="A677" s="1">
        <v>40841</v>
      </c>
      <c r="B677" s="3">
        <v>1</v>
      </c>
      <c r="C677" s="3">
        <v>1</v>
      </c>
      <c r="D677" s="3">
        <v>0.54374462055303563</v>
      </c>
      <c r="E677" s="3">
        <v>0.1754</v>
      </c>
      <c r="F677" s="3">
        <v>1</v>
      </c>
      <c r="G677" s="3">
        <v>-0.91380764964666261</v>
      </c>
      <c r="H677" s="3">
        <v>0.40614723863057639</v>
      </c>
    </row>
    <row r="678" spans="1:8" x14ac:dyDescent="0.35">
      <c r="A678" s="1">
        <v>40842</v>
      </c>
      <c r="B678" s="30">
        <v>1</v>
      </c>
      <c r="C678" s="30">
        <v>0</v>
      </c>
      <c r="D678" s="30">
        <v>0.54225380130663581</v>
      </c>
      <c r="E678" s="30">
        <v>0.1694</v>
      </c>
      <c r="F678" s="30">
        <v>1</v>
      </c>
      <c r="G678" s="30">
        <v>-0.90668607209780205</v>
      </c>
      <c r="H678" s="30">
        <v>0.42180607708265566</v>
      </c>
    </row>
    <row r="679" spans="1:8" x14ac:dyDescent="0.35">
      <c r="A679" s="1">
        <v>40843</v>
      </c>
      <c r="B679" s="3">
        <v>0</v>
      </c>
      <c r="C679" s="3">
        <v>0</v>
      </c>
      <c r="D679" s="3">
        <v>0.27389520385398569</v>
      </c>
      <c r="E679" s="3">
        <v>-0.97489999999999999</v>
      </c>
      <c r="F679" s="3">
        <v>0</v>
      </c>
      <c r="G679" s="3">
        <v>-0.89929619155302554</v>
      </c>
      <c r="H679" s="3">
        <v>0.43734009633033183</v>
      </c>
    </row>
    <row r="680" spans="1:8" x14ac:dyDescent="0.35">
      <c r="A680" s="1">
        <v>40844</v>
      </c>
      <c r="B680" s="3">
        <v>0</v>
      </c>
      <c r="C680" s="3">
        <v>0</v>
      </c>
      <c r="D680" s="3">
        <v>0.27269278110186085</v>
      </c>
      <c r="E680" s="3">
        <v>-0.98099999999999998</v>
      </c>
      <c r="F680" s="3">
        <v>0</v>
      </c>
      <c r="G680" s="3">
        <v>-0.89164019479689027</v>
      </c>
      <c r="H680" s="3">
        <v>0.45274469960736546</v>
      </c>
    </row>
    <row r="681" spans="1:8" x14ac:dyDescent="0.35">
      <c r="A681" s="1">
        <v>40845</v>
      </c>
      <c r="B681" s="30">
        <v>0</v>
      </c>
      <c r="C681" s="30">
        <v>1</v>
      </c>
      <c r="D681" s="30">
        <v>0.27148958030364095</v>
      </c>
      <c r="E681" s="30">
        <v>-0.98709999999999998</v>
      </c>
      <c r="F681" s="30">
        <v>0</v>
      </c>
      <c r="G681" s="30">
        <v>-0.88372034736200333</v>
      </c>
      <c r="H681" s="30">
        <v>0.4680153284438236</v>
      </c>
    </row>
    <row r="682" spans="1:8" x14ac:dyDescent="0.35">
      <c r="A682" s="1">
        <v>40846</v>
      </c>
      <c r="B682" s="3">
        <v>1</v>
      </c>
      <c r="C682" s="3">
        <v>1</v>
      </c>
      <c r="D682" s="3">
        <v>0.53622743163980324</v>
      </c>
      <c r="E682" s="3">
        <v>0.1452</v>
      </c>
      <c r="F682" s="3">
        <v>1</v>
      </c>
      <c r="G682" s="3">
        <v>-0.87553899285863213</v>
      </c>
      <c r="H682" s="3">
        <v>0.48314746401496517</v>
      </c>
    </row>
    <row r="683" spans="1:8" x14ac:dyDescent="0.35">
      <c r="A683" s="1">
        <v>40847</v>
      </c>
      <c r="B683" s="3">
        <v>1</v>
      </c>
      <c r="C683" s="3">
        <v>1</v>
      </c>
      <c r="D683" s="3">
        <v>0.53470739443147386</v>
      </c>
      <c r="E683" s="3">
        <v>0.1391</v>
      </c>
      <c r="F683" s="3">
        <v>1</v>
      </c>
      <c r="G683" s="3">
        <v>-0.86709855228120591</v>
      </c>
      <c r="H683" s="3">
        <v>0.49813662847840934</v>
      </c>
    </row>
  </sheetData>
  <mergeCells count="12">
    <mergeCell ref="B3:I3"/>
    <mergeCell ref="L3:O3"/>
    <mergeCell ref="C10:F10"/>
    <mergeCell ref="C11:F11"/>
    <mergeCell ref="B4:C4"/>
    <mergeCell ref="D4:E4"/>
    <mergeCell ref="F4:G4"/>
    <mergeCell ref="H4:I4"/>
    <mergeCell ref="B5:C5"/>
    <mergeCell ref="D5:E5"/>
    <mergeCell ref="F5:G5"/>
    <mergeCell ref="H5:I5"/>
  </mergeCells>
  <hyperlinks>
    <hyperlink ref="B4" location="'LR_Output'!$B$10:$B$10" display="Inputs"/>
    <hyperlink ref="D4" location="'LR_Output'!$B$37:$B$37" display="Prior Class Prob."/>
    <hyperlink ref="F4" location="'LR_Output'!$B$46:$B$46" display="Predictors"/>
    <hyperlink ref="H4" location="'LR_Output'!$B$58:$B$58" display="Regress. Model"/>
    <hyperlink ref="B5" location="'LR_Output'!$B$67:$B$67" display="Train. Score Summary"/>
    <hyperlink ref="D5" location="'LR_Output'!$B$91:$B$91" display="Valid. Score Summary"/>
    <hyperlink ref="F5" location="'LR_ValidationScore'!$B$10:$B$10" display="Valid. Score - Detailed Rep."/>
  </hyperlink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2"/>
  <sheetViews>
    <sheetView showGridLines="0" workbookViewId="0"/>
  </sheetViews>
  <sheetFormatPr defaultRowHeight="14.5" x14ac:dyDescent="0.35"/>
  <cols>
    <col min="1" max="1" width="23.6328125" bestFit="1" customWidth="1"/>
    <col min="2" max="2" width="16.36328125" bestFit="1" customWidth="1"/>
  </cols>
  <sheetData>
    <row r="1" spans="1:13" x14ac:dyDescent="0.35">
      <c r="M1" t="s">
        <v>101</v>
      </c>
    </row>
    <row r="2" spans="1:13" x14ac:dyDescent="0.35">
      <c r="A2" s="4" t="s">
        <v>17</v>
      </c>
      <c r="B2" s="3" t="s">
        <v>102</v>
      </c>
    </row>
    <row r="3" spans="1:13" x14ac:dyDescent="0.35">
      <c r="A3" s="4" t="s">
        <v>19</v>
      </c>
      <c r="B3" s="3" t="b">
        <v>1</v>
      </c>
    </row>
    <row r="4" spans="1:13" x14ac:dyDescent="0.35">
      <c r="A4" s="4" t="s">
        <v>20</v>
      </c>
      <c r="B4" s="3">
        <v>3</v>
      </c>
    </row>
    <row r="5" spans="1:13" x14ac:dyDescent="0.35">
      <c r="A5" s="4" t="s">
        <v>21</v>
      </c>
      <c r="B5" s="3" t="s">
        <v>22</v>
      </c>
      <c r="D5" s="3"/>
      <c r="E5" s="3" t="s">
        <v>7</v>
      </c>
      <c r="F5" s="3" t="s">
        <v>9</v>
      </c>
      <c r="G5" s="3" t="s">
        <v>10</v>
      </c>
      <c r="H5" s="3" t="s">
        <v>6</v>
      </c>
    </row>
    <row r="6" spans="1:13" x14ac:dyDescent="0.35">
      <c r="A6" s="4" t="s">
        <v>23</v>
      </c>
      <c r="B6" s="3" t="s">
        <v>24</v>
      </c>
      <c r="D6" s="3"/>
      <c r="E6" s="3">
        <v>7</v>
      </c>
      <c r="F6" s="3">
        <v>9</v>
      </c>
      <c r="G6" s="3">
        <v>10</v>
      </c>
      <c r="H6" s="3">
        <v>6</v>
      </c>
    </row>
    <row r="7" spans="1:13" x14ac:dyDescent="0.35">
      <c r="A7" s="4" t="s">
        <v>25</v>
      </c>
      <c r="B7" s="3" t="s">
        <v>26</v>
      </c>
      <c r="D7" s="3"/>
      <c r="E7" s="3" t="s">
        <v>27</v>
      </c>
      <c r="F7" s="3" t="s">
        <v>27</v>
      </c>
      <c r="G7" s="3" t="s">
        <v>27</v>
      </c>
      <c r="H7" s="3" t="s">
        <v>28</v>
      </c>
    </row>
    <row r="8" spans="1:13" x14ac:dyDescent="0.35">
      <c r="A8" s="4" t="s">
        <v>29</v>
      </c>
      <c r="B8" s="3" t="s">
        <v>30</v>
      </c>
      <c r="D8" s="3"/>
      <c r="E8" s="3" t="s">
        <v>31</v>
      </c>
      <c r="F8" s="3" t="s">
        <v>31</v>
      </c>
      <c r="G8" s="3" t="s">
        <v>31</v>
      </c>
      <c r="H8" s="3"/>
    </row>
    <row r="9" spans="1:13" x14ac:dyDescent="0.35">
      <c r="A9" s="4" t="s">
        <v>32</v>
      </c>
      <c r="B9" s="3" t="s">
        <v>33</v>
      </c>
      <c r="D9" s="3"/>
      <c r="E9" s="3" t="s">
        <v>7</v>
      </c>
      <c r="F9" s="3" t="s">
        <v>9</v>
      </c>
      <c r="G9" s="3" t="s">
        <v>10</v>
      </c>
      <c r="H9" s="3"/>
    </row>
    <row r="10" spans="1:13" x14ac:dyDescent="0.35">
      <c r="A10" s="4" t="s">
        <v>103</v>
      </c>
      <c r="B10" s="3" t="s">
        <v>104</v>
      </c>
      <c r="D10" s="3">
        <v>-1.0507659880841729</v>
      </c>
      <c r="E10" s="3">
        <v>1.1383361334529969</v>
      </c>
      <c r="F10" s="3">
        <v>-0.22182574219234077</v>
      </c>
      <c r="G10" s="3">
        <v>-0.28277728081495396</v>
      </c>
    </row>
    <row r="11" spans="1:13" x14ac:dyDescent="0.35">
      <c r="A11" s="4" t="s">
        <v>105</v>
      </c>
      <c r="B11" s="3">
        <v>1</v>
      </c>
      <c r="E11" s="3">
        <v>0</v>
      </c>
      <c r="F11" s="3">
        <v>1</v>
      </c>
    </row>
    <row r="12" spans="1:13" x14ac:dyDescent="0.35">
      <c r="A12" s="4" t="s">
        <v>106</v>
      </c>
      <c r="B12" s="3">
        <v>0.5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73"/>
  <sheetViews>
    <sheetView showGridLines="0" topLeftCell="A61" workbookViewId="0">
      <selection activeCell="C76" sqref="C76"/>
    </sheetView>
  </sheetViews>
  <sheetFormatPr defaultRowHeight="14.5" x14ac:dyDescent="0.35"/>
  <cols>
    <col min="3" max="3" width="13.36328125" bestFit="1" customWidth="1"/>
    <col min="4" max="4" width="8.90625" bestFit="1" customWidth="1"/>
    <col min="5" max="5" width="12.453125" bestFit="1" customWidth="1"/>
    <col min="6" max="6" width="11.90625" bestFit="1" customWidth="1"/>
    <col min="7" max="7" width="11.81640625" bestFit="1" customWidth="1"/>
    <col min="8" max="10" width="8.81640625" bestFit="1" customWidth="1"/>
    <col min="12" max="12" width="15.1796875" bestFit="1" customWidth="1"/>
    <col min="14" max="14" width="12.26953125" bestFit="1" customWidth="1"/>
  </cols>
  <sheetData>
    <row r="1" spans="2:17" ht="18.5" x14ac:dyDescent="0.45">
      <c r="B1" s="5" t="s">
        <v>34</v>
      </c>
      <c r="N1" t="s">
        <v>16</v>
      </c>
    </row>
    <row r="3" spans="2:17" ht="15.5" x14ac:dyDescent="0.35">
      <c r="B3" s="12" t="s">
        <v>35</v>
      </c>
      <c r="C3" s="13"/>
      <c r="D3" s="13"/>
      <c r="E3" s="13"/>
      <c r="F3" s="13"/>
      <c r="G3" s="13"/>
      <c r="H3" s="13"/>
      <c r="I3" s="13"/>
      <c r="J3" s="13"/>
      <c r="K3" s="14"/>
      <c r="N3" s="12" t="s">
        <v>36</v>
      </c>
      <c r="O3" s="13"/>
      <c r="P3" s="13"/>
      <c r="Q3" s="14"/>
    </row>
    <row r="4" spans="2:17" x14ac:dyDescent="0.35">
      <c r="B4" s="29" t="s">
        <v>41</v>
      </c>
      <c r="C4" s="23"/>
      <c r="D4" s="29" t="s">
        <v>97</v>
      </c>
      <c r="E4" s="23"/>
      <c r="F4" s="29" t="s">
        <v>98</v>
      </c>
      <c r="G4" s="23"/>
      <c r="H4" s="29" t="s">
        <v>99</v>
      </c>
      <c r="I4" s="23"/>
      <c r="J4" s="29" t="s">
        <v>100</v>
      </c>
      <c r="K4" s="23"/>
      <c r="N4" s="11" t="s">
        <v>37</v>
      </c>
      <c r="O4" s="11" t="s">
        <v>38</v>
      </c>
      <c r="P4" s="11" t="s">
        <v>39</v>
      </c>
      <c r="Q4" s="11" t="s">
        <v>40</v>
      </c>
    </row>
    <row r="5" spans="2:17" x14ac:dyDescent="0.35">
      <c r="N5" s="3">
        <v>30</v>
      </c>
      <c r="O5" s="3">
        <v>31</v>
      </c>
      <c r="P5" s="3">
        <v>125</v>
      </c>
      <c r="Q5" s="3">
        <v>186</v>
      </c>
    </row>
    <row r="10" spans="2:17" ht="18.5" x14ac:dyDescent="0.45">
      <c r="B10" s="6" t="s">
        <v>41</v>
      </c>
    </row>
    <row r="12" spans="2:17" ht="15.5" x14ac:dyDescent="0.35">
      <c r="C12" s="12" t="s">
        <v>42</v>
      </c>
      <c r="D12" s="13"/>
      <c r="E12" s="13"/>
      <c r="F12" s="13"/>
      <c r="G12" s="13"/>
      <c r="H12" s="13"/>
      <c r="I12" s="13"/>
      <c r="J12" s="13"/>
      <c r="K12" s="14"/>
    </row>
    <row r="13" spans="2:17" x14ac:dyDescent="0.35">
      <c r="C13" s="15" t="s">
        <v>43</v>
      </c>
      <c r="D13" s="16"/>
      <c r="E13" s="16"/>
      <c r="F13" s="17"/>
      <c r="G13" s="18" t="s">
        <v>44</v>
      </c>
      <c r="H13" s="19"/>
      <c r="I13" s="19"/>
      <c r="J13" s="19"/>
      <c r="K13" s="20"/>
    </row>
    <row r="14" spans="2:17" x14ac:dyDescent="0.35">
      <c r="C14" s="15" t="s">
        <v>45</v>
      </c>
      <c r="D14" s="16"/>
      <c r="E14" s="16"/>
      <c r="F14" s="17"/>
      <c r="G14" s="18" t="s">
        <v>46</v>
      </c>
      <c r="H14" s="19"/>
      <c r="I14" s="19"/>
      <c r="J14" s="19"/>
      <c r="K14" s="20"/>
    </row>
    <row r="15" spans="2:17" x14ac:dyDescent="0.35">
      <c r="C15" s="15" t="s">
        <v>47</v>
      </c>
      <c r="D15" s="16"/>
      <c r="E15" s="16"/>
      <c r="F15" s="17"/>
      <c r="G15" s="18">
        <v>3653</v>
      </c>
      <c r="H15" s="19"/>
      <c r="I15" s="19"/>
      <c r="J15" s="19"/>
      <c r="K15" s="20"/>
    </row>
    <row r="16" spans="2:17" x14ac:dyDescent="0.35">
      <c r="C16" s="15" t="s">
        <v>48</v>
      </c>
      <c r="D16" s="16"/>
      <c r="E16" s="16"/>
      <c r="F16" s="17"/>
      <c r="G16" s="18">
        <v>669</v>
      </c>
      <c r="H16" s="19"/>
      <c r="I16" s="19"/>
      <c r="J16" s="19"/>
      <c r="K16" s="20"/>
    </row>
    <row r="18" spans="3:10" ht="15.5" x14ac:dyDescent="0.35">
      <c r="C18" s="12" t="s">
        <v>49</v>
      </c>
      <c r="D18" s="13"/>
      <c r="E18" s="13"/>
      <c r="F18" s="13"/>
      <c r="G18" s="14"/>
    </row>
    <row r="19" spans="3:10" x14ac:dyDescent="0.35">
      <c r="C19" s="15" t="s">
        <v>50</v>
      </c>
      <c r="D19" s="17"/>
      <c r="E19" s="18">
        <v>3</v>
      </c>
      <c r="F19" s="19"/>
      <c r="G19" s="20"/>
    </row>
    <row r="20" spans="3:10" x14ac:dyDescent="0.35">
      <c r="C20" s="15" t="s">
        <v>51</v>
      </c>
      <c r="D20" s="17"/>
      <c r="E20" s="3" t="s">
        <v>7</v>
      </c>
      <c r="F20" s="3" t="s">
        <v>9</v>
      </c>
      <c r="G20" s="3" t="s">
        <v>10</v>
      </c>
    </row>
    <row r="21" spans="3:10" x14ac:dyDescent="0.35">
      <c r="C21" s="15" t="s">
        <v>52</v>
      </c>
      <c r="D21" s="17"/>
      <c r="E21" s="21" t="s">
        <v>6</v>
      </c>
      <c r="F21" s="22"/>
      <c r="G21" s="23"/>
    </row>
    <row r="23" spans="3:10" ht="15.5" x14ac:dyDescent="0.35">
      <c r="C23" s="12" t="s">
        <v>53</v>
      </c>
      <c r="D23" s="13"/>
      <c r="E23" s="13"/>
      <c r="F23" s="13"/>
      <c r="G23" s="13"/>
      <c r="H23" s="13"/>
      <c r="I23" s="13"/>
      <c r="J23" s="14"/>
    </row>
    <row r="24" spans="3:10" x14ac:dyDescent="0.35">
      <c r="C24" s="15" t="s">
        <v>54</v>
      </c>
      <c r="D24" s="16"/>
      <c r="E24" s="16"/>
      <c r="F24" s="17"/>
      <c r="G24" s="18" t="s">
        <v>55</v>
      </c>
      <c r="H24" s="19"/>
      <c r="I24" s="19"/>
      <c r="J24" s="20"/>
    </row>
    <row r="25" spans="3:10" x14ac:dyDescent="0.35">
      <c r="C25" s="15" t="s">
        <v>56</v>
      </c>
      <c r="D25" s="16"/>
      <c r="E25" s="16"/>
      <c r="F25" s="17"/>
      <c r="G25" s="18" t="s">
        <v>55</v>
      </c>
      <c r="H25" s="19"/>
      <c r="I25" s="19"/>
      <c r="J25" s="20"/>
    </row>
    <row r="26" spans="3:10" x14ac:dyDescent="0.35">
      <c r="C26" s="15" t="s">
        <v>57</v>
      </c>
      <c r="D26" s="16"/>
      <c r="E26" s="16"/>
      <c r="F26" s="17"/>
      <c r="G26" s="18" t="s">
        <v>55</v>
      </c>
      <c r="H26" s="19"/>
      <c r="I26" s="19"/>
      <c r="J26" s="20"/>
    </row>
    <row r="27" spans="3:10" x14ac:dyDescent="0.35">
      <c r="C27" s="15" t="s">
        <v>58</v>
      </c>
      <c r="D27" s="16"/>
      <c r="E27" s="16"/>
      <c r="F27" s="17"/>
      <c r="G27" s="18" t="s">
        <v>55</v>
      </c>
      <c r="H27" s="19"/>
      <c r="I27" s="19"/>
      <c r="J27" s="20"/>
    </row>
    <row r="28" spans="3:10" x14ac:dyDescent="0.35">
      <c r="C28" s="15" t="s">
        <v>59</v>
      </c>
      <c r="D28" s="16"/>
      <c r="E28" s="16"/>
      <c r="F28" s="17"/>
      <c r="G28" s="18" t="s">
        <v>55</v>
      </c>
      <c r="H28" s="19"/>
      <c r="I28" s="19"/>
      <c r="J28" s="20"/>
    </row>
    <row r="29" spans="3:10" x14ac:dyDescent="0.35">
      <c r="C29" s="15" t="s">
        <v>60</v>
      </c>
      <c r="D29" s="16"/>
      <c r="E29" s="16"/>
      <c r="F29" s="17"/>
      <c r="G29" s="18" t="s">
        <v>55</v>
      </c>
      <c r="H29" s="19"/>
      <c r="I29" s="19"/>
      <c r="J29" s="20"/>
    </row>
    <row r="30" spans="3:10" x14ac:dyDescent="0.35">
      <c r="C30" s="15" t="s">
        <v>61</v>
      </c>
      <c r="D30" s="16"/>
      <c r="E30" s="16"/>
      <c r="F30" s="17"/>
      <c r="G30" s="18" t="s">
        <v>55</v>
      </c>
      <c r="H30" s="19"/>
      <c r="I30" s="19"/>
      <c r="J30" s="20"/>
    </row>
    <row r="31" spans="3:10" x14ac:dyDescent="0.35">
      <c r="C31" s="15" t="s">
        <v>62</v>
      </c>
      <c r="D31" s="16"/>
      <c r="E31" s="16"/>
      <c r="F31" s="17"/>
      <c r="G31" s="18" t="s">
        <v>55</v>
      </c>
      <c r="H31" s="19"/>
      <c r="I31" s="19"/>
      <c r="J31" s="20"/>
    </row>
    <row r="32" spans="3:10" x14ac:dyDescent="0.35">
      <c r="C32" s="15" t="s">
        <v>63</v>
      </c>
      <c r="D32" s="16"/>
      <c r="E32" s="16"/>
      <c r="F32" s="17"/>
      <c r="G32" s="18" t="s">
        <v>55</v>
      </c>
      <c r="H32" s="19"/>
      <c r="I32" s="19"/>
      <c r="J32" s="20"/>
    </row>
    <row r="33" spans="2:10" x14ac:dyDescent="0.35">
      <c r="C33" s="15" t="s">
        <v>64</v>
      </c>
      <c r="D33" s="16"/>
      <c r="E33" s="16"/>
      <c r="F33" s="17"/>
      <c r="G33" s="18" t="s">
        <v>55</v>
      </c>
      <c r="H33" s="19"/>
      <c r="I33" s="19"/>
      <c r="J33" s="20"/>
    </row>
    <row r="34" spans="2:10" x14ac:dyDescent="0.35">
      <c r="C34" s="15" t="s">
        <v>65</v>
      </c>
      <c r="D34" s="16"/>
      <c r="E34" s="16"/>
      <c r="F34" s="17"/>
      <c r="G34" s="18" t="s">
        <v>55</v>
      </c>
      <c r="H34" s="19"/>
      <c r="I34" s="19"/>
      <c r="J34" s="20"/>
    </row>
    <row r="35" spans="2:10" x14ac:dyDescent="0.35">
      <c r="C35" s="15" t="s">
        <v>66</v>
      </c>
      <c r="D35" s="16"/>
      <c r="E35" s="16"/>
      <c r="F35" s="17"/>
      <c r="G35" s="18" t="s">
        <v>55</v>
      </c>
      <c r="H35" s="19"/>
      <c r="I35" s="19"/>
      <c r="J35" s="20"/>
    </row>
    <row r="36" spans="2:10" x14ac:dyDescent="0.35">
      <c r="C36" s="15" t="s">
        <v>67</v>
      </c>
      <c r="D36" s="16"/>
      <c r="E36" s="16"/>
      <c r="F36" s="17"/>
      <c r="G36" s="18" t="s">
        <v>55</v>
      </c>
      <c r="H36" s="19"/>
      <c r="I36" s="19"/>
      <c r="J36" s="20"/>
    </row>
    <row r="38" spans="2:10" ht="15.5" x14ac:dyDescent="0.35">
      <c r="C38" s="12" t="s">
        <v>68</v>
      </c>
      <c r="D38" s="13"/>
      <c r="E38" s="13"/>
      <c r="F38" s="13"/>
      <c r="G38" s="14"/>
    </row>
    <row r="39" spans="2:10" x14ac:dyDescent="0.35">
      <c r="C39" s="21" t="s">
        <v>69</v>
      </c>
      <c r="D39" s="22"/>
      <c r="E39" s="22"/>
      <c r="F39" s="22"/>
      <c r="G39" s="23"/>
    </row>
    <row r="40" spans="2:10" x14ac:dyDescent="0.35">
      <c r="C40" s="21" t="s">
        <v>70</v>
      </c>
      <c r="D40" s="22"/>
      <c r="E40" s="22"/>
      <c r="F40" s="22"/>
      <c r="G40" s="23"/>
    </row>
    <row r="43" spans="2:10" ht="18.5" x14ac:dyDescent="0.45">
      <c r="B43" s="6" t="s">
        <v>71</v>
      </c>
    </row>
    <row r="45" spans="2:10" x14ac:dyDescent="0.35">
      <c r="C45" s="24" t="s">
        <v>72</v>
      </c>
      <c r="D45" s="25"/>
      <c r="E45" s="26"/>
      <c r="F45" s="3">
        <v>4.9023659477168754E-11</v>
      </c>
    </row>
    <row r="47" spans="2:10" ht="15.5" x14ac:dyDescent="0.35">
      <c r="C47" s="27" t="s">
        <v>73</v>
      </c>
      <c r="D47" s="28"/>
      <c r="E47" s="27" t="s">
        <v>74</v>
      </c>
      <c r="F47" s="28"/>
    </row>
    <row r="48" spans="2:10" x14ac:dyDescent="0.35">
      <c r="C48" s="8" t="s">
        <v>75</v>
      </c>
      <c r="D48" s="8" t="s">
        <v>76</v>
      </c>
      <c r="E48" s="8" t="s">
        <v>75</v>
      </c>
      <c r="F48" s="8" t="s">
        <v>76</v>
      </c>
    </row>
    <row r="49" spans="2:13" x14ac:dyDescent="0.35">
      <c r="C49" s="4" t="s">
        <v>77</v>
      </c>
      <c r="D49" s="3">
        <v>60.440052945046311</v>
      </c>
    </row>
    <row r="50" spans="2:13" x14ac:dyDescent="0.35">
      <c r="C50" s="4" t="s">
        <v>7</v>
      </c>
      <c r="D50" s="3">
        <v>28.603057882417112</v>
      </c>
    </row>
    <row r="51" spans="2:13" x14ac:dyDescent="0.35">
      <c r="C51" s="4" t="s">
        <v>9</v>
      </c>
      <c r="D51" s="3">
        <v>42.734647230846093</v>
      </c>
    </row>
    <row r="52" spans="2:13" x14ac:dyDescent="0.35">
      <c r="C52" s="4" t="s">
        <v>10</v>
      </c>
      <c r="D52" s="3">
        <v>42.740494353647826</v>
      </c>
    </row>
    <row r="55" spans="2:13" ht="18.5" x14ac:dyDescent="0.45">
      <c r="B55" s="6" t="s">
        <v>78</v>
      </c>
    </row>
    <row r="57" spans="2:13" ht="26" x14ac:dyDescent="0.35">
      <c r="C57" s="9" t="s">
        <v>79</v>
      </c>
      <c r="D57" s="7" t="s">
        <v>80</v>
      </c>
      <c r="E57" s="7" t="s">
        <v>81</v>
      </c>
      <c r="F57" s="7" t="s">
        <v>82</v>
      </c>
      <c r="G57" s="7" t="s">
        <v>83</v>
      </c>
      <c r="H57" s="7" t="s">
        <v>84</v>
      </c>
      <c r="I57" s="7" t="s">
        <v>85</v>
      </c>
      <c r="J57" s="9" t="s">
        <v>86</v>
      </c>
      <c r="L57" s="4" t="s">
        <v>87</v>
      </c>
      <c r="M57" s="3">
        <v>3649</v>
      </c>
    </row>
    <row r="58" spans="2:13" x14ac:dyDescent="0.35">
      <c r="C58" s="4" t="s">
        <v>77</v>
      </c>
      <c r="D58" s="3">
        <v>0.26257294908221979</v>
      </c>
      <c r="E58" s="3">
        <v>9.4575177046827448E-3</v>
      </c>
      <c r="F58" s="3">
        <v>27.763410789303713</v>
      </c>
      <c r="G58" s="3">
        <v>4.4399465129580866E-154</v>
      </c>
      <c r="H58" s="3">
        <v>0.24403040451437225</v>
      </c>
      <c r="I58" s="3">
        <v>0.28111549365006733</v>
      </c>
      <c r="J58" s="3">
        <v>461.21105940323014</v>
      </c>
      <c r="L58" s="4" t="s">
        <v>88</v>
      </c>
      <c r="M58" s="3">
        <v>8.9357270440167058E-2</v>
      </c>
    </row>
    <row r="59" spans="2:13" x14ac:dyDescent="0.35">
      <c r="C59" s="4" t="s">
        <v>7</v>
      </c>
      <c r="D59" s="3">
        <v>0.26085534023435486</v>
      </c>
      <c r="E59" s="3">
        <v>1.5976534498055407E-2</v>
      </c>
      <c r="F59" s="3">
        <v>16.327404435931022</v>
      </c>
      <c r="G59" s="3">
        <v>6.785483460413175E-58</v>
      </c>
      <c r="H59" s="3">
        <v>0.22953151804121591</v>
      </c>
      <c r="I59" s="3">
        <v>0.29217916242749381</v>
      </c>
      <c r="J59" s="3">
        <v>64.540442797992682</v>
      </c>
      <c r="L59" s="4" t="s">
        <v>89</v>
      </c>
      <c r="M59" s="3">
        <v>8.8608591846393581E-2</v>
      </c>
    </row>
    <row r="60" spans="2:13" x14ac:dyDescent="0.35">
      <c r="C60" s="4" t="s">
        <v>9</v>
      </c>
      <c r="D60" s="3">
        <v>-4.6761605634445716E-2</v>
      </c>
      <c r="E60" s="3">
        <v>1.0743836840552043E-2</v>
      </c>
      <c r="F60" s="3">
        <v>-4.3524121157486784</v>
      </c>
      <c r="G60" s="3">
        <v>1.3833872736628459E-5</v>
      </c>
      <c r="H60" s="3">
        <v>-6.7826125909885293E-2</v>
      </c>
      <c r="I60" s="3">
        <v>-2.5697085359006142E-2</v>
      </c>
      <c r="J60" s="3">
        <v>3.844146474543777</v>
      </c>
      <c r="L60" s="4" t="s">
        <v>90</v>
      </c>
      <c r="M60" s="3">
        <v>0.45697774100831268</v>
      </c>
    </row>
    <row r="61" spans="2:13" x14ac:dyDescent="0.35">
      <c r="C61" s="4" t="s">
        <v>10</v>
      </c>
      <c r="D61" s="3">
        <v>-5.9541029845542284E-2</v>
      </c>
      <c r="E61" s="3">
        <v>1.0764875278972793E-2</v>
      </c>
      <c r="F61" s="3">
        <v>-5.531046881875608</v>
      </c>
      <c r="G61" s="3">
        <v>3.406848907936281E-8</v>
      </c>
      <c r="H61" s="3">
        <v>-8.0646798384451823E-2</v>
      </c>
      <c r="I61" s="3">
        <v>-3.8435261306632738E-2</v>
      </c>
      <c r="J61" s="3">
        <v>6.388586393740411</v>
      </c>
      <c r="L61" s="4" t="s">
        <v>91</v>
      </c>
      <c r="M61" s="3">
        <v>762.01576493049379</v>
      </c>
    </row>
    <row r="64" spans="2:13" ht="18.5" x14ac:dyDescent="0.45">
      <c r="B64" s="6" t="s">
        <v>92</v>
      </c>
    </row>
    <row r="66" spans="2:5" ht="52.5" x14ac:dyDescent="0.35">
      <c r="C66" s="10" t="s">
        <v>93</v>
      </c>
      <c r="D66" s="11" t="s">
        <v>94</v>
      </c>
      <c r="E66" s="10" t="s">
        <v>95</v>
      </c>
    </row>
    <row r="67" spans="2:5" x14ac:dyDescent="0.35">
      <c r="C67" s="3">
        <v>762.01576493049379</v>
      </c>
      <c r="D67" s="3">
        <v>0.45672747935700853</v>
      </c>
      <c r="E67" s="3">
        <v>-1.8541605881831796E-15</v>
      </c>
    </row>
    <row r="70" spans="2:5" ht="18.5" x14ac:dyDescent="0.45">
      <c r="B70" s="6" t="s">
        <v>96</v>
      </c>
    </row>
    <row r="72" spans="2:5" ht="52.5" x14ac:dyDescent="0.35">
      <c r="C72" s="10" t="s">
        <v>93</v>
      </c>
      <c r="D72" s="11" t="s">
        <v>94</v>
      </c>
      <c r="E72" s="10" t="s">
        <v>95</v>
      </c>
    </row>
    <row r="73" spans="2:5" x14ac:dyDescent="0.35">
      <c r="C73" s="3">
        <v>148.14413937618193</v>
      </c>
      <c r="D73" s="3">
        <v>0.47057535526929056</v>
      </c>
      <c r="E73" s="3">
        <v>3.9106294800066915E-2</v>
      </c>
    </row>
  </sheetData>
  <mergeCells count="55">
    <mergeCell ref="H4:I4"/>
    <mergeCell ref="J4:K4"/>
    <mergeCell ref="B3:K3"/>
    <mergeCell ref="N3:Q3"/>
    <mergeCell ref="C39:G39"/>
    <mergeCell ref="C40:G40"/>
    <mergeCell ref="C45:E45"/>
    <mergeCell ref="C47:D47"/>
    <mergeCell ref="E47:F47"/>
    <mergeCell ref="B4:C4"/>
    <mergeCell ref="D4:E4"/>
    <mergeCell ref="F4:G4"/>
    <mergeCell ref="G32:J32"/>
    <mergeCell ref="G33:J33"/>
    <mergeCell ref="G34:J34"/>
    <mergeCell ref="G35:J35"/>
    <mergeCell ref="G36:J36"/>
    <mergeCell ref="C38:G38"/>
    <mergeCell ref="C35:F35"/>
    <mergeCell ref="C36:F36"/>
    <mergeCell ref="G24:J24"/>
    <mergeCell ref="G25:J25"/>
    <mergeCell ref="G26:J26"/>
    <mergeCell ref="G27:J27"/>
    <mergeCell ref="G28:J28"/>
    <mergeCell ref="G29:J29"/>
    <mergeCell ref="G30:J30"/>
    <mergeCell ref="G31:J31"/>
    <mergeCell ref="C29:F29"/>
    <mergeCell ref="C30:F30"/>
    <mergeCell ref="C31:F31"/>
    <mergeCell ref="C32:F32"/>
    <mergeCell ref="C33:F33"/>
    <mergeCell ref="C34:F34"/>
    <mergeCell ref="C23:J23"/>
    <mergeCell ref="C24:F24"/>
    <mergeCell ref="C25:F25"/>
    <mergeCell ref="C26:F26"/>
    <mergeCell ref="C27:F27"/>
    <mergeCell ref="C28:F28"/>
    <mergeCell ref="C18:G18"/>
    <mergeCell ref="C19:D19"/>
    <mergeCell ref="C20:D20"/>
    <mergeCell ref="C21:D21"/>
    <mergeCell ref="E19:G19"/>
    <mergeCell ref="E21:G21"/>
    <mergeCell ref="C12:K12"/>
    <mergeCell ref="C13:F13"/>
    <mergeCell ref="C14:F14"/>
    <mergeCell ref="C15:F15"/>
    <mergeCell ref="C16:F16"/>
    <mergeCell ref="G13:K13"/>
    <mergeCell ref="G14:K14"/>
    <mergeCell ref="G15:K15"/>
    <mergeCell ref="G16:K16"/>
  </mergeCells>
  <hyperlinks>
    <hyperlink ref="B4" location="'MLR_Output'!$B$10:$B$10" display="Inputs"/>
    <hyperlink ref="D4" location="'MLR_Output'!$B$43:$B$43" display="Predictors"/>
    <hyperlink ref="F4" location="'MLR_Output'!$B$55:$B$55" display="Regress. Model"/>
    <hyperlink ref="H4" location="'MLR_Output'!$B$64:$B$64" display="Train. Score - Summary"/>
    <hyperlink ref="J4" location="'MLR_Output'!$B$70:$B$70" display="Valid. Score - Summary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0"/>
  <sheetViews>
    <sheetView showGridLines="0" workbookViewId="0"/>
  </sheetViews>
  <sheetFormatPr defaultRowHeight="14.5" x14ac:dyDescent="0.35"/>
  <cols>
    <col min="1" max="1" width="18.26953125" bestFit="1" customWidth="1"/>
    <col min="2" max="2" width="23" bestFit="1" customWidth="1"/>
  </cols>
  <sheetData>
    <row r="1" spans="1:13" x14ac:dyDescent="0.35">
      <c r="M1" t="s">
        <v>16</v>
      </c>
    </row>
    <row r="2" spans="1:13" x14ac:dyDescent="0.35">
      <c r="A2" s="4" t="s">
        <v>17</v>
      </c>
      <c r="B2" s="3" t="s">
        <v>18</v>
      </c>
    </row>
    <row r="3" spans="1:13" x14ac:dyDescent="0.35">
      <c r="A3" s="4" t="s">
        <v>19</v>
      </c>
      <c r="B3" s="3" t="b">
        <v>1</v>
      </c>
    </row>
    <row r="4" spans="1:13" x14ac:dyDescent="0.35">
      <c r="A4" s="4" t="s">
        <v>20</v>
      </c>
      <c r="B4" s="3">
        <v>3</v>
      </c>
    </row>
    <row r="5" spans="1:13" x14ac:dyDescent="0.35">
      <c r="A5" s="4" t="s">
        <v>21</v>
      </c>
      <c r="B5" s="3" t="s">
        <v>22</v>
      </c>
      <c r="D5" s="3"/>
      <c r="E5" s="3" t="s">
        <v>7</v>
      </c>
      <c r="F5" s="3" t="s">
        <v>9</v>
      </c>
      <c r="G5" s="3" t="s">
        <v>10</v>
      </c>
      <c r="H5" s="3" t="s">
        <v>6</v>
      </c>
    </row>
    <row r="6" spans="1:13" x14ac:dyDescent="0.35">
      <c r="A6" s="4" t="s">
        <v>23</v>
      </c>
      <c r="B6" s="3" t="s">
        <v>24</v>
      </c>
      <c r="D6" s="3"/>
      <c r="E6" s="3">
        <v>7</v>
      </c>
      <c r="F6" s="3">
        <v>9</v>
      </c>
      <c r="G6" s="3">
        <v>10</v>
      </c>
      <c r="H6" s="3">
        <v>6</v>
      </c>
    </row>
    <row r="7" spans="1:13" x14ac:dyDescent="0.35">
      <c r="A7" s="4" t="s">
        <v>25</v>
      </c>
      <c r="B7" s="3" t="s">
        <v>26</v>
      </c>
      <c r="D7" s="3"/>
      <c r="E7" s="3" t="s">
        <v>27</v>
      </c>
      <c r="F7" s="3" t="s">
        <v>27</v>
      </c>
      <c r="G7" s="3" t="s">
        <v>27</v>
      </c>
      <c r="H7" s="3" t="s">
        <v>28</v>
      </c>
    </row>
    <row r="8" spans="1:13" x14ac:dyDescent="0.35">
      <c r="A8" s="4" t="s">
        <v>29</v>
      </c>
      <c r="B8" s="3" t="s">
        <v>30</v>
      </c>
      <c r="D8" s="3"/>
      <c r="E8" s="3" t="s">
        <v>31</v>
      </c>
      <c r="F8" s="3" t="s">
        <v>31</v>
      </c>
      <c r="G8" s="3" t="s">
        <v>31</v>
      </c>
      <c r="H8" s="3"/>
    </row>
    <row r="9" spans="1:13" x14ac:dyDescent="0.35">
      <c r="A9" s="4" t="s">
        <v>32</v>
      </c>
      <c r="B9" s="3" t="s">
        <v>33</v>
      </c>
      <c r="D9" s="3"/>
      <c r="E9" s="3" t="s">
        <v>7</v>
      </c>
      <c r="F9" s="3" t="s">
        <v>9</v>
      </c>
      <c r="G9" s="3" t="s">
        <v>10</v>
      </c>
      <c r="H9" s="3"/>
    </row>
    <row r="10" spans="1:13" x14ac:dyDescent="0.35">
      <c r="D10" s="3">
        <v>0.26257294908221979</v>
      </c>
      <c r="E10" s="3">
        <v>0.26085534023435486</v>
      </c>
      <c r="F10" s="3">
        <v>-4.6761605634445716E-2</v>
      </c>
      <c r="G10" s="3">
        <v>-5.9541029845542284E-2</v>
      </c>
      <c r="H1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data</vt:lpstr>
      <vt:lpstr>MASmoothingOutput1</vt:lpstr>
      <vt:lpstr>MASmoothing_Stored1</vt:lpstr>
      <vt:lpstr>MASmoothingOutput</vt:lpstr>
      <vt:lpstr>MASmoothing_Stored</vt:lpstr>
      <vt:lpstr>LR_Output</vt:lpstr>
      <vt:lpstr>LR_ValidationScore</vt:lpstr>
      <vt:lpstr>LR_Stored</vt:lpstr>
      <vt:lpstr>MLR_Output</vt:lpstr>
      <vt:lpstr>MLR_Stored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Galit Shmueli</dc:creator>
  <cp:lastModifiedBy>Galit Shmueli</cp:lastModifiedBy>
  <dcterms:created xsi:type="dcterms:W3CDTF">2015-02-03T11:58:58Z</dcterms:created>
  <dcterms:modified xsi:type="dcterms:W3CDTF">2015-02-03T12:53:20Z</dcterms:modified>
</cp:coreProperties>
</file>